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ustomProperty5.bin" ContentType="application/vnd.openxmlformats-officedocument.spreadsheetml.customProperty"/>
  <Override PartName="/xl/comments1.xml" ContentType="application/vnd.openxmlformats-officedocument.spreadsheetml.comments+xml"/>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drawings/drawing2.xml" ContentType="application/vnd.openxmlformats-officedocument.drawing+xml"/>
  <Override PartName="/xl/comments2.xml" ContentType="application/vnd.openxmlformats-officedocument.spreadsheetml.comments+xml"/>
  <Override PartName="/xl/customProperty9.bin" ContentType="application/vnd.openxmlformats-officedocument.spreadsheetml.customProperty"/>
  <Override PartName="/xl/drawings/drawing3.xml" ContentType="application/vnd.openxmlformats-officedocument.drawing+xml"/>
  <Override PartName="/xl/customProperty10.bin" ContentType="application/vnd.openxmlformats-officedocument.spreadsheetml.customProperty"/>
  <Override PartName="/xl/customProperty11.bin" ContentType="application/vnd.openxmlformats-officedocument.spreadsheetml.customProperty"/>
  <Override PartName="/xl/drawings/drawing4.xml" ContentType="application/vnd.openxmlformats-officedocument.drawing+xml"/>
  <Override PartName="/xl/customProperty12.bin" ContentType="application/vnd.openxmlformats-officedocument.spreadsheetml.customProperty"/>
  <Override PartName="/xl/drawings/drawing5.xml" ContentType="application/vnd.openxmlformats-officedocument.drawing+xml"/>
  <Override PartName="/xl/customProperty13.bin" ContentType="application/vnd.openxmlformats-officedocument.spreadsheetml.customProperty"/>
  <Override PartName="/xl/customProperty14.bin" ContentType="application/vnd.openxmlformats-officedocument.spreadsheetml.customProperty"/>
  <Override PartName="/xl/comments3.xml" ContentType="application/vnd.openxmlformats-officedocument.spreadsheetml.comments+xml"/>
  <Override PartName="/xl/customProperty15.bin" ContentType="application/vnd.openxmlformats-officedocument.spreadsheetml.customProperty"/>
  <Override PartName="/xl/customProperty16.bin" ContentType="application/vnd.openxmlformats-officedocument.spreadsheetml.customProperty"/>
  <Override PartName="/xl/drawings/drawing6.xml" ContentType="application/vnd.openxmlformats-officedocument.drawing+xml"/>
  <Override PartName="/xl/customProperty17.bin" ContentType="application/vnd.openxmlformats-officedocument.spreadsheetml.customProperty"/>
  <Override PartName="/xl/drawings/drawing7.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ustomProperty18.bin" ContentType="application/vnd.openxmlformats-officedocument.spreadsheetml.customProperty"/>
  <Override PartName="/xl/drawings/drawing8.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ustomProperty19.bin" ContentType="application/vnd.openxmlformats-officedocument.spreadsheetml.customProperty"/>
  <Override PartName="/xl/drawings/drawing9.xml" ContentType="application/vnd.openxmlformats-officedocument.drawing+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ustomProperty20.bin" ContentType="application/vnd.openxmlformats-officedocument.spreadsheetml.customProperty"/>
  <Override PartName="/xl/drawings/drawing10.xml" ContentType="application/vnd.openxmlformats-officedocument.drawing+xml"/>
  <Override PartName="/xl/charts/chart31.xml" ContentType="application/vnd.openxmlformats-officedocument.drawingml.chart+xml"/>
  <Override PartName="/xl/charts/style28.xml" ContentType="application/vnd.ms-office.chartstyle+xml"/>
  <Override PartName="/xl/charts/colors28.xml" ContentType="application/vnd.ms-office.chartcolorstyle+xml"/>
  <Override PartName="/xl/charts/chart32.xml" ContentType="application/vnd.openxmlformats-officedocument.drawingml.chart+xml"/>
  <Override PartName="/xl/charts/style29.xml" ContentType="application/vnd.ms-office.chartstyle+xml"/>
  <Override PartName="/xl/charts/colors29.xml" ContentType="application/vnd.ms-office.chartcolorstyle+xml"/>
  <Override PartName="/xl/charts/chart33.xml" ContentType="application/vnd.openxmlformats-officedocument.drawingml.chart+xml"/>
  <Override PartName="/xl/charts/style30.xml" ContentType="application/vnd.ms-office.chartstyle+xml"/>
  <Override PartName="/xl/charts/colors30.xml" ContentType="application/vnd.ms-office.chartcolorstyle+xml"/>
  <Override PartName="/xl/charts/chart34.xml" ContentType="application/vnd.openxmlformats-officedocument.drawingml.chart+xml"/>
  <Override PartName="/xl/charts/style31.xml" ContentType="application/vnd.ms-office.chartstyle+xml"/>
  <Override PartName="/xl/charts/colors31.xml" ContentType="application/vnd.ms-office.chartcolorstyle+xml"/>
  <Override PartName="/xl/charts/chart35.xml" ContentType="application/vnd.openxmlformats-officedocument.drawingml.chart+xml"/>
  <Override PartName="/xl/charts/style32.xml" ContentType="application/vnd.ms-office.chartstyle+xml"/>
  <Override PartName="/xl/charts/colors32.xml" ContentType="application/vnd.ms-office.chartcolorstyle+xml"/>
  <Override PartName="/xl/charts/chart36.xml" ContentType="application/vnd.openxmlformats-officedocument.drawingml.chart+xml"/>
  <Override PartName="/xl/charts/style33.xml" ContentType="application/vnd.ms-office.chartstyle+xml"/>
  <Override PartName="/xl/charts/colors33.xml" ContentType="application/vnd.ms-office.chartcolorstyle+xml"/>
  <Override PartName="/xl/charts/chart37.xml" ContentType="application/vnd.openxmlformats-officedocument.drawingml.chart+xml"/>
  <Override PartName="/xl/charts/style34.xml" ContentType="application/vnd.ms-office.chartstyle+xml"/>
  <Override PartName="/xl/charts/colors34.xml" ContentType="application/vnd.ms-office.chartcolorstyle+xml"/>
  <Override PartName="/xl/charts/chart38.xml" ContentType="application/vnd.openxmlformats-officedocument.drawingml.chart+xml"/>
  <Override PartName="/xl/charts/style35.xml" ContentType="application/vnd.ms-office.chartstyle+xml"/>
  <Override PartName="/xl/charts/colors35.xml" ContentType="application/vnd.ms-office.chartcolorstyle+xml"/>
  <Override PartName="/xl/charts/chart39.xml" ContentType="application/vnd.openxmlformats-officedocument.drawingml.chart+xml"/>
  <Override PartName="/xl/charts/style36.xml" ContentType="application/vnd.ms-office.chartstyle+xml"/>
  <Override PartName="/xl/charts/colors36.xml" ContentType="application/vnd.ms-office.chartcolorstyle+xml"/>
  <Override PartName="/xl/charts/chart40.xml" ContentType="application/vnd.openxmlformats-officedocument.drawingml.chart+xml"/>
  <Override PartName="/xl/charts/style37.xml" ContentType="application/vnd.ms-office.chartstyle+xml"/>
  <Override PartName="/xl/charts/colors37.xml" ContentType="application/vnd.ms-office.chartcolorstyle+xml"/>
  <Override PartName="/xl/charts/chart41.xml" ContentType="application/vnd.openxmlformats-officedocument.drawingml.chart+xml"/>
  <Override PartName="/xl/charts/style38.xml" ContentType="application/vnd.ms-office.chartstyle+xml"/>
  <Override PartName="/xl/charts/colors38.xml" ContentType="application/vnd.ms-office.chartcolorstyle+xml"/>
  <Override PartName="/xl/charts/chart42.xml" ContentType="application/vnd.openxmlformats-officedocument.drawingml.chart+xml"/>
  <Override PartName="/xl/charts/style39.xml" ContentType="application/vnd.ms-office.chartstyle+xml"/>
  <Override PartName="/xl/charts/colors39.xml" ContentType="application/vnd.ms-office.chartcolorstyle+xml"/>
  <Override PartName="/xl/charts/chart43.xml" ContentType="application/vnd.openxmlformats-officedocument.drawingml.chart+xml"/>
  <Override PartName="/xl/charts/style40.xml" ContentType="application/vnd.ms-office.chartstyle+xml"/>
  <Override PartName="/xl/charts/colors40.xml" ContentType="application/vnd.ms-office.chartcolorstyle+xml"/>
  <Override PartName="/xl/charts/chart44.xml" ContentType="application/vnd.openxmlformats-officedocument.drawingml.chart+xml"/>
  <Override PartName="/xl/charts/style41.xml" ContentType="application/vnd.ms-office.chartstyle+xml"/>
  <Override PartName="/xl/charts/colors41.xml" ContentType="application/vnd.ms-office.chartcolorstyle+xml"/>
  <Override PartName="/xl/charts/chart45.xml" ContentType="application/vnd.openxmlformats-officedocument.drawingml.chart+xml"/>
  <Override PartName="/xl/charts/style42.xml" ContentType="application/vnd.ms-office.chartstyle+xml"/>
  <Override PartName="/xl/charts/colors42.xml" ContentType="application/vnd.ms-office.chartcolorstyle+xml"/>
  <Override PartName="/xl/charts/chart46.xml" ContentType="application/vnd.openxmlformats-officedocument.drawingml.chart+xml"/>
  <Override PartName="/xl/charts/style43.xml" ContentType="application/vnd.ms-office.chartstyle+xml"/>
  <Override PartName="/xl/charts/colors43.xml" ContentType="application/vnd.ms-office.chartcolorstyle+xml"/>
  <Override PartName="/xl/charts/chart47.xml" ContentType="application/vnd.openxmlformats-officedocument.drawingml.chart+xml"/>
  <Override PartName="/xl/charts/chart48.xml" ContentType="application/vnd.openxmlformats-officedocument.drawingml.chart+xml"/>
  <Override PartName="/xl/charts/style44.xml" ContentType="application/vnd.ms-office.chartstyle+xml"/>
  <Override PartName="/xl/charts/colors44.xml" ContentType="application/vnd.ms-office.chartcolorstyle+xml"/>
  <Override PartName="/xl/charts/chart49.xml" ContentType="application/vnd.openxmlformats-officedocument.drawingml.chart+xml"/>
  <Override PartName="/xl/charts/style45.xml" ContentType="application/vnd.ms-office.chartstyle+xml"/>
  <Override PartName="/xl/charts/colors45.xml" ContentType="application/vnd.ms-office.chartcolorstyle+xml"/>
  <Override PartName="/xl/charts/chart50.xml" ContentType="application/vnd.openxmlformats-officedocument.drawingml.chart+xml"/>
  <Override PartName="/xl/charts/style46.xml" ContentType="application/vnd.ms-office.chartstyle+xml"/>
  <Override PartName="/xl/charts/colors46.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style47.xml" ContentType="application/vnd.ms-office.chartstyle+xml"/>
  <Override PartName="/xl/charts/colors47.xml" ContentType="application/vnd.ms-office.chartcolorstyle+xml"/>
  <Override PartName="/xl/charts/chart53.xml" ContentType="application/vnd.openxmlformats-officedocument.drawingml.chart+xml"/>
  <Override PartName="/xl/charts/style48.xml" ContentType="application/vnd.ms-office.chartstyle+xml"/>
  <Override PartName="/xl/charts/colors48.xml" ContentType="application/vnd.ms-office.chartcolorstyle+xml"/>
  <Override PartName="/xl/customProperty21.bin" ContentType="application/vnd.openxmlformats-officedocument.spreadsheetml.customProperty"/>
  <Override PartName="/xl/drawings/drawing11.xml" ContentType="application/vnd.openxmlformats-officedocument.drawing+xml"/>
  <Override PartName="/xl/charts/chart54.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12.xml" ContentType="application/vnd.openxmlformats-officedocument.drawingml.chartshapes+xml"/>
  <Override PartName="/xl/charts/chart55.xml" ContentType="application/vnd.openxmlformats-officedocument.drawingml.chart+xml"/>
  <Override PartName="/xl/charts/style50.xml" ContentType="application/vnd.ms-office.chartstyle+xml"/>
  <Override PartName="/xl/charts/colors50.xml" ContentType="application/vnd.ms-office.chartcolorstyle+xml"/>
  <Override PartName="/xl/charts/chart56.xml" ContentType="application/vnd.openxmlformats-officedocument.drawingml.chart+xml"/>
  <Override PartName="/xl/charts/style51.xml" ContentType="application/vnd.ms-office.chartstyle+xml"/>
  <Override PartName="/xl/charts/colors51.xml" ContentType="application/vnd.ms-office.chartcolorstyle+xml"/>
  <Override PartName="/xl/charts/chart57.xml" ContentType="application/vnd.openxmlformats-officedocument.drawingml.chart+xml"/>
  <Override PartName="/xl/charts/style52.xml" ContentType="application/vnd.ms-office.chartstyle+xml"/>
  <Override PartName="/xl/charts/colors52.xml" ContentType="application/vnd.ms-office.chartcolorstyle+xml"/>
  <Override PartName="/xl/charts/chart58.xml" ContentType="application/vnd.openxmlformats-officedocument.drawingml.chart+xml"/>
  <Override PartName="/xl/charts/style53.xml" ContentType="application/vnd.ms-office.chartstyle+xml"/>
  <Override PartName="/xl/charts/colors53.xml" ContentType="application/vnd.ms-office.chartcolorstyle+xml"/>
  <Override PartName="/xl/charts/chart59.xml" ContentType="application/vnd.openxmlformats-officedocument.drawingml.chart+xml"/>
  <Override PartName="/xl/charts/style54.xml" ContentType="application/vnd.ms-office.chartstyle+xml"/>
  <Override PartName="/xl/charts/colors54.xml" ContentType="application/vnd.ms-office.chartcolorstyle+xml"/>
  <Override PartName="/xl/charts/chart60.xml" ContentType="application/vnd.openxmlformats-officedocument.drawingml.chart+xml"/>
  <Override PartName="/xl/charts/style55.xml" ContentType="application/vnd.ms-office.chartstyle+xml"/>
  <Override PartName="/xl/charts/colors55.xml" ContentType="application/vnd.ms-office.chartcolorstyle+xml"/>
  <Override PartName="/xl/charts/chart61.xml" ContentType="application/vnd.openxmlformats-officedocument.drawingml.chart+xml"/>
  <Override PartName="/xl/charts/style56.xml" ContentType="application/vnd.ms-office.chartstyle+xml"/>
  <Override PartName="/xl/charts/colors56.xml" ContentType="application/vnd.ms-office.chartcolorstyle+xml"/>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drawings/drawing13.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showInkAnnotation="0" codeName="ThisWorkbook"/>
  <mc:AlternateContent xmlns:mc="http://schemas.openxmlformats.org/markup-compatibility/2006">
    <mc:Choice Requires="x15">
      <x15ac:absPath xmlns:x15ac="http://schemas.microsoft.com/office/spreadsheetml/2010/11/ac" url="https://rsmcanadacom-my.sharepoint.com/personal/chris_eisen_rsmcanada_com/Documents/Clubs Project/Dta/Smartsheet/"/>
    </mc:Choice>
  </mc:AlternateContent>
  <xr:revisionPtr revIDLastSave="28" documentId="13_ncr:1_{BE42FDC1-11EF-4B5D-A0C4-3EAA8ADB5DDE}" xr6:coauthVersionLast="47" xr6:coauthVersionMax="47" xr10:uidLastSave="{7602A22D-641F-4E84-A636-84A0E783F9E0}"/>
  <bookViews>
    <workbookView xWindow="-108" yWindow="-108" windowWidth="23256" windowHeight="12576" tabRatio="829" activeTab="4" xr2:uid="{00000000-000D-0000-FFFF-FFFF00000000}"/>
  </bookViews>
  <sheets>
    <sheet name="DATA&gt;&gt;" sheetId="21" r:id="rId1"/>
    <sheet name="copy to peer group" sheetId="30" state="hidden" r:id="rId2"/>
    <sheet name="in columns" sheetId="1" r:id="rId3"/>
    <sheet name="Sheet 1" sheetId="38" state="hidden" r:id="rId4"/>
    <sheet name="IN ROWS" sheetId="2" r:id="rId5"/>
    <sheet name="Area (&amp;golfacre for lookup)" sheetId="13" r:id="rId6"/>
    <sheet name="Q&amp;A&gt;&gt;" sheetId="39" r:id="rId7"/>
    <sheet name="2022 Q" sheetId="36" state="hidden" r:id="rId8"/>
    <sheet name="2023q" sheetId="40" r:id="rId9"/>
    <sheet name="init fee cy v py" sheetId="31" state="hidden" r:id="rId10"/>
    <sheet name="Q" sheetId="34" state="hidden" r:id="rId11"/>
    <sheet name="Q 2020" sheetId="35" state="hidden" r:id="rId12"/>
    <sheet name="Clubs FY19 v FY20" sheetId="37" state="hidden" r:id="rId13"/>
    <sheet name="Detail Summary - for reviewer" sheetId="8" state="hidden" r:id="rId14"/>
    <sheet name="TRENDS TABLES &amp; CHARTS&gt;&gt;" sheetId="24" r:id="rId15"/>
    <sheet name="Exec Summary" sheetId="7" r:id="rId16"/>
    <sheet name="Bal Sheet" sheetId="23" r:id="rId17"/>
    <sheet name="Membership" sheetId="22" r:id="rId18"/>
    <sheet name="Op Rev &amp; Exp" sheetId="15" r:id="rId19"/>
    <sheet name="F&amp;B" sheetId="18" r:id="rId20"/>
    <sheet name="Golf" sheetId="20" r:id="rId21"/>
    <sheet name="Internal Stuff&gt;&gt;" sheetId="33" state="hidden" r:id="rId22"/>
    <sheet name="golf acre&amp;rounds" sheetId="32" state="hidden" r:id="rId23"/>
    <sheet name="FME" sheetId="27" state="hidden" r:id="rId24"/>
  </sheets>
  <externalReferences>
    <externalReference r:id="rId25"/>
    <externalReference r:id="rId26"/>
    <externalReference r:id="rId27"/>
  </externalReferences>
  <definedNames>
    <definedName name="_xlnm._FilterDatabase" localSheetId="15">'Exec Summary'!$A$5:$S$99</definedName>
    <definedName name="_xlnm._FilterDatabase" localSheetId="22" hidden="1">'golf acre&amp;rounds'!$A$3:$Q$149</definedName>
    <definedName name="_xlnm._FilterDatabase" localSheetId="4" hidden="1">'IN ROWS'!$A$56:$PM$210</definedName>
    <definedName name="_xlnm._FilterDatabase" localSheetId="9" hidden="1">'init fee cy v py'!$A$3:$M$129</definedName>
    <definedName name="BOCA_18_acres">'IN ROWS'!$GO$21</definedName>
    <definedName name="BOCA_18_all_otherexp">'IN ROWS'!$GU$21:$GV$21</definedName>
    <definedName name="BOCA_18_all_otherexp_p.hole">'IN ROWS'!$JV$21:$JW$21</definedName>
    <definedName name="BOCA_18_all_otherexp_perc">'IN ROWS'!$HD$21:$HE$21</definedName>
    <definedName name="BOCA_18_cost_p.acre">'IN ROWS'!$GY$21</definedName>
    <definedName name="BOCA_18_cost_p.hole">'IN ROWS'!$GX$21</definedName>
    <definedName name="BOCA_18_cost_p.round">'IN ROWS'!$JX$21</definedName>
    <definedName name="BOCA_18_lease_p.hole">'IN ROWS'!$JV$21</definedName>
    <definedName name="BOCA_18_lease_perc">'IN ROWS'!$HD$21</definedName>
    <definedName name="BOCA_18_paytax_bens">'IN ROWS'!$GR$21</definedName>
    <definedName name="BOCA_18_paytax_bens_p.hole">'IN ROWS'!$JS$21</definedName>
    <definedName name="BOCA_18_paytax_bens_perc">'IN ROWS'!$HA$21</definedName>
    <definedName name="BOCA_18_rep_mtce">'IN ROWS'!$GT$21</definedName>
    <definedName name="BOCA_18_rep_mtce_p.hole">'IN ROWS'!$JU$21</definedName>
    <definedName name="BOCA_18_rep_mtce_perc">'IN ROWS'!$HC$21</definedName>
    <definedName name="BOCA_18_rounds">'IN ROWS'!$GP$21</definedName>
    <definedName name="BOCA_18_sal_wage">'IN ROWS'!$GQ$21</definedName>
    <definedName name="BOCA_18_sal_wage_perc">'IN ROWS'!$GZ$21</definedName>
    <definedName name="BOCA_18_salwage_p.hole">'IN ROWS'!$JR$21</definedName>
    <definedName name="BOCA_18_supplies">'IN ROWS'!$GS$21</definedName>
    <definedName name="BOCA_18_supplies_p.hole">'IN ROWS'!$JT$21</definedName>
    <definedName name="BOCA_18_supplies_perc">'IN ROWS'!$HB$21</definedName>
    <definedName name="BOCA_18_tot_exp">'IN ROWS'!$GW$21</definedName>
    <definedName name="BOCA_3rdparty_debt">'IN ROWS'!$BM$21</definedName>
    <definedName name="BOCA_3rdparty_debt_perFME">'IN ROWS'!$BW$21</definedName>
    <definedName name="BOCA_3rdparty_debt_permem" localSheetId="12">'IN ROWS'!#REF!</definedName>
    <definedName name="BOCA_3rdparty_debt_permem" localSheetId="11">'IN ROWS'!#REF!</definedName>
    <definedName name="BOCA_3rdparty_debt_permem">'IN ROWS'!#REF!</definedName>
    <definedName name="BOCA_all_ot_exp">'IN ROWS'!$GD$21:$GF$21</definedName>
    <definedName name="BOCA_amt_3rdpty_debt">'IN ROWS'!$BN$21</definedName>
    <definedName name="BOCA_amt_bev_inc">'IN ROWS'!$GM$21</definedName>
    <definedName name="BOCA_amt_menu_inc">'IN ROWS'!$GK$21</definedName>
    <definedName name="BOCA_ann_servchg">'IN ROWS'!$AP$21</definedName>
    <definedName name="BOCA_AR_0to30">'IN ROWS'!$AS$21</definedName>
    <definedName name="BOCA_AR_31to60">'IN ROWS'!$AT$21</definedName>
    <definedName name="BOCA_AR_61to90">'IN ROWS'!$AU$21</definedName>
    <definedName name="BOCA_AR_91plus">'IN ROWS'!$AV$21</definedName>
    <definedName name="BOCA_AvWait_ResignedMem">'IN ROWS'!$N$21</definedName>
    <definedName name="BOCA_BanqCovers">'IN ROWS'!$EW$21</definedName>
    <definedName name="BOCA_bev_cos">'IN ROWS'!$FL$21</definedName>
    <definedName name="BOCA_bev_rev">'IN ROWS'!$FB$21</definedName>
    <definedName name="Boca_bev_rev_perc">'IN ROWS'!$CS$21</definedName>
    <definedName name="BOCA_bev_rev_perFME">'IN ROWS'!$DS$21</definedName>
    <definedName name="BOCA_bev_rev_permem" localSheetId="12">'IN ROWS'!#REF!</definedName>
    <definedName name="BOCA_bev_rev_permem" localSheetId="11">'IN ROWS'!#REF!</definedName>
    <definedName name="BOCA_bev_rev_permem">'IN ROWS'!#REF!</definedName>
    <definedName name="BOCA_both_fbmin_servchg">'IN ROWS'!$IL$21</definedName>
    <definedName name="BOCA_BudCap_addns_perFME">'IN ROWS'!$BY$21</definedName>
    <definedName name="BOCA_BudCap_addns_permem" localSheetId="12">'IN ROWS'!#REF!</definedName>
    <definedName name="BOCA_BudCap_addns_permem" localSheetId="11">'IN ROWS'!#REF!</definedName>
    <definedName name="BOCA_BudCap_addns_permem">'IN ROWS'!#REF!</definedName>
    <definedName name="BOCA_Cap_addns">'IN ROWS'!$BJ$21</definedName>
    <definedName name="BOCA_Cap_addns_perFME">'IN ROWS'!$BX$21</definedName>
    <definedName name="BOCA_Cap_addns_permem" localSheetId="12">'IN ROWS'!#REF!</definedName>
    <definedName name="BOCA_Cap_addns_permem" localSheetId="11">'IN ROWS'!#REF!</definedName>
    <definedName name="BOCA_Cap_addns_permem">'IN ROWS'!#REF!</definedName>
    <definedName name="BOCA_cap_assmt">'IN ROWS'!$AE$21</definedName>
    <definedName name="BOCA_cap_assmt_HIGH">'IN ROWS'!$AF$21</definedName>
    <definedName name="BOCA_cap_assmt_LOW">'IN ROWS'!$AG$21</definedName>
    <definedName name="BOCA_capaddn_to_depn">'IN ROWS'!$BL$21</definedName>
    <definedName name="BOCA_dues_Dec_HIGH">'IN ROWS'!$IE$21</definedName>
    <definedName name="BOCA_dues_Dec_LOW">'IN ROWS'!$IF$21</definedName>
    <definedName name="BOCA_dues_HIGH_AY">'IN ROWS'!$X$21</definedName>
    <definedName name="BOCA_dues_HIGH_CY">'IN ROWS'!$W$21</definedName>
    <definedName name="BOCA_dues_Inc_HIGH">'IN ROWS'!$IC$21</definedName>
    <definedName name="BOCA_dues_Inc_LOW">'IN ROWS'!$ID$21</definedName>
    <definedName name="BOCA_dues_LOW_AY">'IN ROWS'!$Z$21</definedName>
    <definedName name="BOCA_dues_LOW_CY">'IN ROWS'!$Y$21</definedName>
    <definedName name="BOCA_dues_rev_perc">'IN ROWS'!$CO$21:$CQ$21</definedName>
    <definedName name="BOCA_dues_rev_perFME">'IN ROWS'!$DO$21:$DQ$21</definedName>
    <definedName name="BOCA_dues_rev_permem" localSheetId="12">'IN ROWS'!#REF!</definedName>
    <definedName name="BOCA_dues_rev_permem" localSheetId="11">'IN ROWS'!#REF!</definedName>
    <definedName name="BOCA_dues_rev_permem">'IN ROWS'!#REF!</definedName>
    <definedName name="BOCA_emp">'IN ROWS'!$ED$21</definedName>
    <definedName name="BOCA_fANDb_cos">'IN ROWS'!$FO$21</definedName>
    <definedName name="BOCA_fb_cos">'IN ROWS'!$DD$21</definedName>
    <definedName name="BOCA_fb_cos_perFME">'IN ROWS'!$DW$21</definedName>
    <definedName name="BOCA_fb_cos_permem" localSheetId="12">'IN ROWS'!#REF!</definedName>
    <definedName name="BOCA_fb_cos_permem" localSheetId="11">'IN ROWS'!#REF!</definedName>
    <definedName name="BOCA_fb_cos_permem">'IN ROWS'!#REF!</definedName>
    <definedName name="BOCA_FB_loss">'IN ROWS'!$FY$21</definedName>
    <definedName name="BOCA_FB_loss_p.FME">'IN ROWS'!$IP$21</definedName>
    <definedName name="BOCA_FB_loss_p.mem">'IN ROWS'!$IO$21</definedName>
    <definedName name="BOCA_fb_min">'IN ROWS'!$EK$21</definedName>
    <definedName name="BOCA_fb_min_amt">'IN ROWS'!$EL$21</definedName>
    <definedName name="BOCA_fb_nograt_nomand">'IN ROWS'!$ER$21</definedName>
    <definedName name="BOCA_fb_ratio">'IN ROWS'!$GI$21</definedName>
    <definedName name="BOCA_fb_rev">'IN ROWS'!$FE$21</definedName>
    <definedName name="BOCA_fb_rev_p.FME">'IN ROWS'!$ES$21</definedName>
    <definedName name="Boca_fb_rev_p.mem" localSheetId="12">'IN ROWS'!#REF!</definedName>
    <definedName name="Boca_fb_rev_p.mem" localSheetId="11">'IN ROWS'!#REF!</definedName>
    <definedName name="Boca_fb_rev_p.mem">'IN ROWS'!#REF!</definedName>
    <definedName name="BOCA_FBLoss_DuesRev">'IN ROWS'!$IQ$21</definedName>
    <definedName name="BOCA_FBLoss_FBSales">'IN ROWS'!$GH$21</definedName>
    <definedName name="BOCA_fd_cos">'IN ROWS'!$FI$21</definedName>
    <definedName name="BOCA_FME">'IN ROWS'!$K$21</definedName>
    <definedName name="BOCA_FME_p.employee">'IN ROWS'!$EJ$21</definedName>
    <definedName name="BOCA_food_rev">'IN ROWS'!$EY$21</definedName>
    <definedName name="Boca_food_rev_perc">'IN ROWS'!$CR$21</definedName>
    <definedName name="BOCA_food_rev_perFME">'IN ROWS'!$DR$21</definedName>
    <definedName name="BOCA_food_rev_permem" localSheetId="12">'IN ROWS'!#REF!</definedName>
    <definedName name="BOCA_food_rev_permem" localSheetId="11">'IN ROWS'!#REF!</definedName>
    <definedName name="BOCA_food_rev_permem">'IN ROWS'!#REF!</definedName>
    <definedName name="BOCA_ForLabCosts">'IN ROWS'!$EG$21</definedName>
    <definedName name="BOCA_golf_cos">'IN ROWS'!$JJ$21</definedName>
    <definedName name="BOCA_golfexp_to_totexp_18">'IN ROWS'!$JY$21</definedName>
    <definedName name="BOCA_golfexp_to_totexp_mult">'IN ROWS'!$KI$21</definedName>
    <definedName name="BOCA_healthins_percinc">'IN ROWS'!$EI$21</definedName>
    <definedName name="boca_inc_bev_price">'IN ROWS'!$GL$21</definedName>
    <definedName name="BOCA_inc_menu_price">'IN ROWS'!$GJ$21</definedName>
    <definedName name="BOCA_inhouse_proshop">'IN ROWS'!$JI$21</definedName>
    <definedName name="Boca_ins">'IN ROWS'!$DA$21</definedName>
    <definedName name="BOCA_ins_p.FME">'IN ROWS'!$EA$21</definedName>
    <definedName name="Boca_ins_p.mem" localSheetId="12">'IN ROWS'!#REF!</definedName>
    <definedName name="Boca_ins_p.mem" localSheetId="11">'IN ROWS'!#REF!</definedName>
    <definedName name="Boca_ins_p.mem">'IN ROWS'!#REF!</definedName>
    <definedName name="BOCA_majproj">'IN ROWS'!$BE$21</definedName>
    <definedName name="BOCA_majproj_amt">'IN ROWS'!$BF$21</definedName>
    <definedName name="BOCA_mand_mem">'IN ROWS'!$G$21</definedName>
    <definedName name="BOCA_mand_serv_chg">'IN ROWS'!$EO$21</definedName>
    <definedName name="BOCA_mem">'IN ROWS'!$J$21</definedName>
    <definedName name="BOCA_mem_p.employee" localSheetId="12">'IN ROWS'!#REF!</definedName>
    <definedName name="BOCA_mem_p.employee" localSheetId="11">'IN ROWS'!#REF!</definedName>
    <definedName name="BOCA_mem_p.employee">'IN ROWS'!#REF!</definedName>
    <definedName name="BOCA_mth_serv_chg">'IN ROWS'!$EP$21</definedName>
    <definedName name="BOCA_mult_acre_36">'IN ROWS'!$KG$21</definedName>
    <definedName name="BOCA_mult_acres">'IN ROWS'!$HH$21</definedName>
    <definedName name="BOCA_mult_all_otherexp">'IN ROWS'!$HN$21:$HO$21</definedName>
    <definedName name="BOCA_mult_all_otherexp_p.hole">'IN ROWS'!$KD$21:$KE$21</definedName>
    <definedName name="BOCA_mult_all_otherexp_perc">'IN ROWS'!$HW$21:$HX$21</definedName>
    <definedName name="BOCA_mult_cost_p.acre">'IN ROWS'!$HR$21</definedName>
    <definedName name="BOCA_mult_cost_p.hole">'IN ROWS'!$HQ$21</definedName>
    <definedName name="BOCA_mult_cost_p.round">'IN ROWS'!$KH$21</definedName>
    <definedName name="BOCA_mult_lease_p.hole">'IN ROWS'!$KD$21</definedName>
    <definedName name="BOCA_mult_lease_perc">'IN ROWS'!$HW$21</definedName>
    <definedName name="BOCA_mult_paytax_bens">'IN ROWS'!$HK$21</definedName>
    <definedName name="BOCA_mult_paytax_bens_p.hole">'IN ROWS'!$KA$21</definedName>
    <definedName name="BOCA_mult_paytax_bens_perc">'IN ROWS'!$HT$21</definedName>
    <definedName name="BOCA_mult_rep_mtce">'IN ROWS'!$HM$21</definedName>
    <definedName name="BOCA_mult_rep_mtce_p.hole">'IN ROWS'!$KC$21</definedName>
    <definedName name="BOCA_mult_rep_mtce_perc">'IN ROWS'!$HV$21</definedName>
    <definedName name="BOCA_mult_rounds">'IN ROWS'!$HI$21</definedName>
    <definedName name="BOCA_mult_rounds_18">'IN ROWS'!$KF$21</definedName>
    <definedName name="BOCA_mult_sal_wage">'IN ROWS'!$HJ$21</definedName>
    <definedName name="BOCA_mult_sal_wage_perc">'IN ROWS'!$HS$21</definedName>
    <definedName name="BOCA_mult_salwage_p.hole">'IN ROWS'!$JZ$21</definedName>
    <definedName name="BOCA_mult_supplies">'IN ROWS'!$HL$21</definedName>
    <definedName name="BOCA_mult_supplies_p.hole">'IN ROWS'!$KB$21</definedName>
    <definedName name="BOCA_mult_supplies_perc">'IN ROWS'!$HU$21</definedName>
    <definedName name="BOCA_mult_tot_exp">'IN ROWS'!$HP$21</definedName>
    <definedName name="boca_no_fbmin_servchg">'IN ROWS'!$IK$21</definedName>
    <definedName name="BOCA_NoForeignLab">'IN ROWS'!$EF$21</definedName>
    <definedName name="BOCA_op_assmt">'IN ROWS'!$AH$21</definedName>
    <definedName name="BOCA_op_assmt_HIGH">'IN ROWS'!$AI$21</definedName>
    <definedName name="BOCA_op_assmt_LOW">'IN ROWS'!$AJ$21</definedName>
    <definedName name="BOCA_op_exp">'IN ROWS'!$DE$21:$DF$21</definedName>
    <definedName name="BOCA_op_exp_perFME">'IN ROWS'!$DX$21:$DY$21</definedName>
    <definedName name="BOCA_op_exp_permem" localSheetId="12">'IN ROWS'!#REF!</definedName>
    <definedName name="BOCA_op_exp_permem" localSheetId="11">'IN ROWS'!#REF!</definedName>
    <definedName name="BOCA_op_exp_permem">'IN ROWS'!#REF!</definedName>
    <definedName name="BOCA_ot_assmt">'IN ROWS'!$AL$21</definedName>
    <definedName name="BOCA_ot_assmt_perc">'IN ROWS'!$AK$21</definedName>
    <definedName name="Boca_ot_rev_perc">'IN ROWS'!$CT$21</definedName>
    <definedName name="BOCA_ot_rev_perFME">'IN ROWS'!$DT$21</definedName>
    <definedName name="BOCA_ot_rev_permem" localSheetId="12">'IN ROWS'!#REF!</definedName>
    <definedName name="BOCA_ot_rev_permem" localSheetId="11">'IN ROWS'!#REF!</definedName>
    <definedName name="BOCA_ot_rev_permem">'IN ROWS'!#REF!</definedName>
    <definedName name="BOCA_pay">'IN ROWS'!$DC$21</definedName>
    <definedName name="BOCA_pay_net_servchg">'IN ROWS'!$FZ$21:$GA$21</definedName>
    <definedName name="BOCA_pay_p.FME">'IN ROWS'!$DV$21</definedName>
    <definedName name="BOCA_pay_p.mem" localSheetId="12">'IN ROWS'!#REF!</definedName>
    <definedName name="BOCA_pay_p.mem" localSheetId="11">'IN ROWS'!#REF!</definedName>
    <definedName name="BOCA_pay_p.mem">'IN ROWS'!#REF!</definedName>
    <definedName name="BOCA_pay_taxANDben">'IN ROWS'!$GB$21:$GC$21</definedName>
    <definedName name="BOCA_perc_Club_ForLab">'IN ROWS'!$EE$21</definedName>
    <definedName name="BOCA_PPE_NBV">'IN ROWS'!$BI$21</definedName>
    <definedName name="BOCA_PPE_NBV_FME">'IN ROWS'!$IG$21</definedName>
    <definedName name="BOCA_proptax">'IN ROWS'!$CZ$21</definedName>
    <definedName name="BOCA_proptax_ins_exp">'IN ROWS'!$DG$21:$DH$21</definedName>
    <definedName name="BOCA_proptax_ins_exp_permem" localSheetId="12">'IN ROWS'!#REF!</definedName>
    <definedName name="BOCA_proptax_ins_exp_permem" localSheetId="11">'IN ROWS'!#REF!</definedName>
    <definedName name="BOCA_proptax_ins_exp_permem">'IN ROWS'!#REF!</definedName>
    <definedName name="BOCA_proptax_p.FME">'IN ROWS'!$DZ$21</definedName>
    <definedName name="Boca_proptax_p.mem" localSheetId="12">'IN ROWS'!#REF!</definedName>
    <definedName name="Boca_proptax_p.mem" localSheetId="11">'IN ROWS'!#REF!</definedName>
    <definedName name="Boca_proptax_p.mem">'IN ROWS'!#REF!</definedName>
    <definedName name="BOCA_ref_equity_perc_HIGH">'IN ROWS'!$IA$21</definedName>
    <definedName name="BOCA_ref_equity_perc_LOW">'IN ROWS'!$IB$21</definedName>
    <definedName name="BOCA_resignedwaitlist">'IN ROWS'!$L$21</definedName>
    <definedName name="BOCA_sal_wage">'IN ROWS'!$CV$21</definedName>
    <definedName name="Boca_sport_rev_perc">'IN ROWS'!$CK$21:$CN$21</definedName>
    <definedName name="BOCA_sport_rev_perFME">'IN ROWS'!$DK$21:$DN$21</definedName>
    <definedName name="BOCA_sport_rev_permem" localSheetId="12">'IN ROWS'!#REF!</definedName>
    <definedName name="BOCA_sport_rev_permem" localSheetId="11">'IN ROWS'!#REF!</definedName>
    <definedName name="BOCA_sport_rev_permem">'IN ROWS'!#REF!</definedName>
    <definedName name="BOCA_surplus">'IN ROWS'!$JH$21</definedName>
    <definedName name="BOCA_tl_exp">'IN ROWS'!$DB$21</definedName>
    <definedName name="BOCA_tl_memcost_HIGH">'IN ROWS'!$AQ$21</definedName>
    <definedName name="BOCA_tl_memcost_LOW">'IN ROWS'!$AR$21</definedName>
    <definedName name="BOCA_tl_resp">'IN ROWS'!$D$19</definedName>
    <definedName name="BOCA_tl_rev">'IN ROWS'!$CJ$21</definedName>
    <definedName name="BOCA_TlCovers">'IN ROWS'!$EV$21</definedName>
    <definedName name="BOCA_TLMem_25perc">'IN ROWS'!$J$22</definedName>
    <definedName name="BOCA_TLMem_50perc">'IN ROWS'!$J$23</definedName>
    <definedName name="BOCA_TLMem_75perc">'IN ROWS'!$J$24</definedName>
    <definedName name="BOCA_tot_init_HIGH">'IN ROWS'!$S$21</definedName>
    <definedName name="BOCA_tot_init_LOW">'IN ROWS'!$V$21</definedName>
    <definedName name="BOCA_wkg_cap">'IN ROWS'!$BS$21</definedName>
    <definedName name="BU">'IN ROWS'!$IH$39</definedName>
    <definedName name="bw">'IN ROWS'!$F$7</definedName>
    <definedName name="CHK">'IN ROWS'!$LV$1</definedName>
    <definedName name="Club_dues_HIGH_AY">[1]DATA!$W$12</definedName>
    <definedName name="Club_dues_HIGH_CY">[1]DATA!$V$12</definedName>
    <definedName name="Club_dues_Inc_HIGH">[1]DATA!$HF$12</definedName>
    <definedName name="Club_dues_Inc_LOW">[1]DATA!$HG$12</definedName>
    <definedName name="ddd">'[2]in rows'!$J$8</definedName>
    <definedName name="FL_18_acres">'IN ROWS'!$GO$9</definedName>
    <definedName name="FL_18_all_otherexp">'IN ROWS'!$GU$9:$GV$9</definedName>
    <definedName name="FL_18_all_otherexp_p.hole">'IN ROWS'!$JV$9:$JW$9</definedName>
    <definedName name="FL_18_all_otherexp_perc">'IN ROWS'!$HD$9:$HE$9</definedName>
    <definedName name="FL_18_cost_p.acre">'IN ROWS'!$GY$9</definedName>
    <definedName name="FL_18_cost_p.hole">'IN ROWS'!$GX$9</definedName>
    <definedName name="FL_18_cost_p.round">'IN ROWS'!$JX$9</definedName>
    <definedName name="FL_18_lease_p.hole">'IN ROWS'!$JV$9</definedName>
    <definedName name="FL_18_lease_perc">'IN ROWS'!$HD$9</definedName>
    <definedName name="FL_18_paytax_bens">'IN ROWS'!$GR$9</definedName>
    <definedName name="FL_18_paytax_bens_p.hole">'IN ROWS'!$JS$9</definedName>
    <definedName name="FL_18_paytax_bens_perc">'IN ROWS'!$HA$9</definedName>
    <definedName name="FL_18_rep_mtce">'IN ROWS'!$GT$9</definedName>
    <definedName name="FL_18_rep_mtce_p.hole">'IN ROWS'!$JU$9</definedName>
    <definedName name="FL_18_rep_mtce_perc">'IN ROWS'!$HC$9</definedName>
    <definedName name="FL_18_rounds">'IN ROWS'!$GP$9</definedName>
    <definedName name="FL_18_sal_wage">'IN ROWS'!$GQ$9</definedName>
    <definedName name="FL_18_sal_wage_perc">'IN ROWS'!$GZ$9</definedName>
    <definedName name="FL_18_salwage_p.hole">'IN ROWS'!$JR$9</definedName>
    <definedName name="FL_18_supplies">'IN ROWS'!$GS$9</definedName>
    <definedName name="FL_18_supplies_p.hole">'IN ROWS'!$JT$9</definedName>
    <definedName name="FL_18_supplies_perc">'IN ROWS'!$HB$9</definedName>
    <definedName name="FL_18_tot_exp">'IN ROWS'!$GW$9</definedName>
    <definedName name="FL_3rdparty_debt">'IN ROWS'!$BM$9</definedName>
    <definedName name="FL_3rdparty_debt_perFME">'IN ROWS'!$BW$9</definedName>
    <definedName name="FL_3rdparty_debt_permem" localSheetId="12">'IN ROWS'!#REF!</definedName>
    <definedName name="FL_3rdparty_debt_permem" localSheetId="11">'IN ROWS'!#REF!</definedName>
    <definedName name="FL_3rdparty_debt_permem">'IN ROWS'!#REF!</definedName>
    <definedName name="FL_all_ot_exp">'IN ROWS'!$GD$9:$GF$9</definedName>
    <definedName name="FL_amt_3rdpty_debt">'IN ROWS'!$BN$9</definedName>
    <definedName name="FL_amt_bev_inc">'IN ROWS'!$GM$9</definedName>
    <definedName name="FL_amt_menu_inc">'IN ROWS'!$GK$9</definedName>
    <definedName name="FL_ann_servchg">'IN ROWS'!$AP$9</definedName>
    <definedName name="FL_AR_0to30">'IN ROWS'!$AS$9</definedName>
    <definedName name="FL_AR_31to60">'IN ROWS'!$AT$9</definedName>
    <definedName name="FL_AR_61to90">'IN ROWS'!$AU$9</definedName>
    <definedName name="FL_AR_91plus">'IN ROWS'!$AV$9</definedName>
    <definedName name="FL_AvWait_ResignedMem">'IN ROWS'!$N$9</definedName>
    <definedName name="FL_BanqCovers">'IN ROWS'!$EW$9</definedName>
    <definedName name="FL_bev_cos">'IN ROWS'!$FL$9</definedName>
    <definedName name="FL_bev_rev">'IN ROWS'!$FB$9</definedName>
    <definedName name="FL_bev_rev_perc">'IN ROWS'!$CS$9</definedName>
    <definedName name="FL_bev_rev_perFME">'IN ROWS'!$DS$9</definedName>
    <definedName name="FL_bev_rev_permem" localSheetId="12">'IN ROWS'!#REF!</definedName>
    <definedName name="FL_bev_rev_permem" localSheetId="11">'IN ROWS'!#REF!</definedName>
    <definedName name="FL_bev_rev_permem">'IN ROWS'!#REF!</definedName>
    <definedName name="FL_both_fbmin_servchg">'IN ROWS'!$IL$9</definedName>
    <definedName name="FL_BudCap_addns_perFME">'IN ROWS'!$BY$9</definedName>
    <definedName name="FL_BudCap_addns_permem" localSheetId="12">'IN ROWS'!#REF!</definedName>
    <definedName name="FL_BudCap_addns_permem" localSheetId="11">'IN ROWS'!#REF!</definedName>
    <definedName name="FL_BudCap_addns_permem">'IN ROWS'!#REF!</definedName>
    <definedName name="FL_Cap_addns">'IN ROWS'!$BJ$9</definedName>
    <definedName name="FL_Cap_addns_perFME">'IN ROWS'!$BX$9</definedName>
    <definedName name="FL_Cap_addns_permem" localSheetId="12">'IN ROWS'!#REF!</definedName>
    <definedName name="FL_Cap_addns_permem" localSheetId="11">'IN ROWS'!#REF!</definedName>
    <definedName name="FL_Cap_addns_permem">'IN ROWS'!#REF!</definedName>
    <definedName name="FL_cap_assmt">'IN ROWS'!$AE$9</definedName>
    <definedName name="FL_cap_assmt_HIGH">'IN ROWS'!$AF$9</definedName>
    <definedName name="FL_cap_assmt_LOW">'IN ROWS'!$AG$9</definedName>
    <definedName name="FL_capaddn_to_depn">'IN ROWS'!$BL$9</definedName>
    <definedName name="FL_dues_Dec_HIGH">'IN ROWS'!$IE$9</definedName>
    <definedName name="FL_dues_Dec_LOW">'IN ROWS'!$IF$9</definedName>
    <definedName name="FL_dues_HIGH_AY">'IN ROWS'!$X$9</definedName>
    <definedName name="FL_dues_HIGH_CY">'IN ROWS'!$W$9</definedName>
    <definedName name="FL_dues_Inc_HIGH">'IN ROWS'!$IC$9</definedName>
    <definedName name="FL_dues_Inc_LOW">'IN ROWS'!$ID$9</definedName>
    <definedName name="FL_dues_LOW_AY">'IN ROWS'!$Z$9</definedName>
    <definedName name="FL_dues_LOW_CY">'IN ROWS'!$Y$9</definedName>
    <definedName name="FL_dues_rev_perc">'IN ROWS'!$CO$9:$CQ$9</definedName>
    <definedName name="FL_dues_rev_perFME">'IN ROWS'!$DO$9:$DQ$9</definedName>
    <definedName name="FL_dues_rev_permem" localSheetId="12">'IN ROWS'!#REF!</definedName>
    <definedName name="FL_dues_rev_permem" localSheetId="11">'IN ROWS'!#REF!</definedName>
    <definedName name="FL_dues_rev_permem">'IN ROWS'!#REF!</definedName>
    <definedName name="FL_emp">'IN ROWS'!$ED$9</definedName>
    <definedName name="FL_fANDb_cos">'IN ROWS'!$FO$9</definedName>
    <definedName name="FL_fb_cos">'IN ROWS'!$DD$9</definedName>
    <definedName name="FL_fb_cos_perFME">'IN ROWS'!$DW$9</definedName>
    <definedName name="FL_fb_cos_permem" localSheetId="12">'IN ROWS'!#REF!</definedName>
    <definedName name="FL_fb_cos_permem" localSheetId="11">'IN ROWS'!#REF!</definedName>
    <definedName name="FL_fb_cos_permem">'IN ROWS'!#REF!</definedName>
    <definedName name="FL_FB_loss">'IN ROWS'!$FY$9</definedName>
    <definedName name="FL_FB_loss_p.FME">'IN ROWS'!$IP$9</definedName>
    <definedName name="FL_FB_loss_p.mem">'IN ROWS'!$IO$9</definedName>
    <definedName name="FL_fb_min">'IN ROWS'!$EK$9</definedName>
    <definedName name="FL_fb_min_amt">'IN ROWS'!$EL$9</definedName>
    <definedName name="FL_fb_nograt_nomand">'IN ROWS'!$ER$9</definedName>
    <definedName name="FL_fb_ratio">'IN ROWS'!$GI$9</definedName>
    <definedName name="FL_fb_rev">'IN ROWS'!$FE$9</definedName>
    <definedName name="FL_fb_rev_p.FME">'IN ROWS'!$ES$9</definedName>
    <definedName name="FL_fb_rev_p.mem" localSheetId="12">'IN ROWS'!#REF!</definedName>
    <definedName name="FL_fb_rev_p.mem" localSheetId="11">'IN ROWS'!#REF!</definedName>
    <definedName name="FL_fb_rev_p.mem">'IN ROWS'!#REF!</definedName>
    <definedName name="FL_FBLoss_DuesRev">'IN ROWS'!$IQ$9</definedName>
    <definedName name="FL_FBLoss_FBSales">'IN ROWS'!$GH$9</definedName>
    <definedName name="FL_fd_cos">'IN ROWS'!$FI$9</definedName>
    <definedName name="FL_FME">'IN ROWS'!$K$9</definedName>
    <definedName name="FL_FME_p.employee">'IN ROWS'!$EJ$9</definedName>
    <definedName name="FL_food_rev">'IN ROWS'!$EY$9</definedName>
    <definedName name="FL_food_rev_perc">'IN ROWS'!$CR$9</definedName>
    <definedName name="FL_food_rev_perFME">'IN ROWS'!$DR$9</definedName>
    <definedName name="FL_food_rev_permem" localSheetId="12">'IN ROWS'!#REF!</definedName>
    <definedName name="FL_food_rev_permem" localSheetId="11">'IN ROWS'!#REF!</definedName>
    <definedName name="FL_food_rev_permem">'IN ROWS'!#REF!</definedName>
    <definedName name="FL_ForLabCosts">'IN ROWS'!$EG$9</definedName>
    <definedName name="FL_golf_cos">'IN ROWS'!$JJ$9</definedName>
    <definedName name="FL_golfexp_to_totexp_18">'IN ROWS'!$JY$9</definedName>
    <definedName name="FL_golfexp_to_totexp_mult">'IN ROWS'!$KI$9</definedName>
    <definedName name="FL_healthins_percinc">'IN ROWS'!$EI$9</definedName>
    <definedName name="FL_inc_bev_price">'IN ROWS'!$GL$9</definedName>
    <definedName name="FL_inc_menu_price">'IN ROWS'!$GJ$9</definedName>
    <definedName name="FL_inhouse_proshop">'IN ROWS'!$JI$9</definedName>
    <definedName name="FL_ins">'IN ROWS'!$DA$9</definedName>
    <definedName name="FL_ins_p.FME">'IN ROWS'!$EA$9</definedName>
    <definedName name="FL_ins_p.mem" localSheetId="12">'IN ROWS'!#REF!</definedName>
    <definedName name="FL_ins_p.mem" localSheetId="11">'IN ROWS'!#REF!</definedName>
    <definedName name="FL_ins_p.mem">'IN ROWS'!#REF!</definedName>
    <definedName name="FL_majproj">'IN ROWS'!$BE$9</definedName>
    <definedName name="FL_majproj_amt">'IN ROWS'!$BF$9</definedName>
    <definedName name="FL_mand_mem">'IN ROWS'!$G$9</definedName>
    <definedName name="FL_mand_serv_chg">'IN ROWS'!$EO$9</definedName>
    <definedName name="FL_mem">'IN ROWS'!$J$9</definedName>
    <definedName name="FL_mem_p.employee" localSheetId="12">'IN ROWS'!#REF!</definedName>
    <definedName name="FL_mem_p.employee" localSheetId="11">'IN ROWS'!#REF!</definedName>
    <definedName name="FL_mem_p.employee">'IN ROWS'!#REF!</definedName>
    <definedName name="FL_mth_serv_chg">'IN ROWS'!$EP$9</definedName>
    <definedName name="FL_mult_acre_36">'IN ROWS'!$KG$9</definedName>
    <definedName name="FL_mult_acres">'IN ROWS'!$HH$9</definedName>
    <definedName name="FL_mult_all_otherexp">'IN ROWS'!$HN$9:$HO$9</definedName>
    <definedName name="FL_mult_all_otherexp_p.hole">'IN ROWS'!$KD$9:$KE$9</definedName>
    <definedName name="FL_mult_all_otherexp_perc">'IN ROWS'!$HW$9:$HX$9</definedName>
    <definedName name="FL_mult_cost_p.acre">'IN ROWS'!$HR$9</definedName>
    <definedName name="FL_mult_cost_p.hole">'IN ROWS'!$HQ$9</definedName>
    <definedName name="FL_mult_cost_p.round">'IN ROWS'!$KH$9</definedName>
    <definedName name="FL_mult_lease_p.hole">'IN ROWS'!$KD$9</definedName>
    <definedName name="FL_mult_lease_perc">'IN ROWS'!$HW$9</definedName>
    <definedName name="FL_mult_paytax_bens">'IN ROWS'!$HK$9</definedName>
    <definedName name="FL_mult_paytax_bens_p.hole">'IN ROWS'!$KA$9</definedName>
    <definedName name="FL_mult_paytax_bens_perc">'IN ROWS'!$HT$9</definedName>
    <definedName name="FL_mult_rep_mtce">'IN ROWS'!$HM$9</definedName>
    <definedName name="FL_mult_rep_mtce_p.hole">'IN ROWS'!$KC$9</definedName>
    <definedName name="FL_mult_rep_mtce_perc">'IN ROWS'!$HV$9</definedName>
    <definedName name="FL_mult_rounds">'IN ROWS'!$HI$9</definedName>
    <definedName name="FL_mult_rounds_18">'IN ROWS'!$KF$9</definedName>
    <definedName name="FL_mult_sal_wage">'IN ROWS'!$HJ$9</definedName>
    <definedName name="FL_mult_sal_wage_perc">'IN ROWS'!$HS$9</definedName>
    <definedName name="FL_mult_salwage_p.hole">'IN ROWS'!$JZ$9</definedName>
    <definedName name="FL_mult_supplies">'IN ROWS'!$HL$9</definedName>
    <definedName name="FL_mult_supplies_p.hole">'IN ROWS'!$KB$9</definedName>
    <definedName name="FL_mult_supplies_perc">'IN ROWS'!$HU$9</definedName>
    <definedName name="FL_mult_tot_exp">'IN ROWS'!$HP$9</definedName>
    <definedName name="FL_no_fbmin_servchg">'IN ROWS'!$IK$9</definedName>
    <definedName name="FL_NoForeignLab">'IN ROWS'!$EF$9</definedName>
    <definedName name="FL_op_assmt">'IN ROWS'!$AH$9</definedName>
    <definedName name="FL_op_assmt_HIGH">'IN ROWS'!$AI$9</definedName>
    <definedName name="FL_op_assmt_LOW">'IN ROWS'!$AJ$9</definedName>
    <definedName name="FL_op_exp">'IN ROWS'!$DE$9:$DF$9</definedName>
    <definedName name="FL_op_exp_perFME">'IN ROWS'!$DX$9:$DY$9</definedName>
    <definedName name="FL_op_exp_permem" localSheetId="12">'IN ROWS'!#REF!</definedName>
    <definedName name="FL_op_exp_permem" localSheetId="11">'IN ROWS'!#REF!</definedName>
    <definedName name="FL_op_exp_permem">'IN ROWS'!#REF!</definedName>
    <definedName name="FL_ot_assmt">'IN ROWS'!$AL$9</definedName>
    <definedName name="FL_ot_assmt_perc">'IN ROWS'!$AK$9</definedName>
    <definedName name="FL_ot_rev_perc">'IN ROWS'!$CT$9</definedName>
    <definedName name="FL_ot_rev_perFME">'IN ROWS'!$DT$9</definedName>
    <definedName name="FL_ot_rev_permem" localSheetId="12">'IN ROWS'!#REF!</definedName>
    <definedName name="FL_ot_rev_permem" localSheetId="11">'IN ROWS'!#REF!</definedName>
    <definedName name="FL_ot_rev_permem">'IN ROWS'!#REF!</definedName>
    <definedName name="FL_pay">'IN ROWS'!$DC$9</definedName>
    <definedName name="FL_pay_net_servchg">'IN ROWS'!$FZ$9:$GA$9</definedName>
    <definedName name="FL_pay_p.FME">'IN ROWS'!$DV$9</definedName>
    <definedName name="FL_pay_p.mem" localSheetId="12">'IN ROWS'!#REF!</definedName>
    <definedName name="FL_pay_p.mem" localSheetId="11">'IN ROWS'!#REF!</definedName>
    <definedName name="FL_pay_p.mem">'IN ROWS'!#REF!</definedName>
    <definedName name="FL_pay_taxANDben">'IN ROWS'!$GB$9:$GC$9</definedName>
    <definedName name="FL_perc_Club_ForLab">'IN ROWS'!$EE$9</definedName>
    <definedName name="FL_PPE_NBV">'IN ROWS'!$BI$9</definedName>
    <definedName name="FL_PPE_NBV_FME">'IN ROWS'!$IG$9</definedName>
    <definedName name="FL_proptax">'IN ROWS'!$CZ$9</definedName>
    <definedName name="FL_proptax_ins_exp">'IN ROWS'!$DG$9:$DH$9</definedName>
    <definedName name="FL_proptax_ins_exp_permem" localSheetId="12">'IN ROWS'!#REF!</definedName>
    <definedName name="FL_proptax_ins_exp_permem" localSheetId="11">'IN ROWS'!#REF!</definedName>
    <definedName name="FL_proptax_ins_exp_permem">'IN ROWS'!#REF!</definedName>
    <definedName name="FL_proptax_p.FME">'IN ROWS'!$DZ$9</definedName>
    <definedName name="FL_proptax_p.mem" localSheetId="12">'IN ROWS'!#REF!</definedName>
    <definedName name="FL_proptax_p.mem" localSheetId="11">'IN ROWS'!#REF!</definedName>
    <definedName name="FL_proptax_p.mem">'IN ROWS'!#REF!</definedName>
    <definedName name="FL_ref_equity_perc_HIGH">'IN ROWS'!$IA$9</definedName>
    <definedName name="FL_ref_equity_perc_LOW">'IN ROWS'!$IB$9</definedName>
    <definedName name="FL_resignedwaitlist">'IN ROWS'!$L$9</definedName>
    <definedName name="FL_sal_wage">'IN ROWS'!$CV$9</definedName>
    <definedName name="FL_sport_rev_perc">'IN ROWS'!$CK$9:$CN$9</definedName>
    <definedName name="FL_sport_rev_perFME">'IN ROWS'!$DK$9:$DN$9</definedName>
    <definedName name="FL_sport_rev_permem" localSheetId="12">'IN ROWS'!#REF!</definedName>
    <definedName name="FL_sport_rev_permem" localSheetId="11">'IN ROWS'!#REF!</definedName>
    <definedName name="FL_sport_rev_permem">'IN ROWS'!#REF!</definedName>
    <definedName name="FL_surplus">'IN ROWS'!$JH$9</definedName>
    <definedName name="FL_tl_exp">'IN ROWS'!$DB$9</definedName>
    <definedName name="FL_tl_memcost_HIGH">'IN ROWS'!$AQ$9</definedName>
    <definedName name="FL_tl_memcost_LOW">'IN ROWS'!$AR$9</definedName>
    <definedName name="FL_tl_resp">'IN ROWS'!$D$7</definedName>
    <definedName name="FL_tl_rev">'IN ROWS'!$CJ$9</definedName>
    <definedName name="FL_TlCovers">'IN ROWS'!$EV$9</definedName>
    <definedName name="FL_TLMem_25perc">'IN ROWS'!$J$10</definedName>
    <definedName name="FL_TLMem_50perc">'IN ROWS'!$J$11</definedName>
    <definedName name="FL_TLMem_75perc">'IN ROWS'!$J$12</definedName>
    <definedName name="FL_tot_init_HIGH">'IN ROWS'!$S$9</definedName>
    <definedName name="FL_tot_init_LOW">'IN ROWS'!$V$9</definedName>
    <definedName name="FL_wkg_cap">'IN ROWS'!$BS$9</definedName>
    <definedName name="goaway">'[3]in rows'!$R$9</definedName>
    <definedName name="ii" localSheetId="12">'in columns'!#REF!</definedName>
    <definedName name="ii" localSheetId="11">'in columns'!#REF!</definedName>
    <definedName name="ii">'in columns'!#REF!</definedName>
    <definedName name="jj" localSheetId="12">'in columns'!#REF!</definedName>
    <definedName name="jj">'in columns'!#REF!</definedName>
    <definedName name="ju">'IN ROWS'!$F$7</definedName>
    <definedName name="kn">'IN ROWS'!$A$3</definedName>
    <definedName name="la" localSheetId="12">'IN ROWS'!#REF!</definedName>
    <definedName name="la" localSheetId="22">'IN ROWS'!#REF!</definedName>
    <definedName name="la" localSheetId="11">'IN ROWS'!#REF!</definedName>
    <definedName name="la">'IN ROWS'!#REF!</definedName>
    <definedName name="lost">'in columns'!$C$146</definedName>
    <definedName name="mj">'IN ROWS'!$GK$145</definedName>
    <definedName name="NC_18_acres">'IN ROWS'!$GO$39</definedName>
    <definedName name="NC_18_all_otherexp">'IN ROWS'!$GU$39:$GV$39</definedName>
    <definedName name="NC_18_all_otherexp_p.hole">'IN ROWS'!$JV$39:$JW$39</definedName>
    <definedName name="NC_18_all_otherexp_perc">'IN ROWS'!$HD$39:$HE$39</definedName>
    <definedName name="NC_18_cost_p.acre">'IN ROWS'!$GY$39</definedName>
    <definedName name="NC_18_cost_p.hole">'IN ROWS'!$GX$39</definedName>
    <definedName name="NC_18_cost_p.round">'IN ROWS'!$JX$39</definedName>
    <definedName name="NC_18_lease_p.hole">'IN ROWS'!$JV$39</definedName>
    <definedName name="NC_18_lease_perc">'IN ROWS'!$HD$39</definedName>
    <definedName name="NC_18_paytax_bens">'IN ROWS'!$GR$39</definedName>
    <definedName name="NC_18_paytax_bens_p.hole">'IN ROWS'!$JS$39</definedName>
    <definedName name="NC_18_paytax_bens_perc">'IN ROWS'!$HA$39</definedName>
    <definedName name="NC_18_rep_mtce">'IN ROWS'!$GT$39</definedName>
    <definedName name="NC_18_rep_mtce_p.hole">'IN ROWS'!$JU$39</definedName>
    <definedName name="NC_18_rep_mtce_perc">'IN ROWS'!$HC$39</definedName>
    <definedName name="NC_18_rounds">'IN ROWS'!$GP$39</definedName>
    <definedName name="NC_18_sal_wage">'IN ROWS'!$GQ$39</definedName>
    <definedName name="NC_18_sal_wage_perc">'IN ROWS'!$GZ$39</definedName>
    <definedName name="NC_18_salwage_p.hole">'IN ROWS'!$JR$39</definedName>
    <definedName name="NC_18_supplies">'IN ROWS'!$GS$39</definedName>
    <definedName name="NC_18_supplies_p.hole">'IN ROWS'!$JT$39</definedName>
    <definedName name="NC_18_supplies_perc">'IN ROWS'!$HB$39</definedName>
    <definedName name="NC_18_tot_exp">'IN ROWS'!$GW$39</definedName>
    <definedName name="NC_3rdparty_debt">'IN ROWS'!$BM$39</definedName>
    <definedName name="NC_3rdparty_debt_perFME">'IN ROWS'!$BW$39</definedName>
    <definedName name="NC_3rdparty_debt_permem" localSheetId="12">'IN ROWS'!#REF!</definedName>
    <definedName name="NC_3rdparty_debt_permem" localSheetId="11">'IN ROWS'!#REF!</definedName>
    <definedName name="NC_3rdparty_debt_permem">'IN ROWS'!#REF!</definedName>
    <definedName name="NC_all_ot_exp">'IN ROWS'!$GD$39:$GF$39</definedName>
    <definedName name="NC_amt_3rdpty_debt">'IN ROWS'!$BN$39</definedName>
    <definedName name="NC_amt_bev_inc">'IN ROWS'!$GM$39</definedName>
    <definedName name="NC_amt_menu_inc">'IN ROWS'!$GK$39</definedName>
    <definedName name="NC_ann_servchg">'IN ROWS'!$AP$39</definedName>
    <definedName name="NC_AR_0to30">'IN ROWS'!$AS$39</definedName>
    <definedName name="NC_AR_31to60">'IN ROWS'!$AT$39</definedName>
    <definedName name="NC_AR_61to90">'IN ROWS'!$AU$39</definedName>
    <definedName name="NC_AR_91plus">'IN ROWS'!$AV$39</definedName>
    <definedName name="NC_AvWait_ResignedMem">'IN ROWS'!$N$39</definedName>
    <definedName name="NC_BanqCovers">'IN ROWS'!$EW$39</definedName>
    <definedName name="NC_bev_cos">'IN ROWS'!$FL$39</definedName>
    <definedName name="NC_bev_rev">'IN ROWS'!$FB$39</definedName>
    <definedName name="NC_bev_rev_perc">'IN ROWS'!$CS$39</definedName>
    <definedName name="NC_bev_rev_perFME">'IN ROWS'!$DS$39</definedName>
    <definedName name="NC_bev_rev_permem" localSheetId="12">'IN ROWS'!#REF!</definedName>
    <definedName name="NC_bev_rev_permem" localSheetId="11">'IN ROWS'!#REF!</definedName>
    <definedName name="NC_bev_rev_permem">'IN ROWS'!#REF!</definedName>
    <definedName name="NC_both_fbmin_servchg">'IN ROWS'!$IL$39</definedName>
    <definedName name="NC_BudCap_addns_perFME">'IN ROWS'!$BY$39</definedName>
    <definedName name="NC_BudCap_addns_permem" localSheetId="12">'IN ROWS'!#REF!</definedName>
    <definedName name="NC_BudCap_addns_permem" localSheetId="11">'IN ROWS'!#REF!</definedName>
    <definedName name="NC_BudCap_addns_permem">'IN ROWS'!#REF!</definedName>
    <definedName name="NC_Cap_addns">'IN ROWS'!$BJ$39</definedName>
    <definedName name="NC_Cap_addns_perFME">'IN ROWS'!$BX$39</definedName>
    <definedName name="NC_Cap_addns_permem" localSheetId="12">'IN ROWS'!#REF!</definedName>
    <definedName name="NC_Cap_addns_permem" localSheetId="11">'IN ROWS'!#REF!</definedName>
    <definedName name="NC_Cap_addns_permem">'IN ROWS'!#REF!</definedName>
    <definedName name="NC_cap_assmt">'IN ROWS'!$AE$39</definedName>
    <definedName name="NC_cap_assmt_HIGH">'IN ROWS'!$AF$39</definedName>
    <definedName name="NC_cap_assmt_LOW">'IN ROWS'!$AG$39</definedName>
    <definedName name="NC_capaddn_to_depn">'IN ROWS'!$BL$39</definedName>
    <definedName name="NC_dues_Dec_HIGH">'IN ROWS'!$IE$39</definedName>
    <definedName name="NC_dues_Dec_LOW">'IN ROWS'!$IF$39</definedName>
    <definedName name="NC_dues_HIGH_AY">'IN ROWS'!$X$39</definedName>
    <definedName name="NC_dues_HIGH_CY">'IN ROWS'!$W$39</definedName>
    <definedName name="NC_dues_Inc_HIGH">'IN ROWS'!$IC$39</definedName>
    <definedName name="NC_dues_Inc_LOW">'IN ROWS'!$ID$39</definedName>
    <definedName name="NC_dues_LOW_AY">'IN ROWS'!$Z$39</definedName>
    <definedName name="NC_dues_LOW_CY">'IN ROWS'!$Y$39</definedName>
    <definedName name="NC_dues_rev_perc">'IN ROWS'!$CO$39:$CQ$39</definedName>
    <definedName name="NC_dues_rev_perFME">'IN ROWS'!$DO$39:$DQ$39</definedName>
    <definedName name="NC_dues_rev_permem" localSheetId="12">'IN ROWS'!#REF!</definedName>
    <definedName name="NC_dues_rev_permem" localSheetId="11">'IN ROWS'!#REF!</definedName>
    <definedName name="NC_dues_rev_permem">'IN ROWS'!#REF!</definedName>
    <definedName name="NC_emp">'IN ROWS'!$ED$39</definedName>
    <definedName name="NC_fANDb_cos">'IN ROWS'!$FO$39</definedName>
    <definedName name="NC_fb_cos">'IN ROWS'!$DD$39</definedName>
    <definedName name="NC_fb_cos_perFME">'IN ROWS'!$DW$39</definedName>
    <definedName name="NC_fb_cos_permem" localSheetId="12">'IN ROWS'!#REF!</definedName>
    <definedName name="NC_fb_cos_permem" localSheetId="11">'IN ROWS'!#REF!</definedName>
    <definedName name="NC_fb_cos_permem">'IN ROWS'!#REF!</definedName>
    <definedName name="NC_FB_loss">'IN ROWS'!$FY$39</definedName>
    <definedName name="NC_FB_loss_p.FME">'IN ROWS'!$IP$39</definedName>
    <definedName name="NC_FB_loss_p.mem">'IN ROWS'!$IO$39</definedName>
    <definedName name="NC_fb_min">'IN ROWS'!$EK$39</definedName>
    <definedName name="NC_fb_min_amt">'IN ROWS'!$EL$39</definedName>
    <definedName name="NC_fb_nograt_nomand">'IN ROWS'!$ER$39</definedName>
    <definedName name="NC_fb_ratio">'IN ROWS'!$GI$39</definedName>
    <definedName name="NC_fb_rev">'IN ROWS'!$FE$39</definedName>
    <definedName name="NC_fb_rev_p.FME">'IN ROWS'!$ES$39</definedName>
    <definedName name="NC_fb_rev_p.mem" localSheetId="12">'IN ROWS'!#REF!</definedName>
    <definedName name="NC_fb_rev_p.mem" localSheetId="11">'IN ROWS'!#REF!</definedName>
    <definedName name="NC_fb_rev_p.mem">'IN ROWS'!#REF!</definedName>
    <definedName name="NC_FBLoss_DuesRev">'IN ROWS'!$IQ$39</definedName>
    <definedName name="NC_FBLoss_FBSales">'IN ROWS'!$GH$39</definedName>
    <definedName name="NC_fd_cos">'IN ROWS'!$FI$39</definedName>
    <definedName name="NC_FME">'IN ROWS'!$K$39</definedName>
    <definedName name="NC_FME_p.employee">'IN ROWS'!$EJ$39</definedName>
    <definedName name="NC_food_rev">'IN ROWS'!$EY$39</definedName>
    <definedName name="NC_food_rev_perc">'IN ROWS'!$CR$39</definedName>
    <definedName name="NC_food_rev_perFME">'IN ROWS'!$DR$39</definedName>
    <definedName name="NC_food_rev_permem" localSheetId="12">'IN ROWS'!#REF!</definedName>
    <definedName name="NC_food_rev_permem" localSheetId="11">'IN ROWS'!#REF!</definedName>
    <definedName name="NC_food_rev_permem">'IN ROWS'!#REF!</definedName>
    <definedName name="NC_ForLabCosts">'IN ROWS'!$EG$39</definedName>
    <definedName name="NC_golf_cos">'IN ROWS'!$JJ$39</definedName>
    <definedName name="NC_golfexp_to_totexp_18">'IN ROWS'!$JY$39</definedName>
    <definedName name="NC_golfexp_to_totexp_mult">'IN ROWS'!$KI$39</definedName>
    <definedName name="NC_healthins_percinc">'IN ROWS'!$EI$39</definedName>
    <definedName name="NC_inc_bev_price">'IN ROWS'!$GL$39</definedName>
    <definedName name="NC_inc_menu_price">'IN ROWS'!$GJ$39</definedName>
    <definedName name="NC_inhouse_proshop">'IN ROWS'!$JI$39</definedName>
    <definedName name="NC_ins">'IN ROWS'!$DA$39</definedName>
    <definedName name="NC_ins_p.FME">'IN ROWS'!$EA$39</definedName>
    <definedName name="NC_ins_p.mem" localSheetId="12">'IN ROWS'!#REF!</definedName>
    <definedName name="NC_ins_p.mem" localSheetId="11">'IN ROWS'!#REF!</definedName>
    <definedName name="NC_ins_p.mem">'IN ROWS'!#REF!</definedName>
    <definedName name="NC_majproj">'IN ROWS'!$BE$39</definedName>
    <definedName name="NC_majproj_amt">'IN ROWS'!$BF$39</definedName>
    <definedName name="NC_mand_mem">'IN ROWS'!$G$39</definedName>
    <definedName name="NC_mand_serv_chg">'IN ROWS'!$EO$39</definedName>
    <definedName name="NC_mem">'IN ROWS'!$J$39</definedName>
    <definedName name="NC_mem_p.employee" localSheetId="12">'IN ROWS'!#REF!</definedName>
    <definedName name="NC_mem_p.employee" localSheetId="11">'IN ROWS'!#REF!</definedName>
    <definedName name="NC_mem_p.employee">'IN ROWS'!#REF!</definedName>
    <definedName name="NC_mth_serv_chg">'IN ROWS'!$EP$39</definedName>
    <definedName name="NC_mult_acre_36">'IN ROWS'!$KG$39</definedName>
    <definedName name="NC_mult_acres">'IN ROWS'!$HH$39</definedName>
    <definedName name="NC_mult_all_otherexp">'IN ROWS'!$HN$39:$HO$39</definedName>
    <definedName name="NC_mult_all_otherexp_p.hole">'IN ROWS'!$KD$39:$KE$39</definedName>
    <definedName name="NC_mult_all_otherexp_perc">'IN ROWS'!$HW$39:$HX$39</definedName>
    <definedName name="NC_mult_cost_p.acre">'IN ROWS'!$HR$39</definedName>
    <definedName name="NC_mult_cost_p.hole">'IN ROWS'!$HQ$39</definedName>
    <definedName name="NC_mult_cost_p.round">'IN ROWS'!$KH$39</definedName>
    <definedName name="NC_mult_lease_p.hole">'IN ROWS'!$KD$39</definedName>
    <definedName name="NC_mult_lease_perc">'IN ROWS'!$HW$39</definedName>
    <definedName name="NC_mult_paytax_bens">'IN ROWS'!$HK$39</definedName>
    <definedName name="NC_mult_paytax_bens_p.hole">'IN ROWS'!$KA$39</definedName>
    <definedName name="NC_mult_paytax_bens_perc">'IN ROWS'!$HT$39</definedName>
    <definedName name="NC_mult_rep_mtce">'IN ROWS'!$HM$39</definedName>
    <definedName name="NC_mult_rep_mtce_p.hole">'IN ROWS'!$KC$39</definedName>
    <definedName name="NC_mult_rep_mtce_perc">'IN ROWS'!$HV$39</definedName>
    <definedName name="NC_mult_rounds">'IN ROWS'!$HI$39</definedName>
    <definedName name="NC_mult_rounds_18">'IN ROWS'!$KF$39</definedName>
    <definedName name="NC_mult_sal_wage">'IN ROWS'!$HJ$39</definedName>
    <definedName name="NC_mult_sal_wage_perc">'IN ROWS'!$HS$39</definedName>
    <definedName name="NC_mult_salwage_p.hole">'IN ROWS'!$JZ$39</definedName>
    <definedName name="NC_mult_supplies">'IN ROWS'!$HL$39</definedName>
    <definedName name="NC_mult_supplies_p.hole">'IN ROWS'!$KB$39</definedName>
    <definedName name="NC_mult_supplies_perc">'IN ROWS'!$HU$39</definedName>
    <definedName name="NC_mult_tot_exp">'IN ROWS'!$HP$39</definedName>
    <definedName name="NC_no_fbmin_servchg">'IN ROWS'!$IK$39</definedName>
    <definedName name="NC_NoForeignLab">'IN ROWS'!$EF$39</definedName>
    <definedName name="NC_op_assmt">'IN ROWS'!$AH$39</definedName>
    <definedName name="NC_op_assmt_HIGH">'IN ROWS'!$AI$39</definedName>
    <definedName name="NC_op_assmt_LOW">'IN ROWS'!$AJ$39</definedName>
    <definedName name="NC_op_exp">'IN ROWS'!$DE$39:$DF$39</definedName>
    <definedName name="NC_op_exp_perFME">'IN ROWS'!$DX$39:$DY$39</definedName>
    <definedName name="NC_op_exp_permem" localSheetId="12">'IN ROWS'!#REF!</definedName>
    <definedName name="NC_op_exp_permem" localSheetId="11">'IN ROWS'!#REF!</definedName>
    <definedName name="NC_op_exp_permem">'IN ROWS'!#REF!</definedName>
    <definedName name="NC_ot_assmt">'IN ROWS'!$AL$39</definedName>
    <definedName name="NC_ot_assmt_perc">'IN ROWS'!$AK$39</definedName>
    <definedName name="NC_ot_rev_perc">'IN ROWS'!$CT$39</definedName>
    <definedName name="NC_ot_rev_perFME">'IN ROWS'!$DT$39</definedName>
    <definedName name="NC_ot_rev_permem" localSheetId="12">'IN ROWS'!#REF!</definedName>
    <definedName name="NC_ot_rev_permem" localSheetId="11">'IN ROWS'!#REF!</definedName>
    <definedName name="NC_ot_rev_permem">'IN ROWS'!#REF!</definedName>
    <definedName name="NC_pay">'IN ROWS'!$DC$39</definedName>
    <definedName name="NC_pay_net_servchg">'IN ROWS'!$FZ$39:$GA$39</definedName>
    <definedName name="NC_pay_p.FME">'IN ROWS'!$DV$39</definedName>
    <definedName name="NC_pay_p.mem" localSheetId="12">'IN ROWS'!#REF!</definedName>
    <definedName name="NC_pay_p.mem" localSheetId="11">'IN ROWS'!#REF!</definedName>
    <definedName name="NC_pay_p.mem">'IN ROWS'!#REF!</definedName>
    <definedName name="NC_pay_taxANDben">'IN ROWS'!$GB$39:$GC$39</definedName>
    <definedName name="NC_perc_Club_ForLab">'IN ROWS'!$EE$39</definedName>
    <definedName name="NC_PPE_NBV">'IN ROWS'!$BI$39</definedName>
    <definedName name="NC_PPE_NBV_FME">'IN ROWS'!$IG$39</definedName>
    <definedName name="NC_proptax">'IN ROWS'!$CZ$39</definedName>
    <definedName name="NC_proptax_ins_exp">'IN ROWS'!$DG$39:$DH$39</definedName>
    <definedName name="NC_proptax_ins_exp_permem" localSheetId="12">'IN ROWS'!#REF!</definedName>
    <definedName name="NC_proptax_ins_exp_permem" localSheetId="11">'IN ROWS'!#REF!</definedName>
    <definedName name="NC_proptax_ins_exp_permem">'IN ROWS'!#REF!</definedName>
    <definedName name="NC_proptax_p.FME">'IN ROWS'!$DZ$39</definedName>
    <definedName name="NC_proptax_p.mem" localSheetId="12">'IN ROWS'!#REF!</definedName>
    <definedName name="NC_proptax_p.mem" localSheetId="11">'IN ROWS'!#REF!</definedName>
    <definedName name="NC_proptax_p.mem">'IN ROWS'!#REF!</definedName>
    <definedName name="NC_ref_equity_perc_HIGH">'IN ROWS'!$IA$39</definedName>
    <definedName name="NC_ref_equity_perc_LOW">'IN ROWS'!$IB$39</definedName>
    <definedName name="NC_resignedwaitlist">'IN ROWS'!$L$39</definedName>
    <definedName name="NC_sal_wage">'IN ROWS'!$CV$39</definedName>
    <definedName name="NC_sport_rev_perc">'IN ROWS'!$CK$39:$CN$39</definedName>
    <definedName name="NC_sport_rev_perFME">'IN ROWS'!$DK$39:$DN$39</definedName>
    <definedName name="NC_sport_rev_permem" localSheetId="12">'IN ROWS'!#REF!</definedName>
    <definedName name="NC_sport_rev_permem" localSheetId="11">'IN ROWS'!#REF!</definedName>
    <definedName name="NC_sport_rev_permem">'IN ROWS'!#REF!</definedName>
    <definedName name="NC_surplus">'IN ROWS'!$JH$39</definedName>
    <definedName name="NC_tl_exp">'IN ROWS'!$DB$39</definedName>
    <definedName name="NC_tl_memcost_HIGH">'IN ROWS'!$AQ$39</definedName>
    <definedName name="NC_tl_memcost_LOW">'IN ROWS'!$AR$39</definedName>
    <definedName name="NC_tl_resp">'IN ROWS'!$D$37</definedName>
    <definedName name="NC_tl_rev">'IN ROWS'!$CJ$39</definedName>
    <definedName name="NC_TlCovers">'IN ROWS'!$EV$39</definedName>
    <definedName name="NC_TLMem_25perc">'IN ROWS'!$J$40</definedName>
    <definedName name="NC_TLMem_50perc">'IN ROWS'!$J$41</definedName>
    <definedName name="NC_TLMem_75perc">'IN ROWS'!$J$42</definedName>
    <definedName name="NC_tot_init_HIGH">'IN ROWS'!$S$39</definedName>
    <definedName name="NC_tot_init_LOW">'IN ROWS'!$V$39</definedName>
    <definedName name="NC_wkg_cap">'IN ROWS'!$BS$39</definedName>
    <definedName name="Peer_dues_HIGH_CY">[1]DATA!$V$165</definedName>
    <definedName name="Peer_dues_Inc_HIGH">[1]DATA!$HF$165</definedName>
    <definedName name="Peer_dues_Inc_LOW">[1]DATA!$HG$165</definedName>
    <definedName name="Peer_DuesHi_AY">[1]DATA!$W$165</definedName>
    <definedName name="_xlnm.Print_Area" localSheetId="8">'2023q'!$B$1:$O$62</definedName>
    <definedName name="_xlnm.Print_Area" localSheetId="5">'Area (&amp;golfacre for lookup)'!$A$1</definedName>
    <definedName name="_xlnm.Print_Area" localSheetId="16">'Bal Sheet'!$A$1:$H$310</definedName>
    <definedName name="_xlnm.Print_Area" localSheetId="12">'Clubs FY19 v FY20'!$F$2:$M$149</definedName>
    <definedName name="_xlnm.Print_Area" localSheetId="0">'DATA&gt;&gt;'!#REF!</definedName>
    <definedName name="_xlnm.Print_Area" localSheetId="13">'Detail Summary - for reviewer'!$A$1:$H$305</definedName>
    <definedName name="_xlnm.Print_Area" localSheetId="15">'Exec Summary'!$A$3:$H$102</definedName>
    <definedName name="_xlnm.Print_Area" localSheetId="19">'F&amp;B'!$A$1:$H$454</definedName>
    <definedName name="_xlnm.Print_Area" localSheetId="23">FME!$A$2:$H$179</definedName>
    <definedName name="_xlnm.Print_Area" localSheetId="20">Golf!$A$1:$H$429</definedName>
    <definedName name="_xlnm.Print_Area" localSheetId="2">'in columns'!$A$1:$D$269</definedName>
    <definedName name="_xlnm.Print_Area" localSheetId="17">Membership!$A$1:$H$472</definedName>
    <definedName name="_xlnm.Print_Area" localSheetId="18">'Op Rev &amp; Exp'!$A$1:$H$172</definedName>
    <definedName name="_xlnm.Print_Area" localSheetId="10">Q!$A$87:$F$100</definedName>
    <definedName name="_xlnm.Print_Area" localSheetId="11">'Q 2020'!#REF!</definedName>
    <definedName name="_xlnm.Print_Titles" localSheetId="12">'Clubs FY19 v FY20'!$3:$4</definedName>
    <definedName name="_xlnm.Print_Titles" localSheetId="13">'Detail Summary - for reviewer'!$2:$3</definedName>
    <definedName name="_xlnm.Print_Titles" localSheetId="15">'Exec Summary'!$A:$A,'Exec Summary'!$4:$6</definedName>
    <definedName name="_xlnm.Print_Titles" localSheetId="22">'golf acre&amp;rounds'!$1:$3</definedName>
    <definedName name="_xlnm.Print_Titles" localSheetId="2">'in columns'!$1:$7</definedName>
    <definedName name="_xlnm.Print_Titles" localSheetId="9">'init fee cy v py'!$1:$3</definedName>
    <definedName name="Print_Titles_MI" localSheetId="2">'in columns'!$1:$7</definedName>
    <definedName name="RequestingClubName">[1]DATA!$A$12</definedName>
    <definedName name="SE_18_acres">'IN ROWS'!$GO$15</definedName>
    <definedName name="SE_18_all_otherexp">'IN ROWS'!$GU$15:$GV$15</definedName>
    <definedName name="SE_18_all_otherexp_p.hole">'IN ROWS'!$JV$15:$JW$15</definedName>
    <definedName name="SE_18_all_otherexp_perc">'IN ROWS'!$HD$15:$HE$15</definedName>
    <definedName name="SE_18_cost_p.acre">'IN ROWS'!$GY$15</definedName>
    <definedName name="SE_18_cost_p.hole">'IN ROWS'!$GX$15</definedName>
    <definedName name="SE_18_cost_p.round">'IN ROWS'!$JX$15</definedName>
    <definedName name="SE_18_lease_p.hole">'IN ROWS'!$JV$15</definedName>
    <definedName name="SE_18_lease_perc">'IN ROWS'!$HD$15</definedName>
    <definedName name="SE_18_paytax_bens">'IN ROWS'!$GR$15</definedName>
    <definedName name="SE_18_paytax_bens_p.hole">'IN ROWS'!$JS$15</definedName>
    <definedName name="SE_18_paytax_bens_perc">'IN ROWS'!$HA$15</definedName>
    <definedName name="SE_18_rep_mtce">'IN ROWS'!$GT$15</definedName>
    <definedName name="SE_18_rep_mtce_p.hole">'IN ROWS'!$JU$15</definedName>
    <definedName name="SE_18_rep_mtce_perc">'IN ROWS'!$HC$15</definedName>
    <definedName name="SE_18_rounds">'IN ROWS'!$GP$15</definedName>
    <definedName name="SE_18_sal_wage">'IN ROWS'!$GQ$15</definedName>
    <definedName name="SE_18_sal_wage_perc">'IN ROWS'!$GZ$15</definedName>
    <definedName name="SE_18_salwage_p.hole">'IN ROWS'!$JR$15</definedName>
    <definedName name="SE_18_supplies">'IN ROWS'!$GS$15</definedName>
    <definedName name="SE_18_supplies_p.hole">'IN ROWS'!$JT$15</definedName>
    <definedName name="SE_18_supplies_perc">'IN ROWS'!$HB$15</definedName>
    <definedName name="SE_18_tot_exp">'IN ROWS'!$GW$15</definedName>
    <definedName name="SE_3rdparty_debt">'IN ROWS'!$BM$15</definedName>
    <definedName name="SE_3rdparty_debt_perFME">'IN ROWS'!$BW$15</definedName>
    <definedName name="SE_3rdparty_debt_permem" localSheetId="12">'IN ROWS'!#REF!</definedName>
    <definedName name="SE_3rdparty_debt_permem" localSheetId="11">'IN ROWS'!#REF!</definedName>
    <definedName name="SE_3rdparty_debt_permem">'IN ROWS'!#REF!</definedName>
    <definedName name="SE_all_ot_exp">'IN ROWS'!$GD$15:$GF$15</definedName>
    <definedName name="SE_amt_3rdpty_debt">'IN ROWS'!$BN$15</definedName>
    <definedName name="SE_amt_bev_inc">'IN ROWS'!$GM$15</definedName>
    <definedName name="SE_amt_menu_inc">'IN ROWS'!$GK$15</definedName>
    <definedName name="SE_ann_servchg">'IN ROWS'!$AP$15</definedName>
    <definedName name="SE_AR_0to30">'IN ROWS'!$AS$15</definedName>
    <definedName name="SE_AR_31to60">'IN ROWS'!$AT$15</definedName>
    <definedName name="SE_AR_61to90">'IN ROWS'!$AU$15</definedName>
    <definedName name="SE_AR_91plus">'IN ROWS'!$AV$15</definedName>
    <definedName name="SE_AvWait_ResignedMem">'IN ROWS'!$N$15</definedName>
    <definedName name="SE_BanqCovers">'IN ROWS'!$EW$15</definedName>
    <definedName name="SE_bev_cos">'IN ROWS'!$FL$15</definedName>
    <definedName name="SE_bev_rev">'IN ROWS'!$FB$15</definedName>
    <definedName name="SE_bev_rev_perc">'IN ROWS'!$CS$15</definedName>
    <definedName name="SE_bev_rev_perFME">'IN ROWS'!$DS$15</definedName>
    <definedName name="SE_bev_rev_permem" localSheetId="12">'IN ROWS'!#REF!</definedName>
    <definedName name="SE_bev_rev_permem" localSheetId="11">'IN ROWS'!#REF!</definedName>
    <definedName name="SE_bev_rev_permem">'IN ROWS'!#REF!</definedName>
    <definedName name="SE_both_fbmin_servchg">'IN ROWS'!$IL$15</definedName>
    <definedName name="SE_BudCap_addns_perFME">'IN ROWS'!$BY$15</definedName>
    <definedName name="SE_BudCap_addns_permem" localSheetId="12">'IN ROWS'!#REF!</definedName>
    <definedName name="SE_BudCap_addns_permem" localSheetId="11">'IN ROWS'!#REF!</definedName>
    <definedName name="SE_BudCap_addns_permem">'IN ROWS'!#REF!</definedName>
    <definedName name="SE_Cap_addns">'IN ROWS'!$BJ$15</definedName>
    <definedName name="SE_Cap_addns_perFME">'IN ROWS'!$BX$15</definedName>
    <definedName name="SE_Cap_addns_permem" localSheetId="12">'IN ROWS'!#REF!</definedName>
    <definedName name="SE_Cap_addns_permem" localSheetId="11">'IN ROWS'!#REF!</definedName>
    <definedName name="SE_Cap_addns_permem">'IN ROWS'!#REF!</definedName>
    <definedName name="SE_cap_assmt">'IN ROWS'!$AE$15</definedName>
    <definedName name="SE_cap_assmt_HIGH">'IN ROWS'!$AF$15</definedName>
    <definedName name="SE_cap_assmt_LOW">'IN ROWS'!$AG$15</definedName>
    <definedName name="SE_capaddn_to_depn">'IN ROWS'!$BL$15</definedName>
    <definedName name="SE_dues_Dec_HIGH">'IN ROWS'!$IE$15</definedName>
    <definedName name="SE_dues_Dec_LOW">'IN ROWS'!$IF$15</definedName>
    <definedName name="SE_dues_HIGH_AY">'IN ROWS'!$X$15</definedName>
    <definedName name="SE_dues_HIGH_CY">'IN ROWS'!$W$15</definedName>
    <definedName name="SE_dues_Inc_HIGH">'IN ROWS'!$IC$15</definedName>
    <definedName name="SE_dues_Inc_LOW">'IN ROWS'!$ID$15</definedName>
    <definedName name="SE_dues_LOW_AY">'IN ROWS'!$Z$15</definedName>
    <definedName name="SE_dues_LOW_CY">'IN ROWS'!$Y$15</definedName>
    <definedName name="SE_dues_rev_perc">'IN ROWS'!$CO$15:$CQ$15</definedName>
    <definedName name="SE_dues_rev_perFME">'IN ROWS'!$DO$15:$DQ$15</definedName>
    <definedName name="SE_dues_rev_permem" localSheetId="12">'IN ROWS'!#REF!</definedName>
    <definedName name="SE_dues_rev_permem" localSheetId="11">'IN ROWS'!#REF!</definedName>
    <definedName name="SE_dues_rev_permem">'IN ROWS'!#REF!</definedName>
    <definedName name="SE_emp">'IN ROWS'!$ED$15</definedName>
    <definedName name="SE_fANDb_cos">'IN ROWS'!$FO$15</definedName>
    <definedName name="SE_fb_cos">'IN ROWS'!$DD$15</definedName>
    <definedName name="SE_fb_cos_perFME">'IN ROWS'!$DW$15</definedName>
    <definedName name="SE_fb_cos_permem" localSheetId="12">'IN ROWS'!#REF!</definedName>
    <definedName name="SE_fb_cos_permem" localSheetId="11">'IN ROWS'!#REF!</definedName>
    <definedName name="SE_fb_cos_permem">'IN ROWS'!#REF!</definedName>
    <definedName name="SE_FB_loss">'IN ROWS'!$FY$15</definedName>
    <definedName name="SE_FB_loss_p.FME">'IN ROWS'!$IP$15</definedName>
    <definedName name="SE_FB_loss_p.mem">'IN ROWS'!$IO$15</definedName>
    <definedName name="SE_fb_min">'IN ROWS'!$EK$15</definedName>
    <definedName name="SE_fb_min_amt">'IN ROWS'!$EL$15</definedName>
    <definedName name="SE_fb_nograt_nomand">'IN ROWS'!$ER$15</definedName>
    <definedName name="SE_fb_ratio">'IN ROWS'!$GI$15</definedName>
    <definedName name="SE_fb_rev">'IN ROWS'!$FE$15</definedName>
    <definedName name="SE_fb_rev_p.FME">'IN ROWS'!$ES$15</definedName>
    <definedName name="SE_fb_rev_p.mem" localSheetId="12">'IN ROWS'!#REF!</definedName>
    <definedName name="SE_fb_rev_p.mem" localSheetId="11">'IN ROWS'!#REF!</definedName>
    <definedName name="SE_fb_rev_p.mem">'IN ROWS'!#REF!</definedName>
    <definedName name="SE_FBLoss_DuesRev">'IN ROWS'!$IQ$15</definedName>
    <definedName name="SE_FBLoss_FBSales">'IN ROWS'!$GH$15</definedName>
    <definedName name="SE_fd_cos">'IN ROWS'!$FI$15</definedName>
    <definedName name="SE_FME">'IN ROWS'!$K$15</definedName>
    <definedName name="SE_FME_p.employee">'IN ROWS'!$EJ$15</definedName>
    <definedName name="SE_food_rev">'IN ROWS'!$EY$15</definedName>
    <definedName name="SE_food_rev_perc">'IN ROWS'!$CR$15</definedName>
    <definedName name="SE_food_rev_perFME">'IN ROWS'!$DR$15</definedName>
    <definedName name="SE_food_rev_permem" localSheetId="12">'IN ROWS'!#REF!</definedName>
    <definedName name="SE_food_rev_permem" localSheetId="11">'IN ROWS'!#REF!</definedName>
    <definedName name="SE_food_rev_permem">'IN ROWS'!#REF!</definedName>
    <definedName name="SE_ForLabCosts">'IN ROWS'!$EG$15</definedName>
    <definedName name="SE_golf_cos">'IN ROWS'!$JJ$15</definedName>
    <definedName name="SE_golfexp_to_totexp_18">'IN ROWS'!$JY$15</definedName>
    <definedName name="SE_golfexp_to_totexp_mult">'IN ROWS'!$KI$15</definedName>
    <definedName name="SE_healthins_percinc">'IN ROWS'!$EI$15</definedName>
    <definedName name="SE_inc_bev_price">'IN ROWS'!$GL$15</definedName>
    <definedName name="SE_inc_menu_price">'IN ROWS'!$GJ$15</definedName>
    <definedName name="SE_inhouse_proshop">'IN ROWS'!$JI$15</definedName>
    <definedName name="SE_ins">'IN ROWS'!$DA$15</definedName>
    <definedName name="SE_ins_p.FME">'IN ROWS'!$EA$15</definedName>
    <definedName name="SE_ins_p.mem" localSheetId="12">'IN ROWS'!#REF!</definedName>
    <definedName name="SE_ins_p.mem" localSheetId="11">'IN ROWS'!#REF!</definedName>
    <definedName name="SE_ins_p.mem">'IN ROWS'!#REF!</definedName>
    <definedName name="SE_majproj">'IN ROWS'!$BE$15</definedName>
    <definedName name="SE_majproj_amt">'IN ROWS'!$BF$15</definedName>
    <definedName name="SE_mand_mem">'IN ROWS'!$G$15</definedName>
    <definedName name="SE_mand_serv_chg">'IN ROWS'!$EO$15</definedName>
    <definedName name="SE_mem">'IN ROWS'!$J$15</definedName>
    <definedName name="SE_mem_p.employee" localSheetId="12">'IN ROWS'!#REF!</definedName>
    <definedName name="SE_mem_p.employee" localSheetId="11">'IN ROWS'!#REF!</definedName>
    <definedName name="SE_mem_p.employee">'IN ROWS'!#REF!</definedName>
    <definedName name="SE_mth_serv_chg">'IN ROWS'!$EP$15</definedName>
    <definedName name="SE_mult_acre_36">'IN ROWS'!$KG$15</definedName>
    <definedName name="SE_mult_acres">'IN ROWS'!$HH$15</definedName>
    <definedName name="SE_mult_all_otherexp">'IN ROWS'!$HN$15:$HO$15</definedName>
    <definedName name="SE_mult_all_otherexp_p.hole">'IN ROWS'!$KD$15:$KE$15</definedName>
    <definedName name="SE_mult_all_otherexp_perc">'IN ROWS'!$HW$15:$HX$15</definedName>
    <definedName name="SE_mult_cost_p.acre">'IN ROWS'!$HR$15</definedName>
    <definedName name="SE_mult_cost_p.hole">'IN ROWS'!$HQ$15</definedName>
    <definedName name="SE_mult_cost_p.round">'IN ROWS'!$KH$15</definedName>
    <definedName name="SE_mult_lease_p.hole">'IN ROWS'!$KD$15</definedName>
    <definedName name="SE_mult_lease_perc">'IN ROWS'!$HW$15</definedName>
    <definedName name="SE_mult_paytax_bens">'IN ROWS'!$HK$15</definedName>
    <definedName name="SE_mult_paytax_bens_p.hole">'IN ROWS'!$KA$15</definedName>
    <definedName name="SE_mult_paytax_bens_perc">'IN ROWS'!$HT$15</definedName>
    <definedName name="SE_mult_rep_mtce">'IN ROWS'!$HM$15</definedName>
    <definedName name="SE_mult_rep_mtce_p.hole">'IN ROWS'!$KC$15</definedName>
    <definedName name="SE_mult_rep_mtce_perc">'IN ROWS'!$HV$15</definedName>
    <definedName name="SE_mult_rounds">'IN ROWS'!$HI$15</definedName>
    <definedName name="SE_mult_rounds_18">'IN ROWS'!$KF$15</definedName>
    <definedName name="SE_mult_sal_wage">'IN ROWS'!$HJ$15</definedName>
    <definedName name="SE_mult_sal_wage_perc">'IN ROWS'!$HS$15</definedName>
    <definedName name="SE_mult_salwage_p.hole">'IN ROWS'!$JZ$15</definedName>
    <definedName name="SE_mult_supplies">'IN ROWS'!$HL$15</definedName>
    <definedName name="SE_mult_supplies_p.hole">'IN ROWS'!$KB$15</definedName>
    <definedName name="SE_mult_supplies_perc">'IN ROWS'!$HU$15</definedName>
    <definedName name="SE_mult_tot_exp">'IN ROWS'!$HP$15</definedName>
    <definedName name="SE_no_fbmin_servchg">'IN ROWS'!$IK$15</definedName>
    <definedName name="SE_NoForeignLab">'IN ROWS'!$EF$15</definedName>
    <definedName name="SE_op_assmt">'IN ROWS'!$AH$15</definedName>
    <definedName name="SE_op_assmt_HIGH">'IN ROWS'!$AI$15</definedName>
    <definedName name="SE_op_assmt_LOW">'IN ROWS'!$AJ$15</definedName>
    <definedName name="SE_op_exp">'IN ROWS'!$DE$15:$DF$15</definedName>
    <definedName name="SE_op_exp_perFME">'IN ROWS'!$DX$15:$DY$15</definedName>
    <definedName name="SE_op_exp_permem" localSheetId="12">'IN ROWS'!#REF!</definedName>
    <definedName name="SE_op_exp_permem" localSheetId="11">'IN ROWS'!#REF!</definedName>
    <definedName name="SE_op_exp_permem">'IN ROWS'!#REF!</definedName>
    <definedName name="SE_ot_assmt">'IN ROWS'!$AL$15</definedName>
    <definedName name="SE_ot_assmt_perc">'IN ROWS'!$AK$15</definedName>
    <definedName name="SE_ot_rev_perc">'IN ROWS'!$CT$15</definedName>
    <definedName name="SE_ot_rev_perFME">'IN ROWS'!$DT$15</definedName>
    <definedName name="SE_ot_rev_permem" localSheetId="12">'IN ROWS'!#REF!</definedName>
    <definedName name="SE_ot_rev_permem" localSheetId="11">'IN ROWS'!#REF!</definedName>
    <definedName name="SE_ot_rev_permem">'IN ROWS'!#REF!</definedName>
    <definedName name="SE_pay">'IN ROWS'!$DC$15</definedName>
    <definedName name="SE_pay_net_servchg">'IN ROWS'!$FZ$15:$GA$15</definedName>
    <definedName name="SE_pay_p.FME">'IN ROWS'!$DV$15</definedName>
    <definedName name="SE_pay_p.mem" localSheetId="12">'IN ROWS'!#REF!</definedName>
    <definedName name="SE_pay_p.mem" localSheetId="11">'IN ROWS'!#REF!</definedName>
    <definedName name="SE_pay_p.mem">'IN ROWS'!#REF!</definedName>
    <definedName name="SE_pay_taxANDben">'IN ROWS'!$GB$15:$GC$15</definedName>
    <definedName name="SE_perc_Club_ForLab">'IN ROWS'!$EE$15</definedName>
    <definedName name="SE_PPE_NBV">'IN ROWS'!$BI$15</definedName>
    <definedName name="SE_PPE_NBV_FME">'IN ROWS'!$IG$15</definedName>
    <definedName name="SE_proptax">'IN ROWS'!$CZ$15</definedName>
    <definedName name="SE_proptax_ins_exp">'IN ROWS'!$DG$15:$DH$15</definedName>
    <definedName name="SE_proptax_ins_exp_permem" localSheetId="12">'IN ROWS'!#REF!</definedName>
    <definedName name="SE_proptax_ins_exp_permem" localSheetId="11">'IN ROWS'!#REF!</definedName>
    <definedName name="SE_proptax_ins_exp_permem">'IN ROWS'!#REF!</definedName>
    <definedName name="SE_proptax_p.FME">'IN ROWS'!$DZ$15</definedName>
    <definedName name="SE_proptax_p.mem" localSheetId="12">'IN ROWS'!#REF!</definedName>
    <definedName name="SE_proptax_p.mem" localSheetId="11">'IN ROWS'!#REF!</definedName>
    <definedName name="SE_proptax_p.mem">'IN ROWS'!#REF!</definedName>
    <definedName name="SE_ref_equity_perc_HIGH">'IN ROWS'!$IA$15</definedName>
    <definedName name="SE_ref_equity_perc_LOW">'IN ROWS'!$IB$15</definedName>
    <definedName name="SE_resignedwaitlist">'IN ROWS'!$L$15</definedName>
    <definedName name="SE_sal_wage">'IN ROWS'!$CV$15</definedName>
    <definedName name="SE_sport_rev_perc">'IN ROWS'!$CK$15:$CN$15</definedName>
    <definedName name="SE_sport_rev_perFME">'IN ROWS'!$DK$15:$DN$15</definedName>
    <definedName name="SE_sport_rev_permem" localSheetId="12">'IN ROWS'!#REF!</definedName>
    <definedName name="SE_sport_rev_permem" localSheetId="11">'IN ROWS'!#REF!</definedName>
    <definedName name="SE_sport_rev_permem">'IN ROWS'!#REF!</definedName>
    <definedName name="SE_surplus">'IN ROWS'!$JH$15</definedName>
    <definedName name="SE_tl_exp">'IN ROWS'!$DB$15</definedName>
    <definedName name="SE_tl_memcost_HIGH">'IN ROWS'!$AQ$15</definedName>
    <definedName name="SE_tl_memcost_LOW">'IN ROWS'!$AR$15</definedName>
    <definedName name="SE_tl_resp">'IN ROWS'!$D$13</definedName>
    <definedName name="SE_tl_rev">'IN ROWS'!$CJ$15</definedName>
    <definedName name="SE_TlCovers">'IN ROWS'!$EV$15</definedName>
    <definedName name="SE_TLMem_25perc">'IN ROWS'!$J$16</definedName>
    <definedName name="SE_TLMem_50perc">'IN ROWS'!$J$17</definedName>
    <definedName name="SE_TLMem_75perc">'IN ROWS'!$J$18</definedName>
    <definedName name="SE_tot_init_HIGH">'IN ROWS'!$S$15</definedName>
    <definedName name="SE_tot_init_LOW">'IN ROWS'!$V$15</definedName>
    <definedName name="SE_wkg_cap">'IN ROWS'!$BS$15</definedName>
    <definedName name="service">'IN ROWS'!$HN$79</definedName>
    <definedName name="SW_18_acres">'IN ROWS'!$GO$27</definedName>
    <definedName name="SW_18_all_otherexp">'IN ROWS'!$GU$27:$GV$27</definedName>
    <definedName name="SW_18_all_otherexp_p.hole">'IN ROWS'!$JV$27:$JW$27</definedName>
    <definedName name="SW_18_all_otherexp_perc">'IN ROWS'!$HD$27:$HE$27</definedName>
    <definedName name="SW_18_cost_p.acre">'IN ROWS'!$GY$27</definedName>
    <definedName name="SW_18_cost_p.hole">'IN ROWS'!$GX$27</definedName>
    <definedName name="SW_18_cost_p.round">'IN ROWS'!$JX$27</definedName>
    <definedName name="SW_18_lease_p.hole">'IN ROWS'!$JV$27</definedName>
    <definedName name="SW_18_lease_perc">'IN ROWS'!$HD$27</definedName>
    <definedName name="SW_18_paytax_bens">'IN ROWS'!$GR$27</definedName>
    <definedName name="SW_18_paytax_bens_p.hole">'IN ROWS'!$JS$27</definedName>
    <definedName name="SW_18_paytax_bens_perc">'IN ROWS'!$HA$27</definedName>
    <definedName name="SW_18_rep_mtce">'IN ROWS'!$GT$27</definedName>
    <definedName name="SW_18_rep_mtce_p.hole">'IN ROWS'!$JU$27</definedName>
    <definedName name="SW_18_rep_mtce_perc">'IN ROWS'!$HC$27</definedName>
    <definedName name="SW_18_rounds">'IN ROWS'!$GP$27</definedName>
    <definedName name="SW_18_sal_wage">'IN ROWS'!$GQ$27</definedName>
    <definedName name="SW_18_sal_wage_perc">'IN ROWS'!$GZ$27</definedName>
    <definedName name="SW_18_salwage_p.hole">'IN ROWS'!$JR$27</definedName>
    <definedName name="SW_18_supplies">'IN ROWS'!$GS$27</definedName>
    <definedName name="SW_18_supplies_p.hole">'IN ROWS'!$JT$27</definedName>
    <definedName name="SW_18_supplies_perc">'IN ROWS'!$HB$27</definedName>
    <definedName name="SW_18_tot_exp">'IN ROWS'!$GW$27</definedName>
    <definedName name="SW_3rdparty_debt">'IN ROWS'!$BM$27</definedName>
    <definedName name="SW_3rdparty_debt_perFME">'IN ROWS'!$BW$27</definedName>
    <definedName name="SW_3rdparty_debt_permem" localSheetId="12">'IN ROWS'!#REF!</definedName>
    <definedName name="SW_3rdparty_debt_permem" localSheetId="11">'IN ROWS'!#REF!</definedName>
    <definedName name="SW_3rdparty_debt_permem">'IN ROWS'!#REF!</definedName>
    <definedName name="SW_all_ot_exp">'IN ROWS'!$GD$27:$GF$27</definedName>
    <definedName name="SW_amt_3rdpty_debt">'IN ROWS'!$BN$27</definedName>
    <definedName name="SW_amt_bev_inc">'IN ROWS'!$GM$27</definedName>
    <definedName name="SW_amt_menu_inc">'IN ROWS'!$GK$27</definedName>
    <definedName name="SW_ann_servchg">'IN ROWS'!$AP$27</definedName>
    <definedName name="SW_AR_0to30">'IN ROWS'!$AS$27</definedName>
    <definedName name="SW_AR_31to60">'IN ROWS'!$AT$27</definedName>
    <definedName name="SW_AR_61to90">'IN ROWS'!$AU$27</definedName>
    <definedName name="SW_AR_91plus">'IN ROWS'!$AV$27</definedName>
    <definedName name="SW_AvWait_ResignedMem">'IN ROWS'!$N$27</definedName>
    <definedName name="SW_BanqCovers">'IN ROWS'!$EW$27</definedName>
    <definedName name="SW_bev_cos">'IN ROWS'!$FL$27</definedName>
    <definedName name="SW_bev_rev">'IN ROWS'!$FB$27</definedName>
    <definedName name="SW_bev_rev_perc">'IN ROWS'!$CS$27</definedName>
    <definedName name="SW_bev_rev_perFME">'IN ROWS'!$DS$27</definedName>
    <definedName name="SW_bev_rev_permem" localSheetId="12">'IN ROWS'!#REF!</definedName>
    <definedName name="SW_bev_rev_permem" localSheetId="11">'IN ROWS'!#REF!</definedName>
    <definedName name="SW_bev_rev_permem">'IN ROWS'!#REF!</definedName>
    <definedName name="SW_both_fbmin_servchg">'IN ROWS'!$IL$27</definedName>
    <definedName name="SW_BudCap_addns_perFME">'IN ROWS'!$BY$27</definedName>
    <definedName name="SW_BudCap_addns_permem" localSheetId="12">'IN ROWS'!#REF!</definedName>
    <definedName name="SW_BudCap_addns_permem" localSheetId="11">'IN ROWS'!#REF!</definedName>
    <definedName name="SW_BudCap_addns_permem">'IN ROWS'!#REF!</definedName>
    <definedName name="SW_Cap_addns">'IN ROWS'!$BJ$27</definedName>
    <definedName name="SW_Cap_addns_perFME">'IN ROWS'!$BX$27</definedName>
    <definedName name="SW_Cap_addns_permem" localSheetId="12">'IN ROWS'!#REF!</definedName>
    <definedName name="SW_Cap_addns_permem" localSheetId="11">'IN ROWS'!#REF!</definedName>
    <definedName name="SW_Cap_addns_permem">'IN ROWS'!#REF!</definedName>
    <definedName name="SW_cap_assmt">'IN ROWS'!$AE$27</definedName>
    <definedName name="SW_cap_assmt_HIGH">'IN ROWS'!$AF$27</definedName>
    <definedName name="SW_cap_assmt_LOW">'IN ROWS'!$AG$27</definedName>
    <definedName name="SW_capaddn_to_depn">'IN ROWS'!$BL$27</definedName>
    <definedName name="SW_dues_Dec_HIGH">'IN ROWS'!$IE$27</definedName>
    <definedName name="SW_dues_Dec_LOW">'IN ROWS'!$IF$27</definedName>
    <definedName name="SW_dues_HIGH_AY">'IN ROWS'!$X$27</definedName>
    <definedName name="SW_dues_HIGH_CY">'IN ROWS'!$W$27</definedName>
    <definedName name="SW_dues_Inc_HIGH">'IN ROWS'!$IC$27</definedName>
    <definedName name="SW_dues_Inc_LOW">'IN ROWS'!$ID$27</definedName>
    <definedName name="SW_dues_LOW_AY">'IN ROWS'!$Z$27</definedName>
    <definedName name="SW_dues_LOW_CY">'IN ROWS'!$Y$27</definedName>
    <definedName name="SW_dues_rev_perc">'IN ROWS'!$CO$27:$CQ$27</definedName>
    <definedName name="SW_dues_rev_perFME">'IN ROWS'!$DO$27:$DQ$27</definedName>
    <definedName name="SW_dues_rev_permem" localSheetId="12">'IN ROWS'!#REF!</definedName>
    <definedName name="SW_dues_rev_permem" localSheetId="11">'IN ROWS'!#REF!</definedName>
    <definedName name="SW_dues_rev_permem">'IN ROWS'!#REF!</definedName>
    <definedName name="SW_emp">'IN ROWS'!$ED$27</definedName>
    <definedName name="SW_fANDb_cos">'IN ROWS'!$FO$27</definedName>
    <definedName name="SW_fb_cos">'IN ROWS'!$DD$27</definedName>
    <definedName name="SW_fb_cos_perFME">'IN ROWS'!$DW$27</definedName>
    <definedName name="SW_fb_cos_permem" localSheetId="12">'IN ROWS'!#REF!</definedName>
    <definedName name="SW_fb_cos_permem" localSheetId="11">'IN ROWS'!#REF!</definedName>
    <definedName name="SW_fb_cos_permem">'IN ROWS'!#REF!</definedName>
    <definedName name="SW_FB_loss">'IN ROWS'!$FY$27</definedName>
    <definedName name="SW_FB_loss_p.FME">'IN ROWS'!$IP$27</definedName>
    <definedName name="SW_FB_loss_p.mem">'IN ROWS'!$IO$27</definedName>
    <definedName name="SW_fb_min">'IN ROWS'!$EK$27</definedName>
    <definedName name="SW_fb_min_amt">'IN ROWS'!$EL$27</definedName>
    <definedName name="SW_fb_nograt_nomand">'IN ROWS'!$ER$27</definedName>
    <definedName name="SW_fb_ratio">'IN ROWS'!$GI$27</definedName>
    <definedName name="SW_fb_rev">'IN ROWS'!$FE$27</definedName>
    <definedName name="SW_fb_rev_p.FME">'IN ROWS'!$ES$27</definedName>
    <definedName name="SW_fb_rev_p.mem" localSheetId="12">'IN ROWS'!#REF!</definedName>
    <definedName name="SW_fb_rev_p.mem" localSheetId="11">'IN ROWS'!#REF!</definedName>
    <definedName name="SW_fb_rev_p.mem">'IN ROWS'!#REF!</definedName>
    <definedName name="SW_FBLoss_DuesRev">'IN ROWS'!$IQ$27</definedName>
    <definedName name="SW_FBLoss_FBSales">'IN ROWS'!$GH$27</definedName>
    <definedName name="SW_fd_cos">'IN ROWS'!$FI$27</definedName>
    <definedName name="SW_FME">'IN ROWS'!$K$27</definedName>
    <definedName name="SW_FME_p.employee">'IN ROWS'!$EJ$27</definedName>
    <definedName name="SW_food_rev">'IN ROWS'!$EY$27</definedName>
    <definedName name="SW_food_rev_perc">'IN ROWS'!$CR$27</definedName>
    <definedName name="SW_food_rev_perFME">'IN ROWS'!$DR$27</definedName>
    <definedName name="SW_food_rev_permem" localSheetId="12">'IN ROWS'!#REF!</definedName>
    <definedName name="SW_food_rev_permem" localSheetId="11">'IN ROWS'!#REF!</definedName>
    <definedName name="SW_food_rev_permem">'IN ROWS'!#REF!</definedName>
    <definedName name="SW_ForLabCosts">'IN ROWS'!$EG$27</definedName>
    <definedName name="SW_golf_cos">'IN ROWS'!$JJ$27</definedName>
    <definedName name="SW_golfexp_to_totexp_18">'IN ROWS'!$JY$27</definedName>
    <definedName name="SW_golfexp_to_totexp_mult">'IN ROWS'!$KI$27</definedName>
    <definedName name="SW_healthins_percinc">'IN ROWS'!$EI$27</definedName>
    <definedName name="SW_inc_bev_price">'IN ROWS'!$GL$27</definedName>
    <definedName name="SW_inc_menu_price">'IN ROWS'!$GJ$27</definedName>
    <definedName name="SW_inhouse_proshop">'IN ROWS'!$JI$27</definedName>
    <definedName name="SW_ins">'IN ROWS'!$DA$27</definedName>
    <definedName name="SW_ins_p.FME">'IN ROWS'!$EA$27</definedName>
    <definedName name="SW_ins_p.mem" localSheetId="12">'IN ROWS'!#REF!</definedName>
    <definedName name="SW_ins_p.mem" localSheetId="11">'IN ROWS'!#REF!</definedName>
    <definedName name="SW_ins_p.mem">'IN ROWS'!#REF!</definedName>
    <definedName name="SW_majproj">'IN ROWS'!$BE$27</definedName>
    <definedName name="SW_majproj_amt">'IN ROWS'!$BF$27</definedName>
    <definedName name="SW_mand_mem">'IN ROWS'!$G$27</definedName>
    <definedName name="SW_mand_serv_chg">'IN ROWS'!$EO$27</definedName>
    <definedName name="SW_mem">'IN ROWS'!$J$27</definedName>
    <definedName name="SW_mem_p.employee" localSheetId="12">'IN ROWS'!#REF!</definedName>
    <definedName name="SW_mem_p.employee" localSheetId="11">'IN ROWS'!#REF!</definedName>
    <definedName name="SW_mem_p.employee">'IN ROWS'!#REF!</definedName>
    <definedName name="SW_mth_serv_chg">'IN ROWS'!$EP$27</definedName>
    <definedName name="SW_mult_acre_36">'IN ROWS'!$KG$27</definedName>
    <definedName name="SW_mult_acres">'IN ROWS'!$HH$27</definedName>
    <definedName name="SW_mult_all_otherexp">'IN ROWS'!$HN$27:$HO$27</definedName>
    <definedName name="SW_mult_all_otherexp_p.hole">'IN ROWS'!$KD$27:$KE$27</definedName>
    <definedName name="SW_mult_all_otherexp_perc">'IN ROWS'!$HW$27:$HX$27</definedName>
    <definedName name="SW_mult_cost_p.acre">'IN ROWS'!$HR$27</definedName>
    <definedName name="SW_mult_cost_p.hole">'IN ROWS'!$HQ$27</definedName>
    <definedName name="SW_mult_cost_p.round">'IN ROWS'!$KH$27</definedName>
    <definedName name="SW_mult_lease_p.hole">'IN ROWS'!$KD$27</definedName>
    <definedName name="SW_mult_lease_perc">'IN ROWS'!$HW$27</definedName>
    <definedName name="SW_mult_paytax_bens">'IN ROWS'!$HK$27</definedName>
    <definedName name="SW_mult_paytax_bens_p.hole">'IN ROWS'!$KA$27</definedName>
    <definedName name="SW_mult_paytax_bens_perc">'IN ROWS'!$HT$27</definedName>
    <definedName name="SW_mult_rep_mtce">'IN ROWS'!$HM$27</definedName>
    <definedName name="SW_mult_rep_mtce_p.hole">'IN ROWS'!$KC$27</definedName>
    <definedName name="SW_mult_rep_mtce_perc">'IN ROWS'!$HV$27</definedName>
    <definedName name="SW_mult_rounds">'IN ROWS'!$HI$27</definedName>
    <definedName name="SW_mult_rounds_18">'IN ROWS'!$KF$27</definedName>
    <definedName name="SW_mult_sal_wage">'IN ROWS'!$HJ$27</definedName>
    <definedName name="SW_mult_sal_wage_perc">'IN ROWS'!$HS$27</definedName>
    <definedName name="SW_mult_salwage_p.hole">'IN ROWS'!$JZ$27</definedName>
    <definedName name="SW_mult_supplies">'IN ROWS'!$HL$27</definedName>
    <definedName name="SW_mult_supplies_p.hole">'IN ROWS'!$KB$27</definedName>
    <definedName name="SW_mult_supplies_perc">'IN ROWS'!$HU$27</definedName>
    <definedName name="SW_mult_tot_exp">'IN ROWS'!$HP$27</definedName>
    <definedName name="SW_no_fbmin_servchg">'IN ROWS'!$IK$27</definedName>
    <definedName name="SW_NoForeignLab">'IN ROWS'!$EF$27</definedName>
    <definedName name="SW_op_assmt">'IN ROWS'!$AH$27</definedName>
    <definedName name="SW_op_assmt_HIGH">'IN ROWS'!$AI$27</definedName>
    <definedName name="SW_op_assmt_LOW">'IN ROWS'!$AJ$27</definedName>
    <definedName name="SW_op_exp">'IN ROWS'!$DE$27:$DF$27</definedName>
    <definedName name="SW_op_exp_perFME">'IN ROWS'!$DX$27:$DY$27</definedName>
    <definedName name="SW_op_exp_permem" localSheetId="12">'IN ROWS'!#REF!</definedName>
    <definedName name="SW_op_exp_permem" localSheetId="11">'IN ROWS'!#REF!</definedName>
    <definedName name="SW_op_exp_permem">'IN ROWS'!#REF!</definedName>
    <definedName name="SW_ot_assmt">'IN ROWS'!$AL$27</definedName>
    <definedName name="SW_ot_assmt_perc">'IN ROWS'!$AK$27</definedName>
    <definedName name="SW_ot_rev_perc">'IN ROWS'!$CT$27</definedName>
    <definedName name="SW_ot_rev_perFME">'IN ROWS'!$DT$27</definedName>
    <definedName name="SW_ot_rev_permem" localSheetId="12">'IN ROWS'!#REF!</definedName>
    <definedName name="SW_ot_rev_permem" localSheetId="11">'IN ROWS'!#REF!</definedName>
    <definedName name="SW_ot_rev_permem">'IN ROWS'!#REF!</definedName>
    <definedName name="SW_pay">'IN ROWS'!$DC$27</definedName>
    <definedName name="SW_pay_net_servchg">'IN ROWS'!$FZ$27:$GA$27</definedName>
    <definedName name="SW_pay_p.FME">'IN ROWS'!$DV$27</definedName>
    <definedName name="SW_pay_p.mem" localSheetId="12">'IN ROWS'!#REF!</definedName>
    <definedName name="SW_pay_p.mem" localSheetId="11">'IN ROWS'!#REF!</definedName>
    <definedName name="SW_pay_p.mem">'IN ROWS'!#REF!</definedName>
    <definedName name="SW_pay_taxANDben">'IN ROWS'!$GB$27:$GC$27</definedName>
    <definedName name="SW_perc_Club_ForLab">'IN ROWS'!$EE$27</definedName>
    <definedName name="SW_PPE_NBV">'IN ROWS'!$BI$27</definedName>
    <definedName name="SW_PPE_NBV_FME">'IN ROWS'!$IG$27</definedName>
    <definedName name="SW_proptax">'IN ROWS'!$CZ$27</definedName>
    <definedName name="SW_proptax_ins_exp">'IN ROWS'!$DG$27:$DH$27</definedName>
    <definedName name="SW_proptax_ins_exp_permem" localSheetId="12">'IN ROWS'!#REF!</definedName>
    <definedName name="SW_proptax_ins_exp_permem" localSheetId="11">'IN ROWS'!#REF!</definedName>
    <definedName name="SW_proptax_ins_exp_permem">'IN ROWS'!#REF!</definedName>
    <definedName name="SW_proptax_p.FME">'IN ROWS'!$DZ$27</definedName>
    <definedName name="SW_proptax_p.mem" localSheetId="12">'IN ROWS'!#REF!</definedName>
    <definedName name="SW_proptax_p.mem" localSheetId="11">'IN ROWS'!#REF!</definedName>
    <definedName name="SW_proptax_p.mem">'IN ROWS'!#REF!</definedName>
    <definedName name="SW_ref_equity_perc_HIGH">'IN ROWS'!$IA$27</definedName>
    <definedName name="SW_ref_equity_perc_LOW">'IN ROWS'!$IB$27</definedName>
    <definedName name="SW_resignedwaitlist">'IN ROWS'!$L$27</definedName>
    <definedName name="SW_sal_wage">'IN ROWS'!$CV$27</definedName>
    <definedName name="SW_sport_rev_perc">'IN ROWS'!$CK$27:$CN$27</definedName>
    <definedName name="SW_sport_rev_perFME">'IN ROWS'!$DK$27:$DN$27</definedName>
    <definedName name="SW_sport_rev_permem" localSheetId="12">'IN ROWS'!#REF!</definedName>
    <definedName name="SW_sport_rev_permem" localSheetId="11">'IN ROWS'!#REF!</definedName>
    <definedName name="SW_sport_rev_permem">'IN ROWS'!#REF!</definedName>
    <definedName name="SW_surplus">'IN ROWS'!$JH$27</definedName>
    <definedName name="SW_tl_exp">'IN ROWS'!$DB$27</definedName>
    <definedName name="SW_tl_memcost_HIGH">'IN ROWS'!$AQ$27</definedName>
    <definedName name="SW_tl_memcost_LOW">'IN ROWS'!$AR$27</definedName>
    <definedName name="SW_tl_resp">'IN ROWS'!$D$25</definedName>
    <definedName name="SW_tl_rev">'IN ROWS'!$CJ$27</definedName>
    <definedName name="Sw_TlCovers">'IN ROWS'!$EV$27</definedName>
    <definedName name="SW_TLMem_25perc">'IN ROWS'!$J$28</definedName>
    <definedName name="SW_TLMem_50perc">'IN ROWS'!$J$29</definedName>
    <definedName name="SW_TLMem_75perc">'IN ROWS'!$J$30</definedName>
    <definedName name="SW_tot_init_HIGH">'IN ROWS'!$S$27</definedName>
    <definedName name="SW_tot_init_LOW">'IN ROWS'!$V$27</definedName>
    <definedName name="SW_wkg_cap">'IN ROWS'!$BS$27</definedName>
    <definedName name="SWCIRA_18_acres">'IN ROWS'!$GO$33</definedName>
    <definedName name="SWCIRA_18_all_otherexp">'IN ROWS'!$GU$33:$GV$33</definedName>
    <definedName name="SWCIRA_18_all_otherexp_p.hole">'IN ROWS'!$JV$33:$JW$33</definedName>
    <definedName name="SWCIRA_18_all_otherexp_perc">'IN ROWS'!$HD$33:$HE$33</definedName>
    <definedName name="SWCIRA_18_cost_p.acre">'IN ROWS'!$GY$33</definedName>
    <definedName name="SWCIRA_18_cost_p.hole">'IN ROWS'!$GX$33</definedName>
    <definedName name="SWCIRA_18_cost_p.round">'IN ROWS'!$JX$33</definedName>
    <definedName name="SWCIRA_18_lease_p.hole">'IN ROWS'!$JV$33</definedName>
    <definedName name="SWCIRA_18_lease_perc">'IN ROWS'!$HD$33</definedName>
    <definedName name="SWCIRA_18_paytax_bens">'IN ROWS'!$GR$33</definedName>
    <definedName name="SWCIRA_18_paytax_bens_p.hole">'IN ROWS'!$JS$33</definedName>
    <definedName name="SWCIRA_18_paytax_bens_perc">'IN ROWS'!$HA$33</definedName>
    <definedName name="SWCIRA_18_rep_mtce">'IN ROWS'!$GT$33</definedName>
    <definedName name="SWCIRA_18_rep_mtce_p.hole">'IN ROWS'!$JU$33</definedName>
    <definedName name="SWCIRA_18_rep_mtce_perc">'IN ROWS'!$HC$33</definedName>
    <definedName name="SWCIRA_18_rounds">'IN ROWS'!$GP$33</definedName>
    <definedName name="SWCIRA_18_sal_wage">'IN ROWS'!$GQ$33</definedName>
    <definedName name="SWCIRA_18_sal_wage_perc">'IN ROWS'!$GZ$33</definedName>
    <definedName name="SWCIRA_18_salwage_p.hole">'IN ROWS'!$JR$33</definedName>
    <definedName name="SWCIRA_18_supplies">'IN ROWS'!$GS$33</definedName>
    <definedName name="SWCIRA_18_supplies_p.hole">'IN ROWS'!$JT$33</definedName>
    <definedName name="SWCIRA_18_supplies_perc">'IN ROWS'!$HB$33</definedName>
    <definedName name="SWCIRA_18_tot_exp">'IN ROWS'!$GW$33</definedName>
    <definedName name="SWCIRA_3rdparty_debt">'IN ROWS'!$BM$33</definedName>
    <definedName name="SWCIRA_3rdparty_debt_perFME">'IN ROWS'!$BW$33</definedName>
    <definedName name="SWCIRA_3rdparty_debt_permem" localSheetId="12">'IN ROWS'!#REF!</definedName>
    <definedName name="SWCIRA_3rdparty_debt_permem" localSheetId="11">'IN ROWS'!#REF!</definedName>
    <definedName name="SWCIRA_3rdparty_debt_permem">'IN ROWS'!#REF!</definedName>
    <definedName name="SWCIRA_all_ot_exp">'IN ROWS'!$GD$33:$GF$33</definedName>
    <definedName name="SWCIRA_amt_3rdpty_debt">'IN ROWS'!$BN$33</definedName>
    <definedName name="SWCIRA_amt_bev_inc">'IN ROWS'!$GM$33</definedName>
    <definedName name="SWCIRA_amt_menu_inc">'IN ROWS'!$GK$33</definedName>
    <definedName name="SWCIRA_ann_servchg">'IN ROWS'!$AP$33</definedName>
    <definedName name="SWCIRA_AR_0to30">'IN ROWS'!$AS$33</definedName>
    <definedName name="SWCIRA_AR_31to60">'IN ROWS'!$AT$33</definedName>
    <definedName name="SWCIRA_AR_61to90">'IN ROWS'!$AU$33</definedName>
    <definedName name="SWCIRA_AR_91plus">'IN ROWS'!$AV$33</definedName>
    <definedName name="SWCIRA_AvWait_ResignedMem">'IN ROWS'!$N$33</definedName>
    <definedName name="SWCIRA_BanqCovers">'IN ROWS'!$EW$33</definedName>
    <definedName name="SWCIRA_bev_cos">'IN ROWS'!$FL$33</definedName>
    <definedName name="SWCIRA_bev_rev">'IN ROWS'!$FB$33</definedName>
    <definedName name="SWCIRA_bev_rev_perc">'IN ROWS'!$CS$33</definedName>
    <definedName name="SWCIRA_bev_rev_perFME">'IN ROWS'!$DS$33</definedName>
    <definedName name="SWCIRA_bev_rev_permem" localSheetId="12">'IN ROWS'!#REF!</definedName>
    <definedName name="SWCIRA_bev_rev_permem" localSheetId="11">'IN ROWS'!#REF!</definedName>
    <definedName name="SWCIRA_bev_rev_permem">'IN ROWS'!#REF!</definedName>
    <definedName name="SWCIRA_both_fbmin_servchg">'IN ROWS'!$IL$33</definedName>
    <definedName name="SWCIRA_BudCap_addns_perFME">'IN ROWS'!$BY$33</definedName>
    <definedName name="SWCIRA_BudCap_addns_permem" localSheetId="12">'IN ROWS'!#REF!</definedName>
    <definedName name="SWCIRA_BudCap_addns_permem" localSheetId="11">'IN ROWS'!#REF!</definedName>
    <definedName name="SWCIRA_BudCap_addns_permem">'IN ROWS'!#REF!</definedName>
    <definedName name="SWCIRA_Cap_addns">'IN ROWS'!$BJ$33</definedName>
    <definedName name="SWCIRA_Cap_addns_perFME">'IN ROWS'!$BX$33</definedName>
    <definedName name="SWCIRA_Cap_addns_permem" localSheetId="12">'IN ROWS'!#REF!</definedName>
    <definedName name="SWCIRA_Cap_addns_permem" localSheetId="11">'IN ROWS'!#REF!</definedName>
    <definedName name="SWCIRA_Cap_addns_permem">'IN ROWS'!#REF!</definedName>
    <definedName name="SWCIRA_cap_assmt">'IN ROWS'!$AE$33</definedName>
    <definedName name="SWCIRA_cap_assmt_HIGH">'IN ROWS'!$AF$33</definedName>
    <definedName name="SWCIRA_cap_assmt_LOW">'IN ROWS'!$AG$33</definedName>
    <definedName name="SWCIRA_capaddn_to_depn">'IN ROWS'!$BL$33</definedName>
    <definedName name="SWCIRA_dues_Dec_HIGH">'IN ROWS'!$IE$33</definedName>
    <definedName name="SWCIRA_dues_Dec_LOW">'IN ROWS'!$IF$33</definedName>
    <definedName name="SWCIRA_dues_HIGH_AY">'IN ROWS'!$X$33</definedName>
    <definedName name="SWCIRA_dues_HIGH_CY">'IN ROWS'!$W$33</definedName>
    <definedName name="SWCIRA_dues_Inc_HIGH">'IN ROWS'!$IC$33</definedName>
    <definedName name="SWCIRA_dues_Inc_LOW">'IN ROWS'!$ID$33</definedName>
    <definedName name="SWCIRA_dues_LOW_AY">'IN ROWS'!$Z$33</definedName>
    <definedName name="SWCIRA_dues_LOW_CY">'IN ROWS'!$Y$33</definedName>
    <definedName name="SWCIRA_dues_rev_perc">'IN ROWS'!$CO$33:$CQ$33</definedName>
    <definedName name="SWCIRA_dues_rev_perFME">'IN ROWS'!$DO$33:$DQ$33</definedName>
    <definedName name="SWCIRA_dues_rev_permem" localSheetId="12">'IN ROWS'!#REF!</definedName>
    <definedName name="SWCIRA_dues_rev_permem" localSheetId="11">'IN ROWS'!#REF!</definedName>
    <definedName name="SWCIRA_dues_rev_permem">'IN ROWS'!#REF!</definedName>
    <definedName name="SWCIRA_emp">'IN ROWS'!$ED$33</definedName>
    <definedName name="SWCIRA_fANDb_cos">'IN ROWS'!$FO$33</definedName>
    <definedName name="SWCIRA_fb_cos">'IN ROWS'!$DD$33</definedName>
    <definedName name="SWCIRA_fb_cos_perFME">'IN ROWS'!$DW$33</definedName>
    <definedName name="SWCIRA_fb_cos_permem" localSheetId="12">'IN ROWS'!#REF!</definedName>
    <definedName name="SWCIRA_fb_cos_permem" localSheetId="11">'IN ROWS'!#REF!</definedName>
    <definedName name="SWCIRA_fb_cos_permem">'IN ROWS'!#REF!</definedName>
    <definedName name="SWCIRA_FB_loss">'IN ROWS'!$FY$33</definedName>
    <definedName name="SWCIRA_FB_loss_p.FME">'IN ROWS'!$IP$33</definedName>
    <definedName name="SWCIRA_FB_loss_p.mem">'IN ROWS'!$IO$33</definedName>
    <definedName name="SWCIRA_fb_min">'IN ROWS'!$EK$33</definedName>
    <definedName name="SWCIRA_fb_min_amt">'IN ROWS'!$EL$33</definedName>
    <definedName name="SWCIRA_fb_nograt_nomand">'IN ROWS'!$ER$33</definedName>
    <definedName name="SWCIRA_fb_ratio">'IN ROWS'!$GI$33</definedName>
    <definedName name="SWCIRA_fb_rev">'IN ROWS'!$FE$33</definedName>
    <definedName name="SWCIRA_fb_rev_p.FME">'IN ROWS'!$ES$33</definedName>
    <definedName name="SWCIRA_fb_rev_p.mem" localSheetId="12">'IN ROWS'!#REF!</definedName>
    <definedName name="SWCIRA_fb_rev_p.mem" localSheetId="11">'IN ROWS'!#REF!</definedName>
    <definedName name="SWCIRA_fb_rev_p.mem">'IN ROWS'!#REF!</definedName>
    <definedName name="SWCIRA_FBLoss_DuesRev">'IN ROWS'!$IQ$33</definedName>
    <definedName name="SWCIRA_FBLoss_FBSales">'IN ROWS'!$GH$33</definedName>
    <definedName name="SWCIRA_fd_cos">'IN ROWS'!$FI$33</definedName>
    <definedName name="SWCIRA_FME">'IN ROWS'!$K$33</definedName>
    <definedName name="SWCIRA_FME_p.employee">'IN ROWS'!$EJ$33</definedName>
    <definedName name="SWCIRA_food_rev">'IN ROWS'!$EY$33</definedName>
    <definedName name="SWCIRA_food_rev_perc">'IN ROWS'!$CR$33</definedName>
    <definedName name="SWCIRA_food_rev_perFME">'IN ROWS'!$DR$33</definedName>
    <definedName name="SWCIRA_food_rev_permem" localSheetId="12">'IN ROWS'!#REF!</definedName>
    <definedName name="SWCIRA_food_rev_permem" localSheetId="11">'IN ROWS'!#REF!</definedName>
    <definedName name="SWCIRA_food_rev_permem">'IN ROWS'!#REF!</definedName>
    <definedName name="SWCIRA_ForLabCosts">'IN ROWS'!$EG$33</definedName>
    <definedName name="SWCIRA_golf_cos">'IN ROWS'!$JJ$33</definedName>
    <definedName name="SWCIRA_golfexp_to_totexp_18">'IN ROWS'!$JY$33</definedName>
    <definedName name="SWCIRA_golfexp_to_totexp_mult">'IN ROWS'!$KI$33</definedName>
    <definedName name="SWCIRA_healthins_percinc">'IN ROWS'!$EI$33</definedName>
    <definedName name="SWCIRA_inc_bev_price">'IN ROWS'!$GL$33</definedName>
    <definedName name="SWCIRA_inc_menu_price">'IN ROWS'!$GJ$33</definedName>
    <definedName name="SWCIRA_inhouse_proshop">'IN ROWS'!$JI$33</definedName>
    <definedName name="SWCIRA_ins">'IN ROWS'!$DA$33</definedName>
    <definedName name="SWCIRA_ins_p.FME">'IN ROWS'!$EA$33</definedName>
    <definedName name="SWCIRA_ins_p.mem" localSheetId="12">'IN ROWS'!#REF!</definedName>
    <definedName name="SWCIRA_ins_p.mem" localSheetId="11">'IN ROWS'!#REF!</definedName>
    <definedName name="SWCIRA_ins_p.mem">'IN ROWS'!#REF!</definedName>
    <definedName name="SWCIRA_majproj">'IN ROWS'!$BE$33</definedName>
    <definedName name="SWCIRA_majproj_amt">'IN ROWS'!$BF$33</definedName>
    <definedName name="SWCIRA_mand_mem">'IN ROWS'!$G$33</definedName>
    <definedName name="SWCIRA_mand_serv_chg">'IN ROWS'!$EO$33</definedName>
    <definedName name="SWCIRA_mem">'IN ROWS'!$J$33</definedName>
    <definedName name="SWCIRA_mem_p.employee" localSheetId="12">'IN ROWS'!#REF!</definedName>
    <definedName name="SWCIRA_mem_p.employee" localSheetId="11">'IN ROWS'!#REF!</definedName>
    <definedName name="SWCIRA_mem_p.employee">'IN ROWS'!#REF!</definedName>
    <definedName name="SWCIRA_mth_serv_chg">'IN ROWS'!$EP$33</definedName>
    <definedName name="SWCIRA_mult_acre_36">'IN ROWS'!$KG$33</definedName>
    <definedName name="SWCIRA_mult_acres">'IN ROWS'!$HH$33</definedName>
    <definedName name="SWCIRA_mult_all_otherexp">'IN ROWS'!$HN$33:$HO$33</definedName>
    <definedName name="SWCIRA_mult_all_otherexp_p.hole">'IN ROWS'!$KD$33:$KE$33</definedName>
    <definedName name="SWCIRA_mult_all_otherexp_perc">'IN ROWS'!$HW$33:$HX$33</definedName>
    <definedName name="SWCIRA_mult_cost_p.acre">'IN ROWS'!$HR$33</definedName>
    <definedName name="SWCIRA_mult_cost_p.hole">'IN ROWS'!$HQ$33</definedName>
    <definedName name="SWCIRA_mult_cost_p.round">'IN ROWS'!$KH$33</definedName>
    <definedName name="SWCIRA_mult_lease_p.hole">'IN ROWS'!$KD$33</definedName>
    <definedName name="SWCIRA_mult_lease_perc">'IN ROWS'!$HW$33</definedName>
    <definedName name="SWCIRA_mult_paytax_bens">'IN ROWS'!$HK$33</definedName>
    <definedName name="SWCIRA_mult_paytax_bens_p.hole">'IN ROWS'!$KA$33</definedName>
    <definedName name="SWCIRA_mult_paytax_bens_perc">'IN ROWS'!$HT$33</definedName>
    <definedName name="SWCIRA_mult_rep_mtce">'IN ROWS'!$HM$33</definedName>
    <definedName name="SWCIRA_mult_rep_mtce_p.hole">'IN ROWS'!$KC$33</definedName>
    <definedName name="SWCIRA_mult_rep_mtce_perc">'IN ROWS'!$HV$33</definedName>
    <definedName name="SWCIRA_mult_rounds">'IN ROWS'!$HI$33</definedName>
    <definedName name="SWCIRA_mult_rounds_18">'IN ROWS'!$KF$33</definedName>
    <definedName name="SWCIRA_mult_sal_wage">'IN ROWS'!$HJ$33</definedName>
    <definedName name="SWCIRA_mult_sal_wage_perc">'IN ROWS'!$HS$33</definedName>
    <definedName name="SWCIRA_mult_salwage_p.hole">'IN ROWS'!$JZ$33</definedName>
    <definedName name="SWCIRA_mult_supplies">'IN ROWS'!$HL$33</definedName>
    <definedName name="SWCIRA_mult_supplies_p.hole">'IN ROWS'!$KB$33</definedName>
    <definedName name="SWCIRA_mult_supplies_perc">'IN ROWS'!$HU$33</definedName>
    <definedName name="SWCIRA_mult_tot_exp">'IN ROWS'!$HP$33</definedName>
    <definedName name="SWCIRA_no_fbmin_servchg">'IN ROWS'!$IK$33</definedName>
    <definedName name="SWCIRA_NoForeignLab">'IN ROWS'!$EF$33</definedName>
    <definedName name="SWCIRA_op_assmt">'IN ROWS'!$AH$33</definedName>
    <definedName name="SWCIRA_op_assmt_HIGH">'IN ROWS'!$AI$33</definedName>
    <definedName name="SWCIRA_op_assmt_LOW">'IN ROWS'!$AJ$33</definedName>
    <definedName name="SWCIRA_op_exp">'IN ROWS'!$DE$33:$DF$33</definedName>
    <definedName name="SWCIRA_op_exp_perFME">'IN ROWS'!$DX$33:$DY$33</definedName>
    <definedName name="SWCIRA_op_exp_permem" localSheetId="12">'IN ROWS'!#REF!</definedName>
    <definedName name="SWCIRA_op_exp_permem" localSheetId="11">'IN ROWS'!#REF!</definedName>
    <definedName name="SWCIRA_op_exp_permem">'IN ROWS'!#REF!</definedName>
    <definedName name="SWCIRA_ot_assmt">'IN ROWS'!$AL$33</definedName>
    <definedName name="SWCIRA_ot_assmt_perc">'IN ROWS'!$AK$33</definedName>
    <definedName name="SWCIRA_ot_rev_perc">'IN ROWS'!$CT$33</definedName>
    <definedName name="SWCIRA_ot_rev_perFME">'IN ROWS'!$DT$33</definedName>
    <definedName name="SWCIRA_ot_rev_permem" localSheetId="12">'IN ROWS'!#REF!</definedName>
    <definedName name="SWCIRA_ot_rev_permem" localSheetId="11">'IN ROWS'!#REF!</definedName>
    <definedName name="SWCIRA_ot_rev_permem">'IN ROWS'!#REF!</definedName>
    <definedName name="SWCIRA_pay">'IN ROWS'!$DC$33</definedName>
    <definedName name="SWCIRA_pay_net_servchg">'IN ROWS'!$FZ$33:$GA$33</definedName>
    <definedName name="SWCIRA_pay_p.FME">'IN ROWS'!$DV$33</definedName>
    <definedName name="SWCIRA_pay_p.mem" localSheetId="12">'IN ROWS'!#REF!</definedName>
    <definedName name="SWCIRA_pay_p.mem" localSheetId="11">'IN ROWS'!#REF!</definedName>
    <definedName name="SWCIRA_pay_p.mem">'IN ROWS'!#REF!</definedName>
    <definedName name="SWCIRA_pay_taxANDben">'IN ROWS'!$GB$33:$GC$33</definedName>
    <definedName name="SWCIRA_perc_Club_ForLab">'IN ROWS'!$EE$33</definedName>
    <definedName name="SWCIRA_PPE_NBV">'IN ROWS'!$BI$33</definedName>
    <definedName name="SWCIRA_PPE_NBV_FME">'IN ROWS'!$IG$33</definedName>
    <definedName name="SWCIRA_proptax">'IN ROWS'!$CZ$33</definedName>
    <definedName name="SWCIRA_proptax_ins_exp">'IN ROWS'!$DG$33:$DH$33</definedName>
    <definedName name="SWCIRA_proptax_ins_exp_permem" localSheetId="12">'IN ROWS'!#REF!</definedName>
    <definedName name="SWCIRA_proptax_ins_exp_permem" localSheetId="11">'IN ROWS'!#REF!</definedName>
    <definedName name="SWCIRA_proptax_ins_exp_permem">'IN ROWS'!#REF!</definedName>
    <definedName name="SWCIRA_proptax_p.FME">'IN ROWS'!$DZ$33</definedName>
    <definedName name="SWCIRA_proptax_p.mem" localSheetId="12">'IN ROWS'!#REF!</definedName>
    <definedName name="SWCIRA_proptax_p.mem" localSheetId="11">'IN ROWS'!#REF!</definedName>
    <definedName name="SWCIRA_proptax_p.mem">'IN ROWS'!#REF!</definedName>
    <definedName name="SWCIRA_ref_equity_perc_HIGH">'IN ROWS'!$IA$33</definedName>
    <definedName name="SWCIRA_ref_equity_perc_LOW">'IN ROWS'!$IB$33</definedName>
    <definedName name="SWCIRA_resignedwaitlist">'IN ROWS'!$L$33</definedName>
    <definedName name="SWCIRA_sal_wage">'IN ROWS'!$CV$33</definedName>
    <definedName name="SWCIRA_sport_rev_perc">'IN ROWS'!$CK$33:$CN$33</definedName>
    <definedName name="SWCIRA_sport_rev_perFME">'IN ROWS'!$DK$33:$DN$33</definedName>
    <definedName name="SWCIRA_sport_rev_permem" localSheetId="12">'IN ROWS'!#REF!</definedName>
    <definedName name="SWCIRA_sport_rev_permem" localSheetId="11">'IN ROWS'!#REF!</definedName>
    <definedName name="SWCIRA_sport_rev_permem">'IN ROWS'!#REF!</definedName>
    <definedName name="SWCIRA_surplus">'IN ROWS'!$JH$33</definedName>
    <definedName name="SWCIRA_tl_exp">'IN ROWS'!$DB$33</definedName>
    <definedName name="SWCIRA_tl_memcost_HIGH">'IN ROWS'!$AQ$33</definedName>
    <definedName name="SWCIRA_tl_memcost_LOW">'IN ROWS'!$AR$33</definedName>
    <definedName name="SWCIRA_tl_resp">'IN ROWS'!$D$31</definedName>
    <definedName name="SWCIRA_tl_rev">'IN ROWS'!$CJ$33</definedName>
    <definedName name="SWCIRA_TlCovers">'IN ROWS'!$EV$33</definedName>
    <definedName name="SWCIRA_TLMem_25perc">'IN ROWS'!$J$34</definedName>
    <definedName name="SWCIRA_TLMem_50perc">'IN ROWS'!$J$35</definedName>
    <definedName name="SWCIRA_TLMem_75perc">'IN ROWS'!$J$36</definedName>
    <definedName name="SWCIRA_tot_init_HIGH">'IN ROWS'!$S$33</definedName>
    <definedName name="SWCIRA_tot_init_LOW">'IN ROWS'!$V$33</definedName>
    <definedName name="SWCIRA_wkg_cap">'IN ROWS'!$BS$33</definedName>
    <definedName name="Top_10">'IN ROWS'!$GN$10</definedName>
    <definedName name="x__MailEndCompose" localSheetId="10">Q!#REF!</definedName>
    <definedName name="x__MailEndCompose" localSheetId="11">'Q 2020'!#REF!</definedName>
    <definedName name="YB_3rdparty_debt">'IN ROWS'!$BM$45</definedName>
    <definedName name="YB_3rdparty_debt_perFME">'IN ROWS'!$BW$45</definedName>
    <definedName name="YB_3rdparty_debt_permem" localSheetId="12">'IN ROWS'!#REF!</definedName>
    <definedName name="YB_3rdparty_debt_permem" localSheetId="11">'IN ROWS'!#REF!</definedName>
    <definedName name="YB_3rdparty_debt_permem">'IN ROWS'!#REF!</definedName>
    <definedName name="YB_all_ot_exp">'IN ROWS'!$GD$45:$GF$45</definedName>
    <definedName name="YB_amt_3rdpty_debt">'IN ROWS'!$BN$45</definedName>
    <definedName name="YB_amt_bev_inc">'IN ROWS'!$GM$45</definedName>
    <definedName name="YB_amt_menu_inc">'IN ROWS'!$GK$45</definedName>
    <definedName name="YB_ann_servchg">'IN ROWS'!$AP$45</definedName>
    <definedName name="YB_AR_0to30">'IN ROWS'!$AS$45</definedName>
    <definedName name="YB_AR_31to60">'IN ROWS'!$AT$45</definedName>
    <definedName name="YB_AR_61to90">'IN ROWS'!$AU$45</definedName>
    <definedName name="YB_AR_91plus">'IN ROWS'!$AV$45</definedName>
    <definedName name="YB_AvWait_ResignedMem">'IN ROWS'!$N$45</definedName>
    <definedName name="YB_BanqCovers">'IN ROWS'!$EW$45</definedName>
    <definedName name="YB_bev_cos">'IN ROWS'!$FL$45</definedName>
    <definedName name="YB_bev_rev">'IN ROWS'!$FB$45</definedName>
    <definedName name="YB_bev_rev_perc">'IN ROWS'!$CS$45</definedName>
    <definedName name="YB_bev_rev_perFME">'IN ROWS'!$DS$45</definedName>
    <definedName name="YB_bev_rev_permem" localSheetId="12">'IN ROWS'!#REF!</definedName>
    <definedName name="YB_bev_rev_permem" localSheetId="11">'IN ROWS'!#REF!</definedName>
    <definedName name="YB_bev_rev_permem">'IN ROWS'!#REF!</definedName>
    <definedName name="YB_both_fbmin_servchg">'IN ROWS'!$IL$45</definedName>
    <definedName name="YB_BudCap_addns_perFME">'IN ROWS'!$BY$45</definedName>
    <definedName name="YB_BudCap_addns_permem" localSheetId="12">'IN ROWS'!#REF!</definedName>
    <definedName name="YB_BudCap_addns_permem" localSheetId="11">'IN ROWS'!#REF!</definedName>
    <definedName name="YB_BudCap_addns_permem">'IN ROWS'!#REF!</definedName>
    <definedName name="YB_Cap_addns">'IN ROWS'!$BJ$45</definedName>
    <definedName name="YB_Cap_addns_perFME">'IN ROWS'!$BX$45</definedName>
    <definedName name="YB_Cap_addns_permem" localSheetId="12">'IN ROWS'!#REF!</definedName>
    <definedName name="YB_Cap_addns_permem" localSheetId="11">'IN ROWS'!#REF!</definedName>
    <definedName name="YB_Cap_addns_permem">'IN ROWS'!#REF!</definedName>
    <definedName name="YB_cap_assmt">'IN ROWS'!$AE$45</definedName>
    <definedName name="YB_cap_assmt_HIGH">'IN ROWS'!$AF$45</definedName>
    <definedName name="YB_cap_assmt_LOW">'IN ROWS'!$AG$45</definedName>
    <definedName name="YB_capaddn_to_depn">'IN ROWS'!$BL$45</definedName>
    <definedName name="YB_dues_Dec_HIGH">'IN ROWS'!$IE$45</definedName>
    <definedName name="YB_dues_Dec_LOW">'IN ROWS'!$IF$45</definedName>
    <definedName name="YB_dues_HIGH_AY">'IN ROWS'!$X$45</definedName>
    <definedName name="YB_dues_HIGH_CY">'IN ROWS'!$W$45</definedName>
    <definedName name="YB_dues_Inc_HIGH">'IN ROWS'!$IC$45</definedName>
    <definedName name="YB_dues_Inc_LOW">'IN ROWS'!$ID$45</definedName>
    <definedName name="YB_dues_LOW_AY">'IN ROWS'!$Z$45</definedName>
    <definedName name="YB_dues_LOW_CY">'IN ROWS'!$Y$45</definedName>
    <definedName name="YB_dues_rev_perc">'IN ROWS'!$CO$45:$CQ$45</definedName>
    <definedName name="YB_dues_rev_perFME">'IN ROWS'!$DO$45:$DQ$45</definedName>
    <definedName name="YB_dues_rev_permem" localSheetId="12">'IN ROWS'!#REF!</definedName>
    <definedName name="YB_dues_rev_permem" localSheetId="11">'IN ROWS'!#REF!</definedName>
    <definedName name="YB_dues_rev_permem">'IN ROWS'!#REF!</definedName>
    <definedName name="YB_emp">'IN ROWS'!$ED$45</definedName>
    <definedName name="YB_fANDb_cos">'IN ROWS'!$FO$45</definedName>
    <definedName name="YB_fb_cos">'IN ROWS'!$DD$45</definedName>
    <definedName name="YB_fb_cos_perFME">'IN ROWS'!$DW$45</definedName>
    <definedName name="YB_fb_cos_permem" localSheetId="12">'IN ROWS'!#REF!</definedName>
    <definedName name="YB_fb_cos_permem" localSheetId="11">'IN ROWS'!#REF!</definedName>
    <definedName name="YB_fb_cos_permem">'IN ROWS'!#REF!</definedName>
    <definedName name="YB_FB_loss">'IN ROWS'!$FY$45</definedName>
    <definedName name="YB_FB_loss_p.FME">'IN ROWS'!$IP$45</definedName>
    <definedName name="YB_FB_loss_p.mem">'IN ROWS'!$IO$45</definedName>
    <definedName name="YB_fb_min">'IN ROWS'!$EK$45</definedName>
    <definedName name="YB_fb_min_amt">'IN ROWS'!$EL$45</definedName>
    <definedName name="YB_fb_nograt_nomand">'IN ROWS'!$ER$45</definedName>
    <definedName name="YB_fb_ratio">'IN ROWS'!$GI$45</definedName>
    <definedName name="YB_fb_rev">'IN ROWS'!$FE$45</definedName>
    <definedName name="YB_fb_rev_p.FME">'IN ROWS'!$ES$45</definedName>
    <definedName name="YB_fb_rev_p.mem" localSheetId="12">'IN ROWS'!#REF!</definedName>
    <definedName name="YB_fb_rev_p.mem" localSheetId="11">'IN ROWS'!#REF!</definedName>
    <definedName name="YB_fb_rev_p.mem">'IN ROWS'!#REF!</definedName>
    <definedName name="YB_FBLoss_DuesRev">'IN ROWS'!$IQ$45</definedName>
    <definedName name="YB_FBLoss_FBSales">'IN ROWS'!$GH$45</definedName>
    <definedName name="YB_fd_cos">'IN ROWS'!$FI$45</definedName>
    <definedName name="YB_FME">'IN ROWS'!$K$45</definedName>
    <definedName name="YB_FME_p.employee">'IN ROWS'!$EJ$45</definedName>
    <definedName name="YB_food_rev">'IN ROWS'!$EY$45</definedName>
    <definedName name="YB_food_rev_perc">'IN ROWS'!$CR$45</definedName>
    <definedName name="YB_food_rev_perFME">'IN ROWS'!$DR$45</definedName>
    <definedName name="YB_food_rev_permem" localSheetId="12">'IN ROWS'!#REF!</definedName>
    <definedName name="YB_food_rev_permem" localSheetId="11">'IN ROWS'!#REF!</definedName>
    <definedName name="YB_food_rev_permem">'IN ROWS'!#REF!</definedName>
    <definedName name="YB_ForLabCosts">'IN ROWS'!$EG$45</definedName>
    <definedName name="YB_healthins_percinc">'IN ROWS'!$EI$45</definedName>
    <definedName name="YB_inc_bev_price">'IN ROWS'!$GL$45</definedName>
    <definedName name="YB_inc_menu_price">'IN ROWS'!$GJ$45</definedName>
    <definedName name="YB_ins">'IN ROWS'!$DA$45</definedName>
    <definedName name="YB_ins_p.FME">'IN ROWS'!$EA$45</definedName>
    <definedName name="YB_ins_p.mem" localSheetId="12">'IN ROWS'!#REF!</definedName>
    <definedName name="YB_ins_p.mem" localSheetId="11">'IN ROWS'!#REF!</definedName>
    <definedName name="YB_ins_p.mem">'IN ROWS'!#REF!</definedName>
    <definedName name="YB_majproj">'IN ROWS'!$BE$45</definedName>
    <definedName name="YB_majproj_amt">'IN ROWS'!$BF$45</definedName>
    <definedName name="YB_mand_mem">'IN ROWS'!$G$45</definedName>
    <definedName name="YB_mand_serv_chg">'IN ROWS'!$EO$45</definedName>
    <definedName name="YB_mem">'IN ROWS'!$J$45</definedName>
    <definedName name="YB_mem_p.employee" localSheetId="12">'IN ROWS'!#REF!</definedName>
    <definedName name="YB_mem_p.employee" localSheetId="11">'IN ROWS'!#REF!</definedName>
    <definedName name="YB_mem_p.employee">'IN ROWS'!#REF!</definedName>
    <definedName name="YB_mth_serv_chg">'IN ROWS'!$EP$45</definedName>
    <definedName name="YB_no_fbmin_servchg">'IN ROWS'!$IK$45</definedName>
    <definedName name="YB_NoForeignLab">'IN ROWS'!$EF$45</definedName>
    <definedName name="YB_op_assmt">'IN ROWS'!$AH$45</definedName>
    <definedName name="YB_op_assmt_HIGH">'IN ROWS'!$AI$45</definedName>
    <definedName name="YB_op_assmt_LOW">'IN ROWS'!$AJ$45</definedName>
    <definedName name="YB_op_exp">'IN ROWS'!$DE$45:$DF$45</definedName>
    <definedName name="YB_op_exp_perFME">'IN ROWS'!$DX$45:$DY$45</definedName>
    <definedName name="YB_op_exp_permem" localSheetId="12">'IN ROWS'!#REF!</definedName>
    <definedName name="YB_op_exp_permem" localSheetId="11">'IN ROWS'!#REF!</definedName>
    <definedName name="YB_op_exp_permem">'IN ROWS'!#REF!</definedName>
    <definedName name="YB_ot_assmt">'IN ROWS'!$AL$45</definedName>
    <definedName name="YB_ot_assmt_perc">'IN ROWS'!$AK$45</definedName>
    <definedName name="YB_ot_rev_perc">'IN ROWS'!$CT$45</definedName>
    <definedName name="YB_ot_rev_perFME">'IN ROWS'!$DT$45</definedName>
    <definedName name="YB_ot_rev_permem" localSheetId="12">'IN ROWS'!#REF!</definedName>
    <definedName name="YB_ot_rev_permem" localSheetId="11">'IN ROWS'!#REF!</definedName>
    <definedName name="YB_ot_rev_permem">'IN ROWS'!#REF!</definedName>
    <definedName name="YB_pay">'IN ROWS'!$DC$45</definedName>
    <definedName name="YB_pay_net_servchg">'IN ROWS'!$FZ$45:$GA$45</definedName>
    <definedName name="YB_pay_p.FME">'IN ROWS'!$DV$45</definedName>
    <definedName name="YB_pay_p.mem" localSheetId="12">'IN ROWS'!#REF!</definedName>
    <definedName name="YB_pay_p.mem" localSheetId="11">'IN ROWS'!#REF!</definedName>
    <definedName name="YB_pay_p.mem">'IN ROWS'!#REF!</definedName>
    <definedName name="YB_pay_taxANDben">'IN ROWS'!$GB$45:$GC$45</definedName>
    <definedName name="YB_perc_Club_ForLab">'IN ROWS'!$EE$45</definedName>
    <definedName name="YB_PPE_NBV">'IN ROWS'!$BI$45</definedName>
    <definedName name="YB_PPE_NBV_FME">'IN ROWS'!$IG$45</definedName>
    <definedName name="YB_proptax">'IN ROWS'!$CZ$45</definedName>
    <definedName name="YB_proptax_ins_exp">'IN ROWS'!$DG$45:$DH$45</definedName>
    <definedName name="YB_proptax_ins_exp_permem" localSheetId="12">'IN ROWS'!#REF!</definedName>
    <definedName name="YB_proptax_ins_exp_permem" localSheetId="11">'IN ROWS'!#REF!</definedName>
    <definedName name="YB_proptax_ins_exp_permem">'IN ROWS'!#REF!</definedName>
    <definedName name="YB_proptax_p.FME">'IN ROWS'!$DZ$45</definedName>
    <definedName name="YB_proptax_p.mem" localSheetId="12">'IN ROWS'!#REF!</definedName>
    <definedName name="YB_proptax_p.mem" localSheetId="11">'IN ROWS'!#REF!</definedName>
    <definedName name="YB_proptax_p.mem">'IN ROWS'!#REF!</definedName>
    <definedName name="YB_ref_equity_perc_HIGH">'IN ROWS'!$IA$45</definedName>
    <definedName name="YB_ref_equity_perc_LOW">'IN ROWS'!$IB$45</definedName>
    <definedName name="YB_resignedwaitlist">'IN ROWS'!$L$45</definedName>
    <definedName name="YB_sal_wage">'IN ROWS'!$CV$45</definedName>
    <definedName name="YB_sport_rev_perc">'IN ROWS'!$CK$45:$CN$45</definedName>
    <definedName name="YB_sport_rev_perFME">'IN ROWS'!$DK$45:$DN$45</definedName>
    <definedName name="YB_sport_rev_permem" localSheetId="12">'IN ROWS'!#REF!</definedName>
    <definedName name="YB_sport_rev_permem" localSheetId="11">'IN ROWS'!#REF!</definedName>
    <definedName name="YB_sport_rev_permem">'IN ROWS'!#REF!</definedName>
    <definedName name="YB_surplus">'IN ROWS'!$JH$45</definedName>
    <definedName name="YB_tl_exp">'IN ROWS'!$DB$45</definedName>
    <definedName name="YB_tl_memcost_HIGH">'IN ROWS'!$AQ$45</definedName>
    <definedName name="YB_tl_memcost_LOW">'IN ROWS'!$AR$45</definedName>
    <definedName name="YB_tl_resp">'IN ROWS'!$D$43</definedName>
    <definedName name="YB_tl_rev">'IN ROWS'!$CJ$45</definedName>
    <definedName name="YB_TlCovers">'IN ROWS'!$EV$45</definedName>
    <definedName name="YB_TLMem_25perc">'IN ROWS'!$J$46</definedName>
    <definedName name="YB_TLMem_50perc">'IN ROWS'!$J$47</definedName>
    <definedName name="YB_TLMem_75perc">'IN ROWS'!$J$48</definedName>
    <definedName name="YB_tot_init_HIGH">'IN ROWS'!$S$45</definedName>
    <definedName name="YB_tot_init_LOW">'IN ROWS'!$V$45</definedName>
    <definedName name="YB_wkg_cap">'IN ROWS'!$BS$45</definedName>
    <definedName name="zz" localSheetId="12">'in columns'!#REF!</definedName>
    <definedName name="zz" localSheetId="11">'in columns'!#REF!</definedName>
    <definedName name="zz">'in columns'!#REF!</definedName>
  </definedNames>
  <calcPr calcId="152511"/>
</workbook>
</file>

<file path=xl/calcChain.xml><?xml version="1.0" encoding="utf-8"?>
<calcChain xmlns="http://schemas.openxmlformats.org/spreadsheetml/2006/main">
  <c r="C45" i="7" l="1"/>
  <c r="K43" i="2"/>
  <c r="GP4" i="2"/>
  <c r="IA57" i="2"/>
  <c r="W160" i="20"/>
  <c r="J192" i="20" l="1"/>
  <c r="J191" i="20"/>
  <c r="J190" i="20"/>
  <c r="J210" i="20"/>
  <c r="J211" i="20"/>
  <c r="J212" i="20"/>
  <c r="DJ279" i="1"/>
  <c r="DJ277" i="1"/>
  <c r="GO81" i="2" l="1"/>
  <c r="GO111" i="2"/>
  <c r="HH128" i="2"/>
  <c r="HH106" i="2"/>
  <c r="HH81" i="2" l="1"/>
  <c r="HH58" i="2"/>
  <c r="HH59" i="2"/>
  <c r="HH60" i="2"/>
  <c r="HH61" i="2"/>
  <c r="HH62" i="2"/>
  <c r="HH63" i="2"/>
  <c r="HH64" i="2"/>
  <c r="HH66" i="2"/>
  <c r="HH67" i="2"/>
  <c r="HH68" i="2"/>
  <c r="HH69" i="2"/>
  <c r="HH70" i="2"/>
  <c r="HH71" i="2"/>
  <c r="HH72" i="2"/>
  <c r="HH73" i="2"/>
  <c r="HH74" i="2"/>
  <c r="HH75" i="2"/>
  <c r="HH76" i="2"/>
  <c r="HH77" i="2"/>
  <c r="HH78" i="2"/>
  <c r="HH79" i="2"/>
  <c r="HH80" i="2"/>
  <c r="HH82" i="2"/>
  <c r="HH83" i="2"/>
  <c r="HH84" i="2"/>
  <c r="HH85" i="2"/>
  <c r="HH86" i="2"/>
  <c r="HH87" i="2"/>
  <c r="HH88" i="2"/>
  <c r="HH89" i="2"/>
  <c r="HH90" i="2"/>
  <c r="HH91" i="2"/>
  <c r="HH92" i="2"/>
  <c r="HH93" i="2"/>
  <c r="HH95" i="2"/>
  <c r="HH96" i="2"/>
  <c r="HH97" i="2"/>
  <c r="HH98" i="2"/>
  <c r="HH99" i="2"/>
  <c r="HH100" i="2"/>
  <c r="HH101" i="2"/>
  <c r="HH102" i="2"/>
  <c r="HH103" i="2"/>
  <c r="HH104" i="2"/>
  <c r="HH105" i="2"/>
  <c r="HH107" i="2"/>
  <c r="HH108" i="2"/>
  <c r="HH109" i="2"/>
  <c r="HH110" i="2"/>
  <c r="HH112" i="2"/>
  <c r="HH113" i="2"/>
  <c r="HH114" i="2"/>
  <c r="HH115" i="2"/>
  <c r="HH116" i="2"/>
  <c r="HH117" i="2"/>
  <c r="HH118" i="2"/>
  <c r="HH119" i="2"/>
  <c r="HH120" i="2"/>
  <c r="HH121" i="2"/>
  <c r="HH122" i="2"/>
  <c r="HH123" i="2"/>
  <c r="HH124" i="2"/>
  <c r="HH125" i="2"/>
  <c r="HH126" i="2"/>
  <c r="HH127" i="2"/>
  <c r="HH129" i="2"/>
  <c r="HH130" i="2"/>
  <c r="HH131" i="2"/>
  <c r="HH133" i="2"/>
  <c r="HH134" i="2"/>
  <c r="HH135" i="2"/>
  <c r="HH136" i="2"/>
  <c r="HH138" i="2"/>
  <c r="HH139" i="2"/>
  <c r="HH140" i="2"/>
  <c r="HH141" i="2"/>
  <c r="HH142" i="2"/>
  <c r="HH143" i="2"/>
  <c r="HH144" i="2"/>
  <c r="HH145" i="2"/>
  <c r="HH146" i="2"/>
  <c r="HH147" i="2"/>
  <c r="HH148" i="2"/>
  <c r="HH149" i="2"/>
  <c r="HH150" i="2"/>
  <c r="HH151" i="2"/>
  <c r="HH152" i="2"/>
  <c r="HH153" i="2"/>
  <c r="HH154" i="2"/>
  <c r="HH155" i="2"/>
  <c r="HH156" i="2"/>
  <c r="HH157" i="2"/>
  <c r="HH158" i="2"/>
  <c r="HH159" i="2"/>
  <c r="HH160" i="2"/>
  <c r="HH161" i="2"/>
  <c r="HH162" i="2"/>
  <c r="HH163" i="2"/>
  <c r="HH164" i="2"/>
  <c r="HH165" i="2"/>
  <c r="HH166" i="2"/>
  <c r="HH167" i="2"/>
  <c r="HH168" i="2"/>
  <c r="HH169" i="2"/>
  <c r="HH170" i="2"/>
  <c r="HH171" i="2"/>
  <c r="HH172" i="2"/>
  <c r="HH173" i="2"/>
  <c r="HH174" i="2"/>
  <c r="HH175" i="2"/>
  <c r="X122" i="20" l="1"/>
  <c r="V262" i="18" l="1"/>
  <c r="U262" i="18"/>
  <c r="U263" i="18"/>
  <c r="V263" i="18"/>
  <c r="CX104" i="1" l="1"/>
  <c r="S58" i="2" l="1"/>
  <c r="HT296" i="1"/>
  <c r="HT300" i="1" s="1"/>
  <c r="HU294" i="1"/>
  <c r="HU293" i="1"/>
  <c r="HU292" i="1"/>
  <c r="HU291" i="1"/>
  <c r="HT275" i="1"/>
  <c r="HU271" i="1" s="1"/>
  <c r="HU273" i="1"/>
  <c r="HU272" i="1"/>
  <c r="HT236" i="1"/>
  <c r="HT230" i="1"/>
  <c r="HU230" i="1" s="1"/>
  <c r="HT229" i="1"/>
  <c r="HU236" i="1" s="1"/>
  <c r="HT225" i="1"/>
  <c r="HU225" i="1" s="1"/>
  <c r="HT224" i="1"/>
  <c r="HT227" i="1" s="1"/>
  <c r="HU227" i="1" s="1"/>
  <c r="HT222" i="1"/>
  <c r="HU222" i="1" s="1"/>
  <c r="HT219" i="1"/>
  <c r="HU220" i="1" s="1"/>
  <c r="HT207" i="1"/>
  <c r="HT205" i="1"/>
  <c r="HT203" i="1"/>
  <c r="HT202" i="1"/>
  <c r="HT197" i="1"/>
  <c r="HT196" i="1"/>
  <c r="HT177" i="1"/>
  <c r="HT176" i="1"/>
  <c r="HT167" i="1"/>
  <c r="HT166" i="1"/>
  <c r="HT165" i="1"/>
  <c r="HT159" i="1"/>
  <c r="HT158" i="1"/>
  <c r="HT146" i="1"/>
  <c r="HT175" i="1" s="1"/>
  <c r="HT140" i="1"/>
  <c r="HU133" i="1" s="1"/>
  <c r="HU136" i="1"/>
  <c r="HU135" i="1"/>
  <c r="HU134" i="1"/>
  <c r="HU131" i="1"/>
  <c r="HU130" i="1"/>
  <c r="HU129" i="1"/>
  <c r="HT122" i="1"/>
  <c r="HT121" i="1"/>
  <c r="HT119" i="1"/>
  <c r="HT115" i="1"/>
  <c r="HT114" i="1"/>
  <c r="HT107" i="1"/>
  <c r="HT104" i="1"/>
  <c r="HT98" i="1"/>
  <c r="HT123" i="1" s="1"/>
  <c r="HT85" i="1"/>
  <c r="HT75" i="1"/>
  <c r="HT69" i="1"/>
  <c r="HT51" i="1"/>
  <c r="HT52" i="1" s="1"/>
  <c r="HT36" i="1"/>
  <c r="HT21" i="1"/>
  <c r="HT164" i="1" s="1"/>
  <c r="HT20" i="1"/>
  <c r="HU239" i="1" l="1"/>
  <c r="HT238" i="1"/>
  <c r="HU137" i="1"/>
  <c r="HT160" i="1"/>
  <c r="HT169" i="1"/>
  <c r="HT209" i="1"/>
  <c r="HU224" i="1"/>
  <c r="HU240" i="1"/>
  <c r="HT249" i="1"/>
  <c r="HU275" i="1"/>
  <c r="HU138" i="1"/>
  <c r="HT161" i="1"/>
  <c r="HT172" i="1"/>
  <c r="HT192" i="1"/>
  <c r="HT232" i="1"/>
  <c r="HU241" i="1"/>
  <c r="HU268" i="1"/>
  <c r="HT277" i="1"/>
  <c r="HT162" i="1"/>
  <c r="HT173" i="1"/>
  <c r="HU242" i="1"/>
  <c r="HU269" i="1"/>
  <c r="HT279" i="1"/>
  <c r="HU296" i="1"/>
  <c r="HU132" i="1"/>
  <c r="HU140" i="1"/>
  <c r="HT150" i="1"/>
  <c r="HT163" i="1"/>
  <c r="HT174" i="1"/>
  <c r="HU219" i="1"/>
  <c r="HU243" i="1"/>
  <c r="HU270" i="1"/>
  <c r="HU289" i="1"/>
  <c r="HT298" i="1"/>
  <c r="HU229" i="1"/>
  <c r="HU290" i="1"/>
  <c r="HU150" i="1" l="1"/>
  <c r="HU143" i="1"/>
  <c r="HU144" i="1"/>
  <c r="HT152" i="1"/>
  <c r="HT181" i="1" s="1"/>
  <c r="HU148" i="1"/>
  <c r="HU147" i="1"/>
  <c r="HT179" i="1"/>
  <c r="HU145" i="1"/>
  <c r="HU146" i="1"/>
  <c r="HT245" i="1"/>
  <c r="HU245" i="1" s="1"/>
  <c r="HU238" i="1"/>
  <c r="HU232" i="1"/>
  <c r="HT247" i="1"/>
  <c r="HT210" i="1" l="1"/>
  <c r="HU247" i="1"/>
  <c r="IC65" i="2" l="1"/>
  <c r="G184" i="40"/>
  <c r="HP225" i="1"/>
  <c r="HH300" i="1"/>
  <c r="HH298" i="1"/>
  <c r="HH296" i="1"/>
  <c r="HI296" i="1" s="1"/>
  <c r="HI294" i="1"/>
  <c r="HI293" i="1"/>
  <c r="HI292" i="1"/>
  <c r="HI291" i="1"/>
  <c r="HI290" i="1"/>
  <c r="HI289" i="1"/>
  <c r="HH275" i="1"/>
  <c r="HI271" i="1" s="1"/>
  <c r="HI273" i="1"/>
  <c r="HH245" i="1"/>
  <c r="HI225" i="1"/>
  <c r="HH225" i="1"/>
  <c r="HH230" i="1" s="1"/>
  <c r="HH224" i="1"/>
  <c r="HI224" i="1" s="1"/>
  <c r="HI220" i="1"/>
  <c r="HH219" i="1"/>
  <c r="HH249" i="1" s="1"/>
  <c r="HH205" i="1"/>
  <c r="HH203" i="1"/>
  <c r="HH202" i="1"/>
  <c r="HH207" i="1" s="1"/>
  <c r="HH197" i="1"/>
  <c r="HH196" i="1"/>
  <c r="HH175" i="1"/>
  <c r="HH164" i="1"/>
  <c r="HH152" i="1"/>
  <c r="HH181" i="1" s="1"/>
  <c r="HI150" i="1"/>
  <c r="HH150" i="1"/>
  <c r="HI146" i="1" s="1"/>
  <c r="HI148" i="1"/>
  <c r="HI147" i="1"/>
  <c r="HI144" i="1"/>
  <c r="HI143" i="1"/>
  <c r="HI140" i="1"/>
  <c r="HH140" i="1"/>
  <c r="HH169" i="1" s="1"/>
  <c r="HI138" i="1"/>
  <c r="HI137" i="1"/>
  <c r="HI134" i="1"/>
  <c r="HI133" i="1"/>
  <c r="HI132" i="1"/>
  <c r="HI131" i="1"/>
  <c r="HI130" i="1"/>
  <c r="HI129" i="1"/>
  <c r="HH119" i="1"/>
  <c r="HH115" i="1"/>
  <c r="HH114" i="1"/>
  <c r="HH104" i="1"/>
  <c r="HH98" i="1"/>
  <c r="HH123" i="1" s="1"/>
  <c r="HH85" i="1"/>
  <c r="HH69" i="1"/>
  <c r="HH75" i="1" s="1"/>
  <c r="HH51" i="1"/>
  <c r="HH52" i="1" s="1"/>
  <c r="HH36" i="1"/>
  <c r="HH21" i="1"/>
  <c r="HH173" i="1" s="1"/>
  <c r="HH20" i="1"/>
  <c r="FL296" i="1"/>
  <c r="FL300" i="1" s="1"/>
  <c r="FM291" i="1"/>
  <c r="FL275" i="1"/>
  <c r="FM271" i="1" s="1"/>
  <c r="FM272" i="1"/>
  <c r="FL225" i="1"/>
  <c r="FL227" i="1" s="1"/>
  <c r="FM227" i="1" s="1"/>
  <c r="FM224" i="1"/>
  <c r="FL224" i="1"/>
  <c r="FL229" i="1" s="1"/>
  <c r="FM220" i="1"/>
  <c r="FM219" i="1"/>
  <c r="FL219" i="1"/>
  <c r="FL249" i="1" s="1"/>
  <c r="FL205" i="1"/>
  <c r="FL203" i="1"/>
  <c r="FL202" i="1"/>
  <c r="FL197" i="1"/>
  <c r="FL196" i="1"/>
  <c r="FL177" i="1"/>
  <c r="FL175" i="1"/>
  <c r="FL166" i="1"/>
  <c r="FL164" i="1"/>
  <c r="FL158" i="1"/>
  <c r="FM150" i="1"/>
  <c r="FL150" i="1"/>
  <c r="FM148" i="1" s="1"/>
  <c r="FM144" i="1"/>
  <c r="FM140" i="1"/>
  <c r="FL140" i="1"/>
  <c r="FM138" i="1" s="1"/>
  <c r="FM134" i="1"/>
  <c r="FM132" i="1"/>
  <c r="FM131" i="1"/>
  <c r="FL121" i="1"/>
  <c r="FL119" i="1"/>
  <c r="FL115" i="1"/>
  <c r="FL114" i="1"/>
  <c r="FL104" i="1"/>
  <c r="FL98" i="1"/>
  <c r="FL123" i="1" s="1"/>
  <c r="FL85" i="1"/>
  <c r="FL69" i="1"/>
  <c r="FL75" i="1" s="1"/>
  <c r="FL51" i="1"/>
  <c r="FL52" i="1" s="1"/>
  <c r="FL36" i="1"/>
  <c r="FL21" i="1"/>
  <c r="FL174" i="1" s="1"/>
  <c r="FL20" i="1"/>
  <c r="AD300" i="1"/>
  <c r="AD298" i="1"/>
  <c r="AD296" i="1"/>
  <c r="AE296" i="1" s="1"/>
  <c r="AE294" i="1"/>
  <c r="AE293" i="1"/>
  <c r="AE292" i="1"/>
  <c r="AE291" i="1"/>
  <c r="AE290" i="1"/>
  <c r="AE289" i="1"/>
  <c r="AD275" i="1"/>
  <c r="AD279" i="1" s="1"/>
  <c r="AE273" i="1"/>
  <c r="AE271" i="1"/>
  <c r="AE270" i="1"/>
  <c r="AD230" i="1"/>
  <c r="AE230" i="1" s="1"/>
  <c r="AD229" i="1"/>
  <c r="AE243" i="1" s="1"/>
  <c r="AD227" i="1"/>
  <c r="AE227" i="1" s="1"/>
  <c r="AE225" i="1"/>
  <c r="AD225" i="1"/>
  <c r="AD224" i="1"/>
  <c r="AE224" i="1" s="1"/>
  <c r="AD222" i="1"/>
  <c r="AE222" i="1" s="1"/>
  <c r="AE219" i="1"/>
  <c r="AD219" i="1"/>
  <c r="AD249" i="1" s="1"/>
  <c r="AD207" i="1"/>
  <c r="AD205" i="1"/>
  <c r="AD203" i="1"/>
  <c r="AD202" i="1"/>
  <c r="AD238" i="1" s="1"/>
  <c r="AD197" i="1"/>
  <c r="AD196" i="1"/>
  <c r="AD177" i="1"/>
  <c r="AD176" i="1"/>
  <c r="AD174" i="1"/>
  <c r="AD173" i="1"/>
  <c r="AD167" i="1"/>
  <c r="AD166" i="1"/>
  <c r="AD165" i="1"/>
  <c r="AD164" i="1"/>
  <c r="AD163" i="1"/>
  <c r="AD162" i="1"/>
  <c r="AD159" i="1"/>
  <c r="AD158" i="1"/>
  <c r="AD152" i="1"/>
  <c r="AD181" i="1" s="1"/>
  <c r="AD150" i="1"/>
  <c r="AE148" i="1" s="1"/>
  <c r="AD146" i="1"/>
  <c r="AE146" i="1" s="1"/>
  <c r="AE144" i="1"/>
  <c r="AE140" i="1"/>
  <c r="AD140" i="1"/>
  <c r="AE138" i="1" s="1"/>
  <c r="AE134" i="1"/>
  <c r="AE132" i="1"/>
  <c r="AE131" i="1"/>
  <c r="AD123" i="1"/>
  <c r="AD122" i="1"/>
  <c r="AD121" i="1"/>
  <c r="AD119" i="1"/>
  <c r="AD115" i="1"/>
  <c r="AD114" i="1"/>
  <c r="AD104" i="1"/>
  <c r="AD98" i="1"/>
  <c r="AD85" i="1"/>
  <c r="AD69" i="1"/>
  <c r="AD75" i="1" s="1"/>
  <c r="AD51" i="1"/>
  <c r="AD52" i="1" s="1"/>
  <c r="AD36" i="1"/>
  <c r="AD21" i="1"/>
  <c r="AD192" i="1" s="1"/>
  <c r="AD20" i="1"/>
  <c r="EJ21" i="1"/>
  <c r="C203" i="40"/>
  <c r="CX150" i="1"/>
  <c r="CX152" i="1" s="1"/>
  <c r="CX181" i="1" s="1"/>
  <c r="CX140" i="1"/>
  <c r="CY133" i="1" s="1"/>
  <c r="CX98" i="1"/>
  <c r="CX296" i="1"/>
  <c r="CX300" i="1" s="1"/>
  <c r="CX249" i="1"/>
  <c r="CY294" i="1"/>
  <c r="CY293" i="1"/>
  <c r="CY292" i="1"/>
  <c r="CY289" i="1"/>
  <c r="CY275" i="1"/>
  <c r="CY273" i="1"/>
  <c r="CY272" i="1"/>
  <c r="CY271" i="1"/>
  <c r="CY270" i="1"/>
  <c r="CY269" i="1"/>
  <c r="CY268" i="1"/>
  <c r="CY247" i="1"/>
  <c r="CY245" i="1"/>
  <c r="CY243" i="1"/>
  <c r="CY242" i="1"/>
  <c r="CY241" i="1"/>
  <c r="CY240" i="1"/>
  <c r="CY239" i="1"/>
  <c r="CY238" i="1"/>
  <c r="CY236" i="1"/>
  <c r="CY229" i="1"/>
  <c r="CY225" i="1"/>
  <c r="CY224" i="1"/>
  <c r="CY220" i="1"/>
  <c r="CY219" i="1"/>
  <c r="CY147" i="1"/>
  <c r="CY146" i="1"/>
  <c r="CY145" i="1"/>
  <c r="CY138" i="1"/>
  <c r="CY137" i="1"/>
  <c r="CY136" i="1"/>
  <c r="CY135" i="1"/>
  <c r="CY134" i="1"/>
  <c r="CY131" i="1"/>
  <c r="CY130" i="1"/>
  <c r="CY129" i="1"/>
  <c r="CX238" i="1"/>
  <c r="CX225" i="1"/>
  <c r="CX230" i="1" s="1"/>
  <c r="CY230" i="1" s="1"/>
  <c r="CX224" i="1"/>
  <c r="CX229" i="1" s="1"/>
  <c r="CX222" i="1"/>
  <c r="CY222" i="1" s="1"/>
  <c r="CX219" i="1"/>
  <c r="CX210" i="1"/>
  <c r="CX205" i="1"/>
  <c r="CX203" i="1"/>
  <c r="CX202" i="1"/>
  <c r="CX207" i="1" s="1"/>
  <c r="CX197" i="1"/>
  <c r="CX196" i="1"/>
  <c r="CX192" i="1"/>
  <c r="CX179" i="1"/>
  <c r="CX177" i="1"/>
  <c r="CX176" i="1"/>
  <c r="CX175" i="1"/>
  <c r="CX174" i="1"/>
  <c r="CX173" i="1"/>
  <c r="CX172" i="1"/>
  <c r="CX167" i="1"/>
  <c r="CX166" i="1"/>
  <c r="CX165" i="1"/>
  <c r="CX164" i="1"/>
  <c r="CX163" i="1"/>
  <c r="CX162" i="1"/>
  <c r="CX161" i="1"/>
  <c r="CX160" i="1"/>
  <c r="CX159" i="1"/>
  <c r="CX158" i="1"/>
  <c r="CX123" i="1"/>
  <c r="CX122" i="1"/>
  <c r="CX121" i="1"/>
  <c r="CX119" i="1"/>
  <c r="CX115" i="1"/>
  <c r="CX114" i="1"/>
  <c r="CX75" i="1"/>
  <c r="CX69" i="1"/>
  <c r="CX51" i="1"/>
  <c r="CX52" i="1" s="1"/>
  <c r="CX36" i="1"/>
  <c r="CX21" i="1"/>
  <c r="CX20" i="1"/>
  <c r="DT298" i="1"/>
  <c r="DT296" i="1"/>
  <c r="DT300" i="1" s="1"/>
  <c r="DU294" i="1"/>
  <c r="DU293" i="1"/>
  <c r="DU292" i="1"/>
  <c r="DU291" i="1"/>
  <c r="DU290" i="1"/>
  <c r="DU289" i="1"/>
  <c r="DT275" i="1"/>
  <c r="DU271" i="1" s="1"/>
  <c r="DU272" i="1"/>
  <c r="DU270" i="1"/>
  <c r="DT230" i="1"/>
  <c r="DU225" i="1"/>
  <c r="DT225" i="1"/>
  <c r="DT224" i="1"/>
  <c r="DT227" i="1" s="1"/>
  <c r="DU227" i="1" s="1"/>
  <c r="DU220" i="1"/>
  <c r="DT219" i="1"/>
  <c r="DU219" i="1" s="1"/>
  <c r="DT205" i="1"/>
  <c r="DT203" i="1"/>
  <c r="DT202" i="1"/>
  <c r="DT197" i="1"/>
  <c r="DT196" i="1"/>
  <c r="DT175" i="1"/>
  <c r="DT164" i="1"/>
  <c r="DT146" i="1"/>
  <c r="DT150" i="1" s="1"/>
  <c r="DT132" i="1"/>
  <c r="DT129" i="1"/>
  <c r="DT140" i="1" s="1"/>
  <c r="DT122" i="1"/>
  <c r="DT119" i="1"/>
  <c r="DT115" i="1"/>
  <c r="DT114" i="1"/>
  <c r="DT104" i="1"/>
  <c r="DT98" i="1"/>
  <c r="DT123" i="1" s="1"/>
  <c r="DT85" i="1"/>
  <c r="DT67" i="1"/>
  <c r="DT69" i="1" s="1"/>
  <c r="DT75" i="1" s="1"/>
  <c r="DT52" i="1"/>
  <c r="DT51" i="1"/>
  <c r="DT36" i="1"/>
  <c r="DT21" i="1"/>
  <c r="DT174" i="1" s="1"/>
  <c r="DT20" i="1"/>
  <c r="GO70" i="2"/>
  <c r="GY70" i="2"/>
  <c r="EB300" i="1"/>
  <c r="EB298" i="1"/>
  <c r="EB296" i="1"/>
  <c r="EC296" i="1" s="1"/>
  <c r="EC294" i="1"/>
  <c r="EC293" i="1"/>
  <c r="EC292" i="1"/>
  <c r="EC291" i="1"/>
  <c r="EC290" i="1"/>
  <c r="EC289" i="1"/>
  <c r="EB275" i="1"/>
  <c r="EC270" i="1" s="1"/>
  <c r="EC271" i="1"/>
  <c r="EB230" i="1"/>
  <c r="EB225" i="1"/>
  <c r="EC225" i="1" s="1"/>
  <c r="EB224" i="1"/>
  <c r="EB227" i="1" s="1"/>
  <c r="EC227" i="1" s="1"/>
  <c r="EB222" i="1"/>
  <c r="EC222" i="1" s="1"/>
  <c r="EC220" i="1"/>
  <c r="EC219" i="1"/>
  <c r="EB219" i="1"/>
  <c r="EB205" i="1"/>
  <c r="EB203" i="1"/>
  <c r="EB202" i="1"/>
  <c r="EB207" i="1" s="1"/>
  <c r="EB197" i="1"/>
  <c r="EB196" i="1"/>
  <c r="EB176" i="1"/>
  <c r="EB175" i="1"/>
  <c r="EB174" i="1"/>
  <c r="EB167" i="1"/>
  <c r="EB165" i="1"/>
  <c r="EB164" i="1"/>
  <c r="EB163" i="1"/>
  <c r="EB160" i="1"/>
  <c r="EB159" i="1"/>
  <c r="EC150" i="1"/>
  <c r="EB150" i="1"/>
  <c r="EC148" i="1" s="1"/>
  <c r="EB146" i="1"/>
  <c r="EC146" i="1" s="1"/>
  <c r="EC143" i="1"/>
  <c r="EB138" i="1"/>
  <c r="EB133" i="1"/>
  <c r="EB162" i="1" s="1"/>
  <c r="EB129" i="1"/>
  <c r="EB140" i="1" s="1"/>
  <c r="EB123" i="1"/>
  <c r="EB122" i="1"/>
  <c r="EB119" i="1"/>
  <c r="EB115" i="1"/>
  <c r="EB114" i="1"/>
  <c r="EB104" i="1"/>
  <c r="EB98" i="1"/>
  <c r="EB85" i="1"/>
  <c r="EB75" i="1"/>
  <c r="EB69" i="1"/>
  <c r="EB51" i="1"/>
  <c r="EB52" i="1" s="1"/>
  <c r="EB36" i="1"/>
  <c r="EB21" i="1"/>
  <c r="EB173" i="1" s="1"/>
  <c r="EB20" i="1"/>
  <c r="HF298" i="1"/>
  <c r="HF296" i="1"/>
  <c r="HF300" i="1" s="1"/>
  <c r="HG294" i="1"/>
  <c r="HG293" i="1"/>
  <c r="HG292" i="1"/>
  <c r="HG291" i="1"/>
  <c r="HG290" i="1"/>
  <c r="HG289" i="1"/>
  <c r="HF275" i="1"/>
  <c r="HG271" i="1" s="1"/>
  <c r="HG272" i="1"/>
  <c r="HG270" i="1"/>
  <c r="HF230" i="1"/>
  <c r="HG225" i="1"/>
  <c r="HF225" i="1"/>
  <c r="HF224" i="1"/>
  <c r="HF227" i="1" s="1"/>
  <c r="HG227" i="1" s="1"/>
  <c r="HG220" i="1"/>
  <c r="HF219" i="1"/>
  <c r="HG219" i="1" s="1"/>
  <c r="HF205" i="1"/>
  <c r="HF203" i="1"/>
  <c r="HF202" i="1"/>
  <c r="HF207" i="1" s="1"/>
  <c r="HF197" i="1"/>
  <c r="HF196" i="1"/>
  <c r="HF175" i="1"/>
  <c r="HF164" i="1"/>
  <c r="HF152" i="1"/>
  <c r="HF181" i="1" s="1"/>
  <c r="HG150" i="1"/>
  <c r="HF150" i="1"/>
  <c r="HG147" i="1" s="1"/>
  <c r="HG148" i="1"/>
  <c r="HG145" i="1"/>
  <c r="HG144" i="1"/>
  <c r="HG143" i="1"/>
  <c r="HG140" i="1"/>
  <c r="HF140" i="1"/>
  <c r="HG137" i="1" s="1"/>
  <c r="HG138" i="1"/>
  <c r="HG135" i="1"/>
  <c r="HG134" i="1"/>
  <c r="HG133" i="1"/>
  <c r="HG132" i="1"/>
  <c r="HG131" i="1"/>
  <c r="HG130" i="1"/>
  <c r="HF119" i="1"/>
  <c r="HF115" i="1"/>
  <c r="HF114" i="1"/>
  <c r="HF104" i="1"/>
  <c r="HF98" i="1"/>
  <c r="HF123" i="1" s="1"/>
  <c r="HF85" i="1"/>
  <c r="HF69" i="1"/>
  <c r="HF75" i="1" s="1"/>
  <c r="HF51" i="1"/>
  <c r="HF52" i="1" s="1"/>
  <c r="HF36" i="1"/>
  <c r="HF21" i="1"/>
  <c r="HF174" i="1" s="1"/>
  <c r="HF20" i="1"/>
  <c r="HI230" i="1" l="1"/>
  <c r="HI245" i="1"/>
  <c r="HH163" i="1"/>
  <c r="HH174" i="1"/>
  <c r="HI219" i="1"/>
  <c r="HH227" i="1"/>
  <c r="HI227" i="1" s="1"/>
  <c r="HI272" i="1"/>
  <c r="HH165" i="1"/>
  <c r="HH176" i="1"/>
  <c r="HH222" i="1"/>
  <c r="HI222" i="1" s="1"/>
  <c r="HH229" i="1"/>
  <c r="HH121" i="1"/>
  <c r="HH158" i="1"/>
  <c r="HH166" i="1"/>
  <c r="HH177" i="1"/>
  <c r="HI275" i="1"/>
  <c r="HH122" i="1"/>
  <c r="HI135" i="1"/>
  <c r="HI145" i="1"/>
  <c r="HH159" i="1"/>
  <c r="HH167" i="1"/>
  <c r="HH179" i="1"/>
  <c r="HI268" i="1"/>
  <c r="HH277" i="1"/>
  <c r="HI136" i="1"/>
  <c r="HH160" i="1"/>
  <c r="HI269" i="1"/>
  <c r="HH279" i="1"/>
  <c r="HH161" i="1"/>
  <c r="HH172" i="1"/>
  <c r="HH192" i="1"/>
  <c r="HI270" i="1"/>
  <c r="HH162" i="1"/>
  <c r="FM236" i="1"/>
  <c r="FM243" i="1"/>
  <c r="FM242" i="1"/>
  <c r="FL232" i="1"/>
  <c r="FM241" i="1"/>
  <c r="FL209" i="1"/>
  <c r="FM240" i="1"/>
  <c r="FM239" i="1"/>
  <c r="FM229" i="1"/>
  <c r="FL238" i="1"/>
  <c r="FM133" i="1"/>
  <c r="FM143" i="1"/>
  <c r="FL152" i="1"/>
  <c r="FL181" i="1" s="1"/>
  <c r="FL165" i="1"/>
  <c r="FL176" i="1"/>
  <c r="FL222" i="1"/>
  <c r="FM222" i="1" s="1"/>
  <c r="FM273" i="1"/>
  <c r="FM292" i="1"/>
  <c r="FM293" i="1"/>
  <c r="FL122" i="1"/>
  <c r="FM135" i="1"/>
  <c r="FM145" i="1"/>
  <c r="FL159" i="1"/>
  <c r="FL167" i="1"/>
  <c r="FL179" i="1"/>
  <c r="FL207" i="1"/>
  <c r="FL230" i="1"/>
  <c r="FM230" i="1" s="1"/>
  <c r="FM275" i="1"/>
  <c r="FM294" i="1"/>
  <c r="FM136" i="1"/>
  <c r="FM146" i="1"/>
  <c r="FL160" i="1"/>
  <c r="FL169" i="1"/>
  <c r="FM268" i="1"/>
  <c r="FL277" i="1"/>
  <c r="FM129" i="1"/>
  <c r="FM137" i="1"/>
  <c r="FM147" i="1"/>
  <c r="FL161" i="1"/>
  <c r="FL172" i="1"/>
  <c r="FL192" i="1"/>
  <c r="FM269" i="1"/>
  <c r="FL279" i="1"/>
  <c r="FM296" i="1"/>
  <c r="FM130" i="1"/>
  <c r="FL162" i="1"/>
  <c r="FL173" i="1"/>
  <c r="FM225" i="1"/>
  <c r="FM270" i="1"/>
  <c r="FM289" i="1"/>
  <c r="FL298" i="1"/>
  <c r="FL163" i="1"/>
  <c r="FM290" i="1"/>
  <c r="AE238" i="1"/>
  <c r="AD245" i="1"/>
  <c r="AE245" i="1" s="1"/>
  <c r="AE236" i="1"/>
  <c r="AE133" i="1"/>
  <c r="AE143" i="1"/>
  <c r="AE150" i="1"/>
  <c r="AD175" i="1"/>
  <c r="AE220" i="1"/>
  <c r="AE272" i="1"/>
  <c r="AE135" i="1"/>
  <c r="AE145" i="1"/>
  <c r="AE229" i="1"/>
  <c r="AE239" i="1"/>
  <c r="AE136" i="1"/>
  <c r="AD179" i="1"/>
  <c r="AE240" i="1"/>
  <c r="AE275" i="1"/>
  <c r="AE129" i="1"/>
  <c r="AE137" i="1"/>
  <c r="AD160" i="1"/>
  <c r="AD169" i="1"/>
  <c r="AD209" i="1"/>
  <c r="AE241" i="1"/>
  <c r="AE268" i="1"/>
  <c r="AD277" i="1"/>
  <c r="AE130" i="1"/>
  <c r="AE147" i="1"/>
  <c r="AD161" i="1"/>
  <c r="AD172" i="1"/>
  <c r="AD232" i="1"/>
  <c r="AE242" i="1"/>
  <c r="AE269" i="1"/>
  <c r="CY150" i="1"/>
  <c r="CY143" i="1"/>
  <c r="CY144" i="1"/>
  <c r="CY148" i="1"/>
  <c r="CY140" i="1"/>
  <c r="CX169" i="1"/>
  <c r="CY132" i="1"/>
  <c r="CY296" i="1"/>
  <c r="CY290" i="1"/>
  <c r="CX298" i="1"/>
  <c r="CY291" i="1"/>
  <c r="CX232" i="1"/>
  <c r="CY232" i="1" s="1"/>
  <c r="CX209" i="1"/>
  <c r="CX227" i="1"/>
  <c r="CY227" i="1" s="1"/>
  <c r="DU140" i="1"/>
  <c r="DU138" i="1"/>
  <c r="DU131" i="1"/>
  <c r="DU133" i="1"/>
  <c r="DT169" i="1"/>
  <c r="DU137" i="1"/>
  <c r="DU130" i="1"/>
  <c r="DU135" i="1"/>
  <c r="DU136" i="1"/>
  <c r="DT152" i="1"/>
  <c r="DT181" i="1" s="1"/>
  <c r="DU134" i="1"/>
  <c r="DU132" i="1"/>
  <c r="DU148" i="1"/>
  <c r="DU147" i="1"/>
  <c r="DU145" i="1"/>
  <c r="DU150" i="1"/>
  <c r="DT179" i="1"/>
  <c r="DU144" i="1"/>
  <c r="DU143" i="1"/>
  <c r="DT165" i="1"/>
  <c r="DT176" i="1"/>
  <c r="DT222" i="1"/>
  <c r="DU222" i="1" s="1"/>
  <c r="DT229" i="1"/>
  <c r="DU230" i="1" s="1"/>
  <c r="DU273" i="1"/>
  <c r="DT158" i="1"/>
  <c r="DT166" i="1"/>
  <c r="DU129" i="1"/>
  <c r="DT159" i="1"/>
  <c r="DT167" i="1"/>
  <c r="DT207" i="1"/>
  <c r="DT249" i="1"/>
  <c r="DU275" i="1"/>
  <c r="DT177" i="1"/>
  <c r="DU146" i="1"/>
  <c r="DT160" i="1"/>
  <c r="DU224" i="1"/>
  <c r="DU268" i="1"/>
  <c r="DT277" i="1"/>
  <c r="DT161" i="1"/>
  <c r="DT172" i="1"/>
  <c r="DT192" i="1"/>
  <c r="DU269" i="1"/>
  <c r="DT279" i="1"/>
  <c r="DU296" i="1"/>
  <c r="DT173" i="1"/>
  <c r="DT162" i="1"/>
  <c r="DT121" i="1"/>
  <c r="DT163" i="1"/>
  <c r="EC138" i="1"/>
  <c r="EC230" i="1"/>
  <c r="EC134" i="1"/>
  <c r="EC140" i="1"/>
  <c r="EC133" i="1"/>
  <c r="EB169" i="1"/>
  <c r="EC132" i="1"/>
  <c r="EC131" i="1"/>
  <c r="EC137" i="1"/>
  <c r="EC130" i="1"/>
  <c r="EC136" i="1"/>
  <c r="EB152" i="1"/>
  <c r="EB181" i="1" s="1"/>
  <c r="EC135" i="1"/>
  <c r="EC144" i="1"/>
  <c r="EB229" i="1"/>
  <c r="EB238" i="1"/>
  <c r="EC238" i="1" s="1"/>
  <c r="EC272" i="1"/>
  <c r="EC129" i="1"/>
  <c r="EC145" i="1"/>
  <c r="EB158" i="1"/>
  <c r="EB166" i="1"/>
  <c r="EB177" i="1"/>
  <c r="EC273" i="1"/>
  <c r="EC224" i="1"/>
  <c r="EB179" i="1"/>
  <c r="EC275" i="1"/>
  <c r="EC147" i="1"/>
  <c r="EB161" i="1"/>
  <c r="EB172" i="1"/>
  <c r="EB192" i="1"/>
  <c r="EC268" i="1"/>
  <c r="EB277" i="1"/>
  <c r="EB249" i="1"/>
  <c r="EB121" i="1"/>
  <c r="EC269" i="1"/>
  <c r="EB279" i="1"/>
  <c r="HG230" i="1"/>
  <c r="HF238" i="1"/>
  <c r="HF165" i="1"/>
  <c r="HF176" i="1"/>
  <c r="HF222" i="1"/>
  <c r="HG222" i="1" s="1"/>
  <c r="HF229" i="1"/>
  <c r="HG273" i="1"/>
  <c r="HF158" i="1"/>
  <c r="HF177" i="1"/>
  <c r="HF122" i="1"/>
  <c r="HF159" i="1"/>
  <c r="HF167" i="1"/>
  <c r="HF179" i="1"/>
  <c r="HF249" i="1"/>
  <c r="HG275" i="1"/>
  <c r="HG136" i="1"/>
  <c r="HG146" i="1"/>
  <c r="HF160" i="1"/>
  <c r="HF169" i="1"/>
  <c r="HG224" i="1"/>
  <c r="HG268" i="1"/>
  <c r="HF277" i="1"/>
  <c r="HF121" i="1"/>
  <c r="HF166" i="1"/>
  <c r="HG129" i="1"/>
  <c r="HF161" i="1"/>
  <c r="HF172" i="1"/>
  <c r="HF192" i="1"/>
  <c r="HG269" i="1"/>
  <c r="HF279" i="1"/>
  <c r="HG296" i="1"/>
  <c r="HF162" i="1"/>
  <c r="HF173" i="1"/>
  <c r="HF163" i="1"/>
  <c r="HI243" i="1" l="1"/>
  <c r="HH232" i="1"/>
  <c r="HI242" i="1"/>
  <c r="HH209" i="1"/>
  <c r="HI238" i="1"/>
  <c r="HI241" i="1"/>
  <c r="HI240" i="1"/>
  <c r="HI229" i="1"/>
  <c r="HI239" i="1"/>
  <c r="HI236" i="1"/>
  <c r="FL245" i="1"/>
  <c r="FM245" i="1" s="1"/>
  <c r="FM238" i="1"/>
  <c r="FM232" i="1"/>
  <c r="AE232" i="1"/>
  <c r="AD247" i="1"/>
  <c r="DU236" i="1"/>
  <c r="DU243" i="1"/>
  <c r="DU242" i="1"/>
  <c r="DT232" i="1"/>
  <c r="DU241" i="1"/>
  <c r="DT209" i="1"/>
  <c r="DU240" i="1"/>
  <c r="DU239" i="1"/>
  <c r="DU229" i="1"/>
  <c r="DT238" i="1"/>
  <c r="EC243" i="1"/>
  <c r="EB236" i="1"/>
  <c r="EC242" i="1"/>
  <c r="EC240" i="1"/>
  <c r="EB209" i="1"/>
  <c r="EC241" i="1"/>
  <c r="EB232" i="1"/>
  <c r="EC239" i="1"/>
  <c r="EC229" i="1"/>
  <c r="HG236" i="1"/>
  <c r="HG243" i="1"/>
  <c r="HG242" i="1"/>
  <c r="HF232" i="1"/>
  <c r="HG241" i="1"/>
  <c r="HF209" i="1"/>
  <c r="HG240" i="1"/>
  <c r="HG239" i="1"/>
  <c r="HG229" i="1"/>
  <c r="HF245" i="1"/>
  <c r="HG245" i="1" s="1"/>
  <c r="HG238" i="1"/>
  <c r="HI232" i="1" l="1"/>
  <c r="HH247" i="1"/>
  <c r="FL247" i="1"/>
  <c r="AD210" i="1"/>
  <c r="AE247" i="1"/>
  <c r="DU232" i="1"/>
  <c r="DT245" i="1"/>
  <c r="DU245" i="1" s="1"/>
  <c r="DU238" i="1"/>
  <c r="EC232" i="1"/>
  <c r="EB245" i="1"/>
  <c r="EC245" i="1" s="1"/>
  <c r="EC236" i="1"/>
  <c r="HG232" i="1"/>
  <c r="HF247" i="1"/>
  <c r="HH210" i="1" l="1"/>
  <c r="HI247" i="1"/>
  <c r="FL210" i="1"/>
  <c r="FM247" i="1"/>
  <c r="DT247" i="1"/>
  <c r="EB247" i="1"/>
  <c r="HF210" i="1"/>
  <c r="HG247" i="1"/>
  <c r="DT210" i="1" l="1"/>
  <c r="DU247" i="1"/>
  <c r="EB210" i="1"/>
  <c r="EC247" i="1"/>
  <c r="CH123" i="1" l="1"/>
  <c r="CH122" i="1"/>
  <c r="CH121" i="1"/>
  <c r="CH192" i="1"/>
  <c r="CH181" i="1"/>
  <c r="CH179" i="1"/>
  <c r="CH177" i="1"/>
  <c r="CH176" i="1"/>
  <c r="CH175" i="1"/>
  <c r="CH174" i="1"/>
  <c r="CH173" i="1"/>
  <c r="CH172" i="1"/>
  <c r="CH169" i="1"/>
  <c r="CH167" i="1"/>
  <c r="CH166" i="1"/>
  <c r="CH165" i="1"/>
  <c r="CH164" i="1"/>
  <c r="CH163" i="1"/>
  <c r="CH162" i="1"/>
  <c r="CH161" i="1"/>
  <c r="CH160" i="1"/>
  <c r="CH159" i="1"/>
  <c r="CH158" i="1"/>
  <c r="CH104" i="1"/>
  <c r="CH98" i="1"/>
  <c r="CH75" i="1"/>
  <c r="CH69" i="1"/>
  <c r="CH51" i="1"/>
  <c r="CH52" i="1" s="1"/>
  <c r="CH36" i="1"/>
  <c r="CH21" i="1"/>
  <c r="CH20" i="1"/>
  <c r="CD296" i="1"/>
  <c r="CD300" i="1" s="1"/>
  <c r="CE294" i="1"/>
  <c r="CE292" i="1"/>
  <c r="CE291" i="1"/>
  <c r="CE275" i="1"/>
  <c r="CD275" i="1"/>
  <c r="CE271" i="1" s="1"/>
  <c r="CE273" i="1"/>
  <c r="CE272" i="1"/>
  <c r="CD243" i="1"/>
  <c r="CD242" i="1"/>
  <c r="CD241" i="1"/>
  <c r="CD240" i="1"/>
  <c r="CD239" i="1"/>
  <c r="CD238" i="1"/>
  <c r="CE238" i="1" s="1"/>
  <c r="CD236" i="1"/>
  <c r="CD245" i="1" s="1"/>
  <c r="CE245" i="1" s="1"/>
  <c r="CD227" i="1"/>
  <c r="CE227" i="1" s="1"/>
  <c r="CE225" i="1"/>
  <c r="CD225" i="1"/>
  <c r="CD230" i="1" s="1"/>
  <c r="CE224" i="1"/>
  <c r="CD224" i="1"/>
  <c r="CD219" i="1"/>
  <c r="CD229" i="1" s="1"/>
  <c r="CD205" i="1"/>
  <c r="CD203" i="1"/>
  <c r="CD202" i="1"/>
  <c r="CD207" i="1" s="1"/>
  <c r="CD197" i="1"/>
  <c r="CD196" i="1"/>
  <c r="CD150" i="1"/>
  <c r="CE147" i="1" s="1"/>
  <c r="CE148" i="1"/>
  <c r="CD140" i="1"/>
  <c r="CE137" i="1" s="1"/>
  <c r="CE138" i="1"/>
  <c r="CE130" i="1"/>
  <c r="CD119" i="1"/>
  <c r="CD115" i="1"/>
  <c r="CD114" i="1"/>
  <c r="CD104" i="1"/>
  <c r="CD98" i="1"/>
  <c r="CD85" i="1"/>
  <c r="CD69" i="1"/>
  <c r="CD75" i="1" s="1"/>
  <c r="CD52" i="1"/>
  <c r="CD51" i="1"/>
  <c r="CD36" i="1"/>
  <c r="CD21" i="1"/>
  <c r="CD192" i="1" s="1"/>
  <c r="CD20" i="1"/>
  <c r="CD232" i="1" l="1"/>
  <c r="CE243" i="1"/>
  <c r="CE239" i="1"/>
  <c r="CD209" i="1"/>
  <c r="CE229" i="1"/>
  <c r="CE240" i="1"/>
  <c r="CE241" i="1"/>
  <c r="CE230" i="1"/>
  <c r="CE242" i="1"/>
  <c r="CD162" i="1"/>
  <c r="CE219" i="1"/>
  <c r="CE132" i="1"/>
  <c r="CE140" i="1"/>
  <c r="CE150" i="1"/>
  <c r="CD164" i="1"/>
  <c r="CD175" i="1"/>
  <c r="CE220" i="1"/>
  <c r="CE236" i="1"/>
  <c r="CE293" i="1"/>
  <c r="CD174" i="1"/>
  <c r="CD173" i="1"/>
  <c r="CE131" i="1"/>
  <c r="CE133" i="1"/>
  <c r="CD152" i="1"/>
  <c r="CD181" i="1" s="1"/>
  <c r="CD249" i="1"/>
  <c r="CD121" i="1"/>
  <c r="CE134" i="1"/>
  <c r="CE144" i="1"/>
  <c r="CD158" i="1"/>
  <c r="CD166" i="1"/>
  <c r="CD177" i="1"/>
  <c r="CE268" i="1"/>
  <c r="CD277" i="1"/>
  <c r="CD122" i="1"/>
  <c r="CE135" i="1"/>
  <c r="CE145" i="1"/>
  <c r="CD159" i="1"/>
  <c r="CD167" i="1"/>
  <c r="CD179" i="1"/>
  <c r="CE269" i="1"/>
  <c r="CD279" i="1"/>
  <c r="CE296" i="1"/>
  <c r="CD163" i="1"/>
  <c r="CD165" i="1"/>
  <c r="CE143" i="1"/>
  <c r="CD176" i="1"/>
  <c r="CD222" i="1"/>
  <c r="CE222" i="1" s="1"/>
  <c r="CD123" i="1"/>
  <c r="CE136" i="1"/>
  <c r="CE146" i="1"/>
  <c r="CD160" i="1"/>
  <c r="CD169" i="1"/>
  <c r="CE270" i="1"/>
  <c r="CE289" i="1"/>
  <c r="CD298" i="1"/>
  <c r="CE129" i="1"/>
  <c r="CD161" i="1"/>
  <c r="CD172" i="1"/>
  <c r="CE290" i="1"/>
  <c r="GO60" i="2"/>
  <c r="GY60" i="2" s="1"/>
  <c r="HR60" i="2"/>
  <c r="IA60" i="2"/>
  <c r="IC60" i="2"/>
  <c r="IE60" i="2"/>
  <c r="IG60" i="2"/>
  <c r="II60" i="2"/>
  <c r="IJ60" i="2"/>
  <c r="IK60" i="2"/>
  <c r="IL60" i="2"/>
  <c r="IM60" i="2"/>
  <c r="IN60" i="2"/>
  <c r="IO60" i="2"/>
  <c r="IP60" i="2"/>
  <c r="IQ60" i="2"/>
  <c r="IR60" i="2"/>
  <c r="IS60" i="2"/>
  <c r="IT60" i="2"/>
  <c r="IU60" i="2"/>
  <c r="JA60" i="2" s="1"/>
  <c r="IV60" i="2"/>
  <c r="JB60" i="2" s="1"/>
  <c r="IW60" i="2"/>
  <c r="J127" i="2"/>
  <c r="BB21" i="1"/>
  <c r="IX60" i="2" l="1"/>
  <c r="IZ60" i="2"/>
  <c r="IY60" i="2"/>
  <c r="JC60" i="2"/>
  <c r="CD247" i="1"/>
  <c r="CE232" i="1"/>
  <c r="CD210" i="1" l="1"/>
  <c r="CE247" i="1"/>
  <c r="HX296" i="1" l="1"/>
  <c r="HX300" i="1" s="1"/>
  <c r="HY292" i="1"/>
  <c r="HY289" i="1"/>
  <c r="HX277" i="1"/>
  <c r="HX275" i="1"/>
  <c r="HY271" i="1" s="1"/>
  <c r="HY273" i="1"/>
  <c r="HY272" i="1"/>
  <c r="HY270" i="1"/>
  <c r="HY268" i="1"/>
  <c r="HY243" i="1"/>
  <c r="HY241" i="1"/>
  <c r="HX239" i="1"/>
  <c r="HY239" i="1" s="1"/>
  <c r="HY236" i="1"/>
  <c r="HY229" i="1"/>
  <c r="HX229" i="1"/>
  <c r="HY242" i="1" s="1"/>
  <c r="HX225" i="1"/>
  <c r="HX227" i="1" s="1"/>
  <c r="HY227" i="1" s="1"/>
  <c r="HX224" i="1"/>
  <c r="HY224" i="1" s="1"/>
  <c r="HY222" i="1"/>
  <c r="HX222" i="1"/>
  <c r="HY220" i="1"/>
  <c r="HY219" i="1"/>
  <c r="HX219" i="1"/>
  <c r="HX249" i="1" s="1"/>
  <c r="HX205" i="1"/>
  <c r="HX203" i="1"/>
  <c r="HX202" i="1"/>
  <c r="HX238" i="1" s="1"/>
  <c r="HX197" i="1"/>
  <c r="HX196" i="1"/>
  <c r="HX177" i="1"/>
  <c r="HX174" i="1"/>
  <c r="HX172" i="1"/>
  <c r="HX166" i="1"/>
  <c r="HX163" i="1"/>
  <c r="HX161" i="1"/>
  <c r="HX158" i="1"/>
  <c r="HX150" i="1"/>
  <c r="HY150" i="1" s="1"/>
  <c r="HY147" i="1"/>
  <c r="HX146" i="1"/>
  <c r="HX175" i="1" s="1"/>
  <c r="HY145" i="1"/>
  <c r="HX138" i="1"/>
  <c r="HX140" i="1" s="1"/>
  <c r="HX123" i="1"/>
  <c r="HX119" i="1"/>
  <c r="HX115" i="1"/>
  <c r="HX114" i="1"/>
  <c r="HX104" i="1"/>
  <c r="HX98" i="1"/>
  <c r="HX85" i="1"/>
  <c r="HX59" i="1"/>
  <c r="HX69" i="1" s="1"/>
  <c r="HX75" i="1" s="1"/>
  <c r="HX51" i="1"/>
  <c r="HX52" i="1" s="1"/>
  <c r="HX36" i="1"/>
  <c r="HX21" i="1"/>
  <c r="HX164" i="1" s="1"/>
  <c r="HX20" i="1"/>
  <c r="HX245" i="1" l="1"/>
  <c r="HY245" i="1" s="1"/>
  <c r="HY238" i="1"/>
  <c r="HY134" i="1"/>
  <c r="HY133" i="1"/>
  <c r="HY132" i="1"/>
  <c r="HY138" i="1"/>
  <c r="HY131" i="1"/>
  <c r="HX169" i="1"/>
  <c r="HY130" i="1"/>
  <c r="HY137" i="1"/>
  <c r="HY129" i="1"/>
  <c r="HY136" i="1"/>
  <c r="HX152" i="1"/>
  <c r="HX181" i="1" s="1"/>
  <c r="HY135" i="1"/>
  <c r="HY140" i="1"/>
  <c r="HX122" i="1"/>
  <c r="HY144" i="1"/>
  <c r="HX165" i="1"/>
  <c r="HX176" i="1"/>
  <c r="HY291" i="1"/>
  <c r="HX159" i="1"/>
  <c r="HX167" i="1"/>
  <c r="HX179" i="1"/>
  <c r="HX207" i="1"/>
  <c r="HX230" i="1"/>
  <c r="HY293" i="1"/>
  <c r="HY146" i="1"/>
  <c r="HX160" i="1"/>
  <c r="HX209" i="1"/>
  <c r="HY240" i="1"/>
  <c r="HY275" i="1"/>
  <c r="HY294" i="1"/>
  <c r="HX192" i="1"/>
  <c r="HY148" i="1"/>
  <c r="HX162" i="1"/>
  <c r="HX173" i="1"/>
  <c r="HY225" i="1"/>
  <c r="HY269" i="1"/>
  <c r="HX279" i="1"/>
  <c r="HY296" i="1"/>
  <c r="HX298" i="1"/>
  <c r="HX121" i="1"/>
  <c r="HY143" i="1"/>
  <c r="HY290" i="1"/>
  <c r="HX232" i="1" l="1"/>
  <c r="HY230" i="1"/>
  <c r="HY232" i="1" l="1"/>
  <c r="HX247" i="1"/>
  <c r="HX210" i="1" l="1"/>
  <c r="HY247" i="1"/>
  <c r="HZ294" i="1" l="1"/>
  <c r="HZ290" i="1"/>
  <c r="HZ289" i="1"/>
  <c r="HZ296" i="1" s="1"/>
  <c r="HZ279" i="1"/>
  <c r="HZ277" i="1"/>
  <c r="IA275" i="1"/>
  <c r="HZ275" i="1"/>
  <c r="IA273" i="1" s="1"/>
  <c r="IA271" i="1"/>
  <c r="IA269" i="1"/>
  <c r="IA268" i="1"/>
  <c r="HZ230" i="1"/>
  <c r="HZ225" i="1"/>
  <c r="IA225" i="1" s="1"/>
  <c r="HZ224" i="1"/>
  <c r="HZ229" i="1" s="1"/>
  <c r="IA219" i="1"/>
  <c r="HZ219" i="1"/>
  <c r="HZ222" i="1" s="1"/>
  <c r="IA222" i="1" s="1"/>
  <c r="HZ207" i="1"/>
  <c r="HZ205" i="1"/>
  <c r="HZ203" i="1"/>
  <c r="HZ202" i="1"/>
  <c r="HZ238" i="1" s="1"/>
  <c r="HZ197" i="1"/>
  <c r="HZ196" i="1"/>
  <c r="HZ179" i="1"/>
  <c r="HZ169" i="1"/>
  <c r="HZ167" i="1"/>
  <c r="HZ160" i="1"/>
  <c r="HZ159" i="1"/>
  <c r="HZ150" i="1"/>
  <c r="IA150" i="1" s="1"/>
  <c r="IA147" i="1"/>
  <c r="IA146" i="1"/>
  <c r="IA145" i="1"/>
  <c r="IA144" i="1"/>
  <c r="IA143" i="1"/>
  <c r="HZ140" i="1"/>
  <c r="HZ152" i="1" s="1"/>
  <c r="HZ181" i="1" s="1"/>
  <c r="IA137" i="1"/>
  <c r="IA136" i="1"/>
  <c r="IA135" i="1"/>
  <c r="IA134" i="1"/>
  <c r="IA131" i="1"/>
  <c r="IA130" i="1"/>
  <c r="IA129" i="1"/>
  <c r="HZ122" i="1"/>
  <c r="HZ119" i="1"/>
  <c r="HZ115" i="1"/>
  <c r="HZ114" i="1"/>
  <c r="HZ107" i="1"/>
  <c r="HZ104" i="1"/>
  <c r="HZ98" i="1"/>
  <c r="HZ123" i="1" s="1"/>
  <c r="HZ85" i="1"/>
  <c r="HZ75" i="1"/>
  <c r="HZ69" i="1"/>
  <c r="HZ52" i="1"/>
  <c r="HZ51" i="1"/>
  <c r="HZ36" i="1"/>
  <c r="HZ21" i="1"/>
  <c r="HZ177" i="1" s="1"/>
  <c r="HZ18" i="1"/>
  <c r="HZ20" i="1" s="1"/>
  <c r="IA239" i="1" l="1"/>
  <c r="IA229" i="1"/>
  <c r="IA240" i="1"/>
  <c r="IA236" i="1"/>
  <c r="IA243" i="1"/>
  <c r="HZ209" i="1"/>
  <c r="IA242" i="1"/>
  <c r="HZ232" i="1"/>
  <c r="IA241" i="1"/>
  <c r="HZ300" i="1"/>
  <c r="IA291" i="1"/>
  <c r="HZ298" i="1"/>
  <c r="IA293" i="1"/>
  <c r="IA296" i="1"/>
  <c r="IA289" i="1"/>
  <c r="IA292" i="1"/>
  <c r="IA238" i="1"/>
  <c r="HZ245" i="1"/>
  <c r="IA245" i="1" s="1"/>
  <c r="IA230" i="1"/>
  <c r="IA290" i="1"/>
  <c r="IA294" i="1"/>
  <c r="HZ161" i="1"/>
  <c r="HZ192" i="1"/>
  <c r="HZ249" i="1"/>
  <c r="HZ172" i="1"/>
  <c r="IA138" i="1"/>
  <c r="IA148" i="1"/>
  <c r="HZ162" i="1"/>
  <c r="HZ173" i="1"/>
  <c r="IA270" i="1"/>
  <c r="HZ163" i="1"/>
  <c r="HZ174" i="1"/>
  <c r="HZ227" i="1"/>
  <c r="IA227" i="1" s="1"/>
  <c r="IA132" i="1"/>
  <c r="IA140" i="1"/>
  <c r="HZ164" i="1"/>
  <c r="HZ175" i="1"/>
  <c r="IA220" i="1"/>
  <c r="IA272" i="1"/>
  <c r="IA224" i="1"/>
  <c r="IA133" i="1"/>
  <c r="HZ165" i="1"/>
  <c r="HZ176" i="1"/>
  <c r="HZ121" i="1"/>
  <c r="HZ158" i="1"/>
  <c r="HZ166" i="1"/>
  <c r="HZ247" i="1" l="1"/>
  <c r="IA232" i="1"/>
  <c r="IA247" i="1" l="1"/>
  <c r="HZ210" i="1"/>
  <c r="GO65" i="2" l="1"/>
  <c r="GY65" i="2" s="1"/>
  <c r="HV300" i="1"/>
  <c r="HV296" i="1"/>
  <c r="HV298" i="1" s="1"/>
  <c r="HW294" i="1"/>
  <c r="HW293" i="1"/>
  <c r="HW292" i="1"/>
  <c r="HW291" i="1"/>
  <c r="HW290" i="1"/>
  <c r="HW275" i="1"/>
  <c r="HV275" i="1"/>
  <c r="HW270" i="1" s="1"/>
  <c r="HW273" i="1"/>
  <c r="HW272" i="1"/>
  <c r="HW271" i="1"/>
  <c r="HV224" i="1"/>
  <c r="HV249" i="1" s="1"/>
  <c r="HV222" i="1"/>
  <c r="HW222" i="1" s="1"/>
  <c r="HW220" i="1"/>
  <c r="HW219" i="1"/>
  <c r="HV219" i="1"/>
  <c r="HV205" i="1"/>
  <c r="HV203" i="1"/>
  <c r="HV202" i="1"/>
  <c r="HV197" i="1"/>
  <c r="HV196" i="1"/>
  <c r="HV177" i="1"/>
  <c r="HV176" i="1"/>
  <c r="HV174" i="1"/>
  <c r="HV166" i="1"/>
  <c r="HV165" i="1"/>
  <c r="HV164" i="1"/>
  <c r="HV163" i="1"/>
  <c r="HV158" i="1"/>
  <c r="HV144" i="1"/>
  <c r="HV173" i="1" s="1"/>
  <c r="HV143" i="1"/>
  <c r="HV172" i="1" s="1"/>
  <c r="HV138" i="1"/>
  <c r="HV167" i="1" s="1"/>
  <c r="HV130" i="1"/>
  <c r="HV132" i="1" s="1"/>
  <c r="HV129" i="1"/>
  <c r="HV121" i="1"/>
  <c r="HV119" i="1"/>
  <c r="HV115" i="1"/>
  <c r="HV114" i="1"/>
  <c r="HV104" i="1"/>
  <c r="HV101" i="1"/>
  <c r="HV122" i="1" s="1"/>
  <c r="HV98" i="1"/>
  <c r="HV123" i="1" s="1"/>
  <c r="HV85" i="1"/>
  <c r="HV69" i="1"/>
  <c r="HV75" i="1" s="1"/>
  <c r="HV51" i="1"/>
  <c r="HV52" i="1" s="1"/>
  <c r="HV36" i="1"/>
  <c r="HV21" i="1"/>
  <c r="HV162" i="1" s="1"/>
  <c r="HV20" i="1"/>
  <c r="HV161" i="1" l="1"/>
  <c r="HV140" i="1"/>
  <c r="HW138" i="1" s="1"/>
  <c r="HW130" i="1"/>
  <c r="HV229" i="1"/>
  <c r="HV207" i="1"/>
  <c r="HV160" i="1"/>
  <c r="HW224" i="1"/>
  <c r="HW268" i="1"/>
  <c r="HV277" i="1"/>
  <c r="HV146" i="1"/>
  <c r="HV159" i="1"/>
  <c r="HV192" i="1"/>
  <c r="HV225" i="1"/>
  <c r="HW269" i="1"/>
  <c r="HV279" i="1"/>
  <c r="HW296" i="1"/>
  <c r="HW289" i="1"/>
  <c r="HW236" i="1" l="1"/>
  <c r="HW243" i="1"/>
  <c r="HW240" i="1"/>
  <c r="HW242" i="1"/>
  <c r="HV232" i="1"/>
  <c r="HW241" i="1"/>
  <c r="HV209" i="1"/>
  <c r="HW239" i="1"/>
  <c r="HW229" i="1"/>
  <c r="HV227" i="1"/>
  <c r="HW227" i="1" s="1"/>
  <c r="HW225" i="1"/>
  <c r="HV230" i="1"/>
  <c r="HW230" i="1" s="1"/>
  <c r="HV238" i="1"/>
  <c r="HV175" i="1"/>
  <c r="HV150" i="1"/>
  <c r="HW135" i="1"/>
  <c r="HW134" i="1"/>
  <c r="HW140" i="1"/>
  <c r="HW133" i="1"/>
  <c r="HW131" i="1"/>
  <c r="HW129" i="1"/>
  <c r="HV169" i="1"/>
  <c r="HW136" i="1"/>
  <c r="HW137" i="1"/>
  <c r="HW132" i="1"/>
  <c r="HW232" i="1" l="1"/>
  <c r="HW148" i="1"/>
  <c r="HW143" i="1"/>
  <c r="HW147" i="1"/>
  <c r="HV179" i="1"/>
  <c r="HW150" i="1"/>
  <c r="HW145" i="1"/>
  <c r="HW144" i="1"/>
  <c r="HV152" i="1"/>
  <c r="HV181" i="1" s="1"/>
  <c r="HW146" i="1"/>
  <c r="HV245" i="1"/>
  <c r="HW245" i="1" s="1"/>
  <c r="HW238" i="1"/>
  <c r="HV247" i="1" l="1"/>
  <c r="HV210" i="1" l="1"/>
  <c r="HW247" i="1"/>
  <c r="IA111" i="2" l="1"/>
  <c r="IC111" i="2"/>
  <c r="IE111" i="2"/>
  <c r="IG111" i="2"/>
  <c r="II111" i="2"/>
  <c r="IJ111" i="2"/>
  <c r="IK111" i="2"/>
  <c r="IL111" i="2"/>
  <c r="IM111" i="2"/>
  <c r="IN111" i="2"/>
  <c r="IO111" i="2"/>
  <c r="IP111" i="2"/>
  <c r="IQ111" i="2"/>
  <c r="IR111" i="2"/>
  <c r="IS111" i="2"/>
  <c r="JC111" i="2" s="1"/>
  <c r="IT111" i="2"/>
  <c r="IU111" i="2"/>
  <c r="IV111" i="2"/>
  <c r="IW111" i="2"/>
  <c r="JD111" i="2"/>
  <c r="JE111" i="2"/>
  <c r="JG111" i="2"/>
  <c r="JH111" i="2"/>
  <c r="JK111" i="2"/>
  <c r="JQ111" i="2" s="1"/>
  <c r="JL111" i="2"/>
  <c r="JM111" i="2"/>
  <c r="JN111" i="2"/>
  <c r="JO111" i="2"/>
  <c r="JP111" i="2"/>
  <c r="JR111" i="2"/>
  <c r="JS111" i="2"/>
  <c r="JT111" i="2"/>
  <c r="JU111" i="2"/>
  <c r="JV111" i="2"/>
  <c r="JW111" i="2"/>
  <c r="JX111" i="2"/>
  <c r="KN111" i="2" s="1"/>
  <c r="JY111" i="2"/>
  <c r="JZ111" i="2"/>
  <c r="KA111" i="2"/>
  <c r="KB111" i="2"/>
  <c r="KC111" i="2"/>
  <c r="KD111" i="2"/>
  <c r="KE111" i="2"/>
  <c r="KF111" i="2"/>
  <c r="KG111" i="2"/>
  <c r="KH111" i="2"/>
  <c r="KI111" i="2"/>
  <c r="KJ111" i="2"/>
  <c r="KK111" i="2"/>
  <c r="KL111" i="2"/>
  <c r="KM111" i="2"/>
  <c r="KO111" i="2"/>
  <c r="KP111" i="2"/>
  <c r="KQ111" i="2"/>
  <c r="KR111" i="2"/>
  <c r="KS111" i="2"/>
  <c r="KT111" i="2"/>
  <c r="KU111" i="2"/>
  <c r="KY111" i="2"/>
  <c r="LA111" i="2"/>
  <c r="LC111" i="2"/>
  <c r="LE111" i="2"/>
  <c r="LG111" i="2"/>
  <c r="LH111" i="2"/>
  <c r="LI111" i="2"/>
  <c r="LJ111" i="2"/>
  <c r="LL111" i="2"/>
  <c r="LN111" i="2"/>
  <c r="LO111" i="2"/>
  <c r="LP111" i="2"/>
  <c r="LQ111" i="2"/>
  <c r="LR111" i="2"/>
  <c r="LS111" i="2"/>
  <c r="LT111" i="2"/>
  <c r="LU111" i="2"/>
  <c r="LV111" i="2"/>
  <c r="LW111" i="2"/>
  <c r="LX111" i="2"/>
  <c r="LY111" i="2"/>
  <c r="LZ111" i="2"/>
  <c r="MA111" i="2"/>
  <c r="MB111" i="2"/>
  <c r="MC111" i="2"/>
  <c r="MD111" i="2"/>
  <c r="ME111" i="2"/>
  <c r="MF111" i="2"/>
  <c r="MG111" i="2"/>
  <c r="MH111" i="2"/>
  <c r="MI111" i="2"/>
  <c r="MJ111" i="2"/>
  <c r="MK111" i="2"/>
  <c r="ML111" i="2"/>
  <c r="MM111" i="2"/>
  <c r="MN111" i="2"/>
  <c r="MO111" i="2"/>
  <c r="MP111" i="2"/>
  <c r="MQ111" i="2"/>
  <c r="MR111" i="2"/>
  <c r="MS111" i="2"/>
  <c r="MT111" i="2"/>
  <c r="MU111" i="2"/>
  <c r="MV111" i="2"/>
  <c r="MW111" i="2"/>
  <c r="MX111" i="2"/>
  <c r="MY111" i="2"/>
  <c r="MZ111" i="2"/>
  <c r="NA111" i="2"/>
  <c r="NB111" i="2"/>
  <c r="NC111" i="2"/>
  <c r="ND111" i="2"/>
  <c r="NE111" i="2"/>
  <c r="NF111" i="2"/>
  <c r="NG111" i="2"/>
  <c r="NH111" i="2"/>
  <c r="NI111" i="2"/>
  <c r="NJ111" i="2"/>
  <c r="NK111" i="2"/>
  <c r="NL111" i="2"/>
  <c r="NM111" i="2"/>
  <c r="NN111" i="2"/>
  <c r="NO111" i="2"/>
  <c r="NP111" i="2"/>
  <c r="NQ111" i="2"/>
  <c r="NR111" i="2"/>
  <c r="NS111" i="2"/>
  <c r="NT111" i="2"/>
  <c r="NU111" i="2"/>
  <c r="NV111" i="2"/>
  <c r="NW111" i="2"/>
  <c r="NX111" i="2"/>
  <c r="NY111" i="2"/>
  <c r="NZ111" i="2"/>
  <c r="OA111" i="2"/>
  <c r="OB111" i="2"/>
  <c r="OC111" i="2"/>
  <c r="OD111" i="2"/>
  <c r="OE111" i="2"/>
  <c r="OF111" i="2"/>
  <c r="OG111" i="2"/>
  <c r="OH111" i="2"/>
  <c r="OI111" i="2"/>
  <c r="OJ111" i="2"/>
  <c r="OK111" i="2"/>
  <c r="OL111" i="2"/>
  <c r="OM111" i="2"/>
  <c r="ON111" i="2"/>
  <c r="OO111" i="2"/>
  <c r="OP111" i="2"/>
  <c r="OQ111" i="2"/>
  <c r="OR111" i="2"/>
  <c r="OS111" i="2"/>
  <c r="OT111" i="2"/>
  <c r="OU111" i="2"/>
  <c r="OV111" i="2"/>
  <c r="OW111" i="2"/>
  <c r="OX111" i="2"/>
  <c r="OY111" i="2"/>
  <c r="OZ111" i="2"/>
  <c r="PA111" i="2"/>
  <c r="PB111" i="2"/>
  <c r="PC111" i="2"/>
  <c r="PD111" i="2"/>
  <c r="PE111" i="2"/>
  <c r="PF111" i="2"/>
  <c r="PG111" i="2"/>
  <c r="PH111" i="2"/>
  <c r="PI111" i="2"/>
  <c r="PJ111" i="2"/>
  <c r="PK111" i="2"/>
  <c r="PL111" i="2"/>
  <c r="B111" i="2"/>
  <c r="JI111" i="2" s="1"/>
  <c r="IF296" i="1"/>
  <c r="IF300" i="1" s="1"/>
  <c r="IG292" i="1"/>
  <c r="IG291" i="1"/>
  <c r="IF275" i="1"/>
  <c r="IG271" i="1" s="1"/>
  <c r="IG273" i="1"/>
  <c r="IG272" i="1"/>
  <c r="IG268" i="1"/>
  <c r="IF230" i="1"/>
  <c r="IF229" i="1"/>
  <c r="IG236" i="1" s="1"/>
  <c r="IF225" i="1"/>
  <c r="IG225" i="1" s="1"/>
  <c r="IF224" i="1"/>
  <c r="IF227" i="1" s="1"/>
  <c r="IG227" i="1" s="1"/>
  <c r="IF222" i="1"/>
  <c r="IG222" i="1" s="1"/>
  <c r="IG220" i="1"/>
  <c r="IG219" i="1"/>
  <c r="IF219" i="1"/>
  <c r="IF249" i="1" s="1"/>
  <c r="IF205" i="1"/>
  <c r="IF203" i="1"/>
  <c r="IF202" i="1"/>
  <c r="IF238" i="1" s="1"/>
  <c r="IF197" i="1"/>
  <c r="IF196" i="1"/>
  <c r="IF177" i="1"/>
  <c r="IF176" i="1"/>
  <c r="IF175" i="1"/>
  <c r="IF166" i="1"/>
  <c r="IF165" i="1"/>
  <c r="IF164" i="1"/>
  <c r="IF158" i="1"/>
  <c r="IF152" i="1"/>
  <c r="IF181" i="1" s="1"/>
  <c r="IG150" i="1"/>
  <c r="IF150" i="1"/>
  <c r="IG148" i="1" s="1"/>
  <c r="IG145" i="1"/>
  <c r="IG144" i="1"/>
  <c r="IG143" i="1"/>
  <c r="IG140" i="1"/>
  <c r="IF140" i="1"/>
  <c r="IG138" i="1" s="1"/>
  <c r="IG134" i="1"/>
  <c r="IG133" i="1"/>
  <c r="IG132" i="1"/>
  <c r="IG131" i="1"/>
  <c r="IF121" i="1"/>
  <c r="IF119" i="1"/>
  <c r="IF115" i="1"/>
  <c r="IF114" i="1"/>
  <c r="IF104" i="1"/>
  <c r="IF98" i="1"/>
  <c r="IF123" i="1" s="1"/>
  <c r="IF85" i="1"/>
  <c r="IF69" i="1"/>
  <c r="IF75" i="1" s="1"/>
  <c r="IF51" i="1"/>
  <c r="IF52" i="1" s="1"/>
  <c r="IF36" i="1"/>
  <c r="IF21" i="1"/>
  <c r="IF174" i="1" s="1"/>
  <c r="IF20" i="1"/>
  <c r="IX111" i="2" l="1"/>
  <c r="JF111" i="2"/>
  <c r="JB111" i="2"/>
  <c r="KW111" i="2"/>
  <c r="JJ111" i="2"/>
  <c r="LM111" i="2"/>
  <c r="KV111" i="2"/>
  <c r="JA111" i="2"/>
  <c r="IZ111" i="2"/>
  <c r="IY111" i="2"/>
  <c r="IF245" i="1"/>
  <c r="IG245" i="1" s="1"/>
  <c r="IG238" i="1"/>
  <c r="IG229" i="1"/>
  <c r="IG239" i="1"/>
  <c r="IG293" i="1"/>
  <c r="IF122" i="1"/>
  <c r="IG135" i="1"/>
  <c r="IF159" i="1"/>
  <c r="IF167" i="1"/>
  <c r="IF179" i="1"/>
  <c r="IF207" i="1"/>
  <c r="IG240" i="1"/>
  <c r="IG275" i="1"/>
  <c r="IG294" i="1"/>
  <c r="IG136" i="1"/>
  <c r="IG146" i="1"/>
  <c r="IF160" i="1"/>
  <c r="IF169" i="1"/>
  <c r="IF209" i="1"/>
  <c r="IG224" i="1"/>
  <c r="IG230" i="1"/>
  <c r="IG241" i="1"/>
  <c r="IF277" i="1"/>
  <c r="IG129" i="1"/>
  <c r="IG137" i="1"/>
  <c r="IG147" i="1"/>
  <c r="IF161" i="1"/>
  <c r="IF172" i="1"/>
  <c r="IF192" i="1"/>
  <c r="IF232" i="1"/>
  <c r="IG242" i="1"/>
  <c r="IG269" i="1"/>
  <c r="IF279" i="1"/>
  <c r="IG296" i="1"/>
  <c r="IG130" i="1"/>
  <c r="IF162" i="1"/>
  <c r="IF173" i="1"/>
  <c r="IG243" i="1"/>
  <c r="IG270" i="1"/>
  <c r="IG289" i="1"/>
  <c r="IF298" i="1"/>
  <c r="IF163" i="1"/>
  <c r="IG290" i="1"/>
  <c r="IG232" i="1" l="1"/>
  <c r="IF247" i="1"/>
  <c r="IF210" i="1" l="1"/>
  <c r="IG247" i="1"/>
  <c r="HP294" i="1" l="1"/>
  <c r="HP296" i="1" s="1"/>
  <c r="HP275" i="1"/>
  <c r="HQ272" i="1" s="1"/>
  <c r="HQ239" i="1"/>
  <c r="HP230" i="1"/>
  <c r="HQ230" i="1" s="1"/>
  <c r="HQ229" i="1"/>
  <c r="HP229" i="1"/>
  <c r="HQ236" i="1" s="1"/>
  <c r="HQ225" i="1"/>
  <c r="HP224" i="1"/>
  <c r="HP227" i="1" s="1"/>
  <c r="HQ227" i="1" s="1"/>
  <c r="HP222" i="1"/>
  <c r="HQ222" i="1" s="1"/>
  <c r="HP219" i="1"/>
  <c r="HQ220" i="1" s="1"/>
  <c r="HP207" i="1"/>
  <c r="HP205" i="1"/>
  <c r="HP203" i="1"/>
  <c r="HP202" i="1"/>
  <c r="HP238" i="1" s="1"/>
  <c r="HP197" i="1"/>
  <c r="HP196" i="1"/>
  <c r="HP177" i="1"/>
  <c r="HP176" i="1"/>
  <c r="HP167" i="1"/>
  <c r="HP166" i="1"/>
  <c r="HP165" i="1"/>
  <c r="HP159" i="1"/>
  <c r="HP158" i="1"/>
  <c r="HP175" i="1"/>
  <c r="HP138" i="1"/>
  <c r="HP140" i="1" s="1"/>
  <c r="HP122" i="1"/>
  <c r="HP119" i="1"/>
  <c r="HP115" i="1"/>
  <c r="HP114" i="1"/>
  <c r="HP104" i="1"/>
  <c r="HP98" i="1"/>
  <c r="HP123" i="1" s="1"/>
  <c r="HP85" i="1"/>
  <c r="HP75" i="1"/>
  <c r="HP69" i="1"/>
  <c r="HP51" i="1"/>
  <c r="HP52" i="1" s="1"/>
  <c r="HP36" i="1"/>
  <c r="HP21" i="1"/>
  <c r="HP164" i="1" s="1"/>
  <c r="HP20" i="1"/>
  <c r="HP300" i="1" l="1"/>
  <c r="HQ291" i="1"/>
  <c r="HP298" i="1"/>
  <c r="HQ290" i="1"/>
  <c r="HQ293" i="1"/>
  <c r="HQ296" i="1"/>
  <c r="HQ289" i="1"/>
  <c r="HQ292" i="1"/>
  <c r="HQ134" i="1"/>
  <c r="HQ140" i="1"/>
  <c r="HQ133" i="1"/>
  <c r="HQ132" i="1"/>
  <c r="HQ131" i="1"/>
  <c r="HQ137" i="1"/>
  <c r="HP169" i="1"/>
  <c r="HQ130" i="1"/>
  <c r="HQ129" i="1"/>
  <c r="HQ136" i="1"/>
  <c r="HQ135" i="1"/>
  <c r="HP245" i="1"/>
  <c r="HQ245" i="1" s="1"/>
  <c r="HQ238" i="1"/>
  <c r="HQ273" i="1"/>
  <c r="HQ240" i="1"/>
  <c r="HP249" i="1"/>
  <c r="HQ275" i="1"/>
  <c r="HP160" i="1"/>
  <c r="HP209" i="1"/>
  <c r="HQ224" i="1"/>
  <c r="HQ241" i="1"/>
  <c r="HQ268" i="1"/>
  <c r="HP277" i="1"/>
  <c r="HQ294" i="1"/>
  <c r="HQ138" i="1"/>
  <c r="HP161" i="1"/>
  <c r="HP172" i="1"/>
  <c r="HP192" i="1"/>
  <c r="HP232" i="1"/>
  <c r="HQ242" i="1"/>
  <c r="HQ269" i="1"/>
  <c r="HP279" i="1"/>
  <c r="HP162" i="1"/>
  <c r="HP173" i="1"/>
  <c r="HQ243" i="1"/>
  <c r="HQ270" i="1"/>
  <c r="HP150" i="1"/>
  <c r="HP163" i="1"/>
  <c r="HP174" i="1"/>
  <c r="HQ219" i="1"/>
  <c r="HQ271" i="1"/>
  <c r="HP121" i="1"/>
  <c r="HQ232" i="1" l="1"/>
  <c r="HP247" i="1"/>
  <c r="HQ150" i="1"/>
  <c r="HQ143" i="1"/>
  <c r="HQ145" i="1"/>
  <c r="HQ148" i="1"/>
  <c r="HQ147" i="1"/>
  <c r="HP179" i="1"/>
  <c r="HQ144" i="1"/>
  <c r="HQ146" i="1"/>
  <c r="HP152" i="1"/>
  <c r="HP181" i="1" s="1"/>
  <c r="HP210" i="1" l="1"/>
  <c r="HQ247" i="1"/>
  <c r="DN73" i="1" l="1"/>
  <c r="GB236" i="1"/>
  <c r="FP129" i="1"/>
  <c r="GO168" i="2" l="1"/>
  <c r="GY168" i="2" s="1"/>
  <c r="KG168" i="2"/>
  <c r="HR168" i="2"/>
  <c r="B168" i="2"/>
  <c r="JI168" i="2" s="1"/>
  <c r="PL168" i="2"/>
  <c r="PK168" i="2"/>
  <c r="PJ168" i="2"/>
  <c r="PI168" i="2"/>
  <c r="PH168" i="2"/>
  <c r="PG168" i="2"/>
  <c r="PF168" i="2"/>
  <c r="PE168" i="2"/>
  <c r="PD168" i="2"/>
  <c r="PC168" i="2"/>
  <c r="PB168" i="2"/>
  <c r="PA168" i="2"/>
  <c r="OZ168" i="2"/>
  <c r="OY168" i="2"/>
  <c r="OX168" i="2"/>
  <c r="OW168" i="2"/>
  <c r="OU168" i="2"/>
  <c r="OT168" i="2"/>
  <c r="OS168" i="2"/>
  <c r="OR168" i="2"/>
  <c r="OQ168" i="2"/>
  <c r="OP168" i="2"/>
  <c r="OO168" i="2"/>
  <c r="ON168" i="2"/>
  <c r="OM168" i="2"/>
  <c r="OL168" i="2"/>
  <c r="OK168" i="2"/>
  <c r="OJ168" i="2"/>
  <c r="OI168" i="2"/>
  <c r="OH168" i="2"/>
  <c r="OG168" i="2"/>
  <c r="OF168" i="2"/>
  <c r="OE168" i="2"/>
  <c r="OD168" i="2"/>
  <c r="OC168" i="2"/>
  <c r="OB168" i="2"/>
  <c r="OA168" i="2"/>
  <c r="NZ168" i="2"/>
  <c r="NY168" i="2"/>
  <c r="NX168" i="2"/>
  <c r="NW168" i="2"/>
  <c r="NV168" i="2"/>
  <c r="NU168" i="2"/>
  <c r="NT168" i="2"/>
  <c r="NS168" i="2"/>
  <c r="NR168" i="2"/>
  <c r="NQ168" i="2"/>
  <c r="NP168" i="2"/>
  <c r="NO168" i="2"/>
  <c r="NN168" i="2"/>
  <c r="NM168" i="2"/>
  <c r="NL168" i="2"/>
  <c r="NK168" i="2"/>
  <c r="NJ168" i="2"/>
  <c r="NI168" i="2"/>
  <c r="NH168" i="2"/>
  <c r="NG168" i="2"/>
  <c r="NF168" i="2"/>
  <c r="NE168" i="2"/>
  <c r="ND168" i="2"/>
  <c r="NC168" i="2"/>
  <c r="NB168" i="2"/>
  <c r="NA168" i="2"/>
  <c r="MZ168" i="2"/>
  <c r="MY168" i="2"/>
  <c r="MX168" i="2"/>
  <c r="MW168" i="2"/>
  <c r="MV168" i="2"/>
  <c r="MU168" i="2"/>
  <c r="MT168" i="2"/>
  <c r="MS168" i="2"/>
  <c r="MR168" i="2"/>
  <c r="MQ168" i="2"/>
  <c r="MP168" i="2"/>
  <c r="MO168" i="2"/>
  <c r="MN168" i="2"/>
  <c r="MM168" i="2"/>
  <c r="ML168" i="2"/>
  <c r="MK168" i="2"/>
  <c r="MJ168" i="2"/>
  <c r="MI168" i="2"/>
  <c r="MH168" i="2"/>
  <c r="MG168" i="2"/>
  <c r="MF168" i="2"/>
  <c r="ME168" i="2"/>
  <c r="MD168" i="2"/>
  <c r="MC168" i="2"/>
  <c r="MB168" i="2"/>
  <c r="MA168" i="2"/>
  <c r="LZ168" i="2"/>
  <c r="LY168" i="2"/>
  <c r="LX168" i="2"/>
  <c r="LW168" i="2"/>
  <c r="LV168" i="2"/>
  <c r="LU168" i="2"/>
  <c r="LT168" i="2"/>
  <c r="LS168" i="2"/>
  <c r="LR168" i="2"/>
  <c r="LQ168" i="2"/>
  <c r="LP168" i="2"/>
  <c r="LO168" i="2"/>
  <c r="LN168" i="2"/>
  <c r="LL168" i="2"/>
  <c r="LJ168" i="2"/>
  <c r="LI168" i="2"/>
  <c r="LH168" i="2"/>
  <c r="LG168" i="2"/>
  <c r="LE168" i="2"/>
  <c r="LC168" i="2"/>
  <c r="LA168" i="2"/>
  <c r="KY168" i="2"/>
  <c r="KU168" i="2"/>
  <c r="KT168" i="2"/>
  <c r="KS168" i="2"/>
  <c r="KR168" i="2"/>
  <c r="KQ168" i="2"/>
  <c r="KP168" i="2"/>
  <c r="KM168" i="2"/>
  <c r="KK168" i="2"/>
  <c r="KJ168" i="2"/>
  <c r="KI168" i="2"/>
  <c r="KH168" i="2"/>
  <c r="KF168" i="2"/>
  <c r="KE168" i="2"/>
  <c r="KD168" i="2"/>
  <c r="KC168" i="2"/>
  <c r="KB168" i="2"/>
  <c r="KA168" i="2"/>
  <c r="JZ168" i="2"/>
  <c r="JY168" i="2"/>
  <c r="JX168" i="2"/>
  <c r="KN168" i="2" s="1"/>
  <c r="JW168" i="2"/>
  <c r="JV168" i="2"/>
  <c r="JU168" i="2"/>
  <c r="JT168" i="2"/>
  <c r="JS168" i="2"/>
  <c r="JR168" i="2"/>
  <c r="JP168" i="2"/>
  <c r="JO168" i="2"/>
  <c r="JN168" i="2"/>
  <c r="JM168" i="2"/>
  <c r="JL168" i="2"/>
  <c r="JK168" i="2"/>
  <c r="JH168" i="2"/>
  <c r="JG168" i="2"/>
  <c r="JE168" i="2"/>
  <c r="JD168" i="2"/>
  <c r="IW168" i="2"/>
  <c r="IV168" i="2"/>
  <c r="IU168" i="2"/>
  <c r="IT168" i="2"/>
  <c r="IS168" i="2"/>
  <c r="IR168" i="2"/>
  <c r="IQ168" i="2"/>
  <c r="IP168" i="2"/>
  <c r="IO168" i="2"/>
  <c r="IN168" i="2"/>
  <c r="IM168" i="2"/>
  <c r="IL168" i="2"/>
  <c r="IK168" i="2"/>
  <c r="IJ168" i="2"/>
  <c r="II168" i="2"/>
  <c r="IG168" i="2"/>
  <c r="IE168" i="2"/>
  <c r="IC168" i="2"/>
  <c r="IA168" i="2"/>
  <c r="ID296" i="1"/>
  <c r="ID298" i="1" s="1"/>
  <c r="IE290" i="1"/>
  <c r="ID275" i="1"/>
  <c r="IE270" i="1" s="1"/>
  <c r="ID225" i="1"/>
  <c r="ID230" i="1" s="1"/>
  <c r="ID224" i="1"/>
  <c r="ID249" i="1" s="1"/>
  <c r="IE220" i="1"/>
  <c r="ID219" i="1"/>
  <c r="ID222" i="1" s="1"/>
  <c r="IE222" i="1" s="1"/>
  <c r="ID205" i="1"/>
  <c r="ID203" i="1"/>
  <c r="ID202" i="1"/>
  <c r="ID238" i="1" s="1"/>
  <c r="ID197" i="1"/>
  <c r="ID196" i="1"/>
  <c r="ID167" i="1"/>
  <c r="ID166" i="1"/>
  <c r="ID150" i="1"/>
  <c r="IE148" i="1" s="1"/>
  <c r="ID140" i="1"/>
  <c r="IE138" i="1" s="1"/>
  <c r="ID119" i="1"/>
  <c r="ID115" i="1"/>
  <c r="ID114" i="1"/>
  <c r="ID104" i="1"/>
  <c r="ID98" i="1"/>
  <c r="ID123" i="1" s="1"/>
  <c r="ID85" i="1"/>
  <c r="ID75" i="1"/>
  <c r="ID69" i="1"/>
  <c r="ID51" i="1"/>
  <c r="ID52" i="1" s="1"/>
  <c r="ID36" i="1"/>
  <c r="ID21" i="1"/>
  <c r="ID173" i="1" s="1"/>
  <c r="ID20" i="1"/>
  <c r="KV168" i="2" l="1"/>
  <c r="JF168" i="2"/>
  <c r="IX168" i="2"/>
  <c r="JQ168" i="2"/>
  <c r="KW168" i="2"/>
  <c r="JB168" i="2"/>
  <c r="JJ168" i="2"/>
  <c r="JC168" i="2"/>
  <c r="LM168" i="2"/>
  <c r="KL168" i="2"/>
  <c r="IY168" i="2"/>
  <c r="IZ168" i="2"/>
  <c r="JA168" i="2"/>
  <c r="KO168" i="2"/>
  <c r="ID277" i="1"/>
  <c r="ID159" i="1"/>
  <c r="ID175" i="1"/>
  <c r="ID160" i="1"/>
  <c r="ID176" i="1"/>
  <c r="IE268" i="1"/>
  <c r="IE291" i="1"/>
  <c r="ID207" i="1"/>
  <c r="ID121" i="1"/>
  <c r="ID163" i="1"/>
  <c r="ID177" i="1"/>
  <c r="IE219" i="1"/>
  <c r="IE271" i="1"/>
  <c r="IE294" i="1"/>
  <c r="IE225" i="1"/>
  <c r="ID158" i="1"/>
  <c r="ID227" i="1"/>
  <c r="IE227" i="1" s="1"/>
  <c r="ID122" i="1"/>
  <c r="ID164" i="1"/>
  <c r="IE272" i="1"/>
  <c r="IE275" i="1"/>
  <c r="ID174" i="1"/>
  <c r="ID165" i="1"/>
  <c r="IE273" i="1"/>
  <c r="ID300" i="1"/>
  <c r="ID245" i="1"/>
  <c r="IE132" i="1"/>
  <c r="IE140" i="1"/>
  <c r="IE150" i="1"/>
  <c r="IE133" i="1"/>
  <c r="IE143" i="1"/>
  <c r="ID152" i="1"/>
  <c r="ID181" i="1" s="1"/>
  <c r="ID229" i="1"/>
  <c r="IE238" i="1" s="1"/>
  <c r="IE292" i="1"/>
  <c r="IE134" i="1"/>
  <c r="IE144" i="1"/>
  <c r="IE293" i="1"/>
  <c r="IE145" i="1"/>
  <c r="ID179" i="1"/>
  <c r="IE136" i="1"/>
  <c r="IE146" i="1"/>
  <c r="ID169" i="1"/>
  <c r="IE224" i="1"/>
  <c r="IE129" i="1"/>
  <c r="IE137" i="1"/>
  <c r="IE147" i="1"/>
  <c r="ID161" i="1"/>
  <c r="ID172" i="1"/>
  <c r="ID192" i="1"/>
  <c r="IE269" i="1"/>
  <c r="ID279" i="1"/>
  <c r="IE296" i="1"/>
  <c r="IE131" i="1"/>
  <c r="IE135" i="1"/>
  <c r="IE130" i="1"/>
  <c r="ID162" i="1"/>
  <c r="IE289" i="1"/>
  <c r="OV168" i="2" l="1"/>
  <c r="IE245" i="1"/>
  <c r="IE243" i="1"/>
  <c r="ID209" i="1"/>
  <c r="IE240" i="1"/>
  <c r="IE242" i="1"/>
  <c r="ID232" i="1"/>
  <c r="IE241" i="1"/>
  <c r="IE239" i="1"/>
  <c r="IE229" i="1"/>
  <c r="IE236" i="1"/>
  <c r="IE230" i="1"/>
  <c r="IE232" i="1" l="1"/>
  <c r="ID247" i="1"/>
  <c r="ID210" i="1" l="1"/>
  <c r="IE247" i="1"/>
  <c r="HR61" i="2" l="1"/>
  <c r="HR62" i="2"/>
  <c r="HR64" i="2"/>
  <c r="HR68" i="2"/>
  <c r="HR71" i="2"/>
  <c r="HR73" i="2"/>
  <c r="HR74" i="2"/>
  <c r="HR75" i="2"/>
  <c r="HR76" i="2"/>
  <c r="HR77" i="2"/>
  <c r="HR78" i="2"/>
  <c r="HR79" i="2"/>
  <c r="HR80" i="2"/>
  <c r="HR83" i="2"/>
  <c r="HR84" i="2"/>
  <c r="HR85" i="2"/>
  <c r="HR86" i="2"/>
  <c r="HR87" i="2"/>
  <c r="HR88" i="2"/>
  <c r="HR91" i="2"/>
  <c r="HR95" i="2"/>
  <c r="HR98" i="2"/>
  <c r="HR99" i="2"/>
  <c r="HR100" i="2"/>
  <c r="HR104" i="2"/>
  <c r="HR108" i="2"/>
  <c r="HR109" i="2"/>
  <c r="HR110" i="2"/>
  <c r="HR112" i="2"/>
  <c r="HR116" i="2"/>
  <c r="HR117" i="2"/>
  <c r="HR118" i="2"/>
  <c r="HR119" i="2"/>
  <c r="HR120" i="2"/>
  <c r="HR121" i="2"/>
  <c r="HR122" i="2"/>
  <c r="HR123" i="2"/>
  <c r="HR124" i="2"/>
  <c r="HR125" i="2"/>
  <c r="HR126" i="2"/>
  <c r="HR129" i="2"/>
  <c r="HR130" i="2"/>
  <c r="HR131" i="2"/>
  <c r="HR134" i="2"/>
  <c r="HR135" i="2"/>
  <c r="HR136" i="2"/>
  <c r="HR137" i="2"/>
  <c r="HR138" i="2"/>
  <c r="HR140" i="2"/>
  <c r="HR141" i="2"/>
  <c r="HR144" i="2"/>
  <c r="HR145" i="2"/>
  <c r="HR146" i="2"/>
  <c r="HR148" i="2"/>
  <c r="HR149" i="2"/>
  <c r="HR150" i="2"/>
  <c r="HR152" i="2"/>
  <c r="HR154" i="2"/>
  <c r="HR155" i="2"/>
  <c r="HR157" i="2"/>
  <c r="HR158" i="2"/>
  <c r="HR159" i="2"/>
  <c r="HR160" i="2"/>
  <c r="HR161" i="2"/>
  <c r="HR162" i="2"/>
  <c r="HR165" i="2"/>
  <c r="HR169" i="2"/>
  <c r="HR170" i="2"/>
  <c r="HR171" i="2"/>
  <c r="HR172" i="2"/>
  <c r="HR173" i="2"/>
  <c r="HR57" i="2"/>
  <c r="HR175" i="2"/>
  <c r="HR167" i="2"/>
  <c r="HR166" i="2"/>
  <c r="HR164" i="2"/>
  <c r="HR163" i="2"/>
  <c r="HR156" i="2"/>
  <c r="HR153" i="2"/>
  <c r="HR151" i="2"/>
  <c r="HR147" i="2"/>
  <c r="HR143" i="2"/>
  <c r="HR142" i="2"/>
  <c r="HR139" i="2"/>
  <c r="HR133" i="2"/>
  <c r="HR127" i="2"/>
  <c r="HR115" i="2"/>
  <c r="HR114" i="2"/>
  <c r="HR113" i="2"/>
  <c r="HR107" i="2"/>
  <c r="HR105" i="2"/>
  <c r="HR103" i="2"/>
  <c r="HR102" i="2"/>
  <c r="HR101" i="2"/>
  <c r="HR97" i="2"/>
  <c r="HR96" i="2"/>
  <c r="HR93" i="2"/>
  <c r="HR92" i="2"/>
  <c r="HR90" i="2"/>
  <c r="HR89" i="2"/>
  <c r="HR82" i="2"/>
  <c r="HR72" i="2"/>
  <c r="HR69" i="2"/>
  <c r="HR67" i="2"/>
  <c r="HR66" i="2"/>
  <c r="HR63" i="2"/>
  <c r="HR59" i="2"/>
  <c r="HR58" i="2"/>
  <c r="HH57" i="2"/>
  <c r="GY58" i="2"/>
  <c r="GY59" i="2"/>
  <c r="GY61" i="2"/>
  <c r="GY63" i="2"/>
  <c r="GY66" i="2"/>
  <c r="GY67" i="2"/>
  <c r="GY69" i="2"/>
  <c r="GY72" i="2"/>
  <c r="GY76" i="2"/>
  <c r="GY82" i="2"/>
  <c r="GY83" i="2"/>
  <c r="GY89" i="2"/>
  <c r="GY90" i="2"/>
  <c r="GY92" i="2"/>
  <c r="GY93" i="2"/>
  <c r="GY96" i="2"/>
  <c r="GY97" i="2"/>
  <c r="GY99" i="2"/>
  <c r="GY101" i="2"/>
  <c r="GY102" i="2"/>
  <c r="GY103" i="2"/>
  <c r="GY105" i="2"/>
  <c r="GY107" i="2"/>
  <c r="GY113" i="2"/>
  <c r="GY114" i="2"/>
  <c r="GY115" i="2"/>
  <c r="GY118" i="2"/>
  <c r="GY119" i="2"/>
  <c r="GY121" i="2"/>
  <c r="GY127" i="2"/>
  <c r="GY131" i="2"/>
  <c r="GY133" i="2"/>
  <c r="GY137" i="2"/>
  <c r="GY139" i="2"/>
  <c r="GY142" i="2"/>
  <c r="GY143" i="2"/>
  <c r="GY146" i="2"/>
  <c r="GY147" i="2"/>
  <c r="GY150" i="2"/>
  <c r="GY151" i="2"/>
  <c r="GY153" i="2"/>
  <c r="GY155" i="2"/>
  <c r="GY156" i="2"/>
  <c r="GY160" i="2"/>
  <c r="GY161" i="2"/>
  <c r="GY162" i="2"/>
  <c r="GY163" i="2"/>
  <c r="GY164" i="2"/>
  <c r="GY166" i="2"/>
  <c r="GY167" i="2"/>
  <c r="GY173" i="2"/>
  <c r="GY175" i="2"/>
  <c r="GO75" i="2"/>
  <c r="GY75" i="2" s="1"/>
  <c r="GO123" i="2"/>
  <c r="GY123" i="2" s="1"/>
  <c r="GO144" i="2"/>
  <c r="GY144" i="2" s="1"/>
  <c r="BZ133" i="1"/>
  <c r="MN97" i="2"/>
  <c r="GO170" i="2" l="1"/>
  <c r="GY170" i="2" s="1"/>
  <c r="GO175" i="2"/>
  <c r="GO173" i="2"/>
  <c r="GO172" i="2"/>
  <c r="GY172" i="2" s="1"/>
  <c r="GO171" i="2"/>
  <c r="GY171" i="2" s="1"/>
  <c r="GO146" i="2"/>
  <c r="GO147" i="2"/>
  <c r="GO148" i="2"/>
  <c r="GY148" i="2" s="1"/>
  <c r="GO149" i="2"/>
  <c r="GY149" i="2" s="1"/>
  <c r="GO150" i="2"/>
  <c r="GO151" i="2"/>
  <c r="GO152" i="2"/>
  <c r="GY152" i="2" s="1"/>
  <c r="GO153" i="2"/>
  <c r="GO154" i="2"/>
  <c r="GY154" i="2" s="1"/>
  <c r="GO156" i="2"/>
  <c r="GO157" i="2"/>
  <c r="GY157" i="2" s="1"/>
  <c r="GO158" i="2"/>
  <c r="GY158" i="2" s="1"/>
  <c r="GO159" i="2"/>
  <c r="GY159" i="2" s="1"/>
  <c r="GO160" i="2"/>
  <c r="GO161" i="2"/>
  <c r="GO162" i="2"/>
  <c r="GO163" i="2"/>
  <c r="GO164" i="2"/>
  <c r="GO165" i="2"/>
  <c r="GY165" i="2" s="1"/>
  <c r="GO166" i="2"/>
  <c r="GO167" i="2"/>
  <c r="GO169" i="2"/>
  <c r="GY169" i="2" s="1"/>
  <c r="GO145" i="2"/>
  <c r="GY145" i="2" s="1"/>
  <c r="GO125" i="2"/>
  <c r="GY125" i="2" s="1"/>
  <c r="GO126" i="2"/>
  <c r="GY126" i="2" s="1"/>
  <c r="GO127" i="2"/>
  <c r="GO129" i="2"/>
  <c r="GY129" i="2" s="1"/>
  <c r="GO130" i="2"/>
  <c r="GY130" i="2" s="1"/>
  <c r="GO131" i="2"/>
  <c r="GO133" i="2"/>
  <c r="GO134" i="2"/>
  <c r="GY134" i="2" s="1"/>
  <c r="GO135" i="2"/>
  <c r="GY135" i="2" s="1"/>
  <c r="GO136" i="2"/>
  <c r="GY136" i="2" s="1"/>
  <c r="GO137" i="2"/>
  <c r="GO138" i="2"/>
  <c r="GY138" i="2" s="1"/>
  <c r="GO139" i="2"/>
  <c r="GO140" i="2"/>
  <c r="GY140" i="2" s="1"/>
  <c r="GO141" i="2"/>
  <c r="GY141" i="2" s="1"/>
  <c r="GO142" i="2"/>
  <c r="GO143" i="2"/>
  <c r="GO124" i="2"/>
  <c r="GY124" i="2" s="1"/>
  <c r="GO98" i="2"/>
  <c r="GY98" i="2" s="1"/>
  <c r="GO99" i="2"/>
  <c r="GO100" i="2"/>
  <c r="GY100" i="2" s="1"/>
  <c r="GO101" i="2"/>
  <c r="GO102" i="2"/>
  <c r="GO103" i="2"/>
  <c r="GO104" i="2"/>
  <c r="GY104" i="2" s="1"/>
  <c r="GO105" i="2"/>
  <c r="GO107" i="2"/>
  <c r="GO108" i="2"/>
  <c r="GY108" i="2" s="1"/>
  <c r="GO109" i="2"/>
  <c r="GY109" i="2" s="1"/>
  <c r="GO110" i="2"/>
  <c r="GY110" i="2" s="1"/>
  <c r="GO112" i="2"/>
  <c r="GY112" i="2" s="1"/>
  <c r="GO113" i="2"/>
  <c r="GO114" i="2"/>
  <c r="GO115" i="2"/>
  <c r="GO116" i="2"/>
  <c r="GY116" i="2" s="1"/>
  <c r="GO117" i="2"/>
  <c r="GY117" i="2" s="1"/>
  <c r="GO118" i="2"/>
  <c r="GO119" i="2"/>
  <c r="GO120" i="2"/>
  <c r="GY120" i="2" s="1"/>
  <c r="GO121" i="2"/>
  <c r="GO122" i="2"/>
  <c r="GY122" i="2" s="1"/>
  <c r="GO77" i="2"/>
  <c r="GY77" i="2" s="1"/>
  <c r="GO78" i="2"/>
  <c r="GY78" i="2" s="1"/>
  <c r="GO79" i="2"/>
  <c r="GY79" i="2" s="1"/>
  <c r="GO80" i="2"/>
  <c r="GY80" i="2" s="1"/>
  <c r="GO82" i="2"/>
  <c r="GO83" i="2"/>
  <c r="GO84" i="2"/>
  <c r="GY84" i="2" s="1"/>
  <c r="GO85" i="2"/>
  <c r="GY85" i="2" s="1"/>
  <c r="GO86" i="2"/>
  <c r="GY86" i="2" s="1"/>
  <c r="GY87" i="2"/>
  <c r="GO88" i="2"/>
  <c r="GO89" i="2"/>
  <c r="GO90" i="2"/>
  <c r="GO91" i="2"/>
  <c r="GY91" i="2" s="1"/>
  <c r="GO92" i="2"/>
  <c r="GO93" i="2"/>
  <c r="GO95" i="2"/>
  <c r="GY95" i="2" s="1"/>
  <c r="GO96" i="2"/>
  <c r="GO97" i="2"/>
  <c r="GO76" i="2"/>
  <c r="GO69" i="2"/>
  <c r="GO71" i="2"/>
  <c r="GY71" i="2" s="1"/>
  <c r="GO72" i="2"/>
  <c r="GO73" i="2"/>
  <c r="GY73" i="2" s="1"/>
  <c r="GO74" i="2"/>
  <c r="GY74" i="2" s="1"/>
  <c r="GO57" i="2"/>
  <c r="GY57" i="2" s="1"/>
  <c r="GO58" i="2"/>
  <c r="GO59" i="2"/>
  <c r="GO61" i="2"/>
  <c r="GO62" i="2"/>
  <c r="GY62" i="2" s="1"/>
  <c r="GO63" i="2"/>
  <c r="GO64" i="2"/>
  <c r="GY64" i="2" s="1"/>
  <c r="GO66" i="2"/>
  <c r="GO67" i="2"/>
  <c r="GO68" i="2"/>
  <c r="GY68" i="2" s="1"/>
  <c r="EN146" i="1"/>
  <c r="DF149" i="2"/>
  <c r="CY149" i="2"/>
  <c r="DF61" i="2" l="1"/>
  <c r="CY61" i="2"/>
  <c r="KT145" i="2" l="1"/>
  <c r="KT175" i="2"/>
  <c r="KO60" i="2"/>
  <c r="PL146" i="2"/>
  <c r="PK146" i="2"/>
  <c r="PJ146" i="2"/>
  <c r="PI146" i="2"/>
  <c r="PH146" i="2"/>
  <c r="PG146" i="2"/>
  <c r="PF146" i="2"/>
  <c r="PE146" i="2"/>
  <c r="PD146" i="2"/>
  <c r="PC146" i="2"/>
  <c r="PB146" i="2"/>
  <c r="PA146" i="2"/>
  <c r="OZ146" i="2"/>
  <c r="OY146" i="2"/>
  <c r="OX146" i="2"/>
  <c r="OW146" i="2"/>
  <c r="OV146" i="2"/>
  <c r="OU146" i="2"/>
  <c r="OT146" i="2"/>
  <c r="OS146" i="2"/>
  <c r="OR146" i="2"/>
  <c r="OQ146" i="2"/>
  <c r="OP146" i="2"/>
  <c r="OO146" i="2"/>
  <c r="ON146" i="2"/>
  <c r="OM146" i="2"/>
  <c r="OL146" i="2"/>
  <c r="OK146" i="2"/>
  <c r="OJ146" i="2"/>
  <c r="OI146" i="2"/>
  <c r="OH146" i="2"/>
  <c r="OG146" i="2"/>
  <c r="OF146" i="2"/>
  <c r="OE146" i="2"/>
  <c r="OD146" i="2"/>
  <c r="OC146" i="2"/>
  <c r="OB146" i="2"/>
  <c r="OA146" i="2"/>
  <c r="NZ146" i="2"/>
  <c r="NY146" i="2"/>
  <c r="NX146" i="2"/>
  <c r="NW146" i="2"/>
  <c r="NV146" i="2"/>
  <c r="NU146" i="2"/>
  <c r="NT146" i="2"/>
  <c r="NS146" i="2"/>
  <c r="NR146" i="2"/>
  <c r="NQ146" i="2"/>
  <c r="NP146" i="2"/>
  <c r="NO146" i="2"/>
  <c r="NN146" i="2"/>
  <c r="NM146" i="2"/>
  <c r="NL146" i="2"/>
  <c r="NK146" i="2"/>
  <c r="NJ146" i="2"/>
  <c r="NI146" i="2"/>
  <c r="NH146" i="2"/>
  <c r="NG146" i="2"/>
  <c r="NF146" i="2"/>
  <c r="NE146" i="2"/>
  <c r="ND146" i="2"/>
  <c r="NC146" i="2"/>
  <c r="NB146" i="2"/>
  <c r="NA146" i="2"/>
  <c r="MZ146" i="2"/>
  <c r="MY146" i="2"/>
  <c r="MX146" i="2"/>
  <c r="MW146" i="2"/>
  <c r="MV146" i="2"/>
  <c r="MU146" i="2"/>
  <c r="MT146" i="2"/>
  <c r="MS146" i="2"/>
  <c r="MR146" i="2"/>
  <c r="MQ146" i="2"/>
  <c r="MP146" i="2"/>
  <c r="MO146" i="2"/>
  <c r="MN146" i="2"/>
  <c r="MM146" i="2"/>
  <c r="ML146" i="2"/>
  <c r="MK146" i="2"/>
  <c r="MJ146" i="2"/>
  <c r="MI146" i="2"/>
  <c r="MH146" i="2"/>
  <c r="MG146" i="2"/>
  <c r="MF146" i="2"/>
  <c r="ME146" i="2"/>
  <c r="MD146" i="2"/>
  <c r="MC146" i="2"/>
  <c r="MB146" i="2"/>
  <c r="MA146" i="2"/>
  <c r="LZ146" i="2"/>
  <c r="LY146" i="2"/>
  <c r="LX146" i="2"/>
  <c r="LW146" i="2"/>
  <c r="LV146" i="2"/>
  <c r="LU146" i="2"/>
  <c r="LT146" i="2"/>
  <c r="LS146" i="2"/>
  <c r="LR146" i="2"/>
  <c r="LQ146" i="2"/>
  <c r="LP146" i="2"/>
  <c r="LO146" i="2"/>
  <c r="LN146" i="2"/>
  <c r="LL146" i="2"/>
  <c r="LJ146" i="2"/>
  <c r="LI146" i="2"/>
  <c r="LH146" i="2"/>
  <c r="LG146" i="2"/>
  <c r="LE146" i="2"/>
  <c r="LC146" i="2"/>
  <c r="LA146" i="2"/>
  <c r="KY146" i="2"/>
  <c r="KU146" i="2"/>
  <c r="KT146" i="2"/>
  <c r="KS146" i="2"/>
  <c r="KR146" i="2"/>
  <c r="KQ146" i="2"/>
  <c r="KP146" i="2"/>
  <c r="KO146" i="2"/>
  <c r="KM146" i="2"/>
  <c r="KL146" i="2"/>
  <c r="KK146" i="2"/>
  <c r="KJ146" i="2"/>
  <c r="KI146" i="2"/>
  <c r="KH146" i="2"/>
  <c r="KG146" i="2"/>
  <c r="KF146" i="2"/>
  <c r="KE146" i="2"/>
  <c r="KD146" i="2"/>
  <c r="KC146" i="2"/>
  <c r="KB146" i="2"/>
  <c r="KA146" i="2"/>
  <c r="JZ146" i="2"/>
  <c r="JY146" i="2"/>
  <c r="JX146" i="2"/>
  <c r="JW146" i="2"/>
  <c r="JV146" i="2"/>
  <c r="JU146" i="2"/>
  <c r="JT146" i="2"/>
  <c r="JS146" i="2"/>
  <c r="JR146" i="2"/>
  <c r="JP146" i="2"/>
  <c r="JO146" i="2"/>
  <c r="JN146" i="2"/>
  <c r="JM146" i="2"/>
  <c r="JL146" i="2"/>
  <c r="JK146" i="2"/>
  <c r="JH146" i="2"/>
  <c r="JG146" i="2"/>
  <c r="JE146" i="2"/>
  <c r="JD146" i="2"/>
  <c r="IW146" i="2"/>
  <c r="IV146" i="2"/>
  <c r="IU146" i="2"/>
  <c r="IT146" i="2"/>
  <c r="IS146" i="2"/>
  <c r="IR146" i="2"/>
  <c r="IQ146" i="2"/>
  <c r="IP146" i="2"/>
  <c r="IO146" i="2"/>
  <c r="IN146" i="2"/>
  <c r="IM146" i="2"/>
  <c r="IL146" i="2"/>
  <c r="IK146" i="2"/>
  <c r="IJ146" i="2"/>
  <c r="II146" i="2"/>
  <c r="IG146" i="2"/>
  <c r="IE146" i="2"/>
  <c r="IC146" i="2"/>
  <c r="IA146" i="2"/>
  <c r="JJ146" i="2"/>
  <c r="PL161" i="2"/>
  <c r="PK161" i="2"/>
  <c r="PJ161" i="2"/>
  <c r="PI161" i="2"/>
  <c r="PH161" i="2"/>
  <c r="PG161" i="2"/>
  <c r="PF161" i="2"/>
  <c r="PE161" i="2"/>
  <c r="PD161" i="2"/>
  <c r="PC161" i="2"/>
  <c r="PB161" i="2"/>
  <c r="PA161" i="2"/>
  <c r="OZ161" i="2"/>
  <c r="OY161" i="2"/>
  <c r="OX161" i="2"/>
  <c r="OW161" i="2"/>
  <c r="OV161" i="2"/>
  <c r="OU161" i="2"/>
  <c r="OT161" i="2"/>
  <c r="OS161" i="2"/>
  <c r="OR161" i="2"/>
  <c r="OQ161" i="2"/>
  <c r="OP161" i="2"/>
  <c r="OO161" i="2"/>
  <c r="ON161" i="2"/>
  <c r="OM161" i="2"/>
  <c r="OL161" i="2"/>
  <c r="OK161" i="2"/>
  <c r="OJ161" i="2"/>
  <c r="OI161" i="2"/>
  <c r="OH161" i="2"/>
  <c r="OG161" i="2"/>
  <c r="OF161" i="2"/>
  <c r="OE161" i="2"/>
  <c r="OD161" i="2"/>
  <c r="OC161" i="2"/>
  <c r="OB161" i="2"/>
  <c r="OA161" i="2"/>
  <c r="NZ161" i="2"/>
  <c r="NY161" i="2"/>
  <c r="NX161" i="2"/>
  <c r="NW161" i="2"/>
  <c r="NV161" i="2"/>
  <c r="NU161" i="2"/>
  <c r="NT161" i="2"/>
  <c r="NS161" i="2"/>
  <c r="NR161" i="2"/>
  <c r="NQ161" i="2"/>
  <c r="NP161" i="2"/>
  <c r="NO161" i="2"/>
  <c r="NN161" i="2"/>
  <c r="NM161" i="2"/>
  <c r="NL161" i="2"/>
  <c r="NK161" i="2"/>
  <c r="NJ161" i="2"/>
  <c r="NI161" i="2"/>
  <c r="NH161" i="2"/>
  <c r="NG161" i="2"/>
  <c r="NF161" i="2"/>
  <c r="NE161" i="2"/>
  <c r="ND161" i="2"/>
  <c r="NC161" i="2"/>
  <c r="NB161" i="2"/>
  <c r="NA161" i="2"/>
  <c r="MZ161" i="2"/>
  <c r="MY161" i="2"/>
  <c r="MX161" i="2"/>
  <c r="MW161" i="2"/>
  <c r="MV161" i="2"/>
  <c r="MU161" i="2"/>
  <c r="MT161" i="2"/>
  <c r="MS161" i="2"/>
  <c r="MR161" i="2"/>
  <c r="MQ161" i="2"/>
  <c r="MP161" i="2"/>
  <c r="MO161" i="2"/>
  <c r="MN161" i="2"/>
  <c r="MM161" i="2"/>
  <c r="ML161" i="2"/>
  <c r="MK161" i="2"/>
  <c r="MJ161" i="2"/>
  <c r="MI161" i="2"/>
  <c r="MH161" i="2"/>
  <c r="MG161" i="2"/>
  <c r="MF161" i="2"/>
  <c r="ME161" i="2"/>
  <c r="MD161" i="2"/>
  <c r="MC161" i="2"/>
  <c r="MB161" i="2"/>
  <c r="MA161" i="2"/>
  <c r="LZ161" i="2"/>
  <c r="LY161" i="2"/>
  <c r="LX161" i="2"/>
  <c r="LW161" i="2"/>
  <c r="LV161" i="2"/>
  <c r="LU161" i="2"/>
  <c r="LT161" i="2"/>
  <c r="LS161" i="2"/>
  <c r="LR161" i="2"/>
  <c r="LQ161" i="2"/>
  <c r="LP161" i="2"/>
  <c r="LO161" i="2"/>
  <c r="LN161" i="2"/>
  <c r="LL161" i="2"/>
  <c r="LJ161" i="2"/>
  <c r="LI161" i="2"/>
  <c r="LH161" i="2"/>
  <c r="LG161" i="2"/>
  <c r="LE161" i="2"/>
  <c r="LC161" i="2"/>
  <c r="LA161" i="2"/>
  <c r="KY161" i="2"/>
  <c r="KU161" i="2"/>
  <c r="KT161" i="2"/>
  <c r="KS161" i="2"/>
  <c r="KR161" i="2"/>
  <c r="KQ161" i="2"/>
  <c r="KP161" i="2"/>
  <c r="KO161" i="2"/>
  <c r="KM161" i="2"/>
  <c r="KL161" i="2"/>
  <c r="KK161" i="2"/>
  <c r="KJ161" i="2"/>
  <c r="KI161" i="2"/>
  <c r="KH161" i="2"/>
  <c r="KN161" i="2" s="1"/>
  <c r="KG161" i="2"/>
  <c r="KF161" i="2"/>
  <c r="KE161" i="2"/>
  <c r="KD161" i="2"/>
  <c r="KC161" i="2"/>
  <c r="KB161" i="2"/>
  <c r="KA161" i="2"/>
  <c r="JZ161" i="2"/>
  <c r="JY161" i="2"/>
  <c r="JX161" i="2"/>
  <c r="JW161" i="2"/>
  <c r="JV161" i="2"/>
  <c r="JU161" i="2"/>
  <c r="JT161" i="2"/>
  <c r="JS161" i="2"/>
  <c r="JR161" i="2"/>
  <c r="JP161" i="2"/>
  <c r="JO161" i="2"/>
  <c r="JN161" i="2"/>
  <c r="JM161" i="2"/>
  <c r="JL161" i="2"/>
  <c r="JK161" i="2"/>
  <c r="JH161" i="2"/>
  <c r="JG161" i="2"/>
  <c r="JE161" i="2"/>
  <c r="JD161" i="2"/>
  <c r="IW161" i="2"/>
  <c r="IV161" i="2"/>
  <c r="IU161" i="2"/>
  <c r="IT161" i="2"/>
  <c r="IS161" i="2"/>
  <c r="IR161" i="2"/>
  <c r="IQ161" i="2"/>
  <c r="IP161" i="2"/>
  <c r="IO161" i="2"/>
  <c r="IN161" i="2"/>
  <c r="IM161" i="2"/>
  <c r="IL161" i="2"/>
  <c r="IK161" i="2"/>
  <c r="IJ161" i="2"/>
  <c r="II161" i="2"/>
  <c r="IG161" i="2"/>
  <c r="IE161" i="2"/>
  <c r="IC161" i="2"/>
  <c r="IA161" i="2"/>
  <c r="JJ161" i="2"/>
  <c r="B175" i="2"/>
  <c r="B174" i="2"/>
  <c r="B173" i="2"/>
  <c r="B172" i="2"/>
  <c r="B171" i="2"/>
  <c r="B170" i="2"/>
  <c r="B169" i="2"/>
  <c r="B167" i="2"/>
  <c r="B155" i="2"/>
  <c r="B166" i="2"/>
  <c r="B165" i="2"/>
  <c r="B79" i="2"/>
  <c r="B78" i="2"/>
  <c r="B163" i="2"/>
  <c r="B106" i="2"/>
  <c r="B162" i="2"/>
  <c r="B160" i="2"/>
  <c r="B159" i="2"/>
  <c r="B158" i="2"/>
  <c r="B157" i="2"/>
  <c r="B156" i="2"/>
  <c r="B154" i="2"/>
  <c r="B153" i="2"/>
  <c r="B152" i="2"/>
  <c r="B151" i="2"/>
  <c r="B150" i="2"/>
  <c r="B149" i="2"/>
  <c r="B148" i="2"/>
  <c r="B147" i="2"/>
  <c r="B145" i="2"/>
  <c r="B144" i="2"/>
  <c r="B143" i="2"/>
  <c r="B142" i="2"/>
  <c r="B141" i="2"/>
  <c r="B140" i="2"/>
  <c r="B139" i="2"/>
  <c r="B138" i="2"/>
  <c r="B137" i="2"/>
  <c r="B136" i="2"/>
  <c r="B135" i="2"/>
  <c r="B134" i="2"/>
  <c r="B133" i="2"/>
  <c r="B132" i="2"/>
  <c r="B131" i="2"/>
  <c r="B130" i="2"/>
  <c r="B129" i="2"/>
  <c r="B128" i="2"/>
  <c r="B72" i="2"/>
  <c r="B127" i="2"/>
  <c r="B126" i="2"/>
  <c r="B125" i="2"/>
  <c r="B124" i="2"/>
  <c r="B123" i="2"/>
  <c r="B122" i="2"/>
  <c r="B121" i="2"/>
  <c r="B120" i="2"/>
  <c r="B119" i="2"/>
  <c r="B118" i="2"/>
  <c r="B117" i="2"/>
  <c r="B116" i="2"/>
  <c r="B115" i="2"/>
  <c r="B114" i="2"/>
  <c r="B113" i="2"/>
  <c r="B112" i="2"/>
  <c r="B110" i="2"/>
  <c r="B109" i="2"/>
  <c r="B108" i="2"/>
  <c r="B107" i="2"/>
  <c r="B105" i="2"/>
  <c r="B104" i="2"/>
  <c r="B103" i="2"/>
  <c r="B102" i="2"/>
  <c r="B101" i="2"/>
  <c r="B100" i="2"/>
  <c r="B99" i="2"/>
  <c r="B98" i="2"/>
  <c r="B97" i="2"/>
  <c r="B96" i="2"/>
  <c r="B95" i="2"/>
  <c r="B94" i="2"/>
  <c r="B93" i="2"/>
  <c r="B92" i="2"/>
  <c r="B91" i="2"/>
  <c r="B90" i="2"/>
  <c r="B89" i="2"/>
  <c r="B88" i="2"/>
  <c r="B87" i="2"/>
  <c r="B86" i="2"/>
  <c r="B85" i="2"/>
  <c r="B84" i="2"/>
  <c r="B83" i="2"/>
  <c r="B82" i="2"/>
  <c r="B81" i="2"/>
  <c r="B80" i="2"/>
  <c r="B77" i="2"/>
  <c r="B76" i="2"/>
  <c r="B75" i="2"/>
  <c r="B74" i="2"/>
  <c r="B73" i="2"/>
  <c r="B164" i="2"/>
  <c r="B71" i="2"/>
  <c r="B70" i="2"/>
  <c r="B69" i="2"/>
  <c r="B68" i="2"/>
  <c r="B67" i="2"/>
  <c r="B66" i="2"/>
  <c r="B65" i="2"/>
  <c r="B64" i="2"/>
  <c r="B63" i="2"/>
  <c r="B62" i="2"/>
  <c r="B61" i="2"/>
  <c r="B60" i="2"/>
  <c r="B59" i="2"/>
  <c r="B58" i="2"/>
  <c r="B57" i="2"/>
  <c r="JF146" i="2" l="1"/>
  <c r="KN146" i="2"/>
  <c r="KV146" i="2"/>
  <c r="IZ161" i="2"/>
  <c r="IY146" i="2"/>
  <c r="JQ161" i="2"/>
  <c r="JA146" i="2"/>
  <c r="KV161" i="2"/>
  <c r="JF161" i="2"/>
  <c r="KW161" i="2"/>
  <c r="JB161" i="2"/>
  <c r="IX146" i="2"/>
  <c r="JQ146" i="2"/>
  <c r="JB146" i="2"/>
  <c r="JC146" i="2"/>
  <c r="KW146" i="2"/>
  <c r="LM146" i="2"/>
  <c r="IZ146" i="2"/>
  <c r="JI146" i="2"/>
  <c r="JC161" i="2"/>
  <c r="LM161" i="2"/>
  <c r="IX161" i="2"/>
  <c r="IY161" i="2"/>
  <c r="JA161" i="2"/>
  <c r="JI161" i="2"/>
  <c r="BN300" i="1" l="1"/>
  <c r="AX300" i="1"/>
  <c r="AH300" i="1"/>
  <c r="R300" i="1"/>
  <c r="FN298" i="1"/>
  <c r="AX298" i="1"/>
  <c r="AH298" i="1"/>
  <c r="R298" i="1"/>
  <c r="IB296" i="1"/>
  <c r="HR296" i="1"/>
  <c r="HN296" i="1"/>
  <c r="HO296" i="1" s="1"/>
  <c r="HJ296" i="1"/>
  <c r="HJ298" i="1" s="1"/>
  <c r="HD296" i="1"/>
  <c r="HB296" i="1"/>
  <c r="GZ296" i="1"/>
  <c r="GX296" i="1"/>
  <c r="GY296" i="1" s="1"/>
  <c r="GV296" i="1"/>
  <c r="GT296" i="1"/>
  <c r="GT298" i="1" s="1"/>
  <c r="GR296" i="1"/>
  <c r="GR298" i="1" s="1"/>
  <c r="GP296" i="1"/>
  <c r="GP298" i="1" s="1"/>
  <c r="GN296" i="1"/>
  <c r="GL296" i="1"/>
  <c r="GM289" i="1" s="1"/>
  <c r="GJ296" i="1"/>
  <c r="GH296" i="1"/>
  <c r="GI296" i="1" s="1"/>
  <c r="GF296" i="1"/>
  <c r="GG292" i="1" s="1"/>
  <c r="GB296" i="1"/>
  <c r="GB298" i="1" s="1"/>
  <c r="FZ296" i="1"/>
  <c r="FZ298" i="1" s="1"/>
  <c r="FX296" i="1"/>
  <c r="FV296" i="1"/>
  <c r="FT296" i="1"/>
  <c r="FR296" i="1"/>
  <c r="FP296" i="1"/>
  <c r="FQ292" i="1" s="1"/>
  <c r="FN296" i="1"/>
  <c r="FJ296" i="1"/>
  <c r="FJ298" i="1" s="1"/>
  <c r="FH296" i="1"/>
  <c r="FF296" i="1"/>
  <c r="FD296" i="1"/>
  <c r="FB296" i="1"/>
  <c r="EZ296" i="1"/>
  <c r="FA292" i="1" s="1"/>
  <c r="EX296" i="1"/>
  <c r="EX298" i="1" s="1"/>
  <c r="EV296" i="1"/>
  <c r="EV298" i="1" s="1"/>
  <c r="ET296" i="1"/>
  <c r="ET298" i="1" s="1"/>
  <c r="ER296" i="1"/>
  <c r="EP296" i="1"/>
  <c r="EN296" i="1"/>
  <c r="EJ296" i="1"/>
  <c r="EH296" i="1"/>
  <c r="EH298" i="1" s="1"/>
  <c r="EF296" i="1"/>
  <c r="EF298" i="1" s="1"/>
  <c r="ED296" i="1"/>
  <c r="EE294" i="1" s="1"/>
  <c r="DZ296" i="1"/>
  <c r="DX296" i="1"/>
  <c r="DY296" i="1" s="1"/>
  <c r="DV296" i="1"/>
  <c r="DR296" i="1"/>
  <c r="DS293" i="1" s="1"/>
  <c r="DP296" i="1"/>
  <c r="DP298" i="1" s="1"/>
  <c r="DN296" i="1"/>
  <c r="DO294" i="1" s="1"/>
  <c r="CV296" i="1"/>
  <c r="CT296" i="1"/>
  <c r="CT300" i="1" s="1"/>
  <c r="CP296" i="1"/>
  <c r="CQ296" i="1" s="1"/>
  <c r="CB296" i="1"/>
  <c r="BZ296" i="1"/>
  <c r="BX296" i="1"/>
  <c r="BX298" i="1" s="1"/>
  <c r="BV296" i="1"/>
  <c r="BW294" i="1" s="1"/>
  <c r="BT296" i="1"/>
  <c r="BU292" i="1" s="1"/>
  <c r="BR296" i="1"/>
  <c r="BP296" i="1"/>
  <c r="BQ296" i="1" s="1"/>
  <c r="BN296" i="1"/>
  <c r="BO296" i="1" s="1"/>
  <c r="BL296" i="1"/>
  <c r="BJ296" i="1"/>
  <c r="BH296" i="1"/>
  <c r="BH298" i="1" s="1"/>
  <c r="BF296" i="1"/>
  <c r="BG294" i="1" s="1"/>
  <c r="BD296" i="1"/>
  <c r="BB296" i="1"/>
  <c r="AZ296" i="1"/>
  <c r="BA296" i="1" s="1"/>
  <c r="AX296" i="1"/>
  <c r="AY296" i="1" s="1"/>
  <c r="AV296" i="1"/>
  <c r="AT296" i="1"/>
  <c r="AR296" i="1"/>
  <c r="AR298" i="1" s="1"/>
  <c r="AN296" i="1"/>
  <c r="AO293" i="1" s="1"/>
  <c r="AL296" i="1"/>
  <c r="AL300" i="1" s="1"/>
  <c r="AJ296" i="1"/>
  <c r="AK296" i="1" s="1"/>
  <c r="AH296" i="1"/>
  <c r="AI296" i="1" s="1"/>
  <c r="AF296" i="1"/>
  <c r="AB296" i="1"/>
  <c r="Z296" i="1"/>
  <c r="Z298" i="1" s="1"/>
  <c r="X296" i="1"/>
  <c r="Y291" i="1" s="1"/>
  <c r="V296" i="1"/>
  <c r="W291" i="1" s="1"/>
  <c r="T296" i="1"/>
  <c r="U296" i="1" s="1"/>
  <c r="R296" i="1"/>
  <c r="S296" i="1" s="1"/>
  <c r="P296" i="1"/>
  <c r="N296" i="1"/>
  <c r="L296" i="1"/>
  <c r="J296" i="1"/>
  <c r="J298" i="1" s="1"/>
  <c r="H296" i="1"/>
  <c r="I291" i="1" s="1"/>
  <c r="F296" i="1"/>
  <c r="G291" i="1" s="1"/>
  <c r="HO294" i="1"/>
  <c r="HL294" i="1"/>
  <c r="HL296" i="1" s="1"/>
  <c r="GS294" i="1"/>
  <c r="GQ294" i="1"/>
  <c r="GI294" i="1"/>
  <c r="GF294" i="1"/>
  <c r="GD294" i="1"/>
  <c r="GC294" i="1"/>
  <c r="GA294" i="1"/>
  <c r="FO294" i="1"/>
  <c r="FK294" i="1"/>
  <c r="EW294" i="1"/>
  <c r="EU294" i="1"/>
  <c r="EL294" i="1"/>
  <c r="EL296" i="1" s="1"/>
  <c r="EL298" i="1" s="1"/>
  <c r="DY294" i="1"/>
  <c r="DQ294" i="1"/>
  <c r="CQ294" i="1"/>
  <c r="BY294" i="1"/>
  <c r="BQ294" i="1"/>
  <c r="BA294" i="1"/>
  <c r="AK294" i="1"/>
  <c r="AG294" i="1"/>
  <c r="AB294" i="1"/>
  <c r="S294" i="1"/>
  <c r="HO293" i="1"/>
  <c r="HK293" i="1"/>
  <c r="GU293" i="1"/>
  <c r="GS293" i="1"/>
  <c r="GQ293" i="1"/>
  <c r="GC293" i="1"/>
  <c r="GA293" i="1"/>
  <c r="FO293" i="1"/>
  <c r="FK293" i="1"/>
  <c r="EW293" i="1"/>
  <c r="EU293" i="1"/>
  <c r="EO293" i="1"/>
  <c r="EM293" i="1"/>
  <c r="EG293" i="1"/>
  <c r="EE293" i="1"/>
  <c r="DY293" i="1"/>
  <c r="DO293" i="1"/>
  <c r="CQ293" i="1"/>
  <c r="CN293" i="1"/>
  <c r="CN291" i="1" s="1"/>
  <c r="BY293" i="1"/>
  <c r="BQ293" i="1"/>
  <c r="BO293" i="1"/>
  <c r="BG293" i="1"/>
  <c r="BA293" i="1"/>
  <c r="AY293" i="1"/>
  <c r="AS293" i="1"/>
  <c r="AK293" i="1"/>
  <c r="AI293" i="1"/>
  <c r="AG293" i="1"/>
  <c r="AA293" i="1"/>
  <c r="Y293" i="1"/>
  <c r="U293" i="1"/>
  <c r="S293" i="1"/>
  <c r="Q293" i="1"/>
  <c r="I293" i="1"/>
  <c r="IC292" i="1"/>
  <c r="HE292" i="1"/>
  <c r="GY292" i="1"/>
  <c r="GS292" i="1"/>
  <c r="GQ292" i="1"/>
  <c r="GO292" i="1"/>
  <c r="GC292" i="1"/>
  <c r="GA292" i="1"/>
  <c r="FY292" i="1"/>
  <c r="FK292" i="1"/>
  <c r="FI292" i="1"/>
  <c r="FE292" i="1"/>
  <c r="EW292" i="1"/>
  <c r="EU292" i="1"/>
  <c r="ES292" i="1"/>
  <c r="EE292" i="1"/>
  <c r="DY292" i="1"/>
  <c r="DO292" i="1"/>
  <c r="CW292" i="1"/>
  <c r="CQ292" i="1"/>
  <c r="BY292" i="1"/>
  <c r="BW292" i="1"/>
  <c r="BQ292" i="1"/>
  <c r="BO292" i="1"/>
  <c r="BE292" i="1"/>
  <c r="BA292" i="1"/>
  <c r="AY292" i="1"/>
  <c r="AS292" i="1"/>
  <c r="AO292" i="1"/>
  <c r="AK292" i="1"/>
  <c r="AI292" i="1"/>
  <c r="AG292" i="1"/>
  <c r="AA292" i="1"/>
  <c r="Y292" i="1"/>
  <c r="U292" i="1"/>
  <c r="S292" i="1"/>
  <c r="Q292" i="1"/>
  <c r="IC291" i="1"/>
  <c r="HE291" i="1"/>
  <c r="GY291" i="1"/>
  <c r="GW291" i="1"/>
  <c r="GS291" i="1"/>
  <c r="GQ291" i="1"/>
  <c r="GO291" i="1"/>
  <c r="GI291" i="1"/>
  <c r="GG291" i="1"/>
  <c r="GC291" i="1"/>
  <c r="GA291" i="1"/>
  <c r="FY291" i="1"/>
  <c r="FK291" i="1"/>
  <c r="FI291" i="1"/>
  <c r="EW291" i="1"/>
  <c r="EU291" i="1"/>
  <c r="ES291" i="1"/>
  <c r="EQ291" i="1"/>
  <c r="EG291" i="1"/>
  <c r="EE291" i="1"/>
  <c r="EA291" i="1"/>
  <c r="DY291" i="1"/>
  <c r="DQ291" i="1"/>
  <c r="DO291" i="1"/>
  <c r="CW291" i="1"/>
  <c r="CU291" i="1"/>
  <c r="CQ291" i="1"/>
  <c r="BY291" i="1"/>
  <c r="BW291" i="1"/>
  <c r="BS291" i="1"/>
  <c r="BQ291" i="1"/>
  <c r="BO291" i="1"/>
  <c r="BG291" i="1"/>
  <c r="BC291" i="1"/>
  <c r="BA291" i="1"/>
  <c r="AY291" i="1"/>
  <c r="AS291" i="1"/>
  <c r="AQ291" i="1"/>
  <c r="AP291" i="1"/>
  <c r="AP296" i="1" s="1"/>
  <c r="AO291" i="1"/>
  <c r="AK291" i="1"/>
  <c r="AI291" i="1"/>
  <c r="AG291" i="1"/>
  <c r="AA291" i="1"/>
  <c r="U291" i="1"/>
  <c r="S291" i="1"/>
  <c r="Q291" i="1"/>
  <c r="K291" i="1"/>
  <c r="IC290" i="1"/>
  <c r="HO290" i="1"/>
  <c r="HK290" i="1"/>
  <c r="HE290" i="1"/>
  <c r="GY290" i="1"/>
  <c r="GW290" i="1"/>
  <c r="GU290" i="1"/>
  <c r="GS290" i="1"/>
  <c r="GQ290" i="1"/>
  <c r="GO290" i="1"/>
  <c r="GI290" i="1"/>
  <c r="GG290" i="1"/>
  <c r="GC290" i="1"/>
  <c r="GA290" i="1"/>
  <c r="FY290" i="1"/>
  <c r="FW290" i="1"/>
  <c r="FQ290" i="1"/>
  <c r="FO290" i="1"/>
  <c r="FK290" i="1"/>
  <c r="FI290" i="1"/>
  <c r="FG290" i="1"/>
  <c r="FA290" i="1"/>
  <c r="EY290" i="1"/>
  <c r="EW290" i="1"/>
  <c r="EU290" i="1"/>
  <c r="ES290" i="1"/>
  <c r="EQ290" i="1"/>
  <c r="EI290" i="1"/>
  <c r="EG290" i="1"/>
  <c r="EE290" i="1"/>
  <c r="EA290" i="1"/>
  <c r="DY290" i="1"/>
  <c r="DS290" i="1"/>
  <c r="DQ290" i="1"/>
  <c r="DO290" i="1"/>
  <c r="CW290" i="1"/>
  <c r="CU290" i="1"/>
  <c r="CQ290" i="1"/>
  <c r="BY290" i="1"/>
  <c r="BW290" i="1"/>
  <c r="BU290" i="1"/>
  <c r="BS290" i="1"/>
  <c r="BQ290" i="1"/>
  <c r="BO290" i="1"/>
  <c r="BI290" i="1"/>
  <c r="BG290" i="1"/>
  <c r="BE290" i="1"/>
  <c r="BC290" i="1"/>
  <c r="BA290" i="1"/>
  <c r="AY290" i="1"/>
  <c r="AQ290" i="1"/>
  <c r="AO290" i="1"/>
  <c r="AM290" i="1"/>
  <c r="AK290" i="1"/>
  <c r="AI290" i="1"/>
  <c r="AG290" i="1"/>
  <c r="Y290" i="1"/>
  <c r="W290" i="1"/>
  <c r="U290" i="1"/>
  <c r="S290" i="1"/>
  <c r="Q290" i="1"/>
  <c r="G290" i="1"/>
  <c r="IC289" i="1"/>
  <c r="HO289" i="1"/>
  <c r="HK289" i="1"/>
  <c r="HE289" i="1"/>
  <c r="GY289" i="1"/>
  <c r="GW289" i="1"/>
  <c r="GU289" i="1"/>
  <c r="GS289" i="1"/>
  <c r="GQ289" i="1"/>
  <c r="GO289" i="1"/>
  <c r="GI289" i="1"/>
  <c r="GG289" i="1"/>
  <c r="GC289" i="1"/>
  <c r="GA289" i="1"/>
  <c r="FY289" i="1"/>
  <c r="FW289" i="1"/>
  <c r="FQ289" i="1"/>
  <c r="FO289" i="1"/>
  <c r="FK289" i="1"/>
  <c r="FI289" i="1"/>
  <c r="FG289" i="1"/>
  <c r="FA289" i="1"/>
  <c r="EY289" i="1"/>
  <c r="EW289" i="1"/>
  <c r="EU289" i="1"/>
  <c r="ES289" i="1"/>
  <c r="EQ289" i="1"/>
  <c r="EM289" i="1"/>
  <c r="EI289" i="1"/>
  <c r="EG289" i="1"/>
  <c r="EE289" i="1"/>
  <c r="EA289" i="1"/>
  <c r="DY289" i="1"/>
  <c r="DS289" i="1"/>
  <c r="DQ289" i="1"/>
  <c r="DO289" i="1"/>
  <c r="CW289" i="1"/>
  <c r="CU289" i="1"/>
  <c r="CQ289" i="1"/>
  <c r="BY289" i="1"/>
  <c r="BW289" i="1"/>
  <c r="BU289" i="1"/>
  <c r="BS289" i="1"/>
  <c r="BQ289" i="1"/>
  <c r="BO289" i="1"/>
  <c r="BI289" i="1"/>
  <c r="BG289" i="1"/>
  <c r="BE289" i="1"/>
  <c r="BC289" i="1"/>
  <c r="BA289" i="1"/>
  <c r="AY289" i="1"/>
  <c r="AQ289" i="1"/>
  <c r="AO289" i="1"/>
  <c r="AM289" i="1"/>
  <c r="AK289" i="1"/>
  <c r="AI289" i="1"/>
  <c r="AG289" i="1"/>
  <c r="Y289" i="1"/>
  <c r="W289" i="1"/>
  <c r="U289" i="1"/>
  <c r="S289" i="1"/>
  <c r="Q289" i="1"/>
  <c r="K289" i="1"/>
  <c r="G289" i="1"/>
  <c r="HL279" i="1"/>
  <c r="GZ279" i="1"/>
  <c r="GB279" i="1"/>
  <c r="FT279" i="1"/>
  <c r="EZ279" i="1"/>
  <c r="CB279" i="1"/>
  <c r="BP279" i="1"/>
  <c r="AF279" i="1"/>
  <c r="T279" i="1"/>
  <c r="HL277" i="1"/>
  <c r="GF277" i="1"/>
  <c r="EZ277" i="1"/>
  <c r="EF277" i="1"/>
  <c r="DP277" i="1"/>
  <c r="CB277" i="1"/>
  <c r="AR277" i="1"/>
  <c r="AF277" i="1"/>
  <c r="IB275" i="1"/>
  <c r="HS275" i="1"/>
  <c r="HR275" i="1"/>
  <c r="HR277" i="1" s="1"/>
  <c r="HO275" i="1"/>
  <c r="HN275" i="1"/>
  <c r="HN279" i="1" s="1"/>
  <c r="HL275" i="1"/>
  <c r="HM275" i="1" s="1"/>
  <c r="HJ275" i="1"/>
  <c r="HK273" i="1" s="1"/>
  <c r="HD275" i="1"/>
  <c r="HD277" i="1" s="1"/>
  <c r="HC275" i="1"/>
  <c r="HB275" i="1"/>
  <c r="HB277" i="1" s="1"/>
  <c r="HA275" i="1"/>
  <c r="GZ275" i="1"/>
  <c r="GZ277" i="1" s="1"/>
  <c r="GX275" i="1"/>
  <c r="GV275" i="1"/>
  <c r="GT275" i="1"/>
  <c r="GT277" i="1" s="1"/>
  <c r="GR275" i="1"/>
  <c r="GS273" i="1" s="1"/>
  <c r="GQ275" i="1"/>
  <c r="GP275" i="1"/>
  <c r="GP277" i="1" s="1"/>
  <c r="GN275" i="1"/>
  <c r="GN277" i="1" s="1"/>
  <c r="GM275" i="1"/>
  <c r="GL275" i="1"/>
  <c r="GL277" i="1" s="1"/>
  <c r="GK275" i="1"/>
  <c r="GJ275" i="1"/>
  <c r="GJ277" i="1" s="1"/>
  <c r="GI275" i="1"/>
  <c r="GH275" i="1"/>
  <c r="GH279" i="1" s="1"/>
  <c r="GF275" i="1"/>
  <c r="GG275" i="1" s="1"/>
  <c r="GE275" i="1"/>
  <c r="GD275" i="1"/>
  <c r="GB275" i="1"/>
  <c r="GB277" i="1" s="1"/>
  <c r="FZ275" i="1"/>
  <c r="FX275" i="1"/>
  <c r="FX277" i="1" s="1"/>
  <c r="FV275" i="1"/>
  <c r="FU275" i="1"/>
  <c r="FT275" i="1"/>
  <c r="FT277" i="1" s="1"/>
  <c r="FS275" i="1"/>
  <c r="FR275" i="1"/>
  <c r="FR279" i="1" s="1"/>
  <c r="FP275" i="1"/>
  <c r="FO275" i="1"/>
  <c r="FN275" i="1"/>
  <c r="FN277" i="1" s="1"/>
  <c r="FJ275" i="1"/>
  <c r="FJ277" i="1" s="1"/>
  <c r="FH275" i="1"/>
  <c r="FH277" i="1" s="1"/>
  <c r="FG275" i="1"/>
  <c r="FF275" i="1"/>
  <c r="FF277" i="1" s="1"/>
  <c r="FD275" i="1"/>
  <c r="FC275" i="1"/>
  <c r="FB275" i="1"/>
  <c r="FB279" i="1" s="1"/>
  <c r="EZ275" i="1"/>
  <c r="FA275" i="1" s="1"/>
  <c r="EV275" i="1"/>
  <c r="EU275" i="1"/>
  <c r="ET275" i="1"/>
  <c r="ET277" i="1" s="1"/>
  <c r="EP275" i="1"/>
  <c r="EP277" i="1" s="1"/>
  <c r="EN275" i="1"/>
  <c r="EN277" i="1" s="1"/>
  <c r="EL275" i="1"/>
  <c r="EM273" i="1" s="1"/>
  <c r="EJ275" i="1"/>
  <c r="EK275" i="1" s="1"/>
  <c r="EH275" i="1"/>
  <c r="EG275" i="1"/>
  <c r="EF275" i="1"/>
  <c r="EF279" i="1" s="1"/>
  <c r="DZ275" i="1"/>
  <c r="DW275" i="1"/>
  <c r="DV275" i="1"/>
  <c r="DV279" i="1" s="1"/>
  <c r="DS275" i="1"/>
  <c r="DR275" i="1"/>
  <c r="DR277" i="1" s="1"/>
  <c r="DQ275" i="1"/>
  <c r="DP275" i="1"/>
  <c r="DP279" i="1" s="1"/>
  <c r="CV275" i="1"/>
  <c r="CU275" i="1"/>
  <c r="CT275" i="1"/>
  <c r="CT277" i="1" s="1"/>
  <c r="CQ275" i="1"/>
  <c r="CP275" i="1"/>
  <c r="CO275" i="1"/>
  <c r="CN275" i="1"/>
  <c r="CB275" i="1"/>
  <c r="CC275" i="1" s="1"/>
  <c r="CA275" i="1"/>
  <c r="BZ275" i="1"/>
  <c r="BZ277" i="1" s="1"/>
  <c r="BX275" i="1"/>
  <c r="BW275" i="1"/>
  <c r="BV275" i="1"/>
  <c r="BT275" i="1"/>
  <c r="BU269" i="1" s="1"/>
  <c r="BR275" i="1"/>
  <c r="BQ275" i="1"/>
  <c r="BP275" i="1"/>
  <c r="BP277" i="1" s="1"/>
  <c r="BN275" i="1"/>
  <c r="BN279" i="1" s="1"/>
  <c r="BL275" i="1"/>
  <c r="BK275" i="1"/>
  <c r="BJ275" i="1"/>
  <c r="BJ277" i="1" s="1"/>
  <c r="BI275" i="1"/>
  <c r="BH275" i="1"/>
  <c r="BH279" i="1" s="1"/>
  <c r="BF275" i="1"/>
  <c r="BD275" i="1"/>
  <c r="BB275" i="1"/>
  <c r="AZ275" i="1"/>
  <c r="AY275" i="1"/>
  <c r="AX275" i="1"/>
  <c r="AX279" i="1" s="1"/>
  <c r="AV275" i="1"/>
  <c r="AU275" i="1"/>
  <c r="AT275" i="1"/>
  <c r="AT277" i="1" s="1"/>
  <c r="AS275" i="1"/>
  <c r="AR275" i="1"/>
  <c r="AR279" i="1" s="1"/>
  <c r="AQ275" i="1"/>
  <c r="AP275" i="1"/>
  <c r="AP277" i="1" s="1"/>
  <c r="AN275" i="1"/>
  <c r="AN277" i="1" s="1"/>
  <c r="AL275" i="1"/>
  <c r="AJ275" i="1"/>
  <c r="AH275" i="1"/>
  <c r="AF275" i="1"/>
  <c r="AG275" i="1" s="1"/>
  <c r="AC275" i="1"/>
  <c r="AB275" i="1"/>
  <c r="AA275" i="1"/>
  <c r="Z275" i="1"/>
  <c r="Z277" i="1" s="1"/>
  <c r="W275" i="1"/>
  <c r="V275" i="1"/>
  <c r="V277" i="1" s="1"/>
  <c r="T275" i="1"/>
  <c r="S275" i="1"/>
  <c r="R275" i="1"/>
  <c r="P275" i="1"/>
  <c r="N275" i="1"/>
  <c r="M275" i="1"/>
  <c r="L275" i="1"/>
  <c r="L279" i="1" s="1"/>
  <c r="K275" i="1"/>
  <c r="J275" i="1"/>
  <c r="H275" i="1"/>
  <c r="G275" i="1"/>
  <c r="F275" i="1"/>
  <c r="F277" i="1" s="1"/>
  <c r="IC273" i="1"/>
  <c r="HS273" i="1"/>
  <c r="HO273" i="1"/>
  <c r="HC273" i="1"/>
  <c r="HA273" i="1"/>
  <c r="GY273" i="1"/>
  <c r="GW273" i="1"/>
  <c r="GQ273" i="1"/>
  <c r="GK273" i="1"/>
  <c r="GI273" i="1"/>
  <c r="GG273" i="1"/>
  <c r="GE273" i="1"/>
  <c r="GA273" i="1"/>
  <c r="FS273" i="1"/>
  <c r="FQ273" i="1"/>
  <c r="FO273" i="1"/>
  <c r="FG273" i="1"/>
  <c r="FA273" i="1"/>
  <c r="EU273" i="1"/>
  <c r="EQ273" i="1"/>
  <c r="EK273" i="1"/>
  <c r="EG273" i="1"/>
  <c r="EA273" i="1"/>
  <c r="DX273" i="1"/>
  <c r="DW273" i="1"/>
  <c r="DQ273" i="1"/>
  <c r="DN273" i="1"/>
  <c r="CU273" i="1"/>
  <c r="CQ273" i="1"/>
  <c r="CC273" i="1"/>
  <c r="BU273" i="1"/>
  <c r="BS273" i="1"/>
  <c r="BQ273" i="1"/>
  <c r="BI273" i="1"/>
  <c r="BA273" i="1"/>
  <c r="AY273" i="1"/>
  <c r="AW273" i="1"/>
  <c r="AS273" i="1"/>
  <c r="AQ273" i="1"/>
  <c r="AO273" i="1"/>
  <c r="AG273" i="1"/>
  <c r="AC273" i="1"/>
  <c r="AA273" i="1"/>
  <c r="W273" i="1"/>
  <c r="S273" i="1"/>
  <c r="M273" i="1"/>
  <c r="K273" i="1"/>
  <c r="G273" i="1"/>
  <c r="HS272" i="1"/>
  <c r="HO272" i="1"/>
  <c r="HE272" i="1"/>
  <c r="HC272" i="1"/>
  <c r="HA272" i="1"/>
  <c r="GY272" i="1"/>
  <c r="GQ272" i="1"/>
  <c r="GM272" i="1"/>
  <c r="GK272" i="1"/>
  <c r="GI272" i="1"/>
  <c r="GG272" i="1"/>
  <c r="GC272" i="1"/>
  <c r="GA272" i="1"/>
  <c r="FY272" i="1"/>
  <c r="FS272" i="1"/>
  <c r="FO272" i="1"/>
  <c r="FK272" i="1"/>
  <c r="FI272" i="1"/>
  <c r="FG272" i="1"/>
  <c r="FC272" i="1"/>
  <c r="EU272" i="1"/>
  <c r="EQ272" i="1"/>
  <c r="EO272" i="1"/>
  <c r="EM272" i="1"/>
  <c r="EK272" i="1"/>
  <c r="EI272" i="1"/>
  <c r="EA272" i="1"/>
  <c r="DW272" i="1"/>
  <c r="DS272" i="1"/>
  <c r="DQ272" i="1"/>
  <c r="CW272" i="1"/>
  <c r="CU272" i="1"/>
  <c r="CO272" i="1"/>
  <c r="CC272" i="1"/>
  <c r="CA272" i="1"/>
  <c r="BQ272" i="1"/>
  <c r="BO272" i="1"/>
  <c r="BK272" i="1"/>
  <c r="BI272" i="1"/>
  <c r="BE272" i="1"/>
  <c r="AY272" i="1"/>
  <c r="AW272" i="1"/>
  <c r="AU272" i="1"/>
  <c r="AS272" i="1"/>
  <c r="AQ272" i="1"/>
  <c r="AO272" i="1"/>
  <c r="AG272" i="1"/>
  <c r="AC272" i="1"/>
  <c r="AA272" i="1"/>
  <c r="W272" i="1"/>
  <c r="Q272" i="1"/>
  <c r="O272" i="1"/>
  <c r="M272" i="1"/>
  <c r="G272" i="1"/>
  <c r="HS271" i="1"/>
  <c r="HO271" i="1"/>
  <c r="HE271" i="1"/>
  <c r="HC271" i="1"/>
  <c r="HA271" i="1"/>
  <c r="GY271" i="1"/>
  <c r="GS271" i="1"/>
  <c r="GQ271" i="1"/>
  <c r="GM271" i="1"/>
  <c r="GK271" i="1"/>
  <c r="GI271" i="1"/>
  <c r="GG271" i="1"/>
  <c r="GC271" i="1"/>
  <c r="GA271" i="1"/>
  <c r="FY271" i="1"/>
  <c r="FS271" i="1"/>
  <c r="FO271" i="1"/>
  <c r="FK271" i="1"/>
  <c r="FI271" i="1"/>
  <c r="FG271" i="1"/>
  <c r="FC271" i="1"/>
  <c r="EU271" i="1"/>
  <c r="EQ271" i="1"/>
  <c r="EO271" i="1"/>
  <c r="EM271" i="1"/>
  <c r="EK271" i="1"/>
  <c r="EI271" i="1"/>
  <c r="EA271" i="1"/>
  <c r="DW271" i="1"/>
  <c r="DS271" i="1"/>
  <c r="DQ271" i="1"/>
  <c r="CW271" i="1"/>
  <c r="CU271" i="1"/>
  <c r="CO271" i="1"/>
  <c r="CC271" i="1"/>
  <c r="CA271" i="1"/>
  <c r="BQ271" i="1"/>
  <c r="BO271" i="1"/>
  <c r="BK271" i="1"/>
  <c r="BI271" i="1"/>
  <c r="BE271" i="1"/>
  <c r="AY271" i="1"/>
  <c r="AW271" i="1"/>
  <c r="AU271" i="1"/>
  <c r="AS271" i="1"/>
  <c r="AQ271" i="1"/>
  <c r="AO271" i="1"/>
  <c r="AG271" i="1"/>
  <c r="AC271" i="1"/>
  <c r="AA271" i="1"/>
  <c r="W271" i="1"/>
  <c r="Q271" i="1"/>
  <c r="O271" i="1"/>
  <c r="M271" i="1"/>
  <c r="G271" i="1"/>
  <c r="HS270" i="1"/>
  <c r="HO270" i="1"/>
  <c r="HM270" i="1"/>
  <c r="HE270" i="1"/>
  <c r="HC270" i="1"/>
  <c r="HA270" i="1"/>
  <c r="GY270" i="1"/>
  <c r="GS270" i="1"/>
  <c r="GQ270" i="1"/>
  <c r="GM270" i="1"/>
  <c r="GK270" i="1"/>
  <c r="GI270" i="1"/>
  <c r="GG270" i="1"/>
  <c r="GC270" i="1"/>
  <c r="GA270" i="1"/>
  <c r="FY270" i="1"/>
  <c r="FS270" i="1"/>
  <c r="FO270" i="1"/>
  <c r="FK270" i="1"/>
  <c r="FI270" i="1"/>
  <c r="FG270" i="1"/>
  <c r="FC270" i="1"/>
  <c r="FA270" i="1"/>
  <c r="EX270" i="1"/>
  <c r="EW270" i="1"/>
  <c r="EU270" i="1"/>
  <c r="EQ270" i="1"/>
  <c r="EO270" i="1"/>
  <c r="EK270" i="1"/>
  <c r="EA270" i="1"/>
  <c r="DW270" i="1"/>
  <c r="DQ270" i="1"/>
  <c r="CU270" i="1"/>
  <c r="CQ270" i="1"/>
  <c r="CO270" i="1"/>
  <c r="CC270" i="1"/>
  <c r="CA270" i="1"/>
  <c r="BW270" i="1"/>
  <c r="BQ270" i="1"/>
  <c r="BO270" i="1"/>
  <c r="BK270" i="1"/>
  <c r="BI270" i="1"/>
  <c r="BG270" i="1"/>
  <c r="BA270" i="1"/>
  <c r="AY270" i="1"/>
  <c r="AW270" i="1"/>
  <c r="AU270" i="1"/>
  <c r="AS270" i="1"/>
  <c r="AQ270" i="1"/>
  <c r="AO270" i="1"/>
  <c r="AG270" i="1"/>
  <c r="AA270" i="1"/>
  <c r="W270" i="1"/>
  <c r="S270" i="1"/>
  <c r="Q270" i="1"/>
  <c r="O270" i="1"/>
  <c r="M270" i="1"/>
  <c r="I270" i="1"/>
  <c r="G270" i="1"/>
  <c r="HS269" i="1"/>
  <c r="HO269" i="1"/>
  <c r="HM269" i="1"/>
  <c r="HK269" i="1"/>
  <c r="HE269" i="1"/>
  <c r="HC269" i="1"/>
  <c r="HA269" i="1"/>
  <c r="GY269" i="1"/>
  <c r="GU269" i="1"/>
  <c r="GS269" i="1"/>
  <c r="GQ269" i="1"/>
  <c r="GO269" i="1"/>
  <c r="GK269" i="1"/>
  <c r="GI269" i="1"/>
  <c r="GG269" i="1"/>
  <c r="GE269" i="1"/>
  <c r="GC269" i="1"/>
  <c r="GA269" i="1"/>
  <c r="FY269" i="1"/>
  <c r="FU269" i="1"/>
  <c r="FS269" i="1"/>
  <c r="FO269" i="1"/>
  <c r="FK269" i="1"/>
  <c r="FI269" i="1"/>
  <c r="FG269" i="1"/>
  <c r="FE269" i="1"/>
  <c r="FC269" i="1"/>
  <c r="EW269" i="1"/>
  <c r="EU269" i="1"/>
  <c r="EQ269" i="1"/>
  <c r="EO269" i="1"/>
  <c r="EK269" i="1"/>
  <c r="EI269" i="1"/>
  <c r="EA269" i="1"/>
  <c r="DW269" i="1"/>
  <c r="DQ269" i="1"/>
  <c r="CW269" i="1"/>
  <c r="CU269" i="1"/>
  <c r="CQ269" i="1"/>
  <c r="CO269" i="1"/>
  <c r="CC269" i="1"/>
  <c r="CA269" i="1"/>
  <c r="BW269" i="1"/>
  <c r="BQ269" i="1"/>
  <c r="BO269" i="1"/>
  <c r="BK269" i="1"/>
  <c r="BI269" i="1"/>
  <c r="BG269" i="1"/>
  <c r="BE269" i="1"/>
  <c r="BA269" i="1"/>
  <c r="AY269" i="1"/>
  <c r="AW269" i="1"/>
  <c r="AU269" i="1"/>
  <c r="AS269" i="1"/>
  <c r="AQ269" i="1"/>
  <c r="AO269" i="1"/>
  <c r="AG269" i="1"/>
  <c r="AA269" i="1"/>
  <c r="W269" i="1"/>
  <c r="S269" i="1"/>
  <c r="Q269" i="1"/>
  <c r="O269" i="1"/>
  <c r="M269" i="1"/>
  <c r="I269" i="1"/>
  <c r="G269" i="1"/>
  <c r="HS268" i="1"/>
  <c r="HO268" i="1"/>
  <c r="HM268" i="1"/>
  <c r="HK268" i="1"/>
  <c r="HE268" i="1"/>
  <c r="HC268" i="1"/>
  <c r="HA268" i="1"/>
  <c r="GY268" i="1"/>
  <c r="GW268" i="1"/>
  <c r="GU268" i="1"/>
  <c r="GS268" i="1"/>
  <c r="GQ268" i="1"/>
  <c r="GO268" i="1"/>
  <c r="GM268" i="1"/>
  <c r="GK268" i="1"/>
  <c r="GI268" i="1"/>
  <c r="GG268" i="1"/>
  <c r="GE268" i="1"/>
  <c r="GC268" i="1"/>
  <c r="GA268" i="1"/>
  <c r="FY268" i="1"/>
  <c r="FU268" i="1"/>
  <c r="FS268" i="1"/>
  <c r="FQ268" i="1"/>
  <c r="FO268" i="1"/>
  <c r="FK268" i="1"/>
  <c r="FI268" i="1"/>
  <c r="FG268" i="1"/>
  <c r="FE268" i="1"/>
  <c r="FC268" i="1"/>
  <c r="FA268" i="1"/>
  <c r="EW268" i="1"/>
  <c r="EU268" i="1"/>
  <c r="ER268" i="1"/>
  <c r="EQ268" i="1"/>
  <c r="EO268" i="1"/>
  <c r="EK268" i="1"/>
  <c r="EI268" i="1"/>
  <c r="EG268" i="1"/>
  <c r="ED268" i="1"/>
  <c r="EA268" i="1"/>
  <c r="DW268" i="1"/>
  <c r="DS268" i="1"/>
  <c r="DQ268" i="1"/>
  <c r="CW268" i="1"/>
  <c r="CU268" i="1"/>
  <c r="CQ268" i="1"/>
  <c r="CO268" i="1"/>
  <c r="CC268" i="1"/>
  <c r="CA268" i="1"/>
  <c r="BW268" i="1"/>
  <c r="BU268" i="1"/>
  <c r="BS268" i="1"/>
  <c r="BQ268" i="1"/>
  <c r="BO268" i="1"/>
  <c r="BK268" i="1"/>
  <c r="BI268" i="1"/>
  <c r="BG268" i="1"/>
  <c r="BE268" i="1"/>
  <c r="BA268" i="1"/>
  <c r="AY268" i="1"/>
  <c r="AW268" i="1"/>
  <c r="AU268" i="1"/>
  <c r="AS268" i="1"/>
  <c r="AQ268" i="1"/>
  <c r="AO268" i="1"/>
  <c r="AM268" i="1"/>
  <c r="AK268" i="1"/>
  <c r="AG268" i="1"/>
  <c r="AC268" i="1"/>
  <c r="AA268" i="1"/>
  <c r="W268" i="1"/>
  <c r="U268" i="1"/>
  <c r="S268" i="1"/>
  <c r="Q268" i="1"/>
  <c r="O268" i="1"/>
  <c r="M268" i="1"/>
  <c r="K268" i="1"/>
  <c r="I268" i="1"/>
  <c r="G268" i="1"/>
  <c r="HR243" i="1"/>
  <c r="HL243" i="1"/>
  <c r="GZ243" i="1"/>
  <c r="FB243" i="1"/>
  <c r="EJ243" i="1"/>
  <c r="DX243" i="1"/>
  <c r="BR243" i="1"/>
  <c r="X243" i="1"/>
  <c r="EX242" i="1"/>
  <c r="EX241" i="1"/>
  <c r="HL240" i="1"/>
  <c r="EX240" i="1"/>
  <c r="HR239" i="1"/>
  <c r="HL239" i="1"/>
  <c r="GZ239" i="1"/>
  <c r="GP239" i="1"/>
  <c r="EX239" i="1"/>
  <c r="EJ239" i="1"/>
  <c r="DP239" i="1"/>
  <c r="CN239" i="1"/>
  <c r="L239" i="1"/>
  <c r="HR236" i="1"/>
  <c r="HL236" i="1"/>
  <c r="HJ236" i="1"/>
  <c r="GP236" i="1"/>
  <c r="GD236" i="1"/>
  <c r="FH236" i="1"/>
  <c r="FB236" i="1"/>
  <c r="EX236" i="1"/>
  <c r="EF236" i="1"/>
  <c r="ED236" i="1"/>
  <c r="CV236" i="1"/>
  <c r="CB236" i="1"/>
  <c r="BT236" i="1"/>
  <c r="BJ236" i="1"/>
  <c r="BD236" i="1"/>
  <c r="BB236" i="1"/>
  <c r="AV236" i="1"/>
  <c r="T236" i="1"/>
  <c r="GT227" i="1"/>
  <c r="GU227" i="1" s="1"/>
  <c r="IB225" i="1"/>
  <c r="IB230" i="1" s="1"/>
  <c r="HR225" i="1"/>
  <c r="HR230" i="1" s="1"/>
  <c r="HN225" i="1"/>
  <c r="HN230" i="1" s="1"/>
  <c r="HJ225" i="1"/>
  <c r="HJ230" i="1" s="1"/>
  <c r="HD225" i="1"/>
  <c r="HD230" i="1" s="1"/>
  <c r="HB225" i="1"/>
  <c r="HB230" i="1" s="1"/>
  <c r="GZ225" i="1"/>
  <c r="GZ230" i="1" s="1"/>
  <c r="GX225" i="1"/>
  <c r="GX230" i="1" s="1"/>
  <c r="GV225" i="1"/>
  <c r="GV230" i="1" s="1"/>
  <c r="GT225" i="1"/>
  <c r="GT230" i="1" s="1"/>
  <c r="GR225" i="1"/>
  <c r="GR230" i="1" s="1"/>
  <c r="GN225" i="1"/>
  <c r="GN230" i="1" s="1"/>
  <c r="GL225" i="1"/>
  <c r="GL230" i="1" s="1"/>
  <c r="GK225" i="1"/>
  <c r="GJ225" i="1"/>
  <c r="GJ230" i="1" s="1"/>
  <c r="GH225" i="1"/>
  <c r="GH230" i="1" s="1"/>
  <c r="GD225" i="1"/>
  <c r="GD230" i="1" s="1"/>
  <c r="GB225" i="1"/>
  <c r="GB230" i="1" s="1"/>
  <c r="FZ225" i="1"/>
  <c r="FZ230" i="1" s="1"/>
  <c r="FX225" i="1"/>
  <c r="FX230" i="1" s="1"/>
  <c r="FV225" i="1"/>
  <c r="FV230" i="1" s="1"/>
  <c r="FT225" i="1"/>
  <c r="FT230" i="1" s="1"/>
  <c r="FR225" i="1"/>
  <c r="FR230" i="1" s="1"/>
  <c r="FP225" i="1"/>
  <c r="FP230" i="1" s="1"/>
  <c r="FJ225" i="1"/>
  <c r="FJ230" i="1" s="1"/>
  <c r="FH225" i="1"/>
  <c r="FH230" i="1" s="1"/>
  <c r="FF225" i="1"/>
  <c r="FF230" i="1" s="1"/>
  <c r="FD225" i="1"/>
  <c r="FD230" i="1" s="1"/>
  <c r="FB225" i="1"/>
  <c r="FB230" i="1" s="1"/>
  <c r="EZ225" i="1"/>
  <c r="EZ230" i="1" s="1"/>
  <c r="EX225" i="1"/>
  <c r="EX230" i="1" s="1"/>
  <c r="EV225" i="1"/>
  <c r="EV230" i="1" s="1"/>
  <c r="ET225" i="1"/>
  <c r="ET230" i="1" s="1"/>
  <c r="EP225" i="1"/>
  <c r="EN225" i="1"/>
  <c r="EN230" i="1" s="1"/>
  <c r="EL225" i="1"/>
  <c r="EL230" i="1" s="1"/>
  <c r="EJ225" i="1"/>
  <c r="EJ230" i="1" s="1"/>
  <c r="EH225" i="1"/>
  <c r="EF225" i="1"/>
  <c r="EF230" i="1" s="1"/>
  <c r="ED225" i="1"/>
  <c r="ED230" i="1" s="1"/>
  <c r="DZ225" i="1"/>
  <c r="DX225" i="1"/>
  <c r="DX230" i="1" s="1"/>
  <c r="DV225" i="1"/>
  <c r="DV230" i="1" s="1"/>
  <c r="DR225" i="1"/>
  <c r="DP225" i="1"/>
  <c r="DP230" i="1" s="1"/>
  <c r="DN225" i="1"/>
  <c r="DN230" i="1" s="1"/>
  <c r="CV225" i="1"/>
  <c r="CT225" i="1"/>
  <c r="CP225" i="1"/>
  <c r="CP230" i="1" s="1"/>
  <c r="CN225" i="1"/>
  <c r="CN230" i="1" s="1"/>
  <c r="CB225" i="1"/>
  <c r="BZ225" i="1"/>
  <c r="BX225" i="1"/>
  <c r="BX230" i="1" s="1"/>
  <c r="BV225" i="1"/>
  <c r="BV230" i="1" s="1"/>
  <c r="BT225" i="1"/>
  <c r="BR225" i="1"/>
  <c r="BP225" i="1"/>
  <c r="BP230" i="1" s="1"/>
  <c r="BN225" i="1"/>
  <c r="BN230" i="1" s="1"/>
  <c r="BL225" i="1"/>
  <c r="BJ225" i="1"/>
  <c r="BH225" i="1"/>
  <c r="BH230" i="1" s="1"/>
  <c r="BF225" i="1"/>
  <c r="BF230" i="1" s="1"/>
  <c r="BD225" i="1"/>
  <c r="BB225" i="1"/>
  <c r="AZ225" i="1"/>
  <c r="AZ230" i="1" s="1"/>
  <c r="AX225" i="1"/>
  <c r="AV225" i="1"/>
  <c r="AT225" i="1"/>
  <c r="AP225" i="1"/>
  <c r="AN225" i="1"/>
  <c r="AL225" i="1"/>
  <c r="AJ225" i="1"/>
  <c r="AJ230" i="1" s="1"/>
  <c r="AH225" i="1"/>
  <c r="AF225" i="1"/>
  <c r="AB225" i="1"/>
  <c r="AB230" i="1" s="1"/>
  <c r="Z225" i="1"/>
  <c r="X225" i="1"/>
  <c r="V225" i="1"/>
  <c r="T225" i="1"/>
  <c r="T230" i="1" s="1"/>
  <c r="R225" i="1"/>
  <c r="P225" i="1"/>
  <c r="N225" i="1"/>
  <c r="L225" i="1"/>
  <c r="L230" i="1" s="1"/>
  <c r="J225" i="1"/>
  <c r="H225" i="1"/>
  <c r="F225" i="1"/>
  <c r="IB224" i="1"/>
  <c r="HR224" i="1"/>
  <c r="HN224" i="1"/>
  <c r="HL224" i="1"/>
  <c r="HJ224" i="1"/>
  <c r="HD224" i="1"/>
  <c r="HE224" i="1" s="1"/>
  <c r="HB224" i="1"/>
  <c r="GZ224" i="1"/>
  <c r="HA225" i="1" s="1"/>
  <c r="GX224" i="1"/>
  <c r="GV224" i="1"/>
  <c r="GT224" i="1"/>
  <c r="GR224" i="1"/>
  <c r="GP224" i="1"/>
  <c r="GN224" i="1"/>
  <c r="GO224" i="1" s="1"/>
  <c r="GL224" i="1"/>
  <c r="GJ224" i="1"/>
  <c r="GH224" i="1"/>
  <c r="GF224" i="1"/>
  <c r="GD224" i="1"/>
  <c r="GB224" i="1"/>
  <c r="GC225" i="1" s="1"/>
  <c r="FZ224" i="1"/>
  <c r="FX224" i="1"/>
  <c r="FV224" i="1"/>
  <c r="FT224" i="1"/>
  <c r="FR224" i="1"/>
  <c r="FP224" i="1"/>
  <c r="FN224" i="1"/>
  <c r="FJ224" i="1"/>
  <c r="FH224" i="1"/>
  <c r="FF224" i="1"/>
  <c r="FD224" i="1"/>
  <c r="FB224" i="1"/>
  <c r="EZ224" i="1"/>
  <c r="EV224" i="1"/>
  <c r="ET224" i="1"/>
  <c r="ER224" i="1"/>
  <c r="ES224" i="1" s="1"/>
  <c r="EP224" i="1"/>
  <c r="EN224" i="1"/>
  <c r="EL224" i="1"/>
  <c r="EJ224" i="1"/>
  <c r="EH224" i="1"/>
  <c r="EF224" i="1"/>
  <c r="ED224" i="1"/>
  <c r="DZ224" i="1"/>
  <c r="DX224" i="1"/>
  <c r="DV224" i="1"/>
  <c r="DR224" i="1"/>
  <c r="DP224" i="1"/>
  <c r="DN224" i="1"/>
  <c r="CV224" i="1"/>
  <c r="CT224" i="1"/>
  <c r="CP224" i="1"/>
  <c r="CB224" i="1"/>
  <c r="BZ224" i="1"/>
  <c r="BX224" i="1"/>
  <c r="BV224" i="1"/>
  <c r="BU224" i="1"/>
  <c r="BT224" i="1"/>
  <c r="BR224" i="1"/>
  <c r="BP224" i="1"/>
  <c r="BN224" i="1"/>
  <c r="BL224" i="1"/>
  <c r="BJ224" i="1"/>
  <c r="BH224" i="1"/>
  <c r="BF224" i="1"/>
  <c r="BD224" i="1"/>
  <c r="BE224" i="1" s="1"/>
  <c r="BB224" i="1"/>
  <c r="AZ224" i="1"/>
  <c r="AX224" i="1"/>
  <c r="AV224" i="1"/>
  <c r="AT224" i="1"/>
  <c r="AR224" i="1"/>
  <c r="AP224" i="1"/>
  <c r="AO224" i="1"/>
  <c r="AN224" i="1"/>
  <c r="AL224" i="1"/>
  <c r="AJ224" i="1"/>
  <c r="AH224" i="1"/>
  <c r="AF224" i="1"/>
  <c r="AB224" i="1"/>
  <c r="Z224" i="1"/>
  <c r="X224" i="1"/>
  <c r="V224" i="1"/>
  <c r="T224" i="1"/>
  <c r="R224" i="1"/>
  <c r="P224" i="1"/>
  <c r="N224" i="1"/>
  <c r="L224" i="1"/>
  <c r="J224" i="1"/>
  <c r="H224" i="1"/>
  <c r="I224" i="1" s="1"/>
  <c r="F224" i="1"/>
  <c r="GZ222" i="1"/>
  <c r="HA222" i="1" s="1"/>
  <c r="FV222" i="1"/>
  <c r="FW222" i="1" s="1"/>
  <c r="FN222" i="1"/>
  <c r="FO222" i="1" s="1"/>
  <c r="EP222" i="1"/>
  <c r="EQ222" i="1" s="1"/>
  <c r="EH222" i="1"/>
  <c r="EI222" i="1" s="1"/>
  <c r="CT222" i="1"/>
  <c r="CU222" i="1" s="1"/>
  <c r="BZ222" i="1"/>
  <c r="CA222" i="1" s="1"/>
  <c r="BB222" i="1"/>
  <c r="BC222" i="1" s="1"/>
  <c r="AT222" i="1"/>
  <c r="AU222" i="1" s="1"/>
  <c r="V222" i="1"/>
  <c r="W222" i="1" s="1"/>
  <c r="ER220" i="1"/>
  <c r="ER225" i="1" s="1"/>
  <c r="BQ220" i="1"/>
  <c r="BI220" i="1"/>
  <c r="AR220" i="1"/>
  <c r="AR225" i="1" s="1"/>
  <c r="IB219" i="1"/>
  <c r="HR219" i="1"/>
  <c r="HR249" i="1" s="1"/>
  <c r="HN219" i="1"/>
  <c r="HJ219" i="1"/>
  <c r="HJ249" i="1" s="1"/>
  <c r="HD219" i="1"/>
  <c r="HD249" i="1" s="1"/>
  <c r="HB219" i="1"/>
  <c r="HB222" i="1" s="1"/>
  <c r="HC222" i="1" s="1"/>
  <c r="GZ219" i="1"/>
  <c r="GX219" i="1"/>
  <c r="GX249" i="1" s="1"/>
  <c r="GV219" i="1"/>
  <c r="GV222" i="1" s="1"/>
  <c r="GW222" i="1" s="1"/>
  <c r="GT219" i="1"/>
  <c r="GT249" i="1" s="1"/>
  <c r="GR219" i="1"/>
  <c r="GR222" i="1" s="1"/>
  <c r="GS222" i="1" s="1"/>
  <c r="GP219" i="1"/>
  <c r="GP249" i="1" s="1"/>
  <c r="GN219" i="1"/>
  <c r="GN249" i="1" s="1"/>
  <c r="GJ219" i="1"/>
  <c r="GJ249" i="1" s="1"/>
  <c r="GH219" i="1"/>
  <c r="GF219" i="1"/>
  <c r="GF249" i="1" s="1"/>
  <c r="GD219" i="1"/>
  <c r="GD249" i="1" s="1"/>
  <c r="GB219" i="1"/>
  <c r="GB249" i="1" s="1"/>
  <c r="FZ219" i="1"/>
  <c r="FZ249" i="1" s="1"/>
  <c r="FX219" i="1"/>
  <c r="FV219" i="1"/>
  <c r="FW220" i="1" s="1"/>
  <c r="FT219" i="1"/>
  <c r="FT249" i="1" s="1"/>
  <c r="FR219" i="1"/>
  <c r="FP219" i="1"/>
  <c r="FP249" i="1" s="1"/>
  <c r="FN219" i="1"/>
  <c r="FN249" i="1" s="1"/>
  <c r="FJ219" i="1"/>
  <c r="FJ249" i="1" s="1"/>
  <c r="FH219" i="1"/>
  <c r="FF219" i="1"/>
  <c r="FF249" i="1" s="1"/>
  <c r="FD219" i="1"/>
  <c r="FD222" i="1" s="1"/>
  <c r="FE222" i="1" s="1"/>
  <c r="FB219" i="1"/>
  <c r="FB249" i="1" s="1"/>
  <c r="EZ219" i="1"/>
  <c r="EZ249" i="1" s="1"/>
  <c r="EX219" i="1"/>
  <c r="EX222" i="1" s="1"/>
  <c r="EY222" i="1" s="1"/>
  <c r="EV219" i="1"/>
  <c r="EV222" i="1" s="1"/>
  <c r="EW222" i="1" s="1"/>
  <c r="ET219" i="1"/>
  <c r="ET249" i="1" s="1"/>
  <c r="ER219" i="1"/>
  <c r="EP219" i="1"/>
  <c r="EP249" i="1" s="1"/>
  <c r="EN219" i="1"/>
  <c r="EN222" i="1" s="1"/>
  <c r="EO222" i="1" s="1"/>
  <c r="EL219" i="1"/>
  <c r="EL249" i="1" s="1"/>
  <c r="EJ219" i="1"/>
  <c r="EJ222" i="1" s="1"/>
  <c r="EK222" i="1" s="1"/>
  <c r="EH219" i="1"/>
  <c r="EH249" i="1" s="1"/>
  <c r="EF219" i="1"/>
  <c r="EF249" i="1" s="1"/>
  <c r="ED219" i="1"/>
  <c r="ED249" i="1" s="1"/>
  <c r="DZ219" i="1"/>
  <c r="DZ249" i="1" s="1"/>
  <c r="DX219" i="1"/>
  <c r="DX249" i="1" s="1"/>
  <c r="DV219" i="1"/>
  <c r="DV249" i="1" s="1"/>
  <c r="DR219" i="1"/>
  <c r="DR249" i="1" s="1"/>
  <c r="DP219" i="1"/>
  <c r="DP249" i="1" s="1"/>
  <c r="DN219" i="1"/>
  <c r="CV219" i="1"/>
  <c r="CV249" i="1" s="1"/>
  <c r="CT219" i="1"/>
  <c r="CU220" i="1" s="1"/>
  <c r="CP219" i="1"/>
  <c r="CP249" i="1" s="1"/>
  <c r="CN219" i="1"/>
  <c r="CB219" i="1"/>
  <c r="CB249" i="1" s="1"/>
  <c r="BZ219" i="1"/>
  <c r="BZ249" i="1" s="1"/>
  <c r="BX219" i="1"/>
  <c r="BX249" i="1" s="1"/>
  <c r="BV219" i="1"/>
  <c r="BV249" i="1" s="1"/>
  <c r="BT219" i="1"/>
  <c r="BT249" i="1" s="1"/>
  <c r="BR219" i="1"/>
  <c r="BR249" i="1" s="1"/>
  <c r="BP219" i="1"/>
  <c r="BP249" i="1" s="1"/>
  <c r="BN219" i="1"/>
  <c r="BN249" i="1" s="1"/>
  <c r="BL219" i="1"/>
  <c r="BL249" i="1" s="1"/>
  <c r="BJ219" i="1"/>
  <c r="BJ249" i="1" s="1"/>
  <c r="BH219" i="1"/>
  <c r="BH222" i="1" s="1"/>
  <c r="BI222" i="1" s="1"/>
  <c r="BF219" i="1"/>
  <c r="BD219" i="1"/>
  <c r="BB219" i="1"/>
  <c r="BB249" i="1" s="1"/>
  <c r="AZ219" i="1"/>
  <c r="AZ249" i="1" s="1"/>
  <c r="AX219" i="1"/>
  <c r="AX249" i="1" s="1"/>
  <c r="AV219" i="1"/>
  <c r="AV222" i="1" s="1"/>
  <c r="AW222" i="1" s="1"/>
  <c r="AT219" i="1"/>
  <c r="AT249" i="1" s="1"/>
  <c r="AR219" i="1"/>
  <c r="AP219" i="1"/>
  <c r="AP249" i="1" s="1"/>
  <c r="AN219" i="1"/>
  <c r="AN249" i="1" s="1"/>
  <c r="AL219" i="1"/>
  <c r="AL249" i="1" s="1"/>
  <c r="AJ219" i="1"/>
  <c r="AJ249" i="1" s="1"/>
  <c r="AH219" i="1"/>
  <c r="AH249" i="1" s="1"/>
  <c r="AF219" i="1"/>
  <c r="AF249" i="1" s="1"/>
  <c r="AB219" i="1"/>
  <c r="AB249" i="1" s="1"/>
  <c r="Z219" i="1"/>
  <c r="Z249" i="1" s="1"/>
  <c r="X219" i="1"/>
  <c r="X249" i="1" s="1"/>
  <c r="V219" i="1"/>
  <c r="W220" i="1" s="1"/>
  <c r="T219" i="1"/>
  <c r="T249" i="1" s="1"/>
  <c r="R219" i="1"/>
  <c r="R249" i="1" s="1"/>
  <c r="P219" i="1"/>
  <c r="P249" i="1" s="1"/>
  <c r="N219" i="1"/>
  <c r="L219" i="1"/>
  <c r="L249" i="1" s="1"/>
  <c r="J219" i="1"/>
  <c r="J249" i="1" s="1"/>
  <c r="H219" i="1"/>
  <c r="F219" i="1"/>
  <c r="F249" i="1" s="1"/>
  <c r="IB205" i="1"/>
  <c r="HN205" i="1"/>
  <c r="HL205" i="1"/>
  <c r="HJ205" i="1"/>
  <c r="HD205" i="1"/>
  <c r="HB205" i="1"/>
  <c r="GZ205" i="1"/>
  <c r="GX205" i="1"/>
  <c r="GV205" i="1"/>
  <c r="GT205" i="1"/>
  <c r="GR205" i="1"/>
  <c r="GP205" i="1"/>
  <c r="GN205" i="1"/>
  <c r="GL205" i="1"/>
  <c r="GJ205" i="1"/>
  <c r="GH205" i="1"/>
  <c r="GF205" i="1"/>
  <c r="GD205" i="1"/>
  <c r="GB205" i="1"/>
  <c r="FZ205" i="1"/>
  <c r="FX205" i="1"/>
  <c r="FV205" i="1"/>
  <c r="FT205" i="1"/>
  <c r="FR205" i="1"/>
  <c r="FP205" i="1"/>
  <c r="FN205" i="1"/>
  <c r="FJ205" i="1"/>
  <c r="FH205" i="1"/>
  <c r="FF205" i="1"/>
  <c r="FD205" i="1"/>
  <c r="FB205" i="1"/>
  <c r="EZ205" i="1"/>
  <c r="EX205" i="1"/>
  <c r="EV205" i="1"/>
  <c r="ET205" i="1"/>
  <c r="ER205" i="1"/>
  <c r="EP205" i="1"/>
  <c r="EN205" i="1"/>
  <c r="EL205" i="1"/>
  <c r="EJ205" i="1"/>
  <c r="EH205" i="1"/>
  <c r="EF205" i="1"/>
  <c r="ED205" i="1"/>
  <c r="DZ205" i="1"/>
  <c r="DX205" i="1"/>
  <c r="DV205" i="1"/>
  <c r="DR205" i="1"/>
  <c r="DP205" i="1"/>
  <c r="DN205" i="1"/>
  <c r="CV205" i="1"/>
  <c r="CT205" i="1"/>
  <c r="CP205" i="1"/>
  <c r="CN205" i="1"/>
  <c r="CB205" i="1"/>
  <c r="BZ205" i="1"/>
  <c r="BV205" i="1"/>
  <c r="BT205" i="1"/>
  <c r="BR205" i="1"/>
  <c r="BP205" i="1"/>
  <c r="BN205" i="1"/>
  <c r="BL205" i="1"/>
  <c r="BJ205" i="1"/>
  <c r="BH205" i="1"/>
  <c r="BF205" i="1"/>
  <c r="BD205" i="1"/>
  <c r="BB205" i="1"/>
  <c r="AZ205" i="1"/>
  <c r="AX205" i="1"/>
  <c r="AV205" i="1"/>
  <c r="AT205" i="1"/>
  <c r="AR205" i="1"/>
  <c r="AP205" i="1"/>
  <c r="AN205" i="1"/>
  <c r="AL205" i="1"/>
  <c r="AJ205" i="1"/>
  <c r="AH205" i="1"/>
  <c r="AF205" i="1"/>
  <c r="AB205" i="1"/>
  <c r="Z205" i="1"/>
  <c r="X205" i="1"/>
  <c r="V205" i="1"/>
  <c r="T205" i="1"/>
  <c r="R205" i="1"/>
  <c r="P205" i="1"/>
  <c r="N205" i="1"/>
  <c r="L205" i="1"/>
  <c r="J205" i="1"/>
  <c r="H205" i="1"/>
  <c r="F205" i="1"/>
  <c r="IB203" i="1"/>
  <c r="HR203" i="1"/>
  <c r="HN203" i="1"/>
  <c r="HL203" i="1"/>
  <c r="HJ203" i="1"/>
  <c r="HD203" i="1"/>
  <c r="HB203" i="1"/>
  <c r="GZ203" i="1"/>
  <c r="GX203" i="1"/>
  <c r="GV203" i="1"/>
  <c r="GT203" i="1"/>
  <c r="GR203" i="1"/>
  <c r="GP203" i="1"/>
  <c r="GN203" i="1"/>
  <c r="GL203" i="1"/>
  <c r="GJ203" i="1"/>
  <c r="GH203" i="1"/>
  <c r="GF203" i="1"/>
  <c r="GD203" i="1"/>
  <c r="GB203" i="1"/>
  <c r="FZ203" i="1"/>
  <c r="FX203" i="1"/>
  <c r="FV203" i="1"/>
  <c r="FT203" i="1"/>
  <c r="FR203" i="1"/>
  <c r="FP203" i="1"/>
  <c r="FN203" i="1"/>
  <c r="FJ203" i="1"/>
  <c r="FH203" i="1"/>
  <c r="FF203" i="1"/>
  <c r="FD203" i="1"/>
  <c r="FB203" i="1"/>
  <c r="EZ203" i="1"/>
  <c r="EX203" i="1"/>
  <c r="EV203" i="1"/>
  <c r="ET203" i="1"/>
  <c r="ER203" i="1"/>
  <c r="EP203" i="1"/>
  <c r="EN203" i="1"/>
  <c r="EL203" i="1"/>
  <c r="EJ203" i="1"/>
  <c r="EH203" i="1"/>
  <c r="EF203" i="1"/>
  <c r="ED203" i="1"/>
  <c r="DZ203" i="1"/>
  <c r="DX203" i="1"/>
  <c r="DV203" i="1"/>
  <c r="DR203" i="1"/>
  <c r="DP203" i="1"/>
  <c r="DN203" i="1"/>
  <c r="CV203" i="1"/>
  <c r="CT203" i="1"/>
  <c r="CP203" i="1"/>
  <c r="CN203" i="1"/>
  <c r="CB203" i="1"/>
  <c r="BZ203" i="1"/>
  <c r="BX203" i="1"/>
  <c r="BV203" i="1"/>
  <c r="BT203" i="1"/>
  <c r="BR203" i="1"/>
  <c r="BP203" i="1"/>
  <c r="BN203" i="1"/>
  <c r="BL203" i="1"/>
  <c r="BJ203" i="1"/>
  <c r="BH203" i="1"/>
  <c r="BF203" i="1"/>
  <c r="BD203" i="1"/>
  <c r="BB203" i="1"/>
  <c r="AZ203" i="1"/>
  <c r="AX203" i="1"/>
  <c r="AV203" i="1"/>
  <c r="AT203" i="1"/>
  <c r="AR203" i="1"/>
  <c r="AP203" i="1"/>
  <c r="AN203" i="1"/>
  <c r="AL203" i="1"/>
  <c r="AJ203" i="1"/>
  <c r="AH203" i="1"/>
  <c r="AF203" i="1"/>
  <c r="AB203" i="1"/>
  <c r="Z203" i="1"/>
  <c r="X203" i="1"/>
  <c r="V203" i="1"/>
  <c r="T203" i="1"/>
  <c r="R203" i="1"/>
  <c r="P203" i="1"/>
  <c r="N203" i="1"/>
  <c r="L203" i="1"/>
  <c r="J203" i="1"/>
  <c r="H203" i="1"/>
  <c r="F203" i="1"/>
  <c r="IB202" i="1"/>
  <c r="IB238" i="1" s="1"/>
  <c r="HR202" i="1"/>
  <c r="HN202" i="1"/>
  <c r="HL202" i="1"/>
  <c r="HL238" i="1" s="1"/>
  <c r="HJ202" i="1"/>
  <c r="HD202" i="1"/>
  <c r="HD238" i="1" s="1"/>
  <c r="HB202" i="1"/>
  <c r="GZ202" i="1"/>
  <c r="GZ207" i="1" s="1"/>
  <c r="GX202" i="1"/>
  <c r="GV202" i="1"/>
  <c r="GV238" i="1" s="1"/>
  <c r="GT202" i="1"/>
  <c r="GT238" i="1" s="1"/>
  <c r="GR202" i="1"/>
  <c r="GP202" i="1"/>
  <c r="GN202" i="1"/>
  <c r="GN238" i="1" s="1"/>
  <c r="GL202" i="1"/>
  <c r="GJ202" i="1"/>
  <c r="GJ238" i="1" s="1"/>
  <c r="GH202" i="1"/>
  <c r="GF202" i="1"/>
  <c r="GD202" i="1"/>
  <c r="GD238" i="1" s="1"/>
  <c r="GB202" i="1"/>
  <c r="FZ202" i="1"/>
  <c r="FX202" i="1"/>
  <c r="FV202" i="1"/>
  <c r="FT202" i="1"/>
  <c r="FT238" i="1" s="1"/>
  <c r="FR202" i="1"/>
  <c r="FP202" i="1"/>
  <c r="FP238" i="1" s="1"/>
  <c r="FN202" i="1"/>
  <c r="FJ202" i="1"/>
  <c r="FH202" i="1"/>
  <c r="FH238" i="1" s="1"/>
  <c r="FF202" i="1"/>
  <c r="FD202" i="1"/>
  <c r="FD238" i="1" s="1"/>
  <c r="FB202" i="1"/>
  <c r="EZ202" i="1"/>
  <c r="EZ238" i="1" s="1"/>
  <c r="EX202" i="1"/>
  <c r="EX238" i="1" s="1"/>
  <c r="EV202" i="1"/>
  <c r="ET202" i="1"/>
  <c r="ER202" i="1"/>
  <c r="ER238" i="1" s="1"/>
  <c r="EP202" i="1"/>
  <c r="EN202" i="1"/>
  <c r="EN238" i="1" s="1"/>
  <c r="EL202" i="1"/>
  <c r="EL238" i="1" s="1"/>
  <c r="EL245" i="1" s="1"/>
  <c r="EJ202" i="1"/>
  <c r="EJ238" i="1" s="1"/>
  <c r="EH202" i="1"/>
  <c r="EH238" i="1" s="1"/>
  <c r="EF202" i="1"/>
  <c r="ED202" i="1"/>
  <c r="DZ202" i="1"/>
  <c r="DX202" i="1"/>
  <c r="DX238" i="1" s="1"/>
  <c r="DV202" i="1"/>
  <c r="DR202" i="1"/>
  <c r="DP202" i="1"/>
  <c r="DN202" i="1"/>
  <c r="CV202" i="1"/>
  <c r="CT202" i="1"/>
  <c r="CP202" i="1"/>
  <c r="CP238" i="1" s="1"/>
  <c r="CN202" i="1"/>
  <c r="CN207" i="1" s="1"/>
  <c r="CB202" i="1"/>
  <c r="CB238" i="1" s="1"/>
  <c r="BZ202" i="1"/>
  <c r="BX202" i="1"/>
  <c r="BV202" i="1"/>
  <c r="BT202" i="1"/>
  <c r="BR202" i="1"/>
  <c r="BP202" i="1"/>
  <c r="BP238" i="1" s="1"/>
  <c r="BN202" i="1"/>
  <c r="BL202" i="1"/>
  <c r="BL238" i="1" s="1"/>
  <c r="BJ202" i="1"/>
  <c r="BH202" i="1"/>
  <c r="BF202" i="1"/>
  <c r="BD202" i="1"/>
  <c r="BB202" i="1"/>
  <c r="AZ202" i="1"/>
  <c r="AZ238" i="1" s="1"/>
  <c r="AX202" i="1"/>
  <c r="AX207" i="1" s="1"/>
  <c r="AV202" i="1"/>
  <c r="AT202" i="1"/>
  <c r="AT238" i="1" s="1"/>
  <c r="AR202" i="1"/>
  <c r="AP202" i="1"/>
  <c r="AN202" i="1"/>
  <c r="AN238" i="1" s="1"/>
  <c r="AL202" i="1"/>
  <c r="AJ202" i="1"/>
  <c r="AJ238" i="1" s="1"/>
  <c r="AH202" i="1"/>
  <c r="AH207" i="1" s="1"/>
  <c r="AF202" i="1"/>
  <c r="AF238" i="1" s="1"/>
  <c r="AB202" i="1"/>
  <c r="Z202" i="1"/>
  <c r="X202" i="1"/>
  <c r="X238" i="1" s="1"/>
  <c r="V202" i="1"/>
  <c r="T202" i="1"/>
  <c r="T207" i="1" s="1"/>
  <c r="R202" i="1"/>
  <c r="P202" i="1"/>
  <c r="P238" i="1" s="1"/>
  <c r="N202" i="1"/>
  <c r="L202" i="1"/>
  <c r="J202" i="1"/>
  <c r="H202" i="1"/>
  <c r="H238" i="1" s="1"/>
  <c r="F202" i="1"/>
  <c r="IB197" i="1"/>
  <c r="HN197" i="1"/>
  <c r="HL197" i="1"/>
  <c r="HJ197" i="1"/>
  <c r="HD197" i="1"/>
  <c r="HB197" i="1"/>
  <c r="GZ197" i="1"/>
  <c r="GX197" i="1"/>
  <c r="GV197" i="1"/>
  <c r="GT197" i="1"/>
  <c r="GR197" i="1"/>
  <c r="GP197" i="1"/>
  <c r="GN197" i="1"/>
  <c r="GL197" i="1"/>
  <c r="GJ197" i="1"/>
  <c r="GH197" i="1"/>
  <c r="GF197" i="1"/>
  <c r="GD197" i="1"/>
  <c r="GB197" i="1"/>
  <c r="FZ197" i="1"/>
  <c r="FX197" i="1"/>
  <c r="FV197" i="1"/>
  <c r="FT197" i="1"/>
  <c r="FR197" i="1"/>
  <c r="FP197" i="1"/>
  <c r="FN197" i="1"/>
  <c r="FJ197" i="1"/>
  <c r="FH197" i="1"/>
  <c r="FF197" i="1"/>
  <c r="FD197" i="1"/>
  <c r="FB197" i="1"/>
  <c r="EZ197" i="1"/>
  <c r="EX197" i="1"/>
  <c r="EV197" i="1"/>
  <c r="ET197" i="1"/>
  <c r="ER197" i="1"/>
  <c r="EP197" i="1"/>
  <c r="EN197" i="1"/>
  <c r="EL197" i="1"/>
  <c r="EJ197" i="1"/>
  <c r="EH197" i="1"/>
  <c r="EF197" i="1"/>
  <c r="ED197" i="1"/>
  <c r="DZ197" i="1"/>
  <c r="DX197" i="1"/>
  <c r="DV197" i="1"/>
  <c r="DR197" i="1"/>
  <c r="DP197" i="1"/>
  <c r="DN197" i="1"/>
  <c r="CV197" i="1"/>
  <c r="CT197" i="1"/>
  <c r="CP197" i="1"/>
  <c r="CN197" i="1"/>
  <c r="CB197" i="1"/>
  <c r="BZ197" i="1"/>
  <c r="BV197" i="1"/>
  <c r="BT197" i="1"/>
  <c r="BR197" i="1"/>
  <c r="BP197" i="1"/>
  <c r="BN197" i="1"/>
  <c r="BL197" i="1"/>
  <c r="BJ197" i="1"/>
  <c r="BH197" i="1"/>
  <c r="BF197" i="1"/>
  <c r="BD197" i="1"/>
  <c r="BB197" i="1"/>
  <c r="AZ197" i="1"/>
  <c r="AX197" i="1"/>
  <c r="AV197" i="1"/>
  <c r="AT197" i="1"/>
  <c r="AR197" i="1"/>
  <c r="AP197" i="1"/>
  <c r="AN197" i="1"/>
  <c r="AL197" i="1"/>
  <c r="AJ197" i="1"/>
  <c r="AH197" i="1"/>
  <c r="AF197" i="1"/>
  <c r="AB197" i="1"/>
  <c r="Z197" i="1"/>
  <c r="X197" i="1"/>
  <c r="V197" i="1"/>
  <c r="T197" i="1"/>
  <c r="R197" i="1"/>
  <c r="P197" i="1"/>
  <c r="N197" i="1"/>
  <c r="L197" i="1"/>
  <c r="J197" i="1"/>
  <c r="H197" i="1"/>
  <c r="F197" i="1"/>
  <c r="IB196" i="1"/>
  <c r="HN196" i="1"/>
  <c r="HL196" i="1"/>
  <c r="HJ196" i="1"/>
  <c r="HD196" i="1"/>
  <c r="HB196" i="1"/>
  <c r="GZ196" i="1"/>
  <c r="GX196" i="1"/>
  <c r="GV196" i="1"/>
  <c r="GT196" i="1"/>
  <c r="GR196" i="1"/>
  <c r="GP196" i="1"/>
  <c r="GN196" i="1"/>
  <c r="GL196" i="1"/>
  <c r="GJ196" i="1"/>
  <c r="GH196" i="1"/>
  <c r="GF196" i="1"/>
  <c r="GD196" i="1"/>
  <c r="GB196" i="1"/>
  <c r="FZ196" i="1"/>
  <c r="FX196" i="1"/>
  <c r="FV196" i="1"/>
  <c r="FT196" i="1"/>
  <c r="FR196" i="1"/>
  <c r="FP196" i="1"/>
  <c r="FN196" i="1"/>
  <c r="FJ196" i="1"/>
  <c r="FH196" i="1"/>
  <c r="FF196" i="1"/>
  <c r="FD196" i="1"/>
  <c r="FB196" i="1"/>
  <c r="EZ196" i="1"/>
  <c r="EX196" i="1"/>
  <c r="EV196" i="1"/>
  <c r="ET196" i="1"/>
  <c r="ER196" i="1"/>
  <c r="EP196" i="1"/>
  <c r="EN196" i="1"/>
  <c r="EL196" i="1"/>
  <c r="EJ196" i="1"/>
  <c r="EH196" i="1"/>
  <c r="EF196" i="1"/>
  <c r="ED196" i="1"/>
  <c r="DZ196" i="1"/>
  <c r="DX196" i="1"/>
  <c r="DV196" i="1"/>
  <c r="DR196" i="1"/>
  <c r="DP196" i="1"/>
  <c r="DN196" i="1"/>
  <c r="CV196" i="1"/>
  <c r="CT196" i="1"/>
  <c r="CP196" i="1"/>
  <c r="CN196" i="1"/>
  <c r="CB196" i="1"/>
  <c r="BZ196" i="1"/>
  <c r="BV196" i="1"/>
  <c r="BT196" i="1"/>
  <c r="BR196" i="1"/>
  <c r="BP196" i="1"/>
  <c r="BN196" i="1"/>
  <c r="BL196" i="1"/>
  <c r="BJ196" i="1"/>
  <c r="BH196" i="1"/>
  <c r="BF196" i="1"/>
  <c r="BD196" i="1"/>
  <c r="BB196" i="1"/>
  <c r="AZ196" i="1"/>
  <c r="AX196" i="1"/>
  <c r="AV196" i="1"/>
  <c r="AT196" i="1"/>
  <c r="AR196" i="1"/>
  <c r="AP196" i="1"/>
  <c r="AN196" i="1"/>
  <c r="AL196" i="1"/>
  <c r="AJ196" i="1"/>
  <c r="AH196" i="1"/>
  <c r="AF196" i="1"/>
  <c r="AB196" i="1"/>
  <c r="Z196" i="1"/>
  <c r="X196" i="1"/>
  <c r="V196" i="1"/>
  <c r="T196" i="1"/>
  <c r="R196" i="1"/>
  <c r="P196" i="1"/>
  <c r="N196" i="1"/>
  <c r="L196" i="1"/>
  <c r="J196" i="1"/>
  <c r="H196" i="1"/>
  <c r="F196" i="1"/>
  <c r="IC150" i="1"/>
  <c r="IB150" i="1"/>
  <c r="HJ150" i="1"/>
  <c r="HK147" i="1" s="1"/>
  <c r="HD150" i="1"/>
  <c r="HE146" i="1" s="1"/>
  <c r="HB150" i="1"/>
  <c r="HC150" i="1" s="1"/>
  <c r="GY150" i="1"/>
  <c r="GX150" i="1"/>
  <c r="GV150" i="1"/>
  <c r="GT150" i="1"/>
  <c r="GU150" i="1" s="1"/>
  <c r="GR150" i="1"/>
  <c r="GN150" i="1"/>
  <c r="GO147" i="1" s="1"/>
  <c r="GJ150" i="1"/>
  <c r="GH150" i="1"/>
  <c r="GI146" i="1" s="1"/>
  <c r="GB150" i="1"/>
  <c r="FZ150" i="1"/>
  <c r="GA150" i="1" s="1"/>
  <c r="FX150" i="1"/>
  <c r="FY150" i="1" s="1"/>
  <c r="FV150" i="1"/>
  <c r="FW150" i="1" s="1"/>
  <c r="FT150" i="1"/>
  <c r="FU146" i="1" s="1"/>
  <c r="FR150" i="1"/>
  <c r="FP150" i="1"/>
  <c r="FJ150" i="1"/>
  <c r="FK148" i="1" s="1"/>
  <c r="FH150" i="1"/>
  <c r="FF150" i="1"/>
  <c r="FG150" i="1" s="1"/>
  <c r="FD150" i="1"/>
  <c r="FA150" i="1"/>
  <c r="EZ150" i="1"/>
  <c r="EV150" i="1"/>
  <c r="EW147" i="1" s="1"/>
  <c r="ET150" i="1"/>
  <c r="EP150" i="1"/>
  <c r="EQ150" i="1" s="1"/>
  <c r="EN150" i="1"/>
  <c r="EO144" i="1" s="1"/>
  <c r="EL150" i="1"/>
  <c r="EJ150" i="1"/>
  <c r="EH150" i="1"/>
  <c r="EI148" i="1" s="1"/>
  <c r="DX150" i="1"/>
  <c r="DN150" i="1"/>
  <c r="DO150" i="1" s="1"/>
  <c r="CV150" i="1"/>
  <c r="CW150" i="1" s="1"/>
  <c r="CU150" i="1"/>
  <c r="CT150" i="1"/>
  <c r="CP150" i="1"/>
  <c r="BZ150" i="1"/>
  <c r="CA148" i="1" s="1"/>
  <c r="BX150" i="1"/>
  <c r="BV150" i="1"/>
  <c r="BP150" i="1"/>
  <c r="BL150" i="1"/>
  <c r="BJ150" i="1"/>
  <c r="BK147" i="1" s="1"/>
  <c r="BH150" i="1"/>
  <c r="BI147" i="1" s="1"/>
  <c r="BF150" i="1"/>
  <c r="BG150" i="1" s="1"/>
  <c r="BD150" i="1"/>
  <c r="AZ150" i="1"/>
  <c r="AX150" i="1"/>
  <c r="AT150" i="1"/>
  <c r="AQ150" i="1"/>
  <c r="AP150" i="1"/>
  <c r="AN150" i="1"/>
  <c r="AO150" i="1" s="1"/>
  <c r="AL150" i="1"/>
  <c r="AJ150" i="1"/>
  <c r="AF150" i="1"/>
  <c r="AB150" i="1"/>
  <c r="W150" i="1"/>
  <c r="V150" i="1"/>
  <c r="R150" i="1"/>
  <c r="P150" i="1"/>
  <c r="N150" i="1"/>
  <c r="O148" i="1" s="1"/>
  <c r="J150" i="1"/>
  <c r="K148" i="1" s="1"/>
  <c r="H150" i="1"/>
  <c r="I150" i="1" s="1"/>
  <c r="IC148" i="1"/>
  <c r="HE148" i="1"/>
  <c r="HC148" i="1"/>
  <c r="GY148" i="1"/>
  <c r="GU148" i="1"/>
  <c r="GS148" i="1"/>
  <c r="GO148" i="1"/>
  <c r="GK148" i="1"/>
  <c r="GA148" i="1"/>
  <c r="FY148" i="1"/>
  <c r="FW148" i="1"/>
  <c r="FU148" i="1"/>
  <c r="FI148" i="1"/>
  <c r="FG148" i="1"/>
  <c r="FE148" i="1"/>
  <c r="EW148" i="1"/>
  <c r="EQ148" i="1"/>
  <c r="EM148" i="1"/>
  <c r="DY148" i="1"/>
  <c r="DO148" i="1"/>
  <c r="CU148" i="1"/>
  <c r="BY148" i="1"/>
  <c r="BW148" i="1"/>
  <c r="BQ148" i="1"/>
  <c r="BG148" i="1"/>
  <c r="BE148" i="1"/>
  <c r="AY148" i="1"/>
  <c r="AR148" i="1"/>
  <c r="AQ148" i="1"/>
  <c r="AO148" i="1"/>
  <c r="Q148" i="1"/>
  <c r="I148" i="1"/>
  <c r="IC147" i="1"/>
  <c r="HE147" i="1"/>
  <c r="HC147" i="1"/>
  <c r="GY147" i="1"/>
  <c r="GW147" i="1"/>
  <c r="GS147" i="1"/>
  <c r="GK147" i="1"/>
  <c r="GA147" i="1"/>
  <c r="FY147" i="1"/>
  <c r="FW147" i="1"/>
  <c r="FQ147" i="1"/>
  <c r="FK147" i="1"/>
  <c r="FI147" i="1"/>
  <c r="FG147" i="1"/>
  <c r="FE147" i="1"/>
  <c r="FA147" i="1"/>
  <c r="EQ147" i="1"/>
  <c r="DY147" i="1"/>
  <c r="DO147" i="1"/>
  <c r="CU147" i="1"/>
  <c r="CQ147" i="1"/>
  <c r="BY147" i="1"/>
  <c r="BQ147" i="1"/>
  <c r="BG147" i="1"/>
  <c r="BA147" i="1"/>
  <c r="AQ147" i="1"/>
  <c r="AO147" i="1"/>
  <c r="AM147" i="1"/>
  <c r="AK147" i="1"/>
  <c r="W147" i="1"/>
  <c r="Q147" i="1"/>
  <c r="I147" i="1"/>
  <c r="IC146" i="1"/>
  <c r="HR146" i="1"/>
  <c r="HN146" i="1"/>
  <c r="HN150" i="1" s="1"/>
  <c r="HO143" i="1" s="1"/>
  <c r="HL146" i="1"/>
  <c r="HK146" i="1"/>
  <c r="HC146" i="1"/>
  <c r="GZ146" i="1"/>
  <c r="GY146" i="1"/>
  <c r="GU146" i="1"/>
  <c r="GS146" i="1"/>
  <c r="GP146" i="1"/>
  <c r="GO146" i="1"/>
  <c r="GL146" i="1"/>
  <c r="GK146" i="1"/>
  <c r="GF146" i="1"/>
  <c r="GD146" i="1"/>
  <c r="GC146" i="1"/>
  <c r="GA146" i="1"/>
  <c r="FY146" i="1"/>
  <c r="FW146" i="1"/>
  <c r="FK146" i="1"/>
  <c r="FI146" i="1"/>
  <c r="FG146" i="1"/>
  <c r="FE146" i="1"/>
  <c r="FB146" i="1"/>
  <c r="FA146" i="1"/>
  <c r="EX146" i="1"/>
  <c r="EW146" i="1"/>
  <c r="EU146" i="1"/>
  <c r="ER146" i="1"/>
  <c r="EQ146" i="1"/>
  <c r="EJ146" i="1"/>
  <c r="EF146" i="1"/>
  <c r="ED146" i="1"/>
  <c r="DZ146" i="1"/>
  <c r="DY146" i="1"/>
  <c r="DV146" i="1"/>
  <c r="DP146" i="1"/>
  <c r="DO146" i="1"/>
  <c r="CW146" i="1"/>
  <c r="CU146" i="1"/>
  <c r="CQ146" i="1"/>
  <c r="CN146" i="1"/>
  <c r="CN150" i="1" s="1"/>
  <c r="CB146" i="1"/>
  <c r="CA146" i="1"/>
  <c r="BY146" i="1"/>
  <c r="BT146" i="1"/>
  <c r="BR146" i="1"/>
  <c r="BQ146" i="1"/>
  <c r="BN146" i="1"/>
  <c r="BN150" i="1" s="1"/>
  <c r="BO143" i="1" s="1"/>
  <c r="BK146" i="1"/>
  <c r="BI146" i="1"/>
  <c r="BG146" i="1"/>
  <c r="BE146" i="1"/>
  <c r="BB146" i="1"/>
  <c r="BA146" i="1"/>
  <c r="AY146" i="1"/>
  <c r="AV146" i="1"/>
  <c r="AV150" i="1" s="1"/>
  <c r="AR146" i="1"/>
  <c r="AQ146" i="1"/>
  <c r="AO146" i="1"/>
  <c r="AJ146" i="1"/>
  <c r="AH146" i="1"/>
  <c r="Z146" i="1"/>
  <c r="X146" i="1"/>
  <c r="X150" i="1" s="1"/>
  <c r="Y148" i="1" s="1"/>
  <c r="W146" i="1"/>
  <c r="T146" i="1"/>
  <c r="T150" i="1" s="1"/>
  <c r="Q146" i="1"/>
  <c r="O146" i="1"/>
  <c r="L146" i="1"/>
  <c r="K146" i="1"/>
  <c r="I146" i="1"/>
  <c r="F146" i="1"/>
  <c r="IC145" i="1"/>
  <c r="HK145" i="1"/>
  <c r="HE145" i="1"/>
  <c r="HC145" i="1"/>
  <c r="GY145" i="1"/>
  <c r="GU145" i="1"/>
  <c r="GS145" i="1"/>
  <c r="GO145" i="1"/>
  <c r="GK145" i="1"/>
  <c r="GA145" i="1"/>
  <c r="FY145" i="1"/>
  <c r="FW145" i="1"/>
  <c r="FU145" i="1"/>
  <c r="FQ145" i="1"/>
  <c r="FK145" i="1"/>
  <c r="FI145" i="1"/>
  <c r="FG145" i="1"/>
  <c r="FE145" i="1"/>
  <c r="FA145" i="1"/>
  <c r="EW145" i="1"/>
  <c r="EU145" i="1"/>
  <c r="EQ145" i="1"/>
  <c r="EM145" i="1"/>
  <c r="EI145" i="1"/>
  <c r="DY145" i="1"/>
  <c r="DR145" i="1"/>
  <c r="DO145" i="1"/>
  <c r="CW145" i="1"/>
  <c r="CU145" i="1"/>
  <c r="CQ145" i="1"/>
  <c r="CA145" i="1"/>
  <c r="BY145" i="1"/>
  <c r="BW145" i="1"/>
  <c r="BQ145" i="1"/>
  <c r="BK145" i="1"/>
  <c r="BI145" i="1"/>
  <c r="BG145" i="1"/>
  <c r="BA145" i="1"/>
  <c r="AY145" i="1"/>
  <c r="AQ145" i="1"/>
  <c r="AO145" i="1"/>
  <c r="AC145" i="1"/>
  <c r="W145" i="1"/>
  <c r="Q145" i="1"/>
  <c r="O145" i="1"/>
  <c r="K145" i="1"/>
  <c r="I145" i="1"/>
  <c r="IC144" i="1"/>
  <c r="HL144" i="1"/>
  <c r="HK144" i="1"/>
  <c r="HE144" i="1"/>
  <c r="HC144" i="1"/>
  <c r="GY144" i="1"/>
  <c r="GU144" i="1"/>
  <c r="GS144" i="1"/>
  <c r="GP144" i="1"/>
  <c r="GO144" i="1"/>
  <c r="GK144" i="1"/>
  <c r="GF144" i="1"/>
  <c r="GA144" i="1"/>
  <c r="FY144" i="1"/>
  <c r="FW144" i="1"/>
  <c r="FU144" i="1"/>
  <c r="FQ144" i="1"/>
  <c r="FN144" i="1"/>
  <c r="FK144" i="1"/>
  <c r="FI144" i="1"/>
  <c r="FG144" i="1"/>
  <c r="FE144" i="1"/>
  <c r="FA144" i="1"/>
  <c r="EW144" i="1"/>
  <c r="EQ144" i="1"/>
  <c r="EM144" i="1"/>
  <c r="EI144" i="1"/>
  <c r="DY144" i="1"/>
  <c r="DO144" i="1"/>
  <c r="CW144" i="1"/>
  <c r="CU144" i="1"/>
  <c r="CQ144" i="1"/>
  <c r="CA144" i="1"/>
  <c r="BY144" i="1"/>
  <c r="BQ144" i="1"/>
  <c r="BO144" i="1"/>
  <c r="BK144" i="1"/>
  <c r="BI144" i="1"/>
  <c r="BG144" i="1"/>
  <c r="BA144" i="1"/>
  <c r="AY144" i="1"/>
  <c r="AQ144" i="1"/>
  <c r="AO144" i="1"/>
  <c r="AM144" i="1"/>
  <c r="W144" i="1"/>
  <c r="Q144" i="1"/>
  <c r="O144" i="1"/>
  <c r="I144" i="1"/>
  <c r="IC143" i="1"/>
  <c r="HK143" i="1"/>
  <c r="HE143" i="1"/>
  <c r="HC143" i="1"/>
  <c r="GY143" i="1"/>
  <c r="GW143" i="1"/>
  <c r="GU143" i="1"/>
  <c r="GS143" i="1"/>
  <c r="GO143" i="1"/>
  <c r="GK143" i="1"/>
  <c r="GA143" i="1"/>
  <c r="FY143" i="1"/>
  <c r="FW143" i="1"/>
  <c r="FU143" i="1"/>
  <c r="FQ143" i="1"/>
  <c r="FN143" i="1"/>
  <c r="FK143" i="1"/>
  <c r="FI143" i="1"/>
  <c r="FG143" i="1"/>
  <c r="FE143" i="1"/>
  <c r="FA143" i="1"/>
  <c r="EW143" i="1"/>
  <c r="EQ143" i="1"/>
  <c r="EM143" i="1"/>
  <c r="EI143" i="1"/>
  <c r="DY143" i="1"/>
  <c r="DO143" i="1"/>
  <c r="CW143" i="1"/>
  <c r="CU143" i="1"/>
  <c r="CQ143" i="1"/>
  <c r="CA143" i="1"/>
  <c r="BY143" i="1"/>
  <c r="BQ143" i="1"/>
  <c r="BK143" i="1"/>
  <c r="BI143" i="1"/>
  <c r="BG143" i="1"/>
  <c r="BA143" i="1"/>
  <c r="AY143" i="1"/>
  <c r="AR143" i="1"/>
  <c r="AQ143" i="1"/>
  <c r="AO143" i="1"/>
  <c r="AM143" i="1"/>
  <c r="AK143" i="1"/>
  <c r="W143" i="1"/>
  <c r="U143" i="1"/>
  <c r="Q143" i="1"/>
  <c r="O143" i="1"/>
  <c r="I143" i="1"/>
  <c r="HJ140" i="1"/>
  <c r="HK140" i="1" s="1"/>
  <c r="HB140" i="1"/>
  <c r="GX140" i="1"/>
  <c r="GW140" i="1"/>
  <c r="GV140" i="1"/>
  <c r="GT140" i="1"/>
  <c r="GU140" i="1" s="1"/>
  <c r="GR140" i="1"/>
  <c r="GN140" i="1"/>
  <c r="GJ140" i="1"/>
  <c r="GH140" i="1"/>
  <c r="GI133" i="1" s="1"/>
  <c r="GB140" i="1"/>
  <c r="FZ140" i="1"/>
  <c r="FX140" i="1"/>
  <c r="FV140" i="1"/>
  <c r="FT140" i="1"/>
  <c r="FU140" i="1" s="1"/>
  <c r="FP140" i="1"/>
  <c r="FQ140" i="1" s="1"/>
  <c r="FJ140" i="1"/>
  <c r="FH140" i="1"/>
  <c r="FH152" i="1" s="1"/>
  <c r="FG140" i="1"/>
  <c r="FF140" i="1"/>
  <c r="FD140" i="1"/>
  <c r="FE138" i="1" s="1"/>
  <c r="FB140" i="1"/>
  <c r="EZ140" i="1"/>
  <c r="FA140" i="1" s="1"/>
  <c r="EV140" i="1"/>
  <c r="ET140" i="1"/>
  <c r="EQ140" i="1"/>
  <c r="EP140" i="1"/>
  <c r="EP152" i="1" s="1"/>
  <c r="EN140" i="1"/>
  <c r="EO135" i="1" s="1"/>
  <c r="EL140" i="1"/>
  <c r="EH140" i="1"/>
  <c r="EI140" i="1" s="1"/>
  <c r="EF140" i="1"/>
  <c r="DV140" i="1"/>
  <c r="DN140" i="1"/>
  <c r="DO135" i="1" s="1"/>
  <c r="CV140" i="1"/>
  <c r="CW137" i="1" s="1"/>
  <c r="CT140" i="1"/>
  <c r="CU140" i="1" s="1"/>
  <c r="CP140" i="1"/>
  <c r="BZ140" i="1"/>
  <c r="CA132" i="1" s="1"/>
  <c r="BX140" i="1"/>
  <c r="BV140" i="1"/>
  <c r="BR140" i="1"/>
  <c r="BP140" i="1"/>
  <c r="BP152" i="1" s="1"/>
  <c r="BN140" i="1"/>
  <c r="BL140" i="1"/>
  <c r="BM140" i="1" s="1"/>
  <c r="BJ140" i="1"/>
  <c r="BH140" i="1"/>
  <c r="BF140" i="1"/>
  <c r="BG133" i="1" s="1"/>
  <c r="BD140" i="1"/>
  <c r="BE140" i="1" s="1"/>
  <c r="AZ140" i="1"/>
  <c r="AX140" i="1"/>
  <c r="AR140" i="1"/>
  <c r="AP140" i="1"/>
  <c r="AN140" i="1"/>
  <c r="AL140" i="1"/>
  <c r="AL152" i="1" s="1"/>
  <c r="AJ140" i="1"/>
  <c r="AH140" i="1"/>
  <c r="AF140" i="1"/>
  <c r="AB140" i="1"/>
  <c r="Z140" i="1"/>
  <c r="AA132" i="1" s="1"/>
  <c r="V140" i="1"/>
  <c r="W140" i="1" s="1"/>
  <c r="R140" i="1"/>
  <c r="Q140" i="1"/>
  <c r="P140" i="1"/>
  <c r="P152" i="1" s="1"/>
  <c r="O140" i="1"/>
  <c r="N140" i="1"/>
  <c r="J140" i="1"/>
  <c r="H140" i="1"/>
  <c r="H152" i="1" s="1"/>
  <c r="HR138" i="1"/>
  <c r="HK138" i="1"/>
  <c r="HD138" i="1"/>
  <c r="HC138" i="1"/>
  <c r="GW138" i="1"/>
  <c r="GU138" i="1"/>
  <c r="GS138" i="1"/>
  <c r="GP138" i="1"/>
  <c r="GL138" i="1"/>
  <c r="GK138" i="1"/>
  <c r="GF138" i="1"/>
  <c r="GF167" i="1" s="1"/>
  <c r="GD138" i="1"/>
  <c r="GC138" i="1"/>
  <c r="FY138" i="1"/>
  <c r="FU138" i="1"/>
  <c r="FN138" i="1"/>
  <c r="FI138" i="1"/>
  <c r="FG138" i="1"/>
  <c r="FC138" i="1"/>
  <c r="FA138" i="1"/>
  <c r="EW138" i="1"/>
  <c r="ER138" i="1"/>
  <c r="EQ138" i="1"/>
  <c r="EI138" i="1"/>
  <c r="ED138" i="1"/>
  <c r="DR138" i="1"/>
  <c r="DP138" i="1"/>
  <c r="CU138" i="1"/>
  <c r="CB138" i="1"/>
  <c r="BY138" i="1"/>
  <c r="BT138" i="1"/>
  <c r="BQ138" i="1"/>
  <c r="BO138" i="1"/>
  <c r="BM138" i="1"/>
  <c r="BK138" i="1"/>
  <c r="BI138" i="1"/>
  <c r="BE138" i="1"/>
  <c r="BB138" i="1"/>
  <c r="BA138" i="1"/>
  <c r="AY138" i="1"/>
  <c r="AV138" i="1"/>
  <c r="AM138" i="1"/>
  <c r="AK138" i="1"/>
  <c r="AG138" i="1"/>
  <c r="X138" i="1"/>
  <c r="W138" i="1"/>
  <c r="T138" i="1"/>
  <c r="Q138" i="1"/>
  <c r="O138" i="1"/>
  <c r="L138" i="1"/>
  <c r="K138" i="1"/>
  <c r="F138" i="1"/>
  <c r="HK137" i="1"/>
  <c r="GW137" i="1"/>
  <c r="GU137" i="1"/>
  <c r="GS137" i="1"/>
  <c r="GK137" i="1"/>
  <c r="GC137" i="1"/>
  <c r="GA137" i="1"/>
  <c r="FY137" i="1"/>
  <c r="FW137" i="1"/>
  <c r="FU137" i="1"/>
  <c r="FQ137" i="1"/>
  <c r="FK137" i="1"/>
  <c r="FI137" i="1"/>
  <c r="FG137" i="1"/>
  <c r="FA137" i="1"/>
  <c r="EX137" i="1"/>
  <c r="EW137" i="1"/>
  <c r="EU137" i="1"/>
  <c r="EQ137" i="1"/>
  <c r="EI137" i="1"/>
  <c r="EG137" i="1"/>
  <c r="CU137" i="1"/>
  <c r="CQ137" i="1"/>
  <c r="CN137" i="1"/>
  <c r="BY137" i="1"/>
  <c r="BS137" i="1"/>
  <c r="BQ137" i="1"/>
  <c r="BM137" i="1"/>
  <c r="BI137" i="1"/>
  <c r="BE137" i="1"/>
  <c r="BA137" i="1"/>
  <c r="AS137" i="1"/>
  <c r="AO137" i="1"/>
  <c r="AM137" i="1"/>
  <c r="AG137" i="1"/>
  <c r="AC137" i="1"/>
  <c r="W137" i="1"/>
  <c r="Q137" i="1"/>
  <c r="O137" i="1"/>
  <c r="HL136" i="1"/>
  <c r="HK136" i="1"/>
  <c r="GW136" i="1"/>
  <c r="GU136" i="1"/>
  <c r="GS136" i="1"/>
  <c r="GO136" i="1"/>
  <c r="GL136" i="1"/>
  <c r="GK136" i="1"/>
  <c r="GC136" i="1"/>
  <c r="FY136" i="1"/>
  <c r="FU136" i="1"/>
  <c r="FQ136" i="1"/>
  <c r="FI136" i="1"/>
  <c r="FG136" i="1"/>
  <c r="FA136" i="1"/>
  <c r="EW136" i="1"/>
  <c r="EQ136" i="1"/>
  <c r="EI136" i="1"/>
  <c r="EG136" i="1"/>
  <c r="CU136" i="1"/>
  <c r="CQ136" i="1"/>
  <c r="BY136" i="1"/>
  <c r="BS136" i="1"/>
  <c r="BQ136" i="1"/>
  <c r="BM136" i="1"/>
  <c r="BI136" i="1"/>
  <c r="BE136" i="1"/>
  <c r="BA136" i="1"/>
  <c r="AS136" i="1"/>
  <c r="AM136" i="1"/>
  <c r="AK136" i="1"/>
  <c r="AC136" i="1"/>
  <c r="W136" i="1"/>
  <c r="Q136" i="1"/>
  <c r="O136" i="1"/>
  <c r="HK135" i="1"/>
  <c r="GW135" i="1"/>
  <c r="GU135" i="1"/>
  <c r="GS135" i="1"/>
  <c r="GO135" i="1"/>
  <c r="GK135" i="1"/>
  <c r="GC135" i="1"/>
  <c r="GA135" i="1"/>
  <c r="FY135" i="1"/>
  <c r="FU135" i="1"/>
  <c r="FQ135" i="1"/>
  <c r="FK135" i="1"/>
  <c r="FI135" i="1"/>
  <c r="FG135" i="1"/>
  <c r="FA135" i="1"/>
  <c r="EW135" i="1"/>
  <c r="EU135" i="1"/>
  <c r="EQ135" i="1"/>
  <c r="EI135" i="1"/>
  <c r="EG135" i="1"/>
  <c r="CU135" i="1"/>
  <c r="CQ135" i="1"/>
  <c r="BY135" i="1"/>
  <c r="BQ135" i="1"/>
  <c r="BM135" i="1"/>
  <c r="BI135" i="1"/>
  <c r="BG135" i="1"/>
  <c r="BE135" i="1"/>
  <c r="BA135" i="1"/>
  <c r="AS135" i="1"/>
  <c r="AM135" i="1"/>
  <c r="AK135" i="1"/>
  <c r="AG135" i="1"/>
  <c r="AC135" i="1"/>
  <c r="W135" i="1"/>
  <c r="Q135" i="1"/>
  <c r="O135" i="1"/>
  <c r="K135" i="1"/>
  <c r="I135" i="1"/>
  <c r="HK134" i="1"/>
  <c r="GW134" i="1"/>
  <c r="GU134" i="1"/>
  <c r="GS134" i="1"/>
  <c r="GO134" i="1"/>
  <c r="GK134" i="1"/>
  <c r="GC134" i="1"/>
  <c r="FY134" i="1"/>
  <c r="FU134" i="1"/>
  <c r="FQ134" i="1"/>
  <c r="FI134" i="1"/>
  <c r="FG134" i="1"/>
  <c r="FE134" i="1"/>
  <c r="FA134" i="1"/>
  <c r="EW134" i="1"/>
  <c r="EQ134" i="1"/>
  <c r="EI134" i="1"/>
  <c r="EG134" i="1"/>
  <c r="CU134" i="1"/>
  <c r="CQ134" i="1"/>
  <c r="BY134" i="1"/>
  <c r="BQ134" i="1"/>
  <c r="BM134" i="1"/>
  <c r="BK134" i="1"/>
  <c r="BI134" i="1"/>
  <c r="BG134" i="1"/>
  <c r="BE134" i="1"/>
  <c r="BA134" i="1"/>
  <c r="AS134" i="1"/>
  <c r="AO134" i="1"/>
  <c r="AM134" i="1"/>
  <c r="AK134" i="1"/>
  <c r="AG134" i="1"/>
  <c r="AC134" i="1"/>
  <c r="W134" i="1"/>
  <c r="Q134" i="1"/>
  <c r="O134" i="1"/>
  <c r="K134" i="1"/>
  <c r="I134" i="1"/>
  <c r="IB133" i="1"/>
  <c r="HK133" i="1"/>
  <c r="GY133" i="1"/>
  <c r="GW133" i="1"/>
  <c r="GU133" i="1"/>
  <c r="GS133" i="1"/>
  <c r="GK133" i="1"/>
  <c r="GC133" i="1"/>
  <c r="FY133" i="1"/>
  <c r="FW133" i="1"/>
  <c r="FU133" i="1"/>
  <c r="FQ133" i="1"/>
  <c r="FI133" i="1"/>
  <c r="FG133" i="1"/>
  <c r="FC133" i="1"/>
  <c r="FA133" i="1"/>
  <c r="EW133" i="1"/>
  <c r="EQ133" i="1"/>
  <c r="EM133" i="1"/>
  <c r="EI133" i="1"/>
  <c r="EG133" i="1"/>
  <c r="CU133" i="1"/>
  <c r="CQ133" i="1"/>
  <c r="BY133" i="1"/>
  <c r="BQ133" i="1"/>
  <c r="BM133" i="1"/>
  <c r="BI133" i="1"/>
  <c r="BE133" i="1"/>
  <c r="BA133" i="1"/>
  <c r="AS133" i="1"/>
  <c r="AO133" i="1"/>
  <c r="AM133" i="1"/>
  <c r="AK133" i="1"/>
  <c r="AG133" i="1"/>
  <c r="AC133" i="1"/>
  <c r="AA133" i="1"/>
  <c r="W133" i="1"/>
  <c r="Q133" i="1"/>
  <c r="O133" i="1"/>
  <c r="K133" i="1"/>
  <c r="I133" i="1"/>
  <c r="HK132" i="1"/>
  <c r="GZ132" i="1"/>
  <c r="GY132" i="1"/>
  <c r="GW132" i="1"/>
  <c r="GU132" i="1"/>
  <c r="GS132" i="1"/>
  <c r="GK132" i="1"/>
  <c r="GI132" i="1"/>
  <c r="GF132" i="1"/>
  <c r="GC132" i="1"/>
  <c r="GA132" i="1"/>
  <c r="FY132" i="1"/>
  <c r="FU132" i="1"/>
  <c r="FQ132" i="1"/>
  <c r="FN132" i="1"/>
  <c r="FK132" i="1"/>
  <c r="FI132" i="1"/>
  <c r="FG132" i="1"/>
  <c r="FC132" i="1"/>
  <c r="FA132" i="1"/>
  <c r="EW132" i="1"/>
  <c r="EU132" i="1"/>
  <c r="EQ132" i="1"/>
  <c r="EM132" i="1"/>
  <c r="EI132" i="1"/>
  <c r="EG132" i="1"/>
  <c r="DZ132" i="1"/>
  <c r="DR132" i="1"/>
  <c r="CU132" i="1"/>
  <c r="CQ132" i="1"/>
  <c r="CB132" i="1"/>
  <c r="BY132" i="1"/>
  <c r="BT132" i="1"/>
  <c r="BS132" i="1"/>
  <c r="BQ132" i="1"/>
  <c r="BO132" i="1"/>
  <c r="BM132" i="1"/>
  <c r="BI132" i="1"/>
  <c r="BE132" i="1"/>
  <c r="BA132" i="1"/>
  <c r="AY132" i="1"/>
  <c r="AT132" i="1"/>
  <c r="AS132" i="1"/>
  <c r="AM132" i="1"/>
  <c r="AK132" i="1"/>
  <c r="AI132" i="1"/>
  <c r="AG132" i="1"/>
  <c r="AC132" i="1"/>
  <c r="X132" i="1"/>
  <c r="W132" i="1"/>
  <c r="S132" i="1"/>
  <c r="Q132" i="1"/>
  <c r="O132" i="1"/>
  <c r="L132" i="1"/>
  <c r="K132" i="1"/>
  <c r="I132" i="1"/>
  <c r="HK131" i="1"/>
  <c r="HC131" i="1"/>
  <c r="GY131" i="1"/>
  <c r="GW131" i="1"/>
  <c r="GU131" i="1"/>
  <c r="GS131" i="1"/>
  <c r="GK131" i="1"/>
  <c r="GI131" i="1"/>
  <c r="GD131" i="1"/>
  <c r="GC131" i="1"/>
  <c r="GA131" i="1"/>
  <c r="FY131" i="1"/>
  <c r="FU131" i="1"/>
  <c r="FQ131" i="1"/>
  <c r="FK131" i="1"/>
  <c r="FI131" i="1"/>
  <c r="FG131" i="1"/>
  <c r="FE131" i="1"/>
  <c r="FC131" i="1"/>
  <c r="FA131" i="1"/>
  <c r="EX131" i="1"/>
  <c r="EW131" i="1"/>
  <c r="EU131" i="1"/>
  <c r="EQ131" i="1"/>
  <c r="EO131" i="1"/>
  <c r="EM131" i="1"/>
  <c r="EI131" i="1"/>
  <c r="EG131" i="1"/>
  <c r="DW131" i="1"/>
  <c r="CW131" i="1"/>
  <c r="CU131" i="1"/>
  <c r="CQ131" i="1"/>
  <c r="BY131" i="1"/>
  <c r="BQ131" i="1"/>
  <c r="BO131" i="1"/>
  <c r="BM131" i="1"/>
  <c r="BK131" i="1"/>
  <c r="BI131" i="1"/>
  <c r="BG131" i="1"/>
  <c r="BE131" i="1"/>
  <c r="BA131" i="1"/>
  <c r="AY131" i="1"/>
  <c r="AS131" i="1"/>
  <c r="AQ131" i="1"/>
  <c r="AO131" i="1"/>
  <c r="AM131" i="1"/>
  <c r="AK131" i="1"/>
  <c r="AI131" i="1"/>
  <c r="AG131" i="1"/>
  <c r="AC131" i="1"/>
  <c r="W131" i="1"/>
  <c r="S131" i="1"/>
  <c r="Q131" i="1"/>
  <c r="O131" i="1"/>
  <c r="K131" i="1"/>
  <c r="I131" i="1"/>
  <c r="HK130" i="1"/>
  <c r="HC130" i="1"/>
  <c r="GY130" i="1"/>
  <c r="GW130" i="1"/>
  <c r="GU130" i="1"/>
  <c r="GS130" i="1"/>
  <c r="GO130" i="1"/>
  <c r="GK130" i="1"/>
  <c r="GI130" i="1"/>
  <c r="GC130" i="1"/>
  <c r="GA130" i="1"/>
  <c r="FY130" i="1"/>
  <c r="FW130" i="1"/>
  <c r="FU130" i="1"/>
  <c r="FQ130" i="1"/>
  <c r="FK130" i="1"/>
  <c r="FI130" i="1"/>
  <c r="FG130" i="1"/>
  <c r="FE130" i="1"/>
  <c r="FC130" i="1"/>
  <c r="FA130" i="1"/>
  <c r="EW130" i="1"/>
  <c r="EU130" i="1"/>
  <c r="EQ130" i="1"/>
  <c r="EO130" i="1"/>
  <c r="EM130" i="1"/>
  <c r="EI130" i="1"/>
  <c r="EG130" i="1"/>
  <c r="DW130" i="1"/>
  <c r="DO130" i="1"/>
  <c r="CW130" i="1"/>
  <c r="CU130" i="1"/>
  <c r="CQ130" i="1"/>
  <c r="BY130" i="1"/>
  <c r="BW130" i="1"/>
  <c r="BS130" i="1"/>
  <c r="BQ130" i="1"/>
  <c r="BO130" i="1"/>
  <c r="BM130" i="1"/>
  <c r="BK130" i="1"/>
  <c r="BI130" i="1"/>
  <c r="BG130" i="1"/>
  <c r="BE130" i="1"/>
  <c r="BA130" i="1"/>
  <c r="AY130" i="1"/>
  <c r="AS130" i="1"/>
  <c r="AQ130" i="1"/>
  <c r="AO130" i="1"/>
  <c r="AM130" i="1"/>
  <c r="AK130" i="1"/>
  <c r="AI130" i="1"/>
  <c r="AG130" i="1"/>
  <c r="AC130" i="1"/>
  <c r="W130" i="1"/>
  <c r="S130" i="1"/>
  <c r="Q130" i="1"/>
  <c r="O130" i="1"/>
  <c r="K130" i="1"/>
  <c r="I130" i="1"/>
  <c r="HN129" i="1"/>
  <c r="HL129" i="1"/>
  <c r="HK129" i="1"/>
  <c r="HD129" i="1"/>
  <c r="HC129" i="1"/>
  <c r="GY129" i="1"/>
  <c r="GW129" i="1"/>
  <c r="GU129" i="1"/>
  <c r="GS129" i="1"/>
  <c r="GP129" i="1"/>
  <c r="GO129" i="1"/>
  <c r="GK129" i="1"/>
  <c r="GI129" i="1"/>
  <c r="GF129" i="1"/>
  <c r="GD129" i="1"/>
  <c r="GC129" i="1"/>
  <c r="GA129" i="1"/>
  <c r="FY129" i="1"/>
  <c r="FW129" i="1"/>
  <c r="FU129" i="1"/>
  <c r="FR129" i="1"/>
  <c r="FQ129" i="1"/>
  <c r="FN129" i="1"/>
  <c r="FK129" i="1"/>
  <c r="FI129" i="1"/>
  <c r="FG129" i="1"/>
  <c r="FE129" i="1"/>
  <c r="FC129" i="1"/>
  <c r="FA129" i="1"/>
  <c r="EX129" i="1"/>
  <c r="EW129" i="1"/>
  <c r="EU129" i="1"/>
  <c r="EQ129" i="1"/>
  <c r="EO129" i="1"/>
  <c r="EM129" i="1"/>
  <c r="EJ129" i="1"/>
  <c r="EI129" i="1"/>
  <c r="EG129" i="1"/>
  <c r="ED129" i="1"/>
  <c r="DX129" i="1"/>
  <c r="DW129" i="1"/>
  <c r="CW129" i="1"/>
  <c r="CU129" i="1"/>
  <c r="CQ129" i="1"/>
  <c r="CN129" i="1"/>
  <c r="CN140" i="1" s="1"/>
  <c r="CB129" i="1"/>
  <c r="BY129" i="1"/>
  <c r="BW129" i="1"/>
  <c r="BS129" i="1"/>
  <c r="BQ129" i="1"/>
  <c r="BO129" i="1"/>
  <c r="BM129" i="1"/>
  <c r="BK129" i="1"/>
  <c r="BI129" i="1"/>
  <c r="BG129" i="1"/>
  <c r="BE129" i="1"/>
  <c r="BA129" i="1"/>
  <c r="AY129" i="1"/>
  <c r="AS129" i="1"/>
  <c r="AQ129" i="1"/>
  <c r="AO129" i="1"/>
  <c r="AM129" i="1"/>
  <c r="AK129" i="1"/>
  <c r="AI129" i="1"/>
  <c r="AG129" i="1"/>
  <c r="AC129" i="1"/>
  <c r="X129" i="1"/>
  <c r="W129" i="1"/>
  <c r="S129" i="1"/>
  <c r="Q129" i="1"/>
  <c r="O129" i="1"/>
  <c r="K129" i="1"/>
  <c r="I129" i="1"/>
  <c r="Z123" i="1"/>
  <c r="DZ122" i="1"/>
  <c r="GX121" i="1"/>
  <c r="AH121" i="1"/>
  <c r="IB119" i="1"/>
  <c r="HR119" i="1"/>
  <c r="HN119" i="1"/>
  <c r="HL119" i="1"/>
  <c r="HJ119" i="1"/>
  <c r="HD119" i="1"/>
  <c r="HB119" i="1"/>
  <c r="GZ119" i="1"/>
  <c r="GX119" i="1"/>
  <c r="GV119" i="1"/>
  <c r="GT119" i="1"/>
  <c r="GR119" i="1"/>
  <c r="GP119" i="1"/>
  <c r="GN119" i="1"/>
  <c r="GL119" i="1"/>
  <c r="GJ119" i="1"/>
  <c r="GH119" i="1"/>
  <c r="GF119" i="1"/>
  <c r="GD119" i="1"/>
  <c r="GB119" i="1"/>
  <c r="FZ119" i="1"/>
  <c r="FX119" i="1"/>
  <c r="FV119" i="1"/>
  <c r="FT119" i="1"/>
  <c r="FP119" i="1"/>
  <c r="FN119" i="1"/>
  <c r="FJ119" i="1"/>
  <c r="FF119" i="1"/>
  <c r="FD119" i="1"/>
  <c r="FB119" i="1"/>
  <c r="EZ119" i="1"/>
  <c r="EX119" i="1"/>
  <c r="EV119" i="1"/>
  <c r="ET119" i="1"/>
  <c r="ER119" i="1"/>
  <c r="EP119" i="1"/>
  <c r="EN119" i="1"/>
  <c r="EL119" i="1"/>
  <c r="EJ119" i="1"/>
  <c r="EH119" i="1"/>
  <c r="EF119" i="1"/>
  <c r="ED119" i="1"/>
  <c r="DZ119" i="1"/>
  <c r="DX119" i="1"/>
  <c r="DV119" i="1"/>
  <c r="DR119" i="1"/>
  <c r="DP119" i="1"/>
  <c r="DN119" i="1"/>
  <c r="CV119" i="1"/>
  <c r="CT119" i="1"/>
  <c r="CP119" i="1"/>
  <c r="CN119" i="1"/>
  <c r="CB119" i="1"/>
  <c r="BZ119" i="1"/>
  <c r="BX119" i="1"/>
  <c r="BV119" i="1"/>
  <c r="BT119" i="1"/>
  <c r="BR119" i="1"/>
  <c r="BP119" i="1"/>
  <c r="BN119" i="1"/>
  <c r="BL119" i="1"/>
  <c r="BJ119" i="1"/>
  <c r="BH119" i="1"/>
  <c r="BF119" i="1"/>
  <c r="BD119" i="1"/>
  <c r="BB119" i="1"/>
  <c r="AZ119" i="1"/>
  <c r="AX119" i="1"/>
  <c r="AV119" i="1"/>
  <c r="AT119" i="1"/>
  <c r="AR119" i="1"/>
  <c r="AP119" i="1"/>
  <c r="AN119" i="1"/>
  <c r="AL119" i="1"/>
  <c r="AJ119" i="1"/>
  <c r="AH119" i="1"/>
  <c r="AF119" i="1"/>
  <c r="AB119" i="1"/>
  <c r="Z119" i="1"/>
  <c r="X119" i="1"/>
  <c r="V119" i="1"/>
  <c r="T119" i="1"/>
  <c r="R119" i="1"/>
  <c r="P119" i="1"/>
  <c r="N119" i="1"/>
  <c r="L119" i="1"/>
  <c r="J119" i="1"/>
  <c r="H119" i="1"/>
  <c r="F119" i="1"/>
  <c r="FR117" i="1"/>
  <c r="FR119" i="1" s="1"/>
  <c r="FN117" i="1"/>
  <c r="FH117" i="1"/>
  <c r="FH119" i="1" s="1"/>
  <c r="IB115" i="1"/>
  <c r="HR115" i="1"/>
  <c r="HN115" i="1"/>
  <c r="HL115" i="1"/>
  <c r="HJ115" i="1"/>
  <c r="HD115" i="1"/>
  <c r="HB115" i="1"/>
  <c r="GZ115" i="1"/>
  <c r="GX115" i="1"/>
  <c r="GV115" i="1"/>
  <c r="GT115" i="1"/>
  <c r="GR115" i="1"/>
  <c r="GP115" i="1"/>
  <c r="GN115" i="1"/>
  <c r="GL115" i="1"/>
  <c r="GJ115" i="1"/>
  <c r="GH115" i="1"/>
  <c r="GF115" i="1"/>
  <c r="GD115" i="1"/>
  <c r="GB115" i="1"/>
  <c r="FZ115" i="1"/>
  <c r="FX115" i="1"/>
  <c r="FV115" i="1"/>
  <c r="FT115" i="1"/>
  <c r="FP115" i="1"/>
  <c r="FJ115" i="1"/>
  <c r="FF115" i="1"/>
  <c r="FD115" i="1"/>
  <c r="FB115" i="1"/>
  <c r="EZ115" i="1"/>
  <c r="EX115" i="1"/>
  <c r="EV115" i="1"/>
  <c r="ET115" i="1"/>
  <c r="ER115" i="1"/>
  <c r="EP115" i="1"/>
  <c r="EN115" i="1"/>
  <c r="EL115" i="1"/>
  <c r="EJ115" i="1"/>
  <c r="EH115" i="1"/>
  <c r="EF115" i="1"/>
  <c r="ED115" i="1"/>
  <c r="DZ115" i="1"/>
  <c r="DX115" i="1"/>
  <c r="DV115" i="1"/>
  <c r="DR115" i="1"/>
  <c r="DP115" i="1"/>
  <c r="DN115" i="1"/>
  <c r="CV115" i="1"/>
  <c r="CT115" i="1"/>
  <c r="CP115" i="1"/>
  <c r="CN115" i="1"/>
  <c r="CB115" i="1"/>
  <c r="BZ115" i="1"/>
  <c r="BX115" i="1"/>
  <c r="BV115" i="1"/>
  <c r="BT115" i="1"/>
  <c r="BR115" i="1"/>
  <c r="BP115" i="1"/>
  <c r="BN115" i="1"/>
  <c r="BL115" i="1"/>
  <c r="BJ115" i="1"/>
  <c r="BH115" i="1"/>
  <c r="BF115" i="1"/>
  <c r="BD115" i="1"/>
  <c r="BB115" i="1"/>
  <c r="AZ115" i="1"/>
  <c r="AX115" i="1"/>
  <c r="AV115" i="1"/>
  <c r="AT115" i="1"/>
  <c r="AR115" i="1"/>
  <c r="AP115" i="1"/>
  <c r="AN115" i="1"/>
  <c r="AL115" i="1"/>
  <c r="AJ115" i="1"/>
  <c r="AH115" i="1"/>
  <c r="AF115" i="1"/>
  <c r="AB115" i="1"/>
  <c r="Z115" i="1"/>
  <c r="X115" i="1"/>
  <c r="V115" i="1"/>
  <c r="T115" i="1"/>
  <c r="R115" i="1"/>
  <c r="P115" i="1"/>
  <c r="N115" i="1"/>
  <c r="L115" i="1"/>
  <c r="J115" i="1"/>
  <c r="H115" i="1"/>
  <c r="F115" i="1"/>
  <c r="IB114" i="1"/>
  <c r="HR114" i="1"/>
  <c r="HN114" i="1"/>
  <c r="HL114" i="1"/>
  <c r="HJ114" i="1"/>
  <c r="HD114" i="1"/>
  <c r="HB114" i="1"/>
  <c r="GZ114" i="1"/>
  <c r="GX114" i="1"/>
  <c r="GV114" i="1"/>
  <c r="GT114" i="1"/>
  <c r="GR114" i="1"/>
  <c r="GP114" i="1"/>
  <c r="GN114" i="1"/>
  <c r="GL114" i="1"/>
  <c r="GJ114" i="1"/>
  <c r="GH114" i="1"/>
  <c r="GF114" i="1"/>
  <c r="GD114" i="1"/>
  <c r="GB114" i="1"/>
  <c r="FZ114" i="1"/>
  <c r="FX114" i="1"/>
  <c r="FV114" i="1"/>
  <c r="FT114" i="1"/>
  <c r="FP114" i="1"/>
  <c r="FJ114" i="1"/>
  <c r="FF114" i="1"/>
  <c r="FD114" i="1"/>
  <c r="FB114" i="1"/>
  <c r="EZ114" i="1"/>
  <c r="EX114" i="1"/>
  <c r="EV114" i="1"/>
  <c r="ET114" i="1"/>
  <c r="ER114" i="1"/>
  <c r="EP114" i="1"/>
  <c r="EN114" i="1"/>
  <c r="EL114" i="1"/>
  <c r="EJ114" i="1"/>
  <c r="EH114" i="1"/>
  <c r="EF114" i="1"/>
  <c r="ED114" i="1"/>
  <c r="DZ114" i="1"/>
  <c r="DX114" i="1"/>
  <c r="DV114" i="1"/>
  <c r="DR114" i="1"/>
  <c r="DP114" i="1"/>
  <c r="DN114" i="1"/>
  <c r="CV114" i="1"/>
  <c r="CT114" i="1"/>
  <c r="CP114" i="1"/>
  <c r="CN114" i="1"/>
  <c r="CB114" i="1"/>
  <c r="BZ114" i="1"/>
  <c r="BX114" i="1"/>
  <c r="BV114" i="1"/>
  <c r="BT114" i="1"/>
  <c r="BR114" i="1"/>
  <c r="BP114" i="1"/>
  <c r="BN114" i="1"/>
  <c r="BL114" i="1"/>
  <c r="BJ114" i="1"/>
  <c r="BH114" i="1"/>
  <c r="BF114" i="1"/>
  <c r="BD114" i="1"/>
  <c r="BB114" i="1"/>
  <c r="AZ114" i="1"/>
  <c r="AX114" i="1"/>
  <c r="AV114" i="1"/>
  <c r="AT114" i="1"/>
  <c r="AR114" i="1"/>
  <c r="AP114" i="1"/>
  <c r="AN114" i="1"/>
  <c r="AL114" i="1"/>
  <c r="AJ114" i="1"/>
  <c r="AH114" i="1"/>
  <c r="AF114" i="1"/>
  <c r="AB114" i="1"/>
  <c r="Z114" i="1"/>
  <c r="X114" i="1"/>
  <c r="V114" i="1"/>
  <c r="T114" i="1"/>
  <c r="R114" i="1"/>
  <c r="P114" i="1"/>
  <c r="N114" i="1"/>
  <c r="L114" i="1"/>
  <c r="J114" i="1"/>
  <c r="H114" i="1"/>
  <c r="F114" i="1"/>
  <c r="FR113" i="1"/>
  <c r="FR114" i="1" s="1"/>
  <c r="FN113" i="1"/>
  <c r="FN115" i="1" s="1"/>
  <c r="FH113" i="1"/>
  <c r="FH115" i="1" s="1"/>
  <c r="HL107" i="1"/>
  <c r="HJ107" i="1"/>
  <c r="GZ107" i="1"/>
  <c r="GF107" i="1"/>
  <c r="GF121" i="1" s="1"/>
  <c r="GD107" i="1"/>
  <c r="FH107" i="1"/>
  <c r="EX107" i="1"/>
  <c r="BN107" i="1"/>
  <c r="IB104" i="1"/>
  <c r="HR104" i="1"/>
  <c r="HN104" i="1"/>
  <c r="HL104" i="1"/>
  <c r="HJ104" i="1"/>
  <c r="HD104" i="1"/>
  <c r="HB104" i="1"/>
  <c r="GX104" i="1"/>
  <c r="GV104" i="1"/>
  <c r="GT104" i="1"/>
  <c r="GR104" i="1"/>
  <c r="GP104" i="1"/>
  <c r="GN104" i="1"/>
  <c r="GL104" i="1"/>
  <c r="GJ104" i="1"/>
  <c r="GH104" i="1"/>
  <c r="GD104" i="1"/>
  <c r="GB104" i="1"/>
  <c r="FZ104" i="1"/>
  <c r="FX104" i="1"/>
  <c r="FV104" i="1"/>
  <c r="FT104" i="1"/>
  <c r="FR104" i="1"/>
  <c r="FP104" i="1"/>
  <c r="FJ104" i="1"/>
  <c r="FH104" i="1"/>
  <c r="FD104" i="1"/>
  <c r="FB104" i="1"/>
  <c r="EZ104" i="1"/>
  <c r="EX104" i="1"/>
  <c r="EV104" i="1"/>
  <c r="ET104" i="1"/>
  <c r="ER104" i="1"/>
  <c r="EP104" i="1"/>
  <c r="EN104" i="1"/>
  <c r="EL104" i="1"/>
  <c r="EJ104" i="1"/>
  <c r="EH104" i="1"/>
  <c r="EF104" i="1"/>
  <c r="ED104" i="1"/>
  <c r="DZ104" i="1"/>
  <c r="DX104" i="1"/>
  <c r="DV104" i="1"/>
  <c r="DR104" i="1"/>
  <c r="DP104" i="1"/>
  <c r="DN104" i="1"/>
  <c r="CV104" i="1"/>
  <c r="CT104" i="1"/>
  <c r="CP104" i="1"/>
  <c r="CN104" i="1"/>
  <c r="CB104" i="1"/>
  <c r="BZ104" i="1"/>
  <c r="BX104" i="1"/>
  <c r="BV104" i="1"/>
  <c r="BT104" i="1"/>
  <c r="BR104" i="1"/>
  <c r="BP104" i="1"/>
  <c r="BN104" i="1"/>
  <c r="BL104" i="1"/>
  <c r="BJ104" i="1"/>
  <c r="BH104" i="1"/>
  <c r="BF104" i="1"/>
  <c r="BD104" i="1"/>
  <c r="BB104" i="1"/>
  <c r="AZ104" i="1"/>
  <c r="AX104" i="1"/>
  <c r="AV104" i="1"/>
  <c r="AT104" i="1"/>
  <c r="AR104" i="1"/>
  <c r="AP104" i="1"/>
  <c r="AN104" i="1"/>
  <c r="AL104" i="1"/>
  <c r="AH104" i="1"/>
  <c r="AF104" i="1"/>
  <c r="AB104" i="1"/>
  <c r="Z104" i="1"/>
  <c r="X104" i="1"/>
  <c r="V104" i="1"/>
  <c r="T104" i="1"/>
  <c r="R104" i="1"/>
  <c r="P104" i="1"/>
  <c r="N104" i="1"/>
  <c r="L104" i="1"/>
  <c r="J104" i="1"/>
  <c r="H104" i="1"/>
  <c r="GZ102" i="1"/>
  <c r="GZ104" i="1" s="1"/>
  <c r="GF101" i="1"/>
  <c r="GF104" i="1" s="1"/>
  <c r="FN101" i="1"/>
  <c r="FN104" i="1" s="1"/>
  <c r="FF101" i="1"/>
  <c r="FF104" i="1" s="1"/>
  <c r="AJ101" i="1"/>
  <c r="F101" i="1"/>
  <c r="F104" i="1" s="1"/>
  <c r="GZ100" i="1"/>
  <c r="FN100" i="1"/>
  <c r="IB98" i="1"/>
  <c r="HR98" i="1"/>
  <c r="HN98" i="1"/>
  <c r="HL98" i="1"/>
  <c r="HJ98" i="1"/>
  <c r="HD98" i="1"/>
  <c r="HB98" i="1"/>
  <c r="GZ98" i="1"/>
  <c r="GX98" i="1"/>
  <c r="GV98" i="1"/>
  <c r="GT98" i="1"/>
  <c r="GR98" i="1"/>
  <c r="GP98" i="1"/>
  <c r="GP123" i="1" s="1"/>
  <c r="GN98" i="1"/>
  <c r="GL98" i="1"/>
  <c r="GJ98" i="1"/>
  <c r="GH98" i="1"/>
  <c r="GF98" i="1"/>
  <c r="GD98" i="1"/>
  <c r="GB98" i="1"/>
  <c r="FZ98" i="1"/>
  <c r="FZ123" i="1" s="1"/>
  <c r="FX98" i="1"/>
  <c r="FV98" i="1"/>
  <c r="FT98" i="1"/>
  <c r="FR98" i="1"/>
  <c r="FP98" i="1"/>
  <c r="FN98" i="1"/>
  <c r="FJ98" i="1"/>
  <c r="FJ123" i="1" s="1"/>
  <c r="FH98" i="1"/>
  <c r="FF98" i="1"/>
  <c r="FD98" i="1"/>
  <c r="FB98" i="1"/>
  <c r="EZ98" i="1"/>
  <c r="EX98" i="1"/>
  <c r="ET98" i="1"/>
  <c r="ET123" i="1" s="1"/>
  <c r="ER98" i="1"/>
  <c r="EP98" i="1"/>
  <c r="EN98" i="1"/>
  <c r="EL98" i="1"/>
  <c r="EJ98" i="1"/>
  <c r="EH98" i="1"/>
  <c r="EF98" i="1"/>
  <c r="ED98" i="1"/>
  <c r="ED123" i="1" s="1"/>
  <c r="DZ98" i="1"/>
  <c r="DX98" i="1"/>
  <c r="DV98" i="1"/>
  <c r="DR98" i="1"/>
  <c r="DP98" i="1"/>
  <c r="DN98" i="1"/>
  <c r="DN123" i="1" s="1"/>
  <c r="CV98" i="1"/>
  <c r="CT98" i="1"/>
  <c r="CP98" i="1"/>
  <c r="CN98" i="1"/>
  <c r="CB98" i="1"/>
  <c r="BZ98" i="1"/>
  <c r="BX98" i="1"/>
  <c r="BV98" i="1"/>
  <c r="BV123" i="1" s="1"/>
  <c r="BT98" i="1"/>
  <c r="BR98" i="1"/>
  <c r="BP98" i="1"/>
  <c r="BN98" i="1"/>
  <c r="BL98" i="1"/>
  <c r="BJ98" i="1"/>
  <c r="BH98" i="1"/>
  <c r="BF98" i="1"/>
  <c r="BF123" i="1" s="1"/>
  <c r="BD98" i="1"/>
  <c r="BB98" i="1"/>
  <c r="AZ98" i="1"/>
  <c r="AX98" i="1"/>
  <c r="AV98" i="1"/>
  <c r="AT98" i="1"/>
  <c r="AR98" i="1"/>
  <c r="AP98" i="1"/>
  <c r="AP123" i="1" s="1"/>
  <c r="AN98" i="1"/>
  <c r="AL98" i="1"/>
  <c r="AJ98" i="1"/>
  <c r="AH98" i="1"/>
  <c r="AF98" i="1"/>
  <c r="AB98" i="1"/>
  <c r="Z98" i="1"/>
  <c r="X98" i="1"/>
  <c r="V98" i="1"/>
  <c r="T98" i="1"/>
  <c r="R98" i="1"/>
  <c r="P98" i="1"/>
  <c r="N98" i="1"/>
  <c r="L98" i="1"/>
  <c r="J98" i="1"/>
  <c r="J123" i="1" s="1"/>
  <c r="H98" i="1"/>
  <c r="F98" i="1"/>
  <c r="EV97" i="1"/>
  <c r="EV98" i="1" s="1"/>
  <c r="IB85" i="1"/>
  <c r="HR85" i="1"/>
  <c r="HN85" i="1"/>
  <c r="HL85" i="1"/>
  <c r="HJ85" i="1"/>
  <c r="HD85" i="1"/>
  <c r="HB85" i="1"/>
  <c r="GZ85" i="1"/>
  <c r="GX85" i="1"/>
  <c r="GV85" i="1"/>
  <c r="GT85" i="1"/>
  <c r="GR85" i="1"/>
  <c r="GP85" i="1"/>
  <c r="GN85" i="1"/>
  <c r="GL85" i="1"/>
  <c r="GJ85" i="1"/>
  <c r="GH85" i="1"/>
  <c r="GF85" i="1"/>
  <c r="GD85" i="1"/>
  <c r="GB85" i="1"/>
  <c r="FZ85" i="1"/>
  <c r="FX85" i="1"/>
  <c r="FV85" i="1"/>
  <c r="FT85" i="1"/>
  <c r="FR85" i="1"/>
  <c r="FP85" i="1"/>
  <c r="FN85" i="1"/>
  <c r="FJ85" i="1"/>
  <c r="FH85" i="1"/>
  <c r="FF85" i="1"/>
  <c r="FD85" i="1"/>
  <c r="FB85" i="1"/>
  <c r="EZ85" i="1"/>
  <c r="EX85" i="1"/>
  <c r="EV85" i="1"/>
  <c r="ET85" i="1"/>
  <c r="ER85" i="1"/>
  <c r="EP85" i="1"/>
  <c r="EN85" i="1"/>
  <c r="EL85" i="1"/>
  <c r="EJ85" i="1"/>
  <c r="EH85" i="1"/>
  <c r="EF85" i="1"/>
  <c r="ED85" i="1"/>
  <c r="DZ85" i="1"/>
  <c r="DX85" i="1"/>
  <c r="DV85" i="1"/>
  <c r="DR85" i="1"/>
  <c r="DP85" i="1"/>
  <c r="DN85" i="1"/>
  <c r="CV85" i="1"/>
  <c r="CT85" i="1"/>
  <c r="CP85" i="1"/>
  <c r="CN85" i="1"/>
  <c r="CB85" i="1"/>
  <c r="BZ85" i="1"/>
  <c r="BX85" i="1"/>
  <c r="BV85" i="1"/>
  <c r="BT85" i="1"/>
  <c r="BR85" i="1"/>
  <c r="BP85" i="1"/>
  <c r="BN85" i="1"/>
  <c r="BL85" i="1"/>
  <c r="BJ85" i="1"/>
  <c r="BH85" i="1"/>
  <c r="BF85" i="1"/>
  <c r="BD85" i="1"/>
  <c r="BB85" i="1"/>
  <c r="AZ85" i="1"/>
  <c r="AX85" i="1"/>
  <c r="AV85" i="1"/>
  <c r="AT85" i="1"/>
  <c r="AR85" i="1"/>
  <c r="AP85" i="1"/>
  <c r="AN85" i="1"/>
  <c r="AL85" i="1"/>
  <c r="AJ85" i="1"/>
  <c r="AH85" i="1"/>
  <c r="AF85" i="1"/>
  <c r="AB85" i="1"/>
  <c r="Z85" i="1"/>
  <c r="X85" i="1"/>
  <c r="V85" i="1"/>
  <c r="T85" i="1"/>
  <c r="R85" i="1"/>
  <c r="P85" i="1"/>
  <c r="N85" i="1"/>
  <c r="L85" i="1"/>
  <c r="J85" i="1"/>
  <c r="H85" i="1"/>
  <c r="F85" i="1"/>
  <c r="HR72" i="1"/>
  <c r="BX72" i="1"/>
  <c r="IB69" i="1"/>
  <c r="IB75" i="1" s="1"/>
  <c r="HR69" i="1"/>
  <c r="HN69" i="1"/>
  <c r="HN75" i="1" s="1"/>
  <c r="HL69" i="1"/>
  <c r="HL75" i="1" s="1"/>
  <c r="HJ69" i="1"/>
  <c r="HJ75" i="1" s="1"/>
  <c r="HD69" i="1"/>
  <c r="HD75" i="1" s="1"/>
  <c r="HB69" i="1"/>
  <c r="HB75" i="1" s="1"/>
  <c r="GZ69" i="1"/>
  <c r="GZ75" i="1" s="1"/>
  <c r="GX69" i="1"/>
  <c r="GX75" i="1" s="1"/>
  <c r="GV69" i="1"/>
  <c r="GV75" i="1" s="1"/>
  <c r="GT69" i="1"/>
  <c r="GT75" i="1" s="1"/>
  <c r="GR69" i="1"/>
  <c r="GR75" i="1" s="1"/>
  <c r="GP69" i="1"/>
  <c r="GP75" i="1" s="1"/>
  <c r="GN69" i="1"/>
  <c r="GN75" i="1" s="1"/>
  <c r="GL69" i="1"/>
  <c r="GL75" i="1" s="1"/>
  <c r="GJ69" i="1"/>
  <c r="GJ75" i="1" s="1"/>
  <c r="GH69" i="1"/>
  <c r="GH75" i="1" s="1"/>
  <c r="GF69" i="1"/>
  <c r="GF75" i="1" s="1"/>
  <c r="GD69" i="1"/>
  <c r="GD75" i="1" s="1"/>
  <c r="GB69" i="1"/>
  <c r="GB75" i="1" s="1"/>
  <c r="FZ69" i="1"/>
  <c r="FZ75" i="1" s="1"/>
  <c r="FV69" i="1"/>
  <c r="FV75" i="1" s="1"/>
  <c r="FT69" i="1"/>
  <c r="FT75" i="1" s="1"/>
  <c r="FR69" i="1"/>
  <c r="FR75" i="1" s="1"/>
  <c r="FP69" i="1"/>
  <c r="FP75" i="1" s="1"/>
  <c r="FH69" i="1"/>
  <c r="FH75" i="1" s="1"/>
  <c r="FF69" i="1"/>
  <c r="FF75" i="1" s="1"/>
  <c r="FB69" i="1"/>
  <c r="FB75" i="1" s="1"/>
  <c r="EZ69" i="1"/>
  <c r="EZ75" i="1" s="1"/>
  <c r="EX69" i="1"/>
  <c r="EX75" i="1" s="1"/>
  <c r="EV69" i="1"/>
  <c r="EV75" i="1" s="1"/>
  <c r="ET69" i="1"/>
  <c r="ET75" i="1" s="1"/>
  <c r="ER69" i="1"/>
  <c r="ER75" i="1" s="1"/>
  <c r="EP69" i="1"/>
  <c r="EP75" i="1" s="1"/>
  <c r="EN69" i="1"/>
  <c r="EN75" i="1" s="1"/>
  <c r="EL69" i="1"/>
  <c r="EL75" i="1" s="1"/>
  <c r="EH69" i="1"/>
  <c r="EH75" i="1" s="1"/>
  <c r="ED69" i="1"/>
  <c r="ED75" i="1" s="1"/>
  <c r="DZ69" i="1"/>
  <c r="DZ75" i="1" s="1"/>
  <c r="DX69" i="1"/>
  <c r="DX75" i="1" s="1"/>
  <c r="DV69" i="1"/>
  <c r="DV75" i="1" s="1"/>
  <c r="DN69" i="1"/>
  <c r="DN75" i="1" s="1"/>
  <c r="CV69" i="1"/>
  <c r="CV75" i="1" s="1"/>
  <c r="CT69" i="1"/>
  <c r="CT75" i="1" s="1"/>
  <c r="CP69" i="1"/>
  <c r="CP75" i="1" s="1"/>
  <c r="CN69" i="1"/>
  <c r="CN75" i="1" s="1"/>
  <c r="CB69" i="1"/>
  <c r="CB75" i="1" s="1"/>
  <c r="BZ69" i="1"/>
  <c r="BZ75" i="1" s="1"/>
  <c r="BV69" i="1"/>
  <c r="BV75" i="1" s="1"/>
  <c r="BT69" i="1"/>
  <c r="BT75" i="1" s="1"/>
  <c r="BR69" i="1"/>
  <c r="BR75" i="1" s="1"/>
  <c r="BN69" i="1"/>
  <c r="BN75" i="1" s="1"/>
  <c r="BL69" i="1"/>
  <c r="BL75" i="1" s="1"/>
  <c r="BJ69" i="1"/>
  <c r="BJ75" i="1" s="1"/>
  <c r="BH69" i="1"/>
  <c r="BH75" i="1" s="1"/>
  <c r="BF69" i="1"/>
  <c r="BF75" i="1" s="1"/>
  <c r="BD69" i="1"/>
  <c r="BD75" i="1" s="1"/>
  <c r="BB69" i="1"/>
  <c r="BB75" i="1" s="1"/>
  <c r="AZ69" i="1"/>
  <c r="AZ75" i="1" s="1"/>
  <c r="AX69" i="1"/>
  <c r="AX75" i="1" s="1"/>
  <c r="AV69" i="1"/>
  <c r="AV75" i="1" s="1"/>
  <c r="AT69" i="1"/>
  <c r="AT75" i="1" s="1"/>
  <c r="AR69" i="1"/>
  <c r="AR75" i="1" s="1"/>
  <c r="AP69" i="1"/>
  <c r="AP75" i="1" s="1"/>
  <c r="AN69" i="1"/>
  <c r="AN75" i="1" s="1"/>
  <c r="AL69" i="1"/>
  <c r="AL75" i="1" s="1"/>
  <c r="AJ69" i="1"/>
  <c r="AJ75" i="1" s="1"/>
  <c r="AH69" i="1"/>
  <c r="AH75" i="1" s="1"/>
  <c r="AF69" i="1"/>
  <c r="AF75" i="1" s="1"/>
  <c r="AB69" i="1"/>
  <c r="AB75" i="1" s="1"/>
  <c r="Z69" i="1"/>
  <c r="Z75" i="1" s="1"/>
  <c r="X69" i="1"/>
  <c r="X75" i="1" s="1"/>
  <c r="V69" i="1"/>
  <c r="V75" i="1" s="1"/>
  <c r="T69" i="1"/>
  <c r="T75" i="1" s="1"/>
  <c r="R69" i="1"/>
  <c r="R75" i="1" s="1"/>
  <c r="P69" i="1"/>
  <c r="P75" i="1" s="1"/>
  <c r="N69" i="1"/>
  <c r="N75" i="1" s="1"/>
  <c r="J69" i="1"/>
  <c r="J75" i="1" s="1"/>
  <c r="H69" i="1"/>
  <c r="H75" i="1" s="1"/>
  <c r="F69" i="1"/>
  <c r="F75" i="1" s="1"/>
  <c r="FX67" i="1"/>
  <c r="FX69" i="1" s="1"/>
  <c r="FX75" i="1" s="1"/>
  <c r="FN67" i="1"/>
  <c r="FN69" i="1" s="1"/>
  <c r="FN75" i="1" s="1"/>
  <c r="FJ67" i="1"/>
  <c r="FD67" i="1"/>
  <c r="FD69" i="1" s="1"/>
  <c r="FD75" i="1" s="1"/>
  <c r="EJ67" i="1"/>
  <c r="EF67" i="1"/>
  <c r="EF69" i="1" s="1"/>
  <c r="EF75" i="1" s="1"/>
  <c r="DR67" i="1"/>
  <c r="DR69" i="1" s="1"/>
  <c r="DR75" i="1" s="1"/>
  <c r="DP67" i="1"/>
  <c r="DP69" i="1" s="1"/>
  <c r="DP75" i="1" s="1"/>
  <c r="BX67" i="1"/>
  <c r="BX69" i="1" s="1"/>
  <c r="BX75" i="1" s="1"/>
  <c r="FJ59" i="1"/>
  <c r="FJ69" i="1" s="1"/>
  <c r="FJ75" i="1" s="1"/>
  <c r="EJ59" i="1"/>
  <c r="EJ69" i="1" s="1"/>
  <c r="EJ75" i="1" s="1"/>
  <c r="BP59" i="1"/>
  <c r="BP69" i="1" s="1"/>
  <c r="BP75" i="1" s="1"/>
  <c r="DV52" i="1"/>
  <c r="CN52" i="1"/>
  <c r="IB51" i="1"/>
  <c r="IB52" i="1" s="1"/>
  <c r="HR51" i="1"/>
  <c r="HR52" i="1" s="1"/>
  <c r="HN51" i="1"/>
  <c r="HN52" i="1" s="1"/>
  <c r="HL51" i="1"/>
  <c r="HL52" i="1" s="1"/>
  <c r="HJ51" i="1"/>
  <c r="HJ52" i="1" s="1"/>
  <c r="HD51" i="1"/>
  <c r="HD52" i="1" s="1"/>
  <c r="HB51" i="1"/>
  <c r="HB52" i="1" s="1"/>
  <c r="GZ51" i="1"/>
  <c r="GZ52" i="1" s="1"/>
  <c r="GX51" i="1"/>
  <c r="GX52" i="1" s="1"/>
  <c r="GV51" i="1"/>
  <c r="GV52" i="1" s="1"/>
  <c r="GR51" i="1"/>
  <c r="GR52" i="1" s="1"/>
  <c r="GN51" i="1"/>
  <c r="GN52" i="1" s="1"/>
  <c r="GL51" i="1"/>
  <c r="GL52" i="1" s="1"/>
  <c r="GJ51" i="1"/>
  <c r="GJ52" i="1" s="1"/>
  <c r="GH51" i="1"/>
  <c r="GH52" i="1" s="1"/>
  <c r="GF51" i="1"/>
  <c r="GF52" i="1" s="1"/>
  <c r="GD51" i="1"/>
  <c r="GD52" i="1" s="1"/>
  <c r="GB51" i="1"/>
  <c r="GB52" i="1" s="1"/>
  <c r="FZ51" i="1"/>
  <c r="FZ52" i="1" s="1"/>
  <c r="FX51" i="1"/>
  <c r="FX52" i="1" s="1"/>
  <c r="FV51" i="1"/>
  <c r="FV52" i="1" s="1"/>
  <c r="FT51" i="1"/>
  <c r="FT52" i="1" s="1"/>
  <c r="FR51" i="1"/>
  <c r="FR52" i="1" s="1"/>
  <c r="FP51" i="1"/>
  <c r="FP52" i="1" s="1"/>
  <c r="FN51" i="1"/>
  <c r="FN52" i="1" s="1"/>
  <c r="FJ51" i="1"/>
  <c r="FJ52" i="1" s="1"/>
  <c r="FH51" i="1"/>
  <c r="FH52" i="1" s="1"/>
  <c r="FF51" i="1"/>
  <c r="FF52" i="1" s="1"/>
  <c r="FD51" i="1"/>
  <c r="FD52" i="1" s="1"/>
  <c r="FB51" i="1"/>
  <c r="FB52" i="1" s="1"/>
  <c r="EZ51" i="1"/>
  <c r="EZ52" i="1" s="1"/>
  <c r="EX51" i="1"/>
  <c r="EX52" i="1" s="1"/>
  <c r="EV51" i="1"/>
  <c r="EV52" i="1" s="1"/>
  <c r="ET51" i="1"/>
  <c r="ET52" i="1" s="1"/>
  <c r="ER51" i="1"/>
  <c r="ER52" i="1" s="1"/>
  <c r="EP51" i="1"/>
  <c r="EP52" i="1" s="1"/>
  <c r="EN51" i="1"/>
  <c r="EN52" i="1" s="1"/>
  <c r="EL51" i="1"/>
  <c r="EL52" i="1" s="1"/>
  <c r="EJ51" i="1"/>
  <c r="EJ52" i="1" s="1"/>
  <c r="EH51" i="1"/>
  <c r="EH52" i="1" s="1"/>
  <c r="EF51" i="1"/>
  <c r="EF52" i="1" s="1"/>
  <c r="ED51" i="1"/>
  <c r="ED52" i="1" s="1"/>
  <c r="DZ51" i="1"/>
  <c r="DZ52" i="1" s="1"/>
  <c r="DX51" i="1"/>
  <c r="DX52" i="1" s="1"/>
  <c r="DV51" i="1"/>
  <c r="DR51" i="1"/>
  <c r="DR52" i="1" s="1"/>
  <c r="DP51" i="1"/>
  <c r="DP52" i="1" s="1"/>
  <c r="DN51" i="1"/>
  <c r="DN52" i="1" s="1"/>
  <c r="CV51" i="1"/>
  <c r="CV52" i="1" s="1"/>
  <c r="CT51" i="1"/>
  <c r="CT52" i="1" s="1"/>
  <c r="CP51" i="1"/>
  <c r="CP52" i="1" s="1"/>
  <c r="CN51" i="1"/>
  <c r="CB51" i="1"/>
  <c r="CB52" i="1" s="1"/>
  <c r="BZ51" i="1"/>
  <c r="BZ52" i="1" s="1"/>
  <c r="BV51" i="1"/>
  <c r="BV52" i="1" s="1"/>
  <c r="BT51" i="1"/>
  <c r="BT52" i="1" s="1"/>
  <c r="BR51" i="1"/>
  <c r="BR52" i="1" s="1"/>
  <c r="BP51" i="1"/>
  <c r="BP52" i="1" s="1"/>
  <c r="BN51" i="1"/>
  <c r="BN52" i="1" s="1"/>
  <c r="BL51" i="1"/>
  <c r="BL52" i="1" s="1"/>
  <c r="BJ51" i="1"/>
  <c r="BJ52" i="1" s="1"/>
  <c r="BH51" i="1"/>
  <c r="BH52" i="1" s="1"/>
  <c r="BF51" i="1"/>
  <c r="BF52" i="1" s="1"/>
  <c r="BD51" i="1"/>
  <c r="BD52" i="1" s="1"/>
  <c r="BB51" i="1"/>
  <c r="BB52" i="1" s="1"/>
  <c r="AZ51" i="1"/>
  <c r="AZ52" i="1" s="1"/>
  <c r="AX51" i="1"/>
  <c r="AX52" i="1" s="1"/>
  <c r="AV51" i="1"/>
  <c r="AV52" i="1" s="1"/>
  <c r="AT51" i="1"/>
  <c r="AT52" i="1" s="1"/>
  <c r="AR51" i="1"/>
  <c r="AR52" i="1" s="1"/>
  <c r="AP51" i="1"/>
  <c r="AP52" i="1" s="1"/>
  <c r="AN51" i="1"/>
  <c r="AN52" i="1" s="1"/>
  <c r="AL51" i="1"/>
  <c r="AL52" i="1" s="1"/>
  <c r="AJ51" i="1"/>
  <c r="AJ52" i="1" s="1"/>
  <c r="AH51" i="1"/>
  <c r="AH52" i="1" s="1"/>
  <c r="AF51" i="1"/>
  <c r="AF52" i="1" s="1"/>
  <c r="AB51" i="1"/>
  <c r="AB52" i="1" s="1"/>
  <c r="Z51" i="1"/>
  <c r="Z52" i="1" s="1"/>
  <c r="X51" i="1"/>
  <c r="X52" i="1" s="1"/>
  <c r="V51" i="1"/>
  <c r="V52" i="1" s="1"/>
  <c r="T51" i="1"/>
  <c r="T52" i="1" s="1"/>
  <c r="R51" i="1"/>
  <c r="R52" i="1" s="1"/>
  <c r="P51" i="1"/>
  <c r="P52" i="1" s="1"/>
  <c r="N51" i="1"/>
  <c r="N52" i="1" s="1"/>
  <c r="J51" i="1"/>
  <c r="J52" i="1" s="1"/>
  <c r="H51" i="1"/>
  <c r="H52" i="1" s="1"/>
  <c r="F51" i="1"/>
  <c r="F52" i="1" s="1"/>
  <c r="L46" i="1"/>
  <c r="L69" i="1" s="1"/>
  <c r="L75" i="1" s="1"/>
  <c r="GT45" i="1"/>
  <c r="GT51" i="1" s="1"/>
  <c r="GT52" i="1" s="1"/>
  <c r="GP45" i="1"/>
  <c r="GP51" i="1" s="1"/>
  <c r="GP52" i="1" s="1"/>
  <c r="BX45" i="1"/>
  <c r="BX51" i="1" s="1"/>
  <c r="BX52" i="1" s="1"/>
  <c r="L45" i="1"/>
  <c r="IB36" i="1"/>
  <c r="HR36" i="1"/>
  <c r="HN36" i="1"/>
  <c r="HL36" i="1"/>
  <c r="HJ36" i="1"/>
  <c r="HD36" i="1"/>
  <c r="HB36" i="1"/>
  <c r="GZ36" i="1"/>
  <c r="GX36" i="1"/>
  <c r="GV36" i="1"/>
  <c r="GT36" i="1"/>
  <c r="GR36" i="1"/>
  <c r="GP36" i="1"/>
  <c r="GN36" i="1"/>
  <c r="GL36" i="1"/>
  <c r="GJ36" i="1"/>
  <c r="GH36" i="1"/>
  <c r="GF36" i="1"/>
  <c r="GD36" i="1"/>
  <c r="GB36" i="1"/>
  <c r="FZ36" i="1"/>
  <c r="FX36" i="1"/>
  <c r="FV36" i="1"/>
  <c r="FT36" i="1"/>
  <c r="FR36" i="1"/>
  <c r="FP36" i="1"/>
  <c r="FN36" i="1"/>
  <c r="FJ36" i="1"/>
  <c r="FH36" i="1"/>
  <c r="FF36" i="1"/>
  <c r="FD36" i="1"/>
  <c r="FB36" i="1"/>
  <c r="EZ36" i="1"/>
  <c r="EX36" i="1"/>
  <c r="EV36" i="1"/>
  <c r="ET36" i="1"/>
  <c r="ER36" i="1"/>
  <c r="EP36" i="1"/>
  <c r="EN36" i="1"/>
  <c r="EL36" i="1"/>
  <c r="EJ36" i="1"/>
  <c r="EF36" i="1"/>
  <c r="ED36" i="1"/>
  <c r="DZ36" i="1"/>
  <c r="DX36" i="1"/>
  <c r="DV36" i="1"/>
  <c r="DR36" i="1"/>
  <c r="DP36" i="1"/>
  <c r="DN36" i="1"/>
  <c r="CV36" i="1"/>
  <c r="CT36" i="1"/>
  <c r="CP36" i="1"/>
  <c r="CN36" i="1"/>
  <c r="CB36" i="1"/>
  <c r="BZ36" i="1"/>
  <c r="BX36" i="1"/>
  <c r="BV36" i="1"/>
  <c r="BT36" i="1"/>
  <c r="BR36" i="1"/>
  <c r="BP36" i="1"/>
  <c r="BN36" i="1"/>
  <c r="BL36" i="1"/>
  <c r="BJ36" i="1"/>
  <c r="BH36" i="1"/>
  <c r="BF36" i="1"/>
  <c r="BD36" i="1"/>
  <c r="BB36" i="1"/>
  <c r="AZ36" i="1"/>
  <c r="AX36" i="1"/>
  <c r="AV36" i="1"/>
  <c r="AT36" i="1"/>
  <c r="AR36" i="1"/>
  <c r="AP36" i="1"/>
  <c r="AN36" i="1"/>
  <c r="AL36" i="1"/>
  <c r="AJ36" i="1"/>
  <c r="AH36" i="1"/>
  <c r="AF36" i="1"/>
  <c r="AB36" i="1"/>
  <c r="Z36" i="1"/>
  <c r="X36" i="1"/>
  <c r="V36" i="1"/>
  <c r="T36" i="1"/>
  <c r="R36" i="1"/>
  <c r="P36" i="1"/>
  <c r="N36" i="1"/>
  <c r="L36" i="1"/>
  <c r="J36" i="1"/>
  <c r="H36" i="1"/>
  <c r="F36" i="1"/>
  <c r="EH33" i="1"/>
  <c r="EH36" i="1" s="1"/>
  <c r="IB21" i="1"/>
  <c r="IB122" i="1" s="1"/>
  <c r="HR21" i="1"/>
  <c r="HR122" i="1" s="1"/>
  <c r="HN21" i="1"/>
  <c r="HN122" i="1" s="1"/>
  <c r="HL21" i="1"/>
  <c r="HL122" i="1" s="1"/>
  <c r="HJ21" i="1"/>
  <c r="HJ122" i="1" s="1"/>
  <c r="HD21" i="1"/>
  <c r="HD122" i="1" s="1"/>
  <c r="HB21" i="1"/>
  <c r="HB122" i="1" s="1"/>
  <c r="GZ21" i="1"/>
  <c r="GX21" i="1"/>
  <c r="GX122" i="1" s="1"/>
  <c r="GV21" i="1"/>
  <c r="GV122" i="1" s="1"/>
  <c r="GT21" i="1"/>
  <c r="GT122" i="1" s="1"/>
  <c r="GR21" i="1"/>
  <c r="GR122" i="1" s="1"/>
  <c r="GP21" i="1"/>
  <c r="GP122" i="1" s="1"/>
  <c r="GN21" i="1"/>
  <c r="GN122" i="1" s="1"/>
  <c r="GL21" i="1"/>
  <c r="GL122" i="1" s="1"/>
  <c r="GJ21" i="1"/>
  <c r="GJ121" i="1" s="1"/>
  <c r="GH21" i="1"/>
  <c r="GH122" i="1" s="1"/>
  <c r="GF21" i="1"/>
  <c r="GF159" i="1" s="1"/>
  <c r="GD21" i="1"/>
  <c r="GD122" i="1" s="1"/>
  <c r="GB21" i="1"/>
  <c r="GB122" i="1" s="1"/>
  <c r="FZ21" i="1"/>
  <c r="FZ122" i="1" s="1"/>
  <c r="FX21" i="1"/>
  <c r="FX122" i="1" s="1"/>
  <c r="FV21" i="1"/>
  <c r="FV122" i="1" s="1"/>
  <c r="FT21" i="1"/>
  <c r="FT121" i="1" s="1"/>
  <c r="FR21" i="1"/>
  <c r="FR122" i="1" s="1"/>
  <c r="FP21" i="1"/>
  <c r="FP122" i="1" s="1"/>
  <c r="FN21" i="1"/>
  <c r="FJ21" i="1"/>
  <c r="FJ122" i="1" s="1"/>
  <c r="FH21" i="1"/>
  <c r="FH169" i="1" s="1"/>
  <c r="FF21" i="1"/>
  <c r="FD21" i="1"/>
  <c r="FD121" i="1" s="1"/>
  <c r="FB21" i="1"/>
  <c r="EZ21" i="1"/>
  <c r="EZ122" i="1" s="1"/>
  <c r="EX21" i="1"/>
  <c r="EX122" i="1" s="1"/>
  <c r="EV21" i="1"/>
  <c r="EV159" i="1" s="1"/>
  <c r="ET21" i="1"/>
  <c r="ET122" i="1" s="1"/>
  <c r="ER21" i="1"/>
  <c r="ER122" i="1" s="1"/>
  <c r="EP21" i="1"/>
  <c r="EP122" i="1" s="1"/>
  <c r="EN21" i="1"/>
  <c r="EN121" i="1" s="1"/>
  <c r="EL21" i="1"/>
  <c r="EL122" i="1" s="1"/>
  <c r="EJ122" i="1"/>
  <c r="EH21" i="1"/>
  <c r="EH122" i="1" s="1"/>
  <c r="EF21" i="1"/>
  <c r="EF122" i="1" s="1"/>
  <c r="ED21" i="1"/>
  <c r="ED122" i="1" s="1"/>
  <c r="DZ21" i="1"/>
  <c r="DX21" i="1"/>
  <c r="DX121" i="1" s="1"/>
  <c r="DV21" i="1"/>
  <c r="DV122" i="1" s="1"/>
  <c r="DR21" i="1"/>
  <c r="DR122" i="1" s="1"/>
  <c r="DP21" i="1"/>
  <c r="DP122" i="1" s="1"/>
  <c r="DN21" i="1"/>
  <c r="CV21" i="1"/>
  <c r="CV122" i="1" s="1"/>
  <c r="CT21" i="1"/>
  <c r="CT122" i="1" s="1"/>
  <c r="CP21" i="1"/>
  <c r="CP121" i="1" s="1"/>
  <c r="CN21" i="1"/>
  <c r="CN122" i="1" s="1"/>
  <c r="CB21" i="1"/>
  <c r="CB122" i="1" s="1"/>
  <c r="BZ21" i="1"/>
  <c r="BZ122" i="1" s="1"/>
  <c r="BX21" i="1"/>
  <c r="BX122" i="1" s="1"/>
  <c r="BV21" i="1"/>
  <c r="BV122" i="1" s="1"/>
  <c r="BT21" i="1"/>
  <c r="BT122" i="1" s="1"/>
  <c r="BR21" i="1"/>
  <c r="BR122" i="1" s="1"/>
  <c r="BP21" i="1"/>
  <c r="BP121" i="1" s="1"/>
  <c r="BN21" i="1"/>
  <c r="BN122" i="1" s="1"/>
  <c r="BL21" i="1"/>
  <c r="BL122" i="1" s="1"/>
  <c r="BJ21" i="1"/>
  <c r="BJ122" i="1" s="1"/>
  <c r="BH21" i="1"/>
  <c r="BF21" i="1"/>
  <c r="BF122" i="1" s="1"/>
  <c r="BD21" i="1"/>
  <c r="BD122" i="1" s="1"/>
  <c r="BB122" i="1"/>
  <c r="AZ21" i="1"/>
  <c r="AZ121" i="1" s="1"/>
  <c r="AX21" i="1"/>
  <c r="AX122" i="1" s="1"/>
  <c r="AV21" i="1"/>
  <c r="AV122" i="1" s="1"/>
  <c r="AT21" i="1"/>
  <c r="AT122" i="1" s="1"/>
  <c r="AR21" i="1"/>
  <c r="AR122" i="1" s="1"/>
  <c r="AP21" i="1"/>
  <c r="AP122" i="1" s="1"/>
  <c r="AN21" i="1"/>
  <c r="AN122" i="1" s="1"/>
  <c r="AL21" i="1"/>
  <c r="AL122" i="1" s="1"/>
  <c r="AJ21" i="1"/>
  <c r="AJ174" i="1" s="1"/>
  <c r="AH21" i="1"/>
  <c r="AH122" i="1" s="1"/>
  <c r="AF21" i="1"/>
  <c r="AF122" i="1" s="1"/>
  <c r="AB21" i="1"/>
  <c r="AB122" i="1" s="1"/>
  <c r="Z21" i="1"/>
  <c r="Z122" i="1" s="1"/>
  <c r="X21" i="1"/>
  <c r="X122" i="1" s="1"/>
  <c r="V21" i="1"/>
  <c r="V122" i="1" s="1"/>
  <c r="T21" i="1"/>
  <c r="T121" i="1" s="1"/>
  <c r="R21" i="1"/>
  <c r="R122" i="1" s="1"/>
  <c r="P21" i="1"/>
  <c r="P122" i="1" s="1"/>
  <c r="N21" i="1"/>
  <c r="N122" i="1" s="1"/>
  <c r="L21" i="1"/>
  <c r="L122" i="1" s="1"/>
  <c r="J21" i="1"/>
  <c r="J122" i="1" s="1"/>
  <c r="H21" i="1"/>
  <c r="H122" i="1" s="1"/>
  <c r="F21" i="1"/>
  <c r="HR20" i="1"/>
  <c r="HN20" i="1"/>
  <c r="HL20" i="1"/>
  <c r="HJ20" i="1"/>
  <c r="HB20" i="1"/>
  <c r="GX20" i="1"/>
  <c r="GT20" i="1"/>
  <c r="GR20" i="1"/>
  <c r="GN20" i="1"/>
  <c r="GL20" i="1"/>
  <c r="GJ20" i="1"/>
  <c r="GH20" i="1"/>
  <c r="GF20" i="1"/>
  <c r="GB20" i="1"/>
  <c r="FZ20" i="1"/>
  <c r="FX20" i="1"/>
  <c r="FV20" i="1"/>
  <c r="FR20" i="1"/>
  <c r="FP20" i="1"/>
  <c r="FN20" i="1"/>
  <c r="FJ20" i="1"/>
  <c r="FH20" i="1"/>
  <c r="FF20" i="1"/>
  <c r="FD20" i="1"/>
  <c r="FB20" i="1"/>
  <c r="EZ20" i="1"/>
  <c r="EX20" i="1"/>
  <c r="EV20" i="1"/>
  <c r="ET20" i="1"/>
  <c r="ER20" i="1"/>
  <c r="EN20" i="1"/>
  <c r="EL20" i="1"/>
  <c r="EH20" i="1"/>
  <c r="EF20" i="1"/>
  <c r="ED20" i="1"/>
  <c r="DZ20" i="1"/>
  <c r="DX20" i="1"/>
  <c r="DV20" i="1"/>
  <c r="DR20" i="1"/>
  <c r="DN20" i="1"/>
  <c r="CP20" i="1"/>
  <c r="CN20" i="1"/>
  <c r="CB20" i="1"/>
  <c r="BZ20" i="1"/>
  <c r="BX20" i="1"/>
  <c r="BV20" i="1"/>
  <c r="BT20" i="1"/>
  <c r="BR20" i="1"/>
  <c r="BP20" i="1"/>
  <c r="BN20" i="1"/>
  <c r="BL20" i="1"/>
  <c r="BJ20" i="1"/>
  <c r="BH20" i="1"/>
  <c r="BF20" i="1"/>
  <c r="BD20" i="1"/>
  <c r="BB20" i="1"/>
  <c r="AZ20" i="1"/>
  <c r="AX20" i="1"/>
  <c r="AV20" i="1"/>
  <c r="AT20" i="1"/>
  <c r="AR20" i="1"/>
  <c r="AP20" i="1"/>
  <c r="AN20" i="1"/>
  <c r="AL20" i="1"/>
  <c r="AJ20" i="1"/>
  <c r="AH20" i="1"/>
  <c r="AF20" i="1"/>
  <c r="AB20" i="1"/>
  <c r="Z20" i="1"/>
  <c r="X20" i="1"/>
  <c r="V20" i="1"/>
  <c r="R20" i="1"/>
  <c r="P20" i="1"/>
  <c r="N20" i="1"/>
  <c r="L20" i="1"/>
  <c r="J20" i="1"/>
  <c r="H20" i="1"/>
  <c r="F20" i="1"/>
  <c r="IB18" i="1"/>
  <c r="IB20" i="1" s="1"/>
  <c r="HD18" i="1"/>
  <c r="HD20" i="1" s="1"/>
  <c r="GZ18" i="1"/>
  <c r="GZ20" i="1" s="1"/>
  <c r="GV18" i="1"/>
  <c r="GV20" i="1" s="1"/>
  <c r="GP18" i="1"/>
  <c r="GP20" i="1" s="1"/>
  <c r="GD18" i="1"/>
  <c r="GD20" i="1" s="1"/>
  <c r="FT18" i="1"/>
  <c r="FT20" i="1" s="1"/>
  <c r="EP18" i="1"/>
  <c r="EP20" i="1" s="1"/>
  <c r="EJ18" i="1"/>
  <c r="EJ20" i="1" s="1"/>
  <c r="DP18" i="1"/>
  <c r="DP20" i="1" s="1"/>
  <c r="CV18" i="1"/>
  <c r="CV20" i="1" s="1"/>
  <c r="CT18" i="1"/>
  <c r="CT20" i="1" s="1"/>
  <c r="T18" i="1"/>
  <c r="T20" i="1" s="1"/>
  <c r="K354" i="22"/>
  <c r="J370" i="22"/>
  <c r="J293" i="22"/>
  <c r="B92" i="22"/>
  <c r="I138" i="1" l="1"/>
  <c r="I136" i="1"/>
  <c r="I137" i="1"/>
  <c r="H249" i="1"/>
  <c r="FQ138" i="1"/>
  <c r="AW144" i="1"/>
  <c r="AW143" i="1"/>
  <c r="AW147" i="1"/>
  <c r="AW145" i="1"/>
  <c r="CV123" i="1"/>
  <c r="BM275" i="1"/>
  <c r="BL279" i="1"/>
  <c r="BM273" i="1"/>
  <c r="BL277" i="1"/>
  <c r="BM268" i="1"/>
  <c r="BM269" i="1"/>
  <c r="BM272" i="1"/>
  <c r="DN122" i="1"/>
  <c r="DN164" i="1"/>
  <c r="HR75" i="1"/>
  <c r="GB123" i="1"/>
  <c r="GR123" i="1"/>
  <c r="GZ121" i="1"/>
  <c r="AX121" i="1"/>
  <c r="HN121" i="1"/>
  <c r="DO132" i="1"/>
  <c r="AN152" i="1"/>
  <c r="AO132" i="1"/>
  <c r="AO135" i="1"/>
  <c r="AO138" i="1"/>
  <c r="AO140" i="1"/>
  <c r="BK137" i="1"/>
  <c r="BK136" i="1"/>
  <c r="BK132" i="1"/>
  <c r="BK135" i="1"/>
  <c r="BK140" i="1"/>
  <c r="BK133" i="1"/>
  <c r="FV152" i="1"/>
  <c r="FW132" i="1"/>
  <c r="FW131" i="1"/>
  <c r="FW138" i="1"/>
  <c r="FW134" i="1"/>
  <c r="FW140" i="1"/>
  <c r="FW136" i="1"/>
  <c r="FW135" i="1"/>
  <c r="GW148" i="1"/>
  <c r="GW145" i="1"/>
  <c r="GW144" i="1"/>
  <c r="GW150" i="1"/>
  <c r="GW146" i="1"/>
  <c r="BF249" i="1"/>
  <c r="DN249" i="1"/>
  <c r="BB277" i="1"/>
  <c r="BC272" i="1"/>
  <c r="BC271" i="1"/>
  <c r="BC270" i="1"/>
  <c r="BC269" i="1"/>
  <c r="BC273" i="1"/>
  <c r="BC275" i="1"/>
  <c r="BC268" i="1"/>
  <c r="H123" i="1"/>
  <c r="ER123" i="1"/>
  <c r="BH173" i="1"/>
  <c r="BH162" i="1"/>
  <c r="L123" i="1"/>
  <c r="AB123" i="1"/>
  <c r="AR123" i="1"/>
  <c r="BH123" i="1"/>
  <c r="BX123" i="1"/>
  <c r="DP123" i="1"/>
  <c r="EF123" i="1"/>
  <c r="EX123" i="1"/>
  <c r="FN123" i="1"/>
  <c r="GD123" i="1"/>
  <c r="GT123" i="1"/>
  <c r="HJ123" i="1"/>
  <c r="HJ121" i="1"/>
  <c r="FH114" i="1"/>
  <c r="CN121" i="1"/>
  <c r="F122" i="1"/>
  <c r="FF122" i="1"/>
  <c r="DO137" i="1"/>
  <c r="AQ132" i="1"/>
  <c r="AQ135" i="1"/>
  <c r="AQ134" i="1"/>
  <c r="HM292" i="1"/>
  <c r="HM290" i="1"/>
  <c r="HM291" i="1"/>
  <c r="HM289" i="1"/>
  <c r="L298" i="1"/>
  <c r="M291" i="1"/>
  <c r="M289" i="1"/>
  <c r="M292" i="1"/>
  <c r="M290" i="1"/>
  <c r="M293" i="1"/>
  <c r="AB298" i="1"/>
  <c r="AC294" i="1"/>
  <c r="AC289" i="1"/>
  <c r="AC291" i="1"/>
  <c r="AC290" i="1"/>
  <c r="AC292" i="1"/>
  <c r="AC293" i="1"/>
  <c r="AT298" i="1"/>
  <c r="AU289" i="1"/>
  <c r="AU291" i="1"/>
  <c r="AU290" i="1"/>
  <c r="BK289" i="1"/>
  <c r="BK291" i="1"/>
  <c r="BK290" i="1"/>
  <c r="CA289" i="1"/>
  <c r="BZ298" i="1"/>
  <c r="CA291" i="1"/>
  <c r="CA290" i="1"/>
  <c r="EK291" i="1"/>
  <c r="EK294" i="1"/>
  <c r="EK292" i="1"/>
  <c r="EK289" i="1"/>
  <c r="EK290" i="1"/>
  <c r="FC296" i="1"/>
  <c r="FB298" i="1"/>
  <c r="FC291" i="1"/>
  <c r="FC293" i="1"/>
  <c r="FC289" i="1"/>
  <c r="FB300" i="1"/>
  <c r="FC294" i="1"/>
  <c r="FC292" i="1"/>
  <c r="FC290" i="1"/>
  <c r="FS296" i="1"/>
  <c r="FS292" i="1"/>
  <c r="FR300" i="1"/>
  <c r="FS289" i="1"/>
  <c r="FS291" i="1"/>
  <c r="FS293" i="1"/>
  <c r="FS294" i="1"/>
  <c r="FS290" i="1"/>
  <c r="FR298" i="1"/>
  <c r="GK296" i="1"/>
  <c r="GK294" i="1"/>
  <c r="GK293" i="1"/>
  <c r="GK289" i="1"/>
  <c r="GK292" i="1"/>
  <c r="GK291" i="1"/>
  <c r="GK290" i="1"/>
  <c r="HA296" i="1"/>
  <c r="HA294" i="1"/>
  <c r="HA289" i="1"/>
  <c r="HA293" i="1"/>
  <c r="HA291" i="1"/>
  <c r="HA290" i="1"/>
  <c r="HA292" i="1"/>
  <c r="BJ298" i="1"/>
  <c r="X123" i="1"/>
  <c r="L51" i="1"/>
  <c r="L52" i="1" s="1"/>
  <c r="N123" i="1"/>
  <c r="AT123" i="1"/>
  <c r="BJ123" i="1"/>
  <c r="DR123" i="1"/>
  <c r="EH123" i="1"/>
  <c r="EZ123" i="1"/>
  <c r="FP123" i="1"/>
  <c r="GF123" i="1"/>
  <c r="GV123" i="1"/>
  <c r="HL123" i="1"/>
  <c r="IB123" i="1"/>
  <c r="HL121" i="1"/>
  <c r="DV121" i="1"/>
  <c r="DO131" i="1"/>
  <c r="GC144" i="1"/>
  <c r="GC147" i="1"/>
  <c r="GC143" i="1"/>
  <c r="GC148" i="1"/>
  <c r="GC145" i="1"/>
  <c r="AH279" i="1"/>
  <c r="AI275" i="1"/>
  <c r="AI271" i="1"/>
  <c r="AI272" i="1"/>
  <c r="AI273" i="1"/>
  <c r="AI270" i="1"/>
  <c r="AI269" i="1"/>
  <c r="AI268" i="1"/>
  <c r="BT123" i="1"/>
  <c r="P123" i="1"/>
  <c r="AF123" i="1"/>
  <c r="AV123" i="1"/>
  <c r="BL123" i="1"/>
  <c r="CB123" i="1"/>
  <c r="EJ123" i="1"/>
  <c r="FB123" i="1"/>
  <c r="FR123" i="1"/>
  <c r="GH123" i="1"/>
  <c r="GX123" i="1"/>
  <c r="HN123" i="1"/>
  <c r="BN121" i="1"/>
  <c r="EL121" i="1"/>
  <c r="R238" i="1"/>
  <c r="R207" i="1"/>
  <c r="BN238" i="1"/>
  <c r="BN207" i="1"/>
  <c r="DV238" i="1"/>
  <c r="DV207" i="1"/>
  <c r="FB238" i="1"/>
  <c r="FB207" i="1"/>
  <c r="FR238" i="1"/>
  <c r="FR207" i="1"/>
  <c r="GH238" i="1"/>
  <c r="GH207" i="1"/>
  <c r="GX238" i="1"/>
  <c r="GX245" i="1" s="1"/>
  <c r="GX207" i="1"/>
  <c r="HN238" i="1"/>
  <c r="HN207" i="1"/>
  <c r="AN123" i="1"/>
  <c r="FB122" i="1"/>
  <c r="FB160" i="1"/>
  <c r="R123" i="1"/>
  <c r="AH123" i="1"/>
  <c r="AX123" i="1"/>
  <c r="BN123" i="1"/>
  <c r="CN123" i="1"/>
  <c r="DV123" i="1"/>
  <c r="EL123" i="1"/>
  <c r="FD123" i="1"/>
  <c r="FT123" i="1"/>
  <c r="GJ123" i="1"/>
  <c r="GZ123" i="1"/>
  <c r="EX121" i="1"/>
  <c r="FB121" i="1"/>
  <c r="DO129" i="1"/>
  <c r="AO136" i="1"/>
  <c r="AF152" i="1"/>
  <c r="AG136" i="1"/>
  <c r="AG140" i="1"/>
  <c r="BS135" i="1"/>
  <c r="BS138" i="1"/>
  <c r="BS131" i="1"/>
  <c r="BS134" i="1"/>
  <c r="BS133" i="1"/>
  <c r="BS140" i="1"/>
  <c r="HC134" i="1"/>
  <c r="HC136" i="1"/>
  <c r="HC135" i="1"/>
  <c r="HC133" i="1"/>
  <c r="HC132" i="1"/>
  <c r="HC140" i="1"/>
  <c r="HC137" i="1"/>
  <c r="CO144" i="1"/>
  <c r="CO143" i="1"/>
  <c r="BM270" i="1"/>
  <c r="EV123" i="1"/>
  <c r="T123" i="1"/>
  <c r="AJ123" i="1"/>
  <c r="AZ123" i="1"/>
  <c r="BP123" i="1"/>
  <c r="CP123" i="1"/>
  <c r="DX123" i="1"/>
  <c r="EN123" i="1"/>
  <c r="FF123" i="1"/>
  <c r="FV123" i="1"/>
  <c r="GL123" i="1"/>
  <c r="HB123" i="1"/>
  <c r="HR123" i="1"/>
  <c r="FH121" i="1"/>
  <c r="FR121" i="1"/>
  <c r="DO133" i="1"/>
  <c r="BW135" i="1"/>
  <c r="BW131" i="1"/>
  <c r="BW133" i="1"/>
  <c r="BW132" i="1"/>
  <c r="AW146" i="1"/>
  <c r="AG148" i="1"/>
  <c r="AG147" i="1"/>
  <c r="AG145" i="1"/>
  <c r="AG143" i="1"/>
  <c r="AG146" i="1"/>
  <c r="AG144" i="1"/>
  <c r="FS143" i="1"/>
  <c r="FS148" i="1"/>
  <c r="FS145" i="1"/>
  <c r="FS146" i="1"/>
  <c r="FS144" i="1"/>
  <c r="EL207" i="1"/>
  <c r="BM271" i="1"/>
  <c r="BD123" i="1"/>
  <c r="F123" i="1"/>
  <c r="V123" i="1"/>
  <c r="AL123" i="1"/>
  <c r="BB123" i="1"/>
  <c r="BR123" i="1"/>
  <c r="CT123" i="1"/>
  <c r="DZ123" i="1"/>
  <c r="EP123" i="1"/>
  <c r="FH123" i="1"/>
  <c r="FX123" i="1"/>
  <c r="GN123" i="1"/>
  <c r="HD123" i="1"/>
  <c r="AJ122" i="1"/>
  <c r="GD121" i="1"/>
  <c r="R121" i="1"/>
  <c r="GH121" i="1"/>
  <c r="GF161" i="1"/>
  <c r="GN152" i="1"/>
  <c r="GN181" i="1" s="1"/>
  <c r="GO133" i="1"/>
  <c r="GO132" i="1"/>
  <c r="GO131" i="1"/>
  <c r="GO138" i="1"/>
  <c r="GO137" i="1"/>
  <c r="GO140" i="1"/>
  <c r="FH227" i="1"/>
  <c r="FI227" i="1" s="1"/>
  <c r="FI224" i="1"/>
  <c r="CW132" i="1"/>
  <c r="EO132" i="1"/>
  <c r="CW133" i="1"/>
  <c r="CW134" i="1"/>
  <c r="EO136" i="1"/>
  <c r="FE137" i="1"/>
  <c r="EO138" i="1"/>
  <c r="CW140" i="1"/>
  <c r="FU147" i="1"/>
  <c r="GU147" i="1"/>
  <c r="EI150" i="1"/>
  <c r="HE150" i="1"/>
  <c r="BD249" i="1"/>
  <c r="ER249" i="1"/>
  <c r="FH249" i="1"/>
  <c r="FX249" i="1"/>
  <c r="BA220" i="1"/>
  <c r="EO220" i="1"/>
  <c r="T222" i="1"/>
  <c r="U222" i="1" s="1"/>
  <c r="AZ222" i="1"/>
  <c r="BA222" i="1" s="1"/>
  <c r="CP222" i="1"/>
  <c r="CQ222" i="1" s="1"/>
  <c r="FT222" i="1"/>
  <c r="FU222" i="1" s="1"/>
  <c r="FU225" i="1"/>
  <c r="FE225" i="1"/>
  <c r="J277" i="1"/>
  <c r="K270" i="1"/>
  <c r="K269" i="1"/>
  <c r="T277" i="1"/>
  <c r="U272" i="1"/>
  <c r="U271" i="1"/>
  <c r="U275" i="1"/>
  <c r="U273" i="1"/>
  <c r="U270" i="1"/>
  <c r="U269" i="1"/>
  <c r="AZ277" i="1"/>
  <c r="BA275" i="1"/>
  <c r="BA272" i="1"/>
  <c r="BA271" i="1"/>
  <c r="BV277" i="1"/>
  <c r="BW272" i="1"/>
  <c r="BW271" i="1"/>
  <c r="BW273" i="1"/>
  <c r="CP277" i="1"/>
  <c r="CQ272" i="1"/>
  <c r="CQ271" i="1"/>
  <c r="EH277" i="1"/>
  <c r="EI270" i="1"/>
  <c r="EI275" i="1"/>
  <c r="EI273" i="1"/>
  <c r="EV279" i="1"/>
  <c r="EW275" i="1"/>
  <c r="EV277" i="1"/>
  <c r="EW272" i="1"/>
  <c r="EW271" i="1"/>
  <c r="CW135" i="1"/>
  <c r="EO137" i="1"/>
  <c r="CW138" i="1"/>
  <c r="V152" i="1"/>
  <c r="AR249" i="1"/>
  <c r="IB249" i="1"/>
  <c r="AB222" i="1"/>
  <c r="AC222" i="1" s="1"/>
  <c r="DP222" i="1"/>
  <c r="DQ222" i="1" s="1"/>
  <c r="GB222" i="1"/>
  <c r="GC222" i="1" s="1"/>
  <c r="HJ222" i="1"/>
  <c r="HK222" i="1" s="1"/>
  <c r="AJ277" i="1"/>
  <c r="AJ279" i="1"/>
  <c r="AK272" i="1"/>
  <c r="AK271" i="1"/>
  <c r="BX279" i="1"/>
  <c r="BX277" i="1"/>
  <c r="BY270" i="1"/>
  <c r="BY269" i="1"/>
  <c r="BY273" i="1"/>
  <c r="BY275" i="1"/>
  <c r="EL279" i="1"/>
  <c r="EM275" i="1"/>
  <c r="EM270" i="1"/>
  <c r="EM269" i="1"/>
  <c r="FV277" i="1"/>
  <c r="FW269" i="1"/>
  <c r="FW268" i="1"/>
  <c r="FW273" i="1"/>
  <c r="FW275" i="1"/>
  <c r="GS275" i="1"/>
  <c r="GR279" i="1"/>
  <c r="DW296" i="1"/>
  <c r="DW292" i="1"/>
  <c r="DV298" i="1"/>
  <c r="DW289" i="1"/>
  <c r="DW293" i="1"/>
  <c r="DV300" i="1"/>
  <c r="DW294" i="1"/>
  <c r="EO296" i="1"/>
  <c r="EO294" i="1"/>
  <c r="EO289" i="1"/>
  <c r="EO292" i="1"/>
  <c r="FE296" i="1"/>
  <c r="FE291" i="1"/>
  <c r="FE293" i="1"/>
  <c r="FE289" i="1"/>
  <c r="FE294" i="1"/>
  <c r="FU296" i="1"/>
  <c r="FU292" i="1"/>
  <c r="FU289" i="1"/>
  <c r="FU291" i="1"/>
  <c r="FU293" i="1"/>
  <c r="HC294" i="1"/>
  <c r="HC289" i="1"/>
  <c r="FE133" i="1"/>
  <c r="EO134" i="1"/>
  <c r="FE135" i="1"/>
  <c r="FI140" i="1"/>
  <c r="FX169" i="1"/>
  <c r="CW147" i="1"/>
  <c r="CW148" i="1"/>
  <c r="HK150" i="1"/>
  <c r="BD152" i="1"/>
  <c r="BD181" i="1" s="1"/>
  <c r="N249" i="1"/>
  <c r="HN249" i="1"/>
  <c r="G220" i="1"/>
  <c r="BY220" i="1"/>
  <c r="BJ222" i="1"/>
  <c r="BK222" i="1" s="1"/>
  <c r="DR222" i="1"/>
  <c r="DS222" i="1" s="1"/>
  <c r="GD222" i="1"/>
  <c r="GE222" i="1" s="1"/>
  <c r="BU272" i="1"/>
  <c r="EW273" i="1"/>
  <c r="AK275" i="1"/>
  <c r="BD277" i="1"/>
  <c r="BE270" i="1"/>
  <c r="BE273" i="1"/>
  <c r="BO275" i="1"/>
  <c r="AZ279" i="1"/>
  <c r="EO291" i="1"/>
  <c r="FE136" i="1"/>
  <c r="I140" i="1"/>
  <c r="FY140" i="1"/>
  <c r="HK148" i="1"/>
  <c r="FT152" i="1"/>
  <c r="FT181" i="1" s="1"/>
  <c r="CQ220" i="1"/>
  <c r="AJ222" i="1"/>
  <c r="AK222" i="1" s="1"/>
  <c r="BP222" i="1"/>
  <c r="BQ222" i="1" s="1"/>
  <c r="DX222" i="1"/>
  <c r="DY222" i="1" s="1"/>
  <c r="GJ222" i="1"/>
  <c r="GK222" i="1" s="1"/>
  <c r="BU271" i="1"/>
  <c r="BY272" i="1"/>
  <c r="FW272" i="1"/>
  <c r="GO272" i="1"/>
  <c r="N277" i="1"/>
  <c r="O275" i="1"/>
  <c r="AL277" i="1"/>
  <c r="AM272" i="1"/>
  <c r="AM271" i="1"/>
  <c r="AM273" i="1"/>
  <c r="AM270" i="1"/>
  <c r="AM269" i="1"/>
  <c r="BF277" i="1"/>
  <c r="BG272" i="1"/>
  <c r="BG271" i="1"/>
  <c r="BG273" i="1"/>
  <c r="BG275" i="1"/>
  <c r="CV277" i="1"/>
  <c r="CW270" i="1"/>
  <c r="DZ277" i="1"/>
  <c r="EA275" i="1"/>
  <c r="FD277" i="1"/>
  <c r="FD279" i="1"/>
  <c r="FE272" i="1"/>
  <c r="FE271" i="1"/>
  <c r="FE270" i="1"/>
  <c r="FE273" i="1"/>
  <c r="FE275" i="1"/>
  <c r="FZ277" i="1"/>
  <c r="GA275" i="1"/>
  <c r="GW275" i="1"/>
  <c r="GV279" i="1"/>
  <c r="GW272" i="1"/>
  <c r="GW271" i="1"/>
  <c r="GW270" i="1"/>
  <c r="GV277" i="1"/>
  <c r="GW269" i="1"/>
  <c r="IC275" i="1"/>
  <c r="IB277" i="1"/>
  <c r="IB279" i="1"/>
  <c r="IC272" i="1"/>
  <c r="IC271" i="1"/>
  <c r="IC270" i="1"/>
  <c r="IC269" i="1"/>
  <c r="IC268" i="1"/>
  <c r="GM294" i="1"/>
  <c r="CW136" i="1"/>
  <c r="AL181" i="1"/>
  <c r="BI148" i="1"/>
  <c r="GO150" i="1"/>
  <c r="FR249" i="1"/>
  <c r="GH249" i="1"/>
  <c r="GZ249" i="1"/>
  <c r="AM220" i="1"/>
  <c r="DQ220" i="1"/>
  <c r="F222" i="1"/>
  <c r="G222" i="1" s="1"/>
  <c r="AL222" i="1"/>
  <c r="AM222" i="1" s="1"/>
  <c r="BR222" i="1"/>
  <c r="BS222" i="1" s="1"/>
  <c r="DZ222" i="1"/>
  <c r="EA222" i="1" s="1"/>
  <c r="FF222" i="1"/>
  <c r="FG222" i="1" s="1"/>
  <c r="H227" i="1"/>
  <c r="I227" i="1" s="1"/>
  <c r="GS225" i="1"/>
  <c r="BY268" i="1"/>
  <c r="FW270" i="1"/>
  <c r="GO270" i="1"/>
  <c r="BY271" i="1"/>
  <c r="FW271" i="1"/>
  <c r="GO271" i="1"/>
  <c r="K272" i="1"/>
  <c r="Q275" i="1"/>
  <c r="P279" i="1"/>
  <c r="P277" i="1"/>
  <c r="AB279" i="1"/>
  <c r="AB277" i="1"/>
  <c r="AC270" i="1"/>
  <c r="AC269" i="1"/>
  <c r="AM275" i="1"/>
  <c r="AW275" i="1"/>
  <c r="AV279" i="1"/>
  <c r="AV277" i="1"/>
  <c r="EQ275" i="1"/>
  <c r="FQ275" i="1"/>
  <c r="FP279" i="1"/>
  <c r="FP277" i="1"/>
  <c r="FQ272" i="1"/>
  <c r="FQ271" i="1"/>
  <c r="FQ270" i="1"/>
  <c r="FQ269" i="1"/>
  <c r="GX279" i="1"/>
  <c r="GY275" i="1"/>
  <c r="DW291" i="1"/>
  <c r="FE132" i="1"/>
  <c r="EO133" i="1"/>
  <c r="AM140" i="1"/>
  <c r="EI146" i="1"/>
  <c r="EI147" i="1"/>
  <c r="BK148" i="1"/>
  <c r="EN249" i="1"/>
  <c r="FD249" i="1"/>
  <c r="HB249" i="1"/>
  <c r="DY220" i="1"/>
  <c r="L222" i="1"/>
  <c r="M222" i="1" s="1"/>
  <c r="AR222" i="1"/>
  <c r="AS222" i="1" s="1"/>
  <c r="BX222" i="1"/>
  <c r="BY222" i="1" s="1"/>
  <c r="EF222" i="1"/>
  <c r="EG222" i="1" s="1"/>
  <c r="GT222" i="1"/>
  <c r="GU222" i="1" s="1"/>
  <c r="X227" i="1"/>
  <c r="Y227" i="1" s="1"/>
  <c r="FT227" i="1"/>
  <c r="FU227" i="1" s="1"/>
  <c r="EM268" i="1"/>
  <c r="AK269" i="1"/>
  <c r="AK270" i="1"/>
  <c r="K271" i="1"/>
  <c r="GS272" i="1"/>
  <c r="O273" i="1"/>
  <c r="AK273" i="1"/>
  <c r="CW273" i="1"/>
  <c r="R279" i="1"/>
  <c r="S272" i="1"/>
  <c r="S271" i="1"/>
  <c r="BR277" i="1"/>
  <c r="BS275" i="1"/>
  <c r="BS272" i="1"/>
  <c r="BS271" i="1"/>
  <c r="BS270" i="1"/>
  <c r="BS269" i="1"/>
  <c r="CN279" i="1"/>
  <c r="CO273" i="1"/>
  <c r="GD277" i="1"/>
  <c r="GE272" i="1"/>
  <c r="GE271" i="1"/>
  <c r="GE270" i="1"/>
  <c r="GR277" i="1"/>
  <c r="CP279" i="1"/>
  <c r="DW290" i="1"/>
  <c r="EO290" i="1"/>
  <c r="FE290" i="1"/>
  <c r="FU290" i="1"/>
  <c r="GM290" i="1"/>
  <c r="HC290" i="1"/>
  <c r="FU294" i="1"/>
  <c r="AS220" i="1"/>
  <c r="EG220" i="1"/>
  <c r="N222" i="1"/>
  <c r="O222" i="1" s="1"/>
  <c r="BO273" i="1"/>
  <c r="H277" i="1"/>
  <c r="I273" i="1"/>
  <c r="I272" i="1"/>
  <c r="I271" i="1"/>
  <c r="BT277" i="1"/>
  <c r="BU270" i="1"/>
  <c r="HJ277" i="1"/>
  <c r="HK275" i="1"/>
  <c r="HK272" i="1"/>
  <c r="HK271" i="1"/>
  <c r="HK270" i="1"/>
  <c r="EG269" i="1"/>
  <c r="FA269" i="1"/>
  <c r="EG270" i="1"/>
  <c r="GU270" i="1"/>
  <c r="GU271" i="1"/>
  <c r="GU272" i="1"/>
  <c r="FC273" i="1"/>
  <c r="FU273" i="1"/>
  <c r="GM273" i="1"/>
  <c r="EJ277" i="1"/>
  <c r="EJ279" i="1"/>
  <c r="GF279" i="1"/>
  <c r="I290" i="1"/>
  <c r="AA290" i="1"/>
  <c r="AS290" i="1"/>
  <c r="BI291" i="1"/>
  <c r="I292" i="1"/>
  <c r="EG292" i="1"/>
  <c r="GI292" i="1"/>
  <c r="K293" i="1"/>
  <c r="BI293" i="1"/>
  <c r="DQ293" i="1"/>
  <c r="GY293" i="1"/>
  <c r="AS294" i="1"/>
  <c r="EY294" i="1"/>
  <c r="BN298" i="1"/>
  <c r="GH298" i="1"/>
  <c r="EG271" i="1"/>
  <c r="FA271" i="1"/>
  <c r="HM271" i="1"/>
  <c r="EG272" i="1"/>
  <c r="FA272" i="1"/>
  <c r="HM272" i="1"/>
  <c r="DS273" i="1"/>
  <c r="BH277" i="1"/>
  <c r="EN279" i="1"/>
  <c r="GJ279" i="1"/>
  <c r="K290" i="1"/>
  <c r="K292" i="1"/>
  <c r="BG292" i="1"/>
  <c r="EY293" i="1"/>
  <c r="K294" i="1"/>
  <c r="GY294" i="1"/>
  <c r="GX298" i="1"/>
  <c r="BI292" i="1"/>
  <c r="DQ292" i="1"/>
  <c r="HO292" i="1"/>
  <c r="BI294" i="1"/>
  <c r="EG294" i="1"/>
  <c r="DR298" i="1"/>
  <c r="DS269" i="1"/>
  <c r="GM269" i="1"/>
  <c r="DS270" i="1"/>
  <c r="FU270" i="1"/>
  <c r="FU271" i="1"/>
  <c r="FU272" i="1"/>
  <c r="EO273" i="1"/>
  <c r="FK273" i="1"/>
  <c r="GC273" i="1"/>
  <c r="GU273" i="1"/>
  <c r="HM273" i="1"/>
  <c r="L277" i="1"/>
  <c r="I289" i="1"/>
  <c r="AA289" i="1"/>
  <c r="AS289" i="1"/>
  <c r="FA291" i="1"/>
  <c r="HO291" i="1"/>
  <c r="BW293" i="1"/>
  <c r="GI293" i="1"/>
  <c r="AA294" i="1"/>
  <c r="HN298" i="1"/>
  <c r="GH300" i="1"/>
  <c r="GX300" i="1"/>
  <c r="EO275" i="1"/>
  <c r="FK275" i="1"/>
  <c r="GC275" i="1"/>
  <c r="GU275" i="1"/>
  <c r="HN300" i="1"/>
  <c r="CA129" i="1"/>
  <c r="CA135" i="1"/>
  <c r="CA140" i="1"/>
  <c r="BZ123" i="1"/>
  <c r="CA138" i="1"/>
  <c r="CA130" i="1"/>
  <c r="CA131" i="1"/>
  <c r="CA133" i="1"/>
  <c r="CA136" i="1"/>
  <c r="CA134" i="1"/>
  <c r="CA137" i="1"/>
  <c r="EO146" i="1"/>
  <c r="EO147" i="1"/>
  <c r="EO143" i="1"/>
  <c r="EO145" i="1"/>
  <c r="EO148" i="1"/>
  <c r="EN152" i="1"/>
  <c r="EN181" i="1" s="1"/>
  <c r="CN169" i="1"/>
  <c r="CN152" i="1"/>
  <c r="CN181" i="1" s="1"/>
  <c r="CO134" i="1"/>
  <c r="CO133" i="1"/>
  <c r="CO135" i="1"/>
  <c r="CO138" i="1"/>
  <c r="CO136" i="1"/>
  <c r="CO140" i="1"/>
  <c r="CO131" i="1"/>
  <c r="CO130" i="1"/>
  <c r="CO132" i="1"/>
  <c r="HL158" i="1"/>
  <c r="HL138" i="1"/>
  <c r="X167" i="1"/>
  <c r="CO147" i="1"/>
  <c r="CO148" i="1"/>
  <c r="CO145" i="1"/>
  <c r="CN179" i="1"/>
  <c r="CO150" i="1"/>
  <c r="F192" i="1"/>
  <c r="F176" i="1"/>
  <c r="F172" i="1"/>
  <c r="F165" i="1"/>
  <c r="F177" i="1"/>
  <c r="F173" i="1"/>
  <c r="F166" i="1"/>
  <c r="F174" i="1"/>
  <c r="F162" i="1"/>
  <c r="F158" i="1"/>
  <c r="F159" i="1"/>
  <c r="F163" i="1"/>
  <c r="F160" i="1"/>
  <c r="F161" i="1"/>
  <c r="F164" i="1"/>
  <c r="V192" i="1"/>
  <c r="V176" i="1"/>
  <c r="V172" i="1"/>
  <c r="V165" i="1"/>
  <c r="V177" i="1"/>
  <c r="V173" i="1"/>
  <c r="V166" i="1"/>
  <c r="V174" i="1"/>
  <c r="V167" i="1"/>
  <c r="V175" i="1"/>
  <c r="V162" i="1"/>
  <c r="V158" i="1"/>
  <c r="V164" i="1"/>
  <c r="V159" i="1"/>
  <c r="V160" i="1"/>
  <c r="V163" i="1"/>
  <c r="V161" i="1"/>
  <c r="AL192" i="1"/>
  <c r="AL176" i="1"/>
  <c r="AL172" i="1"/>
  <c r="AL165" i="1"/>
  <c r="AL177" i="1"/>
  <c r="AL173" i="1"/>
  <c r="AL166" i="1"/>
  <c r="AL174" i="1"/>
  <c r="AL167" i="1"/>
  <c r="AL175" i="1"/>
  <c r="AL162" i="1"/>
  <c r="AL158" i="1"/>
  <c r="AL159" i="1"/>
  <c r="AL164" i="1"/>
  <c r="AL160" i="1"/>
  <c r="AL161" i="1"/>
  <c r="AL163" i="1"/>
  <c r="BB192" i="1"/>
  <c r="BB176" i="1"/>
  <c r="BB172" i="1"/>
  <c r="BB165" i="1"/>
  <c r="BB177" i="1"/>
  <c r="BB173" i="1"/>
  <c r="BB166" i="1"/>
  <c r="BB174" i="1"/>
  <c r="BB162" i="1"/>
  <c r="BB158" i="1"/>
  <c r="BB163" i="1"/>
  <c r="BB159" i="1"/>
  <c r="BB160" i="1"/>
  <c r="BB164" i="1"/>
  <c r="BR192" i="1"/>
  <c r="BR177" i="1"/>
  <c r="BR176" i="1"/>
  <c r="BR172" i="1"/>
  <c r="BR165" i="1"/>
  <c r="BR173" i="1"/>
  <c r="BR166" i="1"/>
  <c r="BR174" i="1"/>
  <c r="BR167" i="1"/>
  <c r="BR162" i="1"/>
  <c r="BR158" i="1"/>
  <c r="BR159" i="1"/>
  <c r="BR163" i="1"/>
  <c r="BR160" i="1"/>
  <c r="BR164" i="1"/>
  <c r="BR161" i="1"/>
  <c r="CT192" i="1"/>
  <c r="CT177" i="1"/>
  <c r="CT176" i="1"/>
  <c r="CT172" i="1"/>
  <c r="CT165" i="1"/>
  <c r="CT173" i="1"/>
  <c r="CT166" i="1"/>
  <c r="CT174" i="1"/>
  <c r="CT167" i="1"/>
  <c r="CT175" i="1"/>
  <c r="CT162" i="1"/>
  <c r="CT158" i="1"/>
  <c r="CT164" i="1"/>
  <c r="CT159" i="1"/>
  <c r="CT160" i="1"/>
  <c r="CT161" i="1"/>
  <c r="CT163" i="1"/>
  <c r="DZ192" i="1"/>
  <c r="DZ177" i="1"/>
  <c r="DZ176" i="1"/>
  <c r="DZ172" i="1"/>
  <c r="DZ165" i="1"/>
  <c r="DZ173" i="1"/>
  <c r="DZ166" i="1"/>
  <c r="DZ174" i="1"/>
  <c r="DZ167" i="1"/>
  <c r="DZ162" i="1"/>
  <c r="DZ158" i="1"/>
  <c r="DZ159" i="1"/>
  <c r="DZ164" i="1"/>
  <c r="DZ160" i="1"/>
  <c r="DZ163" i="1"/>
  <c r="EP192" i="1"/>
  <c r="EP177" i="1"/>
  <c r="EP176" i="1"/>
  <c r="EP172" i="1"/>
  <c r="EP165" i="1"/>
  <c r="EP173" i="1"/>
  <c r="EP166" i="1"/>
  <c r="EP174" i="1"/>
  <c r="EP167" i="1"/>
  <c r="EP175" i="1"/>
  <c r="EP162" i="1"/>
  <c r="EP158" i="1"/>
  <c r="EP163" i="1"/>
  <c r="EP159" i="1"/>
  <c r="EP160" i="1"/>
  <c r="EP164" i="1"/>
  <c r="EP161" i="1"/>
  <c r="FF192" i="1"/>
  <c r="FF177" i="1"/>
  <c r="FF176" i="1"/>
  <c r="FF172" i="1"/>
  <c r="FF165" i="1"/>
  <c r="FF173" i="1"/>
  <c r="FF166" i="1"/>
  <c r="FF162" i="1"/>
  <c r="FF174" i="1"/>
  <c r="FF167" i="1"/>
  <c r="FF175" i="1"/>
  <c r="FF158" i="1"/>
  <c r="FF159" i="1"/>
  <c r="FF163" i="1"/>
  <c r="FF160" i="1"/>
  <c r="FF161" i="1"/>
  <c r="FF164" i="1"/>
  <c r="FV192" i="1"/>
  <c r="FV177" i="1"/>
  <c r="FV176" i="1"/>
  <c r="FV172" i="1"/>
  <c r="FV165" i="1"/>
  <c r="FV173" i="1"/>
  <c r="FV166" i="1"/>
  <c r="FV162" i="1"/>
  <c r="FV174" i="1"/>
  <c r="FV167" i="1"/>
  <c r="FV175" i="1"/>
  <c r="FV158" i="1"/>
  <c r="FV164" i="1"/>
  <c r="FV159" i="1"/>
  <c r="FV160" i="1"/>
  <c r="FV163" i="1"/>
  <c r="FV161" i="1"/>
  <c r="GL192" i="1"/>
  <c r="GL177" i="1"/>
  <c r="GL176" i="1"/>
  <c r="GL172" i="1"/>
  <c r="GL173" i="1"/>
  <c r="GL166" i="1"/>
  <c r="GL162" i="1"/>
  <c r="GL174" i="1"/>
  <c r="GL158" i="1"/>
  <c r="GL159" i="1"/>
  <c r="GL164" i="1"/>
  <c r="GL160" i="1"/>
  <c r="GL163" i="1"/>
  <c r="GL161" i="1"/>
  <c r="HB192" i="1"/>
  <c r="HB177" i="1"/>
  <c r="HB176" i="1"/>
  <c r="HB172" i="1"/>
  <c r="HB165" i="1"/>
  <c r="HB173" i="1"/>
  <c r="HB166" i="1"/>
  <c r="HB162" i="1"/>
  <c r="HB174" i="1"/>
  <c r="HB167" i="1"/>
  <c r="HB175" i="1"/>
  <c r="HB158" i="1"/>
  <c r="HB163" i="1"/>
  <c r="HB159" i="1"/>
  <c r="HB160" i="1"/>
  <c r="HB164" i="1"/>
  <c r="HR192" i="1"/>
  <c r="HR177" i="1"/>
  <c r="HR176" i="1"/>
  <c r="HR172" i="1"/>
  <c r="HR165" i="1"/>
  <c r="HR173" i="1"/>
  <c r="HR166" i="1"/>
  <c r="HR162" i="1"/>
  <c r="HR174" i="1"/>
  <c r="HR164" i="1"/>
  <c r="HR158" i="1"/>
  <c r="HR159" i="1"/>
  <c r="HR163" i="1"/>
  <c r="HR160" i="1"/>
  <c r="HR161" i="1"/>
  <c r="AJ104" i="1"/>
  <c r="FN114" i="1"/>
  <c r="FR115" i="1"/>
  <c r="AJ121" i="1"/>
  <c r="FH122" i="1"/>
  <c r="FN158" i="1"/>
  <c r="FN140" i="1"/>
  <c r="AA131" i="1"/>
  <c r="BN169" i="1"/>
  <c r="BN152" i="1"/>
  <c r="BN181" i="1" s="1"/>
  <c r="BO134" i="1"/>
  <c r="BO133" i="1"/>
  <c r="BO135" i="1"/>
  <c r="BO137" i="1"/>
  <c r="BO136" i="1"/>
  <c r="BO140" i="1"/>
  <c r="DN169" i="1"/>
  <c r="DN152" i="1"/>
  <c r="DN181" i="1" s="1"/>
  <c r="DO138" i="1"/>
  <c r="DO136" i="1"/>
  <c r="DO134" i="1"/>
  <c r="DO140" i="1"/>
  <c r="T179" i="1"/>
  <c r="U150" i="1"/>
  <c r="U148" i="1"/>
  <c r="U145" i="1"/>
  <c r="U144" i="1"/>
  <c r="AF159" i="1"/>
  <c r="GV160" i="1"/>
  <c r="ED162" i="1"/>
  <c r="FJ164" i="1"/>
  <c r="T192" i="1"/>
  <c r="T176" i="1"/>
  <c r="T172" i="1"/>
  <c r="T177" i="1"/>
  <c r="T173" i="1"/>
  <c r="T166" i="1"/>
  <c r="T165" i="1"/>
  <c r="T174" i="1"/>
  <c r="T162" i="1"/>
  <c r="T158" i="1"/>
  <c r="T164" i="1"/>
  <c r="T159" i="1"/>
  <c r="T160" i="1"/>
  <c r="T163" i="1"/>
  <c r="T161" i="1"/>
  <c r="CP192" i="1"/>
  <c r="CP176" i="1"/>
  <c r="CP172" i="1"/>
  <c r="CP173" i="1"/>
  <c r="CP166" i="1"/>
  <c r="CP175" i="1"/>
  <c r="CP174" i="1"/>
  <c r="CP162" i="1"/>
  <c r="CP158" i="1"/>
  <c r="CP164" i="1"/>
  <c r="CP159" i="1"/>
  <c r="CP165" i="1"/>
  <c r="CP177" i="1"/>
  <c r="CP161" i="1"/>
  <c r="CP167" i="1"/>
  <c r="CP163" i="1"/>
  <c r="FT192" i="1"/>
  <c r="FT176" i="1"/>
  <c r="FT172" i="1"/>
  <c r="FT173" i="1"/>
  <c r="FT166" i="1"/>
  <c r="FT175" i="1"/>
  <c r="FT165" i="1"/>
  <c r="FT174" i="1"/>
  <c r="FT158" i="1"/>
  <c r="FT164" i="1"/>
  <c r="FT162" i="1"/>
  <c r="FT159" i="1"/>
  <c r="FT167" i="1"/>
  <c r="FT163" i="1"/>
  <c r="FT160" i="1"/>
  <c r="FT161" i="1"/>
  <c r="DX179" i="1"/>
  <c r="H192" i="1"/>
  <c r="H177" i="1"/>
  <c r="H173" i="1"/>
  <c r="H166" i="1"/>
  <c r="H174" i="1"/>
  <c r="H167" i="1"/>
  <c r="H176" i="1"/>
  <c r="H175" i="1"/>
  <c r="H159" i="1"/>
  <c r="H163" i="1"/>
  <c r="H160" i="1"/>
  <c r="H165" i="1"/>
  <c r="H164" i="1"/>
  <c r="H162" i="1"/>
  <c r="H172" i="1"/>
  <c r="H158" i="1"/>
  <c r="X192" i="1"/>
  <c r="X177" i="1"/>
  <c r="X173" i="1"/>
  <c r="X166" i="1"/>
  <c r="X174" i="1"/>
  <c r="X164" i="1"/>
  <c r="X159" i="1"/>
  <c r="X160" i="1"/>
  <c r="X172" i="1"/>
  <c r="X163" i="1"/>
  <c r="X176" i="1"/>
  <c r="X165" i="1"/>
  <c r="AN192" i="1"/>
  <c r="AN177" i="1"/>
  <c r="AN173" i="1"/>
  <c r="AN166" i="1"/>
  <c r="AN174" i="1"/>
  <c r="AN167" i="1"/>
  <c r="AN159" i="1"/>
  <c r="AN172" i="1"/>
  <c r="AN165" i="1"/>
  <c r="AN164" i="1"/>
  <c r="AN160" i="1"/>
  <c r="AN176" i="1"/>
  <c r="AN161" i="1"/>
  <c r="AN163" i="1"/>
  <c r="AN162" i="1"/>
  <c r="AN158" i="1"/>
  <c r="AN175" i="1"/>
  <c r="BD192" i="1"/>
  <c r="BD177" i="1"/>
  <c r="BD173" i="1"/>
  <c r="BD166" i="1"/>
  <c r="BD174" i="1"/>
  <c r="BD167" i="1"/>
  <c r="BD172" i="1"/>
  <c r="BD163" i="1"/>
  <c r="BD159" i="1"/>
  <c r="BD176" i="1"/>
  <c r="BD175" i="1"/>
  <c r="BD160" i="1"/>
  <c r="BD164" i="1"/>
  <c r="BD165" i="1"/>
  <c r="BD162" i="1"/>
  <c r="BD158" i="1"/>
  <c r="BD161" i="1"/>
  <c r="BT192" i="1"/>
  <c r="BT173" i="1"/>
  <c r="BT166" i="1"/>
  <c r="BT177" i="1"/>
  <c r="BT174" i="1"/>
  <c r="BT176" i="1"/>
  <c r="BT165" i="1"/>
  <c r="BT159" i="1"/>
  <c r="BT163" i="1"/>
  <c r="BT160" i="1"/>
  <c r="BT172" i="1"/>
  <c r="BT164" i="1"/>
  <c r="BT162" i="1"/>
  <c r="CV192" i="1"/>
  <c r="CV173" i="1"/>
  <c r="CV166" i="1"/>
  <c r="CV174" i="1"/>
  <c r="CV167" i="1"/>
  <c r="CV177" i="1"/>
  <c r="CV164" i="1"/>
  <c r="CV159" i="1"/>
  <c r="CV165" i="1"/>
  <c r="CV160" i="1"/>
  <c r="CV172" i="1"/>
  <c r="CV163" i="1"/>
  <c r="CV176" i="1"/>
  <c r="CV161" i="1"/>
  <c r="CV162" i="1"/>
  <c r="CV158" i="1"/>
  <c r="CV175" i="1"/>
  <c r="ER192" i="1"/>
  <c r="ER177" i="1"/>
  <c r="ER173" i="1"/>
  <c r="ER166" i="1"/>
  <c r="ER174" i="1"/>
  <c r="ER172" i="1"/>
  <c r="ER163" i="1"/>
  <c r="ER165" i="1"/>
  <c r="ER159" i="1"/>
  <c r="ER176" i="1"/>
  <c r="ER160" i="1"/>
  <c r="ER164" i="1"/>
  <c r="ER161" i="1"/>
  <c r="ER162" i="1"/>
  <c r="ER158" i="1"/>
  <c r="FH192" i="1"/>
  <c r="FH173" i="1"/>
  <c r="FH166" i="1"/>
  <c r="FH177" i="1"/>
  <c r="FH174" i="1"/>
  <c r="FH167" i="1"/>
  <c r="FH176" i="1"/>
  <c r="FH162" i="1"/>
  <c r="FH175" i="1"/>
  <c r="FH159" i="1"/>
  <c r="FH163" i="1"/>
  <c r="FH160" i="1"/>
  <c r="FH165" i="1"/>
  <c r="FH164" i="1"/>
  <c r="FH158" i="1"/>
  <c r="FH172" i="1"/>
  <c r="FX192" i="1"/>
  <c r="FX177" i="1"/>
  <c r="FX173" i="1"/>
  <c r="FX166" i="1"/>
  <c r="FX174" i="1"/>
  <c r="FX167" i="1"/>
  <c r="FX164" i="1"/>
  <c r="FX162" i="1"/>
  <c r="FX159" i="1"/>
  <c r="FX160" i="1"/>
  <c r="FX172" i="1"/>
  <c r="FX163" i="1"/>
  <c r="FX176" i="1"/>
  <c r="FX158" i="1"/>
  <c r="FX175" i="1"/>
  <c r="FX161" i="1"/>
  <c r="FX165" i="1"/>
  <c r="GN192" i="1"/>
  <c r="GN177" i="1"/>
  <c r="GN173" i="1"/>
  <c r="GN166" i="1"/>
  <c r="GN174" i="1"/>
  <c r="GN167" i="1"/>
  <c r="GN159" i="1"/>
  <c r="GN172" i="1"/>
  <c r="GN165" i="1"/>
  <c r="GN164" i="1"/>
  <c r="GN162" i="1"/>
  <c r="GN160" i="1"/>
  <c r="GN176" i="1"/>
  <c r="GN163" i="1"/>
  <c r="GN161" i="1"/>
  <c r="GN175" i="1"/>
  <c r="GN158" i="1"/>
  <c r="HD192" i="1"/>
  <c r="HD177" i="1"/>
  <c r="HD173" i="1"/>
  <c r="HD166" i="1"/>
  <c r="HD174" i="1"/>
  <c r="HD172" i="1"/>
  <c r="HD163" i="1"/>
  <c r="HD159" i="1"/>
  <c r="HD176" i="1"/>
  <c r="HD175" i="1"/>
  <c r="HD160" i="1"/>
  <c r="HD164" i="1"/>
  <c r="HD165" i="1"/>
  <c r="HD162" i="1"/>
  <c r="HD161" i="1"/>
  <c r="F121" i="1"/>
  <c r="V121" i="1"/>
  <c r="AL121" i="1"/>
  <c r="BB121" i="1"/>
  <c r="BR121" i="1"/>
  <c r="CT121" i="1"/>
  <c r="DZ121" i="1"/>
  <c r="EP121" i="1"/>
  <c r="FF121" i="1"/>
  <c r="FV121" i="1"/>
  <c r="GL121" i="1"/>
  <c r="HB121" i="1"/>
  <c r="HR121" i="1"/>
  <c r="CB158" i="1"/>
  <c r="CB140" i="1"/>
  <c r="HN158" i="1"/>
  <c r="HN140" i="1"/>
  <c r="X161" i="1"/>
  <c r="HD167" i="1"/>
  <c r="P181" i="1"/>
  <c r="AN181" i="1"/>
  <c r="BP181" i="1"/>
  <c r="EL169" i="1"/>
  <c r="EL152" i="1"/>
  <c r="EL181" i="1" s="1"/>
  <c r="EM138" i="1"/>
  <c r="EM134" i="1"/>
  <c r="EM135" i="1"/>
  <c r="EM137" i="1"/>
  <c r="EM136" i="1"/>
  <c r="EM140" i="1"/>
  <c r="DP175" i="1"/>
  <c r="DP150" i="1"/>
  <c r="DQ146" i="1" s="1"/>
  <c r="AJ179" i="1"/>
  <c r="AK150" i="1"/>
  <c r="AK148" i="1"/>
  <c r="AK145" i="1"/>
  <c r="AK146" i="1"/>
  <c r="AK144" i="1"/>
  <c r="BL179" i="1"/>
  <c r="BM148" i="1"/>
  <c r="BM144" i="1"/>
  <c r="BM143" i="1"/>
  <c r="BM147" i="1"/>
  <c r="BM146" i="1"/>
  <c r="BM145" i="1"/>
  <c r="BM150" i="1"/>
  <c r="BZ159" i="1"/>
  <c r="H161" i="1"/>
  <c r="GD162" i="1"/>
  <c r="BX172" i="1"/>
  <c r="DX192" i="1"/>
  <c r="DX176" i="1"/>
  <c r="DX172" i="1"/>
  <c r="DX173" i="1"/>
  <c r="DX166" i="1"/>
  <c r="DX163" i="1"/>
  <c r="DX162" i="1"/>
  <c r="DX159" i="1"/>
  <c r="DX177" i="1"/>
  <c r="DX164" i="1"/>
  <c r="DX175" i="1"/>
  <c r="DX167" i="1"/>
  <c r="DX174" i="1"/>
  <c r="DX165" i="1"/>
  <c r="DX160" i="1"/>
  <c r="EJ158" i="1"/>
  <c r="EJ140" i="1"/>
  <c r="J177" i="1"/>
  <c r="J173" i="1"/>
  <c r="J166" i="1"/>
  <c r="J174" i="1"/>
  <c r="J167" i="1"/>
  <c r="J163" i="1"/>
  <c r="J175" i="1"/>
  <c r="J192" i="1"/>
  <c r="J176" i="1"/>
  <c r="J172" i="1"/>
  <c r="J159" i="1"/>
  <c r="J160" i="1"/>
  <c r="J165" i="1"/>
  <c r="J161" i="1"/>
  <c r="J164" i="1"/>
  <c r="J162" i="1"/>
  <c r="J158" i="1"/>
  <c r="Z177" i="1"/>
  <c r="Z173" i="1"/>
  <c r="Z166" i="1"/>
  <c r="Z174" i="1"/>
  <c r="Z167" i="1"/>
  <c r="Z163" i="1"/>
  <c r="Z192" i="1"/>
  <c r="Z176" i="1"/>
  <c r="Z172" i="1"/>
  <c r="Z159" i="1"/>
  <c r="Z160" i="1"/>
  <c r="Z161" i="1"/>
  <c r="Z164" i="1"/>
  <c r="Z165" i="1"/>
  <c r="Z162" i="1"/>
  <c r="AP192" i="1"/>
  <c r="AP177" i="1"/>
  <c r="AP173" i="1"/>
  <c r="AP166" i="1"/>
  <c r="AP174" i="1"/>
  <c r="AP167" i="1"/>
  <c r="AP163" i="1"/>
  <c r="AP175" i="1"/>
  <c r="AP176" i="1"/>
  <c r="AP172" i="1"/>
  <c r="AP159" i="1"/>
  <c r="AP165" i="1"/>
  <c r="AP164" i="1"/>
  <c r="AP160" i="1"/>
  <c r="AP161" i="1"/>
  <c r="AP162" i="1"/>
  <c r="AP158" i="1"/>
  <c r="BF177" i="1"/>
  <c r="BF173" i="1"/>
  <c r="BF166" i="1"/>
  <c r="BF174" i="1"/>
  <c r="BF167" i="1"/>
  <c r="BF163" i="1"/>
  <c r="BF175" i="1"/>
  <c r="BF176" i="1"/>
  <c r="BF172" i="1"/>
  <c r="BF159" i="1"/>
  <c r="BF160" i="1"/>
  <c r="BF164" i="1"/>
  <c r="BF165" i="1"/>
  <c r="BF161" i="1"/>
  <c r="BF192" i="1"/>
  <c r="BF162" i="1"/>
  <c r="BF158" i="1"/>
  <c r="BV177" i="1"/>
  <c r="BV173" i="1"/>
  <c r="BV166" i="1"/>
  <c r="BV192" i="1"/>
  <c r="BV174" i="1"/>
  <c r="BV167" i="1"/>
  <c r="BV163" i="1"/>
  <c r="BV175" i="1"/>
  <c r="BV176" i="1"/>
  <c r="BV172" i="1"/>
  <c r="BV159" i="1"/>
  <c r="BV160" i="1"/>
  <c r="BV161" i="1"/>
  <c r="BV164" i="1"/>
  <c r="BV162" i="1"/>
  <c r="BV158" i="1"/>
  <c r="DN177" i="1"/>
  <c r="DN173" i="1"/>
  <c r="DN166" i="1"/>
  <c r="DN174" i="1"/>
  <c r="DN167" i="1"/>
  <c r="DN163" i="1"/>
  <c r="DN175" i="1"/>
  <c r="DN176" i="1"/>
  <c r="DN172" i="1"/>
  <c r="DN159" i="1"/>
  <c r="DN165" i="1"/>
  <c r="DN160" i="1"/>
  <c r="DN192" i="1"/>
  <c r="DN161" i="1"/>
  <c r="DN162" i="1"/>
  <c r="DN158" i="1"/>
  <c r="ED177" i="1"/>
  <c r="ED173" i="1"/>
  <c r="ED166" i="1"/>
  <c r="ED174" i="1"/>
  <c r="ED163" i="1"/>
  <c r="ED192" i="1"/>
  <c r="ED176" i="1"/>
  <c r="ED172" i="1"/>
  <c r="ED159" i="1"/>
  <c r="ED164" i="1"/>
  <c r="ED160" i="1"/>
  <c r="ED161" i="1"/>
  <c r="ED165" i="1"/>
  <c r="ET177" i="1"/>
  <c r="ET173" i="1"/>
  <c r="ET166" i="1"/>
  <c r="ET192" i="1"/>
  <c r="ET174" i="1"/>
  <c r="ET167" i="1"/>
  <c r="ET163" i="1"/>
  <c r="ET175" i="1"/>
  <c r="ET176" i="1"/>
  <c r="ET172" i="1"/>
  <c r="ET165" i="1"/>
  <c r="ET159" i="1"/>
  <c r="ET160" i="1"/>
  <c r="ET164" i="1"/>
  <c r="ET161" i="1"/>
  <c r="ET162" i="1"/>
  <c r="ET158" i="1"/>
  <c r="FJ177" i="1"/>
  <c r="FJ173" i="1"/>
  <c r="FJ166" i="1"/>
  <c r="FJ174" i="1"/>
  <c r="FJ167" i="1"/>
  <c r="FJ163" i="1"/>
  <c r="FJ175" i="1"/>
  <c r="FJ192" i="1"/>
  <c r="FJ176" i="1"/>
  <c r="FJ172" i="1"/>
  <c r="FJ159" i="1"/>
  <c r="FJ160" i="1"/>
  <c r="FJ165" i="1"/>
  <c r="FJ161" i="1"/>
  <c r="FJ162" i="1"/>
  <c r="FJ158" i="1"/>
  <c r="FZ177" i="1"/>
  <c r="FZ173" i="1"/>
  <c r="FZ166" i="1"/>
  <c r="FZ162" i="1"/>
  <c r="FZ174" i="1"/>
  <c r="FZ167" i="1"/>
  <c r="FZ163" i="1"/>
  <c r="FZ192" i="1"/>
  <c r="FZ175" i="1"/>
  <c r="FZ176" i="1"/>
  <c r="FZ172" i="1"/>
  <c r="FZ159" i="1"/>
  <c r="FZ160" i="1"/>
  <c r="FZ161" i="1"/>
  <c r="FZ165" i="1"/>
  <c r="FZ164" i="1"/>
  <c r="GP177" i="1"/>
  <c r="GP192" i="1"/>
  <c r="GP166" i="1"/>
  <c r="GP162" i="1"/>
  <c r="GP174" i="1"/>
  <c r="GP163" i="1"/>
  <c r="GP176" i="1"/>
  <c r="GP172" i="1"/>
  <c r="GP159" i="1"/>
  <c r="GP165" i="1"/>
  <c r="GP164" i="1"/>
  <c r="GP160" i="1"/>
  <c r="GP161" i="1"/>
  <c r="H121" i="1"/>
  <c r="X121" i="1"/>
  <c r="AN121" i="1"/>
  <c r="BD121" i="1"/>
  <c r="BT121" i="1"/>
  <c r="CV121" i="1"/>
  <c r="ER121" i="1"/>
  <c r="FX121" i="1"/>
  <c r="GN121" i="1"/>
  <c r="HD121" i="1"/>
  <c r="BH122" i="1"/>
  <c r="EV122" i="1"/>
  <c r="CC129" i="1"/>
  <c r="GD158" i="1"/>
  <c r="GD140" i="1"/>
  <c r="GP158" i="1"/>
  <c r="GP140" i="1"/>
  <c r="HD140" i="1"/>
  <c r="HE138" i="1" s="1"/>
  <c r="HD158" i="1"/>
  <c r="HO129" i="1"/>
  <c r="L161" i="1"/>
  <c r="L140" i="1"/>
  <c r="BT140" i="1"/>
  <c r="BU132" i="1" s="1"/>
  <c r="BT161" i="1"/>
  <c r="GZ161" i="1"/>
  <c r="GZ140" i="1"/>
  <c r="AA134" i="1"/>
  <c r="AA135" i="1"/>
  <c r="L167" i="1"/>
  <c r="BF169" i="1"/>
  <c r="BF152" i="1"/>
  <c r="BF181" i="1" s="1"/>
  <c r="BG137" i="1"/>
  <c r="BG136" i="1"/>
  <c r="BG138" i="1"/>
  <c r="BG132" i="1"/>
  <c r="BG140" i="1"/>
  <c r="DV169" i="1"/>
  <c r="DW134" i="1"/>
  <c r="DW133" i="1"/>
  <c r="DW138" i="1"/>
  <c r="DW135" i="1"/>
  <c r="DW137" i="1"/>
  <c r="DW132" i="1"/>
  <c r="DW136" i="1"/>
  <c r="DW140" i="1"/>
  <c r="GF225" i="1"/>
  <c r="GF150" i="1"/>
  <c r="GG144" i="1" s="1"/>
  <c r="GF173" i="1"/>
  <c r="X179" i="1"/>
  <c r="Y145" i="1"/>
  <c r="Y150" i="1"/>
  <c r="Y144" i="1"/>
  <c r="Y147" i="1"/>
  <c r="Y143" i="1"/>
  <c r="AR175" i="1"/>
  <c r="U147" i="1"/>
  <c r="EJ179" i="1"/>
  <c r="EK148" i="1"/>
  <c r="EK144" i="1"/>
  <c r="EK143" i="1"/>
  <c r="EK147" i="1"/>
  <c r="EK145" i="1"/>
  <c r="EK150" i="1"/>
  <c r="BB161" i="1"/>
  <c r="BV165" i="1"/>
  <c r="AZ192" i="1"/>
  <c r="AZ176" i="1"/>
  <c r="AZ172" i="1"/>
  <c r="AZ177" i="1"/>
  <c r="AZ173" i="1"/>
  <c r="AZ166" i="1"/>
  <c r="AZ162" i="1"/>
  <c r="AZ158" i="1"/>
  <c r="AZ163" i="1"/>
  <c r="AZ167" i="1"/>
  <c r="AZ159" i="1"/>
  <c r="AZ175" i="1"/>
  <c r="AZ161" i="1"/>
  <c r="AZ165" i="1"/>
  <c r="AZ164" i="1"/>
  <c r="AZ174" i="1"/>
  <c r="AZ160" i="1"/>
  <c r="FD192" i="1"/>
  <c r="FD176" i="1"/>
  <c r="FD172" i="1"/>
  <c r="FD177" i="1"/>
  <c r="FD173" i="1"/>
  <c r="FD166" i="1"/>
  <c r="FD164" i="1"/>
  <c r="FD167" i="1"/>
  <c r="FD162" i="1"/>
  <c r="FD158" i="1"/>
  <c r="FD175" i="1"/>
  <c r="FD174" i="1"/>
  <c r="FD159" i="1"/>
  <c r="FD163" i="1"/>
  <c r="FD161" i="1"/>
  <c r="FD160" i="1"/>
  <c r="GZ192" i="1"/>
  <c r="GZ176" i="1"/>
  <c r="GZ172" i="1"/>
  <c r="GZ173" i="1"/>
  <c r="GZ166" i="1"/>
  <c r="GZ177" i="1"/>
  <c r="GZ158" i="1"/>
  <c r="GZ163" i="1"/>
  <c r="GZ167" i="1"/>
  <c r="GZ159" i="1"/>
  <c r="GZ174" i="1"/>
  <c r="GZ165" i="1"/>
  <c r="GZ164" i="1"/>
  <c r="GZ162" i="1"/>
  <c r="GZ160" i="1"/>
  <c r="L192" i="1"/>
  <c r="L174" i="1"/>
  <c r="L163" i="1"/>
  <c r="L160" i="1"/>
  <c r="L165" i="1"/>
  <c r="L173" i="1"/>
  <c r="L164" i="1"/>
  <c r="L177" i="1"/>
  <c r="L162" i="1"/>
  <c r="L176" i="1"/>
  <c r="L158" i="1"/>
  <c r="L172" i="1"/>
  <c r="L159" i="1"/>
  <c r="L166" i="1"/>
  <c r="AB192" i="1"/>
  <c r="AB174" i="1"/>
  <c r="AB167" i="1"/>
  <c r="AB175" i="1"/>
  <c r="AB166" i="1"/>
  <c r="AB160" i="1"/>
  <c r="AB173" i="1"/>
  <c r="AB172" i="1"/>
  <c r="AB163" i="1"/>
  <c r="AB161" i="1"/>
  <c r="AB177" i="1"/>
  <c r="AB176" i="1"/>
  <c r="AB159" i="1"/>
  <c r="AB165" i="1"/>
  <c r="AB162" i="1"/>
  <c r="AB158" i="1"/>
  <c r="AR192" i="1"/>
  <c r="AR174" i="1"/>
  <c r="AR167" i="1"/>
  <c r="AR173" i="1"/>
  <c r="AR165" i="1"/>
  <c r="AR164" i="1"/>
  <c r="AR160" i="1"/>
  <c r="AR176" i="1"/>
  <c r="AR161" i="1"/>
  <c r="AR163" i="1"/>
  <c r="AR162" i="1"/>
  <c r="AR166" i="1"/>
  <c r="AR158" i="1"/>
  <c r="AR159" i="1"/>
  <c r="BH192" i="1"/>
  <c r="BH174" i="1"/>
  <c r="BH167" i="1"/>
  <c r="BH175" i="1"/>
  <c r="BH177" i="1"/>
  <c r="BH176" i="1"/>
  <c r="BH166" i="1"/>
  <c r="BH160" i="1"/>
  <c r="BH164" i="1"/>
  <c r="BH165" i="1"/>
  <c r="BH161" i="1"/>
  <c r="BH163" i="1"/>
  <c r="BH158" i="1"/>
  <c r="BH172" i="1"/>
  <c r="BH159" i="1"/>
  <c r="BX192" i="1"/>
  <c r="BX177" i="1"/>
  <c r="BX174" i="1"/>
  <c r="BX167" i="1"/>
  <c r="BX175" i="1"/>
  <c r="BX163" i="1"/>
  <c r="BX160" i="1"/>
  <c r="BX161" i="1"/>
  <c r="BX173" i="1"/>
  <c r="BX164" i="1"/>
  <c r="BX166" i="1"/>
  <c r="BX159" i="1"/>
  <c r="BX162" i="1"/>
  <c r="BX158" i="1"/>
  <c r="BX165" i="1"/>
  <c r="DP192" i="1"/>
  <c r="DP174" i="1"/>
  <c r="DP177" i="1"/>
  <c r="DP166" i="1"/>
  <c r="DP165" i="1"/>
  <c r="DP160" i="1"/>
  <c r="DP173" i="1"/>
  <c r="DP172" i="1"/>
  <c r="DP163" i="1"/>
  <c r="DP161" i="1"/>
  <c r="DP162" i="1"/>
  <c r="DP158" i="1"/>
  <c r="DP159" i="1"/>
  <c r="DP176" i="1"/>
  <c r="DP164" i="1"/>
  <c r="EF192" i="1"/>
  <c r="EF174" i="1"/>
  <c r="EF167" i="1"/>
  <c r="EF173" i="1"/>
  <c r="EF164" i="1"/>
  <c r="EF172" i="1"/>
  <c r="EF160" i="1"/>
  <c r="EF177" i="1"/>
  <c r="EF176" i="1"/>
  <c r="EF161" i="1"/>
  <c r="EF165" i="1"/>
  <c r="EF163" i="1"/>
  <c r="EF159" i="1"/>
  <c r="EF166" i="1"/>
  <c r="EF162" i="1"/>
  <c r="EV192" i="1"/>
  <c r="EV174" i="1"/>
  <c r="EV167" i="1"/>
  <c r="EV175" i="1"/>
  <c r="EV176" i="1"/>
  <c r="EV166" i="1"/>
  <c r="EV160" i="1"/>
  <c r="EV177" i="1"/>
  <c r="EV164" i="1"/>
  <c r="EV161" i="1"/>
  <c r="EV165" i="1"/>
  <c r="EV162" i="1"/>
  <c r="EV173" i="1"/>
  <c r="EV158" i="1"/>
  <c r="EV172" i="1"/>
  <c r="GB192" i="1"/>
  <c r="GB174" i="1"/>
  <c r="GB167" i="1"/>
  <c r="GB175" i="1"/>
  <c r="GB177" i="1"/>
  <c r="GB162" i="1"/>
  <c r="GB160" i="1"/>
  <c r="GB173" i="1"/>
  <c r="GB166" i="1"/>
  <c r="GB172" i="1"/>
  <c r="GB163" i="1"/>
  <c r="GB161" i="1"/>
  <c r="GB159" i="1"/>
  <c r="GB176" i="1"/>
  <c r="GB165" i="1"/>
  <c r="GB164" i="1"/>
  <c r="GB158" i="1"/>
  <c r="GR177" i="1"/>
  <c r="GR192" i="1"/>
  <c r="GR174" i="1"/>
  <c r="GR167" i="1"/>
  <c r="GR175" i="1"/>
  <c r="GR173" i="1"/>
  <c r="GR165" i="1"/>
  <c r="GR164" i="1"/>
  <c r="GR172" i="1"/>
  <c r="GR160" i="1"/>
  <c r="GR162" i="1"/>
  <c r="GR176" i="1"/>
  <c r="GR161" i="1"/>
  <c r="GR166" i="1"/>
  <c r="GR158" i="1"/>
  <c r="GR159" i="1"/>
  <c r="BX205" i="1"/>
  <c r="BX196" i="1"/>
  <c r="BX197" i="1"/>
  <c r="J121" i="1"/>
  <c r="Z121" i="1"/>
  <c r="AP121" i="1"/>
  <c r="BF121" i="1"/>
  <c r="BV121" i="1"/>
  <c r="DN121" i="1"/>
  <c r="ED121" i="1"/>
  <c r="ET121" i="1"/>
  <c r="FJ121" i="1"/>
  <c r="FZ121" i="1"/>
  <c r="GP121" i="1"/>
  <c r="FN122" i="1"/>
  <c r="CN158" i="1"/>
  <c r="ED158" i="1"/>
  <c r="FR158" i="1"/>
  <c r="FR140" i="1"/>
  <c r="DZ140" i="1"/>
  <c r="DZ161" i="1"/>
  <c r="CB167" i="1"/>
  <c r="CC138" i="1"/>
  <c r="R169" i="1"/>
  <c r="R152" i="1"/>
  <c r="R181" i="1" s="1"/>
  <c r="S134" i="1"/>
  <c r="S133" i="1"/>
  <c r="S138" i="1"/>
  <c r="S135" i="1"/>
  <c r="S137" i="1"/>
  <c r="S136" i="1"/>
  <c r="S140" i="1"/>
  <c r="AF181" i="1"/>
  <c r="AP169" i="1"/>
  <c r="AP152" i="1"/>
  <c r="AP181" i="1" s="1"/>
  <c r="AQ137" i="1"/>
  <c r="AQ136" i="1"/>
  <c r="AQ138" i="1"/>
  <c r="AQ140" i="1"/>
  <c r="CP169" i="1"/>
  <c r="EP181" i="1"/>
  <c r="CB175" i="1"/>
  <c r="CB150" i="1"/>
  <c r="CC146" i="1"/>
  <c r="HR175" i="1"/>
  <c r="HR150" i="1"/>
  <c r="HS146" i="1" s="1"/>
  <c r="R179" i="1"/>
  <c r="S147" i="1"/>
  <c r="S143" i="1"/>
  <c r="S148" i="1"/>
  <c r="S146" i="1"/>
  <c r="S145" i="1"/>
  <c r="S150" i="1"/>
  <c r="Z158" i="1"/>
  <c r="DX161" i="1"/>
  <c r="BL163" i="1"/>
  <c r="FD165" i="1"/>
  <c r="EX158" i="1"/>
  <c r="Z169" i="1"/>
  <c r="AA137" i="1"/>
  <c r="AA136" i="1"/>
  <c r="AA138" i="1"/>
  <c r="AA140" i="1"/>
  <c r="N174" i="1"/>
  <c r="N167" i="1"/>
  <c r="N163" i="1"/>
  <c r="N175" i="1"/>
  <c r="N164" i="1"/>
  <c r="N176" i="1"/>
  <c r="N172" i="1"/>
  <c r="N177" i="1"/>
  <c r="N173" i="1"/>
  <c r="N160" i="1"/>
  <c r="N165" i="1"/>
  <c r="N161" i="1"/>
  <c r="N166" i="1"/>
  <c r="N162" i="1"/>
  <c r="N158" i="1"/>
  <c r="N192" i="1"/>
  <c r="N159" i="1"/>
  <c r="AT174" i="1"/>
  <c r="AT167" i="1"/>
  <c r="AT163" i="1"/>
  <c r="AT175" i="1"/>
  <c r="AT164" i="1"/>
  <c r="AT176" i="1"/>
  <c r="AT172" i="1"/>
  <c r="AT177" i="1"/>
  <c r="AT173" i="1"/>
  <c r="AT160" i="1"/>
  <c r="AT166" i="1"/>
  <c r="AT162" i="1"/>
  <c r="AT158" i="1"/>
  <c r="AT192" i="1"/>
  <c r="AT165" i="1"/>
  <c r="AT159" i="1"/>
  <c r="BJ174" i="1"/>
  <c r="BJ167" i="1"/>
  <c r="BJ163" i="1"/>
  <c r="BJ175" i="1"/>
  <c r="BJ164" i="1"/>
  <c r="BJ192" i="1"/>
  <c r="BJ176" i="1"/>
  <c r="BJ172" i="1"/>
  <c r="BJ177" i="1"/>
  <c r="BJ173" i="1"/>
  <c r="BJ166" i="1"/>
  <c r="BJ160" i="1"/>
  <c r="BJ165" i="1"/>
  <c r="BJ161" i="1"/>
  <c r="BJ162" i="1"/>
  <c r="BJ158" i="1"/>
  <c r="BJ159" i="1"/>
  <c r="BZ177" i="1"/>
  <c r="BZ174" i="1"/>
  <c r="BZ167" i="1"/>
  <c r="BZ163" i="1"/>
  <c r="BZ192" i="1"/>
  <c r="BZ175" i="1"/>
  <c r="BZ164" i="1"/>
  <c r="BZ176" i="1"/>
  <c r="BZ172" i="1"/>
  <c r="BZ173" i="1"/>
  <c r="BZ160" i="1"/>
  <c r="BZ161" i="1"/>
  <c r="BZ166" i="1"/>
  <c r="BZ162" i="1"/>
  <c r="BZ158" i="1"/>
  <c r="BZ165" i="1"/>
  <c r="DR163" i="1"/>
  <c r="DR177" i="1"/>
  <c r="DR175" i="1"/>
  <c r="DR164" i="1"/>
  <c r="DR176" i="1"/>
  <c r="DR172" i="1"/>
  <c r="DR192" i="1"/>
  <c r="DR173" i="1"/>
  <c r="DR166" i="1"/>
  <c r="DR165" i="1"/>
  <c r="DR160" i="1"/>
  <c r="DR162" i="1"/>
  <c r="DR158" i="1"/>
  <c r="DR159" i="1"/>
  <c r="EH174" i="1"/>
  <c r="EH167" i="1"/>
  <c r="EH163" i="1"/>
  <c r="EH175" i="1"/>
  <c r="EH164" i="1"/>
  <c r="EH192" i="1"/>
  <c r="EH177" i="1"/>
  <c r="EH176" i="1"/>
  <c r="EH172" i="1"/>
  <c r="EH173" i="1"/>
  <c r="EH160" i="1"/>
  <c r="EH161" i="1"/>
  <c r="EH165" i="1"/>
  <c r="EH166" i="1"/>
  <c r="EH162" i="1"/>
  <c r="EH158" i="1"/>
  <c r="EH159" i="1"/>
  <c r="EX192" i="1"/>
  <c r="EX174" i="1"/>
  <c r="EX163" i="1"/>
  <c r="EX164" i="1"/>
  <c r="EX176" i="1"/>
  <c r="EX172" i="1"/>
  <c r="EX177" i="1"/>
  <c r="EX173" i="1"/>
  <c r="EX161" i="1"/>
  <c r="EX162" i="1"/>
  <c r="EX165" i="1"/>
  <c r="EX159" i="1"/>
  <c r="FN177" i="1"/>
  <c r="FN174" i="1"/>
  <c r="FN163" i="1"/>
  <c r="FN175" i="1"/>
  <c r="FN164" i="1"/>
  <c r="FN176" i="1"/>
  <c r="FN160" i="1"/>
  <c r="FN192" i="1"/>
  <c r="FN165" i="1"/>
  <c r="FN166" i="1"/>
  <c r="FN162" i="1"/>
  <c r="FN159" i="1"/>
  <c r="GD174" i="1"/>
  <c r="GD163" i="1"/>
  <c r="GD192" i="1"/>
  <c r="GD164" i="1"/>
  <c r="GD177" i="1"/>
  <c r="GD176" i="1"/>
  <c r="GD172" i="1"/>
  <c r="GD173" i="1"/>
  <c r="GD166" i="1"/>
  <c r="GD161" i="1"/>
  <c r="GD165" i="1"/>
  <c r="GD159" i="1"/>
  <c r="GT174" i="1"/>
  <c r="GT167" i="1"/>
  <c r="GT163" i="1"/>
  <c r="GT175" i="1"/>
  <c r="GT164" i="1"/>
  <c r="GT176" i="1"/>
  <c r="GT172" i="1"/>
  <c r="GT173" i="1"/>
  <c r="GT192" i="1"/>
  <c r="GT160" i="1"/>
  <c r="GT162" i="1"/>
  <c r="GT161" i="1"/>
  <c r="GT158" i="1"/>
  <c r="GT177" i="1"/>
  <c r="GT166" i="1"/>
  <c r="GT165" i="1"/>
  <c r="GT159" i="1"/>
  <c r="HJ174" i="1"/>
  <c r="HJ167" i="1"/>
  <c r="HJ163" i="1"/>
  <c r="HJ175" i="1"/>
  <c r="HJ164" i="1"/>
  <c r="HJ177" i="1"/>
  <c r="HJ192" i="1"/>
  <c r="HJ176" i="1"/>
  <c r="HJ172" i="1"/>
  <c r="HJ173" i="1"/>
  <c r="HJ166" i="1"/>
  <c r="HJ160" i="1"/>
  <c r="HJ165" i="1"/>
  <c r="HJ161" i="1"/>
  <c r="HJ162" i="1"/>
  <c r="HJ158" i="1"/>
  <c r="HJ159" i="1"/>
  <c r="HR205" i="1"/>
  <c r="HR196" i="1"/>
  <c r="HR197" i="1"/>
  <c r="L121" i="1"/>
  <c r="AB121" i="1"/>
  <c r="AR121" i="1"/>
  <c r="BH121" i="1"/>
  <c r="BX121" i="1"/>
  <c r="DP121" i="1"/>
  <c r="EF121" i="1"/>
  <c r="EV121" i="1"/>
  <c r="GB121" i="1"/>
  <c r="GR121" i="1"/>
  <c r="GF122" i="1"/>
  <c r="X158" i="1"/>
  <c r="X140" i="1"/>
  <c r="CO129" i="1"/>
  <c r="FS129" i="1"/>
  <c r="GF158" i="1"/>
  <c r="GF140" i="1"/>
  <c r="GP167" i="1"/>
  <c r="GQ138" i="1"/>
  <c r="H181" i="1"/>
  <c r="ED140" i="1"/>
  <c r="BT158" i="1"/>
  <c r="FH161" i="1"/>
  <c r="EV163" i="1"/>
  <c r="X175" i="1"/>
  <c r="AJ192" i="1"/>
  <c r="AJ176" i="1"/>
  <c r="AJ172" i="1"/>
  <c r="AJ177" i="1"/>
  <c r="AJ173" i="1"/>
  <c r="AJ166" i="1"/>
  <c r="AJ163" i="1"/>
  <c r="AJ162" i="1"/>
  <c r="AJ158" i="1"/>
  <c r="AJ165" i="1"/>
  <c r="AJ159" i="1"/>
  <c r="AJ164" i="1"/>
  <c r="AJ160" i="1"/>
  <c r="AJ161" i="1"/>
  <c r="AJ167" i="1"/>
  <c r="EN192" i="1"/>
  <c r="EN177" i="1"/>
  <c r="EN176" i="1"/>
  <c r="EN172" i="1"/>
  <c r="EN173" i="1"/>
  <c r="EN166" i="1"/>
  <c r="EN162" i="1"/>
  <c r="EN158" i="1"/>
  <c r="EN165" i="1"/>
  <c r="EN163" i="1"/>
  <c r="EN167" i="1"/>
  <c r="EN159" i="1"/>
  <c r="EN175" i="1"/>
  <c r="EN160" i="1"/>
  <c r="EN174" i="1"/>
  <c r="EN164" i="1"/>
  <c r="EN161" i="1"/>
  <c r="AT179" i="1"/>
  <c r="AU144" i="1"/>
  <c r="AU143" i="1"/>
  <c r="AU147" i="1"/>
  <c r="AU148" i="1"/>
  <c r="AU146" i="1"/>
  <c r="AU145" i="1"/>
  <c r="AU150" i="1"/>
  <c r="P175" i="1"/>
  <c r="P176" i="1"/>
  <c r="P172" i="1"/>
  <c r="P165" i="1"/>
  <c r="P192" i="1"/>
  <c r="P167" i="1"/>
  <c r="P163" i="1"/>
  <c r="P161" i="1"/>
  <c r="P174" i="1"/>
  <c r="P173" i="1"/>
  <c r="P166" i="1"/>
  <c r="P164" i="1"/>
  <c r="P162" i="1"/>
  <c r="P158" i="1"/>
  <c r="P177" i="1"/>
  <c r="P159" i="1"/>
  <c r="P160" i="1"/>
  <c r="AF192" i="1"/>
  <c r="AF175" i="1"/>
  <c r="AF176" i="1"/>
  <c r="AF172" i="1"/>
  <c r="AF165" i="1"/>
  <c r="AF174" i="1"/>
  <c r="AF173" i="1"/>
  <c r="AF161" i="1"/>
  <c r="AF163" i="1"/>
  <c r="AF177" i="1"/>
  <c r="AF162" i="1"/>
  <c r="AF158" i="1"/>
  <c r="AF160" i="1"/>
  <c r="AF167" i="1"/>
  <c r="AF166" i="1"/>
  <c r="AF164" i="1"/>
  <c r="AV176" i="1"/>
  <c r="AV172" i="1"/>
  <c r="AV165" i="1"/>
  <c r="AV192" i="1"/>
  <c r="AV177" i="1"/>
  <c r="AV161" i="1"/>
  <c r="AV166" i="1"/>
  <c r="AV162" i="1"/>
  <c r="AV158" i="1"/>
  <c r="AV163" i="1"/>
  <c r="AV173" i="1"/>
  <c r="AV159" i="1"/>
  <c r="AV164" i="1"/>
  <c r="AV174" i="1"/>
  <c r="BL175" i="1"/>
  <c r="BL192" i="1"/>
  <c r="BL176" i="1"/>
  <c r="BL172" i="1"/>
  <c r="BL165" i="1"/>
  <c r="BL164" i="1"/>
  <c r="BL161" i="1"/>
  <c r="BL167" i="1"/>
  <c r="BL162" i="1"/>
  <c r="BL158" i="1"/>
  <c r="BL174" i="1"/>
  <c r="BL177" i="1"/>
  <c r="BL159" i="1"/>
  <c r="BL166" i="1"/>
  <c r="BL160" i="1"/>
  <c r="BL173" i="1"/>
  <c r="CB192" i="1"/>
  <c r="CB176" i="1"/>
  <c r="CB172" i="1"/>
  <c r="CB165" i="1"/>
  <c r="CB163" i="1"/>
  <c r="CB174" i="1"/>
  <c r="CB173" i="1"/>
  <c r="CB166" i="1"/>
  <c r="CB164" i="1"/>
  <c r="CB162" i="1"/>
  <c r="CB177" i="1"/>
  <c r="CB160" i="1"/>
  <c r="CB159" i="1"/>
  <c r="EJ192" i="1"/>
  <c r="EJ177" i="1"/>
  <c r="EJ176" i="1"/>
  <c r="EJ172" i="1"/>
  <c r="EJ165" i="1"/>
  <c r="EJ161" i="1"/>
  <c r="EJ166" i="1"/>
  <c r="EJ162" i="1"/>
  <c r="EJ167" i="1"/>
  <c r="EJ163" i="1"/>
  <c r="EJ159" i="1"/>
  <c r="EJ174" i="1"/>
  <c r="EJ160" i="1"/>
  <c r="EJ164" i="1"/>
  <c r="EJ173" i="1"/>
  <c r="EZ175" i="1"/>
  <c r="EZ176" i="1"/>
  <c r="EZ172" i="1"/>
  <c r="EZ165" i="1"/>
  <c r="EZ177" i="1"/>
  <c r="EZ164" i="1"/>
  <c r="EZ161" i="1"/>
  <c r="EZ192" i="1"/>
  <c r="EZ167" i="1"/>
  <c r="EZ162" i="1"/>
  <c r="EZ158" i="1"/>
  <c r="EZ174" i="1"/>
  <c r="EZ160" i="1"/>
  <c r="EZ173" i="1"/>
  <c r="EZ166" i="1"/>
  <c r="EZ159" i="1"/>
  <c r="EZ163" i="1"/>
  <c r="FP175" i="1"/>
  <c r="FP176" i="1"/>
  <c r="FP172" i="1"/>
  <c r="FP165" i="1"/>
  <c r="FP192" i="1"/>
  <c r="FP177" i="1"/>
  <c r="FP167" i="1"/>
  <c r="FP163" i="1"/>
  <c r="FP161" i="1"/>
  <c r="FP174" i="1"/>
  <c r="FP173" i="1"/>
  <c r="FP166" i="1"/>
  <c r="FP164" i="1"/>
  <c r="FP158" i="1"/>
  <c r="FP162" i="1"/>
  <c r="FP159" i="1"/>
  <c r="FP160" i="1"/>
  <c r="GF192" i="1"/>
  <c r="GF177" i="1"/>
  <c r="GF176" i="1"/>
  <c r="GF172" i="1"/>
  <c r="GF165" i="1"/>
  <c r="GF174" i="1"/>
  <c r="GF166" i="1"/>
  <c r="GF163" i="1"/>
  <c r="GF160" i="1"/>
  <c r="GF164" i="1"/>
  <c r="GF162" i="1"/>
  <c r="GV175" i="1"/>
  <c r="GV176" i="1"/>
  <c r="GV172" i="1"/>
  <c r="GV165" i="1"/>
  <c r="GV192" i="1"/>
  <c r="GV177" i="1"/>
  <c r="GV162" i="1"/>
  <c r="GV161" i="1"/>
  <c r="GV158" i="1"/>
  <c r="GV167" i="1"/>
  <c r="GV163" i="1"/>
  <c r="GV174" i="1"/>
  <c r="GV173" i="1"/>
  <c r="GV164" i="1"/>
  <c r="GV159" i="1"/>
  <c r="HL177" i="1"/>
  <c r="HL192" i="1"/>
  <c r="HL176" i="1"/>
  <c r="HL172" i="1"/>
  <c r="HL161" i="1"/>
  <c r="HL164" i="1"/>
  <c r="HL162" i="1"/>
  <c r="HL166" i="1"/>
  <c r="HL174" i="1"/>
  <c r="HL159" i="1"/>
  <c r="HL160" i="1"/>
  <c r="HL163" i="1"/>
  <c r="IB192" i="1"/>
  <c r="IB175" i="1"/>
  <c r="IB176" i="1"/>
  <c r="IB172" i="1"/>
  <c r="IB165" i="1"/>
  <c r="IB177" i="1"/>
  <c r="IB167" i="1"/>
  <c r="IB163" i="1"/>
  <c r="IB166" i="1"/>
  <c r="IB161" i="1"/>
  <c r="IB174" i="1"/>
  <c r="IB173" i="1"/>
  <c r="IB158" i="1"/>
  <c r="IB160" i="1"/>
  <c r="IB164" i="1"/>
  <c r="IB159" i="1"/>
  <c r="N121" i="1"/>
  <c r="AT121" i="1"/>
  <c r="BJ121" i="1"/>
  <c r="BZ121" i="1"/>
  <c r="DR121" i="1"/>
  <c r="EH121" i="1"/>
  <c r="FN121" i="1"/>
  <c r="GT121" i="1"/>
  <c r="AA130" i="1"/>
  <c r="AT161" i="1"/>
  <c r="AT140" i="1"/>
  <c r="AH169" i="1"/>
  <c r="AI138" i="1"/>
  <c r="AI134" i="1"/>
  <c r="AI133" i="1"/>
  <c r="AI135" i="1"/>
  <c r="AI137" i="1"/>
  <c r="AI136" i="1"/>
  <c r="AI140" i="1"/>
  <c r="BV169" i="1"/>
  <c r="BV152" i="1"/>
  <c r="BV181" i="1" s="1"/>
  <c r="BW137" i="1"/>
  <c r="BW136" i="1"/>
  <c r="BW138" i="1"/>
  <c r="BW134" i="1"/>
  <c r="BW140" i="1"/>
  <c r="FV181" i="1"/>
  <c r="BN179" i="1"/>
  <c r="BO147" i="1"/>
  <c r="BO148" i="1"/>
  <c r="BO145" i="1"/>
  <c r="BO150" i="1"/>
  <c r="DZ175" i="1"/>
  <c r="DZ150" i="1"/>
  <c r="EA146" i="1" s="1"/>
  <c r="GH179" i="1"/>
  <c r="GI148" i="1"/>
  <c r="GI147" i="1"/>
  <c r="GI145" i="1"/>
  <c r="GI144" i="1"/>
  <c r="GI150" i="1"/>
  <c r="GI143" i="1"/>
  <c r="EF158" i="1"/>
  <c r="AV160" i="1"/>
  <c r="HB161" i="1"/>
  <c r="GR163" i="1"/>
  <c r="BX176" i="1"/>
  <c r="BP192" i="1"/>
  <c r="BP176" i="1"/>
  <c r="BP172" i="1"/>
  <c r="BP177" i="1"/>
  <c r="BP173" i="1"/>
  <c r="BP166" i="1"/>
  <c r="BP164" i="1"/>
  <c r="BP167" i="1"/>
  <c r="BP165" i="1"/>
  <c r="BP162" i="1"/>
  <c r="BP158" i="1"/>
  <c r="BP175" i="1"/>
  <c r="BP174" i="1"/>
  <c r="BP159" i="1"/>
  <c r="BP163" i="1"/>
  <c r="BP160" i="1"/>
  <c r="BP161" i="1"/>
  <c r="GJ192" i="1"/>
  <c r="GJ177" i="1"/>
  <c r="GJ176" i="1"/>
  <c r="GJ172" i="1"/>
  <c r="GJ173" i="1"/>
  <c r="GJ166" i="1"/>
  <c r="GJ163" i="1"/>
  <c r="GJ158" i="1"/>
  <c r="GJ165" i="1"/>
  <c r="GJ159" i="1"/>
  <c r="GJ164" i="1"/>
  <c r="GJ162" i="1"/>
  <c r="GJ175" i="1"/>
  <c r="GJ160" i="1"/>
  <c r="GJ174" i="1"/>
  <c r="GJ161" i="1"/>
  <c r="GJ167" i="1"/>
  <c r="FN161" i="1"/>
  <c r="FO132" i="1"/>
  <c r="R192" i="1"/>
  <c r="R175" i="1"/>
  <c r="R164" i="1"/>
  <c r="R176" i="1"/>
  <c r="R172" i="1"/>
  <c r="R165" i="1"/>
  <c r="R177" i="1"/>
  <c r="R173" i="1"/>
  <c r="R174" i="1"/>
  <c r="R167" i="1"/>
  <c r="R161" i="1"/>
  <c r="R166" i="1"/>
  <c r="R162" i="1"/>
  <c r="R158" i="1"/>
  <c r="R159" i="1"/>
  <c r="R160" i="1"/>
  <c r="R163" i="1"/>
  <c r="AH192" i="1"/>
  <c r="AH164" i="1"/>
  <c r="AH176" i="1"/>
  <c r="AH172" i="1"/>
  <c r="AH165" i="1"/>
  <c r="AH177" i="1"/>
  <c r="AH173" i="1"/>
  <c r="AH174" i="1"/>
  <c r="AH167" i="1"/>
  <c r="AH161" i="1"/>
  <c r="AH163" i="1"/>
  <c r="AH162" i="1"/>
  <c r="AH158" i="1"/>
  <c r="AH159" i="1"/>
  <c r="AH160" i="1"/>
  <c r="AH166" i="1"/>
  <c r="AX192" i="1"/>
  <c r="AX175" i="1"/>
  <c r="AX164" i="1"/>
  <c r="AX176" i="1"/>
  <c r="AX172" i="1"/>
  <c r="AX165" i="1"/>
  <c r="AX177" i="1"/>
  <c r="AX173" i="1"/>
  <c r="AX174" i="1"/>
  <c r="AX167" i="1"/>
  <c r="AX161" i="1"/>
  <c r="AX166" i="1"/>
  <c r="AX162" i="1"/>
  <c r="AX158" i="1"/>
  <c r="AX163" i="1"/>
  <c r="AX159" i="1"/>
  <c r="AX160" i="1"/>
  <c r="BN192" i="1"/>
  <c r="BN164" i="1"/>
  <c r="BN176" i="1"/>
  <c r="BN172" i="1"/>
  <c r="BN165" i="1"/>
  <c r="BN177" i="1"/>
  <c r="BN173" i="1"/>
  <c r="BN174" i="1"/>
  <c r="BN167" i="1"/>
  <c r="BN161" i="1"/>
  <c r="BN162" i="1"/>
  <c r="BN158" i="1"/>
  <c r="BN159" i="1"/>
  <c r="BN166" i="1"/>
  <c r="BN160" i="1"/>
  <c r="BN163" i="1"/>
  <c r="CN192" i="1"/>
  <c r="CN164" i="1"/>
  <c r="CN176" i="1"/>
  <c r="CN172" i="1"/>
  <c r="CN165" i="1"/>
  <c r="CN173" i="1"/>
  <c r="CN177" i="1"/>
  <c r="CN174" i="1"/>
  <c r="CN167" i="1"/>
  <c r="CN161" i="1"/>
  <c r="CN162" i="1"/>
  <c r="CN159" i="1"/>
  <c r="CN160" i="1"/>
  <c r="CN163" i="1"/>
  <c r="DV192" i="1"/>
  <c r="DV177" i="1"/>
  <c r="DV164" i="1"/>
  <c r="DV176" i="1"/>
  <c r="DV172" i="1"/>
  <c r="DV165" i="1"/>
  <c r="DV173" i="1"/>
  <c r="DV174" i="1"/>
  <c r="DV167" i="1"/>
  <c r="DV161" i="1"/>
  <c r="DV163" i="1"/>
  <c r="DV162" i="1"/>
  <c r="DV158" i="1"/>
  <c r="DV159" i="1"/>
  <c r="DV160" i="1"/>
  <c r="DV166" i="1"/>
  <c r="EL192" i="1"/>
  <c r="EL175" i="1"/>
  <c r="EL164" i="1"/>
  <c r="EL177" i="1"/>
  <c r="EL176" i="1"/>
  <c r="EL172" i="1"/>
  <c r="EL165" i="1"/>
  <c r="EL173" i="1"/>
  <c r="EL174" i="1"/>
  <c r="EL167" i="1"/>
  <c r="EL161" i="1"/>
  <c r="EL166" i="1"/>
  <c r="EL162" i="1"/>
  <c r="EL158" i="1"/>
  <c r="EL163" i="1"/>
  <c r="EL159" i="1"/>
  <c r="EL160" i="1"/>
  <c r="FB192" i="1"/>
  <c r="FB164" i="1"/>
  <c r="FB176" i="1"/>
  <c r="FB172" i="1"/>
  <c r="FB165" i="1"/>
  <c r="FB177" i="1"/>
  <c r="FB173" i="1"/>
  <c r="FB174" i="1"/>
  <c r="FB167" i="1"/>
  <c r="FB161" i="1"/>
  <c r="FB162" i="1"/>
  <c r="FB158" i="1"/>
  <c r="FB159" i="1"/>
  <c r="FB166" i="1"/>
  <c r="FB163" i="1"/>
  <c r="FR192" i="1"/>
  <c r="FR175" i="1"/>
  <c r="FR164" i="1"/>
  <c r="FR176" i="1"/>
  <c r="FR172" i="1"/>
  <c r="FR165" i="1"/>
  <c r="FR173" i="1"/>
  <c r="FR166" i="1"/>
  <c r="FR177" i="1"/>
  <c r="FR174" i="1"/>
  <c r="FR167" i="1"/>
  <c r="FR161" i="1"/>
  <c r="FR162" i="1"/>
  <c r="FR159" i="1"/>
  <c r="FR163" i="1"/>
  <c r="FR160" i="1"/>
  <c r="GH192" i="1"/>
  <c r="GH175" i="1"/>
  <c r="GH164" i="1"/>
  <c r="GH177" i="1"/>
  <c r="GH176" i="1"/>
  <c r="GH172" i="1"/>
  <c r="GH165" i="1"/>
  <c r="GH173" i="1"/>
  <c r="GH166" i="1"/>
  <c r="GH174" i="1"/>
  <c r="GH167" i="1"/>
  <c r="GH161" i="1"/>
  <c r="GH163" i="1"/>
  <c r="GH158" i="1"/>
  <c r="GH159" i="1"/>
  <c r="GH160" i="1"/>
  <c r="GH162" i="1"/>
  <c r="GX192" i="1"/>
  <c r="GX175" i="1"/>
  <c r="GX164" i="1"/>
  <c r="GX176" i="1"/>
  <c r="GX172" i="1"/>
  <c r="GX165" i="1"/>
  <c r="GX173" i="1"/>
  <c r="GX166" i="1"/>
  <c r="GX174" i="1"/>
  <c r="GX167" i="1"/>
  <c r="GX161" i="1"/>
  <c r="GX158" i="1"/>
  <c r="GX163" i="1"/>
  <c r="GX159" i="1"/>
  <c r="GX162" i="1"/>
  <c r="GX177" i="1"/>
  <c r="GX160" i="1"/>
  <c r="HN192" i="1"/>
  <c r="HN164" i="1"/>
  <c r="HN177" i="1"/>
  <c r="HN176" i="1"/>
  <c r="HN172" i="1"/>
  <c r="HN165" i="1"/>
  <c r="HN173" i="1"/>
  <c r="HN166" i="1"/>
  <c r="HN174" i="1"/>
  <c r="HN167" i="1"/>
  <c r="HN161" i="1"/>
  <c r="HN162" i="1"/>
  <c r="HN159" i="1"/>
  <c r="HN160" i="1"/>
  <c r="HN163" i="1"/>
  <c r="P121" i="1"/>
  <c r="AF121" i="1"/>
  <c r="AV121" i="1"/>
  <c r="BL121" i="1"/>
  <c r="CB121" i="1"/>
  <c r="EJ121" i="1"/>
  <c r="EZ121" i="1"/>
  <c r="FP121" i="1"/>
  <c r="GV121" i="1"/>
  <c r="IB121" i="1"/>
  <c r="T122" i="1"/>
  <c r="AZ122" i="1"/>
  <c r="BP122" i="1"/>
  <c r="CP122" i="1"/>
  <c r="DX122" i="1"/>
  <c r="EN122" i="1"/>
  <c r="FD122" i="1"/>
  <c r="FT122" i="1"/>
  <c r="GJ122" i="1"/>
  <c r="GZ122" i="1"/>
  <c r="AA129" i="1"/>
  <c r="DX158" i="1"/>
  <c r="DX140" i="1"/>
  <c r="EX160" i="1"/>
  <c r="AU132" i="1"/>
  <c r="CB161" i="1"/>
  <c r="DR161" i="1"/>
  <c r="DR140" i="1"/>
  <c r="AQ133" i="1"/>
  <c r="DP167" i="1"/>
  <c r="DP140" i="1"/>
  <c r="GD167" i="1"/>
  <c r="J169" i="1"/>
  <c r="J152" i="1"/>
  <c r="J181" i="1" s="1"/>
  <c r="K137" i="1"/>
  <c r="K136" i="1"/>
  <c r="K140" i="1"/>
  <c r="AX169" i="1"/>
  <c r="AX152" i="1"/>
  <c r="AX181" i="1" s="1"/>
  <c r="AY134" i="1"/>
  <c r="AY133" i="1"/>
  <c r="AY135" i="1"/>
  <c r="AY137" i="1"/>
  <c r="AY136" i="1"/>
  <c r="AY140" i="1"/>
  <c r="CV169" i="1"/>
  <c r="ET169" i="1"/>
  <c r="ET152" i="1"/>
  <c r="ET181" i="1" s="1"/>
  <c r="EU136" i="1"/>
  <c r="EU138" i="1"/>
  <c r="EU133" i="1"/>
  <c r="EU134" i="1"/>
  <c r="EU140" i="1"/>
  <c r="FH181" i="1"/>
  <c r="S144" i="1"/>
  <c r="V181" i="1"/>
  <c r="FZ158" i="1"/>
  <c r="CP160" i="1"/>
  <c r="X162" i="1"/>
  <c r="AB164" i="1"/>
  <c r="GV166" i="1"/>
  <c r="FT177" i="1"/>
  <c r="FB169" i="1"/>
  <c r="FJ169" i="1"/>
  <c r="FJ152" i="1"/>
  <c r="FJ181" i="1" s="1"/>
  <c r="FZ169" i="1"/>
  <c r="FZ152" i="1"/>
  <c r="FZ181" i="1" s="1"/>
  <c r="GH169" i="1"/>
  <c r="GH152" i="1"/>
  <c r="GH181" i="1" s="1"/>
  <c r="GX169" i="1"/>
  <c r="GX152" i="1"/>
  <c r="GX181" i="1" s="1"/>
  <c r="L175" i="1"/>
  <c r="AH175" i="1"/>
  <c r="BR175" i="1"/>
  <c r="EJ175" i="1"/>
  <c r="J179" i="1"/>
  <c r="AB179" i="1"/>
  <c r="AC150" i="1"/>
  <c r="AL179" i="1"/>
  <c r="BD179" i="1"/>
  <c r="BV179" i="1"/>
  <c r="ET179" i="1"/>
  <c r="FX179" i="1"/>
  <c r="HN179" i="1"/>
  <c r="T167" i="1"/>
  <c r="FT169" i="1"/>
  <c r="EX224" i="1"/>
  <c r="EX166" i="1"/>
  <c r="BB167" i="1"/>
  <c r="DR167" i="1"/>
  <c r="ED167" i="1"/>
  <c r="ER167" i="1"/>
  <c r="FC140" i="1"/>
  <c r="FK140" i="1"/>
  <c r="GA140" i="1"/>
  <c r="GI140" i="1"/>
  <c r="GY140" i="1"/>
  <c r="HL225" i="1"/>
  <c r="HL150" i="1"/>
  <c r="DR174" i="1"/>
  <c r="Y146" i="1"/>
  <c r="CN175" i="1"/>
  <c r="EK146" i="1"/>
  <c r="EX175" i="1"/>
  <c r="EX150" i="1"/>
  <c r="EY146" i="1" s="1"/>
  <c r="GL175" i="1"/>
  <c r="GL150" i="1"/>
  <c r="BE147" i="1"/>
  <c r="AC148" i="1"/>
  <c r="AR177" i="1"/>
  <c r="K150" i="1"/>
  <c r="AM150" i="1"/>
  <c r="AV179" i="1"/>
  <c r="BE150" i="1"/>
  <c r="BW150" i="1"/>
  <c r="CP179" i="1"/>
  <c r="CQ150" i="1"/>
  <c r="DR150" i="1"/>
  <c r="DS145" i="1" s="1"/>
  <c r="EL179" i="1"/>
  <c r="EU150" i="1"/>
  <c r="FP179" i="1"/>
  <c r="FQ148" i="1"/>
  <c r="HO150" i="1"/>
  <c r="FX152" i="1"/>
  <c r="FX181" i="1" s="1"/>
  <c r="H169" i="1"/>
  <c r="FK134" i="1"/>
  <c r="GA134" i="1"/>
  <c r="FC136" i="1"/>
  <c r="GI136" i="1"/>
  <c r="HL219" i="1"/>
  <c r="HL165" i="1"/>
  <c r="CN224" i="1"/>
  <c r="CN249" i="1" s="1"/>
  <c r="CN166" i="1"/>
  <c r="HR167" i="1"/>
  <c r="T140" i="1"/>
  <c r="AB169" i="1"/>
  <c r="AB152" i="1"/>
  <c r="AB181" i="1" s="1"/>
  <c r="AJ169" i="1"/>
  <c r="AR169" i="1"/>
  <c r="AR152" i="1"/>
  <c r="AR181" i="1" s="1"/>
  <c r="AZ169" i="1"/>
  <c r="BH169" i="1"/>
  <c r="BH152" i="1"/>
  <c r="BH181" i="1" s="1"/>
  <c r="BP169" i="1"/>
  <c r="BX169" i="1"/>
  <c r="BX152" i="1"/>
  <c r="BX181" i="1" s="1"/>
  <c r="EF169" i="1"/>
  <c r="EN169" i="1"/>
  <c r="EV169" i="1"/>
  <c r="EV152" i="1"/>
  <c r="EV181" i="1" s="1"/>
  <c r="FD169" i="1"/>
  <c r="GB169" i="1"/>
  <c r="GB152" i="1"/>
  <c r="GB181" i="1" s="1"/>
  <c r="GJ169" i="1"/>
  <c r="GR169" i="1"/>
  <c r="GR152" i="1"/>
  <c r="GR181" i="1" s="1"/>
  <c r="K143" i="1"/>
  <c r="BE143" i="1"/>
  <c r="BE144" i="1"/>
  <c r="HM144" i="1"/>
  <c r="Z175" i="1"/>
  <c r="AJ175" i="1"/>
  <c r="AV175" i="1"/>
  <c r="BT175" i="1"/>
  <c r="CO146" i="1"/>
  <c r="EM146" i="1"/>
  <c r="GM146" i="1"/>
  <c r="GZ175" i="1"/>
  <c r="GZ150" i="1"/>
  <c r="HL175" i="1"/>
  <c r="K147" i="1"/>
  <c r="BW147" i="1"/>
  <c r="EU147" i="1"/>
  <c r="L150" i="1"/>
  <c r="M146" i="1" s="1"/>
  <c r="V179" i="1"/>
  <c r="AN179" i="1"/>
  <c r="AW150" i="1"/>
  <c r="BF179" i="1"/>
  <c r="BX179" i="1"/>
  <c r="BY150" i="1"/>
  <c r="CT179" i="1"/>
  <c r="EM150" i="1"/>
  <c r="FQ150" i="1"/>
  <c r="FZ179" i="1"/>
  <c r="AJ152" i="1"/>
  <c r="AJ181" i="1" s="1"/>
  <c r="GJ152" i="1"/>
  <c r="GJ181" i="1" s="1"/>
  <c r="GD160" i="1"/>
  <c r="FK133" i="1"/>
  <c r="GA133" i="1"/>
  <c r="GY136" i="1"/>
  <c r="AK137" i="1"/>
  <c r="CO137" i="1"/>
  <c r="AC138" i="1"/>
  <c r="AS138" i="1"/>
  <c r="BT167" i="1"/>
  <c r="CQ138" i="1"/>
  <c r="EG138" i="1"/>
  <c r="GI138" i="1"/>
  <c r="AC140" i="1"/>
  <c r="AK140" i="1"/>
  <c r="AS140" i="1"/>
  <c r="BA140" i="1"/>
  <c r="BI140" i="1"/>
  <c r="BQ140" i="1"/>
  <c r="BY140" i="1"/>
  <c r="CQ140" i="1"/>
  <c r="EG140" i="1"/>
  <c r="EO140" i="1"/>
  <c r="EW140" i="1"/>
  <c r="FE140" i="1"/>
  <c r="GC140" i="1"/>
  <c r="GK140" i="1"/>
  <c r="GS140" i="1"/>
  <c r="AC143" i="1"/>
  <c r="AR172" i="1"/>
  <c r="BW143" i="1"/>
  <c r="EU143" i="1"/>
  <c r="K144" i="1"/>
  <c r="BW144" i="1"/>
  <c r="EU144" i="1"/>
  <c r="HO144" i="1"/>
  <c r="ED175" i="1"/>
  <c r="GD175" i="1"/>
  <c r="GD150" i="1"/>
  <c r="GE146" i="1" s="1"/>
  <c r="AC147" i="1"/>
  <c r="N179" i="1"/>
  <c r="AF179" i="1"/>
  <c r="AX179" i="1"/>
  <c r="BP179" i="1"/>
  <c r="BQ150" i="1"/>
  <c r="BZ179" i="1"/>
  <c r="ED150" i="1"/>
  <c r="EE146" i="1" s="1"/>
  <c r="FH179" i="1"/>
  <c r="FR179" i="1"/>
  <c r="CP152" i="1"/>
  <c r="CP181" i="1" s="1"/>
  <c r="FC135" i="1"/>
  <c r="GI135" i="1"/>
  <c r="GY135" i="1"/>
  <c r="GL219" i="1"/>
  <c r="GL229" i="1" s="1"/>
  <c r="GM230" i="1" s="1"/>
  <c r="GL165" i="1"/>
  <c r="FC137" i="1"/>
  <c r="GI137" i="1"/>
  <c r="GY137" i="1"/>
  <c r="F167" i="1"/>
  <c r="FK138" i="1"/>
  <c r="F140" i="1"/>
  <c r="N169" i="1"/>
  <c r="N152" i="1"/>
  <c r="N181" i="1" s="1"/>
  <c r="V169" i="1"/>
  <c r="AL169" i="1"/>
  <c r="BB140" i="1"/>
  <c r="BJ169" i="1"/>
  <c r="BJ152" i="1"/>
  <c r="BJ181" i="1" s="1"/>
  <c r="BR169" i="1"/>
  <c r="BZ169" i="1"/>
  <c r="BZ152" i="1"/>
  <c r="BZ181" i="1" s="1"/>
  <c r="CT169" i="1"/>
  <c r="EH169" i="1"/>
  <c r="EH152" i="1"/>
  <c r="EH181" i="1" s="1"/>
  <c r="EP169" i="1"/>
  <c r="FF169" i="1"/>
  <c r="FV169" i="1"/>
  <c r="GL140" i="1"/>
  <c r="GM138" i="1" s="1"/>
  <c r="GT169" i="1"/>
  <c r="GT152" i="1"/>
  <c r="GT181" i="1" s="1"/>
  <c r="HB169" i="1"/>
  <c r="HJ169" i="1"/>
  <c r="HJ152" i="1"/>
  <c r="HJ181" i="1" s="1"/>
  <c r="HR140" i="1"/>
  <c r="HS138" i="1" s="1"/>
  <c r="AC144" i="1"/>
  <c r="HO145" i="1"/>
  <c r="F175" i="1"/>
  <c r="AC146" i="1"/>
  <c r="AM146" i="1"/>
  <c r="BW146" i="1"/>
  <c r="DV175" i="1"/>
  <c r="FB175" i="1"/>
  <c r="FQ146" i="1"/>
  <c r="GP175" i="1"/>
  <c r="HN175" i="1"/>
  <c r="O147" i="1"/>
  <c r="CA147" i="1"/>
  <c r="AW148" i="1"/>
  <c r="CQ148" i="1"/>
  <c r="HO148" i="1"/>
  <c r="F150" i="1"/>
  <c r="O150" i="1"/>
  <c r="AG150" i="1"/>
  <c r="AP179" i="1"/>
  <c r="AY150" i="1"/>
  <c r="BH179" i="1"/>
  <c r="BI150" i="1"/>
  <c r="BR150" i="1"/>
  <c r="BR152" i="1" s="1"/>
  <c r="BR181" i="1" s="1"/>
  <c r="CA150" i="1"/>
  <c r="CV179" i="1"/>
  <c r="EZ179" i="1"/>
  <c r="FA148" i="1"/>
  <c r="FI150" i="1"/>
  <c r="FS150" i="1"/>
  <c r="GX179" i="1"/>
  <c r="CT152" i="1"/>
  <c r="CT181" i="1" s="1"/>
  <c r="FD152" i="1"/>
  <c r="FD181" i="1" s="1"/>
  <c r="AV167" i="1"/>
  <c r="EX138" i="1"/>
  <c r="EX140" i="1" s="1"/>
  <c r="EY129" i="1" s="1"/>
  <c r="GA138" i="1"/>
  <c r="GL167" i="1"/>
  <c r="GY138" i="1"/>
  <c r="FN172" i="1"/>
  <c r="FN150" i="1"/>
  <c r="FO143" i="1" s="1"/>
  <c r="FN225" i="1"/>
  <c r="FN173" i="1"/>
  <c r="GP225" i="1"/>
  <c r="GP173" i="1"/>
  <c r="AM145" i="1"/>
  <c r="T175" i="1"/>
  <c r="BN175" i="1"/>
  <c r="EF175" i="1"/>
  <c r="EF150" i="1"/>
  <c r="ER175" i="1"/>
  <c r="GF175" i="1"/>
  <c r="HO146" i="1"/>
  <c r="EU148" i="1"/>
  <c r="P179" i="1"/>
  <c r="AH150" i="1"/>
  <c r="AI146" i="1" s="1"/>
  <c r="AZ179" i="1"/>
  <c r="BA150" i="1"/>
  <c r="BJ179" i="1"/>
  <c r="DV150" i="1"/>
  <c r="DV152" i="1" s="1"/>
  <c r="DV181" i="1" s="1"/>
  <c r="FJ179" i="1"/>
  <c r="GP150" i="1"/>
  <c r="AZ152" i="1"/>
  <c r="AZ181" i="1" s="1"/>
  <c r="CV152" i="1"/>
  <c r="CV181" i="1" s="1"/>
  <c r="FF152" i="1"/>
  <c r="FF181" i="1" s="1"/>
  <c r="IB162" i="1"/>
  <c r="FC134" i="1"/>
  <c r="GI134" i="1"/>
  <c r="GY134" i="1"/>
  <c r="FK136" i="1"/>
  <c r="GA136" i="1"/>
  <c r="FN167" i="1"/>
  <c r="P169" i="1"/>
  <c r="AF169" i="1"/>
  <c r="AN169" i="1"/>
  <c r="AV140" i="1"/>
  <c r="AW138" i="1" s="1"/>
  <c r="BD169" i="1"/>
  <c r="BL169" i="1"/>
  <c r="BL152" i="1"/>
  <c r="BL181" i="1" s="1"/>
  <c r="ER140" i="1"/>
  <c r="EZ169" i="1"/>
  <c r="EZ152" i="1"/>
  <c r="EZ181" i="1" s="1"/>
  <c r="FP169" i="1"/>
  <c r="FP152" i="1"/>
  <c r="FP181" i="1" s="1"/>
  <c r="GN169" i="1"/>
  <c r="GV169" i="1"/>
  <c r="GV152" i="1"/>
  <c r="GV181" i="1" s="1"/>
  <c r="IB140" i="1"/>
  <c r="BE145" i="1"/>
  <c r="U146" i="1"/>
  <c r="BB175" i="1"/>
  <c r="BO146" i="1"/>
  <c r="EG146" i="1"/>
  <c r="ES146" i="1"/>
  <c r="GG146" i="1"/>
  <c r="AY147" i="1"/>
  <c r="EM147" i="1"/>
  <c r="FS147" i="1"/>
  <c r="HO147" i="1"/>
  <c r="W148" i="1"/>
  <c r="AM148" i="1"/>
  <c r="BA148" i="1"/>
  <c r="H179" i="1"/>
  <c r="Q150" i="1"/>
  <c r="Z150" i="1"/>
  <c r="AR150" i="1"/>
  <c r="AS146" i="1" s="1"/>
  <c r="BB150" i="1"/>
  <c r="BK150" i="1"/>
  <c r="BT150" i="1"/>
  <c r="DN179" i="1"/>
  <c r="ER150" i="1"/>
  <c r="FB150" i="1"/>
  <c r="FK150" i="1"/>
  <c r="HB152" i="1"/>
  <c r="HB181" i="1" s="1"/>
  <c r="HL173" i="1"/>
  <c r="EN179" i="1"/>
  <c r="EV179" i="1"/>
  <c r="FD179" i="1"/>
  <c r="FT179" i="1"/>
  <c r="GB179" i="1"/>
  <c r="GJ179" i="1"/>
  <c r="GR179" i="1"/>
  <c r="DY150" i="1"/>
  <c r="EO150" i="1"/>
  <c r="EW150" i="1"/>
  <c r="FE150" i="1"/>
  <c r="FU150" i="1"/>
  <c r="GC150" i="1"/>
  <c r="GK150" i="1"/>
  <c r="GS150" i="1"/>
  <c r="EH179" i="1"/>
  <c r="EP179" i="1"/>
  <c r="FF179" i="1"/>
  <c r="FV179" i="1"/>
  <c r="GT179" i="1"/>
  <c r="HB179" i="1"/>
  <c r="HJ179" i="1"/>
  <c r="GN179" i="1"/>
  <c r="GV179" i="1"/>
  <c r="HD179" i="1"/>
  <c r="IB179" i="1"/>
  <c r="F238" i="1"/>
  <c r="F207" i="1"/>
  <c r="V238" i="1"/>
  <c r="V207" i="1"/>
  <c r="AL238" i="1"/>
  <c r="AL207" i="1"/>
  <c r="BB207" i="1"/>
  <c r="BR238" i="1"/>
  <c r="BR207" i="1"/>
  <c r="CT238" i="1"/>
  <c r="CT207" i="1"/>
  <c r="DZ207" i="1"/>
  <c r="EP238" i="1"/>
  <c r="EP207" i="1"/>
  <c r="FF238" i="1"/>
  <c r="FF207" i="1"/>
  <c r="FV207" i="1"/>
  <c r="GL238" i="1"/>
  <c r="GL207" i="1"/>
  <c r="HB238" i="1"/>
  <c r="HB207" i="1"/>
  <c r="HR238" i="1"/>
  <c r="HR207" i="1"/>
  <c r="J238" i="1"/>
  <c r="J207" i="1"/>
  <c r="Z238" i="1"/>
  <c r="Z207" i="1"/>
  <c r="AP238" i="1"/>
  <c r="AP207" i="1"/>
  <c r="BF238" i="1"/>
  <c r="BF207" i="1"/>
  <c r="BV238" i="1"/>
  <c r="BV207" i="1"/>
  <c r="DN207" i="1"/>
  <c r="ED238" i="1"/>
  <c r="ED245" i="1" s="1"/>
  <c r="EE245" i="1" s="1"/>
  <c r="ED207" i="1"/>
  <c r="ET238" i="1"/>
  <c r="ET207" i="1"/>
  <c r="FJ238" i="1"/>
  <c r="FJ207" i="1"/>
  <c r="FZ238" i="1"/>
  <c r="FZ207" i="1"/>
  <c r="GP238" i="1"/>
  <c r="GP245" i="1" s="1"/>
  <c r="GQ245" i="1" s="1"/>
  <c r="GP207" i="1"/>
  <c r="L238" i="1"/>
  <c r="L207" i="1"/>
  <c r="AB238" i="1"/>
  <c r="AB207" i="1"/>
  <c r="AR238" i="1"/>
  <c r="AR207" i="1"/>
  <c r="BH238" i="1"/>
  <c r="BH207" i="1"/>
  <c r="BX238" i="1"/>
  <c r="BX207" i="1"/>
  <c r="DP238" i="1"/>
  <c r="DP207" i="1"/>
  <c r="EF207" i="1"/>
  <c r="EV238" i="1"/>
  <c r="EV207" i="1"/>
  <c r="GB207" i="1"/>
  <c r="GR238" i="1"/>
  <c r="GR207" i="1"/>
  <c r="AR230" i="1"/>
  <c r="AS225" i="1"/>
  <c r="FC220" i="1"/>
  <c r="FS220" i="1"/>
  <c r="GI220" i="1"/>
  <c r="GY220" i="1"/>
  <c r="HO220" i="1"/>
  <c r="V229" i="1"/>
  <c r="W224" i="1"/>
  <c r="V227" i="1"/>
  <c r="W227" i="1" s="1"/>
  <c r="AH229" i="1"/>
  <c r="AI224" i="1"/>
  <c r="AH227" i="1"/>
  <c r="AI227" i="1" s="1"/>
  <c r="AV229" i="1"/>
  <c r="AV227" i="1"/>
  <c r="AW227" i="1" s="1"/>
  <c r="BH229" i="1"/>
  <c r="BI224" i="1"/>
  <c r="BH227" i="1"/>
  <c r="BI227" i="1" s="1"/>
  <c r="CT229" i="1"/>
  <c r="CU224" i="1"/>
  <c r="CT227" i="1"/>
  <c r="CU227" i="1" s="1"/>
  <c r="DV229" i="1"/>
  <c r="DW224" i="1"/>
  <c r="DV227" i="1"/>
  <c r="DW227" i="1" s="1"/>
  <c r="EJ229" i="1"/>
  <c r="EK239" i="1" s="1"/>
  <c r="EJ227" i="1"/>
  <c r="EK227" i="1" s="1"/>
  <c r="EV229" i="1"/>
  <c r="EW224" i="1"/>
  <c r="EV227" i="1"/>
  <c r="EW227" i="1" s="1"/>
  <c r="FV229" i="1"/>
  <c r="FV238" i="1" s="1"/>
  <c r="FW224" i="1"/>
  <c r="FV227" i="1"/>
  <c r="FW227" i="1" s="1"/>
  <c r="GH229" i="1"/>
  <c r="GI238" i="1" s="1"/>
  <c r="GI224" i="1"/>
  <c r="GV229" i="1"/>
  <c r="GV227" i="1"/>
  <c r="GW227" i="1" s="1"/>
  <c r="J230" i="1"/>
  <c r="K225" i="1"/>
  <c r="V230" i="1"/>
  <c r="W225" i="1"/>
  <c r="AV230" i="1"/>
  <c r="AW230" i="1" s="1"/>
  <c r="AW225" i="1"/>
  <c r="BI225" i="1"/>
  <c r="CT230" i="1"/>
  <c r="CU230" i="1" s="1"/>
  <c r="CU225" i="1"/>
  <c r="H245" i="1"/>
  <c r="X245" i="1"/>
  <c r="AN245" i="1"/>
  <c r="CV238" i="1"/>
  <c r="CW238" i="1" s="1"/>
  <c r="ER245" i="1"/>
  <c r="GN245" i="1"/>
  <c r="HE238" i="1"/>
  <c r="AJ207" i="1"/>
  <c r="AZ207" i="1"/>
  <c r="BP207" i="1"/>
  <c r="CP207" i="1"/>
  <c r="DX207" i="1"/>
  <c r="EN207" i="1"/>
  <c r="FD207" i="1"/>
  <c r="FT207" i="1"/>
  <c r="GJ207" i="1"/>
  <c r="K219" i="1"/>
  <c r="S219" i="1"/>
  <c r="AA219" i="1"/>
  <c r="AI219" i="1"/>
  <c r="AQ219" i="1"/>
  <c r="AY219" i="1"/>
  <c r="BG219" i="1"/>
  <c r="BO219" i="1"/>
  <c r="BW219" i="1"/>
  <c r="CO219" i="1"/>
  <c r="DO219" i="1"/>
  <c r="DW219" i="1"/>
  <c r="EE219" i="1"/>
  <c r="EM219" i="1"/>
  <c r="EU219" i="1"/>
  <c r="FC219" i="1"/>
  <c r="FK219" i="1"/>
  <c r="FS219" i="1"/>
  <c r="GA219" i="1"/>
  <c r="GI219" i="1"/>
  <c r="GQ219" i="1"/>
  <c r="GY219" i="1"/>
  <c r="HO219" i="1"/>
  <c r="I220" i="1"/>
  <c r="Y220" i="1"/>
  <c r="AO220" i="1"/>
  <c r="BC220" i="1"/>
  <c r="BS220" i="1"/>
  <c r="EA220" i="1"/>
  <c r="EQ220" i="1"/>
  <c r="FE220" i="1"/>
  <c r="FU220" i="1"/>
  <c r="GK220" i="1"/>
  <c r="HA220" i="1"/>
  <c r="K224" i="1"/>
  <c r="J229" i="1"/>
  <c r="J227" i="1"/>
  <c r="K227" i="1" s="1"/>
  <c r="AJ229" i="1"/>
  <c r="AK230" i="1" s="1"/>
  <c r="AK224" i="1"/>
  <c r="AJ227" i="1"/>
  <c r="AK227" i="1" s="1"/>
  <c r="AW224" i="1"/>
  <c r="BJ229" i="1"/>
  <c r="BK224" i="1"/>
  <c r="BJ227" i="1"/>
  <c r="BK227" i="1" s="1"/>
  <c r="BV229" i="1"/>
  <c r="BW224" i="1"/>
  <c r="BV227" i="1"/>
  <c r="BW227" i="1" s="1"/>
  <c r="CV229" i="1"/>
  <c r="CV227" i="1"/>
  <c r="CW227" i="1" s="1"/>
  <c r="DX229" i="1"/>
  <c r="DY224" i="1"/>
  <c r="DX227" i="1"/>
  <c r="DY227" i="1" s="1"/>
  <c r="EK224" i="1"/>
  <c r="FJ229" i="1"/>
  <c r="FK224" i="1"/>
  <c r="FJ227" i="1"/>
  <c r="FK227" i="1" s="1"/>
  <c r="FX229" i="1"/>
  <c r="FX238" i="1" s="1"/>
  <c r="FX227" i="1"/>
  <c r="FY227" i="1" s="1"/>
  <c r="GJ229" i="1"/>
  <c r="GK238" i="1" s="1"/>
  <c r="GK224" i="1"/>
  <c r="GJ227" i="1"/>
  <c r="GK227" i="1" s="1"/>
  <c r="GW224" i="1"/>
  <c r="HJ229" i="1"/>
  <c r="HJ238" i="1" s="1"/>
  <c r="HK224" i="1"/>
  <c r="HJ227" i="1"/>
  <c r="HK227" i="1" s="1"/>
  <c r="X230" i="1"/>
  <c r="Y225" i="1"/>
  <c r="AK225" i="1"/>
  <c r="AX230" i="1"/>
  <c r="AY230" i="1" s="1"/>
  <c r="AY225" i="1"/>
  <c r="BJ230" i="1"/>
  <c r="BK230" i="1" s="1"/>
  <c r="BK225" i="1"/>
  <c r="CV230" i="1"/>
  <c r="CW230" i="1" s="1"/>
  <c r="CW225" i="1"/>
  <c r="DY225" i="1"/>
  <c r="BH249" i="1"/>
  <c r="EV249" i="1"/>
  <c r="GR249" i="1"/>
  <c r="K220" i="1"/>
  <c r="AA220" i="1"/>
  <c r="AQ220" i="1"/>
  <c r="BE220" i="1"/>
  <c r="BU220" i="1"/>
  <c r="CW220" i="1"/>
  <c r="ER230" i="1"/>
  <c r="ES225" i="1"/>
  <c r="FG220" i="1"/>
  <c r="HC220" i="1"/>
  <c r="HS220" i="1"/>
  <c r="H222" i="1"/>
  <c r="I222" i="1" s="1"/>
  <c r="P222" i="1"/>
  <c r="Q222" i="1" s="1"/>
  <c r="X222" i="1"/>
  <c r="Y222" i="1" s="1"/>
  <c r="AF222" i="1"/>
  <c r="AG222" i="1" s="1"/>
  <c r="AN222" i="1"/>
  <c r="AO222" i="1" s="1"/>
  <c r="BD222" i="1"/>
  <c r="BE222" i="1" s="1"/>
  <c r="BL222" i="1"/>
  <c r="BM222" i="1" s="1"/>
  <c r="BT222" i="1"/>
  <c r="BU222" i="1" s="1"/>
  <c r="CB222" i="1"/>
  <c r="CC222" i="1" s="1"/>
  <c r="CV222" i="1"/>
  <c r="CW222" i="1" s="1"/>
  <c r="ER222" i="1"/>
  <c r="ES222" i="1" s="1"/>
  <c r="EZ222" i="1"/>
  <c r="FA222" i="1" s="1"/>
  <c r="FH222" i="1"/>
  <c r="FI222" i="1" s="1"/>
  <c r="FP222" i="1"/>
  <c r="FQ222" i="1" s="1"/>
  <c r="FX222" i="1"/>
  <c r="FY222" i="1" s="1"/>
  <c r="GF222" i="1"/>
  <c r="GG222" i="1" s="1"/>
  <c r="GN222" i="1"/>
  <c r="GO222" i="1" s="1"/>
  <c r="HD222" i="1"/>
  <c r="HE222" i="1" s="1"/>
  <c r="M224" i="1"/>
  <c r="L227" i="1"/>
  <c r="M227" i="1" s="1"/>
  <c r="L229" i="1"/>
  <c r="M230" i="1" s="1"/>
  <c r="Y224" i="1"/>
  <c r="AM224" i="1"/>
  <c r="AL227" i="1"/>
  <c r="AM227" i="1" s="1"/>
  <c r="AL229" i="1"/>
  <c r="AX229" i="1"/>
  <c r="AY224" i="1"/>
  <c r="AX227" i="1"/>
  <c r="AY227" i="1" s="1"/>
  <c r="BL229" i="1"/>
  <c r="BL227" i="1"/>
  <c r="BM227" i="1" s="1"/>
  <c r="BX229" i="1"/>
  <c r="BY230" i="1" s="1"/>
  <c r="BY224" i="1"/>
  <c r="BX227" i="1"/>
  <c r="BY227" i="1" s="1"/>
  <c r="CW224" i="1"/>
  <c r="DZ229" i="1"/>
  <c r="DZ238" i="1" s="1"/>
  <c r="EA224" i="1"/>
  <c r="DZ227" i="1"/>
  <c r="EA227" i="1" s="1"/>
  <c r="EL229" i="1"/>
  <c r="EM245" i="1" s="1"/>
  <c r="EM224" i="1"/>
  <c r="EL227" i="1"/>
  <c r="EM227" i="1" s="1"/>
  <c r="EZ229" i="1"/>
  <c r="FA238" i="1" s="1"/>
  <c r="EZ227" i="1"/>
  <c r="FA227" i="1" s="1"/>
  <c r="FY224" i="1"/>
  <c r="GM224" i="1"/>
  <c r="GL227" i="1"/>
  <c r="GM227" i="1" s="1"/>
  <c r="GX229" i="1"/>
  <c r="GX227" i="1"/>
  <c r="GY227" i="1" s="1"/>
  <c r="GY224" i="1"/>
  <c r="HL229" i="1"/>
  <c r="HL227" i="1"/>
  <c r="HM227" i="1" s="1"/>
  <c r="M225" i="1"/>
  <c r="Z230" i="1"/>
  <c r="AA225" i="1"/>
  <c r="AL230" i="1"/>
  <c r="AM225" i="1"/>
  <c r="BL230" i="1"/>
  <c r="BM230" i="1" s="1"/>
  <c r="BM225" i="1"/>
  <c r="BY225" i="1"/>
  <c r="DZ230" i="1"/>
  <c r="EA225" i="1"/>
  <c r="H207" i="1"/>
  <c r="X207" i="1"/>
  <c r="AN207" i="1"/>
  <c r="BD207" i="1"/>
  <c r="BT207" i="1"/>
  <c r="CV207" i="1"/>
  <c r="ER207" i="1"/>
  <c r="FH207" i="1"/>
  <c r="FX207" i="1"/>
  <c r="GN207" i="1"/>
  <c r="HD207" i="1"/>
  <c r="M219" i="1"/>
  <c r="U219" i="1"/>
  <c r="AC219" i="1"/>
  <c r="AK219" i="1"/>
  <c r="AS219" i="1"/>
  <c r="BA219" i="1"/>
  <c r="BI219" i="1"/>
  <c r="BQ219" i="1"/>
  <c r="BY219" i="1"/>
  <c r="CQ219" i="1"/>
  <c r="DQ219" i="1"/>
  <c r="DY219" i="1"/>
  <c r="EG219" i="1"/>
  <c r="EO219" i="1"/>
  <c r="EW219" i="1"/>
  <c r="FE219" i="1"/>
  <c r="FU219" i="1"/>
  <c r="GC219" i="1"/>
  <c r="GK219" i="1"/>
  <c r="GS219" i="1"/>
  <c r="HA219" i="1"/>
  <c r="M220" i="1"/>
  <c r="AC220" i="1"/>
  <c r="BG220" i="1"/>
  <c r="BW220" i="1"/>
  <c r="DO220" i="1"/>
  <c r="EE220" i="1"/>
  <c r="ES220" i="1"/>
  <c r="FI220" i="1"/>
  <c r="FY220" i="1"/>
  <c r="GO220" i="1"/>
  <c r="HE220" i="1"/>
  <c r="O224" i="1"/>
  <c r="N227" i="1"/>
  <c r="O227" i="1" s="1"/>
  <c r="N229" i="1"/>
  <c r="Z229" i="1"/>
  <c r="AA224" i="1"/>
  <c r="Z227" i="1"/>
  <c r="AA227" i="1" s="1"/>
  <c r="AN229" i="1"/>
  <c r="AO238" i="1" s="1"/>
  <c r="AN227" i="1"/>
  <c r="AO227" i="1" s="1"/>
  <c r="AZ229" i="1"/>
  <c r="BA224" i="1"/>
  <c r="AZ227" i="1"/>
  <c r="BA227" i="1" s="1"/>
  <c r="BM224" i="1"/>
  <c r="BZ229" i="1"/>
  <c r="CA224" i="1"/>
  <c r="BZ227" i="1"/>
  <c r="CA227" i="1" s="1"/>
  <c r="DN229" i="1"/>
  <c r="DO230" i="1" s="1"/>
  <c r="DO224" i="1"/>
  <c r="DN227" i="1"/>
  <c r="DO227" i="1" s="1"/>
  <c r="EN229" i="1"/>
  <c r="EO224" i="1"/>
  <c r="EN227" i="1"/>
  <c r="EO227" i="1" s="1"/>
  <c r="FA224" i="1"/>
  <c r="FN229" i="1"/>
  <c r="FO224" i="1"/>
  <c r="FN227" i="1"/>
  <c r="FO227" i="1" s="1"/>
  <c r="FZ229" i="1"/>
  <c r="FZ227" i="1"/>
  <c r="GA227" i="1" s="1"/>
  <c r="GA224" i="1"/>
  <c r="GN229" i="1"/>
  <c r="GO238" i="1" s="1"/>
  <c r="GN227" i="1"/>
  <c r="GO227" i="1" s="1"/>
  <c r="GZ229" i="1"/>
  <c r="GZ227" i="1"/>
  <c r="HA227" i="1" s="1"/>
  <c r="HA224" i="1"/>
  <c r="HM224" i="1"/>
  <c r="N230" i="1"/>
  <c r="O225" i="1"/>
  <c r="AN230" i="1"/>
  <c r="AO225" i="1"/>
  <c r="BA225" i="1"/>
  <c r="BZ230" i="1"/>
  <c r="CA230" i="1" s="1"/>
  <c r="CA225" i="1"/>
  <c r="EO225" i="1"/>
  <c r="H229" i="1"/>
  <c r="AT245" i="1"/>
  <c r="BJ238" i="1"/>
  <c r="BK238" i="1" s="1"/>
  <c r="BZ238" i="1"/>
  <c r="EH245" i="1"/>
  <c r="GT245" i="1"/>
  <c r="V249" i="1"/>
  <c r="CT249" i="1"/>
  <c r="EX249" i="1"/>
  <c r="FV249" i="1"/>
  <c r="O220" i="1"/>
  <c r="EU220" i="1"/>
  <c r="FK220" i="1"/>
  <c r="GA220" i="1"/>
  <c r="GQ220" i="1"/>
  <c r="J222" i="1"/>
  <c r="K222" i="1" s="1"/>
  <c r="R222" i="1"/>
  <c r="S222" i="1" s="1"/>
  <c r="Z222" i="1"/>
  <c r="AA222" i="1" s="1"/>
  <c r="AH222" i="1"/>
  <c r="AI222" i="1" s="1"/>
  <c r="AP222" i="1"/>
  <c r="AQ222" i="1" s="1"/>
  <c r="AX222" i="1"/>
  <c r="AY222" i="1" s="1"/>
  <c r="BF222" i="1"/>
  <c r="BG222" i="1" s="1"/>
  <c r="BN222" i="1"/>
  <c r="BO222" i="1" s="1"/>
  <c r="BV222" i="1"/>
  <c r="BW222" i="1" s="1"/>
  <c r="CN222" i="1"/>
  <c r="CO222" i="1" s="1"/>
  <c r="DN222" i="1"/>
  <c r="DO222" i="1" s="1"/>
  <c r="DV222" i="1"/>
  <c r="DW222" i="1" s="1"/>
  <c r="ED222" i="1"/>
  <c r="EE222" i="1" s="1"/>
  <c r="EL222" i="1"/>
  <c r="EM222" i="1" s="1"/>
  <c r="ET222" i="1"/>
  <c r="EU222" i="1" s="1"/>
  <c r="FB222" i="1"/>
  <c r="FC222" i="1" s="1"/>
  <c r="FJ222" i="1"/>
  <c r="FK222" i="1" s="1"/>
  <c r="FR222" i="1"/>
  <c r="FS222" i="1" s="1"/>
  <c r="FZ222" i="1"/>
  <c r="GA222" i="1" s="1"/>
  <c r="GH222" i="1"/>
  <c r="GI222" i="1" s="1"/>
  <c r="GP222" i="1"/>
  <c r="GQ222" i="1" s="1"/>
  <c r="GX222" i="1"/>
  <c r="GY222" i="1" s="1"/>
  <c r="HN222" i="1"/>
  <c r="HO222" i="1" s="1"/>
  <c r="P227" i="1"/>
  <c r="Q227" i="1" s="1"/>
  <c r="P229" i="1"/>
  <c r="AB229" i="1"/>
  <c r="AC230" i="1" s="1"/>
  <c r="AC224" i="1"/>
  <c r="AB227" i="1"/>
  <c r="AC227" i="1" s="1"/>
  <c r="BB229" i="1"/>
  <c r="BC224" i="1"/>
  <c r="BB227" i="1"/>
  <c r="BC227" i="1" s="1"/>
  <c r="BN229" i="1"/>
  <c r="BO224" i="1"/>
  <c r="BN227" i="1"/>
  <c r="BO227" i="1" s="1"/>
  <c r="CB229" i="1"/>
  <c r="CC236" i="1" s="1"/>
  <c r="CB227" i="1"/>
  <c r="CC227" i="1" s="1"/>
  <c r="DP229" i="1"/>
  <c r="DQ224" i="1"/>
  <c r="DP227" i="1"/>
  <c r="DQ227" i="1" s="1"/>
  <c r="EP229" i="1"/>
  <c r="EQ224" i="1"/>
  <c r="EP227" i="1"/>
  <c r="EQ227" i="1" s="1"/>
  <c r="FB229" i="1"/>
  <c r="FC243" i="1" s="1"/>
  <c r="FB227" i="1"/>
  <c r="FC227" i="1" s="1"/>
  <c r="FC224" i="1"/>
  <c r="FP229" i="1"/>
  <c r="FP227" i="1"/>
  <c r="FQ227" i="1" s="1"/>
  <c r="GB229" i="1"/>
  <c r="GB227" i="1"/>
  <c r="GC227" i="1" s="1"/>
  <c r="GC224" i="1"/>
  <c r="HB229" i="1"/>
  <c r="HC230" i="1" s="1"/>
  <c r="HC224" i="1"/>
  <c r="HB227" i="1"/>
  <c r="HC227" i="1" s="1"/>
  <c r="HN229" i="1"/>
  <c r="HO238" i="1" s="1"/>
  <c r="HN227" i="1"/>
  <c r="HO227" i="1" s="1"/>
  <c r="HO224" i="1"/>
  <c r="IB229" i="1"/>
  <c r="IB227" i="1"/>
  <c r="IC227" i="1" s="1"/>
  <c r="P230" i="1"/>
  <c r="Q225" i="1"/>
  <c r="AC225" i="1"/>
  <c r="AP230" i="1"/>
  <c r="AQ225" i="1"/>
  <c r="BB230" i="1"/>
  <c r="BC225" i="1"/>
  <c r="CB230" i="1"/>
  <c r="CC225" i="1"/>
  <c r="DQ225" i="1"/>
  <c r="EP230" i="1"/>
  <c r="EQ230" i="1" s="1"/>
  <c r="EQ225" i="1"/>
  <c r="GI230" i="1"/>
  <c r="X229" i="1"/>
  <c r="Y238" i="1" s="1"/>
  <c r="P245" i="1"/>
  <c r="AF245" i="1"/>
  <c r="AG238" i="1"/>
  <c r="AV238" i="1"/>
  <c r="AW238" i="1" s="1"/>
  <c r="BL245" i="1"/>
  <c r="BM245" i="1" s="1"/>
  <c r="BM238" i="1"/>
  <c r="EJ245" i="1"/>
  <c r="FP245" i="1"/>
  <c r="FQ238" i="1"/>
  <c r="GV245" i="1"/>
  <c r="GW245" i="1" s="1"/>
  <c r="GW238" i="1"/>
  <c r="HM238" i="1"/>
  <c r="IB245" i="1"/>
  <c r="G219" i="1"/>
  <c r="O219" i="1"/>
  <c r="W219" i="1"/>
  <c r="AM219" i="1"/>
  <c r="AU219" i="1"/>
  <c r="BC219" i="1"/>
  <c r="BK219" i="1"/>
  <c r="BS219" i="1"/>
  <c r="CA219" i="1"/>
  <c r="CU219" i="1"/>
  <c r="DS219" i="1"/>
  <c r="EA219" i="1"/>
  <c r="EI219" i="1"/>
  <c r="EQ219" i="1"/>
  <c r="EY219" i="1"/>
  <c r="FG219" i="1"/>
  <c r="FO219" i="1"/>
  <c r="FW219" i="1"/>
  <c r="GE219" i="1"/>
  <c r="GU219" i="1"/>
  <c r="HC219" i="1"/>
  <c r="HK219" i="1"/>
  <c r="HS219" i="1"/>
  <c r="Q220" i="1"/>
  <c r="AG220" i="1"/>
  <c r="AU220" i="1"/>
  <c r="BK220" i="1"/>
  <c r="CA220" i="1"/>
  <c r="DS220" i="1"/>
  <c r="EI220" i="1"/>
  <c r="EW220" i="1"/>
  <c r="GC220" i="1"/>
  <c r="GS220" i="1"/>
  <c r="IB222" i="1"/>
  <c r="IC222" i="1" s="1"/>
  <c r="Q224" i="1"/>
  <c r="AP229" i="1"/>
  <c r="AQ224" i="1"/>
  <c r="AP227" i="1"/>
  <c r="AQ227" i="1" s="1"/>
  <c r="BD229" i="1"/>
  <c r="BD238" i="1" s="1"/>
  <c r="BD227" i="1"/>
  <c r="BE227" i="1" s="1"/>
  <c r="BP229" i="1"/>
  <c r="BQ224" i="1"/>
  <c r="BP227" i="1"/>
  <c r="BQ227" i="1" s="1"/>
  <c r="CC224" i="1"/>
  <c r="DR229" i="1"/>
  <c r="DR238" i="1" s="1"/>
  <c r="DS224" i="1"/>
  <c r="DR227" i="1"/>
  <c r="DS227" i="1" s="1"/>
  <c r="ED229" i="1"/>
  <c r="EE236" i="1" s="1"/>
  <c r="EE224" i="1"/>
  <c r="ED227" i="1"/>
  <c r="EE227" i="1" s="1"/>
  <c r="ER229" i="1"/>
  <c r="ER227" i="1"/>
  <c r="ES227" i="1" s="1"/>
  <c r="FD229" i="1"/>
  <c r="FD227" i="1"/>
  <c r="FE227" i="1" s="1"/>
  <c r="FE224" i="1"/>
  <c r="FQ224" i="1"/>
  <c r="GD229" i="1"/>
  <c r="GE238" i="1" s="1"/>
  <c r="GD227" i="1"/>
  <c r="GE227" i="1" s="1"/>
  <c r="GE224" i="1"/>
  <c r="GP229" i="1"/>
  <c r="GP227" i="1"/>
  <c r="GQ227" i="1" s="1"/>
  <c r="GQ224" i="1"/>
  <c r="HD229" i="1"/>
  <c r="HD227" i="1"/>
  <c r="HE227" i="1" s="1"/>
  <c r="IC224" i="1"/>
  <c r="R230" i="1"/>
  <c r="S225" i="1"/>
  <c r="BD230" i="1"/>
  <c r="BE225" i="1"/>
  <c r="BQ225" i="1"/>
  <c r="DR230" i="1"/>
  <c r="DS225" i="1"/>
  <c r="R245" i="1"/>
  <c r="AH238" i="1"/>
  <c r="AX238" i="1"/>
  <c r="BN245" i="1"/>
  <c r="BO245" i="1" s="1"/>
  <c r="BO238" i="1"/>
  <c r="DV245" i="1"/>
  <c r="DW245" i="1" s="1"/>
  <c r="DW238" i="1"/>
  <c r="EM238" i="1"/>
  <c r="FR245" i="1"/>
  <c r="GH245" i="1"/>
  <c r="GY245" i="1"/>
  <c r="HN245" i="1"/>
  <c r="N207" i="1"/>
  <c r="AT207" i="1"/>
  <c r="BJ207" i="1"/>
  <c r="BZ207" i="1"/>
  <c r="DR207" i="1"/>
  <c r="EH207" i="1"/>
  <c r="EX207" i="1"/>
  <c r="FN207" i="1"/>
  <c r="GD207" i="1"/>
  <c r="GT207" i="1"/>
  <c r="HJ207" i="1"/>
  <c r="AV249" i="1"/>
  <c r="EJ249" i="1"/>
  <c r="GV249" i="1"/>
  <c r="S220" i="1"/>
  <c r="AI220" i="1"/>
  <c r="AW220" i="1"/>
  <c r="BM220" i="1"/>
  <c r="CC220" i="1"/>
  <c r="EK220" i="1"/>
  <c r="EY220" i="1"/>
  <c r="FO220" i="1"/>
  <c r="GE220" i="1"/>
  <c r="GU220" i="1"/>
  <c r="HK220" i="1"/>
  <c r="F229" i="1"/>
  <c r="G224" i="1"/>
  <c r="F227" i="1"/>
  <c r="G227" i="1" s="1"/>
  <c r="R229" i="1"/>
  <c r="S224" i="1"/>
  <c r="R227" i="1"/>
  <c r="S227" i="1" s="1"/>
  <c r="AF227" i="1"/>
  <c r="AG227" i="1" s="1"/>
  <c r="AF229" i="1"/>
  <c r="AR229" i="1"/>
  <c r="AS224" i="1"/>
  <c r="AR227" i="1"/>
  <c r="AS227" i="1" s="1"/>
  <c r="BR229" i="1"/>
  <c r="BS224" i="1"/>
  <c r="BR227" i="1"/>
  <c r="BS227" i="1" s="1"/>
  <c r="EF229" i="1"/>
  <c r="EG230" i="1" s="1"/>
  <c r="EG224" i="1"/>
  <c r="EF227" i="1"/>
  <c r="EG227" i="1" s="1"/>
  <c r="FF229" i="1"/>
  <c r="FG230" i="1" s="1"/>
  <c r="FF227" i="1"/>
  <c r="FG227" i="1" s="1"/>
  <c r="FG224" i="1"/>
  <c r="FR229" i="1"/>
  <c r="FS230" i="1" s="1"/>
  <c r="FR227" i="1"/>
  <c r="FS227" i="1" s="1"/>
  <c r="FS224" i="1"/>
  <c r="GF229" i="1"/>
  <c r="GF227" i="1"/>
  <c r="GG227" i="1" s="1"/>
  <c r="GR229" i="1"/>
  <c r="GR227" i="1"/>
  <c r="GS227" i="1" s="1"/>
  <c r="GS224" i="1"/>
  <c r="HR229" i="1"/>
  <c r="HR227" i="1"/>
  <c r="HS227" i="1" s="1"/>
  <c r="HS224" i="1"/>
  <c r="F230" i="1"/>
  <c r="G230" i="1" s="1"/>
  <c r="G225" i="1"/>
  <c r="U230" i="1"/>
  <c r="AF230" i="1"/>
  <c r="AG230" i="1" s="1"/>
  <c r="AG225" i="1"/>
  <c r="BR230" i="1"/>
  <c r="BS225" i="1"/>
  <c r="EG225" i="1"/>
  <c r="T238" i="1"/>
  <c r="U238" i="1" s="1"/>
  <c r="AK238" i="1"/>
  <c r="AZ245" i="1"/>
  <c r="BA245" i="1" s="1"/>
  <c r="BA238" i="1"/>
  <c r="BP245" i="1"/>
  <c r="BQ245" i="1" s="1"/>
  <c r="BQ238" i="1"/>
  <c r="CP245" i="1"/>
  <c r="DX245" i="1"/>
  <c r="DY245" i="1" s="1"/>
  <c r="DY238" i="1"/>
  <c r="EN245" i="1"/>
  <c r="EO245" i="1" s="1"/>
  <c r="EO238" i="1"/>
  <c r="FD245" i="1"/>
  <c r="FE238" i="1"/>
  <c r="FT245" i="1"/>
  <c r="GJ245" i="1"/>
  <c r="GZ238" i="1"/>
  <c r="P207" i="1"/>
  <c r="AF207" i="1"/>
  <c r="AV207" i="1"/>
  <c r="BL207" i="1"/>
  <c r="CB207" i="1"/>
  <c r="EJ207" i="1"/>
  <c r="EZ207" i="1"/>
  <c r="FP207" i="1"/>
  <c r="GF207" i="1"/>
  <c r="GV207" i="1"/>
  <c r="HL207" i="1"/>
  <c r="IB207" i="1"/>
  <c r="I219" i="1"/>
  <c r="Q219" i="1"/>
  <c r="Y219" i="1"/>
  <c r="AG219" i="1"/>
  <c r="AO219" i="1"/>
  <c r="AW219" i="1"/>
  <c r="BE219" i="1"/>
  <c r="BM219" i="1"/>
  <c r="BU219" i="1"/>
  <c r="CC219" i="1"/>
  <c r="CW219" i="1"/>
  <c r="EK219" i="1"/>
  <c r="ES219" i="1"/>
  <c r="FA219" i="1"/>
  <c r="FI219" i="1"/>
  <c r="FQ219" i="1"/>
  <c r="FY219" i="1"/>
  <c r="GG219" i="1"/>
  <c r="GO219" i="1"/>
  <c r="GW219" i="1"/>
  <c r="HE219" i="1"/>
  <c r="IC219" i="1"/>
  <c r="U220" i="1"/>
  <c r="AK220" i="1"/>
  <c r="AY220" i="1"/>
  <c r="BO220" i="1"/>
  <c r="CO220" i="1"/>
  <c r="DW220" i="1"/>
  <c r="EM220" i="1"/>
  <c r="FA220" i="1"/>
  <c r="FQ220" i="1"/>
  <c r="GG220" i="1"/>
  <c r="GW220" i="1"/>
  <c r="IC220" i="1"/>
  <c r="HR222" i="1"/>
  <c r="HS222" i="1" s="1"/>
  <c r="T229" i="1"/>
  <c r="U224" i="1"/>
  <c r="T227" i="1"/>
  <c r="U227" i="1" s="1"/>
  <c r="AG224" i="1"/>
  <c r="AT229" i="1"/>
  <c r="AU224" i="1"/>
  <c r="AT227" i="1"/>
  <c r="AU227" i="1" s="1"/>
  <c r="BF229" i="1"/>
  <c r="BG224" i="1"/>
  <c r="BF227" i="1"/>
  <c r="BG227" i="1" s="1"/>
  <c r="BT229" i="1"/>
  <c r="BT238" i="1" s="1"/>
  <c r="BT227" i="1"/>
  <c r="BU227" i="1" s="1"/>
  <c r="CP229" i="1"/>
  <c r="CQ224" i="1"/>
  <c r="CP227" i="1"/>
  <c r="CQ227" i="1" s="1"/>
  <c r="EH229" i="1"/>
  <c r="EI224" i="1"/>
  <c r="EH227" i="1"/>
  <c r="EI227" i="1" s="1"/>
  <c r="ET229" i="1"/>
  <c r="ET227" i="1"/>
  <c r="EU227" i="1" s="1"/>
  <c r="EU224" i="1"/>
  <c r="FH229" i="1"/>
  <c r="FT229" i="1"/>
  <c r="FU224" i="1"/>
  <c r="GG224" i="1"/>
  <c r="GT229" i="1"/>
  <c r="GU238" i="1" s="1"/>
  <c r="GU224" i="1"/>
  <c r="H230" i="1"/>
  <c r="I225" i="1"/>
  <c r="U225" i="1"/>
  <c r="AH230" i="1"/>
  <c r="AI230" i="1" s="1"/>
  <c r="AI225" i="1"/>
  <c r="AT230" i="1"/>
  <c r="AU225" i="1"/>
  <c r="BI230" i="1"/>
  <c r="BT230" i="1"/>
  <c r="BU225" i="1"/>
  <c r="CQ225" i="1"/>
  <c r="DW230" i="1"/>
  <c r="EH230" i="1"/>
  <c r="EI230" i="1" s="1"/>
  <c r="EI225" i="1"/>
  <c r="EW225" i="1"/>
  <c r="FK230" i="1"/>
  <c r="GH227" i="1"/>
  <c r="GI227" i="1" s="1"/>
  <c r="FW230" i="1"/>
  <c r="GE230" i="1"/>
  <c r="HS230" i="1"/>
  <c r="EY225" i="1"/>
  <c r="FG225" i="1"/>
  <c r="FW225" i="1"/>
  <c r="GE225" i="1"/>
  <c r="GM225" i="1"/>
  <c r="GU225" i="1"/>
  <c r="HC225" i="1"/>
  <c r="HK225" i="1"/>
  <c r="HS225" i="1"/>
  <c r="FA230" i="1"/>
  <c r="FI230" i="1"/>
  <c r="FQ230" i="1"/>
  <c r="GO230" i="1"/>
  <c r="GW230" i="1"/>
  <c r="HE230" i="1"/>
  <c r="EK225" i="1"/>
  <c r="FA225" i="1"/>
  <c r="FI225" i="1"/>
  <c r="FQ225" i="1"/>
  <c r="FY225" i="1"/>
  <c r="GO225" i="1"/>
  <c r="GW225" i="1"/>
  <c r="HE225" i="1"/>
  <c r="IC225" i="1"/>
  <c r="GY230" i="1"/>
  <c r="HO230" i="1"/>
  <c r="BG225" i="1"/>
  <c r="BO225" i="1"/>
  <c r="BW225" i="1"/>
  <c r="CO225" i="1"/>
  <c r="DO225" i="1"/>
  <c r="DW225" i="1"/>
  <c r="EE225" i="1"/>
  <c r="EM225" i="1"/>
  <c r="EU225" i="1"/>
  <c r="FC225" i="1"/>
  <c r="FK225" i="1"/>
  <c r="FS225" i="1"/>
  <c r="GA225" i="1"/>
  <c r="GI225" i="1"/>
  <c r="GY225" i="1"/>
  <c r="HO225" i="1"/>
  <c r="DQ230" i="1"/>
  <c r="DY230" i="1"/>
  <c r="EO230" i="1"/>
  <c r="EW230" i="1"/>
  <c r="GC230" i="1"/>
  <c r="FB245" i="1"/>
  <c r="FC236" i="1"/>
  <c r="GC236" i="1"/>
  <c r="GD245" i="1"/>
  <c r="GE245" i="1" s="1"/>
  <c r="GE236" i="1"/>
  <c r="CB245" i="1"/>
  <c r="EG236" i="1"/>
  <c r="T245" i="1"/>
  <c r="U245" i="1" s="1"/>
  <c r="AV245" i="1"/>
  <c r="AW245" i="1" s="1"/>
  <c r="FH245" i="1"/>
  <c r="FI245" i="1" s="1"/>
  <c r="HR245" i="1"/>
  <c r="HS245" i="1" s="1"/>
  <c r="FI236" i="1"/>
  <c r="HS236" i="1"/>
  <c r="HM239" i="1"/>
  <c r="HM240" i="1"/>
  <c r="HL245" i="1"/>
  <c r="HM245" i="1" s="1"/>
  <c r="M239" i="1"/>
  <c r="Y243" i="1"/>
  <c r="EX243" i="1"/>
  <c r="HA243" i="1"/>
  <c r="DY243" i="1"/>
  <c r="EX273" i="1"/>
  <c r="EX275" i="1" s="1"/>
  <c r="ER275" i="1"/>
  <c r="DN275" i="1"/>
  <c r="DO273" i="1"/>
  <c r="ED275" i="1"/>
  <c r="EE268" i="1" s="1"/>
  <c r="HS292" i="1"/>
  <c r="HS293" i="1"/>
  <c r="HR298" i="1"/>
  <c r="HS296" i="1"/>
  <c r="HS291" i="1"/>
  <c r="HR300" i="1"/>
  <c r="HS289" i="1"/>
  <c r="HS290" i="1"/>
  <c r="HS294" i="1"/>
  <c r="N300" i="1"/>
  <c r="O292" i="1"/>
  <c r="O296" i="1"/>
  <c r="O293" i="1"/>
  <c r="O291" i="1"/>
  <c r="N298" i="1"/>
  <c r="O294" i="1"/>
  <c r="O289" i="1"/>
  <c r="O290" i="1"/>
  <c r="AV300" i="1"/>
  <c r="AW296" i="1"/>
  <c r="AV298" i="1"/>
  <c r="AW294" i="1"/>
  <c r="AW289" i="1"/>
  <c r="AW293" i="1"/>
  <c r="AW290" i="1"/>
  <c r="AW292" i="1"/>
  <c r="AW291" i="1"/>
  <c r="BL300" i="1"/>
  <c r="BM296" i="1"/>
  <c r="BL298" i="1"/>
  <c r="BM293" i="1"/>
  <c r="BM292" i="1"/>
  <c r="BM289" i="1"/>
  <c r="BM290" i="1"/>
  <c r="BM294" i="1"/>
  <c r="BM291" i="1"/>
  <c r="CB300" i="1"/>
  <c r="CC291" i="1"/>
  <c r="CC296" i="1"/>
  <c r="CB298" i="1"/>
  <c r="CC292" i="1"/>
  <c r="CC294" i="1"/>
  <c r="CC293" i="1"/>
  <c r="CC289" i="1"/>
  <c r="CC290" i="1"/>
  <c r="X275" i="1"/>
  <c r="Y273" i="1" s="1"/>
  <c r="R277" i="1"/>
  <c r="AH277" i="1"/>
  <c r="AX277" i="1"/>
  <c r="BN277" i="1"/>
  <c r="CN277" i="1"/>
  <c r="DV277" i="1"/>
  <c r="EL277" i="1"/>
  <c r="FB277" i="1"/>
  <c r="FR277" i="1"/>
  <c r="GH277" i="1"/>
  <c r="GX277" i="1"/>
  <c r="HN277" i="1"/>
  <c r="F279" i="1"/>
  <c r="V279" i="1"/>
  <c r="AL279" i="1"/>
  <c r="BB279" i="1"/>
  <c r="BR279" i="1"/>
  <c r="CT279" i="1"/>
  <c r="DZ279" i="1"/>
  <c r="EP279" i="1"/>
  <c r="FF279" i="1"/>
  <c r="FV279" i="1"/>
  <c r="GL279" i="1"/>
  <c r="HB279" i="1"/>
  <c r="HR279" i="1"/>
  <c r="CN296" i="1"/>
  <c r="P300" i="1"/>
  <c r="Q296" i="1"/>
  <c r="P298" i="1"/>
  <c r="Q294" i="1"/>
  <c r="AF300" i="1"/>
  <c r="AG296" i="1"/>
  <c r="AF298" i="1"/>
  <c r="EQ292" i="1"/>
  <c r="EQ294" i="1"/>
  <c r="EQ293" i="1"/>
  <c r="EP298" i="1"/>
  <c r="EQ296" i="1"/>
  <c r="FG292" i="1"/>
  <c r="FG294" i="1"/>
  <c r="FG293" i="1"/>
  <c r="FF298" i="1"/>
  <c r="FG296" i="1"/>
  <c r="FG291" i="1"/>
  <c r="FW292" i="1"/>
  <c r="FW294" i="1"/>
  <c r="FW293" i="1"/>
  <c r="FV298" i="1"/>
  <c r="FW296" i="1"/>
  <c r="FW291" i="1"/>
  <c r="GM292" i="1"/>
  <c r="GM293" i="1"/>
  <c r="GL298" i="1"/>
  <c r="GM296" i="1"/>
  <c r="GM291" i="1"/>
  <c r="HC292" i="1"/>
  <c r="HC293" i="1"/>
  <c r="HB298" i="1"/>
  <c r="HC296" i="1"/>
  <c r="HC291" i="1"/>
  <c r="V300" i="1"/>
  <c r="FV300" i="1"/>
  <c r="Q273" i="1"/>
  <c r="AU273" i="1"/>
  <c r="BK273" i="1"/>
  <c r="CA273" i="1"/>
  <c r="FI273" i="1"/>
  <c r="FY273" i="1"/>
  <c r="GO273" i="1"/>
  <c r="HE273" i="1"/>
  <c r="I275" i="1"/>
  <c r="AO275" i="1"/>
  <c r="BE275" i="1"/>
  <c r="BU275" i="1"/>
  <c r="CW275" i="1"/>
  <c r="FI275" i="1"/>
  <c r="FY275" i="1"/>
  <c r="GO275" i="1"/>
  <c r="HE275" i="1"/>
  <c r="H279" i="1"/>
  <c r="AN279" i="1"/>
  <c r="BD279" i="1"/>
  <c r="BT279" i="1"/>
  <c r="CV279" i="1"/>
  <c r="FH279" i="1"/>
  <c r="FX279" i="1"/>
  <c r="GN279" i="1"/>
  <c r="HD279" i="1"/>
  <c r="FQ291" i="1"/>
  <c r="CU292" i="1"/>
  <c r="CU293" i="1"/>
  <c r="CU294" i="1"/>
  <c r="CT298" i="1"/>
  <c r="CU296" i="1"/>
  <c r="EA292" i="1"/>
  <c r="EA293" i="1"/>
  <c r="EA294" i="1"/>
  <c r="DZ298" i="1"/>
  <c r="EA296" i="1"/>
  <c r="ES294" i="1"/>
  <c r="ES293" i="1"/>
  <c r="ER298" i="1"/>
  <c r="ER300" i="1"/>
  <c r="ES296" i="1"/>
  <c r="FI294" i="1"/>
  <c r="FI293" i="1"/>
  <c r="FH298" i="1"/>
  <c r="FH300" i="1"/>
  <c r="FI296" i="1"/>
  <c r="FY294" i="1"/>
  <c r="FY293" i="1"/>
  <c r="FX298" i="1"/>
  <c r="FX300" i="1"/>
  <c r="FY296" i="1"/>
  <c r="GO293" i="1"/>
  <c r="GN298" i="1"/>
  <c r="GN300" i="1"/>
  <c r="GO296" i="1"/>
  <c r="GO294" i="1"/>
  <c r="HE293" i="1"/>
  <c r="HD298" i="1"/>
  <c r="HD300" i="1"/>
  <c r="HE296" i="1"/>
  <c r="HE294" i="1"/>
  <c r="J279" i="1"/>
  <c r="Z279" i="1"/>
  <c r="AP279" i="1"/>
  <c r="BF279" i="1"/>
  <c r="BV279" i="1"/>
  <c r="ET279" i="1"/>
  <c r="FJ279" i="1"/>
  <c r="FZ279" i="1"/>
  <c r="GP279" i="1"/>
  <c r="EM290" i="1"/>
  <c r="AM291" i="1"/>
  <c r="GG294" i="1"/>
  <c r="BC292" i="1"/>
  <c r="BC294" i="1"/>
  <c r="BC293" i="1"/>
  <c r="BB298" i="1"/>
  <c r="BC296" i="1"/>
  <c r="BS292" i="1"/>
  <c r="BS294" i="1"/>
  <c r="BS293" i="1"/>
  <c r="BR298" i="1"/>
  <c r="BS296" i="1"/>
  <c r="CW293" i="1"/>
  <c r="CW294" i="1"/>
  <c r="CV298" i="1"/>
  <c r="CV300" i="1"/>
  <c r="CW296" i="1"/>
  <c r="DZ300" i="1"/>
  <c r="GL300" i="1"/>
  <c r="EM291" i="1"/>
  <c r="EM296" i="1"/>
  <c r="EM292" i="1"/>
  <c r="EM294" i="1"/>
  <c r="G292" i="1"/>
  <c r="G293" i="1"/>
  <c r="F298" i="1"/>
  <c r="G294" i="1"/>
  <c r="G296" i="1"/>
  <c r="W292" i="1"/>
  <c r="W293" i="1"/>
  <c r="V298" i="1"/>
  <c r="W294" i="1"/>
  <c r="W296" i="1"/>
  <c r="AM292" i="1"/>
  <c r="AM294" i="1"/>
  <c r="AM293" i="1"/>
  <c r="AL298" i="1"/>
  <c r="AM296" i="1"/>
  <c r="BE294" i="1"/>
  <c r="BE293" i="1"/>
  <c r="BD298" i="1"/>
  <c r="BD300" i="1"/>
  <c r="BE296" i="1"/>
  <c r="BU294" i="1"/>
  <c r="BU293" i="1"/>
  <c r="BT298" i="1"/>
  <c r="BT300" i="1"/>
  <c r="BU296" i="1"/>
  <c r="EL300" i="1"/>
  <c r="DX275" i="1"/>
  <c r="DY273" i="1" s="1"/>
  <c r="N279" i="1"/>
  <c r="AT279" i="1"/>
  <c r="BJ279" i="1"/>
  <c r="BZ279" i="1"/>
  <c r="DR279" i="1"/>
  <c r="EH279" i="1"/>
  <c r="FN279" i="1"/>
  <c r="GD279" i="1"/>
  <c r="GT279" i="1"/>
  <c r="HJ279" i="1"/>
  <c r="AQ294" i="1"/>
  <c r="AQ293" i="1"/>
  <c r="AP298" i="1"/>
  <c r="AQ296" i="1"/>
  <c r="AP300" i="1"/>
  <c r="AQ292" i="1"/>
  <c r="BE291" i="1"/>
  <c r="BU291" i="1"/>
  <c r="H298" i="1"/>
  <c r="I294" i="1"/>
  <c r="H300" i="1"/>
  <c r="I296" i="1"/>
  <c r="X298" i="1"/>
  <c r="Y294" i="1"/>
  <c r="X300" i="1"/>
  <c r="Y296" i="1"/>
  <c r="AO294" i="1"/>
  <c r="AN298" i="1"/>
  <c r="AN300" i="1"/>
  <c r="AO296" i="1"/>
  <c r="EX300" i="1"/>
  <c r="EY291" i="1"/>
  <c r="EY292" i="1"/>
  <c r="EY296" i="1"/>
  <c r="FN300" i="1"/>
  <c r="FO291" i="1"/>
  <c r="FO292" i="1"/>
  <c r="FO296" i="1"/>
  <c r="GD296" i="1"/>
  <c r="GE294" i="1" s="1"/>
  <c r="GT300" i="1"/>
  <c r="GU291" i="1"/>
  <c r="GU294" i="1"/>
  <c r="GU292" i="1"/>
  <c r="GU296" i="1"/>
  <c r="HJ300" i="1"/>
  <c r="HK291" i="1"/>
  <c r="HK294" i="1"/>
  <c r="HK292" i="1"/>
  <c r="HK296" i="1"/>
  <c r="IB300" i="1"/>
  <c r="IC294" i="1"/>
  <c r="IC296" i="1"/>
  <c r="IC293" i="1"/>
  <c r="IB298" i="1"/>
  <c r="BB300" i="1"/>
  <c r="EP300" i="1"/>
  <c r="HB300" i="1"/>
  <c r="DR300" i="1"/>
  <c r="DS291" i="1"/>
  <c r="DS292" i="1"/>
  <c r="DS296" i="1"/>
  <c r="DS294" i="1"/>
  <c r="EH300" i="1"/>
  <c r="EI291" i="1"/>
  <c r="EI292" i="1"/>
  <c r="EI296" i="1"/>
  <c r="EI294" i="1"/>
  <c r="EZ300" i="1"/>
  <c r="FA296" i="1"/>
  <c r="FA294" i="1"/>
  <c r="FA293" i="1"/>
  <c r="EZ298" i="1"/>
  <c r="FP300" i="1"/>
  <c r="FQ296" i="1"/>
  <c r="FQ294" i="1"/>
  <c r="FQ293" i="1"/>
  <c r="FP298" i="1"/>
  <c r="GF300" i="1"/>
  <c r="GG296" i="1"/>
  <c r="GG293" i="1"/>
  <c r="GF298" i="1"/>
  <c r="GV300" i="1"/>
  <c r="GW294" i="1"/>
  <c r="GW296" i="1"/>
  <c r="GW293" i="1"/>
  <c r="GV298" i="1"/>
  <c r="HL300" i="1"/>
  <c r="HM294" i="1"/>
  <c r="HM296" i="1"/>
  <c r="HM293" i="1"/>
  <c r="HL298" i="1"/>
  <c r="GW292" i="1"/>
  <c r="EI293" i="1"/>
  <c r="AT300" i="1"/>
  <c r="AU292" i="1"/>
  <c r="AU296" i="1"/>
  <c r="AU294" i="1"/>
  <c r="AU293" i="1"/>
  <c r="BJ300" i="1"/>
  <c r="BK292" i="1"/>
  <c r="BK296" i="1"/>
  <c r="BK294" i="1"/>
  <c r="BK293" i="1"/>
  <c r="BZ300" i="1"/>
  <c r="CA292" i="1"/>
  <c r="CA296" i="1"/>
  <c r="CA294" i="1"/>
  <c r="CA293" i="1"/>
  <c r="EJ300" i="1"/>
  <c r="EK296" i="1"/>
  <c r="EK293" i="1"/>
  <c r="EJ298" i="1"/>
  <c r="F300" i="1"/>
  <c r="BR300" i="1"/>
  <c r="FF300" i="1"/>
  <c r="T300" i="1"/>
  <c r="AJ300" i="1"/>
  <c r="AZ300" i="1"/>
  <c r="BP300" i="1"/>
  <c r="CP300" i="1"/>
  <c r="DX300" i="1"/>
  <c r="EN300" i="1"/>
  <c r="FD300" i="1"/>
  <c r="FT300" i="1"/>
  <c r="GJ300" i="1"/>
  <c r="GZ300" i="1"/>
  <c r="U294" i="1"/>
  <c r="AI294" i="1"/>
  <c r="AY294" i="1"/>
  <c r="BO294" i="1"/>
  <c r="T298" i="1"/>
  <c r="AJ298" i="1"/>
  <c r="AZ298" i="1"/>
  <c r="BP298" i="1"/>
  <c r="CP298" i="1"/>
  <c r="DX298" i="1"/>
  <c r="EN298" i="1"/>
  <c r="FD298" i="1"/>
  <c r="FT298" i="1"/>
  <c r="GJ298" i="1"/>
  <c r="GZ298" i="1"/>
  <c r="J300" i="1"/>
  <c r="Z300" i="1"/>
  <c r="BF300" i="1"/>
  <c r="BV300" i="1"/>
  <c r="DN300" i="1"/>
  <c r="ED300" i="1"/>
  <c r="ET300" i="1"/>
  <c r="FJ300" i="1"/>
  <c r="FZ300" i="1"/>
  <c r="GP300" i="1"/>
  <c r="K296" i="1"/>
  <c r="AA296" i="1"/>
  <c r="BG296" i="1"/>
  <c r="BW296" i="1"/>
  <c r="DO296" i="1"/>
  <c r="EE296" i="1"/>
  <c r="EU296" i="1"/>
  <c r="FK296" i="1"/>
  <c r="GA296" i="1"/>
  <c r="GQ296" i="1"/>
  <c r="L300" i="1"/>
  <c r="AB300" i="1"/>
  <c r="AR300" i="1"/>
  <c r="BH300" i="1"/>
  <c r="BX300" i="1"/>
  <c r="DP300" i="1"/>
  <c r="EF300" i="1"/>
  <c r="EV300" i="1"/>
  <c r="GB300" i="1"/>
  <c r="GR300" i="1"/>
  <c r="BF298" i="1"/>
  <c r="BV298" i="1"/>
  <c r="DN298" i="1"/>
  <c r="ED298" i="1"/>
  <c r="M294" i="1"/>
  <c r="M296" i="1"/>
  <c r="AC296" i="1"/>
  <c r="AS296" i="1"/>
  <c r="BI296" i="1"/>
  <c r="BY296" i="1"/>
  <c r="DQ296" i="1"/>
  <c r="EG296" i="1"/>
  <c r="EW296" i="1"/>
  <c r="GC296" i="1"/>
  <c r="GS296" i="1"/>
  <c r="IA170" i="2"/>
  <c r="IC170" i="2"/>
  <c r="IE170" i="2"/>
  <c r="IG170" i="2"/>
  <c r="II170" i="2"/>
  <c r="IJ170" i="2"/>
  <c r="IK170" i="2"/>
  <c r="IL170" i="2"/>
  <c r="IM170" i="2"/>
  <c r="IN170" i="2"/>
  <c r="IO170" i="2"/>
  <c r="IP170" i="2"/>
  <c r="IQ170" i="2"/>
  <c r="IR170" i="2"/>
  <c r="IS170" i="2"/>
  <c r="IT170" i="2"/>
  <c r="IU170" i="2"/>
  <c r="IV170" i="2"/>
  <c r="IW170" i="2"/>
  <c r="JD170" i="2"/>
  <c r="JE170" i="2"/>
  <c r="JG170" i="2"/>
  <c r="JH170" i="2"/>
  <c r="JI170" i="2"/>
  <c r="JJ170" i="2"/>
  <c r="JK170" i="2"/>
  <c r="JL170" i="2"/>
  <c r="JM170" i="2"/>
  <c r="JN170" i="2"/>
  <c r="JO170" i="2"/>
  <c r="JP170" i="2"/>
  <c r="JR170" i="2"/>
  <c r="JS170" i="2"/>
  <c r="JT170" i="2"/>
  <c r="JU170" i="2"/>
  <c r="JV170" i="2"/>
  <c r="JW170" i="2"/>
  <c r="JX170" i="2"/>
  <c r="JY170" i="2"/>
  <c r="JZ170" i="2"/>
  <c r="KA170" i="2"/>
  <c r="KB170" i="2"/>
  <c r="KC170" i="2"/>
  <c r="KD170" i="2"/>
  <c r="KE170" i="2"/>
  <c r="KF170" i="2"/>
  <c r="KG170" i="2"/>
  <c r="KH170" i="2"/>
  <c r="KI170" i="2"/>
  <c r="KJ170" i="2"/>
  <c r="KK170" i="2"/>
  <c r="KL170" i="2"/>
  <c r="KM170" i="2"/>
  <c r="KO170" i="2"/>
  <c r="KP170" i="2"/>
  <c r="KQ170" i="2"/>
  <c r="KR170" i="2"/>
  <c r="KS170" i="2"/>
  <c r="KT170" i="2"/>
  <c r="KU170" i="2"/>
  <c r="KY170" i="2"/>
  <c r="LA170" i="2"/>
  <c r="LC170" i="2"/>
  <c r="LE170" i="2"/>
  <c r="LG170" i="2"/>
  <c r="LH170" i="2"/>
  <c r="LI170" i="2"/>
  <c r="LJ170" i="2"/>
  <c r="LL170" i="2"/>
  <c r="LM170" i="2"/>
  <c r="LN170" i="2"/>
  <c r="LO170" i="2"/>
  <c r="LP170" i="2"/>
  <c r="LQ170" i="2"/>
  <c r="LR170" i="2"/>
  <c r="LS170" i="2"/>
  <c r="LT170" i="2"/>
  <c r="LU170" i="2"/>
  <c r="LV170" i="2"/>
  <c r="LW170" i="2"/>
  <c r="LX170" i="2"/>
  <c r="LY170" i="2"/>
  <c r="LZ170" i="2"/>
  <c r="MA170" i="2"/>
  <c r="MB170" i="2"/>
  <c r="MC170" i="2"/>
  <c r="MD170" i="2"/>
  <c r="ME170" i="2"/>
  <c r="MF170" i="2"/>
  <c r="MG170" i="2"/>
  <c r="MH170" i="2"/>
  <c r="MI170" i="2"/>
  <c r="MJ170" i="2"/>
  <c r="MK170" i="2"/>
  <c r="ML170" i="2"/>
  <c r="MM170" i="2"/>
  <c r="MN170" i="2"/>
  <c r="MO170" i="2"/>
  <c r="MP170" i="2"/>
  <c r="MQ170" i="2"/>
  <c r="MR170" i="2"/>
  <c r="MS170" i="2"/>
  <c r="MT170" i="2"/>
  <c r="MU170" i="2"/>
  <c r="MV170" i="2"/>
  <c r="MW170" i="2"/>
  <c r="MX170" i="2"/>
  <c r="MY170" i="2"/>
  <c r="MZ170" i="2"/>
  <c r="NA170" i="2"/>
  <c r="NB170" i="2"/>
  <c r="NC170" i="2"/>
  <c r="ND170" i="2"/>
  <c r="NE170" i="2"/>
  <c r="NF170" i="2"/>
  <c r="NG170" i="2"/>
  <c r="NH170" i="2"/>
  <c r="NI170" i="2"/>
  <c r="NJ170" i="2"/>
  <c r="NK170" i="2"/>
  <c r="NL170" i="2"/>
  <c r="NM170" i="2"/>
  <c r="NN170" i="2"/>
  <c r="NO170" i="2"/>
  <c r="NP170" i="2"/>
  <c r="NQ170" i="2"/>
  <c r="NR170" i="2"/>
  <c r="NS170" i="2"/>
  <c r="NT170" i="2"/>
  <c r="NU170" i="2"/>
  <c r="NV170" i="2"/>
  <c r="NW170" i="2"/>
  <c r="NX170" i="2"/>
  <c r="NY170" i="2"/>
  <c r="NZ170" i="2"/>
  <c r="OA170" i="2"/>
  <c r="OB170" i="2"/>
  <c r="OC170" i="2"/>
  <c r="OD170" i="2"/>
  <c r="OE170" i="2"/>
  <c r="OF170" i="2"/>
  <c r="OG170" i="2"/>
  <c r="OH170" i="2"/>
  <c r="OI170" i="2"/>
  <c r="OJ170" i="2"/>
  <c r="OK170" i="2"/>
  <c r="OL170" i="2"/>
  <c r="OM170" i="2"/>
  <c r="ON170" i="2"/>
  <c r="OO170" i="2"/>
  <c r="OP170" i="2"/>
  <c r="OQ170" i="2"/>
  <c r="OR170" i="2"/>
  <c r="OS170" i="2"/>
  <c r="OT170" i="2"/>
  <c r="OU170" i="2"/>
  <c r="OV170" i="2"/>
  <c r="OW170" i="2"/>
  <c r="OX170" i="2"/>
  <c r="OY170" i="2"/>
  <c r="OZ170" i="2"/>
  <c r="PA170" i="2"/>
  <c r="PB170" i="2"/>
  <c r="PC170" i="2"/>
  <c r="PD170" i="2"/>
  <c r="PE170" i="2"/>
  <c r="PF170" i="2"/>
  <c r="PG170" i="2"/>
  <c r="PH170" i="2"/>
  <c r="PI170" i="2"/>
  <c r="PJ170" i="2"/>
  <c r="PK170" i="2"/>
  <c r="PL170" i="2"/>
  <c r="IA171" i="2"/>
  <c r="IC171" i="2"/>
  <c r="IE171" i="2"/>
  <c r="IG171" i="2"/>
  <c r="II171" i="2"/>
  <c r="IJ171" i="2"/>
  <c r="IK171" i="2"/>
  <c r="IL171" i="2"/>
  <c r="IM171" i="2"/>
  <c r="IN171" i="2"/>
  <c r="IO171" i="2"/>
  <c r="IP171" i="2"/>
  <c r="IQ171" i="2"/>
  <c r="IR171" i="2"/>
  <c r="IS171" i="2"/>
  <c r="IT171" i="2"/>
  <c r="IU171" i="2"/>
  <c r="IV171" i="2"/>
  <c r="IW171" i="2"/>
  <c r="JD171" i="2"/>
  <c r="JE171" i="2"/>
  <c r="JG171" i="2"/>
  <c r="JH171" i="2"/>
  <c r="JI171" i="2"/>
  <c r="JJ171" i="2"/>
  <c r="JK171" i="2"/>
  <c r="JL171" i="2"/>
  <c r="JM171" i="2"/>
  <c r="JN171" i="2"/>
  <c r="JO171" i="2"/>
  <c r="JP171" i="2"/>
  <c r="JR171" i="2"/>
  <c r="JS171" i="2"/>
  <c r="JT171" i="2"/>
  <c r="JU171" i="2"/>
  <c r="JV171" i="2"/>
  <c r="JW171" i="2"/>
  <c r="JX171" i="2"/>
  <c r="JY171" i="2"/>
  <c r="JZ171" i="2"/>
  <c r="KA171" i="2"/>
  <c r="KB171" i="2"/>
  <c r="KC171" i="2"/>
  <c r="KD171" i="2"/>
  <c r="KE171" i="2"/>
  <c r="KF171" i="2"/>
  <c r="KG171" i="2"/>
  <c r="KH171" i="2"/>
  <c r="KI171" i="2"/>
  <c r="KJ171" i="2"/>
  <c r="KK171" i="2"/>
  <c r="KL171" i="2"/>
  <c r="KM171" i="2"/>
  <c r="KO171" i="2"/>
  <c r="KP171" i="2"/>
  <c r="KQ171" i="2"/>
  <c r="KR171" i="2"/>
  <c r="KS171" i="2"/>
  <c r="KT171" i="2"/>
  <c r="KU171" i="2"/>
  <c r="KY171" i="2"/>
  <c r="LA171" i="2"/>
  <c r="LC171" i="2"/>
  <c r="LE171" i="2"/>
  <c r="LG171" i="2"/>
  <c r="LH171" i="2"/>
  <c r="LI171" i="2"/>
  <c r="LJ171" i="2"/>
  <c r="LL171" i="2"/>
  <c r="LM171" i="2"/>
  <c r="LN171" i="2"/>
  <c r="LO171" i="2"/>
  <c r="LP171" i="2"/>
  <c r="LQ171" i="2"/>
  <c r="LR171" i="2"/>
  <c r="LS171" i="2"/>
  <c r="LT171" i="2"/>
  <c r="LU171" i="2"/>
  <c r="LV171" i="2"/>
  <c r="LW171" i="2"/>
  <c r="LX171" i="2"/>
  <c r="LY171" i="2"/>
  <c r="LZ171" i="2"/>
  <c r="MA171" i="2"/>
  <c r="MB171" i="2"/>
  <c r="MC171" i="2"/>
  <c r="MD171" i="2"/>
  <c r="ME171" i="2"/>
  <c r="MF171" i="2"/>
  <c r="MG171" i="2"/>
  <c r="MH171" i="2"/>
  <c r="MI171" i="2"/>
  <c r="MJ171" i="2"/>
  <c r="MK171" i="2"/>
  <c r="ML171" i="2"/>
  <c r="MM171" i="2"/>
  <c r="MN171" i="2"/>
  <c r="MO171" i="2"/>
  <c r="MP171" i="2"/>
  <c r="MQ171" i="2"/>
  <c r="MR171" i="2"/>
  <c r="MS171" i="2"/>
  <c r="MT171" i="2"/>
  <c r="MU171" i="2"/>
  <c r="MV171" i="2"/>
  <c r="MW171" i="2"/>
  <c r="MX171" i="2"/>
  <c r="MY171" i="2"/>
  <c r="MZ171" i="2"/>
  <c r="NA171" i="2"/>
  <c r="NB171" i="2"/>
  <c r="NC171" i="2"/>
  <c r="ND171" i="2"/>
  <c r="NE171" i="2"/>
  <c r="NF171" i="2"/>
  <c r="NG171" i="2"/>
  <c r="NH171" i="2"/>
  <c r="NI171" i="2"/>
  <c r="NJ171" i="2"/>
  <c r="NK171" i="2"/>
  <c r="NL171" i="2"/>
  <c r="NM171" i="2"/>
  <c r="NN171" i="2"/>
  <c r="NO171" i="2"/>
  <c r="NP171" i="2"/>
  <c r="NQ171" i="2"/>
  <c r="NR171" i="2"/>
  <c r="NS171" i="2"/>
  <c r="NT171" i="2"/>
  <c r="NU171" i="2"/>
  <c r="NV171" i="2"/>
  <c r="NW171" i="2"/>
  <c r="NX171" i="2"/>
  <c r="NY171" i="2"/>
  <c r="NZ171" i="2"/>
  <c r="OA171" i="2"/>
  <c r="OB171" i="2"/>
  <c r="OC171" i="2"/>
  <c r="OD171" i="2"/>
  <c r="OE171" i="2"/>
  <c r="OF171" i="2"/>
  <c r="OG171" i="2"/>
  <c r="OH171" i="2"/>
  <c r="OI171" i="2"/>
  <c r="OJ171" i="2"/>
  <c r="OK171" i="2"/>
  <c r="OL171" i="2"/>
  <c r="OM171" i="2"/>
  <c r="ON171" i="2"/>
  <c r="OO171" i="2"/>
  <c r="OP171" i="2"/>
  <c r="OQ171" i="2"/>
  <c r="OR171" i="2"/>
  <c r="OS171" i="2"/>
  <c r="OT171" i="2"/>
  <c r="OU171" i="2"/>
  <c r="OV171" i="2"/>
  <c r="OW171" i="2"/>
  <c r="OX171" i="2"/>
  <c r="OY171" i="2"/>
  <c r="OZ171" i="2"/>
  <c r="PA171" i="2"/>
  <c r="PB171" i="2"/>
  <c r="PC171" i="2"/>
  <c r="PD171" i="2"/>
  <c r="PE171" i="2"/>
  <c r="PF171" i="2"/>
  <c r="PG171" i="2"/>
  <c r="PH171" i="2"/>
  <c r="PI171" i="2"/>
  <c r="PJ171" i="2"/>
  <c r="PK171" i="2"/>
  <c r="PL171" i="2"/>
  <c r="IA172" i="2"/>
  <c r="IC172" i="2"/>
  <c r="IE172" i="2"/>
  <c r="IG172" i="2"/>
  <c r="II172" i="2"/>
  <c r="IJ172" i="2"/>
  <c r="IK172" i="2"/>
  <c r="IL172" i="2"/>
  <c r="IM172" i="2"/>
  <c r="IN172" i="2"/>
  <c r="IO172" i="2"/>
  <c r="IP172" i="2"/>
  <c r="IQ172" i="2"/>
  <c r="IR172" i="2"/>
  <c r="IS172" i="2"/>
  <c r="IT172" i="2"/>
  <c r="IU172" i="2"/>
  <c r="IV172" i="2"/>
  <c r="IW172" i="2"/>
  <c r="JD172" i="2"/>
  <c r="JE172" i="2"/>
  <c r="JG172" i="2"/>
  <c r="JH172" i="2"/>
  <c r="JI172" i="2"/>
  <c r="JJ172" i="2"/>
  <c r="JK172" i="2"/>
  <c r="JL172" i="2"/>
  <c r="JM172" i="2"/>
  <c r="JN172" i="2"/>
  <c r="JO172" i="2"/>
  <c r="JP172" i="2"/>
  <c r="JR172" i="2"/>
  <c r="JS172" i="2"/>
  <c r="JT172" i="2"/>
  <c r="JU172" i="2"/>
  <c r="JV172" i="2"/>
  <c r="JW172" i="2"/>
  <c r="JX172" i="2"/>
  <c r="JY172" i="2"/>
  <c r="JZ172" i="2"/>
  <c r="KA172" i="2"/>
  <c r="KB172" i="2"/>
  <c r="KC172" i="2"/>
  <c r="KD172" i="2"/>
  <c r="KE172" i="2"/>
  <c r="KF172" i="2"/>
  <c r="KG172" i="2"/>
  <c r="KH172" i="2"/>
  <c r="KI172" i="2"/>
  <c r="KJ172" i="2"/>
  <c r="KK172" i="2"/>
  <c r="KL172" i="2"/>
  <c r="KM172" i="2"/>
  <c r="KO172" i="2"/>
  <c r="KP172" i="2"/>
  <c r="KQ172" i="2"/>
  <c r="KR172" i="2"/>
  <c r="KS172" i="2"/>
  <c r="KT172" i="2"/>
  <c r="KU172" i="2"/>
  <c r="KY172" i="2"/>
  <c r="LA172" i="2"/>
  <c r="LC172" i="2"/>
  <c r="LE172" i="2"/>
  <c r="LG172" i="2"/>
  <c r="LH172" i="2"/>
  <c r="LI172" i="2"/>
  <c r="LJ172" i="2"/>
  <c r="LL172" i="2"/>
  <c r="LM172" i="2"/>
  <c r="LN172" i="2"/>
  <c r="LO172" i="2"/>
  <c r="LP172" i="2"/>
  <c r="LQ172" i="2"/>
  <c r="LR172" i="2"/>
  <c r="LS172" i="2"/>
  <c r="LT172" i="2"/>
  <c r="LU172" i="2"/>
  <c r="LV172" i="2"/>
  <c r="LW172" i="2"/>
  <c r="LX172" i="2"/>
  <c r="LY172" i="2"/>
  <c r="LZ172" i="2"/>
  <c r="MA172" i="2"/>
  <c r="MB172" i="2"/>
  <c r="MC172" i="2"/>
  <c r="MD172" i="2"/>
  <c r="ME172" i="2"/>
  <c r="MF172" i="2"/>
  <c r="MG172" i="2"/>
  <c r="MH172" i="2"/>
  <c r="MI172" i="2"/>
  <c r="MJ172" i="2"/>
  <c r="MK172" i="2"/>
  <c r="ML172" i="2"/>
  <c r="MM172" i="2"/>
  <c r="MN172" i="2"/>
  <c r="MO172" i="2"/>
  <c r="MP172" i="2"/>
  <c r="MQ172" i="2"/>
  <c r="MR172" i="2"/>
  <c r="MS172" i="2"/>
  <c r="MT172" i="2"/>
  <c r="MU172" i="2"/>
  <c r="MV172" i="2"/>
  <c r="MW172" i="2"/>
  <c r="MX172" i="2"/>
  <c r="MY172" i="2"/>
  <c r="MZ172" i="2"/>
  <c r="NA172" i="2"/>
  <c r="NB172" i="2"/>
  <c r="NC172" i="2"/>
  <c r="ND172" i="2"/>
  <c r="NE172" i="2"/>
  <c r="NF172" i="2"/>
  <c r="NG172" i="2"/>
  <c r="NH172" i="2"/>
  <c r="NI172" i="2"/>
  <c r="NJ172" i="2"/>
  <c r="NK172" i="2"/>
  <c r="NL172" i="2"/>
  <c r="NM172" i="2"/>
  <c r="NN172" i="2"/>
  <c r="NO172" i="2"/>
  <c r="NP172" i="2"/>
  <c r="NQ172" i="2"/>
  <c r="NR172" i="2"/>
  <c r="NS172" i="2"/>
  <c r="NT172" i="2"/>
  <c r="NU172" i="2"/>
  <c r="NV172" i="2"/>
  <c r="NW172" i="2"/>
  <c r="NX172" i="2"/>
  <c r="NY172" i="2"/>
  <c r="NZ172" i="2"/>
  <c r="OA172" i="2"/>
  <c r="OB172" i="2"/>
  <c r="OC172" i="2"/>
  <c r="OD172" i="2"/>
  <c r="OE172" i="2"/>
  <c r="OF172" i="2"/>
  <c r="OG172" i="2"/>
  <c r="OH172" i="2"/>
  <c r="OI172" i="2"/>
  <c r="OJ172" i="2"/>
  <c r="OK172" i="2"/>
  <c r="OL172" i="2"/>
  <c r="OM172" i="2"/>
  <c r="ON172" i="2"/>
  <c r="OO172" i="2"/>
  <c r="OP172" i="2"/>
  <c r="OQ172" i="2"/>
  <c r="OR172" i="2"/>
  <c r="OS172" i="2"/>
  <c r="OT172" i="2"/>
  <c r="OU172" i="2"/>
  <c r="OV172" i="2"/>
  <c r="OW172" i="2"/>
  <c r="OX172" i="2"/>
  <c r="OY172" i="2"/>
  <c r="OZ172" i="2"/>
  <c r="PA172" i="2"/>
  <c r="PB172" i="2"/>
  <c r="PC172" i="2"/>
  <c r="PD172" i="2"/>
  <c r="PE172" i="2"/>
  <c r="PF172" i="2"/>
  <c r="PG172" i="2"/>
  <c r="PH172" i="2"/>
  <c r="PI172" i="2"/>
  <c r="PJ172" i="2"/>
  <c r="PK172" i="2"/>
  <c r="PL172" i="2"/>
  <c r="IA173" i="2"/>
  <c r="IC173" i="2"/>
  <c r="IE173" i="2"/>
  <c r="IG173" i="2"/>
  <c r="II173" i="2"/>
  <c r="IJ173" i="2"/>
  <c r="IK173" i="2"/>
  <c r="IL173" i="2"/>
  <c r="IM173" i="2"/>
  <c r="IN173" i="2"/>
  <c r="IO173" i="2"/>
  <c r="IP173" i="2"/>
  <c r="IQ173" i="2"/>
  <c r="IR173" i="2"/>
  <c r="IS173" i="2"/>
  <c r="IT173" i="2"/>
  <c r="IU173" i="2"/>
  <c r="IV173" i="2"/>
  <c r="IW173" i="2"/>
  <c r="JD173" i="2"/>
  <c r="JE173" i="2"/>
  <c r="JG173" i="2"/>
  <c r="JH173" i="2"/>
  <c r="JI173" i="2"/>
  <c r="JJ173" i="2"/>
  <c r="JK173" i="2"/>
  <c r="JL173" i="2"/>
  <c r="JM173" i="2"/>
  <c r="JN173" i="2"/>
  <c r="JO173" i="2"/>
  <c r="JP173" i="2"/>
  <c r="JR173" i="2"/>
  <c r="JS173" i="2"/>
  <c r="JT173" i="2"/>
  <c r="JU173" i="2"/>
  <c r="JV173" i="2"/>
  <c r="JW173" i="2"/>
  <c r="JX173" i="2"/>
  <c r="JY173" i="2"/>
  <c r="JZ173" i="2"/>
  <c r="KA173" i="2"/>
  <c r="KB173" i="2"/>
  <c r="KC173" i="2"/>
  <c r="KD173" i="2"/>
  <c r="KE173" i="2"/>
  <c r="KF173" i="2"/>
  <c r="KG173" i="2"/>
  <c r="KH173" i="2"/>
  <c r="KN173" i="2" s="1"/>
  <c r="KI173" i="2"/>
  <c r="KJ173" i="2"/>
  <c r="KK173" i="2"/>
  <c r="KL173" i="2"/>
  <c r="KM173" i="2"/>
  <c r="KO173" i="2"/>
  <c r="KP173" i="2"/>
  <c r="KQ173" i="2"/>
  <c r="KR173" i="2"/>
  <c r="KS173" i="2"/>
  <c r="KT173" i="2"/>
  <c r="KU173" i="2"/>
  <c r="KY173" i="2"/>
  <c r="LA173" i="2"/>
  <c r="LC173" i="2"/>
  <c r="LE173" i="2"/>
  <c r="LG173" i="2"/>
  <c r="LH173" i="2"/>
  <c r="LI173" i="2"/>
  <c r="LJ173" i="2"/>
  <c r="LL173" i="2"/>
  <c r="LM173" i="2"/>
  <c r="LN173" i="2"/>
  <c r="LO173" i="2"/>
  <c r="LP173" i="2"/>
  <c r="LQ173" i="2"/>
  <c r="LR173" i="2"/>
  <c r="LS173" i="2"/>
  <c r="LT173" i="2"/>
  <c r="LU173" i="2"/>
  <c r="LV173" i="2"/>
  <c r="LW173" i="2"/>
  <c r="LX173" i="2"/>
  <c r="LY173" i="2"/>
  <c r="LZ173" i="2"/>
  <c r="MA173" i="2"/>
  <c r="MB173" i="2"/>
  <c r="MC173" i="2"/>
  <c r="MD173" i="2"/>
  <c r="ME173" i="2"/>
  <c r="MF173" i="2"/>
  <c r="MG173" i="2"/>
  <c r="MH173" i="2"/>
  <c r="MI173" i="2"/>
  <c r="MJ173" i="2"/>
  <c r="MK173" i="2"/>
  <c r="ML173" i="2"/>
  <c r="MM173" i="2"/>
  <c r="MN173" i="2"/>
  <c r="MO173" i="2"/>
  <c r="MP173" i="2"/>
  <c r="MQ173" i="2"/>
  <c r="MR173" i="2"/>
  <c r="MS173" i="2"/>
  <c r="MT173" i="2"/>
  <c r="MU173" i="2"/>
  <c r="MV173" i="2"/>
  <c r="MW173" i="2"/>
  <c r="MX173" i="2"/>
  <c r="MY173" i="2"/>
  <c r="MZ173" i="2"/>
  <c r="NA173" i="2"/>
  <c r="NB173" i="2"/>
  <c r="NC173" i="2"/>
  <c r="ND173" i="2"/>
  <c r="NE173" i="2"/>
  <c r="NF173" i="2"/>
  <c r="NG173" i="2"/>
  <c r="NH173" i="2"/>
  <c r="NI173" i="2"/>
  <c r="NJ173" i="2"/>
  <c r="NK173" i="2"/>
  <c r="NL173" i="2"/>
  <c r="NM173" i="2"/>
  <c r="NN173" i="2"/>
  <c r="NO173" i="2"/>
  <c r="NP173" i="2"/>
  <c r="NQ173" i="2"/>
  <c r="NR173" i="2"/>
  <c r="NS173" i="2"/>
  <c r="NT173" i="2"/>
  <c r="NU173" i="2"/>
  <c r="NV173" i="2"/>
  <c r="NW173" i="2"/>
  <c r="NX173" i="2"/>
  <c r="NY173" i="2"/>
  <c r="NZ173" i="2"/>
  <c r="OA173" i="2"/>
  <c r="OB173" i="2"/>
  <c r="OC173" i="2"/>
  <c r="OD173" i="2"/>
  <c r="OE173" i="2"/>
  <c r="OF173" i="2"/>
  <c r="OG173" i="2"/>
  <c r="OH173" i="2"/>
  <c r="OI173" i="2"/>
  <c r="OJ173" i="2"/>
  <c r="OK173" i="2"/>
  <c r="OL173" i="2"/>
  <c r="OM173" i="2"/>
  <c r="ON173" i="2"/>
  <c r="OO173" i="2"/>
  <c r="OP173" i="2"/>
  <c r="OQ173" i="2"/>
  <c r="OR173" i="2"/>
  <c r="OS173" i="2"/>
  <c r="OT173" i="2"/>
  <c r="OU173" i="2"/>
  <c r="OV173" i="2"/>
  <c r="OW173" i="2"/>
  <c r="OX173" i="2"/>
  <c r="OY173" i="2"/>
  <c r="OZ173" i="2"/>
  <c r="PA173" i="2"/>
  <c r="PB173" i="2"/>
  <c r="PC173" i="2"/>
  <c r="PD173" i="2"/>
  <c r="PE173" i="2"/>
  <c r="PF173" i="2"/>
  <c r="PG173" i="2"/>
  <c r="PH173" i="2"/>
  <c r="PI173" i="2"/>
  <c r="PJ173" i="2"/>
  <c r="PK173" i="2"/>
  <c r="PL173" i="2"/>
  <c r="IA174" i="2"/>
  <c r="IC174" i="2"/>
  <c r="IE174" i="2"/>
  <c r="IG174" i="2"/>
  <c r="II174" i="2"/>
  <c r="IJ174" i="2"/>
  <c r="IK174" i="2"/>
  <c r="IL174" i="2"/>
  <c r="IM174" i="2"/>
  <c r="IN174" i="2"/>
  <c r="IO174" i="2"/>
  <c r="IP174" i="2"/>
  <c r="IQ174" i="2"/>
  <c r="IR174" i="2"/>
  <c r="IS174" i="2"/>
  <c r="IT174" i="2"/>
  <c r="IU174" i="2"/>
  <c r="IV174" i="2"/>
  <c r="IW174" i="2"/>
  <c r="JD174" i="2"/>
  <c r="JE174" i="2"/>
  <c r="JG174" i="2"/>
  <c r="JH174" i="2"/>
  <c r="JI174" i="2"/>
  <c r="JJ174" i="2"/>
  <c r="JK174" i="2"/>
  <c r="JL174" i="2"/>
  <c r="JM174" i="2"/>
  <c r="JN174" i="2"/>
  <c r="JO174" i="2"/>
  <c r="JP174" i="2"/>
  <c r="JR174" i="2"/>
  <c r="JS174" i="2"/>
  <c r="JT174" i="2"/>
  <c r="JU174" i="2"/>
  <c r="JV174" i="2"/>
  <c r="JW174" i="2"/>
  <c r="JX174" i="2"/>
  <c r="JY174" i="2"/>
  <c r="JZ174" i="2"/>
  <c r="KA174" i="2"/>
  <c r="KB174" i="2"/>
  <c r="KC174" i="2"/>
  <c r="KD174" i="2"/>
  <c r="KE174" i="2"/>
  <c r="KF174" i="2"/>
  <c r="KG174" i="2"/>
  <c r="KH174" i="2"/>
  <c r="KN174" i="2" s="1"/>
  <c r="KI174" i="2"/>
  <c r="KJ174" i="2"/>
  <c r="KK174" i="2"/>
  <c r="KL174" i="2"/>
  <c r="KM174" i="2"/>
  <c r="KO174" i="2"/>
  <c r="KP174" i="2"/>
  <c r="KQ174" i="2"/>
  <c r="KR174" i="2"/>
  <c r="KS174" i="2"/>
  <c r="KT174" i="2"/>
  <c r="KU174" i="2"/>
  <c r="KY174" i="2"/>
  <c r="LA174" i="2"/>
  <c r="LC174" i="2"/>
  <c r="LE174" i="2"/>
  <c r="LG174" i="2"/>
  <c r="LH174" i="2"/>
  <c r="LI174" i="2"/>
  <c r="LJ174" i="2"/>
  <c r="LL174" i="2"/>
  <c r="LM174" i="2"/>
  <c r="LN174" i="2"/>
  <c r="LO174" i="2"/>
  <c r="LP174" i="2"/>
  <c r="LQ174" i="2"/>
  <c r="LR174" i="2"/>
  <c r="LS174" i="2"/>
  <c r="LT174" i="2"/>
  <c r="LU174" i="2"/>
  <c r="LV174" i="2"/>
  <c r="LW174" i="2"/>
  <c r="LX174" i="2"/>
  <c r="LY174" i="2"/>
  <c r="LZ174" i="2"/>
  <c r="MA174" i="2"/>
  <c r="MB174" i="2"/>
  <c r="MC174" i="2"/>
  <c r="MD174" i="2"/>
  <c r="ME174" i="2"/>
  <c r="MF174" i="2"/>
  <c r="MG174" i="2"/>
  <c r="MH174" i="2"/>
  <c r="MI174" i="2"/>
  <c r="MJ174" i="2"/>
  <c r="MK174" i="2"/>
  <c r="ML174" i="2"/>
  <c r="MM174" i="2"/>
  <c r="MN174" i="2"/>
  <c r="MO174" i="2"/>
  <c r="MP174" i="2"/>
  <c r="MQ174" i="2"/>
  <c r="MR174" i="2"/>
  <c r="MS174" i="2"/>
  <c r="MT174" i="2"/>
  <c r="MU174" i="2"/>
  <c r="MV174" i="2"/>
  <c r="MW174" i="2"/>
  <c r="MX174" i="2"/>
  <c r="MY174" i="2"/>
  <c r="MZ174" i="2"/>
  <c r="NA174" i="2"/>
  <c r="NB174" i="2"/>
  <c r="NC174" i="2"/>
  <c r="ND174" i="2"/>
  <c r="NE174" i="2"/>
  <c r="NF174" i="2"/>
  <c r="NG174" i="2"/>
  <c r="NH174" i="2"/>
  <c r="NI174" i="2"/>
  <c r="NJ174" i="2"/>
  <c r="NK174" i="2"/>
  <c r="NL174" i="2"/>
  <c r="NM174" i="2"/>
  <c r="NN174" i="2"/>
  <c r="NO174" i="2"/>
  <c r="NP174" i="2"/>
  <c r="NQ174" i="2"/>
  <c r="NR174" i="2"/>
  <c r="NS174" i="2"/>
  <c r="NT174" i="2"/>
  <c r="NU174" i="2"/>
  <c r="NV174" i="2"/>
  <c r="NW174" i="2"/>
  <c r="NX174" i="2"/>
  <c r="NY174" i="2"/>
  <c r="NZ174" i="2"/>
  <c r="OA174" i="2"/>
  <c r="OB174" i="2"/>
  <c r="OC174" i="2"/>
  <c r="OD174" i="2"/>
  <c r="OE174" i="2"/>
  <c r="OF174" i="2"/>
  <c r="OG174" i="2"/>
  <c r="OH174" i="2"/>
  <c r="OI174" i="2"/>
  <c r="OJ174" i="2"/>
  <c r="OK174" i="2"/>
  <c r="OL174" i="2"/>
  <c r="OM174" i="2"/>
  <c r="ON174" i="2"/>
  <c r="OO174" i="2"/>
  <c r="OP174" i="2"/>
  <c r="OQ174" i="2"/>
  <c r="OR174" i="2"/>
  <c r="OS174" i="2"/>
  <c r="OT174" i="2"/>
  <c r="OU174" i="2"/>
  <c r="OV174" i="2"/>
  <c r="OW174" i="2"/>
  <c r="OX174" i="2"/>
  <c r="OY174" i="2"/>
  <c r="OZ174" i="2"/>
  <c r="PA174" i="2"/>
  <c r="PB174" i="2"/>
  <c r="PC174" i="2"/>
  <c r="PD174" i="2"/>
  <c r="PE174" i="2"/>
  <c r="PF174" i="2"/>
  <c r="PG174" i="2"/>
  <c r="PH174" i="2"/>
  <c r="PI174" i="2"/>
  <c r="PJ174" i="2"/>
  <c r="PK174" i="2"/>
  <c r="PL174" i="2"/>
  <c r="HK238" i="1" l="1"/>
  <c r="HJ245" i="1"/>
  <c r="HK245" i="1" s="1"/>
  <c r="BS230" i="1"/>
  <c r="FC238" i="1"/>
  <c r="AQ230" i="1"/>
  <c r="Y230" i="1"/>
  <c r="GK230" i="1"/>
  <c r="HK230" i="1"/>
  <c r="EI245" i="1"/>
  <c r="EA230" i="1"/>
  <c r="W230" i="1"/>
  <c r="AS148" i="1"/>
  <c r="EK230" i="1"/>
  <c r="DS230" i="1"/>
  <c r="FC245" i="1"/>
  <c r="EK238" i="1"/>
  <c r="CC230" i="1"/>
  <c r="AO230" i="1"/>
  <c r="CC245" i="1"/>
  <c r="GK245" i="1"/>
  <c r="CQ245" i="1"/>
  <c r="EK245" i="1"/>
  <c r="BJ245" i="1"/>
  <c r="BK245" i="1" s="1"/>
  <c r="GI245" i="1"/>
  <c r="O230" i="1"/>
  <c r="EM230" i="1"/>
  <c r="AS143" i="1"/>
  <c r="KV173" i="2"/>
  <c r="IY174" i="2"/>
  <c r="JQ171" i="2"/>
  <c r="KW170" i="2"/>
  <c r="KV170" i="2"/>
  <c r="JQ170" i="2"/>
  <c r="KW172" i="2"/>
  <c r="KV172" i="2"/>
  <c r="IY172" i="2"/>
  <c r="KN170" i="2"/>
  <c r="JQ172" i="2"/>
  <c r="IZ170" i="2"/>
  <c r="JQ174" i="2"/>
  <c r="IY173" i="2"/>
  <c r="JQ173" i="2"/>
  <c r="KW171" i="2"/>
  <c r="KV171" i="2"/>
  <c r="IZ171" i="2"/>
  <c r="JF174" i="2"/>
  <c r="JC174" i="2"/>
  <c r="JF173" i="2"/>
  <c r="JC173" i="2"/>
  <c r="JF172" i="2"/>
  <c r="JC172" i="2"/>
  <c r="JF171" i="2"/>
  <c r="JC171" i="2"/>
  <c r="JF170" i="2"/>
  <c r="JC170" i="2"/>
  <c r="JB174" i="2"/>
  <c r="JB173" i="2"/>
  <c r="JB172" i="2"/>
  <c r="JB171" i="2"/>
  <c r="JB170" i="2"/>
  <c r="JA174" i="2"/>
  <c r="JA173" i="2"/>
  <c r="JA172" i="2"/>
  <c r="JA171" i="2"/>
  <c r="JA170" i="2"/>
  <c r="KN172" i="2"/>
  <c r="KN171" i="2"/>
  <c r="KW174" i="2"/>
  <c r="KV174" i="2"/>
  <c r="KW173" i="2"/>
  <c r="FV245" i="1"/>
  <c r="FW245" i="1" s="1"/>
  <c r="FW238" i="1"/>
  <c r="FY238" i="1"/>
  <c r="FX245" i="1"/>
  <c r="FY245" i="1" s="1"/>
  <c r="EX277" i="1"/>
  <c r="EX279" i="1"/>
  <c r="EY271" i="1"/>
  <c r="EY272" i="1"/>
  <c r="EY268" i="1"/>
  <c r="EY275" i="1"/>
  <c r="EY269" i="1"/>
  <c r="EY270" i="1"/>
  <c r="BE238" i="1"/>
  <c r="BD245" i="1"/>
  <c r="BE245" i="1" s="1"/>
  <c r="DS238" i="1"/>
  <c r="DR245" i="1"/>
  <c r="DS245" i="1" s="1"/>
  <c r="BT245" i="1"/>
  <c r="BU245" i="1" s="1"/>
  <c r="BU238" i="1"/>
  <c r="FU241" i="1"/>
  <c r="FU242" i="1"/>
  <c r="FU243" i="1"/>
  <c r="FU239" i="1"/>
  <c r="FU240" i="1"/>
  <c r="FU236" i="1"/>
  <c r="FT232" i="1"/>
  <c r="FU229" i="1"/>
  <c r="FT209" i="1"/>
  <c r="GA242" i="1"/>
  <c r="GA243" i="1"/>
  <c r="GA239" i="1"/>
  <c r="GA241" i="1"/>
  <c r="GA240" i="1"/>
  <c r="GA236" i="1"/>
  <c r="FZ232" i="1"/>
  <c r="GA229" i="1"/>
  <c r="FZ209" i="1"/>
  <c r="GL245" i="1"/>
  <c r="GM245" i="1" s="1"/>
  <c r="GM238" i="1"/>
  <c r="DZ169" i="1"/>
  <c r="EA138" i="1"/>
  <c r="EA135" i="1"/>
  <c r="EA140" i="1"/>
  <c r="EA137" i="1"/>
  <c r="EA136" i="1"/>
  <c r="EA134" i="1"/>
  <c r="EA133" i="1"/>
  <c r="EA131" i="1"/>
  <c r="EA130" i="1"/>
  <c r="DZ152" i="1"/>
  <c r="DZ181" i="1" s="1"/>
  <c r="EA129" i="1"/>
  <c r="EJ169" i="1"/>
  <c r="EJ152" i="1"/>
  <c r="EJ181" i="1" s="1"/>
  <c r="EK133" i="1"/>
  <c r="EK138" i="1"/>
  <c r="EK135" i="1"/>
  <c r="EK132" i="1"/>
  <c r="EK131" i="1"/>
  <c r="EK137" i="1"/>
  <c r="EK136" i="1"/>
  <c r="EK140" i="1"/>
  <c r="EK134" i="1"/>
  <c r="EK130" i="1"/>
  <c r="HL167" i="1"/>
  <c r="Y269" i="1"/>
  <c r="Y268" i="1"/>
  <c r="X277" i="1"/>
  <c r="Y270" i="1"/>
  <c r="X279" i="1"/>
  <c r="Y275" i="1"/>
  <c r="Y271" i="1"/>
  <c r="Y272" i="1"/>
  <c r="FI242" i="1"/>
  <c r="FI243" i="1"/>
  <c r="FI241" i="1"/>
  <c r="FI240" i="1"/>
  <c r="FI239" i="1"/>
  <c r="FH232" i="1"/>
  <c r="FI229" i="1"/>
  <c r="FH209" i="1"/>
  <c r="GS242" i="1"/>
  <c r="GS243" i="1"/>
  <c r="GS241" i="1"/>
  <c r="GS240" i="1"/>
  <c r="GS239" i="1"/>
  <c r="GS236" i="1"/>
  <c r="GS229" i="1"/>
  <c r="GR232" i="1"/>
  <c r="GR209" i="1"/>
  <c r="FG243" i="1"/>
  <c r="FG242" i="1"/>
  <c r="FG241" i="1"/>
  <c r="FG240" i="1"/>
  <c r="FG239" i="1"/>
  <c r="FG236" i="1"/>
  <c r="FF232" i="1"/>
  <c r="FG229" i="1"/>
  <c r="FF209" i="1"/>
  <c r="BS241" i="1"/>
  <c r="BS242" i="1"/>
  <c r="BS240" i="1"/>
  <c r="BS239" i="1"/>
  <c r="BS236" i="1"/>
  <c r="BR232" i="1"/>
  <c r="BS229" i="1"/>
  <c r="BR209" i="1"/>
  <c r="S243" i="1"/>
  <c r="S242" i="1"/>
  <c r="S240" i="1"/>
  <c r="S241" i="1"/>
  <c r="R232" i="1"/>
  <c r="S239" i="1"/>
  <c r="S229" i="1"/>
  <c r="S236" i="1"/>
  <c r="R209" i="1"/>
  <c r="S238" i="1"/>
  <c r="FQ245" i="1"/>
  <c r="BC230" i="1"/>
  <c r="GC242" i="1"/>
  <c r="GC243" i="1"/>
  <c r="GC241" i="1"/>
  <c r="GC240" i="1"/>
  <c r="GC239" i="1"/>
  <c r="GC229" i="1"/>
  <c r="GB232" i="1"/>
  <c r="GB209" i="1"/>
  <c r="EQ243" i="1"/>
  <c r="EQ241" i="1"/>
  <c r="EQ242" i="1"/>
  <c r="EQ239" i="1"/>
  <c r="EQ240" i="1"/>
  <c r="EQ236" i="1"/>
  <c r="EP232" i="1"/>
  <c r="EQ229" i="1"/>
  <c r="EP209" i="1"/>
  <c r="BO243" i="1"/>
  <c r="BO241" i="1"/>
  <c r="BO242" i="1"/>
  <c r="BO239" i="1"/>
  <c r="BO240" i="1"/>
  <c r="BO229" i="1"/>
  <c r="BO236" i="1"/>
  <c r="BN209" i="1"/>
  <c r="BN232" i="1"/>
  <c r="O243" i="1"/>
  <c r="O239" i="1"/>
  <c r="O241" i="1"/>
  <c r="O240" i="1"/>
  <c r="O242" i="1"/>
  <c r="N232" i="1"/>
  <c r="O236" i="1"/>
  <c r="O229" i="1"/>
  <c r="N209" i="1"/>
  <c r="AA230" i="1"/>
  <c r="EA243" i="1"/>
  <c r="EA241" i="1"/>
  <c r="EA242" i="1"/>
  <c r="EA239" i="1"/>
  <c r="EA236" i="1"/>
  <c r="EA240" i="1"/>
  <c r="DZ232" i="1"/>
  <c r="EA229" i="1"/>
  <c r="DZ209" i="1"/>
  <c r="CW242" i="1"/>
  <c r="CW241" i="1"/>
  <c r="CW243" i="1"/>
  <c r="CW239" i="1"/>
  <c r="CW240" i="1"/>
  <c r="CW229" i="1"/>
  <c r="CV232" i="1"/>
  <c r="CW236" i="1"/>
  <c r="CV209" i="1"/>
  <c r="GA230" i="1"/>
  <c r="FB179" i="1"/>
  <c r="FC147" i="1"/>
  <c r="FC146" i="1"/>
  <c r="FC145" i="1"/>
  <c r="FC148" i="1"/>
  <c r="FC150" i="1"/>
  <c r="FC144" i="1"/>
  <c r="FC143" i="1"/>
  <c r="IB169" i="1"/>
  <c r="IB152" i="1"/>
  <c r="IB181" i="1" s="1"/>
  <c r="IC134" i="1"/>
  <c r="IC138" i="1"/>
  <c r="IC137" i="1"/>
  <c r="IC136" i="1"/>
  <c r="IC135" i="1"/>
  <c r="IC132" i="1"/>
  <c r="IC131" i="1"/>
  <c r="IC130" i="1"/>
  <c r="IC129" i="1"/>
  <c r="IC140" i="1"/>
  <c r="IC133" i="1"/>
  <c r="T152" i="1"/>
  <c r="T181" i="1" s="1"/>
  <c r="U135" i="1"/>
  <c r="U140" i="1"/>
  <c r="U137" i="1"/>
  <c r="U136" i="1"/>
  <c r="T169" i="1"/>
  <c r="U132" i="1"/>
  <c r="U131" i="1"/>
  <c r="U134" i="1"/>
  <c r="U133" i="1"/>
  <c r="U130" i="1"/>
  <c r="U129" i="1"/>
  <c r="GL179" i="1"/>
  <c r="GM145" i="1"/>
  <c r="GM144" i="1"/>
  <c r="GM150" i="1"/>
  <c r="GM143" i="1"/>
  <c r="GM148" i="1"/>
  <c r="GM147" i="1"/>
  <c r="DP169" i="1"/>
  <c r="DP152" i="1"/>
  <c r="DP181" i="1" s="1"/>
  <c r="DQ140" i="1"/>
  <c r="DQ134" i="1"/>
  <c r="DQ133" i="1"/>
  <c r="DQ135" i="1"/>
  <c r="DQ130" i="1"/>
  <c r="DQ132" i="1"/>
  <c r="DQ137" i="1"/>
  <c r="DQ138" i="1"/>
  <c r="DQ136" i="1"/>
  <c r="DQ129" i="1"/>
  <c r="DQ131" i="1"/>
  <c r="EY131" i="1"/>
  <c r="DZ179" i="1"/>
  <c r="EA145" i="1"/>
  <c r="EA148" i="1"/>
  <c r="EA144" i="1"/>
  <c r="EA143" i="1"/>
  <c r="EA150" i="1"/>
  <c r="EA147" i="1"/>
  <c r="Y137" i="1"/>
  <c r="Y136" i="1"/>
  <c r="X169" i="1"/>
  <c r="X152" i="1"/>
  <c r="X181" i="1" s="1"/>
  <c r="Y140" i="1"/>
  <c r="Y133" i="1"/>
  <c r="Y129" i="1"/>
  <c r="Y130" i="1"/>
  <c r="Y135" i="1"/>
  <c r="Y134" i="1"/>
  <c r="Y131" i="1"/>
  <c r="CB179" i="1"/>
  <c r="CC148" i="1"/>
  <c r="CC150" i="1"/>
  <c r="CC144" i="1"/>
  <c r="CC143" i="1"/>
  <c r="CC147" i="1"/>
  <c r="CC145" i="1"/>
  <c r="FR169" i="1"/>
  <c r="FR152" i="1"/>
  <c r="FR181" i="1" s="1"/>
  <c r="FS134" i="1"/>
  <c r="FS137" i="1"/>
  <c r="FS135" i="1"/>
  <c r="FS136" i="1"/>
  <c r="FS140" i="1"/>
  <c r="FS138" i="1"/>
  <c r="FS131" i="1"/>
  <c r="FS132" i="1"/>
  <c r="FS133" i="1"/>
  <c r="FS130" i="1"/>
  <c r="GD169" i="1"/>
  <c r="GD152" i="1"/>
  <c r="GD181" i="1" s="1"/>
  <c r="GE140" i="1"/>
  <c r="GE134" i="1"/>
  <c r="GE132" i="1"/>
  <c r="GE130" i="1"/>
  <c r="GE137" i="1"/>
  <c r="GE135" i="1"/>
  <c r="GE131" i="1"/>
  <c r="GE133" i="1"/>
  <c r="GE129" i="1"/>
  <c r="GE138" i="1"/>
  <c r="GE136" i="1"/>
  <c r="HL140" i="1"/>
  <c r="IC243" i="1"/>
  <c r="IC240" i="1"/>
  <c r="IC239" i="1"/>
  <c r="IC242" i="1"/>
  <c r="IC241" i="1"/>
  <c r="IC236" i="1"/>
  <c r="IB232" i="1"/>
  <c r="IC229" i="1"/>
  <c r="IB209" i="1"/>
  <c r="DN245" i="1"/>
  <c r="DO245" i="1" s="1"/>
  <c r="DO238" i="1"/>
  <c r="L169" i="1"/>
  <c r="L152" i="1"/>
  <c r="L181" i="1" s="1"/>
  <c r="M140" i="1"/>
  <c r="M134" i="1"/>
  <c r="M133" i="1"/>
  <c r="M135" i="1"/>
  <c r="M130" i="1"/>
  <c r="M129" i="1"/>
  <c r="M137" i="1"/>
  <c r="M132" i="1"/>
  <c r="M131" i="1"/>
  <c r="M136" i="1"/>
  <c r="ED277" i="1"/>
  <c r="EE275" i="1"/>
  <c r="EE270" i="1"/>
  <c r="ED279" i="1"/>
  <c r="EE271" i="1"/>
  <c r="EE273" i="1"/>
  <c r="EE272" i="1"/>
  <c r="EE269" i="1"/>
  <c r="EX245" i="1"/>
  <c r="GS230" i="1"/>
  <c r="GU230" i="1"/>
  <c r="AU230" i="1"/>
  <c r="FE245" i="1"/>
  <c r="HO245" i="1"/>
  <c r="S245" i="1"/>
  <c r="BE230" i="1"/>
  <c r="GE242" i="1"/>
  <c r="GE243" i="1"/>
  <c r="GE241" i="1"/>
  <c r="GE240" i="1"/>
  <c r="GE239" i="1"/>
  <c r="GD232" i="1"/>
  <c r="GE229" i="1"/>
  <c r="GD209" i="1"/>
  <c r="BQ243" i="1"/>
  <c r="BQ241" i="1"/>
  <c r="BQ240" i="1"/>
  <c r="BQ242" i="1"/>
  <c r="BQ236" i="1"/>
  <c r="BQ239" i="1"/>
  <c r="BQ229" i="1"/>
  <c r="BP232" i="1"/>
  <c r="BP209" i="1"/>
  <c r="IC238" i="1"/>
  <c r="BZ245" i="1"/>
  <c r="CA245" i="1" s="1"/>
  <c r="CA238" i="1"/>
  <c r="GY243" i="1"/>
  <c r="GY242" i="1"/>
  <c r="GY241" i="1"/>
  <c r="GY240" i="1"/>
  <c r="GY239" i="1"/>
  <c r="GX232" i="1"/>
  <c r="GY229" i="1"/>
  <c r="GY236" i="1"/>
  <c r="GX209" i="1"/>
  <c r="AY241" i="1"/>
  <c r="AY242" i="1"/>
  <c r="AY243" i="1"/>
  <c r="AY240" i="1"/>
  <c r="AY236" i="1"/>
  <c r="AY239" i="1"/>
  <c r="AY229" i="1"/>
  <c r="AX232" i="1"/>
  <c r="AX209" i="1"/>
  <c r="HK242" i="1"/>
  <c r="HK243" i="1"/>
  <c r="HK241" i="1"/>
  <c r="HK240" i="1"/>
  <c r="HK239" i="1"/>
  <c r="HJ232" i="1"/>
  <c r="HK236" i="1"/>
  <c r="HK229" i="1"/>
  <c r="HJ209" i="1"/>
  <c r="GO245" i="1"/>
  <c r="GW242" i="1"/>
  <c r="GW241" i="1"/>
  <c r="GW243" i="1"/>
  <c r="GW239" i="1"/>
  <c r="GW236" i="1"/>
  <c r="GW240" i="1"/>
  <c r="GV232" i="1"/>
  <c r="GW229" i="1"/>
  <c r="GV209" i="1"/>
  <c r="EW242" i="1"/>
  <c r="EW243" i="1"/>
  <c r="EW241" i="1"/>
  <c r="EW240" i="1"/>
  <c r="EW239" i="1"/>
  <c r="EW236" i="1"/>
  <c r="EV232" i="1"/>
  <c r="EW229" i="1"/>
  <c r="EV209" i="1"/>
  <c r="CU243" i="1"/>
  <c r="CU241" i="1"/>
  <c r="CU242" i="1"/>
  <c r="CU239" i="1"/>
  <c r="CU240" i="1"/>
  <c r="CU236" i="1"/>
  <c r="CU229" i="1"/>
  <c r="CT232" i="1"/>
  <c r="CT209" i="1"/>
  <c r="AI243" i="1"/>
  <c r="AI242" i="1"/>
  <c r="AI241" i="1"/>
  <c r="AI239" i="1"/>
  <c r="AI240" i="1"/>
  <c r="AI236" i="1"/>
  <c r="AI229" i="1"/>
  <c r="AH232" i="1"/>
  <c r="AH209" i="1"/>
  <c r="EV245" i="1"/>
  <c r="EW245" i="1" s="1"/>
  <c r="EW238" i="1"/>
  <c r="BH245" i="1"/>
  <c r="BI245" i="1" s="1"/>
  <c r="BI238" i="1"/>
  <c r="FJ245" i="1"/>
  <c r="FK245" i="1" s="1"/>
  <c r="FK238" i="1"/>
  <c r="BV245" i="1"/>
  <c r="BW245" i="1" s="1"/>
  <c r="BW238" i="1"/>
  <c r="J245" i="1"/>
  <c r="K245" i="1" s="1"/>
  <c r="K238" i="1"/>
  <c r="CT245" i="1"/>
  <c r="CU245" i="1" s="1"/>
  <c r="CU238" i="1"/>
  <c r="V245" i="1"/>
  <c r="W245" i="1" s="1"/>
  <c r="W238" i="1"/>
  <c r="ES148" i="1"/>
  <c r="ER179" i="1"/>
  <c r="ES144" i="1"/>
  <c r="ES143" i="1"/>
  <c r="ES147" i="1"/>
  <c r="ES150" i="1"/>
  <c r="ES145" i="1"/>
  <c r="ER169" i="1"/>
  <c r="ES137" i="1"/>
  <c r="ES136" i="1"/>
  <c r="ER152" i="1"/>
  <c r="ER181" i="1" s="1"/>
  <c r="ES138" i="1"/>
  <c r="ES134" i="1"/>
  <c r="ES140" i="1"/>
  <c r="ES133" i="1"/>
  <c r="ES132" i="1"/>
  <c r="ES130" i="1"/>
  <c r="ES129" i="1"/>
  <c r="ES131" i="1"/>
  <c r="ES135" i="1"/>
  <c r="DV179" i="1"/>
  <c r="DW150" i="1"/>
  <c r="DW147" i="1"/>
  <c r="DW146" i="1"/>
  <c r="DW145" i="1"/>
  <c r="DW148" i="1"/>
  <c r="DW144" i="1"/>
  <c r="DW143" i="1"/>
  <c r="EX229" i="1"/>
  <c r="EY224" i="1"/>
  <c r="EX227" i="1"/>
  <c r="EY227" i="1" s="1"/>
  <c r="EA132" i="1"/>
  <c r="GZ169" i="1"/>
  <c r="HA138" i="1"/>
  <c r="GZ152" i="1"/>
  <c r="GZ181" i="1" s="1"/>
  <c r="HA137" i="1"/>
  <c r="HA135" i="1"/>
  <c r="HA136" i="1"/>
  <c r="HA140" i="1"/>
  <c r="HA133" i="1"/>
  <c r="HA134" i="1"/>
  <c r="HA132" i="1"/>
  <c r="HA131" i="1"/>
  <c r="HA130" i="1"/>
  <c r="HA129" i="1"/>
  <c r="CB169" i="1"/>
  <c r="CB152" i="1"/>
  <c r="CB181" i="1" s="1"/>
  <c r="CC135" i="1"/>
  <c r="CC131" i="1"/>
  <c r="CC137" i="1"/>
  <c r="CC136" i="1"/>
  <c r="CC133" i="1"/>
  <c r="CC132" i="1"/>
  <c r="CC134" i="1"/>
  <c r="CC140" i="1"/>
  <c r="CC130" i="1"/>
  <c r="FU245" i="1"/>
  <c r="AH245" i="1"/>
  <c r="AI245" i="1" s="1"/>
  <c r="AI238" i="1"/>
  <c r="Q243" i="1"/>
  <c r="Q241" i="1"/>
  <c r="Q240" i="1"/>
  <c r="Q242" i="1"/>
  <c r="Q239" i="1"/>
  <c r="Q236" i="1"/>
  <c r="P232" i="1"/>
  <c r="Q229" i="1"/>
  <c r="P209" i="1"/>
  <c r="L245" i="1"/>
  <c r="M245" i="1" s="1"/>
  <c r="M238" i="1"/>
  <c r="IC230" i="1"/>
  <c r="CQ241" i="1"/>
  <c r="CQ240" i="1"/>
  <c r="CQ242" i="1"/>
  <c r="CQ243" i="1"/>
  <c r="CQ239" i="1"/>
  <c r="CQ236" i="1"/>
  <c r="CP232" i="1"/>
  <c r="CQ229" i="1"/>
  <c r="CP209" i="1"/>
  <c r="AU243" i="1"/>
  <c r="AU239" i="1"/>
  <c r="AU241" i="1"/>
  <c r="AU240" i="1"/>
  <c r="AU242" i="1"/>
  <c r="AT232" i="1"/>
  <c r="AU229" i="1"/>
  <c r="AU236" i="1"/>
  <c r="AT209" i="1"/>
  <c r="CQ230" i="1"/>
  <c r="GG243" i="1"/>
  <c r="GG241" i="1"/>
  <c r="GG240" i="1"/>
  <c r="GG242" i="1"/>
  <c r="GG236" i="1"/>
  <c r="GG239" i="1"/>
  <c r="GG229" i="1"/>
  <c r="GF209" i="1"/>
  <c r="EE243" i="1"/>
  <c r="EE239" i="1"/>
  <c r="EE242" i="1"/>
  <c r="EE240" i="1"/>
  <c r="EE241" i="1"/>
  <c r="ED232" i="1"/>
  <c r="EE229" i="1"/>
  <c r="ED209" i="1"/>
  <c r="EE230" i="1"/>
  <c r="IC245" i="1"/>
  <c r="HO243" i="1"/>
  <c r="HO242" i="1"/>
  <c r="HO241" i="1"/>
  <c r="HO236" i="1"/>
  <c r="HO240" i="1"/>
  <c r="HO239" i="1"/>
  <c r="HN232" i="1"/>
  <c r="HO229" i="1"/>
  <c r="HN209" i="1"/>
  <c r="FQ242" i="1"/>
  <c r="FQ241" i="1"/>
  <c r="FQ243" i="1"/>
  <c r="FQ236" i="1"/>
  <c r="FQ239" i="1"/>
  <c r="FQ240" i="1"/>
  <c r="FP232" i="1"/>
  <c r="FQ229" i="1"/>
  <c r="FP209" i="1"/>
  <c r="GU245" i="1"/>
  <c r="HA241" i="1"/>
  <c r="HA242" i="1"/>
  <c r="HA239" i="1"/>
  <c r="HA236" i="1"/>
  <c r="HA240" i="1"/>
  <c r="HA229" i="1"/>
  <c r="GZ232" i="1"/>
  <c r="GZ209" i="1"/>
  <c r="FO242" i="1"/>
  <c r="FO243" i="1"/>
  <c r="FO241" i="1"/>
  <c r="FO240" i="1"/>
  <c r="FO239" i="1"/>
  <c r="FO236" i="1"/>
  <c r="FO229" i="1"/>
  <c r="FN209" i="1"/>
  <c r="BA243" i="1"/>
  <c r="BA241" i="1"/>
  <c r="BA240" i="1"/>
  <c r="BA242" i="1"/>
  <c r="BA239" i="1"/>
  <c r="BA229" i="1"/>
  <c r="BA236" i="1"/>
  <c r="AZ232" i="1"/>
  <c r="AZ209" i="1"/>
  <c r="FA243" i="1"/>
  <c r="FA241" i="1"/>
  <c r="FA239" i="1"/>
  <c r="FA242" i="1"/>
  <c r="FA240" i="1"/>
  <c r="EZ236" i="1"/>
  <c r="FA229" i="1"/>
  <c r="EZ232" i="1"/>
  <c r="EZ209" i="1"/>
  <c r="AM241" i="1"/>
  <c r="AM243" i="1"/>
  <c r="AM242" i="1"/>
  <c r="AM239" i="1"/>
  <c r="AM240" i="1"/>
  <c r="AM236" i="1"/>
  <c r="AL232" i="1"/>
  <c r="AM229" i="1"/>
  <c r="AL209" i="1"/>
  <c r="ES230" i="1"/>
  <c r="FK242" i="1"/>
  <c r="FK243" i="1"/>
  <c r="FK241" i="1"/>
  <c r="FK240" i="1"/>
  <c r="FJ232" i="1"/>
  <c r="FK239" i="1"/>
  <c r="FK236" i="1"/>
  <c r="FK229" i="1"/>
  <c r="FJ209" i="1"/>
  <c r="AK243" i="1"/>
  <c r="AK241" i="1"/>
  <c r="AK240" i="1"/>
  <c r="AK242" i="1"/>
  <c r="AK239" i="1"/>
  <c r="AJ236" i="1"/>
  <c r="AK229" i="1"/>
  <c r="AJ232" i="1"/>
  <c r="AJ209" i="1"/>
  <c r="AO245" i="1"/>
  <c r="GP230" i="1"/>
  <c r="GQ230" i="1" s="1"/>
  <c r="GQ225" i="1"/>
  <c r="EX167" i="1"/>
  <c r="EY138" i="1"/>
  <c r="EX179" i="1"/>
  <c r="EY144" i="1"/>
  <c r="EY143" i="1"/>
  <c r="EY147" i="1"/>
  <c r="EY150" i="1"/>
  <c r="EY145" i="1"/>
  <c r="EY148" i="1"/>
  <c r="GF169" i="1"/>
  <c r="GF152" i="1"/>
  <c r="GF181" i="1" s="1"/>
  <c r="GG133" i="1"/>
  <c r="GG134" i="1"/>
  <c r="GG137" i="1"/>
  <c r="GG135" i="1"/>
  <c r="GG138" i="1"/>
  <c r="GG136" i="1"/>
  <c r="GG130" i="1"/>
  <c r="GG129" i="1"/>
  <c r="GG140" i="1"/>
  <c r="GG131" i="1"/>
  <c r="FN169" i="1"/>
  <c r="FN152" i="1"/>
  <c r="FN181" i="1" s="1"/>
  <c r="FO140" i="1"/>
  <c r="FO134" i="1"/>
  <c r="FO131" i="1"/>
  <c r="FO130" i="1"/>
  <c r="FO137" i="1"/>
  <c r="FO135" i="1"/>
  <c r="FO133" i="1"/>
  <c r="FO136" i="1"/>
  <c r="FO129" i="1"/>
  <c r="FO138" i="1"/>
  <c r="ES242" i="1"/>
  <c r="ES241" i="1"/>
  <c r="ES240" i="1"/>
  <c r="ES243" i="1"/>
  <c r="ES239" i="1"/>
  <c r="ES236" i="1"/>
  <c r="ER232" i="1"/>
  <c r="ES229" i="1"/>
  <c r="ER209" i="1"/>
  <c r="I241" i="1"/>
  <c r="I242" i="1"/>
  <c r="I243" i="1"/>
  <c r="I239" i="1"/>
  <c r="I240" i="1"/>
  <c r="I236" i="1"/>
  <c r="H232" i="1"/>
  <c r="I229" i="1"/>
  <c r="H209" i="1"/>
  <c r="FY242" i="1"/>
  <c r="FY243" i="1"/>
  <c r="FY241" i="1"/>
  <c r="FY240" i="1"/>
  <c r="FY239" i="1"/>
  <c r="FY236" i="1"/>
  <c r="FY229" i="1"/>
  <c r="FX232" i="1"/>
  <c r="FX209" i="1"/>
  <c r="BX245" i="1"/>
  <c r="BY245" i="1" s="1"/>
  <c r="BY238" i="1"/>
  <c r="DZ245" i="1"/>
  <c r="EA245" i="1" s="1"/>
  <c r="EA238" i="1"/>
  <c r="EU243" i="1"/>
  <c r="EU242" i="1"/>
  <c r="EU240" i="1"/>
  <c r="EU241" i="1"/>
  <c r="EU239" i="1"/>
  <c r="ET232" i="1"/>
  <c r="EU229" i="1"/>
  <c r="EU236" i="1"/>
  <c r="ET209" i="1"/>
  <c r="GZ245" i="1"/>
  <c r="HA245" i="1" s="1"/>
  <c r="HA238" i="1"/>
  <c r="EG243" i="1"/>
  <c r="EG242" i="1"/>
  <c r="EG241" i="1"/>
  <c r="EG240" i="1"/>
  <c r="EG239" i="1"/>
  <c r="EG229" i="1"/>
  <c r="EF232" i="1"/>
  <c r="EF209" i="1"/>
  <c r="AS243" i="1"/>
  <c r="AS239" i="1"/>
  <c r="AS241" i="1"/>
  <c r="AS240" i="1"/>
  <c r="AS236" i="1"/>
  <c r="AS242" i="1"/>
  <c r="AS229" i="1"/>
  <c r="AR232" i="1"/>
  <c r="AR209" i="1"/>
  <c r="G243" i="1"/>
  <c r="G242" i="1"/>
  <c r="G239" i="1"/>
  <c r="G240" i="1"/>
  <c r="G236" i="1"/>
  <c r="F232" i="1"/>
  <c r="G241" i="1"/>
  <c r="G229" i="1"/>
  <c r="F209" i="1"/>
  <c r="EU230" i="1"/>
  <c r="HE243" i="1"/>
  <c r="HE242" i="1"/>
  <c r="HD236" i="1"/>
  <c r="HE240" i="1"/>
  <c r="HE239" i="1"/>
  <c r="HE241" i="1"/>
  <c r="HD232" i="1"/>
  <c r="HE229" i="1"/>
  <c r="HD209" i="1"/>
  <c r="BE243" i="1"/>
  <c r="BE241" i="1"/>
  <c r="BE242" i="1"/>
  <c r="BE240" i="1"/>
  <c r="BE239" i="1"/>
  <c r="BE236" i="1"/>
  <c r="BD232" i="1"/>
  <c r="BE229" i="1"/>
  <c r="BD209" i="1"/>
  <c r="AG245" i="1"/>
  <c r="DQ242" i="1"/>
  <c r="DQ243" i="1"/>
  <c r="DQ241" i="1"/>
  <c r="DQ240" i="1"/>
  <c r="DQ239" i="1"/>
  <c r="DQ229" i="1"/>
  <c r="DP232" i="1"/>
  <c r="DQ236" i="1"/>
  <c r="DP209" i="1"/>
  <c r="BC241" i="1"/>
  <c r="BC242" i="1"/>
  <c r="BC243" i="1"/>
  <c r="BC240" i="1"/>
  <c r="BC239" i="1"/>
  <c r="BC236" i="1"/>
  <c r="BB232" i="1"/>
  <c r="BC229" i="1"/>
  <c r="BB209" i="1"/>
  <c r="AU238" i="1"/>
  <c r="DO243" i="1"/>
  <c r="DO242" i="1"/>
  <c r="DO239" i="1"/>
  <c r="DO236" i="1"/>
  <c r="DN232" i="1"/>
  <c r="DO241" i="1"/>
  <c r="DO240" i="1"/>
  <c r="DO229" i="1"/>
  <c r="DN209" i="1"/>
  <c r="BW243" i="1"/>
  <c r="BW242" i="1"/>
  <c r="BW239" i="1"/>
  <c r="BW240" i="1"/>
  <c r="BW236" i="1"/>
  <c r="BV232" i="1"/>
  <c r="BW229" i="1"/>
  <c r="BW241" i="1"/>
  <c r="BV209" i="1"/>
  <c r="FI238" i="1"/>
  <c r="GI243" i="1"/>
  <c r="GI242" i="1"/>
  <c r="GI241" i="1"/>
  <c r="GI240" i="1"/>
  <c r="GI239" i="1"/>
  <c r="GI236" i="1"/>
  <c r="GH232" i="1"/>
  <c r="GI229" i="1"/>
  <c r="GH209" i="1"/>
  <c r="EK242" i="1"/>
  <c r="EK241" i="1"/>
  <c r="EK240" i="1"/>
  <c r="EK243" i="1"/>
  <c r="EK236" i="1"/>
  <c r="EJ232" i="1"/>
  <c r="EK229" i="1"/>
  <c r="EJ209" i="1"/>
  <c r="GR245" i="1"/>
  <c r="GS245" i="1" s="1"/>
  <c r="GS238" i="1"/>
  <c r="EF238" i="1"/>
  <c r="AR245" i="1"/>
  <c r="AS245" i="1" s="1"/>
  <c r="AS238" i="1"/>
  <c r="ET245" i="1"/>
  <c r="EU245" i="1" s="1"/>
  <c r="EU238" i="1"/>
  <c r="BF245" i="1"/>
  <c r="BG245" i="1" s="1"/>
  <c r="BG238" i="1"/>
  <c r="HS238" i="1"/>
  <c r="FG238" i="1"/>
  <c r="FF245" i="1"/>
  <c r="FG245" i="1" s="1"/>
  <c r="BR245" i="1"/>
  <c r="BS245" i="1" s="1"/>
  <c r="BS238" i="1"/>
  <c r="F245" i="1"/>
  <c r="G245" i="1" s="1"/>
  <c r="G238" i="1"/>
  <c r="BT179" i="1"/>
  <c r="BU145" i="1"/>
  <c r="BU146" i="1"/>
  <c r="BU144" i="1"/>
  <c r="BU143" i="1"/>
  <c r="BU147" i="1"/>
  <c r="BU150" i="1"/>
  <c r="BU148" i="1"/>
  <c r="EF179" i="1"/>
  <c r="EG150" i="1"/>
  <c r="EG144" i="1"/>
  <c r="EG143" i="1"/>
  <c r="EG147" i="1"/>
  <c r="EG145" i="1"/>
  <c r="EG148" i="1"/>
  <c r="GL169" i="1"/>
  <c r="GM137" i="1"/>
  <c r="GM135" i="1"/>
  <c r="GM140" i="1"/>
  <c r="GM136" i="1"/>
  <c r="GL152" i="1"/>
  <c r="GL181" i="1" s="1"/>
  <c r="GM132" i="1"/>
  <c r="GM131" i="1"/>
  <c r="GM133" i="1"/>
  <c r="GM130" i="1"/>
  <c r="GM129" i="1"/>
  <c r="GM134" i="1"/>
  <c r="EF152" i="1"/>
  <c r="EF181" i="1" s="1"/>
  <c r="U138" i="1"/>
  <c r="BG242" i="1"/>
  <c r="BG243" i="1"/>
  <c r="BG239" i="1"/>
  <c r="BG241" i="1"/>
  <c r="BG236" i="1"/>
  <c r="BG240" i="1"/>
  <c r="BF232" i="1"/>
  <c r="BG229" i="1"/>
  <c r="BF209" i="1"/>
  <c r="FZ245" i="1"/>
  <c r="GA245" i="1" s="1"/>
  <c r="GA238" i="1"/>
  <c r="GP179" i="1"/>
  <c r="GQ150" i="1"/>
  <c r="GQ146" i="1"/>
  <c r="GQ143" i="1"/>
  <c r="GQ148" i="1"/>
  <c r="GQ147" i="1"/>
  <c r="GQ145" i="1"/>
  <c r="DN277" i="1"/>
  <c r="DO275" i="1"/>
  <c r="DO270" i="1"/>
  <c r="DN279" i="1"/>
  <c r="DO271" i="1"/>
  <c r="DO272" i="1"/>
  <c r="DO268" i="1"/>
  <c r="DO269" i="1"/>
  <c r="FU230" i="1"/>
  <c r="GU242" i="1"/>
  <c r="GU243" i="1"/>
  <c r="GU241" i="1"/>
  <c r="GU240" i="1"/>
  <c r="GU239" i="1"/>
  <c r="GU236" i="1"/>
  <c r="GT232" i="1"/>
  <c r="GU229" i="1"/>
  <c r="GT209" i="1"/>
  <c r="BU241" i="1"/>
  <c r="BU243" i="1"/>
  <c r="BU242" i="1"/>
  <c r="BU240" i="1"/>
  <c r="BU239" i="1"/>
  <c r="BU236" i="1"/>
  <c r="BT232" i="1"/>
  <c r="BU229" i="1"/>
  <c r="BT209" i="1"/>
  <c r="AG243" i="1"/>
  <c r="AG241" i="1"/>
  <c r="AG240" i="1"/>
  <c r="AG242" i="1"/>
  <c r="AG239" i="1"/>
  <c r="AF232" i="1"/>
  <c r="AG236" i="1"/>
  <c r="AG229" i="1"/>
  <c r="AF209" i="1"/>
  <c r="Q238" i="1"/>
  <c r="FN238" i="1"/>
  <c r="AU245" i="1"/>
  <c r="GO242" i="1"/>
  <c r="GO243" i="1"/>
  <c r="GO241" i="1"/>
  <c r="GO239" i="1"/>
  <c r="GN232" i="1"/>
  <c r="GO236" i="1"/>
  <c r="GO229" i="1"/>
  <c r="GO240" i="1"/>
  <c r="GN209" i="1"/>
  <c r="AO243" i="1"/>
  <c r="AO241" i="1"/>
  <c r="AO242" i="1"/>
  <c r="AO236" i="1"/>
  <c r="AO240" i="1"/>
  <c r="AO239" i="1"/>
  <c r="AN232" i="1"/>
  <c r="AO229" i="1"/>
  <c r="AN209" i="1"/>
  <c r="BA230" i="1"/>
  <c r="GM243" i="1"/>
  <c r="GM242" i="1"/>
  <c r="GM241" i="1"/>
  <c r="GM240" i="1"/>
  <c r="GM239" i="1"/>
  <c r="GM236" i="1"/>
  <c r="GL232" i="1"/>
  <c r="GM229" i="1"/>
  <c r="GL209" i="1"/>
  <c r="BY243" i="1"/>
  <c r="BY239" i="1"/>
  <c r="BY241" i="1"/>
  <c r="BY240" i="1"/>
  <c r="BY242" i="1"/>
  <c r="BY229" i="1"/>
  <c r="BY236" i="1"/>
  <c r="BX232" i="1"/>
  <c r="BX209" i="1"/>
  <c r="K243" i="1"/>
  <c r="K242" i="1"/>
  <c r="K239" i="1"/>
  <c r="K240" i="1"/>
  <c r="K241" i="1"/>
  <c r="K236" i="1"/>
  <c r="K229" i="1"/>
  <c r="J232" i="1"/>
  <c r="J209" i="1"/>
  <c r="ES238" i="1"/>
  <c r="Y245" i="1"/>
  <c r="BW230" i="1"/>
  <c r="K230" i="1"/>
  <c r="BI243" i="1"/>
  <c r="BI239" i="1"/>
  <c r="BI241" i="1"/>
  <c r="BI240" i="1"/>
  <c r="BI242" i="1"/>
  <c r="BI236" i="1"/>
  <c r="BI229" i="1"/>
  <c r="BH232" i="1"/>
  <c r="BH209" i="1"/>
  <c r="W243" i="1"/>
  <c r="W242" i="1"/>
  <c r="W240" i="1"/>
  <c r="W241" i="1"/>
  <c r="W236" i="1"/>
  <c r="W239" i="1"/>
  <c r="V232" i="1"/>
  <c r="W229" i="1"/>
  <c r="V209" i="1"/>
  <c r="FN230" i="1"/>
  <c r="FO230" i="1" s="1"/>
  <c r="FO225" i="1"/>
  <c r="F179" i="1"/>
  <c r="G148" i="1"/>
  <c r="G150" i="1"/>
  <c r="G146" i="1"/>
  <c r="G145" i="1"/>
  <c r="G144" i="1"/>
  <c r="G147" i="1"/>
  <c r="G143" i="1"/>
  <c r="CN229" i="1"/>
  <c r="CO224" i="1"/>
  <c r="CN227" i="1"/>
  <c r="CO227" i="1" s="1"/>
  <c r="DR179" i="1"/>
  <c r="DS144" i="1"/>
  <c r="DS143" i="1"/>
  <c r="DS147" i="1"/>
  <c r="DS150" i="1"/>
  <c r="DS148" i="1"/>
  <c r="DS146" i="1"/>
  <c r="HL179" i="1"/>
  <c r="HM148" i="1"/>
  <c r="HM147" i="1"/>
  <c r="HM146" i="1"/>
  <c r="HM145" i="1"/>
  <c r="HM150" i="1"/>
  <c r="HM143" i="1"/>
  <c r="DR169" i="1"/>
  <c r="DR152" i="1"/>
  <c r="DR181" i="1" s="1"/>
  <c r="DS140" i="1"/>
  <c r="DS134" i="1"/>
  <c r="DS133" i="1"/>
  <c r="DS138" i="1"/>
  <c r="DS135" i="1"/>
  <c r="DS137" i="1"/>
  <c r="DS132" i="1"/>
  <c r="DS130" i="1"/>
  <c r="DS129" i="1"/>
  <c r="DS136" i="1"/>
  <c r="DS131" i="1"/>
  <c r="DX169" i="1"/>
  <c r="DX152" i="1"/>
  <c r="DX181" i="1" s="1"/>
  <c r="DY138" i="1"/>
  <c r="DY135" i="1"/>
  <c r="DY137" i="1"/>
  <c r="DY140" i="1"/>
  <c r="DY136" i="1"/>
  <c r="DY134" i="1"/>
  <c r="DY133" i="1"/>
  <c r="DY132" i="1"/>
  <c r="DY131" i="1"/>
  <c r="DY130" i="1"/>
  <c r="DY129" i="1"/>
  <c r="AT169" i="1"/>
  <c r="AT152" i="1"/>
  <c r="AT181" i="1" s="1"/>
  <c r="AU140" i="1"/>
  <c r="AU138" i="1"/>
  <c r="AU134" i="1"/>
  <c r="AU133" i="1"/>
  <c r="AU135" i="1"/>
  <c r="AU137" i="1"/>
  <c r="AU136" i="1"/>
  <c r="AU131" i="1"/>
  <c r="AU129" i="1"/>
  <c r="AU130" i="1"/>
  <c r="GF179" i="1"/>
  <c r="GG148" i="1"/>
  <c r="GG150" i="1"/>
  <c r="GG147" i="1"/>
  <c r="GG145" i="1"/>
  <c r="GG143" i="1"/>
  <c r="DP179" i="1"/>
  <c r="DQ150" i="1"/>
  <c r="DQ144" i="1"/>
  <c r="DQ143" i="1"/>
  <c r="DQ147" i="1"/>
  <c r="DQ148" i="1"/>
  <c r="DQ145" i="1"/>
  <c r="DY275" i="1"/>
  <c r="DY272" i="1"/>
  <c r="DY269" i="1"/>
  <c r="DY268" i="1"/>
  <c r="DX277" i="1"/>
  <c r="DY270" i="1"/>
  <c r="DX279" i="1"/>
  <c r="DY271" i="1"/>
  <c r="I238" i="1"/>
  <c r="Z245" i="1"/>
  <c r="AA245" i="1" s="1"/>
  <c r="AA238" i="1"/>
  <c r="Z179" i="1"/>
  <c r="AA146" i="1"/>
  <c r="AA144" i="1"/>
  <c r="AA147" i="1"/>
  <c r="AA143" i="1"/>
  <c r="AA148" i="1"/>
  <c r="AA150" i="1"/>
  <c r="AA145" i="1"/>
  <c r="CO296" i="1"/>
  <c r="CO292" i="1"/>
  <c r="CO294" i="1"/>
  <c r="CN298" i="1"/>
  <c r="CO293" i="1"/>
  <c r="CO289" i="1"/>
  <c r="CO290" i="1"/>
  <c r="CN300" i="1"/>
  <c r="ES269" i="1"/>
  <c r="ER277" i="1"/>
  <c r="ES270" i="1"/>
  <c r="ER279" i="1"/>
  <c r="ES275" i="1"/>
  <c r="ES271" i="1"/>
  <c r="ES273" i="1"/>
  <c r="ES272" i="1"/>
  <c r="CV245" i="1"/>
  <c r="CW245" i="1" s="1"/>
  <c r="BG230" i="1"/>
  <c r="HS242" i="1"/>
  <c r="HS241" i="1"/>
  <c r="HS243" i="1"/>
  <c r="HS240" i="1"/>
  <c r="HS239" i="1"/>
  <c r="HR232" i="1"/>
  <c r="HS229" i="1"/>
  <c r="HR209" i="1"/>
  <c r="FS243" i="1"/>
  <c r="FS242" i="1"/>
  <c r="FS241" i="1"/>
  <c r="FS240" i="1"/>
  <c r="FS239" i="1"/>
  <c r="FR232" i="1"/>
  <c r="FS229" i="1"/>
  <c r="FS236" i="1"/>
  <c r="FR209" i="1"/>
  <c r="FS238" i="1"/>
  <c r="S230" i="1"/>
  <c r="FE241" i="1"/>
  <c r="FE239" i="1"/>
  <c r="FE242" i="1"/>
  <c r="FE243" i="1"/>
  <c r="FE240" i="1"/>
  <c r="FE229" i="1"/>
  <c r="FE236" i="1"/>
  <c r="FD232" i="1"/>
  <c r="FD209" i="1"/>
  <c r="DS243" i="1"/>
  <c r="DS242" i="1"/>
  <c r="DS241" i="1"/>
  <c r="DS240" i="1"/>
  <c r="DS236" i="1"/>
  <c r="DS239" i="1"/>
  <c r="DR232" i="1"/>
  <c r="DS229" i="1"/>
  <c r="DR209" i="1"/>
  <c r="Q245" i="1"/>
  <c r="Q230" i="1"/>
  <c r="HC242" i="1"/>
  <c r="HC241" i="1"/>
  <c r="HC240" i="1"/>
  <c r="HC243" i="1"/>
  <c r="HC239" i="1"/>
  <c r="HB232" i="1"/>
  <c r="HC236" i="1"/>
  <c r="HC229" i="1"/>
  <c r="HB209" i="1"/>
  <c r="FC242" i="1"/>
  <c r="FC241" i="1"/>
  <c r="FC240" i="1"/>
  <c r="FC239" i="1"/>
  <c r="FB232" i="1"/>
  <c r="FC229" i="1"/>
  <c r="FB209" i="1"/>
  <c r="CC241" i="1"/>
  <c r="CC240" i="1"/>
  <c r="CC242" i="1"/>
  <c r="CC239" i="1"/>
  <c r="CB232" i="1"/>
  <c r="CC229" i="1"/>
  <c r="CC243" i="1"/>
  <c r="CB209" i="1"/>
  <c r="BO230" i="1"/>
  <c r="FC230" i="1"/>
  <c r="EM243" i="1"/>
  <c r="EM242" i="1"/>
  <c r="EM241" i="1"/>
  <c r="EM240" i="1"/>
  <c r="EM239" i="1"/>
  <c r="EL232" i="1"/>
  <c r="EM236" i="1"/>
  <c r="EM229" i="1"/>
  <c r="EL209" i="1"/>
  <c r="GK241" i="1"/>
  <c r="GK239" i="1"/>
  <c r="GK242" i="1"/>
  <c r="GK240" i="1"/>
  <c r="GK243" i="1"/>
  <c r="GK229" i="1"/>
  <c r="GK236" i="1"/>
  <c r="GJ232" i="1"/>
  <c r="GJ209" i="1"/>
  <c r="ES245" i="1"/>
  <c r="AS230" i="1"/>
  <c r="GB238" i="1"/>
  <c r="DQ238" i="1"/>
  <c r="DP245" i="1"/>
  <c r="DQ245" i="1" s="1"/>
  <c r="AB245" i="1"/>
  <c r="AC245" i="1" s="1"/>
  <c r="AC238" i="1"/>
  <c r="GQ238" i="1"/>
  <c r="EE238" i="1"/>
  <c r="AP245" i="1"/>
  <c r="AQ245" i="1" s="1"/>
  <c r="AQ238" i="1"/>
  <c r="HB245" i="1"/>
  <c r="HC245" i="1" s="1"/>
  <c r="HC238" i="1"/>
  <c r="EQ238" i="1"/>
  <c r="EP245" i="1"/>
  <c r="EQ245" i="1" s="1"/>
  <c r="BB238" i="1"/>
  <c r="BB179" i="1"/>
  <c r="BC145" i="1"/>
  <c r="BC144" i="1"/>
  <c r="BC143" i="1"/>
  <c r="BC147" i="1"/>
  <c r="BC150" i="1"/>
  <c r="BC148" i="1"/>
  <c r="BC146" i="1"/>
  <c r="GQ144" i="1"/>
  <c r="AV169" i="1"/>
  <c r="AV152" i="1"/>
  <c r="AV181" i="1" s="1"/>
  <c r="AW135" i="1"/>
  <c r="AW131" i="1"/>
  <c r="AW137" i="1"/>
  <c r="AW136" i="1"/>
  <c r="AW140" i="1"/>
  <c r="AW134" i="1"/>
  <c r="AW132" i="1"/>
  <c r="AW129" i="1"/>
  <c r="AW133" i="1"/>
  <c r="AW130" i="1"/>
  <c r="AH179" i="1"/>
  <c r="AI150" i="1"/>
  <c r="AI147" i="1"/>
  <c r="AI143" i="1"/>
  <c r="AI148" i="1"/>
  <c r="AI145" i="1"/>
  <c r="AI144" i="1"/>
  <c r="FN179" i="1"/>
  <c r="FO148" i="1"/>
  <c r="FO147" i="1"/>
  <c r="FO146" i="1"/>
  <c r="FO145" i="1"/>
  <c r="FO150" i="1"/>
  <c r="BR179" i="1"/>
  <c r="BS148" i="1"/>
  <c r="BS150" i="1"/>
  <c r="BS145" i="1"/>
  <c r="BS144" i="1"/>
  <c r="BS143" i="1"/>
  <c r="BS147" i="1"/>
  <c r="HR169" i="1"/>
  <c r="HS137" i="1"/>
  <c r="HS136" i="1"/>
  <c r="HS135" i="1"/>
  <c r="HS140" i="1"/>
  <c r="HR152" i="1"/>
  <c r="HR181" i="1" s="1"/>
  <c r="HS133" i="1"/>
  <c r="HS129" i="1"/>
  <c r="HS134" i="1"/>
  <c r="HS132" i="1"/>
  <c r="HS131" i="1"/>
  <c r="HS130" i="1"/>
  <c r="ED179" i="1"/>
  <c r="EE148" i="1"/>
  <c r="EE150" i="1"/>
  <c r="EE144" i="1"/>
  <c r="EE143" i="1"/>
  <c r="EE147" i="1"/>
  <c r="EE145" i="1"/>
  <c r="GZ179" i="1"/>
  <c r="HA150" i="1"/>
  <c r="HA148" i="1"/>
  <c r="HA145" i="1"/>
  <c r="HA146" i="1"/>
  <c r="HA144" i="1"/>
  <c r="HA143" i="1"/>
  <c r="HA147" i="1"/>
  <c r="HL230" i="1"/>
  <c r="HM230" i="1" s="1"/>
  <c r="HM225" i="1"/>
  <c r="FB152" i="1"/>
  <c r="FB181" i="1" s="1"/>
  <c r="ED169" i="1"/>
  <c r="ED152" i="1"/>
  <c r="ED181" i="1" s="1"/>
  <c r="EE136" i="1"/>
  <c r="EE133" i="1"/>
  <c r="EE138" i="1"/>
  <c r="EE134" i="1"/>
  <c r="EE140" i="1"/>
  <c r="EE132" i="1"/>
  <c r="EE137" i="1"/>
  <c r="EE131" i="1"/>
  <c r="EE130" i="1"/>
  <c r="EE135" i="1"/>
  <c r="EE129" i="1"/>
  <c r="Z152" i="1"/>
  <c r="Z181" i="1" s="1"/>
  <c r="HR179" i="1"/>
  <c r="HS148" i="1"/>
  <c r="HS145" i="1"/>
  <c r="HS144" i="1"/>
  <c r="HS150" i="1"/>
  <c r="HS143" i="1"/>
  <c r="HS147" i="1"/>
  <c r="GF230" i="1"/>
  <c r="GG230" i="1" s="1"/>
  <c r="GG225" i="1"/>
  <c r="M138" i="1"/>
  <c r="BU137" i="1"/>
  <c r="BU136" i="1"/>
  <c r="BT169" i="1"/>
  <c r="BU138" i="1"/>
  <c r="BT152" i="1"/>
  <c r="BT181" i="1" s="1"/>
  <c r="BU134" i="1"/>
  <c r="BU131" i="1"/>
  <c r="BU129" i="1"/>
  <c r="BU140" i="1"/>
  <c r="BU130" i="1"/>
  <c r="BU135" i="1"/>
  <c r="BU133" i="1"/>
  <c r="HD169" i="1"/>
  <c r="HE136" i="1"/>
  <c r="HE134" i="1"/>
  <c r="HE132" i="1"/>
  <c r="HE131" i="1"/>
  <c r="HE129" i="1"/>
  <c r="HD152" i="1"/>
  <c r="HD181" i="1" s="1"/>
  <c r="HE130" i="1"/>
  <c r="HE135" i="1"/>
  <c r="HE140" i="1"/>
  <c r="HE137" i="1"/>
  <c r="HE133" i="1"/>
  <c r="HN169" i="1"/>
  <c r="HN152" i="1"/>
  <c r="HN181" i="1" s="1"/>
  <c r="HO134" i="1"/>
  <c r="HO137" i="1"/>
  <c r="HO136" i="1"/>
  <c r="HO135" i="1"/>
  <c r="HO140" i="1"/>
  <c r="HO130" i="1"/>
  <c r="HO138" i="1"/>
  <c r="HO133" i="1"/>
  <c r="HO132" i="1"/>
  <c r="HO131" i="1"/>
  <c r="Y138" i="1"/>
  <c r="EY273" i="1"/>
  <c r="AA242" i="1"/>
  <c r="AA243" i="1"/>
  <c r="AA239" i="1"/>
  <c r="AA236" i="1"/>
  <c r="AA241" i="1"/>
  <c r="Z232" i="1"/>
  <c r="AA229" i="1"/>
  <c r="AA240" i="1"/>
  <c r="Z209" i="1"/>
  <c r="AL245" i="1"/>
  <c r="AM245" i="1" s="1"/>
  <c r="AM238" i="1"/>
  <c r="BB169" i="1"/>
  <c r="BB152" i="1"/>
  <c r="BB181" i="1" s="1"/>
  <c r="BC135" i="1"/>
  <c r="BC140" i="1"/>
  <c r="BC137" i="1"/>
  <c r="BC136" i="1"/>
  <c r="BC138" i="1"/>
  <c r="BC134" i="1"/>
  <c r="BC131" i="1"/>
  <c r="BC129" i="1"/>
  <c r="BC130" i="1"/>
  <c r="BC133" i="1"/>
  <c r="BC132" i="1"/>
  <c r="EX169" i="1"/>
  <c r="EX152" i="1"/>
  <c r="EX181" i="1" s="1"/>
  <c r="EY140" i="1"/>
  <c r="EY134" i="1"/>
  <c r="EY130" i="1"/>
  <c r="EY137" i="1"/>
  <c r="EY135" i="1"/>
  <c r="EY136" i="1"/>
  <c r="EY133" i="1"/>
  <c r="EY132" i="1"/>
  <c r="GD300" i="1"/>
  <c r="GE291" i="1"/>
  <c r="GE292" i="1"/>
  <c r="GE296" i="1"/>
  <c r="GE293" i="1"/>
  <c r="GE289" i="1"/>
  <c r="GE290" i="1"/>
  <c r="GD298" i="1"/>
  <c r="CO291" i="1"/>
  <c r="ES268" i="1"/>
  <c r="BS243" i="1"/>
  <c r="FE230" i="1"/>
  <c r="FY230" i="1"/>
  <c r="BU230" i="1"/>
  <c r="I230" i="1"/>
  <c r="EI242" i="1"/>
  <c r="EI241" i="1"/>
  <c r="EI240" i="1"/>
  <c r="EI239" i="1"/>
  <c r="EI243" i="1"/>
  <c r="EI236" i="1"/>
  <c r="EH232" i="1"/>
  <c r="EI229" i="1"/>
  <c r="EH209" i="1"/>
  <c r="U241" i="1"/>
  <c r="U240" i="1"/>
  <c r="U242" i="1"/>
  <c r="U243" i="1"/>
  <c r="U236" i="1"/>
  <c r="U239" i="1"/>
  <c r="U229" i="1"/>
  <c r="T232" i="1"/>
  <c r="T209" i="1"/>
  <c r="FU238" i="1"/>
  <c r="CQ238" i="1"/>
  <c r="HA230" i="1"/>
  <c r="FS245" i="1"/>
  <c r="AX245" i="1"/>
  <c r="AY245" i="1" s="1"/>
  <c r="AY238" i="1"/>
  <c r="GQ242" i="1"/>
  <c r="GQ243" i="1"/>
  <c r="GQ241" i="1"/>
  <c r="GQ240" i="1"/>
  <c r="GQ239" i="1"/>
  <c r="GP232" i="1"/>
  <c r="GQ229" i="1"/>
  <c r="GQ236" i="1"/>
  <c r="GP209" i="1"/>
  <c r="AQ242" i="1"/>
  <c r="AQ243" i="1"/>
  <c r="AQ239" i="1"/>
  <c r="AQ241" i="1"/>
  <c r="AQ240" i="1"/>
  <c r="AQ236" i="1"/>
  <c r="AP232" i="1"/>
  <c r="AQ229" i="1"/>
  <c r="AP209" i="1"/>
  <c r="GF238" i="1"/>
  <c r="CC238" i="1"/>
  <c r="Y241" i="1"/>
  <c r="Y242" i="1"/>
  <c r="Y240" i="1"/>
  <c r="Y239" i="1"/>
  <c r="Y236" i="1"/>
  <c r="X232" i="1"/>
  <c r="Y229" i="1"/>
  <c r="X209" i="1"/>
  <c r="BQ230" i="1"/>
  <c r="AC243" i="1"/>
  <c r="AC239" i="1"/>
  <c r="AC241" i="1"/>
  <c r="AC240" i="1"/>
  <c r="AC242" i="1"/>
  <c r="AC229" i="1"/>
  <c r="AB232" i="1"/>
  <c r="AC236" i="1"/>
  <c r="AB209" i="1"/>
  <c r="EI238" i="1"/>
  <c r="N238" i="1"/>
  <c r="EO242" i="1"/>
  <c r="EO241" i="1"/>
  <c r="EO240" i="1"/>
  <c r="EO243" i="1"/>
  <c r="EO239" i="1"/>
  <c r="EO236" i="1"/>
  <c r="EO229" i="1"/>
  <c r="EN232" i="1"/>
  <c r="EN209" i="1"/>
  <c r="CA243" i="1"/>
  <c r="CA239" i="1"/>
  <c r="CA241" i="1"/>
  <c r="CA240" i="1"/>
  <c r="CA242" i="1"/>
  <c r="CA236" i="1"/>
  <c r="BZ232" i="1"/>
  <c r="CA229" i="1"/>
  <c r="BZ209" i="1"/>
  <c r="AM230" i="1"/>
  <c r="HM241" i="1"/>
  <c r="HM243" i="1"/>
  <c r="HM242" i="1"/>
  <c r="HM236" i="1"/>
  <c r="HM229" i="1"/>
  <c r="HL209" i="1"/>
  <c r="BM243" i="1"/>
  <c r="BM241" i="1"/>
  <c r="BM240" i="1"/>
  <c r="BM242" i="1"/>
  <c r="BM239" i="1"/>
  <c r="BM236" i="1"/>
  <c r="BL232" i="1"/>
  <c r="BM229" i="1"/>
  <c r="BL209" i="1"/>
  <c r="M243" i="1"/>
  <c r="M241" i="1"/>
  <c r="M240" i="1"/>
  <c r="M236" i="1"/>
  <c r="M242" i="1"/>
  <c r="M229" i="1"/>
  <c r="L232" i="1"/>
  <c r="L209" i="1"/>
  <c r="GY238" i="1"/>
  <c r="DY242" i="1"/>
  <c r="DY241" i="1"/>
  <c r="DY240" i="1"/>
  <c r="DY239" i="1"/>
  <c r="DY236" i="1"/>
  <c r="DY229" i="1"/>
  <c r="DX232" i="1"/>
  <c r="DX209" i="1"/>
  <c r="BK243" i="1"/>
  <c r="BK239" i="1"/>
  <c r="BK241" i="1"/>
  <c r="BK240" i="1"/>
  <c r="BK242" i="1"/>
  <c r="BJ232" i="1"/>
  <c r="BK236" i="1"/>
  <c r="BK229" i="1"/>
  <c r="BJ209" i="1"/>
  <c r="I245" i="1"/>
  <c r="FW243" i="1"/>
  <c r="FW242" i="1"/>
  <c r="FW241" i="1"/>
  <c r="FW240" i="1"/>
  <c r="FW239" i="1"/>
  <c r="FW236" i="1"/>
  <c r="FV232" i="1"/>
  <c r="FW229" i="1"/>
  <c r="FV209" i="1"/>
  <c r="DW243" i="1"/>
  <c r="DW241" i="1"/>
  <c r="DW242" i="1"/>
  <c r="DW239" i="1"/>
  <c r="DV232" i="1"/>
  <c r="DW240" i="1"/>
  <c r="DW236" i="1"/>
  <c r="DW229" i="1"/>
  <c r="DV209" i="1"/>
  <c r="AW243" i="1"/>
  <c r="AW241" i="1"/>
  <c r="AW240" i="1"/>
  <c r="AW242" i="1"/>
  <c r="AW236" i="1"/>
  <c r="AW239" i="1"/>
  <c r="AV232" i="1"/>
  <c r="AW229" i="1"/>
  <c r="AV209" i="1"/>
  <c r="AR179" i="1"/>
  <c r="AS150" i="1"/>
  <c r="AS144" i="1"/>
  <c r="AS147" i="1"/>
  <c r="AS145" i="1"/>
  <c r="FO144" i="1"/>
  <c r="F169" i="1"/>
  <c r="G135" i="1"/>
  <c r="G140" i="1"/>
  <c r="G138" i="1"/>
  <c r="G137" i="1"/>
  <c r="G136" i="1"/>
  <c r="F152" i="1"/>
  <c r="F181" i="1" s="1"/>
  <c r="G131" i="1"/>
  <c r="G133" i="1"/>
  <c r="G130" i="1"/>
  <c r="G129" i="1"/>
  <c r="G134" i="1"/>
  <c r="G132" i="1"/>
  <c r="GL249" i="1"/>
  <c r="GM219" i="1"/>
  <c r="GM220" i="1"/>
  <c r="GL222" i="1"/>
  <c r="GM222" i="1" s="1"/>
  <c r="GD179" i="1"/>
  <c r="GE144" i="1"/>
  <c r="GE143" i="1"/>
  <c r="GE150" i="1"/>
  <c r="GE148" i="1"/>
  <c r="GE147" i="1"/>
  <c r="GE145" i="1"/>
  <c r="L179" i="1"/>
  <c r="M150" i="1"/>
  <c r="M144" i="1"/>
  <c r="M147" i="1"/>
  <c r="M143" i="1"/>
  <c r="M148" i="1"/>
  <c r="M145" i="1"/>
  <c r="HL249" i="1"/>
  <c r="HM220" i="1"/>
  <c r="HM219" i="1"/>
  <c r="HL222" i="1"/>
  <c r="HM222" i="1" s="1"/>
  <c r="BS146" i="1"/>
  <c r="AH152" i="1"/>
  <c r="AH181" i="1" s="1"/>
  <c r="Y132" i="1"/>
  <c r="GP169" i="1"/>
  <c r="GP152" i="1"/>
  <c r="GP181" i="1" s="1"/>
  <c r="GQ133" i="1"/>
  <c r="GQ134" i="1"/>
  <c r="GQ140" i="1"/>
  <c r="GQ136" i="1"/>
  <c r="GQ132" i="1"/>
  <c r="GQ131" i="1"/>
  <c r="GQ137" i="1"/>
  <c r="GQ129" i="1"/>
  <c r="GQ135" i="1"/>
  <c r="GQ130" i="1"/>
  <c r="GG132" i="1"/>
  <c r="EK129" i="1"/>
  <c r="IZ174" i="2"/>
  <c r="IZ173" i="2"/>
  <c r="IZ172" i="2"/>
  <c r="IY171" i="2"/>
  <c r="IY170" i="2"/>
  <c r="IX174" i="2"/>
  <c r="IX173" i="2"/>
  <c r="IX172" i="2"/>
  <c r="IX171" i="2"/>
  <c r="IX170" i="2"/>
  <c r="HL232" i="1" l="1"/>
  <c r="HL247" i="1" s="1"/>
  <c r="AJ245" i="1"/>
  <c r="AK245" i="1" s="1"/>
  <c r="AK236" i="1"/>
  <c r="FV247" i="1"/>
  <c r="FW232" i="1"/>
  <c r="BJ247" i="1"/>
  <c r="BK232" i="1"/>
  <c r="AB247" i="1"/>
  <c r="AC232" i="1"/>
  <c r="BX247" i="1"/>
  <c r="BY232" i="1"/>
  <c r="DN247" i="1"/>
  <c r="DO232" i="1"/>
  <c r="BC232" i="1"/>
  <c r="HD245" i="1"/>
  <c r="HE245" i="1" s="1"/>
  <c r="HE236" i="1"/>
  <c r="F247" i="1"/>
  <c r="G232" i="1"/>
  <c r="EG232" i="1"/>
  <c r="FX247" i="1"/>
  <c r="FY232" i="1"/>
  <c r="AK232" i="1"/>
  <c r="AT247" i="1"/>
  <c r="AU232" i="1"/>
  <c r="CP247" i="1"/>
  <c r="CQ232" i="1"/>
  <c r="EY241" i="1"/>
  <c r="EY240" i="1"/>
  <c r="EY239" i="1"/>
  <c r="EX232" i="1"/>
  <c r="EY229" i="1"/>
  <c r="EX209" i="1"/>
  <c r="EY238" i="1"/>
  <c r="EY236" i="1"/>
  <c r="EY242" i="1"/>
  <c r="EY230" i="1"/>
  <c r="AX247" i="1"/>
  <c r="AY232" i="1"/>
  <c r="HL169" i="1"/>
  <c r="HL152" i="1"/>
  <c r="HL181" i="1" s="1"/>
  <c r="HM133" i="1"/>
  <c r="HM132" i="1"/>
  <c r="HM134" i="1"/>
  <c r="HM137" i="1"/>
  <c r="HM135" i="1"/>
  <c r="HM140" i="1"/>
  <c r="HM130" i="1"/>
  <c r="HM131" i="1"/>
  <c r="HM136" i="1"/>
  <c r="HM129" i="1"/>
  <c r="DZ247" i="1"/>
  <c r="EA232" i="1"/>
  <c r="BH247" i="1"/>
  <c r="BI232" i="1"/>
  <c r="BT247" i="1"/>
  <c r="BU232" i="1"/>
  <c r="AV247" i="1"/>
  <c r="AW232" i="1"/>
  <c r="L247" i="1"/>
  <c r="M232" i="1"/>
  <c r="GF245" i="1"/>
  <c r="GG245" i="1" s="1"/>
  <c r="GG238" i="1"/>
  <c r="EL247" i="1"/>
  <c r="EM232" i="1"/>
  <c r="DP247" i="1"/>
  <c r="DQ232" i="1"/>
  <c r="FP247" i="1"/>
  <c r="FQ232" i="1"/>
  <c r="HJ247" i="1"/>
  <c r="HK232" i="1"/>
  <c r="IB247" i="1"/>
  <c r="IC232" i="1"/>
  <c r="GC238" i="1"/>
  <c r="GB245" i="1"/>
  <c r="GC245" i="1" s="1"/>
  <c r="EN247" i="1"/>
  <c r="EO232" i="1"/>
  <c r="T247" i="1"/>
  <c r="U232" i="1"/>
  <c r="CO243" i="1"/>
  <c r="CO241" i="1"/>
  <c r="CO242" i="1"/>
  <c r="CO240" i="1"/>
  <c r="CN232" i="1"/>
  <c r="CO236" i="1"/>
  <c r="CO229" i="1"/>
  <c r="CN209" i="1"/>
  <c r="CO230" i="1"/>
  <c r="CO239" i="1"/>
  <c r="CN238" i="1"/>
  <c r="GT247" i="1"/>
  <c r="GU232" i="1"/>
  <c r="EJ247" i="1"/>
  <c r="EK232" i="1"/>
  <c r="GH247" i="1"/>
  <c r="GI232" i="1"/>
  <c r="BD247" i="1"/>
  <c r="BE232" i="1"/>
  <c r="ER247" i="1"/>
  <c r="ES232" i="1"/>
  <c r="CT247" i="1"/>
  <c r="CU232" i="1"/>
  <c r="GX247" i="1"/>
  <c r="GY232" i="1"/>
  <c r="BN247" i="1"/>
  <c r="BO232" i="1"/>
  <c r="BR247" i="1"/>
  <c r="BS232" i="1"/>
  <c r="FF247" i="1"/>
  <c r="FG232" i="1"/>
  <c r="GR247" i="1"/>
  <c r="GS232" i="1"/>
  <c r="FB247" i="1"/>
  <c r="FC232" i="1"/>
  <c r="HB247" i="1"/>
  <c r="HC232" i="1"/>
  <c r="AN247" i="1"/>
  <c r="AO232" i="1"/>
  <c r="HE232" i="1"/>
  <c r="ET247" i="1"/>
  <c r="EU232" i="1"/>
  <c r="FJ247" i="1"/>
  <c r="FK232" i="1"/>
  <c r="AL247" i="1"/>
  <c r="AM232" i="1"/>
  <c r="FA232" i="1"/>
  <c r="O232" i="1"/>
  <c r="R247" i="1"/>
  <c r="S232" i="1"/>
  <c r="EY243" i="1"/>
  <c r="FZ247" i="1"/>
  <c r="GA232" i="1"/>
  <c r="HM232" i="1"/>
  <c r="GL247" i="1"/>
  <c r="GM232" i="1"/>
  <c r="AF247" i="1"/>
  <c r="AG232" i="1"/>
  <c r="AP247" i="1"/>
  <c r="AQ232" i="1"/>
  <c r="EH247" i="1"/>
  <c r="EI232" i="1"/>
  <c r="BC238" i="1"/>
  <c r="BB245" i="1"/>
  <c r="BC245" i="1" s="1"/>
  <c r="CB247" i="1"/>
  <c r="CC232" i="1"/>
  <c r="FR247" i="1"/>
  <c r="FS232" i="1"/>
  <c r="HR247" i="1"/>
  <c r="HS232" i="1"/>
  <c r="FN245" i="1"/>
  <c r="FO245" i="1" s="1"/>
  <c r="FO238" i="1"/>
  <c r="AZ247" i="1"/>
  <c r="BA232" i="1"/>
  <c r="ED247" i="1"/>
  <c r="EE232" i="1"/>
  <c r="GF232" i="1"/>
  <c r="P247" i="1"/>
  <c r="Q232" i="1"/>
  <c r="EV247" i="1"/>
  <c r="EW232" i="1"/>
  <c r="BP247" i="1"/>
  <c r="BQ232" i="1"/>
  <c r="FH247" i="1"/>
  <c r="FI232" i="1"/>
  <c r="HM138" i="1"/>
  <c r="FT247" i="1"/>
  <c r="FU232" i="1"/>
  <c r="BL247" i="1"/>
  <c r="BM232" i="1"/>
  <c r="H247" i="1"/>
  <c r="I232" i="1"/>
  <c r="AH247" i="1"/>
  <c r="AI232" i="1"/>
  <c r="BZ247" i="1"/>
  <c r="CA232" i="1"/>
  <c r="DV247" i="1"/>
  <c r="DW232" i="1"/>
  <c r="GP247" i="1"/>
  <c r="GQ232" i="1"/>
  <c r="GJ247" i="1"/>
  <c r="GK232" i="1"/>
  <c r="EG238" i="1"/>
  <c r="EF245" i="1"/>
  <c r="EG245" i="1" s="1"/>
  <c r="BV247" i="1"/>
  <c r="BW232" i="1"/>
  <c r="EZ245" i="1"/>
  <c r="FA245" i="1" s="1"/>
  <c r="FA236" i="1"/>
  <c r="GV247" i="1"/>
  <c r="GW232" i="1"/>
  <c r="EY245" i="1"/>
  <c r="EP247" i="1"/>
  <c r="EQ232" i="1"/>
  <c r="GC232" i="1"/>
  <c r="X247" i="1"/>
  <c r="Y232" i="1"/>
  <c r="Z247" i="1"/>
  <c r="AA232" i="1"/>
  <c r="V247" i="1"/>
  <c r="W232" i="1"/>
  <c r="HN247" i="1"/>
  <c r="HO232" i="1"/>
  <c r="N245" i="1"/>
  <c r="O245" i="1" s="1"/>
  <c r="O238" i="1"/>
  <c r="DX247" i="1"/>
  <c r="DY232" i="1"/>
  <c r="DR247" i="1"/>
  <c r="DS232" i="1"/>
  <c r="FD247" i="1"/>
  <c r="FE232" i="1"/>
  <c r="J247" i="1"/>
  <c r="K232" i="1"/>
  <c r="GN247" i="1"/>
  <c r="GO232" i="1"/>
  <c r="BF247" i="1"/>
  <c r="BG232" i="1"/>
  <c r="AR247" i="1"/>
  <c r="AS232" i="1"/>
  <c r="FN232" i="1"/>
  <c r="GZ247" i="1"/>
  <c r="HA232" i="1"/>
  <c r="GD247" i="1"/>
  <c r="GE232" i="1"/>
  <c r="CV247" i="1"/>
  <c r="CW232" i="1"/>
  <c r="S325" i="18"/>
  <c r="S263" i="18"/>
  <c r="GB247" i="1" l="1"/>
  <c r="GC247" i="1" s="1"/>
  <c r="EZ247" i="1"/>
  <c r="AJ247" i="1"/>
  <c r="HD247" i="1"/>
  <c r="GE247" i="1"/>
  <c r="GD210" i="1"/>
  <c r="BW247" i="1"/>
  <c r="BV210" i="1"/>
  <c r="GQ247" i="1"/>
  <c r="GP210" i="1"/>
  <c r="AI247" i="1"/>
  <c r="AH210" i="1"/>
  <c r="AG247" i="1"/>
  <c r="AF210" i="1"/>
  <c r="HE247" i="1"/>
  <c r="HD210" i="1"/>
  <c r="FC247" i="1"/>
  <c r="FB210" i="1"/>
  <c r="FG247" i="1"/>
  <c r="FF210" i="1"/>
  <c r="CU247" i="1"/>
  <c r="CT210" i="1"/>
  <c r="GI247" i="1"/>
  <c r="GH210" i="1"/>
  <c r="AW247" i="1"/>
  <c r="AV210" i="1"/>
  <c r="EA247" i="1"/>
  <c r="DZ210" i="1"/>
  <c r="AK247" i="1"/>
  <c r="AJ210" i="1"/>
  <c r="AC247" i="1"/>
  <c r="AB210" i="1"/>
  <c r="GO247" i="1"/>
  <c r="GN210" i="1"/>
  <c r="DY247" i="1"/>
  <c r="DX210" i="1"/>
  <c r="AA247" i="1"/>
  <c r="Z210" i="1"/>
  <c r="FI247" i="1"/>
  <c r="FH210" i="1"/>
  <c r="Q247" i="1"/>
  <c r="P210" i="1"/>
  <c r="S247" i="1"/>
  <c r="R210" i="1"/>
  <c r="AM247" i="1"/>
  <c r="AL210" i="1"/>
  <c r="U247" i="1"/>
  <c r="T210" i="1"/>
  <c r="HK247" i="1"/>
  <c r="HJ210" i="1"/>
  <c r="EM247" i="1"/>
  <c r="EL210" i="1"/>
  <c r="I247" i="1"/>
  <c r="H210" i="1"/>
  <c r="GF247" i="1"/>
  <c r="GG232" i="1"/>
  <c r="HS247" i="1"/>
  <c r="HR210" i="1"/>
  <c r="EI247" i="1"/>
  <c r="EH210" i="1"/>
  <c r="GM247" i="1"/>
  <c r="GL210" i="1"/>
  <c r="AO247" i="1"/>
  <c r="AN210" i="1"/>
  <c r="BS247" i="1"/>
  <c r="BR210" i="1"/>
  <c r="EK247" i="1"/>
  <c r="EJ210" i="1"/>
  <c r="BU247" i="1"/>
  <c r="BT210" i="1"/>
  <c r="FY247" i="1"/>
  <c r="FX210" i="1"/>
  <c r="BB247" i="1"/>
  <c r="BK247" i="1"/>
  <c r="BJ210" i="1"/>
  <c r="EQ247" i="1"/>
  <c r="EP210" i="1"/>
  <c r="K247" i="1"/>
  <c r="J210" i="1"/>
  <c r="FK247" i="1"/>
  <c r="FJ210" i="1"/>
  <c r="CO232" i="1"/>
  <c r="EO247" i="1"/>
  <c r="EN210" i="1"/>
  <c r="FQ247" i="1"/>
  <c r="FP210" i="1"/>
  <c r="DS247" i="1"/>
  <c r="DR210" i="1"/>
  <c r="FA247" i="1"/>
  <c r="EZ210" i="1"/>
  <c r="GW247" i="1"/>
  <c r="GV210" i="1"/>
  <c r="DW247" i="1"/>
  <c r="DV210" i="1"/>
  <c r="BM247" i="1"/>
  <c r="BL210" i="1"/>
  <c r="EE247" i="1"/>
  <c r="ED210" i="1"/>
  <c r="FS247" i="1"/>
  <c r="FR210" i="1"/>
  <c r="AQ247" i="1"/>
  <c r="AP210" i="1"/>
  <c r="HM247" i="1"/>
  <c r="HL210" i="1"/>
  <c r="BO247" i="1"/>
  <c r="BN210" i="1"/>
  <c r="ES247" i="1"/>
  <c r="ER210" i="1"/>
  <c r="GU247" i="1"/>
  <c r="GT210" i="1"/>
  <c r="BI247" i="1"/>
  <c r="BH210" i="1"/>
  <c r="CQ247" i="1"/>
  <c r="CP210" i="1"/>
  <c r="EF247" i="1"/>
  <c r="DO247" i="1"/>
  <c r="DN210" i="1"/>
  <c r="FW247" i="1"/>
  <c r="FV210" i="1"/>
  <c r="W247" i="1"/>
  <c r="V210" i="1"/>
  <c r="HA247" i="1"/>
  <c r="GZ210" i="1"/>
  <c r="FN247" i="1"/>
  <c r="FO232" i="1"/>
  <c r="Y247" i="1"/>
  <c r="X210" i="1"/>
  <c r="CW247" i="1"/>
  <c r="CV210" i="1"/>
  <c r="AS247" i="1"/>
  <c r="AR210" i="1"/>
  <c r="FE247" i="1"/>
  <c r="FD210" i="1"/>
  <c r="HO247" i="1"/>
  <c r="HN210" i="1"/>
  <c r="BQ247" i="1"/>
  <c r="BP210" i="1"/>
  <c r="N247" i="1"/>
  <c r="CN245" i="1"/>
  <c r="CO245" i="1" s="1"/>
  <c r="CO238" i="1"/>
  <c r="DQ247" i="1"/>
  <c r="DP210" i="1"/>
  <c r="M247" i="1"/>
  <c r="L210" i="1"/>
  <c r="BG247" i="1"/>
  <c r="BF210" i="1"/>
  <c r="EW247" i="1"/>
  <c r="EV210" i="1"/>
  <c r="IC247" i="1"/>
  <c r="IB210" i="1"/>
  <c r="EX247" i="1"/>
  <c r="EY232" i="1"/>
  <c r="GK247" i="1"/>
  <c r="GJ210" i="1"/>
  <c r="CA247" i="1"/>
  <c r="BZ210" i="1"/>
  <c r="FU247" i="1"/>
  <c r="FT210" i="1"/>
  <c r="BA247" i="1"/>
  <c r="AZ210" i="1"/>
  <c r="CC247" i="1"/>
  <c r="CB210" i="1"/>
  <c r="GA247" i="1"/>
  <c r="FZ210" i="1"/>
  <c r="EU247" i="1"/>
  <c r="ET210" i="1"/>
  <c r="HC247" i="1"/>
  <c r="HB210" i="1"/>
  <c r="GS247" i="1"/>
  <c r="GR210" i="1"/>
  <c r="GY247" i="1"/>
  <c r="GX210" i="1"/>
  <c r="BE247" i="1"/>
  <c r="BD210" i="1"/>
  <c r="AY247" i="1"/>
  <c r="AX210" i="1"/>
  <c r="AU247" i="1"/>
  <c r="AT210" i="1"/>
  <c r="G247" i="1"/>
  <c r="F210" i="1"/>
  <c r="BY247" i="1"/>
  <c r="BX210" i="1"/>
  <c r="LG106" i="2"/>
  <c r="GB210" i="1" l="1"/>
  <c r="FO247" i="1"/>
  <c r="FN210" i="1"/>
  <c r="CN247" i="1"/>
  <c r="EG247" i="1"/>
  <c r="EF210" i="1"/>
  <c r="GG247" i="1"/>
  <c r="GF210" i="1"/>
  <c r="EY247" i="1"/>
  <c r="EX210" i="1"/>
  <c r="BC247" i="1"/>
  <c r="BB210" i="1"/>
  <c r="O247" i="1"/>
  <c r="N210" i="1"/>
  <c r="CO247" i="1" l="1"/>
  <c r="CN210" i="1"/>
  <c r="FR3" i="2"/>
  <c r="MN122" i="2" l="1"/>
  <c r="G209" i="36" l="1"/>
  <c r="H209" i="36"/>
  <c r="I209" i="36"/>
  <c r="J209" i="36"/>
  <c r="K209" i="36"/>
  <c r="L209" i="36"/>
  <c r="M209" i="36"/>
  <c r="N209" i="36"/>
  <c r="O209" i="36"/>
  <c r="P209" i="36"/>
  <c r="Q209" i="36"/>
  <c r="R209" i="36"/>
  <c r="S209" i="36"/>
  <c r="T209" i="36"/>
  <c r="U209" i="36"/>
  <c r="V209" i="36"/>
  <c r="W209" i="36"/>
  <c r="X209" i="36"/>
  <c r="Y209" i="36"/>
  <c r="Z209" i="36"/>
  <c r="AA209" i="36"/>
  <c r="AB209" i="36"/>
  <c r="AC209" i="36"/>
  <c r="AD209" i="36"/>
  <c r="AE209" i="36"/>
  <c r="AF209" i="36"/>
  <c r="AG209" i="36"/>
  <c r="AH209" i="36"/>
  <c r="AI209" i="36"/>
  <c r="AJ209" i="36"/>
  <c r="AK209" i="36"/>
  <c r="AL209" i="36"/>
  <c r="AM209" i="36"/>
  <c r="AN209" i="36"/>
  <c r="AO209" i="36"/>
  <c r="AP209" i="36"/>
  <c r="AQ209" i="36"/>
  <c r="AR209" i="36"/>
  <c r="AS209" i="36"/>
  <c r="AT209" i="36"/>
  <c r="AU209" i="36"/>
  <c r="AV209" i="36"/>
  <c r="AW209" i="36"/>
  <c r="AX209" i="36"/>
  <c r="AY209" i="36"/>
  <c r="AZ209" i="36"/>
  <c r="BA209" i="36"/>
  <c r="BB209" i="36"/>
  <c r="BC209" i="36"/>
  <c r="BD209" i="36"/>
  <c r="BE209" i="36"/>
  <c r="BF209" i="36"/>
  <c r="BG209" i="36"/>
  <c r="BH209" i="36"/>
  <c r="BI209" i="36"/>
  <c r="BJ209" i="36"/>
  <c r="BK209" i="36"/>
  <c r="BL209" i="36"/>
  <c r="BM209" i="36"/>
  <c r="BN209" i="36"/>
  <c r="BO209" i="36"/>
  <c r="BP209" i="36"/>
  <c r="BQ209" i="36"/>
  <c r="BR209" i="36"/>
  <c r="BS209" i="36"/>
  <c r="BT209" i="36"/>
  <c r="BU209" i="36"/>
  <c r="BV209" i="36"/>
  <c r="BW209" i="36"/>
  <c r="BX209" i="36"/>
  <c r="BY209" i="36"/>
  <c r="BZ209" i="36"/>
  <c r="CA209" i="36"/>
  <c r="CB209" i="36"/>
  <c r="CC209" i="36"/>
  <c r="CD209" i="36"/>
  <c r="CE209" i="36"/>
  <c r="CF209" i="36"/>
  <c r="CG209" i="36"/>
  <c r="CH209" i="36"/>
  <c r="CI209" i="36"/>
  <c r="CJ209" i="36"/>
  <c r="CK209" i="36"/>
  <c r="CL209" i="36"/>
  <c r="CM209" i="36"/>
  <c r="CN209" i="36"/>
  <c r="CO209" i="36"/>
  <c r="CP209" i="36"/>
  <c r="CQ209" i="36"/>
  <c r="CR209" i="36"/>
  <c r="CS209" i="36"/>
  <c r="CT209" i="36"/>
  <c r="CU209" i="36"/>
  <c r="CV209" i="36"/>
  <c r="CW209" i="36"/>
  <c r="CX209" i="36"/>
  <c r="CY209" i="36"/>
  <c r="CZ209" i="36"/>
  <c r="DA209" i="36"/>
  <c r="DB209" i="36"/>
  <c r="DC209" i="36"/>
  <c r="DD209" i="36"/>
  <c r="DE209" i="36"/>
  <c r="DF209" i="36"/>
  <c r="DG209" i="36"/>
  <c r="DH209" i="36"/>
  <c r="DI209" i="36"/>
  <c r="DJ209" i="36"/>
  <c r="DK209" i="36"/>
  <c r="DL209" i="36"/>
  <c r="DM209" i="36"/>
  <c r="DN209" i="36"/>
  <c r="DO209" i="36"/>
  <c r="DP209" i="36"/>
  <c r="DQ209" i="36"/>
  <c r="DR209" i="36"/>
  <c r="DS209" i="36"/>
  <c r="DT209" i="36"/>
  <c r="DU209" i="36"/>
  <c r="DV209" i="36"/>
  <c r="DW209" i="36"/>
  <c r="DX209" i="36"/>
  <c r="DY209" i="36"/>
  <c r="DZ209" i="36"/>
  <c r="EA209" i="36"/>
  <c r="EB209" i="36"/>
  <c r="EC209" i="36"/>
  <c r="ED209" i="36"/>
  <c r="EE209" i="36"/>
  <c r="EF209" i="36"/>
  <c r="EG209" i="36"/>
  <c r="EH209" i="36"/>
  <c r="EI209" i="36"/>
  <c r="EJ209" i="36"/>
  <c r="EK209" i="36"/>
  <c r="EL209" i="36"/>
  <c r="EM209" i="36"/>
  <c r="EN209" i="36"/>
  <c r="EO209" i="36"/>
  <c r="EP209" i="36"/>
  <c r="EQ209" i="36"/>
  <c r="ER209" i="36"/>
  <c r="ES209" i="36"/>
  <c r="ET209" i="36"/>
  <c r="EU209" i="36"/>
  <c r="EV209" i="36"/>
  <c r="EW209" i="36"/>
  <c r="EX209" i="36"/>
  <c r="EY209" i="36"/>
  <c r="EZ209" i="36"/>
  <c r="FA209" i="36"/>
  <c r="FB209" i="36"/>
  <c r="FC209" i="36"/>
  <c r="FD209" i="36"/>
  <c r="FE209" i="36"/>
  <c r="FF209" i="36"/>
  <c r="FG209" i="36"/>
  <c r="FH209" i="36"/>
  <c r="FI209" i="36"/>
  <c r="FJ209" i="36"/>
  <c r="FK209" i="36"/>
  <c r="FL209" i="36"/>
  <c r="FM209" i="36"/>
  <c r="FN209" i="36"/>
  <c r="FO209" i="36"/>
  <c r="FP209" i="36"/>
  <c r="FQ209" i="36"/>
  <c r="FR209" i="36"/>
  <c r="FS209" i="36"/>
  <c r="FT209" i="36"/>
  <c r="FU209" i="36"/>
  <c r="FV209" i="36"/>
  <c r="FW209" i="36"/>
  <c r="FX209" i="36"/>
  <c r="FY209" i="36"/>
  <c r="FZ209" i="36"/>
  <c r="GA209" i="36"/>
  <c r="GB209" i="36"/>
  <c r="GC209" i="36"/>
  <c r="GD209" i="36"/>
  <c r="GE209" i="36"/>
  <c r="GF209" i="36"/>
  <c r="GG209" i="36"/>
  <c r="GH209" i="36"/>
  <c r="GI209" i="36"/>
  <c r="GJ209" i="36"/>
  <c r="GK209" i="36"/>
  <c r="GL209" i="36"/>
  <c r="GM209" i="36"/>
  <c r="F209" i="36"/>
  <c r="L76" i="36"/>
  <c r="M76" i="36"/>
  <c r="N76" i="36"/>
  <c r="L77" i="36"/>
  <c r="M77" i="36"/>
  <c r="N77" i="36"/>
  <c r="L78" i="36"/>
  <c r="M78" i="36"/>
  <c r="N78" i="36"/>
  <c r="L79" i="36"/>
  <c r="M79" i="36"/>
  <c r="N79" i="36"/>
  <c r="L80" i="36"/>
  <c r="M80" i="36"/>
  <c r="N80" i="36"/>
  <c r="L81" i="36"/>
  <c r="M81" i="36"/>
  <c r="N81" i="36"/>
  <c r="L82" i="36"/>
  <c r="M82" i="36"/>
  <c r="N82" i="36"/>
  <c r="L83" i="36"/>
  <c r="M83" i="36"/>
  <c r="N83" i="36"/>
  <c r="L84" i="36"/>
  <c r="M84" i="36"/>
  <c r="N84" i="36"/>
  <c r="L85" i="36"/>
  <c r="M85" i="36"/>
  <c r="N85" i="36"/>
  <c r="L86" i="36"/>
  <c r="M86" i="36"/>
  <c r="N86" i="36"/>
  <c r="L87" i="36"/>
  <c r="M87" i="36"/>
  <c r="N87" i="36"/>
  <c r="L88" i="36"/>
  <c r="M88" i="36"/>
  <c r="N88" i="36"/>
  <c r="L89" i="36"/>
  <c r="M89" i="36"/>
  <c r="N89" i="36"/>
  <c r="L90" i="36"/>
  <c r="M90" i="36"/>
  <c r="N90" i="36"/>
  <c r="L91" i="36"/>
  <c r="M91" i="36"/>
  <c r="N91" i="36"/>
  <c r="L92" i="36"/>
  <c r="M92" i="36"/>
  <c r="N92" i="36"/>
  <c r="L93" i="36"/>
  <c r="M93" i="36"/>
  <c r="N93" i="36"/>
  <c r="L94" i="36"/>
  <c r="M94" i="36"/>
  <c r="N94" i="36"/>
  <c r="L95" i="36"/>
  <c r="M95" i="36"/>
  <c r="N95" i="36"/>
  <c r="L96" i="36"/>
  <c r="M96" i="36"/>
  <c r="N96" i="36"/>
  <c r="L97" i="36"/>
  <c r="M97" i="36"/>
  <c r="N97" i="36"/>
  <c r="L98" i="36"/>
  <c r="M98" i="36"/>
  <c r="N98" i="36"/>
  <c r="L99" i="36"/>
  <c r="M99" i="36"/>
  <c r="N99" i="36"/>
  <c r="L100" i="36"/>
  <c r="M100" i="36"/>
  <c r="N100" i="36"/>
  <c r="L101" i="36"/>
  <c r="M101" i="36"/>
  <c r="N101" i="36"/>
  <c r="L102" i="36"/>
  <c r="M102" i="36"/>
  <c r="N102" i="36"/>
  <c r="L103" i="36"/>
  <c r="M103" i="36"/>
  <c r="N103" i="36"/>
  <c r="L104" i="36"/>
  <c r="M104" i="36"/>
  <c r="N104" i="36"/>
  <c r="L105" i="36"/>
  <c r="M105" i="36"/>
  <c r="N105" i="36"/>
  <c r="L106" i="36"/>
  <c r="M106" i="36"/>
  <c r="N106" i="36"/>
  <c r="L107" i="36"/>
  <c r="M107" i="36"/>
  <c r="N107" i="36"/>
  <c r="L108" i="36"/>
  <c r="M108" i="36"/>
  <c r="N108" i="36"/>
  <c r="L109" i="36"/>
  <c r="M109" i="36"/>
  <c r="N109" i="36"/>
  <c r="L110" i="36"/>
  <c r="M110" i="36"/>
  <c r="N110" i="36"/>
  <c r="L111" i="36"/>
  <c r="M111" i="36"/>
  <c r="N111" i="36"/>
  <c r="L112" i="36"/>
  <c r="M112" i="36"/>
  <c r="N112" i="36"/>
  <c r="L113" i="36"/>
  <c r="M113" i="36"/>
  <c r="N113" i="36"/>
  <c r="L114" i="36"/>
  <c r="M114" i="36"/>
  <c r="N114" i="36"/>
  <c r="L115" i="36"/>
  <c r="M115" i="36"/>
  <c r="N115" i="36"/>
  <c r="L116" i="36"/>
  <c r="M116" i="36"/>
  <c r="N116" i="36"/>
  <c r="L117" i="36"/>
  <c r="M117" i="36"/>
  <c r="N117" i="36"/>
  <c r="L118" i="36"/>
  <c r="M118" i="36"/>
  <c r="N118" i="36"/>
  <c r="L119" i="36"/>
  <c r="M119" i="36"/>
  <c r="N119" i="36"/>
  <c r="L120" i="36"/>
  <c r="M120" i="36"/>
  <c r="N120" i="36"/>
  <c r="L121" i="36"/>
  <c r="M121" i="36"/>
  <c r="N121" i="36"/>
  <c r="L122" i="36"/>
  <c r="M122" i="36"/>
  <c r="N122" i="36"/>
  <c r="L123" i="36"/>
  <c r="M123" i="36"/>
  <c r="N123" i="36"/>
  <c r="L124" i="36"/>
  <c r="M124" i="36"/>
  <c r="N124" i="36"/>
  <c r="L125" i="36"/>
  <c r="M125" i="36"/>
  <c r="N125" i="36"/>
  <c r="L126" i="36"/>
  <c r="M126" i="36"/>
  <c r="N126" i="36"/>
  <c r="L127" i="36"/>
  <c r="M127" i="36"/>
  <c r="N127" i="36"/>
  <c r="L128" i="36"/>
  <c r="M128" i="36"/>
  <c r="N128" i="36"/>
  <c r="L129" i="36"/>
  <c r="M129" i="36"/>
  <c r="N129" i="36"/>
  <c r="L130" i="36"/>
  <c r="M130" i="36"/>
  <c r="N130" i="36"/>
  <c r="L131" i="36"/>
  <c r="M131" i="36"/>
  <c r="N131" i="36"/>
  <c r="L132" i="36"/>
  <c r="M132" i="36"/>
  <c r="N132" i="36"/>
  <c r="L133" i="36"/>
  <c r="M133" i="36"/>
  <c r="N133" i="36"/>
  <c r="L134" i="36"/>
  <c r="M134" i="36"/>
  <c r="N134" i="36"/>
  <c r="L135" i="36"/>
  <c r="M135" i="36"/>
  <c r="N135" i="36"/>
  <c r="L136" i="36"/>
  <c r="M136" i="36"/>
  <c r="N136" i="36"/>
  <c r="L137" i="36"/>
  <c r="M137" i="36"/>
  <c r="N137" i="36"/>
  <c r="L138" i="36"/>
  <c r="M138" i="36"/>
  <c r="N138" i="36"/>
  <c r="L139" i="36"/>
  <c r="M139" i="36"/>
  <c r="N139" i="36"/>
  <c r="L140" i="36"/>
  <c r="M140" i="36"/>
  <c r="N140" i="36"/>
  <c r="L141" i="36"/>
  <c r="M141" i="36"/>
  <c r="N141" i="36"/>
  <c r="L142" i="36"/>
  <c r="M142" i="36"/>
  <c r="N142" i="36"/>
  <c r="L143" i="36"/>
  <c r="M143" i="36"/>
  <c r="N143" i="36"/>
  <c r="L144" i="36"/>
  <c r="M144" i="36"/>
  <c r="N144" i="36"/>
  <c r="L145" i="36"/>
  <c r="M145" i="36"/>
  <c r="N145" i="36"/>
  <c r="L146" i="36"/>
  <c r="M146" i="36"/>
  <c r="N146" i="36"/>
  <c r="L147" i="36"/>
  <c r="M147" i="36"/>
  <c r="N147" i="36"/>
  <c r="L148" i="36"/>
  <c r="M148" i="36"/>
  <c r="N148" i="36"/>
  <c r="L149" i="36"/>
  <c r="M149" i="36"/>
  <c r="N149" i="36"/>
  <c r="L150" i="36"/>
  <c r="M150" i="36"/>
  <c r="N150" i="36"/>
  <c r="L151" i="36"/>
  <c r="M151" i="36"/>
  <c r="N151" i="36"/>
  <c r="L152" i="36"/>
  <c r="M152" i="36"/>
  <c r="N152" i="36"/>
  <c r="L153" i="36"/>
  <c r="M153" i="36"/>
  <c r="N153" i="36"/>
  <c r="L154" i="36"/>
  <c r="M154" i="36"/>
  <c r="N154" i="36"/>
  <c r="L155" i="36"/>
  <c r="M155" i="36"/>
  <c r="N155" i="36"/>
  <c r="L156" i="36"/>
  <c r="M156" i="36"/>
  <c r="N156" i="36"/>
  <c r="L157" i="36"/>
  <c r="M157" i="36"/>
  <c r="N157" i="36"/>
  <c r="L158" i="36"/>
  <c r="M158" i="36"/>
  <c r="N158" i="36"/>
  <c r="L159" i="36"/>
  <c r="M159" i="36"/>
  <c r="N159" i="36"/>
  <c r="L160" i="36"/>
  <c r="M160" i="36"/>
  <c r="N160" i="36"/>
  <c r="L161" i="36"/>
  <c r="M161" i="36"/>
  <c r="N161" i="36"/>
  <c r="L162" i="36"/>
  <c r="M162" i="36"/>
  <c r="N162" i="36"/>
  <c r="L163" i="36"/>
  <c r="M163" i="36"/>
  <c r="N163" i="36"/>
  <c r="L164" i="36"/>
  <c r="M164" i="36"/>
  <c r="N164" i="36"/>
  <c r="L165" i="36"/>
  <c r="M165" i="36"/>
  <c r="N165" i="36"/>
  <c r="L166" i="36"/>
  <c r="M166" i="36"/>
  <c r="N166" i="36"/>
  <c r="L167" i="36"/>
  <c r="M167" i="36"/>
  <c r="N167" i="36"/>
  <c r="L168" i="36"/>
  <c r="M168" i="36"/>
  <c r="N168" i="36"/>
  <c r="L169" i="36"/>
  <c r="M169" i="36"/>
  <c r="N169" i="36"/>
  <c r="L170" i="36"/>
  <c r="M170" i="36"/>
  <c r="N170" i="36"/>
  <c r="L171" i="36"/>
  <c r="M171" i="36"/>
  <c r="N171" i="36"/>
  <c r="L172" i="36"/>
  <c r="M172" i="36"/>
  <c r="N172" i="36"/>
  <c r="L173" i="36"/>
  <c r="M173" i="36"/>
  <c r="N173" i="36"/>
  <c r="L174" i="36"/>
  <c r="M174" i="36"/>
  <c r="N174" i="36"/>
  <c r="L175" i="36"/>
  <c r="M175" i="36"/>
  <c r="N175" i="36"/>
  <c r="L176" i="36"/>
  <c r="M176" i="36"/>
  <c r="N176" i="36"/>
  <c r="L177" i="36"/>
  <c r="M177" i="36"/>
  <c r="N177" i="36"/>
  <c r="L178" i="36"/>
  <c r="M178" i="36"/>
  <c r="N178" i="36"/>
  <c r="L179" i="36"/>
  <c r="M179" i="36"/>
  <c r="N179" i="36"/>
  <c r="L180" i="36"/>
  <c r="M180" i="36"/>
  <c r="N180" i="36"/>
  <c r="L181" i="36"/>
  <c r="M181" i="36"/>
  <c r="N181" i="36"/>
  <c r="L182" i="36"/>
  <c r="M182" i="36"/>
  <c r="N182" i="36"/>
  <c r="L183" i="36"/>
  <c r="M183" i="36"/>
  <c r="N183" i="36"/>
  <c r="L184" i="36"/>
  <c r="M184" i="36"/>
  <c r="N184" i="36"/>
  <c r="L185" i="36"/>
  <c r="M185" i="36"/>
  <c r="N185" i="36"/>
  <c r="L186" i="36"/>
  <c r="M186" i="36"/>
  <c r="N186" i="36"/>
  <c r="L187" i="36"/>
  <c r="M187" i="36"/>
  <c r="N187" i="36"/>
  <c r="L188" i="36"/>
  <c r="M188" i="36"/>
  <c r="N188" i="36"/>
  <c r="L189" i="36"/>
  <c r="M189" i="36"/>
  <c r="N189" i="36"/>
  <c r="L190" i="36"/>
  <c r="M190" i="36"/>
  <c r="N190" i="36"/>
  <c r="L191" i="36"/>
  <c r="M191" i="36"/>
  <c r="N191" i="36"/>
  <c r="L192" i="36"/>
  <c r="M192" i="36"/>
  <c r="N192" i="36"/>
  <c r="L193" i="36"/>
  <c r="M193" i="36"/>
  <c r="N193" i="36"/>
  <c r="L194" i="36"/>
  <c r="M194" i="36"/>
  <c r="N194" i="36"/>
  <c r="L195" i="36"/>
  <c r="M195" i="36"/>
  <c r="N195" i="36"/>
  <c r="L196" i="36"/>
  <c r="M196" i="36"/>
  <c r="N196" i="36"/>
  <c r="L197" i="36"/>
  <c r="M197" i="36"/>
  <c r="N197" i="36"/>
  <c r="L198" i="36"/>
  <c r="M198" i="36"/>
  <c r="N198" i="36"/>
  <c r="L199" i="36"/>
  <c r="M199" i="36"/>
  <c r="N199" i="36"/>
  <c r="L200" i="36"/>
  <c r="M200" i="36"/>
  <c r="N200" i="36"/>
  <c r="M75" i="36"/>
  <c r="N75" i="36"/>
  <c r="L75" i="36"/>
  <c r="K167" i="36"/>
  <c r="K168" i="36"/>
  <c r="K169" i="36"/>
  <c r="K170" i="36"/>
  <c r="K182" i="36"/>
  <c r="K183" i="36"/>
  <c r="K184" i="36"/>
  <c r="K185" i="36"/>
  <c r="K186" i="36"/>
  <c r="K187" i="36"/>
  <c r="K188" i="36"/>
  <c r="K189" i="36"/>
  <c r="K190" i="36"/>
  <c r="K191" i="36"/>
  <c r="K192" i="36"/>
  <c r="K193" i="36"/>
  <c r="K194" i="36"/>
  <c r="K195" i="36"/>
  <c r="K196" i="36"/>
  <c r="K197" i="36"/>
  <c r="K198" i="36"/>
  <c r="K199" i="36"/>
  <c r="K200" i="36"/>
  <c r="K172" i="36"/>
  <c r="K173" i="36"/>
  <c r="K174" i="36"/>
  <c r="K175" i="36"/>
  <c r="K176" i="36"/>
  <c r="K177" i="36"/>
  <c r="K178" i="36"/>
  <c r="K179" i="36"/>
  <c r="K180" i="36"/>
  <c r="K181" i="36"/>
  <c r="K164" i="36"/>
  <c r="K165" i="36"/>
  <c r="K166" i="36"/>
  <c r="K171" i="36"/>
  <c r="K152" i="36"/>
  <c r="K153" i="36"/>
  <c r="K154" i="36"/>
  <c r="K155" i="36"/>
  <c r="K156" i="36"/>
  <c r="K157" i="36"/>
  <c r="K158" i="36"/>
  <c r="K159" i="36"/>
  <c r="K160" i="36"/>
  <c r="K161" i="36"/>
  <c r="K162" i="36"/>
  <c r="K163" i="36"/>
  <c r="K147" i="36"/>
  <c r="K148" i="36"/>
  <c r="K149" i="36"/>
  <c r="K150" i="36"/>
  <c r="K151" i="36"/>
  <c r="K110" i="36"/>
  <c r="K111" i="36"/>
  <c r="K112" i="36"/>
  <c r="K113" i="36"/>
  <c r="K114" i="36"/>
  <c r="K115" i="36"/>
  <c r="K116" i="36"/>
  <c r="K117" i="36"/>
  <c r="K118" i="36"/>
  <c r="K119" i="36"/>
  <c r="K120" i="36"/>
  <c r="K121" i="36"/>
  <c r="K122" i="36"/>
  <c r="K123" i="36"/>
  <c r="K124" i="36"/>
  <c r="K125" i="36"/>
  <c r="K126" i="36"/>
  <c r="K127" i="36"/>
  <c r="K128" i="36"/>
  <c r="K129" i="36"/>
  <c r="K130" i="36"/>
  <c r="K131" i="36"/>
  <c r="K132" i="36"/>
  <c r="K133" i="36"/>
  <c r="K134" i="36"/>
  <c r="K135" i="36"/>
  <c r="K136" i="36"/>
  <c r="K137" i="36"/>
  <c r="K138" i="36"/>
  <c r="K139" i="36"/>
  <c r="K140" i="36"/>
  <c r="K141" i="36"/>
  <c r="K142" i="36"/>
  <c r="K143" i="36"/>
  <c r="K144" i="36"/>
  <c r="K145" i="36"/>
  <c r="K146" i="36"/>
  <c r="K102" i="36"/>
  <c r="K103" i="36"/>
  <c r="K104" i="36"/>
  <c r="K105" i="36"/>
  <c r="K106" i="36"/>
  <c r="K107" i="36"/>
  <c r="K108" i="36"/>
  <c r="K109" i="36"/>
  <c r="K76" i="36"/>
  <c r="K77" i="36"/>
  <c r="K78" i="36"/>
  <c r="K79" i="36"/>
  <c r="K80" i="36"/>
  <c r="K81" i="36"/>
  <c r="K82" i="36"/>
  <c r="K83" i="36"/>
  <c r="K84" i="36"/>
  <c r="K85" i="36"/>
  <c r="K86" i="36"/>
  <c r="K87" i="36"/>
  <c r="K88" i="36"/>
  <c r="K89" i="36"/>
  <c r="K90" i="36"/>
  <c r="K91" i="36"/>
  <c r="K92" i="36"/>
  <c r="K93" i="36"/>
  <c r="K94" i="36"/>
  <c r="K95" i="36"/>
  <c r="K96" i="36"/>
  <c r="K97" i="36"/>
  <c r="K98" i="36"/>
  <c r="K99" i="36"/>
  <c r="K100" i="36"/>
  <c r="K101" i="36"/>
  <c r="K75" i="36"/>
  <c r="V52" i="36"/>
  <c r="S59" i="36"/>
  <c r="T59" i="36"/>
  <c r="U59" i="36"/>
  <c r="V59" i="36"/>
  <c r="X59" i="36"/>
  <c r="Y59" i="36"/>
  <c r="Z59" i="36"/>
  <c r="S60" i="36"/>
  <c r="T60" i="36"/>
  <c r="U60" i="36"/>
  <c r="V60" i="36"/>
  <c r="X60" i="36"/>
  <c r="Y60" i="36"/>
  <c r="Z60" i="36"/>
  <c r="S61" i="36"/>
  <c r="T61" i="36"/>
  <c r="U61" i="36"/>
  <c r="V61" i="36"/>
  <c r="X61" i="36"/>
  <c r="Y61" i="36"/>
  <c r="Z61" i="36"/>
  <c r="S62" i="36"/>
  <c r="T62" i="36"/>
  <c r="U62" i="36"/>
  <c r="V62" i="36"/>
  <c r="X62" i="36"/>
  <c r="Y62" i="36"/>
  <c r="Z62" i="36"/>
  <c r="S64" i="36"/>
  <c r="T64" i="36"/>
  <c r="U64" i="36"/>
  <c r="V64" i="36"/>
  <c r="X64" i="36"/>
  <c r="Y64" i="36"/>
  <c r="Z64" i="36"/>
  <c r="S65" i="36"/>
  <c r="T65" i="36"/>
  <c r="U65" i="36"/>
  <c r="V65" i="36"/>
  <c r="X65" i="36"/>
  <c r="Y65" i="36"/>
  <c r="Z65" i="36"/>
  <c r="Z58" i="36"/>
  <c r="Y58" i="36"/>
  <c r="X58" i="36"/>
  <c r="V58" i="36"/>
  <c r="U58" i="36"/>
  <c r="T58" i="36"/>
  <c r="S58" i="36"/>
  <c r="Z40" i="36"/>
  <c r="Z41" i="36"/>
  <c r="Z42" i="36"/>
  <c r="Z43" i="36"/>
  <c r="Z44" i="36"/>
  <c r="Z45" i="36"/>
  <c r="Z46" i="36"/>
  <c r="Z47" i="36"/>
  <c r="Z48" i="36"/>
  <c r="Z49" i="36"/>
  <c r="Z50" i="36"/>
  <c r="Z51" i="36"/>
  <c r="Z52" i="36"/>
  <c r="Z53" i="36"/>
  <c r="Y40" i="36"/>
  <c r="Y41" i="36"/>
  <c r="Y42" i="36"/>
  <c r="Y43" i="36"/>
  <c r="Y44" i="36"/>
  <c r="Y45" i="36"/>
  <c r="Y46" i="36"/>
  <c r="Y47" i="36"/>
  <c r="Y48" i="36"/>
  <c r="Y49" i="36"/>
  <c r="Y50" i="36"/>
  <c r="Y51" i="36"/>
  <c r="Y52" i="36"/>
  <c r="Y53" i="36"/>
  <c r="T40" i="36"/>
  <c r="U40" i="36"/>
  <c r="V40" i="36"/>
  <c r="X40" i="36"/>
  <c r="T41" i="36"/>
  <c r="U41" i="36"/>
  <c r="V41" i="36"/>
  <c r="X41" i="36"/>
  <c r="T42" i="36"/>
  <c r="U42" i="36"/>
  <c r="V42" i="36"/>
  <c r="W42" i="36"/>
  <c r="X42" i="36"/>
  <c r="T43" i="36"/>
  <c r="U43" i="36"/>
  <c r="V43" i="36"/>
  <c r="X43" i="36"/>
  <c r="T44" i="36"/>
  <c r="U44" i="36"/>
  <c r="V44" i="36"/>
  <c r="X44" i="36"/>
  <c r="T45" i="36"/>
  <c r="U45" i="36"/>
  <c r="V45" i="36"/>
  <c r="W45" i="36"/>
  <c r="X45" i="36"/>
  <c r="T46" i="36"/>
  <c r="U46" i="36"/>
  <c r="V46" i="36"/>
  <c r="X46" i="36"/>
  <c r="T47" i="36"/>
  <c r="U47" i="36"/>
  <c r="V47" i="36"/>
  <c r="X47" i="36"/>
  <c r="T48" i="36"/>
  <c r="U48" i="36"/>
  <c r="V48" i="36"/>
  <c r="W48" i="36"/>
  <c r="X48" i="36"/>
  <c r="T49" i="36"/>
  <c r="U49" i="36"/>
  <c r="V49" i="36"/>
  <c r="X49" i="36"/>
  <c r="T50" i="36"/>
  <c r="U50" i="36"/>
  <c r="V50" i="36"/>
  <c r="X50" i="36"/>
  <c r="T51" i="36"/>
  <c r="U51" i="36"/>
  <c r="V51" i="36"/>
  <c r="W51" i="36"/>
  <c r="X51" i="36"/>
  <c r="T52" i="36"/>
  <c r="U52" i="36"/>
  <c r="W52" i="36"/>
  <c r="X52" i="36"/>
  <c r="T53" i="36"/>
  <c r="U53" i="36"/>
  <c r="V53" i="36"/>
  <c r="W53" i="36"/>
  <c r="X53" i="36"/>
  <c r="S41" i="36"/>
  <c r="S42" i="36"/>
  <c r="S43" i="36"/>
  <c r="S44" i="36"/>
  <c r="S45" i="36"/>
  <c r="S46" i="36"/>
  <c r="S47" i="36"/>
  <c r="S48" i="36"/>
  <c r="S49" i="36"/>
  <c r="S50" i="36"/>
  <c r="S51" i="36"/>
  <c r="S52" i="36"/>
  <c r="S53" i="36"/>
  <c r="S40" i="36"/>
  <c r="AN33" i="2" l="1"/>
  <c r="AN27" i="2"/>
  <c r="KO151" i="2" l="1"/>
  <c r="KO160" i="2"/>
  <c r="KO162" i="2"/>
  <c r="KO166" i="2"/>
  <c r="KL138" i="2"/>
  <c r="KL139" i="2"/>
  <c r="KO140" i="2"/>
  <c r="KO143" i="2"/>
  <c r="KO68" i="2"/>
  <c r="KO71" i="2"/>
  <c r="KO73" i="2"/>
  <c r="KO76" i="2"/>
  <c r="KO77" i="2"/>
  <c r="KO81" i="2"/>
  <c r="KO86" i="2"/>
  <c r="KO87" i="2"/>
  <c r="KO88" i="2"/>
  <c r="KO91" i="2"/>
  <c r="KO95" i="2"/>
  <c r="KO109" i="2"/>
  <c r="KO110" i="2"/>
  <c r="KO112" i="2"/>
  <c r="KO119" i="2"/>
  <c r="KO126" i="2"/>
  <c r="KL131" i="2"/>
  <c r="LM152" i="2"/>
  <c r="JI134" i="2"/>
  <c r="JI87" i="2"/>
  <c r="KL148" i="2"/>
  <c r="GX3" i="2"/>
  <c r="LP148" i="2"/>
  <c r="LP149" i="2"/>
  <c r="KT114" i="2"/>
  <c r="IA58" i="2"/>
  <c r="IC58" i="2"/>
  <c r="IE58" i="2"/>
  <c r="IG58" i="2"/>
  <c r="II58" i="2"/>
  <c r="IJ58" i="2"/>
  <c r="IK58" i="2"/>
  <c r="IL58" i="2"/>
  <c r="IM58" i="2"/>
  <c r="IN58" i="2"/>
  <c r="IO58" i="2"/>
  <c r="IP58" i="2"/>
  <c r="IQ58" i="2"/>
  <c r="IR58" i="2"/>
  <c r="IS58" i="2"/>
  <c r="IT58" i="2"/>
  <c r="IU58" i="2"/>
  <c r="IV58" i="2"/>
  <c r="IW58" i="2"/>
  <c r="JD58" i="2"/>
  <c r="JE58" i="2"/>
  <c r="JG58" i="2"/>
  <c r="JH58" i="2"/>
  <c r="JK58" i="2"/>
  <c r="JL58" i="2"/>
  <c r="JM58" i="2"/>
  <c r="JN58" i="2"/>
  <c r="JO58" i="2"/>
  <c r="JP58" i="2"/>
  <c r="JR58" i="2"/>
  <c r="JS58" i="2"/>
  <c r="JT58" i="2"/>
  <c r="JU58" i="2"/>
  <c r="JV58" i="2"/>
  <c r="JW58" i="2"/>
  <c r="JX58" i="2"/>
  <c r="JY58" i="2"/>
  <c r="JZ58" i="2"/>
  <c r="KA58" i="2"/>
  <c r="KB58" i="2"/>
  <c r="KC58" i="2"/>
  <c r="KD58" i="2"/>
  <c r="KE58" i="2"/>
  <c r="KF58" i="2"/>
  <c r="KG58" i="2"/>
  <c r="KH58" i="2"/>
  <c r="KN58" i="2" s="1"/>
  <c r="KI58" i="2"/>
  <c r="KJ58" i="2"/>
  <c r="KK58" i="2"/>
  <c r="KL58" i="2"/>
  <c r="KM58" i="2"/>
  <c r="KO58" i="2"/>
  <c r="KP58" i="2"/>
  <c r="KQ58" i="2"/>
  <c r="KR58" i="2"/>
  <c r="KS58" i="2"/>
  <c r="KT58" i="2"/>
  <c r="KU58" i="2"/>
  <c r="KY58" i="2"/>
  <c r="LA58" i="2"/>
  <c r="LC58" i="2"/>
  <c r="LE58" i="2"/>
  <c r="LG58" i="2"/>
  <c r="LH58" i="2"/>
  <c r="LI58" i="2"/>
  <c r="LJ58" i="2"/>
  <c r="LL58" i="2"/>
  <c r="LN58" i="2"/>
  <c r="LO58" i="2"/>
  <c r="LP58" i="2"/>
  <c r="LQ58" i="2"/>
  <c r="LR58" i="2"/>
  <c r="LS58" i="2"/>
  <c r="LT58" i="2"/>
  <c r="LU58" i="2"/>
  <c r="LV58" i="2"/>
  <c r="LW58" i="2"/>
  <c r="LX58" i="2"/>
  <c r="LY58" i="2"/>
  <c r="LZ58" i="2"/>
  <c r="MA58" i="2"/>
  <c r="MB58" i="2"/>
  <c r="MC58" i="2"/>
  <c r="MD58" i="2"/>
  <c r="ME58" i="2"/>
  <c r="MF58" i="2"/>
  <c r="MG58" i="2"/>
  <c r="MH58" i="2"/>
  <c r="MI58" i="2"/>
  <c r="MJ58" i="2"/>
  <c r="MK58" i="2"/>
  <c r="ML58" i="2"/>
  <c r="MM58" i="2"/>
  <c r="MN58" i="2"/>
  <c r="MO58" i="2"/>
  <c r="MP58" i="2"/>
  <c r="MQ58" i="2"/>
  <c r="MR58" i="2"/>
  <c r="MS58" i="2"/>
  <c r="MT58" i="2"/>
  <c r="MU58" i="2"/>
  <c r="MV58" i="2"/>
  <c r="MW58" i="2"/>
  <c r="MX58" i="2"/>
  <c r="MY58" i="2"/>
  <c r="MZ58" i="2"/>
  <c r="NA58" i="2"/>
  <c r="NB58" i="2"/>
  <c r="NC58" i="2"/>
  <c r="ND58" i="2"/>
  <c r="NE58" i="2"/>
  <c r="NF58" i="2"/>
  <c r="NG58" i="2"/>
  <c r="NH58" i="2"/>
  <c r="NI58" i="2"/>
  <c r="NJ58" i="2"/>
  <c r="NK58" i="2"/>
  <c r="NL58" i="2"/>
  <c r="NM58" i="2"/>
  <c r="NN58" i="2"/>
  <c r="NO58" i="2"/>
  <c r="NP58" i="2"/>
  <c r="NQ58" i="2"/>
  <c r="NR58" i="2"/>
  <c r="NS58" i="2"/>
  <c r="NT58" i="2"/>
  <c r="NU58" i="2"/>
  <c r="NV58" i="2"/>
  <c r="NW58" i="2"/>
  <c r="NX58" i="2"/>
  <c r="NY58" i="2"/>
  <c r="NZ58" i="2"/>
  <c r="OA58" i="2"/>
  <c r="OB58" i="2"/>
  <c r="OC58" i="2"/>
  <c r="OD58" i="2"/>
  <c r="OE58" i="2"/>
  <c r="OF58" i="2"/>
  <c r="OG58" i="2"/>
  <c r="OH58" i="2"/>
  <c r="OI58" i="2"/>
  <c r="OJ58" i="2"/>
  <c r="OK58" i="2"/>
  <c r="OL58" i="2"/>
  <c r="OM58" i="2"/>
  <c r="ON58" i="2"/>
  <c r="OO58" i="2"/>
  <c r="OP58" i="2"/>
  <c r="OQ58" i="2"/>
  <c r="OR58" i="2"/>
  <c r="OS58" i="2"/>
  <c r="OT58" i="2"/>
  <c r="OU58" i="2"/>
  <c r="OV58" i="2"/>
  <c r="OW58" i="2"/>
  <c r="OX58" i="2"/>
  <c r="OY58" i="2"/>
  <c r="OZ58" i="2"/>
  <c r="PA58" i="2"/>
  <c r="PB58" i="2"/>
  <c r="PC58" i="2"/>
  <c r="PD58" i="2"/>
  <c r="PE58" i="2"/>
  <c r="PF58" i="2"/>
  <c r="PG58" i="2"/>
  <c r="PH58" i="2"/>
  <c r="PI58" i="2"/>
  <c r="PJ58" i="2"/>
  <c r="PK58" i="2"/>
  <c r="PL58" i="2"/>
  <c r="IA59" i="2"/>
  <c r="IC59" i="2"/>
  <c r="IE59" i="2"/>
  <c r="IG59" i="2"/>
  <c r="II59" i="2"/>
  <c r="IJ59" i="2"/>
  <c r="IK59" i="2"/>
  <c r="IL59" i="2"/>
  <c r="IM59" i="2"/>
  <c r="IN59" i="2"/>
  <c r="IO59" i="2"/>
  <c r="IP59" i="2"/>
  <c r="IQ59" i="2"/>
  <c r="IR59" i="2"/>
  <c r="IS59" i="2"/>
  <c r="IT59" i="2"/>
  <c r="IU59" i="2"/>
  <c r="IV59" i="2"/>
  <c r="IW59" i="2"/>
  <c r="JD59" i="2"/>
  <c r="JE59" i="2"/>
  <c r="JG59" i="2"/>
  <c r="JH59" i="2"/>
  <c r="JK59" i="2"/>
  <c r="JL59" i="2"/>
  <c r="JM59" i="2"/>
  <c r="JN59" i="2"/>
  <c r="JO59" i="2"/>
  <c r="JP59" i="2"/>
  <c r="JR59" i="2"/>
  <c r="JS59" i="2"/>
  <c r="JT59" i="2"/>
  <c r="JU59" i="2"/>
  <c r="JV59" i="2"/>
  <c r="JW59" i="2"/>
  <c r="JX59" i="2"/>
  <c r="JY59" i="2"/>
  <c r="JZ59" i="2"/>
  <c r="KA59" i="2"/>
  <c r="KB59" i="2"/>
  <c r="KC59" i="2"/>
  <c r="KD59" i="2"/>
  <c r="KE59" i="2"/>
  <c r="KF59" i="2"/>
  <c r="KG59" i="2"/>
  <c r="KH59" i="2"/>
  <c r="KN59" i="2" s="1"/>
  <c r="KI59" i="2"/>
  <c r="KJ59" i="2"/>
  <c r="KK59" i="2"/>
  <c r="KL59" i="2"/>
  <c r="KM59" i="2"/>
  <c r="KO59" i="2"/>
  <c r="KP59" i="2"/>
  <c r="KQ59" i="2"/>
  <c r="KR59" i="2"/>
  <c r="KS59" i="2"/>
  <c r="KT59" i="2"/>
  <c r="KU59" i="2"/>
  <c r="KY59" i="2"/>
  <c r="LA59" i="2"/>
  <c r="LC59" i="2"/>
  <c r="LE59" i="2"/>
  <c r="LG59" i="2"/>
  <c r="LH59" i="2"/>
  <c r="LI59" i="2"/>
  <c r="LJ59" i="2"/>
  <c r="LL59" i="2"/>
  <c r="LN59" i="2"/>
  <c r="LO59" i="2"/>
  <c r="LP59" i="2"/>
  <c r="LQ59" i="2"/>
  <c r="LR59" i="2"/>
  <c r="LS59" i="2"/>
  <c r="LT59" i="2"/>
  <c r="LU59" i="2"/>
  <c r="LV59" i="2"/>
  <c r="LW59" i="2"/>
  <c r="LX59" i="2"/>
  <c r="LY59" i="2"/>
  <c r="LZ59" i="2"/>
  <c r="MA59" i="2"/>
  <c r="MB59" i="2"/>
  <c r="MC59" i="2"/>
  <c r="MD59" i="2"/>
  <c r="ME59" i="2"/>
  <c r="MF59" i="2"/>
  <c r="MG59" i="2"/>
  <c r="MH59" i="2"/>
  <c r="MI59" i="2"/>
  <c r="MJ59" i="2"/>
  <c r="MK59" i="2"/>
  <c r="ML59" i="2"/>
  <c r="MM59" i="2"/>
  <c r="MN59" i="2"/>
  <c r="MO59" i="2"/>
  <c r="MP59" i="2"/>
  <c r="MQ59" i="2"/>
  <c r="MR59" i="2"/>
  <c r="MS59" i="2"/>
  <c r="MT59" i="2"/>
  <c r="MU59" i="2"/>
  <c r="MV59" i="2"/>
  <c r="MW59" i="2"/>
  <c r="MX59" i="2"/>
  <c r="MY59" i="2"/>
  <c r="MZ59" i="2"/>
  <c r="NA59" i="2"/>
  <c r="NB59" i="2"/>
  <c r="NC59" i="2"/>
  <c r="ND59" i="2"/>
  <c r="NE59" i="2"/>
  <c r="NF59" i="2"/>
  <c r="NG59" i="2"/>
  <c r="NH59" i="2"/>
  <c r="NI59" i="2"/>
  <c r="NJ59" i="2"/>
  <c r="NK59" i="2"/>
  <c r="NL59" i="2"/>
  <c r="NM59" i="2"/>
  <c r="NN59" i="2"/>
  <c r="NO59" i="2"/>
  <c r="NP59" i="2"/>
  <c r="NQ59" i="2"/>
  <c r="NR59" i="2"/>
  <c r="NS59" i="2"/>
  <c r="NT59" i="2"/>
  <c r="NU59" i="2"/>
  <c r="NV59" i="2"/>
  <c r="NW59" i="2"/>
  <c r="NX59" i="2"/>
  <c r="NY59" i="2"/>
  <c r="NZ59" i="2"/>
  <c r="OA59" i="2"/>
  <c r="OB59" i="2"/>
  <c r="OC59" i="2"/>
  <c r="OD59" i="2"/>
  <c r="OE59" i="2"/>
  <c r="OF59" i="2"/>
  <c r="OG59" i="2"/>
  <c r="OH59" i="2"/>
  <c r="OI59" i="2"/>
  <c r="OJ59" i="2"/>
  <c r="OK59" i="2"/>
  <c r="OL59" i="2"/>
  <c r="OM59" i="2"/>
  <c r="ON59" i="2"/>
  <c r="OO59" i="2"/>
  <c r="OP59" i="2"/>
  <c r="OQ59" i="2"/>
  <c r="OR59" i="2"/>
  <c r="OS59" i="2"/>
  <c r="OT59" i="2"/>
  <c r="OU59" i="2"/>
  <c r="OV59" i="2"/>
  <c r="OW59" i="2"/>
  <c r="OX59" i="2"/>
  <c r="OY59" i="2"/>
  <c r="OZ59" i="2"/>
  <c r="PA59" i="2"/>
  <c r="PB59" i="2"/>
  <c r="PC59" i="2"/>
  <c r="PD59" i="2"/>
  <c r="PE59" i="2"/>
  <c r="PF59" i="2"/>
  <c r="PG59" i="2"/>
  <c r="PH59" i="2"/>
  <c r="PI59" i="2"/>
  <c r="PJ59" i="2"/>
  <c r="PK59" i="2"/>
  <c r="PL59" i="2"/>
  <c r="JD60" i="2"/>
  <c r="JE60" i="2"/>
  <c r="JG60" i="2"/>
  <c r="JH60" i="2"/>
  <c r="JK60" i="2"/>
  <c r="JL60" i="2"/>
  <c r="JM60" i="2"/>
  <c r="JN60" i="2"/>
  <c r="JO60" i="2"/>
  <c r="JP60" i="2"/>
  <c r="JR60" i="2"/>
  <c r="JS60" i="2"/>
  <c r="JT60" i="2"/>
  <c r="JU60" i="2"/>
  <c r="JV60" i="2"/>
  <c r="JW60" i="2"/>
  <c r="JX60" i="2"/>
  <c r="KN60" i="2" s="1"/>
  <c r="JY60" i="2"/>
  <c r="JZ60" i="2"/>
  <c r="KA60" i="2"/>
  <c r="KB60" i="2"/>
  <c r="KC60" i="2"/>
  <c r="KD60" i="2"/>
  <c r="KE60" i="2"/>
  <c r="KF60" i="2"/>
  <c r="KG60" i="2"/>
  <c r="KH60" i="2"/>
  <c r="KI60" i="2"/>
  <c r="KJ60" i="2"/>
  <c r="KK60" i="2"/>
  <c r="KM60" i="2"/>
  <c r="KP60" i="2"/>
  <c r="KQ60" i="2"/>
  <c r="KR60" i="2"/>
  <c r="KS60" i="2"/>
  <c r="KT60" i="2"/>
  <c r="KU60" i="2"/>
  <c r="KY60" i="2"/>
  <c r="LA60" i="2"/>
  <c r="LC60" i="2"/>
  <c r="LE60" i="2"/>
  <c r="LG60" i="2"/>
  <c r="LH60" i="2"/>
  <c r="LI60" i="2"/>
  <c r="LJ60" i="2"/>
  <c r="LL60" i="2"/>
  <c r="LN60" i="2"/>
  <c r="LO60" i="2"/>
  <c r="LP60" i="2"/>
  <c r="LQ60" i="2"/>
  <c r="LR60" i="2"/>
  <c r="LS60" i="2"/>
  <c r="LT60" i="2"/>
  <c r="LU60" i="2"/>
  <c r="LV60" i="2"/>
  <c r="LW60" i="2"/>
  <c r="LX60" i="2"/>
  <c r="LY60" i="2"/>
  <c r="LZ60" i="2"/>
  <c r="MA60" i="2"/>
  <c r="MB60" i="2"/>
  <c r="MC60" i="2"/>
  <c r="MD60" i="2"/>
  <c r="ME60" i="2"/>
  <c r="MF60" i="2"/>
  <c r="MG60" i="2"/>
  <c r="MH60" i="2"/>
  <c r="MI60" i="2"/>
  <c r="MJ60" i="2"/>
  <c r="MK60" i="2"/>
  <c r="ML60" i="2"/>
  <c r="MM60" i="2"/>
  <c r="MN60" i="2"/>
  <c r="MO60" i="2"/>
  <c r="MP60" i="2"/>
  <c r="MQ60" i="2"/>
  <c r="MR60" i="2"/>
  <c r="MS60" i="2"/>
  <c r="MT60" i="2"/>
  <c r="MU60" i="2"/>
  <c r="MV60" i="2"/>
  <c r="MW60" i="2"/>
  <c r="MX60" i="2"/>
  <c r="MY60" i="2"/>
  <c r="MZ60" i="2"/>
  <c r="NA60" i="2"/>
  <c r="NB60" i="2"/>
  <c r="NC60" i="2"/>
  <c r="ND60" i="2"/>
  <c r="NE60" i="2"/>
  <c r="NF60" i="2"/>
  <c r="NG60" i="2"/>
  <c r="NH60" i="2"/>
  <c r="NI60" i="2"/>
  <c r="NJ60" i="2"/>
  <c r="NK60" i="2"/>
  <c r="NL60" i="2"/>
  <c r="NM60" i="2"/>
  <c r="NN60" i="2"/>
  <c r="NO60" i="2"/>
  <c r="NP60" i="2"/>
  <c r="NQ60" i="2"/>
  <c r="NR60" i="2"/>
  <c r="NS60" i="2"/>
  <c r="NT60" i="2"/>
  <c r="NU60" i="2"/>
  <c r="NV60" i="2"/>
  <c r="NW60" i="2"/>
  <c r="NX60" i="2"/>
  <c r="NY60" i="2"/>
  <c r="NZ60" i="2"/>
  <c r="OA60" i="2"/>
  <c r="OB60" i="2"/>
  <c r="OC60" i="2"/>
  <c r="OD60" i="2"/>
  <c r="OE60" i="2"/>
  <c r="OF60" i="2"/>
  <c r="OG60" i="2"/>
  <c r="OH60" i="2"/>
  <c r="OI60" i="2"/>
  <c r="OJ60" i="2"/>
  <c r="OK60" i="2"/>
  <c r="OL60" i="2"/>
  <c r="OM60" i="2"/>
  <c r="ON60" i="2"/>
  <c r="OO60" i="2"/>
  <c r="OP60" i="2"/>
  <c r="OQ60" i="2"/>
  <c r="OR60" i="2"/>
  <c r="OS60" i="2"/>
  <c r="OT60" i="2"/>
  <c r="OU60" i="2"/>
  <c r="OW60" i="2"/>
  <c r="OX60" i="2"/>
  <c r="OY60" i="2"/>
  <c r="OZ60" i="2"/>
  <c r="PA60" i="2"/>
  <c r="PB60" i="2"/>
  <c r="PC60" i="2"/>
  <c r="PD60" i="2"/>
  <c r="PE60" i="2"/>
  <c r="PF60" i="2"/>
  <c r="PG60" i="2"/>
  <c r="PH60" i="2"/>
  <c r="PI60" i="2"/>
  <c r="PJ60" i="2"/>
  <c r="PK60" i="2"/>
  <c r="PL60" i="2"/>
  <c r="IA61" i="2"/>
  <c r="IC61" i="2"/>
  <c r="IE61" i="2"/>
  <c r="IG61" i="2"/>
  <c r="II61" i="2"/>
  <c r="IJ61" i="2"/>
  <c r="IK61" i="2"/>
  <c r="IL61" i="2"/>
  <c r="IM61" i="2"/>
  <c r="IN61" i="2"/>
  <c r="IO61" i="2"/>
  <c r="IP61" i="2"/>
  <c r="IQ61" i="2"/>
  <c r="IR61" i="2"/>
  <c r="IS61" i="2"/>
  <c r="IT61" i="2"/>
  <c r="IU61" i="2"/>
  <c r="IV61" i="2"/>
  <c r="IW61" i="2"/>
  <c r="JD61" i="2"/>
  <c r="JE61" i="2"/>
  <c r="JG61" i="2"/>
  <c r="JH61" i="2"/>
  <c r="JK61" i="2"/>
  <c r="JL61" i="2"/>
  <c r="JM61" i="2"/>
  <c r="JN61" i="2"/>
  <c r="JO61" i="2"/>
  <c r="JP61" i="2"/>
  <c r="JR61" i="2"/>
  <c r="JS61" i="2"/>
  <c r="JT61" i="2"/>
  <c r="JU61" i="2"/>
  <c r="JV61" i="2"/>
  <c r="JW61" i="2"/>
  <c r="JX61" i="2"/>
  <c r="JY61" i="2"/>
  <c r="JZ61" i="2"/>
  <c r="KA61" i="2"/>
  <c r="KB61" i="2"/>
  <c r="KC61" i="2"/>
  <c r="KD61" i="2"/>
  <c r="KE61" i="2"/>
  <c r="KF61" i="2"/>
  <c r="KG61" i="2"/>
  <c r="KH61" i="2"/>
  <c r="KN61" i="2" s="1"/>
  <c r="KI61" i="2"/>
  <c r="KJ61" i="2"/>
  <c r="KK61" i="2"/>
  <c r="KL61" i="2"/>
  <c r="KM61" i="2"/>
  <c r="KO61" i="2"/>
  <c r="KP61" i="2"/>
  <c r="KQ61" i="2"/>
  <c r="KR61" i="2"/>
  <c r="KS61" i="2"/>
  <c r="KT61" i="2"/>
  <c r="KU61" i="2"/>
  <c r="KY61" i="2"/>
  <c r="LA61" i="2"/>
  <c r="LC61" i="2"/>
  <c r="LE61" i="2"/>
  <c r="LG61" i="2"/>
  <c r="LH61" i="2"/>
  <c r="LI61" i="2"/>
  <c r="LJ61" i="2"/>
  <c r="LL61" i="2"/>
  <c r="LN61" i="2"/>
  <c r="LO61" i="2"/>
  <c r="LP61" i="2"/>
  <c r="LQ61" i="2"/>
  <c r="LR61" i="2"/>
  <c r="LS61" i="2"/>
  <c r="LT61" i="2"/>
  <c r="LU61" i="2"/>
  <c r="LV61" i="2"/>
  <c r="LW61" i="2"/>
  <c r="LX61" i="2"/>
  <c r="LY61" i="2"/>
  <c r="LZ61" i="2"/>
  <c r="MA61" i="2"/>
  <c r="MB61" i="2"/>
  <c r="MC61" i="2"/>
  <c r="MD61" i="2"/>
  <c r="ME61" i="2"/>
  <c r="MF61" i="2"/>
  <c r="MG61" i="2"/>
  <c r="MH61" i="2"/>
  <c r="MI61" i="2"/>
  <c r="MJ61" i="2"/>
  <c r="MK61" i="2"/>
  <c r="ML61" i="2"/>
  <c r="MM61" i="2"/>
  <c r="MN61" i="2"/>
  <c r="MO61" i="2"/>
  <c r="MP61" i="2"/>
  <c r="MQ61" i="2"/>
  <c r="MR61" i="2"/>
  <c r="MS61" i="2"/>
  <c r="MT61" i="2"/>
  <c r="MU61" i="2"/>
  <c r="MV61" i="2"/>
  <c r="MW61" i="2"/>
  <c r="MX61" i="2"/>
  <c r="MY61" i="2"/>
  <c r="MZ61" i="2"/>
  <c r="NA61" i="2"/>
  <c r="NB61" i="2"/>
  <c r="NC61" i="2"/>
  <c r="ND61" i="2"/>
  <c r="NE61" i="2"/>
  <c r="NF61" i="2"/>
  <c r="NG61" i="2"/>
  <c r="NH61" i="2"/>
  <c r="NI61" i="2"/>
  <c r="NJ61" i="2"/>
  <c r="NK61" i="2"/>
  <c r="NL61" i="2"/>
  <c r="NM61" i="2"/>
  <c r="NN61" i="2"/>
  <c r="NO61" i="2"/>
  <c r="NP61" i="2"/>
  <c r="NQ61" i="2"/>
  <c r="NR61" i="2"/>
  <c r="NS61" i="2"/>
  <c r="NT61" i="2"/>
  <c r="NU61" i="2"/>
  <c r="NV61" i="2"/>
  <c r="NW61" i="2"/>
  <c r="NX61" i="2"/>
  <c r="NY61" i="2"/>
  <c r="NZ61" i="2"/>
  <c r="OA61" i="2"/>
  <c r="OB61" i="2"/>
  <c r="OC61" i="2"/>
  <c r="OD61" i="2"/>
  <c r="OE61" i="2"/>
  <c r="OF61" i="2"/>
  <c r="OG61" i="2"/>
  <c r="OH61" i="2"/>
  <c r="OI61" i="2"/>
  <c r="OJ61" i="2"/>
  <c r="OK61" i="2"/>
  <c r="OL61" i="2"/>
  <c r="OM61" i="2"/>
  <c r="ON61" i="2"/>
  <c r="OO61" i="2"/>
  <c r="OP61" i="2"/>
  <c r="OQ61" i="2"/>
  <c r="OR61" i="2"/>
  <c r="OS61" i="2"/>
  <c r="OT61" i="2"/>
  <c r="OU61" i="2"/>
  <c r="OV61" i="2"/>
  <c r="OW61" i="2"/>
  <c r="OX61" i="2"/>
  <c r="OY61" i="2"/>
  <c r="OZ61" i="2"/>
  <c r="PA61" i="2"/>
  <c r="PB61" i="2"/>
  <c r="PC61" i="2"/>
  <c r="PD61" i="2"/>
  <c r="PE61" i="2"/>
  <c r="PF61" i="2"/>
  <c r="PG61" i="2"/>
  <c r="PH61" i="2"/>
  <c r="PI61" i="2"/>
  <c r="PJ61" i="2"/>
  <c r="PK61" i="2"/>
  <c r="PL61" i="2"/>
  <c r="IA62" i="2"/>
  <c r="IC62" i="2"/>
  <c r="IE62" i="2"/>
  <c r="IG62" i="2"/>
  <c r="II62" i="2"/>
  <c r="IJ62" i="2"/>
  <c r="IK62" i="2"/>
  <c r="IL62" i="2"/>
  <c r="IM62" i="2"/>
  <c r="IN62" i="2"/>
  <c r="IO62" i="2"/>
  <c r="IP62" i="2"/>
  <c r="IQ62" i="2"/>
  <c r="IR62" i="2"/>
  <c r="IS62" i="2"/>
  <c r="IT62" i="2"/>
  <c r="IU62" i="2"/>
  <c r="IV62" i="2"/>
  <c r="IW62" i="2"/>
  <c r="JD62" i="2"/>
  <c r="JE62" i="2"/>
  <c r="JG62" i="2"/>
  <c r="JH62" i="2"/>
  <c r="JK62" i="2"/>
  <c r="JL62" i="2"/>
  <c r="JM62" i="2"/>
  <c r="JN62" i="2"/>
  <c r="JO62" i="2"/>
  <c r="JP62" i="2"/>
  <c r="JR62" i="2"/>
  <c r="JS62" i="2"/>
  <c r="JT62" i="2"/>
  <c r="JU62" i="2"/>
  <c r="JV62" i="2"/>
  <c r="JW62" i="2"/>
  <c r="JX62" i="2"/>
  <c r="KN62" i="2" s="1"/>
  <c r="JY62" i="2"/>
  <c r="JZ62" i="2"/>
  <c r="KA62" i="2"/>
  <c r="KB62" i="2"/>
  <c r="KC62" i="2"/>
  <c r="KD62" i="2"/>
  <c r="KE62" i="2"/>
  <c r="KF62" i="2"/>
  <c r="KG62" i="2"/>
  <c r="KH62" i="2"/>
  <c r="KI62" i="2"/>
  <c r="KJ62" i="2"/>
  <c r="KK62" i="2"/>
  <c r="KM62" i="2"/>
  <c r="KP62" i="2"/>
  <c r="KQ62" i="2"/>
  <c r="KR62" i="2"/>
  <c r="KS62" i="2"/>
  <c r="KT62" i="2"/>
  <c r="KU62" i="2"/>
  <c r="KY62" i="2"/>
  <c r="LA62" i="2"/>
  <c r="LC62" i="2"/>
  <c r="LE62" i="2"/>
  <c r="LG62" i="2"/>
  <c r="LH62" i="2"/>
  <c r="LI62" i="2"/>
  <c r="LJ62" i="2"/>
  <c r="LL62" i="2"/>
  <c r="LN62" i="2"/>
  <c r="LO62" i="2"/>
  <c r="LP62" i="2"/>
  <c r="LQ62" i="2"/>
  <c r="LR62" i="2"/>
  <c r="LS62" i="2"/>
  <c r="LT62" i="2"/>
  <c r="LU62" i="2"/>
  <c r="LV62" i="2"/>
  <c r="LW62" i="2"/>
  <c r="LX62" i="2"/>
  <c r="LY62" i="2"/>
  <c r="LZ62" i="2"/>
  <c r="MA62" i="2"/>
  <c r="MB62" i="2"/>
  <c r="MC62" i="2"/>
  <c r="MD62" i="2"/>
  <c r="ME62" i="2"/>
  <c r="MF62" i="2"/>
  <c r="MG62" i="2"/>
  <c r="MH62" i="2"/>
  <c r="MI62" i="2"/>
  <c r="MJ62" i="2"/>
  <c r="MK62" i="2"/>
  <c r="ML62" i="2"/>
  <c r="MM62" i="2"/>
  <c r="MN62" i="2"/>
  <c r="MO62" i="2"/>
  <c r="MP62" i="2"/>
  <c r="MQ62" i="2"/>
  <c r="MR62" i="2"/>
  <c r="MS62" i="2"/>
  <c r="MT62" i="2"/>
  <c r="MU62" i="2"/>
  <c r="MV62" i="2"/>
  <c r="MW62" i="2"/>
  <c r="MX62" i="2"/>
  <c r="MY62" i="2"/>
  <c r="MZ62" i="2"/>
  <c r="NA62" i="2"/>
  <c r="NB62" i="2"/>
  <c r="NC62" i="2"/>
  <c r="ND62" i="2"/>
  <c r="NE62" i="2"/>
  <c r="NF62" i="2"/>
  <c r="NG62" i="2"/>
  <c r="NH62" i="2"/>
  <c r="NI62" i="2"/>
  <c r="NJ62" i="2"/>
  <c r="NK62" i="2"/>
  <c r="NL62" i="2"/>
  <c r="NM62" i="2"/>
  <c r="NN62" i="2"/>
  <c r="NO62" i="2"/>
  <c r="NP62" i="2"/>
  <c r="NQ62" i="2"/>
  <c r="NR62" i="2"/>
  <c r="NS62" i="2"/>
  <c r="NT62" i="2"/>
  <c r="NU62" i="2"/>
  <c r="NV62" i="2"/>
  <c r="NW62" i="2"/>
  <c r="NX62" i="2"/>
  <c r="NY62" i="2"/>
  <c r="NZ62" i="2"/>
  <c r="OA62" i="2"/>
  <c r="OB62" i="2"/>
  <c r="OC62" i="2"/>
  <c r="OD62" i="2"/>
  <c r="OE62" i="2"/>
  <c r="OF62" i="2"/>
  <c r="OG62" i="2"/>
  <c r="OH62" i="2"/>
  <c r="OI62" i="2"/>
  <c r="OJ62" i="2"/>
  <c r="OK62" i="2"/>
  <c r="OL62" i="2"/>
  <c r="OM62" i="2"/>
  <c r="ON62" i="2"/>
  <c r="OO62" i="2"/>
  <c r="OP62" i="2"/>
  <c r="OQ62" i="2"/>
  <c r="OR62" i="2"/>
  <c r="OS62" i="2"/>
  <c r="OT62" i="2"/>
  <c r="OU62" i="2"/>
  <c r="OW62" i="2"/>
  <c r="OX62" i="2"/>
  <c r="OY62" i="2"/>
  <c r="OZ62" i="2"/>
  <c r="PA62" i="2"/>
  <c r="PB62" i="2"/>
  <c r="PC62" i="2"/>
  <c r="PD62" i="2"/>
  <c r="PE62" i="2"/>
  <c r="PF62" i="2"/>
  <c r="PG62" i="2"/>
  <c r="PH62" i="2"/>
  <c r="PI62" i="2"/>
  <c r="PJ62" i="2"/>
  <c r="PK62" i="2"/>
  <c r="PL62" i="2"/>
  <c r="IA63" i="2"/>
  <c r="IC63" i="2"/>
  <c r="IE63" i="2"/>
  <c r="IG63" i="2"/>
  <c r="II63" i="2"/>
  <c r="IJ63" i="2"/>
  <c r="IK63" i="2"/>
  <c r="IL63" i="2"/>
  <c r="IM63" i="2"/>
  <c r="IN63" i="2"/>
  <c r="IO63" i="2"/>
  <c r="IP63" i="2"/>
  <c r="IQ63" i="2"/>
  <c r="IR63" i="2"/>
  <c r="IS63" i="2"/>
  <c r="IT63" i="2"/>
  <c r="IU63" i="2"/>
  <c r="IV63" i="2"/>
  <c r="IW63" i="2"/>
  <c r="JD63" i="2"/>
  <c r="JE63" i="2"/>
  <c r="JG63" i="2"/>
  <c r="JH63" i="2"/>
  <c r="JK63" i="2"/>
  <c r="JL63" i="2"/>
  <c r="JM63" i="2"/>
  <c r="JN63" i="2"/>
  <c r="JO63" i="2"/>
  <c r="JP63" i="2"/>
  <c r="JR63" i="2"/>
  <c r="JS63" i="2"/>
  <c r="JT63" i="2"/>
  <c r="JU63" i="2"/>
  <c r="JV63" i="2"/>
  <c r="JW63" i="2"/>
  <c r="JX63" i="2"/>
  <c r="JY63" i="2"/>
  <c r="JZ63" i="2"/>
  <c r="KA63" i="2"/>
  <c r="KB63" i="2"/>
  <c r="KC63" i="2"/>
  <c r="KD63" i="2"/>
  <c r="KE63" i="2"/>
  <c r="KF63" i="2"/>
  <c r="KG63" i="2"/>
  <c r="KH63" i="2"/>
  <c r="KN63" i="2" s="1"/>
  <c r="KI63" i="2"/>
  <c r="KJ63" i="2"/>
  <c r="KK63" i="2"/>
  <c r="KL63" i="2"/>
  <c r="KM63" i="2"/>
  <c r="KO63" i="2"/>
  <c r="KP63" i="2"/>
  <c r="KQ63" i="2"/>
  <c r="KR63" i="2"/>
  <c r="KS63" i="2"/>
  <c r="KT63" i="2"/>
  <c r="KU63" i="2"/>
  <c r="KY63" i="2"/>
  <c r="LA63" i="2"/>
  <c r="LC63" i="2"/>
  <c r="LE63" i="2"/>
  <c r="LG63" i="2"/>
  <c r="LH63" i="2"/>
  <c r="LI63" i="2"/>
  <c r="LJ63" i="2"/>
  <c r="LL63" i="2"/>
  <c r="LN63" i="2"/>
  <c r="LO63" i="2"/>
  <c r="LP63" i="2"/>
  <c r="LQ63" i="2"/>
  <c r="LR63" i="2"/>
  <c r="LS63" i="2"/>
  <c r="LT63" i="2"/>
  <c r="LU63" i="2"/>
  <c r="LV63" i="2"/>
  <c r="LW63" i="2"/>
  <c r="LX63" i="2"/>
  <c r="LY63" i="2"/>
  <c r="LZ63" i="2"/>
  <c r="MA63" i="2"/>
  <c r="MB63" i="2"/>
  <c r="MC63" i="2"/>
  <c r="MD63" i="2"/>
  <c r="ME63" i="2"/>
  <c r="MF63" i="2"/>
  <c r="MG63" i="2"/>
  <c r="MH63" i="2"/>
  <c r="MI63" i="2"/>
  <c r="MJ63" i="2"/>
  <c r="MK63" i="2"/>
  <c r="ML63" i="2"/>
  <c r="MM63" i="2"/>
  <c r="MN63" i="2"/>
  <c r="MO63" i="2"/>
  <c r="MP63" i="2"/>
  <c r="MQ63" i="2"/>
  <c r="MR63" i="2"/>
  <c r="MS63" i="2"/>
  <c r="MT63" i="2"/>
  <c r="MU63" i="2"/>
  <c r="MV63" i="2"/>
  <c r="MW63" i="2"/>
  <c r="MX63" i="2"/>
  <c r="MY63" i="2"/>
  <c r="MZ63" i="2"/>
  <c r="NA63" i="2"/>
  <c r="NB63" i="2"/>
  <c r="NC63" i="2"/>
  <c r="ND63" i="2"/>
  <c r="NE63" i="2"/>
  <c r="NF63" i="2"/>
  <c r="NG63" i="2"/>
  <c r="NH63" i="2"/>
  <c r="NI63" i="2"/>
  <c r="NJ63" i="2"/>
  <c r="NK63" i="2"/>
  <c r="NL63" i="2"/>
  <c r="NM63" i="2"/>
  <c r="NN63" i="2"/>
  <c r="NO63" i="2"/>
  <c r="NP63" i="2"/>
  <c r="NQ63" i="2"/>
  <c r="NR63" i="2"/>
  <c r="NS63" i="2"/>
  <c r="NT63" i="2"/>
  <c r="NU63" i="2"/>
  <c r="NV63" i="2"/>
  <c r="NW63" i="2"/>
  <c r="NX63" i="2"/>
  <c r="NY63" i="2"/>
  <c r="NZ63" i="2"/>
  <c r="OA63" i="2"/>
  <c r="OB63" i="2"/>
  <c r="OC63" i="2"/>
  <c r="OD63" i="2"/>
  <c r="OE63" i="2"/>
  <c r="OF63" i="2"/>
  <c r="OG63" i="2"/>
  <c r="OH63" i="2"/>
  <c r="OI63" i="2"/>
  <c r="OJ63" i="2"/>
  <c r="OK63" i="2"/>
  <c r="OL63" i="2"/>
  <c r="OM63" i="2"/>
  <c r="ON63" i="2"/>
  <c r="OO63" i="2"/>
  <c r="OP63" i="2"/>
  <c r="OQ63" i="2"/>
  <c r="OR63" i="2"/>
  <c r="OS63" i="2"/>
  <c r="OT63" i="2"/>
  <c r="OU63" i="2"/>
  <c r="OV63" i="2"/>
  <c r="OW63" i="2"/>
  <c r="OX63" i="2"/>
  <c r="OY63" i="2"/>
  <c r="OZ63" i="2"/>
  <c r="PA63" i="2"/>
  <c r="PB63" i="2"/>
  <c r="PC63" i="2"/>
  <c r="PD63" i="2"/>
  <c r="PE63" i="2"/>
  <c r="PF63" i="2"/>
  <c r="PG63" i="2"/>
  <c r="PH63" i="2"/>
  <c r="PI63" i="2"/>
  <c r="PJ63" i="2"/>
  <c r="PK63" i="2"/>
  <c r="PL63" i="2"/>
  <c r="IA64" i="2"/>
  <c r="IC64" i="2"/>
  <c r="IE64" i="2"/>
  <c r="IG64" i="2"/>
  <c r="II64" i="2"/>
  <c r="IJ64" i="2"/>
  <c r="IK64" i="2"/>
  <c r="IL64" i="2"/>
  <c r="IM64" i="2"/>
  <c r="IN64" i="2"/>
  <c r="IO64" i="2"/>
  <c r="IP64" i="2"/>
  <c r="IQ64" i="2"/>
  <c r="IR64" i="2"/>
  <c r="IS64" i="2"/>
  <c r="IT64" i="2"/>
  <c r="IU64" i="2"/>
  <c r="IV64" i="2"/>
  <c r="IW64" i="2"/>
  <c r="JD64" i="2"/>
  <c r="JE64" i="2"/>
  <c r="JG64" i="2"/>
  <c r="JH64" i="2"/>
  <c r="JK64" i="2"/>
  <c r="JL64" i="2"/>
  <c r="JM64" i="2"/>
  <c r="JN64" i="2"/>
  <c r="JO64" i="2"/>
  <c r="JP64" i="2"/>
  <c r="JR64" i="2"/>
  <c r="JS64" i="2"/>
  <c r="JT64" i="2"/>
  <c r="JU64" i="2"/>
  <c r="JV64" i="2"/>
  <c r="JW64" i="2"/>
  <c r="JX64" i="2"/>
  <c r="KN64" i="2" s="1"/>
  <c r="JY64" i="2"/>
  <c r="JZ64" i="2"/>
  <c r="KA64" i="2"/>
  <c r="KB64" i="2"/>
  <c r="KC64" i="2"/>
  <c r="KD64" i="2"/>
  <c r="KE64" i="2"/>
  <c r="KF64" i="2"/>
  <c r="KG64" i="2"/>
  <c r="KH64" i="2"/>
  <c r="KI64" i="2"/>
  <c r="KJ64" i="2"/>
  <c r="KK64" i="2"/>
  <c r="KM64" i="2"/>
  <c r="KP64" i="2"/>
  <c r="KQ64" i="2"/>
  <c r="KR64" i="2"/>
  <c r="KS64" i="2"/>
  <c r="KT64" i="2"/>
  <c r="KU64" i="2"/>
  <c r="KY64" i="2"/>
  <c r="LA64" i="2"/>
  <c r="LC64" i="2"/>
  <c r="LE64" i="2"/>
  <c r="LG64" i="2"/>
  <c r="LH64" i="2"/>
  <c r="LI64" i="2"/>
  <c r="LJ64" i="2"/>
  <c r="LL64" i="2"/>
  <c r="LN64" i="2"/>
  <c r="LO64" i="2"/>
  <c r="LP64" i="2"/>
  <c r="LQ64" i="2"/>
  <c r="LR64" i="2"/>
  <c r="LS64" i="2"/>
  <c r="LT64" i="2"/>
  <c r="LU64" i="2"/>
  <c r="LV64" i="2"/>
  <c r="LW64" i="2"/>
  <c r="LX64" i="2"/>
  <c r="LY64" i="2"/>
  <c r="LZ64" i="2"/>
  <c r="MA64" i="2"/>
  <c r="MB64" i="2"/>
  <c r="MC64" i="2"/>
  <c r="MD64" i="2"/>
  <c r="ME64" i="2"/>
  <c r="MF64" i="2"/>
  <c r="MG64" i="2"/>
  <c r="MH64" i="2"/>
  <c r="MI64" i="2"/>
  <c r="MJ64" i="2"/>
  <c r="MK64" i="2"/>
  <c r="ML64" i="2"/>
  <c r="MM64" i="2"/>
  <c r="MN64" i="2"/>
  <c r="MO64" i="2"/>
  <c r="MP64" i="2"/>
  <c r="MQ64" i="2"/>
  <c r="MR64" i="2"/>
  <c r="MS64" i="2"/>
  <c r="MT64" i="2"/>
  <c r="MU64" i="2"/>
  <c r="MV64" i="2"/>
  <c r="MW64" i="2"/>
  <c r="MX64" i="2"/>
  <c r="MY64" i="2"/>
  <c r="MZ64" i="2"/>
  <c r="NA64" i="2"/>
  <c r="NB64" i="2"/>
  <c r="NC64" i="2"/>
  <c r="ND64" i="2"/>
  <c r="NE64" i="2"/>
  <c r="NF64" i="2"/>
  <c r="NG64" i="2"/>
  <c r="NH64" i="2"/>
  <c r="NI64" i="2"/>
  <c r="NJ64" i="2"/>
  <c r="NK64" i="2"/>
  <c r="NL64" i="2"/>
  <c r="NM64" i="2"/>
  <c r="NN64" i="2"/>
  <c r="NO64" i="2"/>
  <c r="NP64" i="2"/>
  <c r="NQ64" i="2"/>
  <c r="NR64" i="2"/>
  <c r="NS64" i="2"/>
  <c r="NT64" i="2"/>
  <c r="NU64" i="2"/>
  <c r="NV64" i="2"/>
  <c r="NW64" i="2"/>
  <c r="NX64" i="2"/>
  <c r="NY64" i="2"/>
  <c r="NZ64" i="2"/>
  <c r="OA64" i="2"/>
  <c r="OB64" i="2"/>
  <c r="OC64" i="2"/>
  <c r="OD64" i="2"/>
  <c r="OE64" i="2"/>
  <c r="OF64" i="2"/>
  <c r="OG64" i="2"/>
  <c r="OH64" i="2"/>
  <c r="OI64" i="2"/>
  <c r="OJ64" i="2"/>
  <c r="OK64" i="2"/>
  <c r="OL64" i="2"/>
  <c r="OM64" i="2"/>
  <c r="ON64" i="2"/>
  <c r="OO64" i="2"/>
  <c r="OP64" i="2"/>
  <c r="OQ64" i="2"/>
  <c r="OR64" i="2"/>
  <c r="OS64" i="2"/>
  <c r="OT64" i="2"/>
  <c r="OU64" i="2"/>
  <c r="OW64" i="2"/>
  <c r="OX64" i="2"/>
  <c r="OY64" i="2"/>
  <c r="OZ64" i="2"/>
  <c r="PA64" i="2"/>
  <c r="PB64" i="2"/>
  <c r="PC64" i="2"/>
  <c r="PD64" i="2"/>
  <c r="PE64" i="2"/>
  <c r="PF64" i="2"/>
  <c r="PG64" i="2"/>
  <c r="PH64" i="2"/>
  <c r="PI64" i="2"/>
  <c r="PJ64" i="2"/>
  <c r="PK64" i="2"/>
  <c r="PL64" i="2"/>
  <c r="IA65" i="2"/>
  <c r="IE65" i="2"/>
  <c r="IG65" i="2"/>
  <c r="II65" i="2"/>
  <c r="IJ65" i="2"/>
  <c r="IK65" i="2"/>
  <c r="IL65" i="2"/>
  <c r="IM65" i="2"/>
  <c r="IN65" i="2"/>
  <c r="IO65" i="2"/>
  <c r="IP65" i="2"/>
  <c r="IQ65" i="2"/>
  <c r="IR65" i="2"/>
  <c r="IS65" i="2"/>
  <c r="IT65" i="2"/>
  <c r="IU65" i="2"/>
  <c r="IV65" i="2"/>
  <c r="IW65" i="2"/>
  <c r="JD65" i="2"/>
  <c r="JE65" i="2"/>
  <c r="JG65" i="2"/>
  <c r="JH65" i="2"/>
  <c r="JK65" i="2"/>
  <c r="JL65" i="2"/>
  <c r="JM65" i="2"/>
  <c r="JN65" i="2"/>
  <c r="JO65" i="2"/>
  <c r="JP65" i="2"/>
  <c r="JR65" i="2"/>
  <c r="JS65" i="2"/>
  <c r="JT65" i="2"/>
  <c r="JU65" i="2"/>
  <c r="JV65" i="2"/>
  <c r="JW65" i="2"/>
  <c r="JX65" i="2"/>
  <c r="KN65" i="2" s="1"/>
  <c r="JY65" i="2"/>
  <c r="JZ65" i="2"/>
  <c r="KA65" i="2"/>
  <c r="KB65" i="2"/>
  <c r="KC65" i="2"/>
  <c r="KD65" i="2"/>
  <c r="KE65" i="2"/>
  <c r="KF65" i="2"/>
  <c r="KG65" i="2"/>
  <c r="KH65" i="2"/>
  <c r="KI65" i="2"/>
  <c r="KJ65" i="2"/>
  <c r="KK65" i="2"/>
  <c r="KM65" i="2"/>
  <c r="KP65" i="2"/>
  <c r="KQ65" i="2"/>
  <c r="KR65" i="2"/>
  <c r="KS65" i="2"/>
  <c r="KT65" i="2"/>
  <c r="KU65" i="2"/>
  <c r="KY65" i="2"/>
  <c r="LA65" i="2"/>
  <c r="LC65" i="2"/>
  <c r="LE65" i="2"/>
  <c r="LG65" i="2"/>
  <c r="LH65" i="2"/>
  <c r="LI65" i="2"/>
  <c r="LJ65" i="2"/>
  <c r="LL65" i="2"/>
  <c r="LN65" i="2"/>
  <c r="LO65" i="2"/>
  <c r="LP65" i="2"/>
  <c r="LQ65" i="2"/>
  <c r="LR65" i="2"/>
  <c r="LS65" i="2"/>
  <c r="LT65" i="2"/>
  <c r="LU65" i="2"/>
  <c r="LV65" i="2"/>
  <c r="LW65" i="2"/>
  <c r="LX65" i="2"/>
  <c r="LY65" i="2"/>
  <c r="LZ65" i="2"/>
  <c r="MA65" i="2"/>
  <c r="MB65" i="2"/>
  <c r="MC65" i="2"/>
  <c r="MD65" i="2"/>
  <c r="ME65" i="2"/>
  <c r="MF65" i="2"/>
  <c r="MG65" i="2"/>
  <c r="MH65" i="2"/>
  <c r="MI65" i="2"/>
  <c r="MJ65" i="2"/>
  <c r="MK65" i="2"/>
  <c r="ML65" i="2"/>
  <c r="MM65" i="2"/>
  <c r="MN65" i="2"/>
  <c r="MO65" i="2"/>
  <c r="MP65" i="2"/>
  <c r="MQ65" i="2"/>
  <c r="MR65" i="2"/>
  <c r="MS65" i="2"/>
  <c r="MT65" i="2"/>
  <c r="MU65" i="2"/>
  <c r="MV65" i="2"/>
  <c r="MW65" i="2"/>
  <c r="MX65" i="2"/>
  <c r="MY65" i="2"/>
  <c r="MZ65" i="2"/>
  <c r="NA65" i="2"/>
  <c r="NB65" i="2"/>
  <c r="NC65" i="2"/>
  <c r="ND65" i="2"/>
  <c r="NE65" i="2"/>
  <c r="NF65" i="2"/>
  <c r="NG65" i="2"/>
  <c r="NH65" i="2"/>
  <c r="NI65" i="2"/>
  <c r="NJ65" i="2"/>
  <c r="NK65" i="2"/>
  <c r="NL65" i="2"/>
  <c r="NM65" i="2"/>
  <c r="NN65" i="2"/>
  <c r="NO65" i="2"/>
  <c r="NP65" i="2"/>
  <c r="NQ65" i="2"/>
  <c r="NR65" i="2"/>
  <c r="NS65" i="2"/>
  <c r="NT65" i="2"/>
  <c r="NU65" i="2"/>
  <c r="NV65" i="2"/>
  <c r="NW65" i="2"/>
  <c r="NX65" i="2"/>
  <c r="NY65" i="2"/>
  <c r="NZ65" i="2"/>
  <c r="OA65" i="2"/>
  <c r="OB65" i="2"/>
  <c r="OC65" i="2"/>
  <c r="OD65" i="2"/>
  <c r="OE65" i="2"/>
  <c r="OF65" i="2"/>
  <c r="OG65" i="2"/>
  <c r="OH65" i="2"/>
  <c r="OI65" i="2"/>
  <c r="OJ65" i="2"/>
  <c r="OK65" i="2"/>
  <c r="OL65" i="2"/>
  <c r="OM65" i="2"/>
  <c r="ON65" i="2"/>
  <c r="OO65" i="2"/>
  <c r="OP65" i="2"/>
  <c r="OQ65" i="2"/>
  <c r="OR65" i="2"/>
  <c r="OS65" i="2"/>
  <c r="OT65" i="2"/>
  <c r="OU65" i="2"/>
  <c r="OW65" i="2"/>
  <c r="OX65" i="2"/>
  <c r="OY65" i="2"/>
  <c r="OZ65" i="2"/>
  <c r="PA65" i="2"/>
  <c r="PB65" i="2"/>
  <c r="PC65" i="2"/>
  <c r="PD65" i="2"/>
  <c r="PE65" i="2"/>
  <c r="PF65" i="2"/>
  <c r="PG65" i="2"/>
  <c r="PH65" i="2"/>
  <c r="PI65" i="2"/>
  <c r="PJ65" i="2"/>
  <c r="PK65" i="2"/>
  <c r="PL65" i="2"/>
  <c r="IA66" i="2"/>
  <c r="IC66" i="2"/>
  <c r="IE66" i="2"/>
  <c r="IG66" i="2"/>
  <c r="II66" i="2"/>
  <c r="IJ66" i="2"/>
  <c r="IK66" i="2"/>
  <c r="IL66" i="2"/>
  <c r="IM66" i="2"/>
  <c r="IN66" i="2"/>
  <c r="IO66" i="2"/>
  <c r="IP66" i="2"/>
  <c r="IQ66" i="2"/>
  <c r="IR66" i="2"/>
  <c r="IS66" i="2"/>
  <c r="IT66" i="2"/>
  <c r="IU66" i="2"/>
  <c r="IV66" i="2"/>
  <c r="IW66" i="2"/>
  <c r="JD66" i="2"/>
  <c r="JE66" i="2"/>
  <c r="JG66" i="2"/>
  <c r="JH66" i="2"/>
  <c r="JK66" i="2"/>
  <c r="JL66" i="2"/>
  <c r="JM66" i="2"/>
  <c r="JN66" i="2"/>
  <c r="JO66" i="2"/>
  <c r="JP66" i="2"/>
  <c r="JR66" i="2"/>
  <c r="JS66" i="2"/>
  <c r="JT66" i="2"/>
  <c r="JU66" i="2"/>
  <c r="JV66" i="2"/>
  <c r="JW66" i="2"/>
  <c r="JX66" i="2"/>
  <c r="JY66" i="2"/>
  <c r="JZ66" i="2"/>
  <c r="KA66" i="2"/>
  <c r="KB66" i="2"/>
  <c r="KC66" i="2"/>
  <c r="KD66" i="2"/>
  <c r="KE66" i="2"/>
  <c r="KF66" i="2"/>
  <c r="KG66" i="2"/>
  <c r="KH66" i="2"/>
  <c r="KN66" i="2" s="1"/>
  <c r="KI66" i="2"/>
  <c r="KJ66" i="2"/>
  <c r="KK66" i="2"/>
  <c r="KL66" i="2"/>
  <c r="KM66" i="2"/>
  <c r="KO66" i="2"/>
  <c r="KP66" i="2"/>
  <c r="KQ66" i="2"/>
  <c r="KR66" i="2"/>
  <c r="KS66" i="2"/>
  <c r="KT66" i="2"/>
  <c r="KU66" i="2"/>
  <c r="KY66" i="2"/>
  <c r="LA66" i="2"/>
  <c r="LC66" i="2"/>
  <c r="LE66" i="2"/>
  <c r="LG66" i="2"/>
  <c r="LH66" i="2"/>
  <c r="LI66" i="2"/>
  <c r="LJ66" i="2"/>
  <c r="LL66" i="2"/>
  <c r="LN66" i="2"/>
  <c r="LO66" i="2"/>
  <c r="LP66" i="2"/>
  <c r="LQ66" i="2"/>
  <c r="LR66" i="2"/>
  <c r="LS66" i="2"/>
  <c r="LT66" i="2"/>
  <c r="LU66" i="2"/>
  <c r="LV66" i="2"/>
  <c r="LW66" i="2"/>
  <c r="LX66" i="2"/>
  <c r="LY66" i="2"/>
  <c r="LZ66" i="2"/>
  <c r="MA66" i="2"/>
  <c r="MB66" i="2"/>
  <c r="MC66" i="2"/>
  <c r="MD66" i="2"/>
  <c r="ME66" i="2"/>
  <c r="MF66" i="2"/>
  <c r="MG66" i="2"/>
  <c r="MH66" i="2"/>
  <c r="MI66" i="2"/>
  <c r="MJ66" i="2"/>
  <c r="MK66" i="2"/>
  <c r="ML66" i="2"/>
  <c r="MM66" i="2"/>
  <c r="MN66" i="2"/>
  <c r="MO66" i="2"/>
  <c r="MP66" i="2"/>
  <c r="MQ66" i="2"/>
  <c r="MR66" i="2"/>
  <c r="MS66" i="2"/>
  <c r="MT66" i="2"/>
  <c r="MU66" i="2"/>
  <c r="MV66" i="2"/>
  <c r="MW66" i="2"/>
  <c r="MX66" i="2"/>
  <c r="MY66" i="2"/>
  <c r="MZ66" i="2"/>
  <c r="NA66" i="2"/>
  <c r="NB66" i="2"/>
  <c r="NC66" i="2"/>
  <c r="ND66" i="2"/>
  <c r="NE66" i="2"/>
  <c r="NF66" i="2"/>
  <c r="NG66" i="2"/>
  <c r="NH66" i="2"/>
  <c r="NI66" i="2"/>
  <c r="NJ66" i="2"/>
  <c r="NK66" i="2"/>
  <c r="NL66" i="2"/>
  <c r="NM66" i="2"/>
  <c r="NN66" i="2"/>
  <c r="NO66" i="2"/>
  <c r="NP66" i="2"/>
  <c r="NQ66" i="2"/>
  <c r="NR66" i="2"/>
  <c r="NS66" i="2"/>
  <c r="NT66" i="2"/>
  <c r="NU66" i="2"/>
  <c r="NV66" i="2"/>
  <c r="NW66" i="2"/>
  <c r="NX66" i="2"/>
  <c r="NY66" i="2"/>
  <c r="NZ66" i="2"/>
  <c r="OA66" i="2"/>
  <c r="OB66" i="2"/>
  <c r="OC66" i="2"/>
  <c r="OD66" i="2"/>
  <c r="OE66" i="2"/>
  <c r="OF66" i="2"/>
  <c r="OG66" i="2"/>
  <c r="OH66" i="2"/>
  <c r="OI66" i="2"/>
  <c r="OJ66" i="2"/>
  <c r="OK66" i="2"/>
  <c r="OL66" i="2"/>
  <c r="OM66" i="2"/>
  <c r="ON66" i="2"/>
  <c r="OO66" i="2"/>
  <c r="OP66" i="2"/>
  <c r="OQ66" i="2"/>
  <c r="OR66" i="2"/>
  <c r="OS66" i="2"/>
  <c r="OT66" i="2"/>
  <c r="OU66" i="2"/>
  <c r="OV66" i="2"/>
  <c r="OW66" i="2"/>
  <c r="OX66" i="2"/>
  <c r="OY66" i="2"/>
  <c r="OZ66" i="2"/>
  <c r="PA66" i="2"/>
  <c r="PB66" i="2"/>
  <c r="PC66" i="2"/>
  <c r="PD66" i="2"/>
  <c r="PE66" i="2"/>
  <c r="PF66" i="2"/>
  <c r="PG66" i="2"/>
  <c r="PH66" i="2"/>
  <c r="PI66" i="2"/>
  <c r="PJ66" i="2"/>
  <c r="PK66" i="2"/>
  <c r="PL66" i="2"/>
  <c r="IA67" i="2"/>
  <c r="IC67" i="2"/>
  <c r="IE67" i="2"/>
  <c r="IG67" i="2"/>
  <c r="II67" i="2"/>
  <c r="IJ67" i="2"/>
  <c r="IK67" i="2"/>
  <c r="IL67" i="2"/>
  <c r="IM67" i="2"/>
  <c r="IN67" i="2"/>
  <c r="IO67" i="2"/>
  <c r="IP67" i="2"/>
  <c r="IQ67" i="2"/>
  <c r="IR67" i="2"/>
  <c r="IS67" i="2"/>
  <c r="IT67" i="2"/>
  <c r="IU67" i="2"/>
  <c r="IV67" i="2"/>
  <c r="IW67" i="2"/>
  <c r="JD67" i="2"/>
  <c r="JE67" i="2"/>
  <c r="JG67" i="2"/>
  <c r="JH67" i="2"/>
  <c r="JK67" i="2"/>
  <c r="JL67" i="2"/>
  <c r="JM67" i="2"/>
  <c r="JN67" i="2"/>
  <c r="JO67" i="2"/>
  <c r="JP67" i="2"/>
  <c r="JR67" i="2"/>
  <c r="JS67" i="2"/>
  <c r="JT67" i="2"/>
  <c r="JU67" i="2"/>
  <c r="JV67" i="2"/>
  <c r="JW67" i="2"/>
  <c r="JX67" i="2"/>
  <c r="JY67" i="2"/>
  <c r="JZ67" i="2"/>
  <c r="KA67" i="2"/>
  <c r="KB67" i="2"/>
  <c r="KC67" i="2"/>
  <c r="KD67" i="2"/>
  <c r="KE67" i="2"/>
  <c r="KF67" i="2"/>
  <c r="KG67" i="2"/>
  <c r="KH67" i="2"/>
  <c r="KN67" i="2" s="1"/>
  <c r="KI67" i="2"/>
  <c r="KJ67" i="2"/>
  <c r="KK67" i="2"/>
  <c r="KL67" i="2"/>
  <c r="KM67" i="2"/>
  <c r="KO67" i="2"/>
  <c r="KP67" i="2"/>
  <c r="KQ67" i="2"/>
  <c r="KR67" i="2"/>
  <c r="KS67" i="2"/>
  <c r="KT67" i="2"/>
  <c r="KU67" i="2"/>
  <c r="KY67" i="2"/>
  <c r="LA67" i="2"/>
  <c r="LC67" i="2"/>
  <c r="LE67" i="2"/>
  <c r="LG67" i="2"/>
  <c r="LH67" i="2"/>
  <c r="LI67" i="2"/>
  <c r="LJ67" i="2"/>
  <c r="LL67" i="2"/>
  <c r="LN67" i="2"/>
  <c r="LO67" i="2"/>
  <c r="LP67" i="2"/>
  <c r="LQ67" i="2"/>
  <c r="LR67" i="2"/>
  <c r="LS67" i="2"/>
  <c r="LT67" i="2"/>
  <c r="LU67" i="2"/>
  <c r="LV67" i="2"/>
  <c r="LW67" i="2"/>
  <c r="LX67" i="2"/>
  <c r="LY67" i="2"/>
  <c r="LZ67" i="2"/>
  <c r="MA67" i="2"/>
  <c r="MB67" i="2"/>
  <c r="MC67" i="2"/>
  <c r="MD67" i="2"/>
  <c r="ME67" i="2"/>
  <c r="MF67" i="2"/>
  <c r="MG67" i="2"/>
  <c r="MH67" i="2"/>
  <c r="MI67" i="2"/>
  <c r="MJ67" i="2"/>
  <c r="MK67" i="2"/>
  <c r="ML67" i="2"/>
  <c r="MM67" i="2"/>
  <c r="MN67" i="2"/>
  <c r="MO67" i="2"/>
  <c r="MP67" i="2"/>
  <c r="MQ67" i="2"/>
  <c r="MR67" i="2"/>
  <c r="MS67" i="2"/>
  <c r="MT67" i="2"/>
  <c r="MU67" i="2"/>
  <c r="MV67" i="2"/>
  <c r="MW67" i="2"/>
  <c r="MX67" i="2"/>
  <c r="MY67" i="2"/>
  <c r="MZ67" i="2"/>
  <c r="NA67" i="2"/>
  <c r="NB67" i="2"/>
  <c r="NC67" i="2"/>
  <c r="ND67" i="2"/>
  <c r="NE67" i="2"/>
  <c r="NF67" i="2"/>
  <c r="NG67" i="2"/>
  <c r="NH67" i="2"/>
  <c r="NI67" i="2"/>
  <c r="NJ67" i="2"/>
  <c r="NK67" i="2"/>
  <c r="NL67" i="2"/>
  <c r="NM67" i="2"/>
  <c r="NN67" i="2"/>
  <c r="NO67" i="2"/>
  <c r="NP67" i="2"/>
  <c r="NQ67" i="2"/>
  <c r="NR67" i="2"/>
  <c r="NS67" i="2"/>
  <c r="NT67" i="2"/>
  <c r="NU67" i="2"/>
  <c r="NV67" i="2"/>
  <c r="NW67" i="2"/>
  <c r="NX67" i="2"/>
  <c r="NY67" i="2"/>
  <c r="NZ67" i="2"/>
  <c r="OA67" i="2"/>
  <c r="OB67" i="2"/>
  <c r="OC67" i="2"/>
  <c r="OD67" i="2"/>
  <c r="OE67" i="2"/>
  <c r="OF67" i="2"/>
  <c r="OG67" i="2"/>
  <c r="OH67" i="2"/>
  <c r="OI67" i="2"/>
  <c r="OJ67" i="2"/>
  <c r="OK67" i="2"/>
  <c r="OL67" i="2"/>
  <c r="OM67" i="2"/>
  <c r="ON67" i="2"/>
  <c r="OO67" i="2"/>
  <c r="OP67" i="2"/>
  <c r="OQ67" i="2"/>
  <c r="OR67" i="2"/>
  <c r="OS67" i="2"/>
  <c r="OT67" i="2"/>
  <c r="OU67" i="2"/>
  <c r="OV67" i="2"/>
  <c r="OW67" i="2"/>
  <c r="OX67" i="2"/>
  <c r="OY67" i="2"/>
  <c r="OZ67" i="2"/>
  <c r="PA67" i="2"/>
  <c r="PB67" i="2"/>
  <c r="PC67" i="2"/>
  <c r="PD67" i="2"/>
  <c r="PE67" i="2"/>
  <c r="PF67" i="2"/>
  <c r="PG67" i="2"/>
  <c r="PH67" i="2"/>
  <c r="PI67" i="2"/>
  <c r="PJ67" i="2"/>
  <c r="PK67" i="2"/>
  <c r="PL67" i="2"/>
  <c r="IA68" i="2"/>
  <c r="IC68" i="2"/>
  <c r="IE68" i="2"/>
  <c r="IG68" i="2"/>
  <c r="II68" i="2"/>
  <c r="IJ68" i="2"/>
  <c r="IK68" i="2"/>
  <c r="IL68" i="2"/>
  <c r="IM68" i="2"/>
  <c r="IN68" i="2"/>
  <c r="IO68" i="2"/>
  <c r="IP68" i="2"/>
  <c r="IQ68" i="2"/>
  <c r="IR68" i="2"/>
  <c r="IS68" i="2"/>
  <c r="IT68" i="2"/>
  <c r="IU68" i="2"/>
  <c r="IV68" i="2"/>
  <c r="IW68" i="2"/>
  <c r="JD68" i="2"/>
  <c r="JE68" i="2"/>
  <c r="JG68" i="2"/>
  <c r="JH68" i="2"/>
  <c r="JK68" i="2"/>
  <c r="JL68" i="2"/>
  <c r="JM68" i="2"/>
  <c r="JN68" i="2"/>
  <c r="JO68" i="2"/>
  <c r="JP68" i="2"/>
  <c r="JR68" i="2"/>
  <c r="JS68" i="2"/>
  <c r="JT68" i="2"/>
  <c r="JU68" i="2"/>
  <c r="JV68" i="2"/>
  <c r="JW68" i="2"/>
  <c r="JX68" i="2"/>
  <c r="KN68" i="2" s="1"/>
  <c r="JY68" i="2"/>
  <c r="JZ68" i="2"/>
  <c r="KA68" i="2"/>
  <c r="KB68" i="2"/>
  <c r="KC68" i="2"/>
  <c r="KD68" i="2"/>
  <c r="KE68" i="2"/>
  <c r="KF68" i="2"/>
  <c r="KG68" i="2"/>
  <c r="KH68" i="2"/>
  <c r="KI68" i="2"/>
  <c r="KJ68" i="2"/>
  <c r="KK68" i="2"/>
  <c r="KM68" i="2"/>
  <c r="KP68" i="2"/>
  <c r="KQ68" i="2"/>
  <c r="KR68" i="2"/>
  <c r="KS68" i="2"/>
  <c r="KT68" i="2"/>
  <c r="KU68" i="2"/>
  <c r="KY68" i="2"/>
  <c r="LA68" i="2"/>
  <c r="LC68" i="2"/>
  <c r="LE68" i="2"/>
  <c r="LG68" i="2"/>
  <c r="LH68" i="2"/>
  <c r="LI68" i="2"/>
  <c r="LJ68" i="2"/>
  <c r="LL68" i="2"/>
  <c r="LN68" i="2"/>
  <c r="LO68" i="2"/>
  <c r="LP68" i="2"/>
  <c r="LQ68" i="2"/>
  <c r="LR68" i="2"/>
  <c r="LS68" i="2"/>
  <c r="LT68" i="2"/>
  <c r="LU68" i="2"/>
  <c r="LV68" i="2"/>
  <c r="LW68" i="2"/>
  <c r="LX68" i="2"/>
  <c r="LY68" i="2"/>
  <c r="LZ68" i="2"/>
  <c r="MA68" i="2"/>
  <c r="MB68" i="2"/>
  <c r="MC68" i="2"/>
  <c r="MD68" i="2"/>
  <c r="ME68" i="2"/>
  <c r="MF68" i="2"/>
  <c r="MG68" i="2"/>
  <c r="MH68" i="2"/>
  <c r="MI68" i="2"/>
  <c r="MJ68" i="2"/>
  <c r="MK68" i="2"/>
  <c r="ML68" i="2"/>
  <c r="MM68" i="2"/>
  <c r="MN68" i="2"/>
  <c r="MO68" i="2"/>
  <c r="MP68" i="2"/>
  <c r="MQ68" i="2"/>
  <c r="MR68" i="2"/>
  <c r="MS68" i="2"/>
  <c r="MT68" i="2"/>
  <c r="MU68" i="2"/>
  <c r="MV68" i="2"/>
  <c r="MW68" i="2"/>
  <c r="MX68" i="2"/>
  <c r="MY68" i="2"/>
  <c r="MZ68" i="2"/>
  <c r="NA68" i="2"/>
  <c r="NB68" i="2"/>
  <c r="NC68" i="2"/>
  <c r="ND68" i="2"/>
  <c r="NE68" i="2"/>
  <c r="NF68" i="2"/>
  <c r="NG68" i="2"/>
  <c r="NH68" i="2"/>
  <c r="NI68" i="2"/>
  <c r="NJ68" i="2"/>
  <c r="NK68" i="2"/>
  <c r="NL68" i="2"/>
  <c r="NM68" i="2"/>
  <c r="NN68" i="2"/>
  <c r="NO68" i="2"/>
  <c r="NP68" i="2"/>
  <c r="NQ68" i="2"/>
  <c r="NR68" i="2"/>
  <c r="NS68" i="2"/>
  <c r="NT68" i="2"/>
  <c r="NU68" i="2"/>
  <c r="NV68" i="2"/>
  <c r="NW68" i="2"/>
  <c r="NX68" i="2"/>
  <c r="NY68" i="2"/>
  <c r="NZ68" i="2"/>
  <c r="OA68" i="2"/>
  <c r="OB68" i="2"/>
  <c r="OC68" i="2"/>
  <c r="OD68" i="2"/>
  <c r="OE68" i="2"/>
  <c r="OF68" i="2"/>
  <c r="OG68" i="2"/>
  <c r="OH68" i="2"/>
  <c r="OI68" i="2"/>
  <c r="OJ68" i="2"/>
  <c r="OK68" i="2"/>
  <c r="OL68" i="2"/>
  <c r="OM68" i="2"/>
  <c r="ON68" i="2"/>
  <c r="OO68" i="2"/>
  <c r="OP68" i="2"/>
  <c r="OQ68" i="2"/>
  <c r="OR68" i="2"/>
  <c r="OS68" i="2"/>
  <c r="OT68" i="2"/>
  <c r="OU68" i="2"/>
  <c r="OW68" i="2"/>
  <c r="OX68" i="2"/>
  <c r="OY68" i="2"/>
  <c r="OZ68" i="2"/>
  <c r="PA68" i="2"/>
  <c r="PB68" i="2"/>
  <c r="PC68" i="2"/>
  <c r="PD68" i="2"/>
  <c r="PE68" i="2"/>
  <c r="PF68" i="2"/>
  <c r="PG68" i="2"/>
  <c r="PH68" i="2"/>
  <c r="PI68" i="2"/>
  <c r="PJ68" i="2"/>
  <c r="PK68" i="2"/>
  <c r="PL68" i="2"/>
  <c r="IA69" i="2"/>
  <c r="IC69" i="2"/>
  <c r="IE69" i="2"/>
  <c r="IG69" i="2"/>
  <c r="II69" i="2"/>
  <c r="IJ69" i="2"/>
  <c r="IK69" i="2"/>
  <c r="IL69" i="2"/>
  <c r="IM69" i="2"/>
  <c r="IN69" i="2"/>
  <c r="IO69" i="2"/>
  <c r="IP69" i="2"/>
  <c r="IQ69" i="2"/>
  <c r="IR69" i="2"/>
  <c r="IS69" i="2"/>
  <c r="IT69" i="2"/>
  <c r="IU69" i="2"/>
  <c r="IV69" i="2"/>
  <c r="IW69" i="2"/>
  <c r="JD69" i="2"/>
  <c r="JE69" i="2"/>
  <c r="JG69" i="2"/>
  <c r="JH69" i="2"/>
  <c r="JK69" i="2"/>
  <c r="JL69" i="2"/>
  <c r="JM69" i="2"/>
  <c r="JN69" i="2"/>
  <c r="JO69" i="2"/>
  <c r="JP69" i="2"/>
  <c r="JR69" i="2"/>
  <c r="JS69" i="2"/>
  <c r="JT69" i="2"/>
  <c r="JU69" i="2"/>
  <c r="JV69" i="2"/>
  <c r="JW69" i="2"/>
  <c r="JX69" i="2"/>
  <c r="JY69" i="2"/>
  <c r="JZ69" i="2"/>
  <c r="KA69" i="2"/>
  <c r="KB69" i="2"/>
  <c r="KC69" i="2"/>
  <c r="KD69" i="2"/>
  <c r="KE69" i="2"/>
  <c r="KF69" i="2"/>
  <c r="KG69" i="2"/>
  <c r="KH69" i="2"/>
  <c r="KN69" i="2" s="1"/>
  <c r="KI69" i="2"/>
  <c r="KJ69" i="2"/>
  <c r="KK69" i="2"/>
  <c r="KL69" i="2"/>
  <c r="KM69" i="2"/>
  <c r="KO69" i="2"/>
  <c r="KP69" i="2"/>
  <c r="KQ69" i="2"/>
  <c r="KR69" i="2"/>
  <c r="KS69" i="2"/>
  <c r="KT69" i="2"/>
  <c r="KU69" i="2"/>
  <c r="KY69" i="2"/>
  <c r="LA69" i="2"/>
  <c r="LC69" i="2"/>
  <c r="LE69" i="2"/>
  <c r="LG69" i="2"/>
  <c r="LH69" i="2"/>
  <c r="LI69" i="2"/>
  <c r="LJ69" i="2"/>
  <c r="LL69" i="2"/>
  <c r="LN69" i="2"/>
  <c r="LO69" i="2"/>
  <c r="LP69" i="2"/>
  <c r="LQ69" i="2"/>
  <c r="LR69" i="2"/>
  <c r="LS69" i="2"/>
  <c r="LT69" i="2"/>
  <c r="LU69" i="2"/>
  <c r="LV69" i="2"/>
  <c r="LW69" i="2"/>
  <c r="LX69" i="2"/>
  <c r="LY69" i="2"/>
  <c r="LZ69" i="2"/>
  <c r="MA69" i="2"/>
  <c r="MB69" i="2"/>
  <c r="MC69" i="2"/>
  <c r="MD69" i="2"/>
  <c r="ME69" i="2"/>
  <c r="MF69" i="2"/>
  <c r="MG69" i="2"/>
  <c r="MH69" i="2"/>
  <c r="MI69" i="2"/>
  <c r="MJ69" i="2"/>
  <c r="MK69" i="2"/>
  <c r="ML69" i="2"/>
  <c r="MM69" i="2"/>
  <c r="MN69" i="2"/>
  <c r="MO69" i="2"/>
  <c r="MP69" i="2"/>
  <c r="MQ69" i="2"/>
  <c r="MR69" i="2"/>
  <c r="MS69" i="2"/>
  <c r="MT69" i="2"/>
  <c r="MU69" i="2"/>
  <c r="MV69" i="2"/>
  <c r="MW69" i="2"/>
  <c r="MX69" i="2"/>
  <c r="MY69" i="2"/>
  <c r="MZ69" i="2"/>
  <c r="NA69" i="2"/>
  <c r="NB69" i="2"/>
  <c r="NC69" i="2"/>
  <c r="ND69" i="2"/>
  <c r="NE69" i="2"/>
  <c r="NF69" i="2"/>
  <c r="NG69" i="2"/>
  <c r="NH69" i="2"/>
  <c r="NI69" i="2"/>
  <c r="NJ69" i="2"/>
  <c r="NK69" i="2"/>
  <c r="NL69" i="2"/>
  <c r="NM69" i="2"/>
  <c r="NN69" i="2"/>
  <c r="NO69" i="2"/>
  <c r="NP69" i="2"/>
  <c r="NQ69" i="2"/>
  <c r="NR69" i="2"/>
  <c r="NS69" i="2"/>
  <c r="NT69" i="2"/>
  <c r="NU69" i="2"/>
  <c r="NV69" i="2"/>
  <c r="NW69" i="2"/>
  <c r="NX69" i="2"/>
  <c r="NY69" i="2"/>
  <c r="NZ69" i="2"/>
  <c r="OA69" i="2"/>
  <c r="OB69" i="2"/>
  <c r="OC69" i="2"/>
  <c r="OD69" i="2"/>
  <c r="OE69" i="2"/>
  <c r="OF69" i="2"/>
  <c r="OG69" i="2"/>
  <c r="OH69" i="2"/>
  <c r="OI69" i="2"/>
  <c r="OJ69" i="2"/>
  <c r="OK69" i="2"/>
  <c r="OL69" i="2"/>
  <c r="OM69" i="2"/>
  <c r="ON69" i="2"/>
  <c r="OO69" i="2"/>
  <c r="OP69" i="2"/>
  <c r="OQ69" i="2"/>
  <c r="OR69" i="2"/>
  <c r="OS69" i="2"/>
  <c r="OT69" i="2"/>
  <c r="OU69" i="2"/>
  <c r="OV69" i="2"/>
  <c r="OW69" i="2"/>
  <c r="OX69" i="2"/>
  <c r="OY69" i="2"/>
  <c r="OZ69" i="2"/>
  <c r="PA69" i="2"/>
  <c r="PB69" i="2"/>
  <c r="PC69" i="2"/>
  <c r="PD69" i="2"/>
  <c r="PE69" i="2"/>
  <c r="PF69" i="2"/>
  <c r="PG69" i="2"/>
  <c r="PH69" i="2"/>
  <c r="PI69" i="2"/>
  <c r="PJ69" i="2"/>
  <c r="PK69" i="2"/>
  <c r="PL69" i="2"/>
  <c r="IA70" i="2"/>
  <c r="IC70" i="2"/>
  <c r="IE70" i="2"/>
  <c r="IG70" i="2"/>
  <c r="II70" i="2"/>
  <c r="IJ70" i="2"/>
  <c r="IK70" i="2"/>
  <c r="IL70" i="2"/>
  <c r="IM70" i="2"/>
  <c r="IN70" i="2"/>
  <c r="IO70" i="2"/>
  <c r="IP70" i="2"/>
  <c r="IQ70" i="2"/>
  <c r="IR70" i="2"/>
  <c r="IS70" i="2"/>
  <c r="IT70" i="2"/>
  <c r="IU70" i="2"/>
  <c r="IV70" i="2"/>
  <c r="IW70" i="2"/>
  <c r="JD70" i="2"/>
  <c r="JE70" i="2"/>
  <c r="JG70" i="2"/>
  <c r="JH70" i="2"/>
  <c r="JK70" i="2"/>
  <c r="JL70" i="2"/>
  <c r="JM70" i="2"/>
  <c r="JN70" i="2"/>
  <c r="JO70" i="2"/>
  <c r="JP70" i="2"/>
  <c r="JR70" i="2"/>
  <c r="JS70" i="2"/>
  <c r="JT70" i="2"/>
  <c r="JU70" i="2"/>
  <c r="JV70" i="2"/>
  <c r="JW70" i="2"/>
  <c r="JX70" i="2"/>
  <c r="JY70" i="2"/>
  <c r="JZ70" i="2"/>
  <c r="KA70" i="2"/>
  <c r="KB70" i="2"/>
  <c r="KC70" i="2"/>
  <c r="KD70" i="2"/>
  <c r="KE70" i="2"/>
  <c r="KF70" i="2"/>
  <c r="KG70" i="2"/>
  <c r="KH70" i="2"/>
  <c r="KN70" i="2" s="1"/>
  <c r="KI70" i="2"/>
  <c r="KJ70" i="2"/>
  <c r="KK70" i="2"/>
  <c r="KL70" i="2"/>
  <c r="KM70" i="2"/>
  <c r="KO70" i="2"/>
  <c r="KP70" i="2"/>
  <c r="KQ70" i="2"/>
  <c r="KR70" i="2"/>
  <c r="KS70" i="2"/>
  <c r="KT70" i="2"/>
  <c r="KU70" i="2"/>
  <c r="KY70" i="2"/>
  <c r="LA70" i="2"/>
  <c r="LC70" i="2"/>
  <c r="LE70" i="2"/>
  <c r="LG70" i="2"/>
  <c r="LH70" i="2"/>
  <c r="LI70" i="2"/>
  <c r="LJ70" i="2"/>
  <c r="LL70" i="2"/>
  <c r="LN70" i="2"/>
  <c r="LO70" i="2"/>
  <c r="LP70" i="2"/>
  <c r="LQ70" i="2"/>
  <c r="LR70" i="2"/>
  <c r="LS70" i="2"/>
  <c r="LT70" i="2"/>
  <c r="LU70" i="2"/>
  <c r="LV70" i="2"/>
  <c r="LW70" i="2"/>
  <c r="LX70" i="2"/>
  <c r="LY70" i="2"/>
  <c r="LZ70" i="2"/>
  <c r="MA70" i="2"/>
  <c r="MB70" i="2"/>
  <c r="MC70" i="2"/>
  <c r="MD70" i="2"/>
  <c r="ME70" i="2"/>
  <c r="MF70" i="2"/>
  <c r="MG70" i="2"/>
  <c r="MH70" i="2"/>
  <c r="MI70" i="2"/>
  <c r="MJ70" i="2"/>
  <c r="MK70" i="2"/>
  <c r="ML70" i="2"/>
  <c r="MM70" i="2"/>
  <c r="MN70" i="2"/>
  <c r="MO70" i="2"/>
  <c r="MP70" i="2"/>
  <c r="MQ70" i="2"/>
  <c r="MR70" i="2"/>
  <c r="MS70" i="2"/>
  <c r="MT70" i="2"/>
  <c r="MU70" i="2"/>
  <c r="MV70" i="2"/>
  <c r="MW70" i="2"/>
  <c r="MX70" i="2"/>
  <c r="MY70" i="2"/>
  <c r="MZ70" i="2"/>
  <c r="NA70" i="2"/>
  <c r="NB70" i="2"/>
  <c r="NC70" i="2"/>
  <c r="ND70" i="2"/>
  <c r="NE70" i="2"/>
  <c r="NF70" i="2"/>
  <c r="NG70" i="2"/>
  <c r="NH70" i="2"/>
  <c r="NI70" i="2"/>
  <c r="NJ70" i="2"/>
  <c r="NK70" i="2"/>
  <c r="NL70" i="2"/>
  <c r="NM70" i="2"/>
  <c r="NN70" i="2"/>
  <c r="NO70" i="2"/>
  <c r="NP70" i="2"/>
  <c r="NQ70" i="2"/>
  <c r="NR70" i="2"/>
  <c r="NS70" i="2"/>
  <c r="NT70" i="2"/>
  <c r="NU70" i="2"/>
  <c r="NV70" i="2"/>
  <c r="NW70" i="2"/>
  <c r="NX70" i="2"/>
  <c r="NY70" i="2"/>
  <c r="NZ70" i="2"/>
  <c r="OA70" i="2"/>
  <c r="OB70" i="2"/>
  <c r="OC70" i="2"/>
  <c r="OD70" i="2"/>
  <c r="OE70" i="2"/>
  <c r="OF70" i="2"/>
  <c r="OG70" i="2"/>
  <c r="OH70" i="2"/>
  <c r="OI70" i="2"/>
  <c r="OJ70" i="2"/>
  <c r="OK70" i="2"/>
  <c r="OL70" i="2"/>
  <c r="OM70" i="2"/>
  <c r="ON70" i="2"/>
  <c r="OO70" i="2"/>
  <c r="OP70" i="2"/>
  <c r="OQ70" i="2"/>
  <c r="OR70" i="2"/>
  <c r="OS70" i="2"/>
  <c r="OT70" i="2"/>
  <c r="OU70" i="2"/>
  <c r="OV70" i="2"/>
  <c r="OW70" i="2"/>
  <c r="OX70" i="2"/>
  <c r="OY70" i="2"/>
  <c r="OZ70" i="2"/>
  <c r="PA70" i="2"/>
  <c r="PB70" i="2"/>
  <c r="PC70" i="2"/>
  <c r="PD70" i="2"/>
  <c r="PE70" i="2"/>
  <c r="PF70" i="2"/>
  <c r="PG70" i="2"/>
  <c r="PH70" i="2"/>
  <c r="PI70" i="2"/>
  <c r="PJ70" i="2"/>
  <c r="PK70" i="2"/>
  <c r="PL70" i="2"/>
  <c r="IA71" i="2"/>
  <c r="IC71" i="2"/>
  <c r="IE71" i="2"/>
  <c r="IG71" i="2"/>
  <c r="II71" i="2"/>
  <c r="IJ71" i="2"/>
  <c r="IK71" i="2"/>
  <c r="IL71" i="2"/>
  <c r="IM71" i="2"/>
  <c r="IN71" i="2"/>
  <c r="IO71" i="2"/>
  <c r="IP71" i="2"/>
  <c r="IQ71" i="2"/>
  <c r="IR71" i="2"/>
  <c r="IS71" i="2"/>
  <c r="IT71" i="2"/>
  <c r="IU71" i="2"/>
  <c r="IV71" i="2"/>
  <c r="IW71" i="2"/>
  <c r="JD71" i="2"/>
  <c r="JE71" i="2"/>
  <c r="JG71" i="2"/>
  <c r="JH71" i="2"/>
  <c r="JK71" i="2"/>
  <c r="JL71" i="2"/>
  <c r="JM71" i="2"/>
  <c r="JN71" i="2"/>
  <c r="JO71" i="2"/>
  <c r="JP71" i="2"/>
  <c r="JR71" i="2"/>
  <c r="JS71" i="2"/>
  <c r="JT71" i="2"/>
  <c r="JU71" i="2"/>
  <c r="JV71" i="2"/>
  <c r="JW71" i="2"/>
  <c r="JX71" i="2"/>
  <c r="KN71" i="2" s="1"/>
  <c r="JY71" i="2"/>
  <c r="JZ71" i="2"/>
  <c r="KA71" i="2"/>
  <c r="KB71" i="2"/>
  <c r="KC71" i="2"/>
  <c r="KD71" i="2"/>
  <c r="KE71" i="2"/>
  <c r="KF71" i="2"/>
  <c r="KG71" i="2"/>
  <c r="KH71" i="2"/>
  <c r="KI71" i="2"/>
  <c r="KJ71" i="2"/>
  <c r="KK71" i="2"/>
  <c r="KM71" i="2"/>
  <c r="KP71" i="2"/>
  <c r="KQ71" i="2"/>
  <c r="KR71" i="2"/>
  <c r="KS71" i="2"/>
  <c r="KT71" i="2"/>
  <c r="KU71" i="2"/>
  <c r="KY71" i="2"/>
  <c r="LA71" i="2"/>
  <c r="LC71" i="2"/>
  <c r="LE71" i="2"/>
  <c r="LG71" i="2"/>
  <c r="LH71" i="2"/>
  <c r="LI71" i="2"/>
  <c r="LJ71" i="2"/>
  <c r="LL71" i="2"/>
  <c r="LN71" i="2"/>
  <c r="LO71" i="2"/>
  <c r="LP71" i="2"/>
  <c r="LQ71" i="2"/>
  <c r="LR71" i="2"/>
  <c r="LS71" i="2"/>
  <c r="LT71" i="2"/>
  <c r="LU71" i="2"/>
  <c r="LV71" i="2"/>
  <c r="LW71" i="2"/>
  <c r="LX71" i="2"/>
  <c r="LY71" i="2"/>
  <c r="LZ71" i="2"/>
  <c r="MA71" i="2"/>
  <c r="MB71" i="2"/>
  <c r="MC71" i="2"/>
  <c r="MD71" i="2"/>
  <c r="ME71" i="2"/>
  <c r="MF71" i="2"/>
  <c r="MG71" i="2"/>
  <c r="MH71" i="2"/>
  <c r="MI71" i="2"/>
  <c r="MJ71" i="2"/>
  <c r="MK71" i="2"/>
  <c r="ML71" i="2"/>
  <c r="MM71" i="2"/>
  <c r="MN71" i="2"/>
  <c r="MO71" i="2"/>
  <c r="MP71" i="2"/>
  <c r="MQ71" i="2"/>
  <c r="MR71" i="2"/>
  <c r="MS71" i="2"/>
  <c r="MT71" i="2"/>
  <c r="MU71" i="2"/>
  <c r="MV71" i="2"/>
  <c r="MW71" i="2"/>
  <c r="MX71" i="2"/>
  <c r="MY71" i="2"/>
  <c r="MZ71" i="2"/>
  <c r="NA71" i="2"/>
  <c r="NB71" i="2"/>
  <c r="NC71" i="2"/>
  <c r="ND71" i="2"/>
  <c r="NE71" i="2"/>
  <c r="NF71" i="2"/>
  <c r="NG71" i="2"/>
  <c r="NH71" i="2"/>
  <c r="NI71" i="2"/>
  <c r="NJ71" i="2"/>
  <c r="NK71" i="2"/>
  <c r="NL71" i="2"/>
  <c r="NM71" i="2"/>
  <c r="NN71" i="2"/>
  <c r="NO71" i="2"/>
  <c r="NP71" i="2"/>
  <c r="NQ71" i="2"/>
  <c r="NR71" i="2"/>
  <c r="NS71" i="2"/>
  <c r="NT71" i="2"/>
  <c r="NU71" i="2"/>
  <c r="NV71" i="2"/>
  <c r="NW71" i="2"/>
  <c r="NX71" i="2"/>
  <c r="NY71" i="2"/>
  <c r="NZ71" i="2"/>
  <c r="OA71" i="2"/>
  <c r="OB71" i="2"/>
  <c r="OC71" i="2"/>
  <c r="OD71" i="2"/>
  <c r="OE71" i="2"/>
  <c r="OF71" i="2"/>
  <c r="OG71" i="2"/>
  <c r="OH71" i="2"/>
  <c r="OI71" i="2"/>
  <c r="OJ71" i="2"/>
  <c r="OK71" i="2"/>
  <c r="OL71" i="2"/>
  <c r="OM71" i="2"/>
  <c r="ON71" i="2"/>
  <c r="OO71" i="2"/>
  <c r="OP71" i="2"/>
  <c r="OQ71" i="2"/>
  <c r="OR71" i="2"/>
  <c r="OS71" i="2"/>
  <c r="OT71" i="2"/>
  <c r="OU71" i="2"/>
  <c r="OW71" i="2"/>
  <c r="OX71" i="2"/>
  <c r="OY71" i="2"/>
  <c r="OZ71" i="2"/>
  <c r="PA71" i="2"/>
  <c r="PB71" i="2"/>
  <c r="PC71" i="2"/>
  <c r="PD71" i="2"/>
  <c r="PE71" i="2"/>
  <c r="PF71" i="2"/>
  <c r="PG71" i="2"/>
  <c r="PH71" i="2"/>
  <c r="PI71" i="2"/>
  <c r="PJ71" i="2"/>
  <c r="PK71" i="2"/>
  <c r="PL71" i="2"/>
  <c r="IA164" i="2"/>
  <c r="IC164" i="2"/>
  <c r="IE164" i="2"/>
  <c r="IG164" i="2"/>
  <c r="II164" i="2"/>
  <c r="IJ164" i="2"/>
  <c r="IK164" i="2"/>
  <c r="IL164" i="2"/>
  <c r="IM164" i="2"/>
  <c r="IN164" i="2"/>
  <c r="IO164" i="2"/>
  <c r="IP164" i="2"/>
  <c r="IQ164" i="2"/>
  <c r="IR164" i="2"/>
  <c r="IS164" i="2"/>
  <c r="IT164" i="2"/>
  <c r="IU164" i="2"/>
  <c r="IV164" i="2"/>
  <c r="IW164" i="2"/>
  <c r="JD164" i="2"/>
  <c r="JE164" i="2"/>
  <c r="JG164" i="2"/>
  <c r="JH164" i="2"/>
  <c r="JK164" i="2"/>
  <c r="JL164" i="2"/>
  <c r="JM164" i="2"/>
  <c r="JN164" i="2"/>
  <c r="JO164" i="2"/>
  <c r="JP164" i="2"/>
  <c r="JR164" i="2"/>
  <c r="JS164" i="2"/>
  <c r="JT164" i="2"/>
  <c r="JU164" i="2"/>
  <c r="JV164" i="2"/>
  <c r="JW164" i="2"/>
  <c r="JX164" i="2"/>
  <c r="JY164" i="2"/>
  <c r="JZ164" i="2"/>
  <c r="KA164" i="2"/>
  <c r="KB164" i="2"/>
  <c r="KC164" i="2"/>
  <c r="KD164" i="2"/>
  <c r="KE164" i="2"/>
  <c r="KF164" i="2"/>
  <c r="KG164" i="2"/>
  <c r="KH164" i="2"/>
  <c r="KN164" i="2" s="1"/>
  <c r="KI164" i="2"/>
  <c r="KJ164" i="2"/>
  <c r="KK164" i="2"/>
  <c r="KL164" i="2"/>
  <c r="KM164" i="2"/>
  <c r="KO164" i="2"/>
  <c r="KP164" i="2"/>
  <c r="KQ164" i="2"/>
  <c r="KR164" i="2"/>
  <c r="KS164" i="2"/>
  <c r="KT164" i="2"/>
  <c r="KU164" i="2"/>
  <c r="KY164" i="2"/>
  <c r="LA164" i="2"/>
  <c r="LC164" i="2"/>
  <c r="LE164" i="2"/>
  <c r="LG164" i="2"/>
  <c r="LH164" i="2"/>
  <c r="LI164" i="2"/>
  <c r="LJ164" i="2"/>
  <c r="LL164" i="2"/>
  <c r="LN164" i="2"/>
  <c r="LO164" i="2"/>
  <c r="LP164" i="2"/>
  <c r="LQ164" i="2"/>
  <c r="LR164" i="2"/>
  <c r="LS164" i="2"/>
  <c r="LT164" i="2"/>
  <c r="LU164" i="2"/>
  <c r="LV164" i="2"/>
  <c r="LW164" i="2"/>
  <c r="LX164" i="2"/>
  <c r="LY164" i="2"/>
  <c r="LZ164" i="2"/>
  <c r="MA164" i="2"/>
  <c r="MB164" i="2"/>
  <c r="MC164" i="2"/>
  <c r="MD164" i="2"/>
  <c r="ME164" i="2"/>
  <c r="MF164" i="2"/>
  <c r="MG164" i="2"/>
  <c r="MH164" i="2"/>
  <c r="MI164" i="2"/>
  <c r="MJ164" i="2"/>
  <c r="MK164" i="2"/>
  <c r="ML164" i="2"/>
  <c r="MM164" i="2"/>
  <c r="MN164" i="2"/>
  <c r="MO164" i="2"/>
  <c r="MP164" i="2"/>
  <c r="MQ164" i="2"/>
  <c r="MR164" i="2"/>
  <c r="MS164" i="2"/>
  <c r="MT164" i="2"/>
  <c r="MU164" i="2"/>
  <c r="MV164" i="2"/>
  <c r="MW164" i="2"/>
  <c r="MX164" i="2"/>
  <c r="MY164" i="2"/>
  <c r="MZ164" i="2"/>
  <c r="NA164" i="2"/>
  <c r="NB164" i="2"/>
  <c r="NC164" i="2"/>
  <c r="ND164" i="2"/>
  <c r="NE164" i="2"/>
  <c r="NF164" i="2"/>
  <c r="NG164" i="2"/>
  <c r="NH164" i="2"/>
  <c r="NI164" i="2"/>
  <c r="NJ164" i="2"/>
  <c r="NK164" i="2"/>
  <c r="NL164" i="2"/>
  <c r="NM164" i="2"/>
  <c r="NN164" i="2"/>
  <c r="NO164" i="2"/>
  <c r="NP164" i="2"/>
  <c r="NQ164" i="2"/>
  <c r="NR164" i="2"/>
  <c r="NS164" i="2"/>
  <c r="NT164" i="2"/>
  <c r="NU164" i="2"/>
  <c r="NV164" i="2"/>
  <c r="NW164" i="2"/>
  <c r="NX164" i="2"/>
  <c r="NY164" i="2"/>
  <c r="NZ164" i="2"/>
  <c r="OA164" i="2"/>
  <c r="OB164" i="2"/>
  <c r="OC164" i="2"/>
  <c r="OD164" i="2"/>
  <c r="OE164" i="2"/>
  <c r="OF164" i="2"/>
  <c r="OG164" i="2"/>
  <c r="OH164" i="2"/>
  <c r="OI164" i="2"/>
  <c r="OJ164" i="2"/>
  <c r="OK164" i="2"/>
  <c r="OL164" i="2"/>
  <c r="OM164" i="2"/>
  <c r="ON164" i="2"/>
  <c r="OO164" i="2"/>
  <c r="OP164" i="2"/>
  <c r="OQ164" i="2"/>
  <c r="OR164" i="2"/>
  <c r="OS164" i="2"/>
  <c r="OT164" i="2"/>
  <c r="OU164" i="2"/>
  <c r="OV164" i="2"/>
  <c r="OW164" i="2"/>
  <c r="OX164" i="2"/>
  <c r="OY164" i="2"/>
  <c r="OZ164" i="2"/>
  <c r="PA164" i="2"/>
  <c r="PB164" i="2"/>
  <c r="PC164" i="2"/>
  <c r="PD164" i="2"/>
  <c r="PE164" i="2"/>
  <c r="PF164" i="2"/>
  <c r="PG164" i="2"/>
  <c r="PH164" i="2"/>
  <c r="PI164" i="2"/>
  <c r="PJ164" i="2"/>
  <c r="PK164" i="2"/>
  <c r="PL164" i="2"/>
  <c r="IA73" i="2"/>
  <c r="IC73" i="2"/>
  <c r="IE73" i="2"/>
  <c r="IG73" i="2"/>
  <c r="II73" i="2"/>
  <c r="IJ73" i="2"/>
  <c r="IK73" i="2"/>
  <c r="IL73" i="2"/>
  <c r="IM73" i="2"/>
  <c r="IN73" i="2"/>
  <c r="IO73" i="2"/>
  <c r="IP73" i="2"/>
  <c r="IQ73" i="2"/>
  <c r="IR73" i="2"/>
  <c r="IS73" i="2"/>
  <c r="IT73" i="2"/>
  <c r="IU73" i="2"/>
  <c r="IV73" i="2"/>
  <c r="IW73" i="2"/>
  <c r="JD73" i="2"/>
  <c r="JE73" i="2"/>
  <c r="JG73" i="2"/>
  <c r="JH73" i="2"/>
  <c r="JK73" i="2"/>
  <c r="JL73" i="2"/>
  <c r="JM73" i="2"/>
  <c r="JN73" i="2"/>
  <c r="JO73" i="2"/>
  <c r="JP73" i="2"/>
  <c r="JR73" i="2"/>
  <c r="JS73" i="2"/>
  <c r="JT73" i="2"/>
  <c r="JU73" i="2"/>
  <c r="JV73" i="2"/>
  <c r="JW73" i="2"/>
  <c r="JX73" i="2"/>
  <c r="KN73" i="2" s="1"/>
  <c r="JY73" i="2"/>
  <c r="JZ73" i="2"/>
  <c r="KA73" i="2"/>
  <c r="KB73" i="2"/>
  <c r="KC73" i="2"/>
  <c r="KD73" i="2"/>
  <c r="KE73" i="2"/>
  <c r="KF73" i="2"/>
  <c r="KG73" i="2"/>
  <c r="KH73" i="2"/>
  <c r="KI73" i="2"/>
  <c r="KJ73" i="2"/>
  <c r="KK73" i="2"/>
  <c r="KM73" i="2"/>
  <c r="KP73" i="2"/>
  <c r="KQ73" i="2"/>
  <c r="KR73" i="2"/>
  <c r="KS73" i="2"/>
  <c r="KT73" i="2"/>
  <c r="KU73" i="2"/>
  <c r="KY73" i="2"/>
  <c r="LA73" i="2"/>
  <c r="LC73" i="2"/>
  <c r="LE73" i="2"/>
  <c r="LG73" i="2"/>
  <c r="LH73" i="2"/>
  <c r="LI73" i="2"/>
  <c r="LJ73" i="2"/>
  <c r="LL73" i="2"/>
  <c r="LN73" i="2"/>
  <c r="LO73" i="2"/>
  <c r="LP73" i="2"/>
  <c r="LQ73" i="2"/>
  <c r="LR73" i="2"/>
  <c r="LS73" i="2"/>
  <c r="LT73" i="2"/>
  <c r="LU73" i="2"/>
  <c r="LV73" i="2"/>
  <c r="LW73" i="2"/>
  <c r="LX73" i="2"/>
  <c r="LY73" i="2"/>
  <c r="LZ73" i="2"/>
  <c r="MA73" i="2"/>
  <c r="MB73" i="2"/>
  <c r="MC73" i="2"/>
  <c r="MD73" i="2"/>
  <c r="ME73" i="2"/>
  <c r="MF73" i="2"/>
  <c r="MG73" i="2"/>
  <c r="MH73" i="2"/>
  <c r="MI73" i="2"/>
  <c r="MJ73" i="2"/>
  <c r="MK73" i="2"/>
  <c r="ML73" i="2"/>
  <c r="MM73" i="2"/>
  <c r="MN73" i="2"/>
  <c r="MO73" i="2"/>
  <c r="MP73" i="2"/>
  <c r="MQ73" i="2"/>
  <c r="MR73" i="2"/>
  <c r="MS73" i="2"/>
  <c r="MT73" i="2"/>
  <c r="MU73" i="2"/>
  <c r="MV73" i="2"/>
  <c r="MW73" i="2"/>
  <c r="MX73" i="2"/>
  <c r="MY73" i="2"/>
  <c r="MZ73" i="2"/>
  <c r="NA73" i="2"/>
  <c r="NB73" i="2"/>
  <c r="NC73" i="2"/>
  <c r="ND73" i="2"/>
  <c r="NE73" i="2"/>
  <c r="NF73" i="2"/>
  <c r="NG73" i="2"/>
  <c r="NH73" i="2"/>
  <c r="NI73" i="2"/>
  <c r="NJ73" i="2"/>
  <c r="NK73" i="2"/>
  <c r="NL73" i="2"/>
  <c r="NM73" i="2"/>
  <c r="NN73" i="2"/>
  <c r="NO73" i="2"/>
  <c r="NP73" i="2"/>
  <c r="NQ73" i="2"/>
  <c r="NR73" i="2"/>
  <c r="NS73" i="2"/>
  <c r="NT73" i="2"/>
  <c r="NU73" i="2"/>
  <c r="NV73" i="2"/>
  <c r="NW73" i="2"/>
  <c r="NX73" i="2"/>
  <c r="NY73" i="2"/>
  <c r="NZ73" i="2"/>
  <c r="OA73" i="2"/>
  <c r="OB73" i="2"/>
  <c r="OC73" i="2"/>
  <c r="OD73" i="2"/>
  <c r="OE73" i="2"/>
  <c r="OF73" i="2"/>
  <c r="OG73" i="2"/>
  <c r="OH73" i="2"/>
  <c r="OI73" i="2"/>
  <c r="OJ73" i="2"/>
  <c r="OK73" i="2"/>
  <c r="OL73" i="2"/>
  <c r="OM73" i="2"/>
  <c r="ON73" i="2"/>
  <c r="OO73" i="2"/>
  <c r="OP73" i="2"/>
  <c r="OQ73" i="2"/>
  <c r="OR73" i="2"/>
  <c r="OS73" i="2"/>
  <c r="OT73" i="2"/>
  <c r="OU73" i="2"/>
  <c r="OW73" i="2"/>
  <c r="OX73" i="2"/>
  <c r="OY73" i="2"/>
  <c r="OZ73" i="2"/>
  <c r="PA73" i="2"/>
  <c r="PB73" i="2"/>
  <c r="PC73" i="2"/>
  <c r="PD73" i="2"/>
  <c r="PE73" i="2"/>
  <c r="PF73" i="2"/>
  <c r="PG73" i="2"/>
  <c r="PH73" i="2"/>
  <c r="PI73" i="2"/>
  <c r="PJ73" i="2"/>
  <c r="PK73" i="2"/>
  <c r="PL73" i="2"/>
  <c r="IA74" i="2"/>
  <c r="IC74" i="2"/>
  <c r="IE74" i="2"/>
  <c r="IG74" i="2"/>
  <c r="II74" i="2"/>
  <c r="IJ74" i="2"/>
  <c r="IK74" i="2"/>
  <c r="IL74" i="2"/>
  <c r="IM74" i="2"/>
  <c r="IN74" i="2"/>
  <c r="IO74" i="2"/>
  <c r="IP74" i="2"/>
  <c r="IQ74" i="2"/>
  <c r="IR74" i="2"/>
  <c r="IS74" i="2"/>
  <c r="IT74" i="2"/>
  <c r="IU74" i="2"/>
  <c r="IV74" i="2"/>
  <c r="IW74" i="2"/>
  <c r="JD74" i="2"/>
  <c r="JE74" i="2"/>
  <c r="JG74" i="2"/>
  <c r="JH74" i="2"/>
  <c r="JK74" i="2"/>
  <c r="JL74" i="2"/>
  <c r="JM74" i="2"/>
  <c r="JN74" i="2"/>
  <c r="JO74" i="2"/>
  <c r="JP74" i="2"/>
  <c r="JR74" i="2"/>
  <c r="JS74" i="2"/>
  <c r="JT74" i="2"/>
  <c r="JU74" i="2"/>
  <c r="JV74" i="2"/>
  <c r="JW74" i="2"/>
  <c r="JX74" i="2"/>
  <c r="KN74" i="2" s="1"/>
  <c r="JY74" i="2"/>
  <c r="JZ74" i="2"/>
  <c r="KA74" i="2"/>
  <c r="KB74" i="2"/>
  <c r="KC74" i="2"/>
  <c r="KD74" i="2"/>
  <c r="KE74" i="2"/>
  <c r="KF74" i="2"/>
  <c r="KG74" i="2"/>
  <c r="KH74" i="2"/>
  <c r="KI74" i="2"/>
  <c r="KJ74" i="2"/>
  <c r="KK74" i="2"/>
  <c r="KM74" i="2"/>
  <c r="KP74" i="2"/>
  <c r="KQ74" i="2"/>
  <c r="KR74" i="2"/>
  <c r="KS74" i="2"/>
  <c r="KT74" i="2"/>
  <c r="KU74" i="2"/>
  <c r="KY74" i="2"/>
  <c r="LA74" i="2"/>
  <c r="LC74" i="2"/>
  <c r="LE74" i="2"/>
  <c r="LG74" i="2"/>
  <c r="LH74" i="2"/>
  <c r="LI74" i="2"/>
  <c r="LJ74" i="2"/>
  <c r="LL74" i="2"/>
  <c r="LN74" i="2"/>
  <c r="LO74" i="2"/>
  <c r="LP74" i="2"/>
  <c r="LQ74" i="2"/>
  <c r="LR74" i="2"/>
  <c r="LS74" i="2"/>
  <c r="LT74" i="2"/>
  <c r="LU74" i="2"/>
  <c r="LV74" i="2"/>
  <c r="LW74" i="2"/>
  <c r="LX74" i="2"/>
  <c r="LY74" i="2"/>
  <c r="LZ74" i="2"/>
  <c r="MA74" i="2"/>
  <c r="MB74" i="2"/>
  <c r="MC74" i="2"/>
  <c r="MD74" i="2"/>
  <c r="ME74" i="2"/>
  <c r="MF74" i="2"/>
  <c r="MG74" i="2"/>
  <c r="MH74" i="2"/>
  <c r="MI74" i="2"/>
  <c r="MJ74" i="2"/>
  <c r="MK74" i="2"/>
  <c r="ML74" i="2"/>
  <c r="MM74" i="2"/>
  <c r="MN74" i="2"/>
  <c r="MO74" i="2"/>
  <c r="MP74" i="2"/>
  <c r="MQ74" i="2"/>
  <c r="MR74" i="2"/>
  <c r="MS74" i="2"/>
  <c r="MT74" i="2"/>
  <c r="MU74" i="2"/>
  <c r="MV74" i="2"/>
  <c r="MW74" i="2"/>
  <c r="MX74" i="2"/>
  <c r="MY74" i="2"/>
  <c r="MZ74" i="2"/>
  <c r="NA74" i="2"/>
  <c r="NB74" i="2"/>
  <c r="NC74" i="2"/>
  <c r="ND74" i="2"/>
  <c r="NE74" i="2"/>
  <c r="NF74" i="2"/>
  <c r="NG74" i="2"/>
  <c r="NH74" i="2"/>
  <c r="NI74" i="2"/>
  <c r="NJ74" i="2"/>
  <c r="NK74" i="2"/>
  <c r="NL74" i="2"/>
  <c r="NM74" i="2"/>
  <c r="NN74" i="2"/>
  <c r="NO74" i="2"/>
  <c r="NP74" i="2"/>
  <c r="NQ74" i="2"/>
  <c r="NR74" i="2"/>
  <c r="NS74" i="2"/>
  <c r="NT74" i="2"/>
  <c r="NU74" i="2"/>
  <c r="NV74" i="2"/>
  <c r="NW74" i="2"/>
  <c r="NX74" i="2"/>
  <c r="NY74" i="2"/>
  <c r="NZ74" i="2"/>
  <c r="OA74" i="2"/>
  <c r="OB74" i="2"/>
  <c r="OC74" i="2"/>
  <c r="OD74" i="2"/>
  <c r="OE74" i="2"/>
  <c r="OF74" i="2"/>
  <c r="OG74" i="2"/>
  <c r="OH74" i="2"/>
  <c r="OI74" i="2"/>
  <c r="OJ74" i="2"/>
  <c r="OK74" i="2"/>
  <c r="OL74" i="2"/>
  <c r="OM74" i="2"/>
  <c r="ON74" i="2"/>
  <c r="OO74" i="2"/>
  <c r="OP74" i="2"/>
  <c r="OQ74" i="2"/>
  <c r="OR74" i="2"/>
  <c r="OS74" i="2"/>
  <c r="OT74" i="2"/>
  <c r="OU74" i="2"/>
  <c r="OW74" i="2"/>
  <c r="OX74" i="2"/>
  <c r="OY74" i="2"/>
  <c r="OZ74" i="2"/>
  <c r="PA74" i="2"/>
  <c r="PB74" i="2"/>
  <c r="PC74" i="2"/>
  <c r="PD74" i="2"/>
  <c r="PE74" i="2"/>
  <c r="PF74" i="2"/>
  <c r="PG74" i="2"/>
  <c r="PH74" i="2"/>
  <c r="PI74" i="2"/>
  <c r="PJ74" i="2"/>
  <c r="PK74" i="2"/>
  <c r="PL74" i="2"/>
  <c r="IA75" i="2"/>
  <c r="IC75" i="2"/>
  <c r="IE75" i="2"/>
  <c r="IG75" i="2"/>
  <c r="II75" i="2"/>
  <c r="IJ75" i="2"/>
  <c r="IK75" i="2"/>
  <c r="IL75" i="2"/>
  <c r="IM75" i="2"/>
  <c r="IN75" i="2"/>
  <c r="IO75" i="2"/>
  <c r="IP75" i="2"/>
  <c r="IQ75" i="2"/>
  <c r="IR75" i="2"/>
  <c r="IS75" i="2"/>
  <c r="IT75" i="2"/>
  <c r="IU75" i="2"/>
  <c r="IV75" i="2"/>
  <c r="IW75" i="2"/>
  <c r="JD75" i="2"/>
  <c r="JE75" i="2"/>
  <c r="JG75" i="2"/>
  <c r="JH75" i="2"/>
  <c r="JK75" i="2"/>
  <c r="JL75" i="2"/>
  <c r="JM75" i="2"/>
  <c r="JN75" i="2"/>
  <c r="JO75" i="2"/>
  <c r="JP75" i="2"/>
  <c r="JR75" i="2"/>
  <c r="JS75" i="2"/>
  <c r="JT75" i="2"/>
  <c r="JU75" i="2"/>
  <c r="JV75" i="2"/>
  <c r="JW75" i="2"/>
  <c r="JX75" i="2"/>
  <c r="JY75" i="2"/>
  <c r="JZ75" i="2"/>
  <c r="KA75" i="2"/>
  <c r="KB75" i="2"/>
  <c r="KC75" i="2"/>
  <c r="KD75" i="2"/>
  <c r="KE75" i="2"/>
  <c r="KF75" i="2"/>
  <c r="KG75" i="2"/>
  <c r="KH75" i="2"/>
  <c r="KI75" i="2"/>
  <c r="KJ75" i="2"/>
  <c r="KK75" i="2"/>
  <c r="KL75" i="2"/>
  <c r="KM75" i="2"/>
  <c r="KO75" i="2"/>
  <c r="KP75" i="2"/>
  <c r="KQ75" i="2"/>
  <c r="KR75" i="2"/>
  <c r="KS75" i="2"/>
  <c r="KT75" i="2"/>
  <c r="KU75" i="2"/>
  <c r="KY75" i="2"/>
  <c r="LA75" i="2"/>
  <c r="LC75" i="2"/>
  <c r="LE75" i="2"/>
  <c r="LG75" i="2"/>
  <c r="LH75" i="2"/>
  <c r="LI75" i="2"/>
  <c r="LJ75" i="2"/>
  <c r="LL75" i="2"/>
  <c r="LN75" i="2"/>
  <c r="LO75" i="2"/>
  <c r="LP75" i="2"/>
  <c r="LQ75" i="2"/>
  <c r="LR75" i="2"/>
  <c r="LS75" i="2"/>
  <c r="LT75" i="2"/>
  <c r="LU75" i="2"/>
  <c r="LV75" i="2"/>
  <c r="LW75" i="2"/>
  <c r="LX75" i="2"/>
  <c r="LY75" i="2"/>
  <c r="LZ75" i="2"/>
  <c r="MA75" i="2"/>
  <c r="MB75" i="2"/>
  <c r="MC75" i="2"/>
  <c r="MD75" i="2"/>
  <c r="ME75" i="2"/>
  <c r="MF75" i="2"/>
  <c r="MG75" i="2"/>
  <c r="MH75" i="2"/>
  <c r="MI75" i="2"/>
  <c r="MJ75" i="2"/>
  <c r="MK75" i="2"/>
  <c r="ML75" i="2"/>
  <c r="MM75" i="2"/>
  <c r="MN75" i="2"/>
  <c r="MO75" i="2"/>
  <c r="MP75" i="2"/>
  <c r="MQ75" i="2"/>
  <c r="MR75" i="2"/>
  <c r="MS75" i="2"/>
  <c r="MT75" i="2"/>
  <c r="MU75" i="2"/>
  <c r="MV75" i="2"/>
  <c r="MW75" i="2"/>
  <c r="MX75" i="2"/>
  <c r="MY75" i="2"/>
  <c r="MZ75" i="2"/>
  <c r="NA75" i="2"/>
  <c r="NB75" i="2"/>
  <c r="NC75" i="2"/>
  <c r="ND75" i="2"/>
  <c r="NE75" i="2"/>
  <c r="NF75" i="2"/>
  <c r="NG75" i="2"/>
  <c r="NH75" i="2"/>
  <c r="NI75" i="2"/>
  <c r="NJ75" i="2"/>
  <c r="NK75" i="2"/>
  <c r="NL75" i="2"/>
  <c r="NM75" i="2"/>
  <c r="NN75" i="2"/>
  <c r="NO75" i="2"/>
  <c r="NP75" i="2"/>
  <c r="NQ75" i="2"/>
  <c r="NR75" i="2"/>
  <c r="NS75" i="2"/>
  <c r="NT75" i="2"/>
  <c r="NU75" i="2"/>
  <c r="NV75" i="2"/>
  <c r="NW75" i="2"/>
  <c r="NX75" i="2"/>
  <c r="NY75" i="2"/>
  <c r="NZ75" i="2"/>
  <c r="OA75" i="2"/>
  <c r="OB75" i="2"/>
  <c r="OC75" i="2"/>
  <c r="OD75" i="2"/>
  <c r="OE75" i="2"/>
  <c r="OF75" i="2"/>
  <c r="OG75" i="2"/>
  <c r="OH75" i="2"/>
  <c r="OI75" i="2"/>
  <c r="OJ75" i="2"/>
  <c r="OK75" i="2"/>
  <c r="OL75" i="2"/>
  <c r="OM75" i="2"/>
  <c r="ON75" i="2"/>
  <c r="OO75" i="2"/>
  <c r="OP75" i="2"/>
  <c r="OQ75" i="2"/>
  <c r="OR75" i="2"/>
  <c r="OS75" i="2"/>
  <c r="OT75" i="2"/>
  <c r="OU75" i="2"/>
  <c r="OV75" i="2"/>
  <c r="OW75" i="2"/>
  <c r="OX75" i="2"/>
  <c r="OY75" i="2"/>
  <c r="OZ75" i="2"/>
  <c r="PA75" i="2"/>
  <c r="PB75" i="2"/>
  <c r="PC75" i="2"/>
  <c r="PD75" i="2"/>
  <c r="PE75" i="2"/>
  <c r="PF75" i="2"/>
  <c r="PG75" i="2"/>
  <c r="PH75" i="2"/>
  <c r="PI75" i="2"/>
  <c r="PJ75" i="2"/>
  <c r="PK75" i="2"/>
  <c r="PL75" i="2"/>
  <c r="IA76" i="2"/>
  <c r="IC76" i="2"/>
  <c r="IE76" i="2"/>
  <c r="IG76" i="2"/>
  <c r="II76" i="2"/>
  <c r="IJ76" i="2"/>
  <c r="IK76" i="2"/>
  <c r="IL76" i="2"/>
  <c r="IM76" i="2"/>
  <c r="IN76" i="2"/>
  <c r="IO76" i="2"/>
  <c r="IP76" i="2"/>
  <c r="IQ76" i="2"/>
  <c r="IR76" i="2"/>
  <c r="IS76" i="2"/>
  <c r="IT76" i="2"/>
  <c r="IU76" i="2"/>
  <c r="IV76" i="2"/>
  <c r="IW76" i="2"/>
  <c r="JD76" i="2"/>
  <c r="JE76" i="2"/>
  <c r="JG76" i="2"/>
  <c r="JH76" i="2"/>
  <c r="JK76" i="2"/>
  <c r="JL76" i="2"/>
  <c r="JM76" i="2"/>
  <c r="JN76" i="2"/>
  <c r="JO76" i="2"/>
  <c r="JP76" i="2"/>
  <c r="JR76" i="2"/>
  <c r="JS76" i="2"/>
  <c r="JT76" i="2"/>
  <c r="JU76" i="2"/>
  <c r="JV76" i="2"/>
  <c r="JW76" i="2"/>
  <c r="JX76" i="2"/>
  <c r="JY76" i="2"/>
  <c r="JZ76" i="2"/>
  <c r="KA76" i="2"/>
  <c r="KB76" i="2"/>
  <c r="KC76" i="2"/>
  <c r="KD76" i="2"/>
  <c r="KE76" i="2"/>
  <c r="KF76" i="2"/>
  <c r="KG76" i="2"/>
  <c r="KH76" i="2"/>
  <c r="KI76" i="2"/>
  <c r="KJ76" i="2"/>
  <c r="KK76" i="2"/>
  <c r="KM76" i="2"/>
  <c r="KP76" i="2"/>
  <c r="KQ76" i="2"/>
  <c r="KR76" i="2"/>
  <c r="KS76" i="2"/>
  <c r="KT76" i="2"/>
  <c r="KU76" i="2"/>
  <c r="KY76" i="2"/>
  <c r="LA76" i="2"/>
  <c r="LC76" i="2"/>
  <c r="LE76" i="2"/>
  <c r="LG76" i="2"/>
  <c r="LH76" i="2"/>
  <c r="LI76" i="2"/>
  <c r="LJ76" i="2"/>
  <c r="LL76" i="2"/>
  <c r="LN76" i="2"/>
  <c r="LO76" i="2"/>
  <c r="LP76" i="2"/>
  <c r="LQ76" i="2"/>
  <c r="LR76" i="2"/>
  <c r="LS76" i="2"/>
  <c r="LT76" i="2"/>
  <c r="LU76" i="2"/>
  <c r="LV76" i="2"/>
  <c r="LW76" i="2"/>
  <c r="LX76" i="2"/>
  <c r="LY76" i="2"/>
  <c r="LZ76" i="2"/>
  <c r="MA76" i="2"/>
  <c r="MB76" i="2"/>
  <c r="MC76" i="2"/>
  <c r="MD76" i="2"/>
  <c r="ME76" i="2"/>
  <c r="MF76" i="2"/>
  <c r="MG76" i="2"/>
  <c r="MH76" i="2"/>
  <c r="MI76" i="2"/>
  <c r="MJ76" i="2"/>
  <c r="MK76" i="2"/>
  <c r="ML76" i="2"/>
  <c r="MM76" i="2"/>
  <c r="MN76" i="2"/>
  <c r="MO76" i="2"/>
  <c r="MP76" i="2"/>
  <c r="MQ76" i="2"/>
  <c r="MR76" i="2"/>
  <c r="MS76" i="2"/>
  <c r="MT76" i="2"/>
  <c r="MU76" i="2"/>
  <c r="MV76" i="2"/>
  <c r="MW76" i="2"/>
  <c r="MX76" i="2"/>
  <c r="MY76" i="2"/>
  <c r="MZ76" i="2"/>
  <c r="NA76" i="2"/>
  <c r="NB76" i="2"/>
  <c r="NC76" i="2"/>
  <c r="ND76" i="2"/>
  <c r="NE76" i="2"/>
  <c r="NF76" i="2"/>
  <c r="NG76" i="2"/>
  <c r="NH76" i="2"/>
  <c r="NI76" i="2"/>
  <c r="NJ76" i="2"/>
  <c r="NK76" i="2"/>
  <c r="NL76" i="2"/>
  <c r="NM76" i="2"/>
  <c r="NN76" i="2"/>
  <c r="NO76" i="2"/>
  <c r="NP76" i="2"/>
  <c r="NQ76" i="2"/>
  <c r="NR76" i="2"/>
  <c r="NS76" i="2"/>
  <c r="NT76" i="2"/>
  <c r="NU76" i="2"/>
  <c r="NV76" i="2"/>
  <c r="NW76" i="2"/>
  <c r="NX76" i="2"/>
  <c r="NY76" i="2"/>
  <c r="NZ76" i="2"/>
  <c r="OA76" i="2"/>
  <c r="OB76" i="2"/>
  <c r="OC76" i="2"/>
  <c r="OD76" i="2"/>
  <c r="OE76" i="2"/>
  <c r="OF76" i="2"/>
  <c r="OG76" i="2"/>
  <c r="OH76" i="2"/>
  <c r="OI76" i="2"/>
  <c r="OJ76" i="2"/>
  <c r="OK76" i="2"/>
  <c r="OL76" i="2"/>
  <c r="OM76" i="2"/>
  <c r="ON76" i="2"/>
  <c r="OO76" i="2"/>
  <c r="OP76" i="2"/>
  <c r="OQ76" i="2"/>
  <c r="OR76" i="2"/>
  <c r="OS76" i="2"/>
  <c r="OT76" i="2"/>
  <c r="OU76" i="2"/>
  <c r="OW76" i="2"/>
  <c r="OX76" i="2"/>
  <c r="OY76" i="2"/>
  <c r="OZ76" i="2"/>
  <c r="PA76" i="2"/>
  <c r="PB76" i="2"/>
  <c r="PC76" i="2"/>
  <c r="PD76" i="2"/>
  <c r="PE76" i="2"/>
  <c r="PF76" i="2"/>
  <c r="PG76" i="2"/>
  <c r="PH76" i="2"/>
  <c r="PI76" i="2"/>
  <c r="PJ76" i="2"/>
  <c r="PK76" i="2"/>
  <c r="PL76" i="2"/>
  <c r="IA77" i="2"/>
  <c r="IC77" i="2"/>
  <c r="IE77" i="2"/>
  <c r="IG77" i="2"/>
  <c r="II77" i="2"/>
  <c r="IJ77" i="2"/>
  <c r="IK77" i="2"/>
  <c r="IL77" i="2"/>
  <c r="IM77" i="2"/>
  <c r="IN77" i="2"/>
  <c r="IO77" i="2"/>
  <c r="IP77" i="2"/>
  <c r="IQ77" i="2"/>
  <c r="IR77" i="2"/>
  <c r="IS77" i="2"/>
  <c r="IT77" i="2"/>
  <c r="IU77" i="2"/>
  <c r="IV77" i="2"/>
  <c r="IW77" i="2"/>
  <c r="JD77" i="2"/>
  <c r="JE77" i="2"/>
  <c r="JG77" i="2"/>
  <c r="JH77" i="2"/>
  <c r="JK77" i="2"/>
  <c r="JL77" i="2"/>
  <c r="JM77" i="2"/>
  <c r="JN77" i="2"/>
  <c r="JO77" i="2"/>
  <c r="JP77" i="2"/>
  <c r="JR77" i="2"/>
  <c r="JS77" i="2"/>
  <c r="JT77" i="2"/>
  <c r="JU77" i="2"/>
  <c r="JV77" i="2"/>
  <c r="JW77" i="2"/>
  <c r="JX77" i="2"/>
  <c r="KN77" i="2" s="1"/>
  <c r="JY77" i="2"/>
  <c r="JZ77" i="2"/>
  <c r="KA77" i="2"/>
  <c r="KB77" i="2"/>
  <c r="KC77" i="2"/>
  <c r="KD77" i="2"/>
  <c r="KE77" i="2"/>
  <c r="KF77" i="2"/>
  <c r="KG77" i="2"/>
  <c r="KH77" i="2"/>
  <c r="KI77" i="2"/>
  <c r="KJ77" i="2"/>
  <c r="KK77" i="2"/>
  <c r="KM77" i="2"/>
  <c r="KP77" i="2"/>
  <c r="KQ77" i="2"/>
  <c r="KR77" i="2"/>
  <c r="KS77" i="2"/>
  <c r="KT77" i="2"/>
  <c r="KU77" i="2"/>
  <c r="KY77" i="2"/>
  <c r="LA77" i="2"/>
  <c r="LC77" i="2"/>
  <c r="LE77" i="2"/>
  <c r="LG77" i="2"/>
  <c r="LH77" i="2"/>
  <c r="LI77" i="2"/>
  <c r="LJ77" i="2"/>
  <c r="LL77" i="2"/>
  <c r="LN77" i="2"/>
  <c r="LO77" i="2"/>
  <c r="LP77" i="2"/>
  <c r="LQ77" i="2"/>
  <c r="LR77" i="2"/>
  <c r="LS77" i="2"/>
  <c r="LT77" i="2"/>
  <c r="LU77" i="2"/>
  <c r="LV77" i="2"/>
  <c r="LW77" i="2"/>
  <c r="LX77" i="2"/>
  <c r="LY77" i="2"/>
  <c r="LZ77" i="2"/>
  <c r="MA77" i="2"/>
  <c r="MB77" i="2"/>
  <c r="MC77" i="2"/>
  <c r="MD77" i="2"/>
  <c r="ME77" i="2"/>
  <c r="MF77" i="2"/>
  <c r="MG77" i="2"/>
  <c r="MH77" i="2"/>
  <c r="MI77" i="2"/>
  <c r="MJ77" i="2"/>
  <c r="MK77" i="2"/>
  <c r="ML77" i="2"/>
  <c r="MM77" i="2"/>
  <c r="MN77" i="2"/>
  <c r="MO77" i="2"/>
  <c r="MP77" i="2"/>
  <c r="MQ77" i="2"/>
  <c r="MR77" i="2"/>
  <c r="MS77" i="2"/>
  <c r="MT77" i="2"/>
  <c r="MU77" i="2"/>
  <c r="MV77" i="2"/>
  <c r="MW77" i="2"/>
  <c r="MX77" i="2"/>
  <c r="MY77" i="2"/>
  <c r="MZ77" i="2"/>
  <c r="NA77" i="2"/>
  <c r="NB77" i="2"/>
  <c r="NC77" i="2"/>
  <c r="ND77" i="2"/>
  <c r="NE77" i="2"/>
  <c r="NF77" i="2"/>
  <c r="NG77" i="2"/>
  <c r="NH77" i="2"/>
  <c r="NI77" i="2"/>
  <c r="NJ77" i="2"/>
  <c r="NK77" i="2"/>
  <c r="NL77" i="2"/>
  <c r="NM77" i="2"/>
  <c r="NN77" i="2"/>
  <c r="NO77" i="2"/>
  <c r="NP77" i="2"/>
  <c r="NQ77" i="2"/>
  <c r="NR77" i="2"/>
  <c r="NS77" i="2"/>
  <c r="NT77" i="2"/>
  <c r="NU77" i="2"/>
  <c r="NV77" i="2"/>
  <c r="NW77" i="2"/>
  <c r="NX77" i="2"/>
  <c r="NY77" i="2"/>
  <c r="NZ77" i="2"/>
  <c r="OA77" i="2"/>
  <c r="OB77" i="2"/>
  <c r="OC77" i="2"/>
  <c r="OD77" i="2"/>
  <c r="OE77" i="2"/>
  <c r="OF77" i="2"/>
  <c r="OG77" i="2"/>
  <c r="OH77" i="2"/>
  <c r="OI77" i="2"/>
  <c r="OJ77" i="2"/>
  <c r="OK77" i="2"/>
  <c r="OL77" i="2"/>
  <c r="OM77" i="2"/>
  <c r="ON77" i="2"/>
  <c r="OO77" i="2"/>
  <c r="OP77" i="2"/>
  <c r="OQ77" i="2"/>
  <c r="OR77" i="2"/>
  <c r="OS77" i="2"/>
  <c r="OT77" i="2"/>
  <c r="OU77" i="2"/>
  <c r="OW77" i="2"/>
  <c r="OX77" i="2"/>
  <c r="OY77" i="2"/>
  <c r="OZ77" i="2"/>
  <c r="PA77" i="2"/>
  <c r="PB77" i="2"/>
  <c r="PC77" i="2"/>
  <c r="PD77" i="2"/>
  <c r="PE77" i="2"/>
  <c r="PF77" i="2"/>
  <c r="PG77" i="2"/>
  <c r="PH77" i="2"/>
  <c r="PI77" i="2"/>
  <c r="PJ77" i="2"/>
  <c r="PK77" i="2"/>
  <c r="PL77" i="2"/>
  <c r="IA80" i="2"/>
  <c r="IC80" i="2"/>
  <c r="IE80" i="2"/>
  <c r="IG80" i="2"/>
  <c r="II80" i="2"/>
  <c r="IJ80" i="2"/>
  <c r="IK80" i="2"/>
  <c r="IL80" i="2"/>
  <c r="IM80" i="2"/>
  <c r="IN80" i="2"/>
  <c r="IO80" i="2"/>
  <c r="IP80" i="2"/>
  <c r="IQ80" i="2"/>
  <c r="IR80" i="2"/>
  <c r="IS80" i="2"/>
  <c r="IT80" i="2"/>
  <c r="IU80" i="2"/>
  <c r="IV80" i="2"/>
  <c r="IW80" i="2"/>
  <c r="JD80" i="2"/>
  <c r="JE80" i="2"/>
  <c r="JG80" i="2"/>
  <c r="JH80" i="2"/>
  <c r="JK80" i="2"/>
  <c r="JL80" i="2"/>
  <c r="JM80" i="2"/>
  <c r="JN80" i="2"/>
  <c r="JO80" i="2"/>
  <c r="JP80" i="2"/>
  <c r="JR80" i="2"/>
  <c r="JS80" i="2"/>
  <c r="JT80" i="2"/>
  <c r="JU80" i="2"/>
  <c r="JV80" i="2"/>
  <c r="JW80" i="2"/>
  <c r="JX80" i="2"/>
  <c r="KN80" i="2" s="1"/>
  <c r="JY80" i="2"/>
  <c r="JZ80" i="2"/>
  <c r="KA80" i="2"/>
  <c r="KB80" i="2"/>
  <c r="KC80" i="2"/>
  <c r="KD80" i="2"/>
  <c r="KE80" i="2"/>
  <c r="KF80" i="2"/>
  <c r="KG80" i="2"/>
  <c r="KH80" i="2"/>
  <c r="KI80" i="2"/>
  <c r="KJ80" i="2"/>
  <c r="KK80" i="2"/>
  <c r="KM80" i="2"/>
  <c r="KP80" i="2"/>
  <c r="KQ80" i="2"/>
  <c r="KR80" i="2"/>
  <c r="KS80" i="2"/>
  <c r="KT80" i="2"/>
  <c r="KU80" i="2"/>
  <c r="KY80" i="2"/>
  <c r="LA80" i="2"/>
  <c r="LC80" i="2"/>
  <c r="LE80" i="2"/>
  <c r="LG80" i="2"/>
  <c r="LH80" i="2"/>
  <c r="LI80" i="2"/>
  <c r="LJ80" i="2"/>
  <c r="LL80" i="2"/>
  <c r="LN80" i="2"/>
  <c r="LO80" i="2"/>
  <c r="LP80" i="2"/>
  <c r="LQ80" i="2"/>
  <c r="LR80" i="2"/>
  <c r="LS80" i="2"/>
  <c r="LT80" i="2"/>
  <c r="LU80" i="2"/>
  <c r="LV80" i="2"/>
  <c r="LW80" i="2"/>
  <c r="LX80" i="2"/>
  <c r="LY80" i="2"/>
  <c r="LZ80" i="2"/>
  <c r="MA80" i="2"/>
  <c r="MB80" i="2"/>
  <c r="MC80" i="2"/>
  <c r="MD80" i="2"/>
  <c r="ME80" i="2"/>
  <c r="MF80" i="2"/>
  <c r="MG80" i="2"/>
  <c r="MH80" i="2"/>
  <c r="MI80" i="2"/>
  <c r="MJ80" i="2"/>
  <c r="MK80" i="2"/>
  <c r="ML80" i="2"/>
  <c r="MM80" i="2"/>
  <c r="MN80" i="2"/>
  <c r="MO80" i="2"/>
  <c r="MP80" i="2"/>
  <c r="MQ80" i="2"/>
  <c r="MR80" i="2"/>
  <c r="MS80" i="2"/>
  <c r="MT80" i="2"/>
  <c r="MU80" i="2"/>
  <c r="MV80" i="2"/>
  <c r="MW80" i="2"/>
  <c r="MX80" i="2"/>
  <c r="MY80" i="2"/>
  <c r="MZ80" i="2"/>
  <c r="NA80" i="2"/>
  <c r="NB80" i="2"/>
  <c r="NC80" i="2"/>
  <c r="ND80" i="2"/>
  <c r="NE80" i="2"/>
  <c r="NF80" i="2"/>
  <c r="NG80" i="2"/>
  <c r="NH80" i="2"/>
  <c r="NI80" i="2"/>
  <c r="NJ80" i="2"/>
  <c r="NK80" i="2"/>
  <c r="NL80" i="2"/>
  <c r="NM80" i="2"/>
  <c r="NN80" i="2"/>
  <c r="NO80" i="2"/>
  <c r="NP80" i="2"/>
  <c r="NQ80" i="2"/>
  <c r="NR80" i="2"/>
  <c r="NS80" i="2"/>
  <c r="NT80" i="2"/>
  <c r="NU80" i="2"/>
  <c r="NV80" i="2"/>
  <c r="NW80" i="2"/>
  <c r="NX80" i="2"/>
  <c r="NY80" i="2"/>
  <c r="NZ80" i="2"/>
  <c r="OA80" i="2"/>
  <c r="OB80" i="2"/>
  <c r="OC80" i="2"/>
  <c r="OD80" i="2"/>
  <c r="OE80" i="2"/>
  <c r="OF80" i="2"/>
  <c r="OG80" i="2"/>
  <c r="OH80" i="2"/>
  <c r="OI80" i="2"/>
  <c r="OJ80" i="2"/>
  <c r="OK80" i="2"/>
  <c r="OL80" i="2"/>
  <c r="OM80" i="2"/>
  <c r="ON80" i="2"/>
  <c r="OO80" i="2"/>
  <c r="OP80" i="2"/>
  <c r="OQ80" i="2"/>
  <c r="OR80" i="2"/>
  <c r="OS80" i="2"/>
  <c r="OT80" i="2"/>
  <c r="OU80" i="2"/>
  <c r="OW80" i="2"/>
  <c r="OX80" i="2"/>
  <c r="OY80" i="2"/>
  <c r="OZ80" i="2"/>
  <c r="PA80" i="2"/>
  <c r="PB80" i="2"/>
  <c r="PC80" i="2"/>
  <c r="PD80" i="2"/>
  <c r="PE80" i="2"/>
  <c r="PF80" i="2"/>
  <c r="PG80" i="2"/>
  <c r="PH80" i="2"/>
  <c r="PI80" i="2"/>
  <c r="PJ80" i="2"/>
  <c r="PK80" i="2"/>
  <c r="PL80" i="2"/>
  <c r="IA81" i="2"/>
  <c r="IC81" i="2"/>
  <c r="IE81" i="2"/>
  <c r="IG81" i="2"/>
  <c r="II81" i="2"/>
  <c r="IJ81" i="2"/>
  <c r="IK81" i="2"/>
  <c r="IL81" i="2"/>
  <c r="IM81" i="2"/>
  <c r="IN81" i="2"/>
  <c r="IO81" i="2"/>
  <c r="IP81" i="2"/>
  <c r="IQ81" i="2"/>
  <c r="IR81" i="2"/>
  <c r="IS81" i="2"/>
  <c r="IT81" i="2"/>
  <c r="IU81" i="2"/>
  <c r="IV81" i="2"/>
  <c r="IW81" i="2"/>
  <c r="JD81" i="2"/>
  <c r="JE81" i="2"/>
  <c r="JG81" i="2"/>
  <c r="JH81" i="2"/>
  <c r="JK81" i="2"/>
  <c r="JL81" i="2"/>
  <c r="JM81" i="2"/>
  <c r="JN81" i="2"/>
  <c r="JO81" i="2"/>
  <c r="JP81" i="2"/>
  <c r="JR81" i="2"/>
  <c r="JS81" i="2"/>
  <c r="JT81" i="2"/>
  <c r="JU81" i="2"/>
  <c r="JV81" i="2"/>
  <c r="JW81" i="2"/>
  <c r="JX81" i="2"/>
  <c r="KN81" i="2" s="1"/>
  <c r="JY81" i="2"/>
  <c r="JZ81" i="2"/>
  <c r="KA81" i="2"/>
  <c r="KB81" i="2"/>
  <c r="KC81" i="2"/>
  <c r="KD81" i="2"/>
  <c r="KE81" i="2"/>
  <c r="KF81" i="2"/>
  <c r="KG81" i="2"/>
  <c r="KH81" i="2"/>
  <c r="KI81" i="2"/>
  <c r="KJ81" i="2"/>
  <c r="KK81" i="2"/>
  <c r="KM81" i="2"/>
  <c r="KP81" i="2"/>
  <c r="KQ81" i="2"/>
  <c r="KR81" i="2"/>
  <c r="KS81" i="2"/>
  <c r="KT81" i="2"/>
  <c r="KU81" i="2"/>
  <c r="KY81" i="2"/>
  <c r="LA81" i="2"/>
  <c r="LC81" i="2"/>
  <c r="LE81" i="2"/>
  <c r="LG81" i="2"/>
  <c r="LH81" i="2"/>
  <c r="LI81" i="2"/>
  <c r="LJ81" i="2"/>
  <c r="LL81" i="2"/>
  <c r="LN81" i="2"/>
  <c r="LO81" i="2"/>
  <c r="LP81" i="2"/>
  <c r="LQ81" i="2"/>
  <c r="LR81" i="2"/>
  <c r="LS81" i="2"/>
  <c r="LT81" i="2"/>
  <c r="LU81" i="2"/>
  <c r="LV81" i="2"/>
  <c r="LW81" i="2"/>
  <c r="LX81" i="2"/>
  <c r="LY81" i="2"/>
  <c r="LZ81" i="2"/>
  <c r="MA81" i="2"/>
  <c r="MB81" i="2"/>
  <c r="MC81" i="2"/>
  <c r="MD81" i="2"/>
  <c r="ME81" i="2"/>
  <c r="MF81" i="2"/>
  <c r="MG81" i="2"/>
  <c r="MH81" i="2"/>
  <c r="MI81" i="2"/>
  <c r="MJ81" i="2"/>
  <c r="MK81" i="2"/>
  <c r="ML81" i="2"/>
  <c r="MM81" i="2"/>
  <c r="MN81" i="2"/>
  <c r="MO81" i="2"/>
  <c r="MP81" i="2"/>
  <c r="MQ81" i="2"/>
  <c r="MR81" i="2"/>
  <c r="MS81" i="2"/>
  <c r="MT81" i="2"/>
  <c r="MU81" i="2"/>
  <c r="MV81" i="2"/>
  <c r="MW81" i="2"/>
  <c r="MX81" i="2"/>
  <c r="MY81" i="2"/>
  <c r="MZ81" i="2"/>
  <c r="NA81" i="2"/>
  <c r="NB81" i="2"/>
  <c r="NC81" i="2"/>
  <c r="ND81" i="2"/>
  <c r="NE81" i="2"/>
  <c r="NF81" i="2"/>
  <c r="NG81" i="2"/>
  <c r="NH81" i="2"/>
  <c r="NI81" i="2"/>
  <c r="NJ81" i="2"/>
  <c r="NK81" i="2"/>
  <c r="NL81" i="2"/>
  <c r="NM81" i="2"/>
  <c r="NN81" i="2"/>
  <c r="NO81" i="2"/>
  <c r="NP81" i="2"/>
  <c r="NQ81" i="2"/>
  <c r="NR81" i="2"/>
  <c r="NS81" i="2"/>
  <c r="NT81" i="2"/>
  <c r="NU81" i="2"/>
  <c r="NV81" i="2"/>
  <c r="NW81" i="2"/>
  <c r="NX81" i="2"/>
  <c r="NY81" i="2"/>
  <c r="NZ81" i="2"/>
  <c r="OA81" i="2"/>
  <c r="OB81" i="2"/>
  <c r="OC81" i="2"/>
  <c r="OD81" i="2"/>
  <c r="OE81" i="2"/>
  <c r="OF81" i="2"/>
  <c r="OG81" i="2"/>
  <c r="OH81" i="2"/>
  <c r="OI81" i="2"/>
  <c r="OJ81" i="2"/>
  <c r="OK81" i="2"/>
  <c r="OL81" i="2"/>
  <c r="OM81" i="2"/>
  <c r="ON81" i="2"/>
  <c r="OO81" i="2"/>
  <c r="OP81" i="2"/>
  <c r="OQ81" i="2"/>
  <c r="OR81" i="2"/>
  <c r="OS81" i="2"/>
  <c r="OT81" i="2"/>
  <c r="OU81" i="2"/>
  <c r="OW81" i="2"/>
  <c r="OX81" i="2"/>
  <c r="OY81" i="2"/>
  <c r="OZ81" i="2"/>
  <c r="PA81" i="2"/>
  <c r="PB81" i="2"/>
  <c r="PC81" i="2"/>
  <c r="PD81" i="2"/>
  <c r="PE81" i="2"/>
  <c r="PF81" i="2"/>
  <c r="PG81" i="2"/>
  <c r="PH81" i="2"/>
  <c r="PI81" i="2"/>
  <c r="PJ81" i="2"/>
  <c r="PK81" i="2"/>
  <c r="PL81" i="2"/>
  <c r="IA82" i="2"/>
  <c r="IC82" i="2"/>
  <c r="IE82" i="2"/>
  <c r="IG82" i="2"/>
  <c r="II82" i="2"/>
  <c r="IJ82" i="2"/>
  <c r="IK82" i="2"/>
  <c r="IL82" i="2"/>
  <c r="IM82" i="2"/>
  <c r="IN82" i="2"/>
  <c r="IO82" i="2"/>
  <c r="IP82" i="2"/>
  <c r="IQ82" i="2"/>
  <c r="IR82" i="2"/>
  <c r="IS82" i="2"/>
  <c r="IT82" i="2"/>
  <c r="IU82" i="2"/>
  <c r="IV82" i="2"/>
  <c r="IW82" i="2"/>
  <c r="JD82" i="2"/>
  <c r="JE82" i="2"/>
  <c r="JG82" i="2"/>
  <c r="JH82" i="2"/>
  <c r="JK82" i="2"/>
  <c r="JL82" i="2"/>
  <c r="JM82" i="2"/>
  <c r="JN82" i="2"/>
  <c r="JO82" i="2"/>
  <c r="JP82" i="2"/>
  <c r="JR82" i="2"/>
  <c r="JS82" i="2"/>
  <c r="JT82" i="2"/>
  <c r="JU82" i="2"/>
  <c r="JV82" i="2"/>
  <c r="JW82" i="2"/>
  <c r="JX82" i="2"/>
  <c r="JY82" i="2"/>
  <c r="JZ82" i="2"/>
  <c r="KA82" i="2"/>
  <c r="KB82" i="2"/>
  <c r="KC82" i="2"/>
  <c r="KD82" i="2"/>
  <c r="KE82" i="2"/>
  <c r="KF82" i="2"/>
  <c r="KG82" i="2"/>
  <c r="KH82" i="2"/>
  <c r="KI82" i="2"/>
  <c r="KJ82" i="2"/>
  <c r="KK82" i="2"/>
  <c r="KM82" i="2"/>
  <c r="KP82" i="2"/>
  <c r="KQ82" i="2"/>
  <c r="KR82" i="2"/>
  <c r="KS82" i="2"/>
  <c r="KT82" i="2"/>
  <c r="KU82" i="2"/>
  <c r="KY82" i="2"/>
  <c r="LA82" i="2"/>
  <c r="LC82" i="2"/>
  <c r="LE82" i="2"/>
  <c r="LG82" i="2"/>
  <c r="LH82" i="2"/>
  <c r="LI82" i="2"/>
  <c r="LJ82" i="2"/>
  <c r="LL82" i="2"/>
  <c r="LN82" i="2"/>
  <c r="LO82" i="2"/>
  <c r="LP82" i="2"/>
  <c r="LQ82" i="2"/>
  <c r="LR82" i="2"/>
  <c r="LS82" i="2"/>
  <c r="LT82" i="2"/>
  <c r="LU82" i="2"/>
  <c r="LV82" i="2"/>
  <c r="LW82" i="2"/>
  <c r="LX82" i="2"/>
  <c r="LY82" i="2"/>
  <c r="LZ82" i="2"/>
  <c r="MA82" i="2"/>
  <c r="MB82" i="2"/>
  <c r="MC82" i="2"/>
  <c r="MD82" i="2"/>
  <c r="ME82" i="2"/>
  <c r="MF82" i="2"/>
  <c r="MG82" i="2"/>
  <c r="MH82" i="2"/>
  <c r="MI82" i="2"/>
  <c r="MJ82" i="2"/>
  <c r="MK82" i="2"/>
  <c r="ML82" i="2"/>
  <c r="MM82" i="2"/>
  <c r="MN82" i="2"/>
  <c r="MO82" i="2"/>
  <c r="MP82" i="2"/>
  <c r="MQ82" i="2"/>
  <c r="MR82" i="2"/>
  <c r="MS82" i="2"/>
  <c r="MT82" i="2"/>
  <c r="MU82" i="2"/>
  <c r="MV82" i="2"/>
  <c r="MW82" i="2"/>
  <c r="MX82" i="2"/>
  <c r="MY82" i="2"/>
  <c r="MZ82" i="2"/>
  <c r="NA82" i="2"/>
  <c r="NB82" i="2"/>
  <c r="NC82" i="2"/>
  <c r="ND82" i="2"/>
  <c r="NE82" i="2"/>
  <c r="NF82" i="2"/>
  <c r="NG82" i="2"/>
  <c r="NH82" i="2"/>
  <c r="NI82" i="2"/>
  <c r="NJ82" i="2"/>
  <c r="NK82" i="2"/>
  <c r="NL82" i="2"/>
  <c r="NM82" i="2"/>
  <c r="NN82" i="2"/>
  <c r="NO82" i="2"/>
  <c r="NP82" i="2"/>
  <c r="NQ82" i="2"/>
  <c r="NR82" i="2"/>
  <c r="NS82" i="2"/>
  <c r="NT82" i="2"/>
  <c r="NU82" i="2"/>
  <c r="NV82" i="2"/>
  <c r="NW82" i="2"/>
  <c r="NX82" i="2"/>
  <c r="NY82" i="2"/>
  <c r="NZ82" i="2"/>
  <c r="OA82" i="2"/>
  <c r="OB82" i="2"/>
  <c r="OC82" i="2"/>
  <c r="OD82" i="2"/>
  <c r="OE82" i="2"/>
  <c r="OF82" i="2"/>
  <c r="OG82" i="2"/>
  <c r="OH82" i="2"/>
  <c r="OI82" i="2"/>
  <c r="OJ82" i="2"/>
  <c r="OK82" i="2"/>
  <c r="OL82" i="2"/>
  <c r="OM82" i="2"/>
  <c r="ON82" i="2"/>
  <c r="OO82" i="2"/>
  <c r="OP82" i="2"/>
  <c r="OQ82" i="2"/>
  <c r="OR82" i="2"/>
  <c r="OS82" i="2"/>
  <c r="OT82" i="2"/>
  <c r="OU82" i="2"/>
  <c r="OW82" i="2"/>
  <c r="OX82" i="2"/>
  <c r="OY82" i="2"/>
  <c r="OZ82" i="2"/>
  <c r="PA82" i="2"/>
  <c r="PB82" i="2"/>
  <c r="PC82" i="2"/>
  <c r="PD82" i="2"/>
  <c r="PE82" i="2"/>
  <c r="PF82" i="2"/>
  <c r="PG82" i="2"/>
  <c r="PH82" i="2"/>
  <c r="PI82" i="2"/>
  <c r="PJ82" i="2"/>
  <c r="PK82" i="2"/>
  <c r="PL82" i="2"/>
  <c r="IA83" i="2"/>
  <c r="IC83" i="2"/>
  <c r="IE83" i="2"/>
  <c r="IG83" i="2"/>
  <c r="II83" i="2"/>
  <c r="IJ83" i="2"/>
  <c r="IK83" i="2"/>
  <c r="IL83" i="2"/>
  <c r="IM83" i="2"/>
  <c r="IN83" i="2"/>
  <c r="IO83" i="2"/>
  <c r="IP83" i="2"/>
  <c r="IQ83" i="2"/>
  <c r="IR83" i="2"/>
  <c r="IS83" i="2"/>
  <c r="IT83" i="2"/>
  <c r="IU83" i="2"/>
  <c r="IV83" i="2"/>
  <c r="IW83" i="2"/>
  <c r="JD83" i="2"/>
  <c r="JE83" i="2"/>
  <c r="JG83" i="2"/>
  <c r="JH83" i="2"/>
  <c r="JK83" i="2"/>
  <c r="JL83" i="2"/>
  <c r="JM83" i="2"/>
  <c r="JN83" i="2"/>
  <c r="JO83" i="2"/>
  <c r="JP83" i="2"/>
  <c r="JR83" i="2"/>
  <c r="JS83" i="2"/>
  <c r="JT83" i="2"/>
  <c r="JU83" i="2"/>
  <c r="JV83" i="2"/>
  <c r="JW83" i="2"/>
  <c r="JX83" i="2"/>
  <c r="JY83" i="2"/>
  <c r="JZ83" i="2"/>
  <c r="KA83" i="2"/>
  <c r="KB83" i="2"/>
  <c r="KC83" i="2"/>
  <c r="KD83" i="2"/>
  <c r="KE83" i="2"/>
  <c r="KF83" i="2"/>
  <c r="KG83" i="2"/>
  <c r="KH83" i="2"/>
  <c r="KN83" i="2" s="1"/>
  <c r="KI83" i="2"/>
  <c r="KJ83" i="2"/>
  <c r="KK83" i="2"/>
  <c r="KL83" i="2"/>
  <c r="KM83" i="2"/>
  <c r="KO83" i="2"/>
  <c r="KP83" i="2"/>
  <c r="KQ83" i="2"/>
  <c r="KR83" i="2"/>
  <c r="KS83" i="2"/>
  <c r="KT83" i="2"/>
  <c r="KU83" i="2"/>
  <c r="KY83" i="2"/>
  <c r="LA83" i="2"/>
  <c r="LC83" i="2"/>
  <c r="LE83" i="2"/>
  <c r="LG83" i="2"/>
  <c r="LH83" i="2"/>
  <c r="LI83" i="2"/>
  <c r="LJ83" i="2"/>
  <c r="LL83" i="2"/>
  <c r="LN83" i="2"/>
  <c r="LO83" i="2"/>
  <c r="LP83" i="2"/>
  <c r="LQ83" i="2"/>
  <c r="LR83" i="2"/>
  <c r="LS83" i="2"/>
  <c r="LT83" i="2"/>
  <c r="LU83" i="2"/>
  <c r="LV83" i="2"/>
  <c r="LW83" i="2"/>
  <c r="LX83" i="2"/>
  <c r="LY83" i="2"/>
  <c r="LZ83" i="2"/>
  <c r="MA83" i="2"/>
  <c r="MB83" i="2"/>
  <c r="MC83" i="2"/>
  <c r="MD83" i="2"/>
  <c r="ME83" i="2"/>
  <c r="MF83" i="2"/>
  <c r="MG83" i="2"/>
  <c r="MH83" i="2"/>
  <c r="MI83" i="2"/>
  <c r="MJ83" i="2"/>
  <c r="MK83" i="2"/>
  <c r="ML83" i="2"/>
  <c r="MM83" i="2"/>
  <c r="MN83" i="2"/>
  <c r="MO83" i="2"/>
  <c r="MP83" i="2"/>
  <c r="MQ83" i="2"/>
  <c r="MR83" i="2"/>
  <c r="MS83" i="2"/>
  <c r="MT83" i="2"/>
  <c r="MU83" i="2"/>
  <c r="MV83" i="2"/>
  <c r="MW83" i="2"/>
  <c r="MX83" i="2"/>
  <c r="MY83" i="2"/>
  <c r="MZ83" i="2"/>
  <c r="NA83" i="2"/>
  <c r="NB83" i="2"/>
  <c r="NC83" i="2"/>
  <c r="ND83" i="2"/>
  <c r="NE83" i="2"/>
  <c r="NF83" i="2"/>
  <c r="NG83" i="2"/>
  <c r="NH83" i="2"/>
  <c r="NI83" i="2"/>
  <c r="NJ83" i="2"/>
  <c r="NK83" i="2"/>
  <c r="NL83" i="2"/>
  <c r="NM83" i="2"/>
  <c r="NN83" i="2"/>
  <c r="NO83" i="2"/>
  <c r="NP83" i="2"/>
  <c r="NQ83" i="2"/>
  <c r="NR83" i="2"/>
  <c r="NS83" i="2"/>
  <c r="NT83" i="2"/>
  <c r="NU83" i="2"/>
  <c r="NV83" i="2"/>
  <c r="NW83" i="2"/>
  <c r="NX83" i="2"/>
  <c r="NY83" i="2"/>
  <c r="NZ83" i="2"/>
  <c r="OA83" i="2"/>
  <c r="OB83" i="2"/>
  <c r="OC83" i="2"/>
  <c r="OD83" i="2"/>
  <c r="OE83" i="2"/>
  <c r="OF83" i="2"/>
  <c r="OG83" i="2"/>
  <c r="OH83" i="2"/>
  <c r="OI83" i="2"/>
  <c r="OJ83" i="2"/>
  <c r="OK83" i="2"/>
  <c r="OL83" i="2"/>
  <c r="OM83" i="2"/>
  <c r="ON83" i="2"/>
  <c r="OO83" i="2"/>
  <c r="OP83" i="2"/>
  <c r="OQ83" i="2"/>
  <c r="OR83" i="2"/>
  <c r="OS83" i="2"/>
  <c r="OT83" i="2"/>
  <c r="OU83" i="2"/>
  <c r="OV83" i="2"/>
  <c r="OW83" i="2"/>
  <c r="OX83" i="2"/>
  <c r="OY83" i="2"/>
  <c r="OZ83" i="2"/>
  <c r="PA83" i="2"/>
  <c r="PB83" i="2"/>
  <c r="PC83" i="2"/>
  <c r="PD83" i="2"/>
  <c r="PE83" i="2"/>
  <c r="PF83" i="2"/>
  <c r="PG83" i="2"/>
  <c r="PH83" i="2"/>
  <c r="PI83" i="2"/>
  <c r="PJ83" i="2"/>
  <c r="PK83" i="2"/>
  <c r="PL83" i="2"/>
  <c r="IA84" i="2"/>
  <c r="IC84" i="2"/>
  <c r="IE84" i="2"/>
  <c r="IG84" i="2"/>
  <c r="II84" i="2"/>
  <c r="IJ84" i="2"/>
  <c r="IK84" i="2"/>
  <c r="IL84" i="2"/>
  <c r="IM84" i="2"/>
  <c r="IN84" i="2"/>
  <c r="IO84" i="2"/>
  <c r="IP84" i="2"/>
  <c r="IQ84" i="2"/>
  <c r="IR84" i="2"/>
  <c r="IS84" i="2"/>
  <c r="IT84" i="2"/>
  <c r="IU84" i="2"/>
  <c r="IV84" i="2"/>
  <c r="IW84" i="2"/>
  <c r="JD84" i="2"/>
  <c r="JE84" i="2"/>
  <c r="JG84" i="2"/>
  <c r="JH84" i="2"/>
  <c r="JK84" i="2"/>
  <c r="JL84" i="2"/>
  <c r="JM84" i="2"/>
  <c r="JN84" i="2"/>
  <c r="JO84" i="2"/>
  <c r="JP84" i="2"/>
  <c r="JR84" i="2"/>
  <c r="JS84" i="2"/>
  <c r="JT84" i="2"/>
  <c r="JU84" i="2"/>
  <c r="JV84" i="2"/>
  <c r="JW84" i="2"/>
  <c r="JX84" i="2"/>
  <c r="JY84" i="2"/>
  <c r="JZ84" i="2"/>
  <c r="KA84" i="2"/>
  <c r="KB84" i="2"/>
  <c r="KC84" i="2"/>
  <c r="KD84" i="2"/>
  <c r="KE84" i="2"/>
  <c r="KF84" i="2"/>
  <c r="KG84" i="2"/>
  <c r="KH84" i="2"/>
  <c r="KI84" i="2"/>
  <c r="KJ84" i="2"/>
  <c r="KK84" i="2"/>
  <c r="KL84" i="2"/>
  <c r="KM84" i="2"/>
  <c r="KO84" i="2"/>
  <c r="KP84" i="2"/>
  <c r="KQ84" i="2"/>
  <c r="KR84" i="2"/>
  <c r="KS84" i="2"/>
  <c r="KT84" i="2"/>
  <c r="KU84" i="2"/>
  <c r="KY84" i="2"/>
  <c r="LA84" i="2"/>
  <c r="LC84" i="2"/>
  <c r="LE84" i="2"/>
  <c r="LG84" i="2"/>
  <c r="LH84" i="2"/>
  <c r="LI84" i="2"/>
  <c r="LJ84" i="2"/>
  <c r="LL84" i="2"/>
  <c r="LN84" i="2"/>
  <c r="LO84" i="2"/>
  <c r="LP84" i="2"/>
  <c r="LQ84" i="2"/>
  <c r="LR84" i="2"/>
  <c r="LS84" i="2"/>
  <c r="LT84" i="2"/>
  <c r="LU84" i="2"/>
  <c r="LV84" i="2"/>
  <c r="LW84" i="2"/>
  <c r="LX84" i="2"/>
  <c r="LY84" i="2"/>
  <c r="LZ84" i="2"/>
  <c r="MA84" i="2"/>
  <c r="MB84" i="2"/>
  <c r="MC84" i="2"/>
  <c r="MD84" i="2"/>
  <c r="ME84" i="2"/>
  <c r="MF84" i="2"/>
  <c r="MG84" i="2"/>
  <c r="MH84" i="2"/>
  <c r="MI84" i="2"/>
  <c r="MJ84" i="2"/>
  <c r="MK84" i="2"/>
  <c r="ML84" i="2"/>
  <c r="MM84" i="2"/>
  <c r="MN84" i="2"/>
  <c r="MO84" i="2"/>
  <c r="MP84" i="2"/>
  <c r="MQ84" i="2"/>
  <c r="MR84" i="2"/>
  <c r="MS84" i="2"/>
  <c r="MT84" i="2"/>
  <c r="MU84" i="2"/>
  <c r="MV84" i="2"/>
  <c r="MW84" i="2"/>
  <c r="MX84" i="2"/>
  <c r="MY84" i="2"/>
  <c r="MZ84" i="2"/>
  <c r="NA84" i="2"/>
  <c r="NB84" i="2"/>
  <c r="NC84" i="2"/>
  <c r="ND84" i="2"/>
  <c r="NE84" i="2"/>
  <c r="NF84" i="2"/>
  <c r="NG84" i="2"/>
  <c r="NH84" i="2"/>
  <c r="NI84" i="2"/>
  <c r="NJ84" i="2"/>
  <c r="NK84" i="2"/>
  <c r="NL84" i="2"/>
  <c r="NM84" i="2"/>
  <c r="NN84" i="2"/>
  <c r="NO84" i="2"/>
  <c r="NP84" i="2"/>
  <c r="NQ84" i="2"/>
  <c r="NR84" i="2"/>
  <c r="NS84" i="2"/>
  <c r="NT84" i="2"/>
  <c r="NU84" i="2"/>
  <c r="NV84" i="2"/>
  <c r="NW84" i="2"/>
  <c r="NX84" i="2"/>
  <c r="NY84" i="2"/>
  <c r="NZ84" i="2"/>
  <c r="OA84" i="2"/>
  <c r="OB84" i="2"/>
  <c r="OC84" i="2"/>
  <c r="OD84" i="2"/>
  <c r="OE84" i="2"/>
  <c r="OF84" i="2"/>
  <c r="OG84" i="2"/>
  <c r="OH84" i="2"/>
  <c r="OI84" i="2"/>
  <c r="OJ84" i="2"/>
  <c r="OK84" i="2"/>
  <c r="OL84" i="2"/>
  <c r="OM84" i="2"/>
  <c r="ON84" i="2"/>
  <c r="OO84" i="2"/>
  <c r="OP84" i="2"/>
  <c r="OQ84" i="2"/>
  <c r="OR84" i="2"/>
  <c r="OS84" i="2"/>
  <c r="OT84" i="2"/>
  <c r="OU84" i="2"/>
  <c r="OV84" i="2"/>
  <c r="OW84" i="2"/>
  <c r="OX84" i="2"/>
  <c r="OY84" i="2"/>
  <c r="OZ84" i="2"/>
  <c r="PA84" i="2"/>
  <c r="PB84" i="2"/>
  <c r="PC84" i="2"/>
  <c r="PD84" i="2"/>
  <c r="PE84" i="2"/>
  <c r="PF84" i="2"/>
  <c r="PG84" i="2"/>
  <c r="PH84" i="2"/>
  <c r="PI84" i="2"/>
  <c r="PJ84" i="2"/>
  <c r="PK84" i="2"/>
  <c r="PL84" i="2"/>
  <c r="IA85" i="2"/>
  <c r="IC85" i="2"/>
  <c r="IE85" i="2"/>
  <c r="IG85" i="2"/>
  <c r="II85" i="2"/>
  <c r="IJ85" i="2"/>
  <c r="IK85" i="2"/>
  <c r="IL85" i="2"/>
  <c r="IM85" i="2"/>
  <c r="IN85" i="2"/>
  <c r="IO85" i="2"/>
  <c r="IP85" i="2"/>
  <c r="IQ85" i="2"/>
  <c r="IR85" i="2"/>
  <c r="IS85" i="2"/>
  <c r="IT85" i="2"/>
  <c r="IU85" i="2"/>
  <c r="IV85" i="2"/>
  <c r="IW85" i="2"/>
  <c r="JD85" i="2"/>
  <c r="JE85" i="2"/>
  <c r="JG85" i="2"/>
  <c r="JH85" i="2"/>
  <c r="JK85" i="2"/>
  <c r="JL85" i="2"/>
  <c r="JM85" i="2"/>
  <c r="JN85" i="2"/>
  <c r="JO85" i="2"/>
  <c r="JP85" i="2"/>
  <c r="JR85" i="2"/>
  <c r="JS85" i="2"/>
  <c r="JT85" i="2"/>
  <c r="JU85" i="2"/>
  <c r="JV85" i="2"/>
  <c r="JW85" i="2"/>
  <c r="JX85" i="2"/>
  <c r="KN85" i="2" s="1"/>
  <c r="JY85" i="2"/>
  <c r="JZ85" i="2"/>
  <c r="KA85" i="2"/>
  <c r="KB85" i="2"/>
  <c r="KC85" i="2"/>
  <c r="KD85" i="2"/>
  <c r="KE85" i="2"/>
  <c r="KF85" i="2"/>
  <c r="KG85" i="2"/>
  <c r="KH85" i="2"/>
  <c r="KI85" i="2"/>
  <c r="KJ85" i="2"/>
  <c r="KK85" i="2"/>
  <c r="KM85" i="2"/>
  <c r="KP85" i="2"/>
  <c r="KQ85" i="2"/>
  <c r="KR85" i="2"/>
  <c r="KS85" i="2"/>
  <c r="KT85" i="2"/>
  <c r="KU85" i="2"/>
  <c r="KY85" i="2"/>
  <c r="LA85" i="2"/>
  <c r="LC85" i="2"/>
  <c r="LE85" i="2"/>
  <c r="LG85" i="2"/>
  <c r="LH85" i="2"/>
  <c r="LI85" i="2"/>
  <c r="LJ85" i="2"/>
  <c r="LL85" i="2"/>
  <c r="LN85" i="2"/>
  <c r="LO85" i="2"/>
  <c r="LP85" i="2"/>
  <c r="LQ85" i="2"/>
  <c r="LR85" i="2"/>
  <c r="LS85" i="2"/>
  <c r="LT85" i="2"/>
  <c r="LU85" i="2"/>
  <c r="LV85" i="2"/>
  <c r="LW85" i="2"/>
  <c r="LX85" i="2"/>
  <c r="LY85" i="2"/>
  <c r="LZ85" i="2"/>
  <c r="MA85" i="2"/>
  <c r="MB85" i="2"/>
  <c r="MC85" i="2"/>
  <c r="MD85" i="2"/>
  <c r="ME85" i="2"/>
  <c r="MF85" i="2"/>
  <c r="MG85" i="2"/>
  <c r="MH85" i="2"/>
  <c r="MI85" i="2"/>
  <c r="MJ85" i="2"/>
  <c r="MK85" i="2"/>
  <c r="ML85" i="2"/>
  <c r="MM85" i="2"/>
  <c r="MN85" i="2"/>
  <c r="MO85" i="2"/>
  <c r="MP85" i="2"/>
  <c r="MQ85" i="2"/>
  <c r="MR85" i="2"/>
  <c r="MS85" i="2"/>
  <c r="MT85" i="2"/>
  <c r="MU85" i="2"/>
  <c r="MV85" i="2"/>
  <c r="MW85" i="2"/>
  <c r="MX85" i="2"/>
  <c r="MY85" i="2"/>
  <c r="MZ85" i="2"/>
  <c r="NA85" i="2"/>
  <c r="NB85" i="2"/>
  <c r="NC85" i="2"/>
  <c r="ND85" i="2"/>
  <c r="NE85" i="2"/>
  <c r="NF85" i="2"/>
  <c r="NG85" i="2"/>
  <c r="NH85" i="2"/>
  <c r="NI85" i="2"/>
  <c r="NJ85" i="2"/>
  <c r="NK85" i="2"/>
  <c r="NL85" i="2"/>
  <c r="NM85" i="2"/>
  <c r="NN85" i="2"/>
  <c r="NO85" i="2"/>
  <c r="NP85" i="2"/>
  <c r="NQ85" i="2"/>
  <c r="NR85" i="2"/>
  <c r="NS85" i="2"/>
  <c r="NT85" i="2"/>
  <c r="NU85" i="2"/>
  <c r="NV85" i="2"/>
  <c r="NW85" i="2"/>
  <c r="NX85" i="2"/>
  <c r="NY85" i="2"/>
  <c r="NZ85" i="2"/>
  <c r="OA85" i="2"/>
  <c r="OB85" i="2"/>
  <c r="OC85" i="2"/>
  <c r="OD85" i="2"/>
  <c r="OE85" i="2"/>
  <c r="OF85" i="2"/>
  <c r="OG85" i="2"/>
  <c r="OH85" i="2"/>
  <c r="OI85" i="2"/>
  <c r="OJ85" i="2"/>
  <c r="OK85" i="2"/>
  <c r="OL85" i="2"/>
  <c r="OM85" i="2"/>
  <c r="ON85" i="2"/>
  <c r="OO85" i="2"/>
  <c r="OP85" i="2"/>
  <c r="OQ85" i="2"/>
  <c r="OR85" i="2"/>
  <c r="OS85" i="2"/>
  <c r="OT85" i="2"/>
  <c r="OU85" i="2"/>
  <c r="OW85" i="2"/>
  <c r="OX85" i="2"/>
  <c r="OY85" i="2"/>
  <c r="OZ85" i="2"/>
  <c r="PA85" i="2"/>
  <c r="PB85" i="2"/>
  <c r="PC85" i="2"/>
  <c r="PD85" i="2"/>
  <c r="PE85" i="2"/>
  <c r="PF85" i="2"/>
  <c r="PG85" i="2"/>
  <c r="PH85" i="2"/>
  <c r="PI85" i="2"/>
  <c r="PJ85" i="2"/>
  <c r="PK85" i="2"/>
  <c r="PL85" i="2"/>
  <c r="IA86" i="2"/>
  <c r="IC86" i="2"/>
  <c r="IE86" i="2"/>
  <c r="IG86" i="2"/>
  <c r="II86" i="2"/>
  <c r="IJ86" i="2"/>
  <c r="IK86" i="2"/>
  <c r="IL86" i="2"/>
  <c r="IM86" i="2"/>
  <c r="IN86" i="2"/>
  <c r="IO86" i="2"/>
  <c r="IP86" i="2"/>
  <c r="IQ86" i="2"/>
  <c r="IR86" i="2"/>
  <c r="IS86" i="2"/>
  <c r="IT86" i="2"/>
  <c r="IU86" i="2"/>
  <c r="IV86" i="2"/>
  <c r="IW86" i="2"/>
  <c r="JD86" i="2"/>
  <c r="JE86" i="2"/>
  <c r="JG86" i="2"/>
  <c r="JH86" i="2"/>
  <c r="JK86" i="2"/>
  <c r="JL86" i="2"/>
  <c r="JM86" i="2"/>
  <c r="JN86" i="2"/>
  <c r="JO86" i="2"/>
  <c r="JP86" i="2"/>
  <c r="JR86" i="2"/>
  <c r="JS86" i="2"/>
  <c r="JT86" i="2"/>
  <c r="JU86" i="2"/>
  <c r="JV86" i="2"/>
  <c r="JW86" i="2"/>
  <c r="JX86" i="2"/>
  <c r="KN86" i="2" s="1"/>
  <c r="JY86" i="2"/>
  <c r="JZ86" i="2"/>
  <c r="KA86" i="2"/>
  <c r="KB86" i="2"/>
  <c r="KC86" i="2"/>
  <c r="KD86" i="2"/>
  <c r="KE86" i="2"/>
  <c r="KF86" i="2"/>
  <c r="KG86" i="2"/>
  <c r="KH86" i="2"/>
  <c r="KI86" i="2"/>
  <c r="KJ86" i="2"/>
  <c r="KK86" i="2"/>
  <c r="KM86" i="2"/>
  <c r="KP86" i="2"/>
  <c r="KQ86" i="2"/>
  <c r="KR86" i="2"/>
  <c r="KS86" i="2"/>
  <c r="KT86" i="2"/>
  <c r="KU86" i="2"/>
  <c r="KY86" i="2"/>
  <c r="LA86" i="2"/>
  <c r="LC86" i="2"/>
  <c r="LE86" i="2"/>
  <c r="LG86" i="2"/>
  <c r="LH86" i="2"/>
  <c r="LI86" i="2"/>
  <c r="LJ86" i="2"/>
  <c r="LL86" i="2"/>
  <c r="LN86" i="2"/>
  <c r="LO86" i="2"/>
  <c r="LP86" i="2"/>
  <c r="LQ86" i="2"/>
  <c r="LR86" i="2"/>
  <c r="LS86" i="2"/>
  <c r="LT86" i="2"/>
  <c r="LU86" i="2"/>
  <c r="LV86" i="2"/>
  <c r="LW86" i="2"/>
  <c r="LX86" i="2"/>
  <c r="LY86" i="2"/>
  <c r="LZ86" i="2"/>
  <c r="MA86" i="2"/>
  <c r="MB86" i="2"/>
  <c r="MC86" i="2"/>
  <c r="MD86" i="2"/>
  <c r="ME86" i="2"/>
  <c r="MF86" i="2"/>
  <c r="MG86" i="2"/>
  <c r="MH86" i="2"/>
  <c r="MI86" i="2"/>
  <c r="MJ86" i="2"/>
  <c r="MK86" i="2"/>
  <c r="ML86" i="2"/>
  <c r="MM86" i="2"/>
  <c r="MN86" i="2"/>
  <c r="MO86" i="2"/>
  <c r="MP86" i="2"/>
  <c r="MQ86" i="2"/>
  <c r="MR86" i="2"/>
  <c r="MS86" i="2"/>
  <c r="MT86" i="2"/>
  <c r="MU86" i="2"/>
  <c r="MV86" i="2"/>
  <c r="MW86" i="2"/>
  <c r="MX86" i="2"/>
  <c r="MY86" i="2"/>
  <c r="MZ86" i="2"/>
  <c r="NA86" i="2"/>
  <c r="NB86" i="2"/>
  <c r="NC86" i="2"/>
  <c r="ND86" i="2"/>
  <c r="NE86" i="2"/>
  <c r="NF86" i="2"/>
  <c r="NG86" i="2"/>
  <c r="NH86" i="2"/>
  <c r="NI86" i="2"/>
  <c r="NJ86" i="2"/>
  <c r="NK86" i="2"/>
  <c r="NL86" i="2"/>
  <c r="NM86" i="2"/>
  <c r="NN86" i="2"/>
  <c r="NO86" i="2"/>
  <c r="NP86" i="2"/>
  <c r="NQ86" i="2"/>
  <c r="NR86" i="2"/>
  <c r="NS86" i="2"/>
  <c r="NT86" i="2"/>
  <c r="NU86" i="2"/>
  <c r="NV86" i="2"/>
  <c r="NW86" i="2"/>
  <c r="NX86" i="2"/>
  <c r="NY86" i="2"/>
  <c r="NZ86" i="2"/>
  <c r="OA86" i="2"/>
  <c r="OB86" i="2"/>
  <c r="OC86" i="2"/>
  <c r="OD86" i="2"/>
  <c r="OE86" i="2"/>
  <c r="OF86" i="2"/>
  <c r="OG86" i="2"/>
  <c r="OH86" i="2"/>
  <c r="OI86" i="2"/>
  <c r="OJ86" i="2"/>
  <c r="OK86" i="2"/>
  <c r="OL86" i="2"/>
  <c r="OM86" i="2"/>
  <c r="ON86" i="2"/>
  <c r="OO86" i="2"/>
  <c r="OP86" i="2"/>
  <c r="OQ86" i="2"/>
  <c r="OR86" i="2"/>
  <c r="OS86" i="2"/>
  <c r="OT86" i="2"/>
  <c r="OU86" i="2"/>
  <c r="OW86" i="2"/>
  <c r="OX86" i="2"/>
  <c r="OY86" i="2"/>
  <c r="OZ86" i="2"/>
  <c r="PA86" i="2"/>
  <c r="PB86" i="2"/>
  <c r="PC86" i="2"/>
  <c r="PD86" i="2"/>
  <c r="PE86" i="2"/>
  <c r="PF86" i="2"/>
  <c r="PG86" i="2"/>
  <c r="PH86" i="2"/>
  <c r="PI86" i="2"/>
  <c r="PJ86" i="2"/>
  <c r="PK86" i="2"/>
  <c r="PL86" i="2"/>
  <c r="IA87" i="2"/>
  <c r="IC87" i="2"/>
  <c r="IE87" i="2"/>
  <c r="IG87" i="2"/>
  <c r="II87" i="2"/>
  <c r="IJ87" i="2"/>
  <c r="IK87" i="2"/>
  <c r="IL87" i="2"/>
  <c r="IM87" i="2"/>
  <c r="IN87" i="2"/>
  <c r="IO87" i="2"/>
  <c r="IP87" i="2"/>
  <c r="IQ87" i="2"/>
  <c r="IR87" i="2"/>
  <c r="IS87" i="2"/>
  <c r="IT87" i="2"/>
  <c r="IU87" i="2"/>
  <c r="IV87" i="2"/>
  <c r="IW87" i="2"/>
  <c r="JD87" i="2"/>
  <c r="JE87" i="2"/>
  <c r="JG87" i="2"/>
  <c r="JH87" i="2"/>
  <c r="JK87" i="2"/>
  <c r="JL87" i="2"/>
  <c r="JM87" i="2"/>
  <c r="JN87" i="2"/>
  <c r="JO87" i="2"/>
  <c r="JP87" i="2"/>
  <c r="JR87" i="2"/>
  <c r="JS87" i="2"/>
  <c r="JT87" i="2"/>
  <c r="JU87" i="2"/>
  <c r="JV87" i="2"/>
  <c r="JW87" i="2"/>
  <c r="JX87" i="2"/>
  <c r="KN87" i="2" s="1"/>
  <c r="JY87" i="2"/>
  <c r="JZ87" i="2"/>
  <c r="KA87" i="2"/>
  <c r="KB87" i="2"/>
  <c r="KC87" i="2"/>
  <c r="KD87" i="2"/>
  <c r="KE87" i="2"/>
  <c r="KF87" i="2"/>
  <c r="KG87" i="2"/>
  <c r="KH87" i="2"/>
  <c r="KI87" i="2"/>
  <c r="KJ87" i="2"/>
  <c r="KK87" i="2"/>
  <c r="KM87" i="2"/>
  <c r="KP87" i="2"/>
  <c r="KQ87" i="2"/>
  <c r="KR87" i="2"/>
  <c r="KS87" i="2"/>
  <c r="KT87" i="2"/>
  <c r="KU87" i="2"/>
  <c r="KY87" i="2"/>
  <c r="LA87" i="2"/>
  <c r="LC87" i="2"/>
  <c r="LE87" i="2"/>
  <c r="LG87" i="2"/>
  <c r="LH87" i="2"/>
  <c r="LI87" i="2"/>
  <c r="LJ87" i="2"/>
  <c r="LL87" i="2"/>
  <c r="LN87" i="2"/>
  <c r="LO87" i="2"/>
  <c r="LP87" i="2"/>
  <c r="LQ87" i="2"/>
  <c r="LR87" i="2"/>
  <c r="LS87" i="2"/>
  <c r="LT87" i="2"/>
  <c r="LU87" i="2"/>
  <c r="LV87" i="2"/>
  <c r="LW87" i="2"/>
  <c r="LX87" i="2"/>
  <c r="LY87" i="2"/>
  <c r="LZ87" i="2"/>
  <c r="MA87" i="2"/>
  <c r="MB87" i="2"/>
  <c r="MC87" i="2"/>
  <c r="MD87" i="2"/>
  <c r="ME87" i="2"/>
  <c r="MF87" i="2"/>
  <c r="MG87" i="2"/>
  <c r="MH87" i="2"/>
  <c r="MI87" i="2"/>
  <c r="MJ87" i="2"/>
  <c r="MK87" i="2"/>
  <c r="ML87" i="2"/>
  <c r="MM87" i="2"/>
  <c r="MN87" i="2"/>
  <c r="MO87" i="2"/>
  <c r="MP87" i="2"/>
  <c r="MQ87" i="2"/>
  <c r="MR87" i="2"/>
  <c r="MS87" i="2"/>
  <c r="MT87" i="2"/>
  <c r="MU87" i="2"/>
  <c r="MV87" i="2"/>
  <c r="MW87" i="2"/>
  <c r="MX87" i="2"/>
  <c r="MY87" i="2"/>
  <c r="MZ87" i="2"/>
  <c r="NA87" i="2"/>
  <c r="NB87" i="2"/>
  <c r="NC87" i="2"/>
  <c r="ND87" i="2"/>
  <c r="NE87" i="2"/>
  <c r="NF87" i="2"/>
  <c r="NG87" i="2"/>
  <c r="NH87" i="2"/>
  <c r="NI87" i="2"/>
  <c r="NJ87" i="2"/>
  <c r="NK87" i="2"/>
  <c r="NL87" i="2"/>
  <c r="NM87" i="2"/>
  <c r="NN87" i="2"/>
  <c r="NO87" i="2"/>
  <c r="NP87" i="2"/>
  <c r="NQ87" i="2"/>
  <c r="NR87" i="2"/>
  <c r="NS87" i="2"/>
  <c r="NT87" i="2"/>
  <c r="NU87" i="2"/>
  <c r="NV87" i="2"/>
  <c r="NW87" i="2"/>
  <c r="NX87" i="2"/>
  <c r="NY87" i="2"/>
  <c r="NZ87" i="2"/>
  <c r="OA87" i="2"/>
  <c r="OB87" i="2"/>
  <c r="OC87" i="2"/>
  <c r="OD87" i="2"/>
  <c r="OE87" i="2"/>
  <c r="OF87" i="2"/>
  <c r="OG87" i="2"/>
  <c r="OH87" i="2"/>
  <c r="OI87" i="2"/>
  <c r="OJ87" i="2"/>
  <c r="OK87" i="2"/>
  <c r="OL87" i="2"/>
  <c r="OM87" i="2"/>
  <c r="ON87" i="2"/>
  <c r="OO87" i="2"/>
  <c r="OP87" i="2"/>
  <c r="OQ87" i="2"/>
  <c r="OR87" i="2"/>
  <c r="OS87" i="2"/>
  <c r="OT87" i="2"/>
  <c r="OU87" i="2"/>
  <c r="OW87" i="2"/>
  <c r="OX87" i="2"/>
  <c r="OY87" i="2"/>
  <c r="OZ87" i="2"/>
  <c r="PA87" i="2"/>
  <c r="PB87" i="2"/>
  <c r="PC87" i="2"/>
  <c r="PD87" i="2"/>
  <c r="PE87" i="2"/>
  <c r="PF87" i="2"/>
  <c r="PG87" i="2"/>
  <c r="PH87" i="2"/>
  <c r="PI87" i="2"/>
  <c r="PJ87" i="2"/>
  <c r="PK87" i="2"/>
  <c r="PL87" i="2"/>
  <c r="IA88" i="2"/>
  <c r="IC88" i="2"/>
  <c r="IE88" i="2"/>
  <c r="IG88" i="2"/>
  <c r="II88" i="2"/>
  <c r="IJ88" i="2"/>
  <c r="IK88" i="2"/>
  <c r="IL88" i="2"/>
  <c r="IM88" i="2"/>
  <c r="IN88" i="2"/>
  <c r="IO88" i="2"/>
  <c r="IP88" i="2"/>
  <c r="IQ88" i="2"/>
  <c r="IR88" i="2"/>
  <c r="IS88" i="2"/>
  <c r="IT88" i="2"/>
  <c r="IU88" i="2"/>
  <c r="IV88" i="2"/>
  <c r="IW88" i="2"/>
  <c r="JD88" i="2"/>
  <c r="JE88" i="2"/>
  <c r="JG88" i="2"/>
  <c r="JH88" i="2"/>
  <c r="JK88" i="2"/>
  <c r="JL88" i="2"/>
  <c r="JM88" i="2"/>
  <c r="JN88" i="2"/>
  <c r="JO88" i="2"/>
  <c r="JP88" i="2"/>
  <c r="JR88" i="2"/>
  <c r="JS88" i="2"/>
  <c r="JT88" i="2"/>
  <c r="JU88" i="2"/>
  <c r="JV88" i="2"/>
  <c r="JW88" i="2"/>
  <c r="JX88" i="2"/>
  <c r="KN88" i="2" s="1"/>
  <c r="JY88" i="2"/>
  <c r="JZ88" i="2"/>
  <c r="KA88" i="2"/>
  <c r="KB88" i="2"/>
  <c r="KC88" i="2"/>
  <c r="KD88" i="2"/>
  <c r="KE88" i="2"/>
  <c r="KF88" i="2"/>
  <c r="KG88" i="2"/>
  <c r="KH88" i="2"/>
  <c r="KI88" i="2"/>
  <c r="KJ88" i="2"/>
  <c r="KK88" i="2"/>
  <c r="KM88" i="2"/>
  <c r="KP88" i="2"/>
  <c r="KQ88" i="2"/>
  <c r="KR88" i="2"/>
  <c r="KS88" i="2"/>
  <c r="KT88" i="2"/>
  <c r="KU88" i="2"/>
  <c r="KY88" i="2"/>
  <c r="LA88" i="2"/>
  <c r="LC88" i="2"/>
  <c r="LE88" i="2"/>
  <c r="LG88" i="2"/>
  <c r="LH88" i="2"/>
  <c r="LI88" i="2"/>
  <c r="LJ88" i="2"/>
  <c r="LL88" i="2"/>
  <c r="LN88" i="2"/>
  <c r="LO88" i="2"/>
  <c r="LP88" i="2"/>
  <c r="LQ88" i="2"/>
  <c r="LR88" i="2"/>
  <c r="LS88" i="2"/>
  <c r="LT88" i="2"/>
  <c r="LU88" i="2"/>
  <c r="LV88" i="2"/>
  <c r="LW88" i="2"/>
  <c r="LX88" i="2"/>
  <c r="LY88" i="2"/>
  <c r="LZ88" i="2"/>
  <c r="MA88" i="2"/>
  <c r="MB88" i="2"/>
  <c r="MC88" i="2"/>
  <c r="MD88" i="2"/>
  <c r="ME88" i="2"/>
  <c r="MF88" i="2"/>
  <c r="MG88" i="2"/>
  <c r="MH88" i="2"/>
  <c r="MI88" i="2"/>
  <c r="MJ88" i="2"/>
  <c r="MK88" i="2"/>
  <c r="ML88" i="2"/>
  <c r="MM88" i="2"/>
  <c r="MN88" i="2"/>
  <c r="MO88" i="2"/>
  <c r="MP88" i="2"/>
  <c r="MQ88" i="2"/>
  <c r="MR88" i="2"/>
  <c r="MS88" i="2"/>
  <c r="MT88" i="2"/>
  <c r="MU88" i="2"/>
  <c r="MV88" i="2"/>
  <c r="MW88" i="2"/>
  <c r="MX88" i="2"/>
  <c r="MY88" i="2"/>
  <c r="MZ88" i="2"/>
  <c r="NA88" i="2"/>
  <c r="NB88" i="2"/>
  <c r="NC88" i="2"/>
  <c r="ND88" i="2"/>
  <c r="NE88" i="2"/>
  <c r="NF88" i="2"/>
  <c r="NG88" i="2"/>
  <c r="NH88" i="2"/>
  <c r="NI88" i="2"/>
  <c r="NJ88" i="2"/>
  <c r="NK88" i="2"/>
  <c r="NL88" i="2"/>
  <c r="NM88" i="2"/>
  <c r="NN88" i="2"/>
  <c r="NO88" i="2"/>
  <c r="NP88" i="2"/>
  <c r="NQ88" i="2"/>
  <c r="NR88" i="2"/>
  <c r="NS88" i="2"/>
  <c r="NT88" i="2"/>
  <c r="NU88" i="2"/>
  <c r="NV88" i="2"/>
  <c r="NW88" i="2"/>
  <c r="NX88" i="2"/>
  <c r="NY88" i="2"/>
  <c r="NZ88" i="2"/>
  <c r="OA88" i="2"/>
  <c r="OB88" i="2"/>
  <c r="OC88" i="2"/>
  <c r="OD88" i="2"/>
  <c r="OE88" i="2"/>
  <c r="OF88" i="2"/>
  <c r="OG88" i="2"/>
  <c r="OH88" i="2"/>
  <c r="OI88" i="2"/>
  <c r="OJ88" i="2"/>
  <c r="OK88" i="2"/>
  <c r="OL88" i="2"/>
  <c r="OM88" i="2"/>
  <c r="ON88" i="2"/>
  <c r="OO88" i="2"/>
  <c r="OP88" i="2"/>
  <c r="OQ88" i="2"/>
  <c r="OR88" i="2"/>
  <c r="OS88" i="2"/>
  <c r="OT88" i="2"/>
  <c r="OU88" i="2"/>
  <c r="OW88" i="2"/>
  <c r="OX88" i="2"/>
  <c r="OY88" i="2"/>
  <c r="OZ88" i="2"/>
  <c r="PA88" i="2"/>
  <c r="PB88" i="2"/>
  <c r="PC88" i="2"/>
  <c r="PD88" i="2"/>
  <c r="PE88" i="2"/>
  <c r="PF88" i="2"/>
  <c r="PG88" i="2"/>
  <c r="PH88" i="2"/>
  <c r="PI88" i="2"/>
  <c r="PJ88" i="2"/>
  <c r="PK88" i="2"/>
  <c r="PL88" i="2"/>
  <c r="IA89" i="2"/>
  <c r="IC89" i="2"/>
  <c r="IE89" i="2"/>
  <c r="IG89" i="2"/>
  <c r="II89" i="2"/>
  <c r="IJ89" i="2"/>
  <c r="IK89" i="2"/>
  <c r="IL89" i="2"/>
  <c r="IM89" i="2"/>
  <c r="IN89" i="2"/>
  <c r="IO89" i="2"/>
  <c r="IP89" i="2"/>
  <c r="IQ89" i="2"/>
  <c r="IR89" i="2"/>
  <c r="IS89" i="2"/>
  <c r="IT89" i="2"/>
  <c r="IU89" i="2"/>
  <c r="IV89" i="2"/>
  <c r="IW89" i="2"/>
  <c r="JD89" i="2"/>
  <c r="JE89" i="2"/>
  <c r="JG89" i="2"/>
  <c r="JH89" i="2"/>
  <c r="JK89" i="2"/>
  <c r="JL89" i="2"/>
  <c r="JM89" i="2"/>
  <c r="JN89" i="2"/>
  <c r="JO89" i="2"/>
  <c r="JP89" i="2"/>
  <c r="JR89" i="2"/>
  <c r="JS89" i="2"/>
  <c r="JT89" i="2"/>
  <c r="JU89" i="2"/>
  <c r="JV89" i="2"/>
  <c r="JW89" i="2"/>
  <c r="JX89" i="2"/>
  <c r="JY89" i="2"/>
  <c r="JZ89" i="2"/>
  <c r="KA89" i="2"/>
  <c r="KB89" i="2"/>
  <c r="KC89" i="2"/>
  <c r="KD89" i="2"/>
  <c r="KE89" i="2"/>
  <c r="KF89" i="2"/>
  <c r="KG89" i="2"/>
  <c r="KH89" i="2"/>
  <c r="KN89" i="2" s="1"/>
  <c r="KI89" i="2"/>
  <c r="KJ89" i="2"/>
  <c r="KK89" i="2"/>
  <c r="KL89" i="2"/>
  <c r="KM89" i="2"/>
  <c r="KO89" i="2"/>
  <c r="KP89" i="2"/>
  <c r="KQ89" i="2"/>
  <c r="KR89" i="2"/>
  <c r="KS89" i="2"/>
  <c r="KT89" i="2"/>
  <c r="KU89" i="2"/>
  <c r="KY89" i="2"/>
  <c r="LA89" i="2"/>
  <c r="LC89" i="2"/>
  <c r="LE89" i="2"/>
  <c r="LG89" i="2"/>
  <c r="LH89" i="2"/>
  <c r="LI89" i="2"/>
  <c r="LJ89" i="2"/>
  <c r="LL89" i="2"/>
  <c r="LN89" i="2"/>
  <c r="LO89" i="2"/>
  <c r="LP89" i="2"/>
  <c r="LQ89" i="2"/>
  <c r="LR89" i="2"/>
  <c r="LS89" i="2"/>
  <c r="LT89" i="2"/>
  <c r="LU89" i="2"/>
  <c r="LV89" i="2"/>
  <c r="LW89" i="2"/>
  <c r="LX89" i="2"/>
  <c r="LY89" i="2"/>
  <c r="LZ89" i="2"/>
  <c r="MA89" i="2"/>
  <c r="MB89" i="2"/>
  <c r="MC89" i="2"/>
  <c r="MD89" i="2"/>
  <c r="ME89" i="2"/>
  <c r="MF89" i="2"/>
  <c r="MG89" i="2"/>
  <c r="MH89" i="2"/>
  <c r="MI89" i="2"/>
  <c r="MJ89" i="2"/>
  <c r="MK89" i="2"/>
  <c r="ML89" i="2"/>
  <c r="MM89" i="2"/>
  <c r="MN89" i="2"/>
  <c r="MO89" i="2"/>
  <c r="MP89" i="2"/>
  <c r="MQ89" i="2"/>
  <c r="MR89" i="2"/>
  <c r="MS89" i="2"/>
  <c r="MT89" i="2"/>
  <c r="MU89" i="2"/>
  <c r="MV89" i="2"/>
  <c r="MW89" i="2"/>
  <c r="MX89" i="2"/>
  <c r="MY89" i="2"/>
  <c r="MZ89" i="2"/>
  <c r="NA89" i="2"/>
  <c r="NB89" i="2"/>
  <c r="NC89" i="2"/>
  <c r="ND89" i="2"/>
  <c r="NE89" i="2"/>
  <c r="NF89" i="2"/>
  <c r="NG89" i="2"/>
  <c r="NH89" i="2"/>
  <c r="NI89" i="2"/>
  <c r="NJ89" i="2"/>
  <c r="NK89" i="2"/>
  <c r="NL89" i="2"/>
  <c r="NM89" i="2"/>
  <c r="NN89" i="2"/>
  <c r="NO89" i="2"/>
  <c r="NP89" i="2"/>
  <c r="NQ89" i="2"/>
  <c r="NR89" i="2"/>
  <c r="NS89" i="2"/>
  <c r="NT89" i="2"/>
  <c r="NU89" i="2"/>
  <c r="NV89" i="2"/>
  <c r="NW89" i="2"/>
  <c r="NX89" i="2"/>
  <c r="NY89" i="2"/>
  <c r="NZ89" i="2"/>
  <c r="OA89" i="2"/>
  <c r="OB89" i="2"/>
  <c r="OC89" i="2"/>
  <c r="OD89" i="2"/>
  <c r="OE89" i="2"/>
  <c r="OF89" i="2"/>
  <c r="OG89" i="2"/>
  <c r="OH89" i="2"/>
  <c r="OI89" i="2"/>
  <c r="OJ89" i="2"/>
  <c r="OK89" i="2"/>
  <c r="OL89" i="2"/>
  <c r="OM89" i="2"/>
  <c r="ON89" i="2"/>
  <c r="OO89" i="2"/>
  <c r="OP89" i="2"/>
  <c r="OQ89" i="2"/>
  <c r="OR89" i="2"/>
  <c r="OS89" i="2"/>
  <c r="OT89" i="2"/>
  <c r="OU89" i="2"/>
  <c r="OV89" i="2"/>
  <c r="OW89" i="2"/>
  <c r="OX89" i="2"/>
  <c r="OY89" i="2"/>
  <c r="OZ89" i="2"/>
  <c r="PA89" i="2"/>
  <c r="PB89" i="2"/>
  <c r="PC89" i="2"/>
  <c r="PD89" i="2"/>
  <c r="PE89" i="2"/>
  <c r="PF89" i="2"/>
  <c r="PG89" i="2"/>
  <c r="PH89" i="2"/>
  <c r="PI89" i="2"/>
  <c r="PJ89" i="2"/>
  <c r="PK89" i="2"/>
  <c r="PL89" i="2"/>
  <c r="IA90" i="2"/>
  <c r="IC90" i="2"/>
  <c r="IE90" i="2"/>
  <c r="IG90" i="2"/>
  <c r="II90" i="2"/>
  <c r="IJ90" i="2"/>
  <c r="IK90" i="2"/>
  <c r="IL90" i="2"/>
  <c r="IM90" i="2"/>
  <c r="IN90" i="2"/>
  <c r="IO90" i="2"/>
  <c r="IP90" i="2"/>
  <c r="IQ90" i="2"/>
  <c r="IR90" i="2"/>
  <c r="IS90" i="2"/>
  <c r="IT90" i="2"/>
  <c r="IU90" i="2"/>
  <c r="IV90" i="2"/>
  <c r="IW90" i="2"/>
  <c r="JD90" i="2"/>
  <c r="JE90" i="2"/>
  <c r="JG90" i="2"/>
  <c r="JH90" i="2"/>
  <c r="JK90" i="2"/>
  <c r="JL90" i="2"/>
  <c r="JM90" i="2"/>
  <c r="JN90" i="2"/>
  <c r="JO90" i="2"/>
  <c r="JP90" i="2"/>
  <c r="JR90" i="2"/>
  <c r="JS90" i="2"/>
  <c r="JT90" i="2"/>
  <c r="JU90" i="2"/>
  <c r="JV90" i="2"/>
  <c r="JW90" i="2"/>
  <c r="JX90" i="2"/>
  <c r="JY90" i="2"/>
  <c r="JZ90" i="2"/>
  <c r="KA90" i="2"/>
  <c r="KB90" i="2"/>
  <c r="KC90" i="2"/>
  <c r="KD90" i="2"/>
  <c r="KE90" i="2"/>
  <c r="KF90" i="2"/>
  <c r="KG90" i="2"/>
  <c r="KH90" i="2"/>
  <c r="KN90" i="2" s="1"/>
  <c r="KI90" i="2"/>
  <c r="KJ90" i="2"/>
  <c r="KK90" i="2"/>
  <c r="KL90" i="2"/>
  <c r="KM90" i="2"/>
  <c r="KO90" i="2"/>
  <c r="KP90" i="2"/>
  <c r="KQ90" i="2"/>
  <c r="KR90" i="2"/>
  <c r="KS90" i="2"/>
  <c r="KT90" i="2"/>
  <c r="KU90" i="2"/>
  <c r="KY90" i="2"/>
  <c r="LA90" i="2"/>
  <c r="LC90" i="2"/>
  <c r="LE90" i="2"/>
  <c r="LG90" i="2"/>
  <c r="LH90" i="2"/>
  <c r="LI90" i="2"/>
  <c r="LJ90" i="2"/>
  <c r="LL90" i="2"/>
  <c r="LN90" i="2"/>
  <c r="LO90" i="2"/>
  <c r="LP90" i="2"/>
  <c r="LQ90" i="2"/>
  <c r="LR90" i="2"/>
  <c r="LS90" i="2"/>
  <c r="LT90" i="2"/>
  <c r="LU90" i="2"/>
  <c r="LV90" i="2"/>
  <c r="LW90" i="2"/>
  <c r="LX90" i="2"/>
  <c r="LY90" i="2"/>
  <c r="LZ90" i="2"/>
  <c r="MA90" i="2"/>
  <c r="MB90" i="2"/>
  <c r="MC90" i="2"/>
  <c r="MD90" i="2"/>
  <c r="ME90" i="2"/>
  <c r="MF90" i="2"/>
  <c r="MG90" i="2"/>
  <c r="MH90" i="2"/>
  <c r="MI90" i="2"/>
  <c r="MJ90" i="2"/>
  <c r="MK90" i="2"/>
  <c r="ML90" i="2"/>
  <c r="MM90" i="2"/>
  <c r="MN90" i="2"/>
  <c r="MO90" i="2"/>
  <c r="MP90" i="2"/>
  <c r="MQ90" i="2"/>
  <c r="MR90" i="2"/>
  <c r="MS90" i="2"/>
  <c r="MT90" i="2"/>
  <c r="MU90" i="2"/>
  <c r="MV90" i="2"/>
  <c r="MW90" i="2"/>
  <c r="MX90" i="2"/>
  <c r="MY90" i="2"/>
  <c r="MZ90" i="2"/>
  <c r="NA90" i="2"/>
  <c r="NB90" i="2"/>
  <c r="NC90" i="2"/>
  <c r="ND90" i="2"/>
  <c r="NE90" i="2"/>
  <c r="NF90" i="2"/>
  <c r="NG90" i="2"/>
  <c r="NH90" i="2"/>
  <c r="NI90" i="2"/>
  <c r="NJ90" i="2"/>
  <c r="NK90" i="2"/>
  <c r="NL90" i="2"/>
  <c r="NM90" i="2"/>
  <c r="NN90" i="2"/>
  <c r="NO90" i="2"/>
  <c r="NP90" i="2"/>
  <c r="NQ90" i="2"/>
  <c r="NR90" i="2"/>
  <c r="NS90" i="2"/>
  <c r="NT90" i="2"/>
  <c r="NU90" i="2"/>
  <c r="NV90" i="2"/>
  <c r="NW90" i="2"/>
  <c r="NX90" i="2"/>
  <c r="NY90" i="2"/>
  <c r="NZ90" i="2"/>
  <c r="OA90" i="2"/>
  <c r="OB90" i="2"/>
  <c r="OC90" i="2"/>
  <c r="OD90" i="2"/>
  <c r="OE90" i="2"/>
  <c r="OF90" i="2"/>
  <c r="OG90" i="2"/>
  <c r="OH90" i="2"/>
  <c r="OI90" i="2"/>
  <c r="OJ90" i="2"/>
  <c r="OK90" i="2"/>
  <c r="OL90" i="2"/>
  <c r="OM90" i="2"/>
  <c r="ON90" i="2"/>
  <c r="OO90" i="2"/>
  <c r="OP90" i="2"/>
  <c r="OQ90" i="2"/>
  <c r="OR90" i="2"/>
  <c r="OS90" i="2"/>
  <c r="OT90" i="2"/>
  <c r="OU90" i="2"/>
  <c r="OV90" i="2"/>
  <c r="OW90" i="2"/>
  <c r="OX90" i="2"/>
  <c r="OY90" i="2"/>
  <c r="OZ90" i="2"/>
  <c r="PA90" i="2"/>
  <c r="PB90" i="2"/>
  <c r="PC90" i="2"/>
  <c r="PD90" i="2"/>
  <c r="PE90" i="2"/>
  <c r="PF90" i="2"/>
  <c r="PG90" i="2"/>
  <c r="PH90" i="2"/>
  <c r="PI90" i="2"/>
  <c r="PJ90" i="2"/>
  <c r="PK90" i="2"/>
  <c r="PL90" i="2"/>
  <c r="IA91" i="2"/>
  <c r="IC91" i="2"/>
  <c r="IE91" i="2"/>
  <c r="IG91" i="2"/>
  <c r="II91" i="2"/>
  <c r="IJ91" i="2"/>
  <c r="IK91" i="2"/>
  <c r="IL91" i="2"/>
  <c r="IM91" i="2"/>
  <c r="IN91" i="2"/>
  <c r="IO91" i="2"/>
  <c r="IP91" i="2"/>
  <c r="IQ91" i="2"/>
  <c r="IR91" i="2"/>
  <c r="IS91" i="2"/>
  <c r="IT91" i="2"/>
  <c r="IU91" i="2"/>
  <c r="IV91" i="2"/>
  <c r="IW91" i="2"/>
  <c r="JD91" i="2"/>
  <c r="JE91" i="2"/>
  <c r="JG91" i="2"/>
  <c r="JH91" i="2"/>
  <c r="JK91" i="2"/>
  <c r="JL91" i="2"/>
  <c r="JM91" i="2"/>
  <c r="JN91" i="2"/>
  <c r="JO91" i="2"/>
  <c r="JP91" i="2"/>
  <c r="JR91" i="2"/>
  <c r="JS91" i="2"/>
  <c r="JT91" i="2"/>
  <c r="JU91" i="2"/>
  <c r="JV91" i="2"/>
  <c r="JW91" i="2"/>
  <c r="JX91" i="2"/>
  <c r="KN91" i="2" s="1"/>
  <c r="JY91" i="2"/>
  <c r="JZ91" i="2"/>
  <c r="KA91" i="2"/>
  <c r="KB91" i="2"/>
  <c r="KC91" i="2"/>
  <c r="KD91" i="2"/>
  <c r="KE91" i="2"/>
  <c r="KF91" i="2"/>
  <c r="KG91" i="2"/>
  <c r="KH91" i="2"/>
  <c r="KI91" i="2"/>
  <c r="KJ91" i="2"/>
  <c r="KK91" i="2"/>
  <c r="KM91" i="2"/>
  <c r="KP91" i="2"/>
  <c r="KQ91" i="2"/>
  <c r="KR91" i="2"/>
  <c r="KS91" i="2"/>
  <c r="KT91" i="2"/>
  <c r="KU91" i="2"/>
  <c r="KY91" i="2"/>
  <c r="LA91" i="2"/>
  <c r="LC91" i="2"/>
  <c r="LE91" i="2"/>
  <c r="LG91" i="2"/>
  <c r="LH91" i="2"/>
  <c r="LI91" i="2"/>
  <c r="LJ91" i="2"/>
  <c r="LL91" i="2"/>
  <c r="LN91" i="2"/>
  <c r="LO91" i="2"/>
  <c r="LP91" i="2"/>
  <c r="LQ91" i="2"/>
  <c r="LR91" i="2"/>
  <c r="LS91" i="2"/>
  <c r="LT91" i="2"/>
  <c r="LU91" i="2"/>
  <c r="LV91" i="2"/>
  <c r="LW91" i="2"/>
  <c r="LX91" i="2"/>
  <c r="LY91" i="2"/>
  <c r="LZ91" i="2"/>
  <c r="MA91" i="2"/>
  <c r="MB91" i="2"/>
  <c r="MC91" i="2"/>
  <c r="MD91" i="2"/>
  <c r="ME91" i="2"/>
  <c r="MF91" i="2"/>
  <c r="MG91" i="2"/>
  <c r="MH91" i="2"/>
  <c r="MI91" i="2"/>
  <c r="MJ91" i="2"/>
  <c r="MK91" i="2"/>
  <c r="ML91" i="2"/>
  <c r="MM91" i="2"/>
  <c r="MN91" i="2"/>
  <c r="MO91" i="2"/>
  <c r="MP91" i="2"/>
  <c r="MQ91" i="2"/>
  <c r="MR91" i="2"/>
  <c r="MS91" i="2"/>
  <c r="MT91" i="2"/>
  <c r="MU91" i="2"/>
  <c r="MV91" i="2"/>
  <c r="MW91" i="2"/>
  <c r="MX91" i="2"/>
  <c r="MY91" i="2"/>
  <c r="MZ91" i="2"/>
  <c r="NA91" i="2"/>
  <c r="NB91" i="2"/>
  <c r="NC91" i="2"/>
  <c r="ND91" i="2"/>
  <c r="NE91" i="2"/>
  <c r="NF91" i="2"/>
  <c r="NG91" i="2"/>
  <c r="NH91" i="2"/>
  <c r="NI91" i="2"/>
  <c r="NJ91" i="2"/>
  <c r="NK91" i="2"/>
  <c r="NL91" i="2"/>
  <c r="NM91" i="2"/>
  <c r="NN91" i="2"/>
  <c r="NO91" i="2"/>
  <c r="NP91" i="2"/>
  <c r="NQ91" i="2"/>
  <c r="NR91" i="2"/>
  <c r="NS91" i="2"/>
  <c r="NT91" i="2"/>
  <c r="NU91" i="2"/>
  <c r="NV91" i="2"/>
  <c r="NW91" i="2"/>
  <c r="NX91" i="2"/>
  <c r="NY91" i="2"/>
  <c r="NZ91" i="2"/>
  <c r="OA91" i="2"/>
  <c r="OB91" i="2"/>
  <c r="OC91" i="2"/>
  <c r="OD91" i="2"/>
  <c r="OE91" i="2"/>
  <c r="OF91" i="2"/>
  <c r="OG91" i="2"/>
  <c r="OH91" i="2"/>
  <c r="OI91" i="2"/>
  <c r="OJ91" i="2"/>
  <c r="OK91" i="2"/>
  <c r="OL91" i="2"/>
  <c r="OM91" i="2"/>
  <c r="ON91" i="2"/>
  <c r="OO91" i="2"/>
  <c r="OP91" i="2"/>
  <c r="OQ91" i="2"/>
  <c r="OR91" i="2"/>
  <c r="OS91" i="2"/>
  <c r="OT91" i="2"/>
  <c r="OU91" i="2"/>
  <c r="OW91" i="2"/>
  <c r="OX91" i="2"/>
  <c r="OY91" i="2"/>
  <c r="OZ91" i="2"/>
  <c r="PA91" i="2"/>
  <c r="PB91" i="2"/>
  <c r="PC91" i="2"/>
  <c r="PD91" i="2"/>
  <c r="PE91" i="2"/>
  <c r="PF91" i="2"/>
  <c r="PG91" i="2"/>
  <c r="PH91" i="2"/>
  <c r="PI91" i="2"/>
  <c r="PJ91" i="2"/>
  <c r="PK91" i="2"/>
  <c r="PL91" i="2"/>
  <c r="IA92" i="2"/>
  <c r="IC92" i="2"/>
  <c r="IE92" i="2"/>
  <c r="IG92" i="2"/>
  <c r="II92" i="2"/>
  <c r="IJ92" i="2"/>
  <c r="IK92" i="2"/>
  <c r="IL92" i="2"/>
  <c r="IM92" i="2"/>
  <c r="IN92" i="2"/>
  <c r="IO92" i="2"/>
  <c r="IP92" i="2"/>
  <c r="IQ92" i="2"/>
  <c r="IR92" i="2"/>
  <c r="IS92" i="2"/>
  <c r="IT92" i="2"/>
  <c r="IU92" i="2"/>
  <c r="IV92" i="2"/>
  <c r="IW92" i="2"/>
  <c r="JD92" i="2"/>
  <c r="JE92" i="2"/>
  <c r="JG92" i="2"/>
  <c r="JH92" i="2"/>
  <c r="JK92" i="2"/>
  <c r="JL92" i="2"/>
  <c r="JM92" i="2"/>
  <c r="JN92" i="2"/>
  <c r="JO92" i="2"/>
  <c r="JP92" i="2"/>
  <c r="JR92" i="2"/>
  <c r="JS92" i="2"/>
  <c r="JT92" i="2"/>
  <c r="JU92" i="2"/>
  <c r="JV92" i="2"/>
  <c r="JW92" i="2"/>
  <c r="JX92" i="2"/>
  <c r="JY92" i="2"/>
  <c r="JZ92" i="2"/>
  <c r="KA92" i="2"/>
  <c r="KB92" i="2"/>
  <c r="KC92" i="2"/>
  <c r="KD92" i="2"/>
  <c r="KE92" i="2"/>
  <c r="KF92" i="2"/>
  <c r="KG92" i="2"/>
  <c r="KH92" i="2"/>
  <c r="KN92" i="2" s="1"/>
  <c r="KI92" i="2"/>
  <c r="KJ92" i="2"/>
  <c r="KK92" i="2"/>
  <c r="KL92" i="2"/>
  <c r="KM92" i="2"/>
  <c r="KO92" i="2"/>
  <c r="KP92" i="2"/>
  <c r="KQ92" i="2"/>
  <c r="KR92" i="2"/>
  <c r="KS92" i="2"/>
  <c r="KT92" i="2"/>
  <c r="KU92" i="2"/>
  <c r="KY92" i="2"/>
  <c r="LA92" i="2"/>
  <c r="LC92" i="2"/>
  <c r="LE92" i="2"/>
  <c r="LG92" i="2"/>
  <c r="LH92" i="2"/>
  <c r="LI92" i="2"/>
  <c r="LJ92" i="2"/>
  <c r="LL92" i="2"/>
  <c r="LN92" i="2"/>
  <c r="LO92" i="2"/>
  <c r="LP92" i="2"/>
  <c r="LQ92" i="2"/>
  <c r="LR92" i="2"/>
  <c r="LS92" i="2"/>
  <c r="LT92" i="2"/>
  <c r="LU92" i="2"/>
  <c r="LV92" i="2"/>
  <c r="LW92" i="2"/>
  <c r="LX92" i="2"/>
  <c r="LY92" i="2"/>
  <c r="LZ92" i="2"/>
  <c r="MA92" i="2"/>
  <c r="MB92" i="2"/>
  <c r="MC92" i="2"/>
  <c r="MD92" i="2"/>
  <c r="ME92" i="2"/>
  <c r="MF92" i="2"/>
  <c r="MG92" i="2"/>
  <c r="MH92" i="2"/>
  <c r="MI92" i="2"/>
  <c r="MJ92" i="2"/>
  <c r="MK92" i="2"/>
  <c r="ML92" i="2"/>
  <c r="MM92" i="2"/>
  <c r="MN92" i="2"/>
  <c r="MO92" i="2"/>
  <c r="MP92" i="2"/>
  <c r="MQ92" i="2"/>
  <c r="MR92" i="2"/>
  <c r="MS92" i="2"/>
  <c r="MT92" i="2"/>
  <c r="MU92" i="2"/>
  <c r="MV92" i="2"/>
  <c r="MW92" i="2"/>
  <c r="MX92" i="2"/>
  <c r="MY92" i="2"/>
  <c r="MZ92" i="2"/>
  <c r="NA92" i="2"/>
  <c r="NB92" i="2"/>
  <c r="NC92" i="2"/>
  <c r="ND92" i="2"/>
  <c r="NE92" i="2"/>
  <c r="NF92" i="2"/>
  <c r="NG92" i="2"/>
  <c r="NH92" i="2"/>
  <c r="NI92" i="2"/>
  <c r="NJ92" i="2"/>
  <c r="NK92" i="2"/>
  <c r="NL92" i="2"/>
  <c r="NM92" i="2"/>
  <c r="NN92" i="2"/>
  <c r="NO92" i="2"/>
  <c r="NP92" i="2"/>
  <c r="NQ92" i="2"/>
  <c r="NR92" i="2"/>
  <c r="NS92" i="2"/>
  <c r="NT92" i="2"/>
  <c r="NU92" i="2"/>
  <c r="NV92" i="2"/>
  <c r="NW92" i="2"/>
  <c r="NX92" i="2"/>
  <c r="NY92" i="2"/>
  <c r="NZ92" i="2"/>
  <c r="OA92" i="2"/>
  <c r="OB92" i="2"/>
  <c r="OC92" i="2"/>
  <c r="OD92" i="2"/>
  <c r="OE92" i="2"/>
  <c r="OF92" i="2"/>
  <c r="OG92" i="2"/>
  <c r="OH92" i="2"/>
  <c r="OI92" i="2"/>
  <c r="OJ92" i="2"/>
  <c r="OK92" i="2"/>
  <c r="OL92" i="2"/>
  <c r="OM92" i="2"/>
  <c r="ON92" i="2"/>
  <c r="OO92" i="2"/>
  <c r="OP92" i="2"/>
  <c r="OQ92" i="2"/>
  <c r="OR92" i="2"/>
  <c r="OS92" i="2"/>
  <c r="OT92" i="2"/>
  <c r="OU92" i="2"/>
  <c r="OV92" i="2"/>
  <c r="OW92" i="2"/>
  <c r="OX92" i="2"/>
  <c r="OY92" i="2"/>
  <c r="OZ92" i="2"/>
  <c r="PA92" i="2"/>
  <c r="PB92" i="2"/>
  <c r="PC92" i="2"/>
  <c r="PD92" i="2"/>
  <c r="PE92" i="2"/>
  <c r="PF92" i="2"/>
  <c r="PG92" i="2"/>
  <c r="PH92" i="2"/>
  <c r="PI92" i="2"/>
  <c r="PJ92" i="2"/>
  <c r="PK92" i="2"/>
  <c r="PL92" i="2"/>
  <c r="IA93" i="2"/>
  <c r="IC93" i="2"/>
  <c r="IE93" i="2"/>
  <c r="IG93" i="2"/>
  <c r="II93" i="2"/>
  <c r="IJ93" i="2"/>
  <c r="IK93" i="2"/>
  <c r="IL93" i="2"/>
  <c r="IM93" i="2"/>
  <c r="IN93" i="2"/>
  <c r="IO93" i="2"/>
  <c r="IP93" i="2"/>
  <c r="IQ93" i="2"/>
  <c r="IR93" i="2"/>
  <c r="IS93" i="2"/>
  <c r="IT93" i="2"/>
  <c r="IU93" i="2"/>
  <c r="IV93" i="2"/>
  <c r="IW93" i="2"/>
  <c r="JD93" i="2"/>
  <c r="JE93" i="2"/>
  <c r="JG93" i="2"/>
  <c r="JH93" i="2"/>
  <c r="JK93" i="2"/>
  <c r="JL93" i="2"/>
  <c r="JM93" i="2"/>
  <c r="JN93" i="2"/>
  <c r="JO93" i="2"/>
  <c r="JP93" i="2"/>
  <c r="JR93" i="2"/>
  <c r="JS93" i="2"/>
  <c r="JT93" i="2"/>
  <c r="JU93" i="2"/>
  <c r="JV93" i="2"/>
  <c r="JW93" i="2"/>
  <c r="JX93" i="2"/>
  <c r="JY93" i="2"/>
  <c r="JZ93" i="2"/>
  <c r="KA93" i="2"/>
  <c r="KB93" i="2"/>
  <c r="KC93" i="2"/>
  <c r="KD93" i="2"/>
  <c r="KE93" i="2"/>
  <c r="KF93" i="2"/>
  <c r="KG93" i="2"/>
  <c r="KH93" i="2"/>
  <c r="KN93" i="2" s="1"/>
  <c r="KI93" i="2"/>
  <c r="KJ93" i="2"/>
  <c r="KK93" i="2"/>
  <c r="KL93" i="2"/>
  <c r="KM93" i="2"/>
  <c r="KO93" i="2"/>
  <c r="KP93" i="2"/>
  <c r="KQ93" i="2"/>
  <c r="KR93" i="2"/>
  <c r="KS93" i="2"/>
  <c r="KT93" i="2"/>
  <c r="KU93" i="2"/>
  <c r="KY93" i="2"/>
  <c r="LA93" i="2"/>
  <c r="LC93" i="2"/>
  <c r="LE93" i="2"/>
  <c r="LG93" i="2"/>
  <c r="LH93" i="2"/>
  <c r="LI93" i="2"/>
  <c r="LJ93" i="2"/>
  <c r="LL93" i="2"/>
  <c r="LN93" i="2"/>
  <c r="LO93" i="2"/>
  <c r="LP93" i="2"/>
  <c r="LQ93" i="2"/>
  <c r="LR93" i="2"/>
  <c r="LS93" i="2"/>
  <c r="LT93" i="2"/>
  <c r="LU93" i="2"/>
  <c r="LV93" i="2"/>
  <c r="LW93" i="2"/>
  <c r="LX93" i="2"/>
  <c r="LY93" i="2"/>
  <c r="LZ93" i="2"/>
  <c r="MA93" i="2"/>
  <c r="MB93" i="2"/>
  <c r="MC93" i="2"/>
  <c r="MD93" i="2"/>
  <c r="ME93" i="2"/>
  <c r="MF93" i="2"/>
  <c r="MG93" i="2"/>
  <c r="MH93" i="2"/>
  <c r="MI93" i="2"/>
  <c r="MJ93" i="2"/>
  <c r="MK93" i="2"/>
  <c r="ML93" i="2"/>
  <c r="MM93" i="2"/>
  <c r="MN93" i="2"/>
  <c r="MO93" i="2"/>
  <c r="MP93" i="2"/>
  <c r="MQ93" i="2"/>
  <c r="MR93" i="2"/>
  <c r="MS93" i="2"/>
  <c r="MT93" i="2"/>
  <c r="MU93" i="2"/>
  <c r="MV93" i="2"/>
  <c r="MW93" i="2"/>
  <c r="MX93" i="2"/>
  <c r="MY93" i="2"/>
  <c r="MZ93" i="2"/>
  <c r="NA93" i="2"/>
  <c r="NB93" i="2"/>
  <c r="NC93" i="2"/>
  <c r="ND93" i="2"/>
  <c r="NE93" i="2"/>
  <c r="NF93" i="2"/>
  <c r="NG93" i="2"/>
  <c r="NH93" i="2"/>
  <c r="NI93" i="2"/>
  <c r="NJ93" i="2"/>
  <c r="NK93" i="2"/>
  <c r="NL93" i="2"/>
  <c r="NM93" i="2"/>
  <c r="NN93" i="2"/>
  <c r="NO93" i="2"/>
  <c r="NP93" i="2"/>
  <c r="NQ93" i="2"/>
  <c r="NR93" i="2"/>
  <c r="NS93" i="2"/>
  <c r="NT93" i="2"/>
  <c r="NU93" i="2"/>
  <c r="NV93" i="2"/>
  <c r="NW93" i="2"/>
  <c r="NX93" i="2"/>
  <c r="NY93" i="2"/>
  <c r="NZ93" i="2"/>
  <c r="OA93" i="2"/>
  <c r="OB93" i="2"/>
  <c r="OC93" i="2"/>
  <c r="OD93" i="2"/>
  <c r="OE93" i="2"/>
  <c r="OF93" i="2"/>
  <c r="OG93" i="2"/>
  <c r="OH93" i="2"/>
  <c r="OI93" i="2"/>
  <c r="OJ93" i="2"/>
  <c r="OK93" i="2"/>
  <c r="OL93" i="2"/>
  <c r="OM93" i="2"/>
  <c r="ON93" i="2"/>
  <c r="OO93" i="2"/>
  <c r="OP93" i="2"/>
  <c r="OQ93" i="2"/>
  <c r="OR93" i="2"/>
  <c r="OS93" i="2"/>
  <c r="OT93" i="2"/>
  <c r="OU93" i="2"/>
  <c r="OV93" i="2"/>
  <c r="OW93" i="2"/>
  <c r="OX93" i="2"/>
  <c r="OY93" i="2"/>
  <c r="OZ93" i="2"/>
  <c r="PA93" i="2"/>
  <c r="PB93" i="2"/>
  <c r="PC93" i="2"/>
  <c r="PD93" i="2"/>
  <c r="PE93" i="2"/>
  <c r="PF93" i="2"/>
  <c r="PG93" i="2"/>
  <c r="PH93" i="2"/>
  <c r="PI93" i="2"/>
  <c r="PJ93" i="2"/>
  <c r="PK93" i="2"/>
  <c r="PL93" i="2"/>
  <c r="IA94" i="2"/>
  <c r="IC94" i="2"/>
  <c r="IE94" i="2"/>
  <c r="IG94" i="2"/>
  <c r="II94" i="2"/>
  <c r="IJ94" i="2"/>
  <c r="IK94" i="2"/>
  <c r="IL94" i="2"/>
  <c r="IM94" i="2"/>
  <c r="IN94" i="2"/>
  <c r="IO94" i="2"/>
  <c r="IP94" i="2"/>
  <c r="IQ94" i="2"/>
  <c r="IR94" i="2"/>
  <c r="IS94" i="2"/>
  <c r="IT94" i="2"/>
  <c r="IU94" i="2"/>
  <c r="IV94" i="2"/>
  <c r="IW94" i="2"/>
  <c r="JD94" i="2"/>
  <c r="JE94" i="2"/>
  <c r="JG94" i="2"/>
  <c r="JH94" i="2"/>
  <c r="JK94" i="2"/>
  <c r="JL94" i="2"/>
  <c r="JM94" i="2"/>
  <c r="JN94" i="2"/>
  <c r="JO94" i="2"/>
  <c r="JP94" i="2"/>
  <c r="JR94" i="2"/>
  <c r="JS94" i="2"/>
  <c r="JT94" i="2"/>
  <c r="JU94" i="2"/>
  <c r="JV94" i="2"/>
  <c r="JW94" i="2"/>
  <c r="JX94" i="2"/>
  <c r="JY94" i="2"/>
  <c r="JZ94" i="2"/>
  <c r="KA94" i="2"/>
  <c r="KB94" i="2"/>
  <c r="KC94" i="2"/>
  <c r="KD94" i="2"/>
  <c r="KE94" i="2"/>
  <c r="KF94" i="2"/>
  <c r="KG94" i="2"/>
  <c r="KH94" i="2"/>
  <c r="KN94" i="2" s="1"/>
  <c r="KI94" i="2"/>
  <c r="KJ94" i="2"/>
  <c r="KK94" i="2"/>
  <c r="KL94" i="2"/>
  <c r="KM94" i="2"/>
  <c r="KO94" i="2"/>
  <c r="KP94" i="2"/>
  <c r="KQ94" i="2"/>
  <c r="KR94" i="2"/>
  <c r="KS94" i="2"/>
  <c r="KT94" i="2"/>
  <c r="KU94" i="2"/>
  <c r="KY94" i="2"/>
  <c r="LA94" i="2"/>
  <c r="LC94" i="2"/>
  <c r="LE94" i="2"/>
  <c r="LG94" i="2"/>
  <c r="LH94" i="2"/>
  <c r="LI94" i="2"/>
  <c r="LJ94" i="2"/>
  <c r="LL94" i="2"/>
  <c r="LN94" i="2"/>
  <c r="LO94" i="2"/>
  <c r="LP94" i="2"/>
  <c r="LQ94" i="2"/>
  <c r="LR94" i="2"/>
  <c r="LS94" i="2"/>
  <c r="LT94" i="2"/>
  <c r="LU94" i="2"/>
  <c r="LV94" i="2"/>
  <c r="LW94" i="2"/>
  <c r="LX94" i="2"/>
  <c r="LY94" i="2"/>
  <c r="LZ94" i="2"/>
  <c r="MA94" i="2"/>
  <c r="MB94" i="2"/>
  <c r="MC94" i="2"/>
  <c r="MD94" i="2"/>
  <c r="ME94" i="2"/>
  <c r="MF94" i="2"/>
  <c r="MG94" i="2"/>
  <c r="MH94" i="2"/>
  <c r="MI94" i="2"/>
  <c r="MJ94" i="2"/>
  <c r="MK94" i="2"/>
  <c r="ML94" i="2"/>
  <c r="MM94" i="2"/>
  <c r="MN94" i="2"/>
  <c r="MO94" i="2"/>
  <c r="MP94" i="2"/>
  <c r="MQ94" i="2"/>
  <c r="MR94" i="2"/>
  <c r="MS94" i="2"/>
  <c r="MT94" i="2"/>
  <c r="MU94" i="2"/>
  <c r="MV94" i="2"/>
  <c r="MW94" i="2"/>
  <c r="MX94" i="2"/>
  <c r="MY94" i="2"/>
  <c r="MZ94" i="2"/>
  <c r="NA94" i="2"/>
  <c r="NB94" i="2"/>
  <c r="NC94" i="2"/>
  <c r="ND94" i="2"/>
  <c r="NE94" i="2"/>
  <c r="NF94" i="2"/>
  <c r="NG94" i="2"/>
  <c r="NH94" i="2"/>
  <c r="NI94" i="2"/>
  <c r="NJ94" i="2"/>
  <c r="NK94" i="2"/>
  <c r="NL94" i="2"/>
  <c r="NM94" i="2"/>
  <c r="NN94" i="2"/>
  <c r="NO94" i="2"/>
  <c r="NP94" i="2"/>
  <c r="NQ94" i="2"/>
  <c r="NR94" i="2"/>
  <c r="NS94" i="2"/>
  <c r="NT94" i="2"/>
  <c r="NU94" i="2"/>
  <c r="NV94" i="2"/>
  <c r="NW94" i="2"/>
  <c r="NX94" i="2"/>
  <c r="NY94" i="2"/>
  <c r="NZ94" i="2"/>
  <c r="OA94" i="2"/>
  <c r="OB94" i="2"/>
  <c r="OC94" i="2"/>
  <c r="OD94" i="2"/>
  <c r="OE94" i="2"/>
  <c r="OF94" i="2"/>
  <c r="OG94" i="2"/>
  <c r="OH94" i="2"/>
  <c r="OI94" i="2"/>
  <c r="OJ94" i="2"/>
  <c r="OK94" i="2"/>
  <c r="OL94" i="2"/>
  <c r="OM94" i="2"/>
  <c r="ON94" i="2"/>
  <c r="OO94" i="2"/>
  <c r="OP94" i="2"/>
  <c r="OQ94" i="2"/>
  <c r="OR94" i="2"/>
  <c r="OS94" i="2"/>
  <c r="OT94" i="2"/>
  <c r="OU94" i="2"/>
  <c r="OV94" i="2"/>
  <c r="OW94" i="2"/>
  <c r="OX94" i="2"/>
  <c r="OY94" i="2"/>
  <c r="OZ94" i="2"/>
  <c r="PA94" i="2"/>
  <c r="PB94" i="2"/>
  <c r="PC94" i="2"/>
  <c r="PD94" i="2"/>
  <c r="PE94" i="2"/>
  <c r="PF94" i="2"/>
  <c r="PG94" i="2"/>
  <c r="PH94" i="2"/>
  <c r="PI94" i="2"/>
  <c r="PJ94" i="2"/>
  <c r="PK94" i="2"/>
  <c r="PL94" i="2"/>
  <c r="IA95" i="2"/>
  <c r="IC95" i="2"/>
  <c r="IE95" i="2"/>
  <c r="IG95" i="2"/>
  <c r="II95" i="2"/>
  <c r="IJ95" i="2"/>
  <c r="IK95" i="2"/>
  <c r="IL95" i="2"/>
  <c r="IM95" i="2"/>
  <c r="IN95" i="2"/>
  <c r="IO95" i="2"/>
  <c r="IP95" i="2"/>
  <c r="IQ95" i="2"/>
  <c r="IR95" i="2"/>
  <c r="IS95" i="2"/>
  <c r="IT95" i="2"/>
  <c r="IU95" i="2"/>
  <c r="IV95" i="2"/>
  <c r="IW95" i="2"/>
  <c r="JD95" i="2"/>
  <c r="JE95" i="2"/>
  <c r="JG95" i="2"/>
  <c r="JH95" i="2"/>
  <c r="JK95" i="2"/>
  <c r="JL95" i="2"/>
  <c r="JM95" i="2"/>
  <c r="JN95" i="2"/>
  <c r="JO95" i="2"/>
  <c r="JP95" i="2"/>
  <c r="JR95" i="2"/>
  <c r="JS95" i="2"/>
  <c r="JT95" i="2"/>
  <c r="JU95" i="2"/>
  <c r="JV95" i="2"/>
  <c r="JW95" i="2"/>
  <c r="JX95" i="2"/>
  <c r="KN95" i="2" s="1"/>
  <c r="JY95" i="2"/>
  <c r="JZ95" i="2"/>
  <c r="KA95" i="2"/>
  <c r="KB95" i="2"/>
  <c r="KC95" i="2"/>
  <c r="KD95" i="2"/>
  <c r="KE95" i="2"/>
  <c r="KF95" i="2"/>
  <c r="KG95" i="2"/>
  <c r="KH95" i="2"/>
  <c r="KI95" i="2"/>
  <c r="KJ95" i="2"/>
  <c r="KK95" i="2"/>
  <c r="KM95" i="2"/>
  <c r="KP95" i="2"/>
  <c r="KQ95" i="2"/>
  <c r="KR95" i="2"/>
  <c r="KS95" i="2"/>
  <c r="KT95" i="2"/>
  <c r="KU95" i="2"/>
  <c r="KY95" i="2"/>
  <c r="LA95" i="2"/>
  <c r="LC95" i="2"/>
  <c r="LE95" i="2"/>
  <c r="LG95" i="2"/>
  <c r="LH95" i="2"/>
  <c r="LI95" i="2"/>
  <c r="LJ95" i="2"/>
  <c r="LL95" i="2"/>
  <c r="LN95" i="2"/>
  <c r="LO95" i="2"/>
  <c r="LP95" i="2"/>
  <c r="LQ95" i="2"/>
  <c r="LR95" i="2"/>
  <c r="LS95" i="2"/>
  <c r="LT95" i="2"/>
  <c r="LU95" i="2"/>
  <c r="LV95" i="2"/>
  <c r="LW95" i="2"/>
  <c r="LX95" i="2"/>
  <c r="LY95" i="2"/>
  <c r="LZ95" i="2"/>
  <c r="MA95" i="2"/>
  <c r="MB95" i="2"/>
  <c r="MC95" i="2"/>
  <c r="MD95" i="2"/>
  <c r="ME95" i="2"/>
  <c r="MF95" i="2"/>
  <c r="MG95" i="2"/>
  <c r="MH95" i="2"/>
  <c r="MI95" i="2"/>
  <c r="MJ95" i="2"/>
  <c r="MK95" i="2"/>
  <c r="ML95" i="2"/>
  <c r="MM95" i="2"/>
  <c r="MN95" i="2"/>
  <c r="MO95" i="2"/>
  <c r="MP95" i="2"/>
  <c r="MQ95" i="2"/>
  <c r="MR95" i="2"/>
  <c r="MS95" i="2"/>
  <c r="MT95" i="2"/>
  <c r="MU95" i="2"/>
  <c r="MV95" i="2"/>
  <c r="MW95" i="2"/>
  <c r="MX95" i="2"/>
  <c r="MY95" i="2"/>
  <c r="MZ95" i="2"/>
  <c r="NA95" i="2"/>
  <c r="NB95" i="2"/>
  <c r="NC95" i="2"/>
  <c r="ND95" i="2"/>
  <c r="NE95" i="2"/>
  <c r="NF95" i="2"/>
  <c r="NG95" i="2"/>
  <c r="NH95" i="2"/>
  <c r="NI95" i="2"/>
  <c r="NJ95" i="2"/>
  <c r="NK95" i="2"/>
  <c r="NL95" i="2"/>
  <c r="NM95" i="2"/>
  <c r="NN95" i="2"/>
  <c r="NO95" i="2"/>
  <c r="NP95" i="2"/>
  <c r="NQ95" i="2"/>
  <c r="NR95" i="2"/>
  <c r="NS95" i="2"/>
  <c r="NT95" i="2"/>
  <c r="NU95" i="2"/>
  <c r="NV95" i="2"/>
  <c r="NW95" i="2"/>
  <c r="NX95" i="2"/>
  <c r="NY95" i="2"/>
  <c r="NZ95" i="2"/>
  <c r="OA95" i="2"/>
  <c r="OB95" i="2"/>
  <c r="OC95" i="2"/>
  <c r="OD95" i="2"/>
  <c r="OE95" i="2"/>
  <c r="OF95" i="2"/>
  <c r="OG95" i="2"/>
  <c r="OH95" i="2"/>
  <c r="OI95" i="2"/>
  <c r="OJ95" i="2"/>
  <c r="OK95" i="2"/>
  <c r="OL95" i="2"/>
  <c r="OM95" i="2"/>
  <c r="ON95" i="2"/>
  <c r="OO95" i="2"/>
  <c r="OP95" i="2"/>
  <c r="OQ95" i="2"/>
  <c r="OR95" i="2"/>
  <c r="OS95" i="2"/>
  <c r="OT95" i="2"/>
  <c r="OU95" i="2"/>
  <c r="OW95" i="2"/>
  <c r="OX95" i="2"/>
  <c r="OY95" i="2"/>
  <c r="OZ95" i="2"/>
  <c r="PA95" i="2"/>
  <c r="PB95" i="2"/>
  <c r="PC95" i="2"/>
  <c r="PD95" i="2"/>
  <c r="PE95" i="2"/>
  <c r="PF95" i="2"/>
  <c r="PG95" i="2"/>
  <c r="PH95" i="2"/>
  <c r="PI95" i="2"/>
  <c r="PJ95" i="2"/>
  <c r="PK95" i="2"/>
  <c r="PL95" i="2"/>
  <c r="IA96" i="2"/>
  <c r="IC96" i="2"/>
  <c r="IE96" i="2"/>
  <c r="IG96" i="2"/>
  <c r="II96" i="2"/>
  <c r="IJ96" i="2"/>
  <c r="IK96" i="2"/>
  <c r="IL96" i="2"/>
  <c r="IM96" i="2"/>
  <c r="IN96" i="2"/>
  <c r="IO96" i="2"/>
  <c r="IP96" i="2"/>
  <c r="IQ96" i="2"/>
  <c r="IR96" i="2"/>
  <c r="IS96" i="2"/>
  <c r="IT96" i="2"/>
  <c r="IU96" i="2"/>
  <c r="IV96" i="2"/>
  <c r="IW96" i="2"/>
  <c r="JD96" i="2"/>
  <c r="JE96" i="2"/>
  <c r="JG96" i="2"/>
  <c r="JH96" i="2"/>
  <c r="JK96" i="2"/>
  <c r="JL96" i="2"/>
  <c r="JM96" i="2"/>
  <c r="JN96" i="2"/>
  <c r="JO96" i="2"/>
  <c r="JP96" i="2"/>
  <c r="JR96" i="2"/>
  <c r="JS96" i="2"/>
  <c r="JT96" i="2"/>
  <c r="JU96" i="2"/>
  <c r="JV96" i="2"/>
  <c r="JW96" i="2"/>
  <c r="JX96" i="2"/>
  <c r="JY96" i="2"/>
  <c r="JZ96" i="2"/>
  <c r="KA96" i="2"/>
  <c r="KB96" i="2"/>
  <c r="KC96" i="2"/>
  <c r="KD96" i="2"/>
  <c r="KE96" i="2"/>
  <c r="KF96" i="2"/>
  <c r="KG96" i="2"/>
  <c r="KH96" i="2"/>
  <c r="KN96" i="2" s="1"/>
  <c r="KI96" i="2"/>
  <c r="KJ96" i="2"/>
  <c r="KK96" i="2"/>
  <c r="KL96" i="2"/>
  <c r="KM96" i="2"/>
  <c r="KO96" i="2"/>
  <c r="KP96" i="2"/>
  <c r="KQ96" i="2"/>
  <c r="KR96" i="2"/>
  <c r="KS96" i="2"/>
  <c r="KT96" i="2"/>
  <c r="KU96" i="2"/>
  <c r="KY96" i="2"/>
  <c r="LA96" i="2"/>
  <c r="LC96" i="2"/>
  <c r="LE96" i="2"/>
  <c r="LG96" i="2"/>
  <c r="LH96" i="2"/>
  <c r="LI96" i="2"/>
  <c r="LJ96" i="2"/>
  <c r="LL96" i="2"/>
  <c r="LN96" i="2"/>
  <c r="LO96" i="2"/>
  <c r="LP96" i="2"/>
  <c r="LQ96" i="2"/>
  <c r="LR96" i="2"/>
  <c r="LS96" i="2"/>
  <c r="LT96" i="2"/>
  <c r="LU96" i="2"/>
  <c r="LV96" i="2"/>
  <c r="LW96" i="2"/>
  <c r="LX96" i="2"/>
  <c r="LY96" i="2"/>
  <c r="LZ96" i="2"/>
  <c r="MA96" i="2"/>
  <c r="MB96" i="2"/>
  <c r="MC96" i="2"/>
  <c r="MD96" i="2"/>
  <c r="ME96" i="2"/>
  <c r="MF96" i="2"/>
  <c r="MG96" i="2"/>
  <c r="MH96" i="2"/>
  <c r="MI96" i="2"/>
  <c r="MJ96" i="2"/>
  <c r="MK96" i="2"/>
  <c r="ML96" i="2"/>
  <c r="MM96" i="2"/>
  <c r="MN96" i="2"/>
  <c r="MO96" i="2"/>
  <c r="MP96" i="2"/>
  <c r="MQ96" i="2"/>
  <c r="MR96" i="2"/>
  <c r="MS96" i="2"/>
  <c r="MT96" i="2"/>
  <c r="MU96" i="2"/>
  <c r="MV96" i="2"/>
  <c r="MW96" i="2"/>
  <c r="MX96" i="2"/>
  <c r="MY96" i="2"/>
  <c r="MZ96" i="2"/>
  <c r="NA96" i="2"/>
  <c r="NB96" i="2"/>
  <c r="NC96" i="2"/>
  <c r="ND96" i="2"/>
  <c r="NE96" i="2"/>
  <c r="NF96" i="2"/>
  <c r="NG96" i="2"/>
  <c r="NH96" i="2"/>
  <c r="NI96" i="2"/>
  <c r="NJ96" i="2"/>
  <c r="NK96" i="2"/>
  <c r="NL96" i="2"/>
  <c r="NM96" i="2"/>
  <c r="NN96" i="2"/>
  <c r="NO96" i="2"/>
  <c r="NP96" i="2"/>
  <c r="NQ96" i="2"/>
  <c r="NR96" i="2"/>
  <c r="NS96" i="2"/>
  <c r="NT96" i="2"/>
  <c r="NU96" i="2"/>
  <c r="NV96" i="2"/>
  <c r="NW96" i="2"/>
  <c r="NX96" i="2"/>
  <c r="NY96" i="2"/>
  <c r="NZ96" i="2"/>
  <c r="OA96" i="2"/>
  <c r="OB96" i="2"/>
  <c r="OC96" i="2"/>
  <c r="OD96" i="2"/>
  <c r="OE96" i="2"/>
  <c r="OF96" i="2"/>
  <c r="OG96" i="2"/>
  <c r="OH96" i="2"/>
  <c r="OI96" i="2"/>
  <c r="OJ96" i="2"/>
  <c r="OK96" i="2"/>
  <c r="OL96" i="2"/>
  <c r="OM96" i="2"/>
  <c r="ON96" i="2"/>
  <c r="OO96" i="2"/>
  <c r="OP96" i="2"/>
  <c r="OQ96" i="2"/>
  <c r="OR96" i="2"/>
  <c r="OS96" i="2"/>
  <c r="OT96" i="2"/>
  <c r="OU96" i="2"/>
  <c r="OV96" i="2"/>
  <c r="OW96" i="2"/>
  <c r="OX96" i="2"/>
  <c r="OY96" i="2"/>
  <c r="OZ96" i="2"/>
  <c r="PA96" i="2"/>
  <c r="PB96" i="2"/>
  <c r="PC96" i="2"/>
  <c r="PD96" i="2"/>
  <c r="PE96" i="2"/>
  <c r="PF96" i="2"/>
  <c r="PG96" i="2"/>
  <c r="PH96" i="2"/>
  <c r="PI96" i="2"/>
  <c r="PJ96" i="2"/>
  <c r="PK96" i="2"/>
  <c r="PL96" i="2"/>
  <c r="IA97" i="2"/>
  <c r="IC97" i="2"/>
  <c r="IE97" i="2"/>
  <c r="IG97" i="2"/>
  <c r="II97" i="2"/>
  <c r="IJ97" i="2"/>
  <c r="IK97" i="2"/>
  <c r="IL97" i="2"/>
  <c r="IM97" i="2"/>
  <c r="IN97" i="2"/>
  <c r="IO97" i="2"/>
  <c r="IP97" i="2"/>
  <c r="IQ97" i="2"/>
  <c r="IR97" i="2"/>
  <c r="IS97" i="2"/>
  <c r="IT97" i="2"/>
  <c r="IU97" i="2"/>
  <c r="IV97" i="2"/>
  <c r="IW97" i="2"/>
  <c r="JD97" i="2"/>
  <c r="JE97" i="2"/>
  <c r="JG97" i="2"/>
  <c r="JH97" i="2"/>
  <c r="JK97" i="2"/>
  <c r="JL97" i="2"/>
  <c r="JM97" i="2"/>
  <c r="JN97" i="2"/>
  <c r="JO97" i="2"/>
  <c r="JP97" i="2"/>
  <c r="JR97" i="2"/>
  <c r="JS97" i="2"/>
  <c r="JT97" i="2"/>
  <c r="JU97" i="2"/>
  <c r="JV97" i="2"/>
  <c r="JW97" i="2"/>
  <c r="JX97" i="2"/>
  <c r="JY97" i="2"/>
  <c r="JZ97" i="2"/>
  <c r="KA97" i="2"/>
  <c r="KB97" i="2"/>
  <c r="KC97" i="2"/>
  <c r="KD97" i="2"/>
  <c r="KE97" i="2"/>
  <c r="KF97" i="2"/>
  <c r="KG97" i="2"/>
  <c r="KH97" i="2"/>
  <c r="KN97" i="2" s="1"/>
  <c r="KI97" i="2"/>
  <c r="KJ97" i="2"/>
  <c r="KK97" i="2"/>
  <c r="KL97" i="2"/>
  <c r="KM97" i="2"/>
  <c r="KO97" i="2"/>
  <c r="KP97" i="2"/>
  <c r="KQ97" i="2"/>
  <c r="KR97" i="2"/>
  <c r="KS97" i="2"/>
  <c r="KT97" i="2"/>
  <c r="KU97" i="2"/>
  <c r="KY97" i="2"/>
  <c r="LA97" i="2"/>
  <c r="LC97" i="2"/>
  <c r="LE97" i="2"/>
  <c r="LG97" i="2"/>
  <c r="LH97" i="2"/>
  <c r="LI97" i="2"/>
  <c r="LJ97" i="2"/>
  <c r="LL97" i="2"/>
  <c r="LN97" i="2"/>
  <c r="LO97" i="2"/>
  <c r="LP97" i="2"/>
  <c r="LQ97" i="2"/>
  <c r="LR97" i="2"/>
  <c r="LS97" i="2"/>
  <c r="LT97" i="2"/>
  <c r="LU97" i="2"/>
  <c r="LV97" i="2"/>
  <c r="LW97" i="2"/>
  <c r="LX97" i="2"/>
  <c r="LY97" i="2"/>
  <c r="LZ97" i="2"/>
  <c r="MA97" i="2"/>
  <c r="MB97" i="2"/>
  <c r="MC97" i="2"/>
  <c r="MD97" i="2"/>
  <c r="ME97" i="2"/>
  <c r="MF97" i="2"/>
  <c r="MG97" i="2"/>
  <c r="MH97" i="2"/>
  <c r="MI97" i="2"/>
  <c r="MJ97" i="2"/>
  <c r="MK97" i="2"/>
  <c r="ML97" i="2"/>
  <c r="MM97" i="2"/>
  <c r="MO97" i="2"/>
  <c r="MP97" i="2"/>
  <c r="MQ97" i="2"/>
  <c r="MR97" i="2"/>
  <c r="MS97" i="2"/>
  <c r="MT97" i="2"/>
  <c r="MU97" i="2"/>
  <c r="MV97" i="2"/>
  <c r="MW97" i="2"/>
  <c r="MX97" i="2"/>
  <c r="MY97" i="2"/>
  <c r="MZ97" i="2"/>
  <c r="NA97" i="2"/>
  <c r="NB97" i="2"/>
  <c r="NC97" i="2"/>
  <c r="ND97" i="2"/>
  <c r="NE97" i="2"/>
  <c r="NF97" i="2"/>
  <c r="NG97" i="2"/>
  <c r="NH97" i="2"/>
  <c r="NI97" i="2"/>
  <c r="NJ97" i="2"/>
  <c r="NK97" i="2"/>
  <c r="NL97" i="2"/>
  <c r="NM97" i="2"/>
  <c r="NN97" i="2"/>
  <c r="NO97" i="2"/>
  <c r="NP97" i="2"/>
  <c r="NQ97" i="2"/>
  <c r="NR97" i="2"/>
  <c r="NS97" i="2"/>
  <c r="NT97" i="2"/>
  <c r="NU97" i="2"/>
  <c r="NV97" i="2"/>
  <c r="NW97" i="2"/>
  <c r="NX97" i="2"/>
  <c r="NY97" i="2"/>
  <c r="NZ97" i="2"/>
  <c r="OA97" i="2"/>
  <c r="OB97" i="2"/>
  <c r="OC97" i="2"/>
  <c r="OD97" i="2"/>
  <c r="OE97" i="2"/>
  <c r="OF97" i="2"/>
  <c r="OG97" i="2"/>
  <c r="OH97" i="2"/>
  <c r="OI97" i="2"/>
  <c r="OJ97" i="2"/>
  <c r="OK97" i="2"/>
  <c r="OL97" i="2"/>
  <c r="OM97" i="2"/>
  <c r="ON97" i="2"/>
  <c r="OO97" i="2"/>
  <c r="OP97" i="2"/>
  <c r="OQ97" i="2"/>
  <c r="OR97" i="2"/>
  <c r="OS97" i="2"/>
  <c r="OT97" i="2"/>
  <c r="OU97" i="2"/>
  <c r="OV97" i="2"/>
  <c r="OW97" i="2"/>
  <c r="OX97" i="2"/>
  <c r="OY97" i="2"/>
  <c r="OZ97" i="2"/>
  <c r="PA97" i="2"/>
  <c r="PB97" i="2"/>
  <c r="PC97" i="2"/>
  <c r="PD97" i="2"/>
  <c r="PE97" i="2"/>
  <c r="PF97" i="2"/>
  <c r="PG97" i="2"/>
  <c r="PH97" i="2"/>
  <c r="PI97" i="2"/>
  <c r="PJ97" i="2"/>
  <c r="PK97" i="2"/>
  <c r="PL97" i="2"/>
  <c r="IA98" i="2"/>
  <c r="IC98" i="2"/>
  <c r="IE98" i="2"/>
  <c r="IG98" i="2"/>
  <c r="II98" i="2"/>
  <c r="IJ98" i="2"/>
  <c r="IK98" i="2"/>
  <c r="IL98" i="2"/>
  <c r="IM98" i="2"/>
  <c r="IN98" i="2"/>
  <c r="IO98" i="2"/>
  <c r="IP98" i="2"/>
  <c r="IQ98" i="2"/>
  <c r="IR98" i="2"/>
  <c r="IS98" i="2"/>
  <c r="IT98" i="2"/>
  <c r="IU98" i="2"/>
  <c r="IV98" i="2"/>
  <c r="IW98" i="2"/>
  <c r="JD98" i="2"/>
  <c r="JE98" i="2"/>
  <c r="JG98" i="2"/>
  <c r="JH98" i="2"/>
  <c r="JK98" i="2"/>
  <c r="JL98" i="2"/>
  <c r="JM98" i="2"/>
  <c r="JN98" i="2"/>
  <c r="JO98" i="2"/>
  <c r="JP98" i="2"/>
  <c r="JR98" i="2"/>
  <c r="JS98" i="2"/>
  <c r="JT98" i="2"/>
  <c r="JU98" i="2"/>
  <c r="JV98" i="2"/>
  <c r="JW98" i="2"/>
  <c r="JX98" i="2"/>
  <c r="KN98" i="2" s="1"/>
  <c r="JY98" i="2"/>
  <c r="JZ98" i="2"/>
  <c r="KA98" i="2"/>
  <c r="KB98" i="2"/>
  <c r="KC98" i="2"/>
  <c r="KD98" i="2"/>
  <c r="KE98" i="2"/>
  <c r="KF98" i="2"/>
  <c r="KG98" i="2"/>
  <c r="KH98" i="2"/>
  <c r="KI98" i="2"/>
  <c r="KJ98" i="2"/>
  <c r="KK98" i="2"/>
  <c r="KM98" i="2"/>
  <c r="KP98" i="2"/>
  <c r="KQ98" i="2"/>
  <c r="KR98" i="2"/>
  <c r="KS98" i="2"/>
  <c r="KT98" i="2"/>
  <c r="KU98" i="2"/>
  <c r="KY98" i="2"/>
  <c r="LA98" i="2"/>
  <c r="LC98" i="2"/>
  <c r="LE98" i="2"/>
  <c r="LG98" i="2"/>
  <c r="LH98" i="2"/>
  <c r="LI98" i="2"/>
  <c r="LJ98" i="2"/>
  <c r="LL98" i="2"/>
  <c r="LN98" i="2"/>
  <c r="LO98" i="2"/>
  <c r="LP98" i="2"/>
  <c r="LQ98" i="2"/>
  <c r="LR98" i="2"/>
  <c r="LS98" i="2"/>
  <c r="LT98" i="2"/>
  <c r="LU98" i="2"/>
  <c r="LV98" i="2"/>
  <c r="LW98" i="2"/>
  <c r="LX98" i="2"/>
  <c r="LY98" i="2"/>
  <c r="LZ98" i="2"/>
  <c r="MA98" i="2"/>
  <c r="MB98" i="2"/>
  <c r="MC98" i="2"/>
  <c r="MD98" i="2"/>
  <c r="ME98" i="2"/>
  <c r="MF98" i="2"/>
  <c r="MG98" i="2"/>
  <c r="MH98" i="2"/>
  <c r="MI98" i="2"/>
  <c r="MJ98" i="2"/>
  <c r="MK98" i="2"/>
  <c r="ML98" i="2"/>
  <c r="MM98" i="2"/>
  <c r="MN98" i="2"/>
  <c r="MO98" i="2"/>
  <c r="MP98" i="2"/>
  <c r="MQ98" i="2"/>
  <c r="MR98" i="2"/>
  <c r="MS98" i="2"/>
  <c r="MT98" i="2"/>
  <c r="MU98" i="2"/>
  <c r="MV98" i="2"/>
  <c r="MW98" i="2"/>
  <c r="MX98" i="2"/>
  <c r="MY98" i="2"/>
  <c r="MZ98" i="2"/>
  <c r="NA98" i="2"/>
  <c r="NB98" i="2"/>
  <c r="NC98" i="2"/>
  <c r="ND98" i="2"/>
  <c r="NE98" i="2"/>
  <c r="NF98" i="2"/>
  <c r="NG98" i="2"/>
  <c r="NH98" i="2"/>
  <c r="NI98" i="2"/>
  <c r="NJ98" i="2"/>
  <c r="NK98" i="2"/>
  <c r="NL98" i="2"/>
  <c r="NM98" i="2"/>
  <c r="NN98" i="2"/>
  <c r="NO98" i="2"/>
  <c r="NP98" i="2"/>
  <c r="NQ98" i="2"/>
  <c r="NR98" i="2"/>
  <c r="NS98" i="2"/>
  <c r="NT98" i="2"/>
  <c r="NU98" i="2"/>
  <c r="NV98" i="2"/>
  <c r="NW98" i="2"/>
  <c r="NX98" i="2"/>
  <c r="NY98" i="2"/>
  <c r="NZ98" i="2"/>
  <c r="OA98" i="2"/>
  <c r="OB98" i="2"/>
  <c r="OC98" i="2"/>
  <c r="OD98" i="2"/>
  <c r="OE98" i="2"/>
  <c r="OF98" i="2"/>
  <c r="OG98" i="2"/>
  <c r="OH98" i="2"/>
  <c r="OI98" i="2"/>
  <c r="OJ98" i="2"/>
  <c r="OK98" i="2"/>
  <c r="OL98" i="2"/>
  <c r="OM98" i="2"/>
  <c r="ON98" i="2"/>
  <c r="OO98" i="2"/>
  <c r="OP98" i="2"/>
  <c r="OQ98" i="2"/>
  <c r="OR98" i="2"/>
  <c r="OS98" i="2"/>
  <c r="OT98" i="2"/>
  <c r="OU98" i="2"/>
  <c r="OW98" i="2"/>
  <c r="OX98" i="2"/>
  <c r="OY98" i="2"/>
  <c r="OZ98" i="2"/>
  <c r="PA98" i="2"/>
  <c r="PB98" i="2"/>
  <c r="PC98" i="2"/>
  <c r="PD98" i="2"/>
  <c r="PE98" i="2"/>
  <c r="PF98" i="2"/>
  <c r="PG98" i="2"/>
  <c r="PH98" i="2"/>
  <c r="PI98" i="2"/>
  <c r="PJ98" i="2"/>
  <c r="PK98" i="2"/>
  <c r="PL98" i="2"/>
  <c r="IA99" i="2"/>
  <c r="IC99" i="2"/>
  <c r="IE99" i="2"/>
  <c r="IG99" i="2"/>
  <c r="II99" i="2"/>
  <c r="IJ99" i="2"/>
  <c r="IK99" i="2"/>
  <c r="IL99" i="2"/>
  <c r="IM99" i="2"/>
  <c r="IN99" i="2"/>
  <c r="IO99" i="2"/>
  <c r="IP99" i="2"/>
  <c r="IQ99" i="2"/>
  <c r="IR99" i="2"/>
  <c r="IS99" i="2"/>
  <c r="IT99" i="2"/>
  <c r="IU99" i="2"/>
  <c r="IV99" i="2"/>
  <c r="IW99" i="2"/>
  <c r="JD99" i="2"/>
  <c r="JE99" i="2"/>
  <c r="JG99" i="2"/>
  <c r="JH99" i="2"/>
  <c r="JK99" i="2"/>
  <c r="JL99" i="2"/>
  <c r="JM99" i="2"/>
  <c r="JN99" i="2"/>
  <c r="JO99" i="2"/>
  <c r="JP99" i="2"/>
  <c r="JR99" i="2"/>
  <c r="JS99" i="2"/>
  <c r="JT99" i="2"/>
  <c r="JU99" i="2"/>
  <c r="JV99" i="2"/>
  <c r="JW99" i="2"/>
  <c r="JX99" i="2"/>
  <c r="JY99" i="2"/>
  <c r="JZ99" i="2"/>
  <c r="KA99" i="2"/>
  <c r="KB99" i="2"/>
  <c r="KC99" i="2"/>
  <c r="KD99" i="2"/>
  <c r="KE99" i="2"/>
  <c r="KF99" i="2"/>
  <c r="KG99" i="2"/>
  <c r="KH99" i="2"/>
  <c r="KN99" i="2" s="1"/>
  <c r="KI99" i="2"/>
  <c r="KJ99" i="2"/>
  <c r="KK99" i="2"/>
  <c r="KL99" i="2"/>
  <c r="KM99" i="2"/>
  <c r="KO99" i="2"/>
  <c r="KP99" i="2"/>
  <c r="KQ99" i="2"/>
  <c r="KR99" i="2"/>
  <c r="KS99" i="2"/>
  <c r="KT99" i="2"/>
  <c r="KU99" i="2"/>
  <c r="KY99" i="2"/>
  <c r="LA99" i="2"/>
  <c r="LC99" i="2"/>
  <c r="LE99" i="2"/>
  <c r="LG99" i="2"/>
  <c r="LH99" i="2"/>
  <c r="LI99" i="2"/>
  <c r="LJ99" i="2"/>
  <c r="LL99" i="2"/>
  <c r="LN99" i="2"/>
  <c r="LO99" i="2"/>
  <c r="LP99" i="2"/>
  <c r="LQ99" i="2"/>
  <c r="LR99" i="2"/>
  <c r="LS99" i="2"/>
  <c r="LT99" i="2"/>
  <c r="LU99" i="2"/>
  <c r="LV99" i="2"/>
  <c r="LW99" i="2"/>
  <c r="LX99" i="2"/>
  <c r="LY99" i="2"/>
  <c r="LZ99" i="2"/>
  <c r="MA99" i="2"/>
  <c r="MB99" i="2"/>
  <c r="MC99" i="2"/>
  <c r="MD99" i="2"/>
  <c r="ME99" i="2"/>
  <c r="MF99" i="2"/>
  <c r="MG99" i="2"/>
  <c r="MH99" i="2"/>
  <c r="MI99" i="2"/>
  <c r="MJ99" i="2"/>
  <c r="MK99" i="2"/>
  <c r="ML99" i="2"/>
  <c r="MM99" i="2"/>
  <c r="MN99" i="2"/>
  <c r="MO99" i="2"/>
  <c r="MP99" i="2"/>
  <c r="MQ99" i="2"/>
  <c r="MR99" i="2"/>
  <c r="MS99" i="2"/>
  <c r="MT99" i="2"/>
  <c r="MU99" i="2"/>
  <c r="MV99" i="2"/>
  <c r="MW99" i="2"/>
  <c r="MX99" i="2"/>
  <c r="MY99" i="2"/>
  <c r="MZ99" i="2"/>
  <c r="NA99" i="2"/>
  <c r="NB99" i="2"/>
  <c r="NC99" i="2"/>
  <c r="ND99" i="2"/>
  <c r="NE99" i="2"/>
  <c r="NF99" i="2"/>
  <c r="NG99" i="2"/>
  <c r="NH99" i="2"/>
  <c r="NI99" i="2"/>
  <c r="NJ99" i="2"/>
  <c r="NK99" i="2"/>
  <c r="NL99" i="2"/>
  <c r="NM99" i="2"/>
  <c r="NN99" i="2"/>
  <c r="NO99" i="2"/>
  <c r="NP99" i="2"/>
  <c r="NQ99" i="2"/>
  <c r="NR99" i="2"/>
  <c r="NS99" i="2"/>
  <c r="NT99" i="2"/>
  <c r="NU99" i="2"/>
  <c r="NV99" i="2"/>
  <c r="NW99" i="2"/>
  <c r="NX99" i="2"/>
  <c r="NY99" i="2"/>
  <c r="NZ99" i="2"/>
  <c r="OA99" i="2"/>
  <c r="OB99" i="2"/>
  <c r="OC99" i="2"/>
  <c r="OD99" i="2"/>
  <c r="OE99" i="2"/>
  <c r="OF99" i="2"/>
  <c r="OG99" i="2"/>
  <c r="OH99" i="2"/>
  <c r="OI99" i="2"/>
  <c r="OJ99" i="2"/>
  <c r="OK99" i="2"/>
  <c r="OL99" i="2"/>
  <c r="OM99" i="2"/>
  <c r="ON99" i="2"/>
  <c r="OO99" i="2"/>
  <c r="OP99" i="2"/>
  <c r="OQ99" i="2"/>
  <c r="OR99" i="2"/>
  <c r="OS99" i="2"/>
  <c r="OT99" i="2"/>
  <c r="OU99" i="2"/>
  <c r="OV99" i="2"/>
  <c r="OW99" i="2"/>
  <c r="OX99" i="2"/>
  <c r="OY99" i="2"/>
  <c r="OZ99" i="2"/>
  <c r="PA99" i="2"/>
  <c r="PB99" i="2"/>
  <c r="PC99" i="2"/>
  <c r="PD99" i="2"/>
  <c r="PE99" i="2"/>
  <c r="PF99" i="2"/>
  <c r="PG99" i="2"/>
  <c r="PH99" i="2"/>
  <c r="PI99" i="2"/>
  <c r="PJ99" i="2"/>
  <c r="PK99" i="2"/>
  <c r="PL99" i="2"/>
  <c r="IA100" i="2"/>
  <c r="IC100" i="2"/>
  <c r="IE100" i="2"/>
  <c r="IG100" i="2"/>
  <c r="II100" i="2"/>
  <c r="IJ100" i="2"/>
  <c r="IK100" i="2"/>
  <c r="IL100" i="2"/>
  <c r="IM100" i="2"/>
  <c r="IN100" i="2"/>
  <c r="IO100" i="2"/>
  <c r="IP100" i="2"/>
  <c r="IQ100" i="2"/>
  <c r="IR100" i="2"/>
  <c r="IS100" i="2"/>
  <c r="IT100" i="2"/>
  <c r="IU100" i="2"/>
  <c r="IV100" i="2"/>
  <c r="IW100" i="2"/>
  <c r="JD100" i="2"/>
  <c r="JE100" i="2"/>
  <c r="JG100" i="2"/>
  <c r="JH100" i="2"/>
  <c r="JK100" i="2"/>
  <c r="JL100" i="2"/>
  <c r="JM100" i="2"/>
  <c r="JN100" i="2"/>
  <c r="JO100" i="2"/>
  <c r="JP100" i="2"/>
  <c r="JR100" i="2"/>
  <c r="JS100" i="2"/>
  <c r="JT100" i="2"/>
  <c r="JU100" i="2"/>
  <c r="JV100" i="2"/>
  <c r="JW100" i="2"/>
  <c r="JX100" i="2"/>
  <c r="KN100" i="2" s="1"/>
  <c r="JY100" i="2"/>
  <c r="JZ100" i="2"/>
  <c r="KA100" i="2"/>
  <c r="KB100" i="2"/>
  <c r="KC100" i="2"/>
  <c r="KD100" i="2"/>
  <c r="KE100" i="2"/>
  <c r="KF100" i="2"/>
  <c r="KG100" i="2"/>
  <c r="KH100" i="2"/>
  <c r="KI100" i="2"/>
  <c r="KJ100" i="2"/>
  <c r="KK100" i="2"/>
  <c r="KM100" i="2"/>
  <c r="KP100" i="2"/>
  <c r="KQ100" i="2"/>
  <c r="KR100" i="2"/>
  <c r="KS100" i="2"/>
  <c r="KT100" i="2"/>
  <c r="KU100" i="2"/>
  <c r="KY100" i="2"/>
  <c r="LA100" i="2"/>
  <c r="LC100" i="2"/>
  <c r="LE100" i="2"/>
  <c r="LG100" i="2"/>
  <c r="LH100" i="2"/>
  <c r="LI100" i="2"/>
  <c r="LJ100" i="2"/>
  <c r="LL100" i="2"/>
  <c r="LN100" i="2"/>
  <c r="LO100" i="2"/>
  <c r="LP100" i="2"/>
  <c r="LQ100" i="2"/>
  <c r="LR100" i="2"/>
  <c r="LS100" i="2"/>
  <c r="LT100" i="2"/>
  <c r="LU100" i="2"/>
  <c r="LV100" i="2"/>
  <c r="LW100" i="2"/>
  <c r="LX100" i="2"/>
  <c r="LY100" i="2"/>
  <c r="LZ100" i="2"/>
  <c r="MA100" i="2"/>
  <c r="MB100" i="2"/>
  <c r="MC100" i="2"/>
  <c r="MD100" i="2"/>
  <c r="ME100" i="2"/>
  <c r="MF100" i="2"/>
  <c r="MG100" i="2"/>
  <c r="MH100" i="2"/>
  <c r="MI100" i="2"/>
  <c r="MJ100" i="2"/>
  <c r="MK100" i="2"/>
  <c r="ML100" i="2"/>
  <c r="MM100" i="2"/>
  <c r="MN100" i="2"/>
  <c r="MO100" i="2"/>
  <c r="MP100" i="2"/>
  <c r="MQ100" i="2"/>
  <c r="MR100" i="2"/>
  <c r="MS100" i="2"/>
  <c r="MT100" i="2"/>
  <c r="MU100" i="2"/>
  <c r="MV100" i="2"/>
  <c r="MW100" i="2"/>
  <c r="MX100" i="2"/>
  <c r="MY100" i="2"/>
  <c r="MZ100" i="2"/>
  <c r="NA100" i="2"/>
  <c r="NB100" i="2"/>
  <c r="NC100" i="2"/>
  <c r="ND100" i="2"/>
  <c r="NE100" i="2"/>
  <c r="NF100" i="2"/>
  <c r="NG100" i="2"/>
  <c r="NH100" i="2"/>
  <c r="NI100" i="2"/>
  <c r="NJ100" i="2"/>
  <c r="NK100" i="2"/>
  <c r="NL100" i="2"/>
  <c r="NM100" i="2"/>
  <c r="NN100" i="2"/>
  <c r="NO100" i="2"/>
  <c r="NP100" i="2"/>
  <c r="NQ100" i="2"/>
  <c r="NR100" i="2"/>
  <c r="NS100" i="2"/>
  <c r="NT100" i="2"/>
  <c r="NU100" i="2"/>
  <c r="NV100" i="2"/>
  <c r="NW100" i="2"/>
  <c r="NX100" i="2"/>
  <c r="NY100" i="2"/>
  <c r="NZ100" i="2"/>
  <c r="OA100" i="2"/>
  <c r="OB100" i="2"/>
  <c r="OC100" i="2"/>
  <c r="OD100" i="2"/>
  <c r="OE100" i="2"/>
  <c r="OF100" i="2"/>
  <c r="OG100" i="2"/>
  <c r="OH100" i="2"/>
  <c r="OI100" i="2"/>
  <c r="OJ100" i="2"/>
  <c r="OK100" i="2"/>
  <c r="OL100" i="2"/>
  <c r="OM100" i="2"/>
  <c r="ON100" i="2"/>
  <c r="OO100" i="2"/>
  <c r="OP100" i="2"/>
  <c r="OQ100" i="2"/>
  <c r="OR100" i="2"/>
  <c r="OS100" i="2"/>
  <c r="OT100" i="2"/>
  <c r="OU100" i="2"/>
  <c r="OW100" i="2"/>
  <c r="OX100" i="2"/>
  <c r="OY100" i="2"/>
  <c r="OZ100" i="2"/>
  <c r="PA100" i="2"/>
  <c r="PB100" i="2"/>
  <c r="PC100" i="2"/>
  <c r="PD100" i="2"/>
  <c r="PE100" i="2"/>
  <c r="PF100" i="2"/>
  <c r="PG100" i="2"/>
  <c r="PH100" i="2"/>
  <c r="PI100" i="2"/>
  <c r="PJ100" i="2"/>
  <c r="PK100" i="2"/>
  <c r="PL100" i="2"/>
  <c r="IA101" i="2"/>
  <c r="IC101" i="2"/>
  <c r="IE101" i="2"/>
  <c r="IG101" i="2"/>
  <c r="II101" i="2"/>
  <c r="IJ101" i="2"/>
  <c r="IK101" i="2"/>
  <c r="IL101" i="2"/>
  <c r="IM101" i="2"/>
  <c r="IN101" i="2"/>
  <c r="IO101" i="2"/>
  <c r="IP101" i="2"/>
  <c r="IQ101" i="2"/>
  <c r="IR101" i="2"/>
  <c r="IS101" i="2"/>
  <c r="IT101" i="2"/>
  <c r="IU101" i="2"/>
  <c r="IV101" i="2"/>
  <c r="IW101" i="2"/>
  <c r="JD101" i="2"/>
  <c r="JE101" i="2"/>
  <c r="JG101" i="2"/>
  <c r="JH101" i="2"/>
  <c r="JK101" i="2"/>
  <c r="JL101" i="2"/>
  <c r="JM101" i="2"/>
  <c r="JN101" i="2"/>
  <c r="JO101" i="2"/>
  <c r="JP101" i="2"/>
  <c r="JR101" i="2"/>
  <c r="JS101" i="2"/>
  <c r="JT101" i="2"/>
  <c r="JU101" i="2"/>
  <c r="JV101" i="2"/>
  <c r="JW101" i="2"/>
  <c r="JX101" i="2"/>
  <c r="JY101" i="2"/>
  <c r="JZ101" i="2"/>
  <c r="KA101" i="2"/>
  <c r="KB101" i="2"/>
  <c r="KC101" i="2"/>
  <c r="KD101" i="2"/>
  <c r="KE101" i="2"/>
  <c r="KF101" i="2"/>
  <c r="KG101" i="2"/>
  <c r="KH101" i="2"/>
  <c r="KN101" i="2" s="1"/>
  <c r="KI101" i="2"/>
  <c r="KJ101" i="2"/>
  <c r="KK101" i="2"/>
  <c r="KL101" i="2"/>
  <c r="KM101" i="2"/>
  <c r="KO101" i="2"/>
  <c r="KP101" i="2"/>
  <c r="KQ101" i="2"/>
  <c r="KR101" i="2"/>
  <c r="KS101" i="2"/>
  <c r="KT101" i="2"/>
  <c r="KU101" i="2"/>
  <c r="KY101" i="2"/>
  <c r="LA101" i="2"/>
  <c r="LC101" i="2"/>
  <c r="LE101" i="2"/>
  <c r="LG101" i="2"/>
  <c r="LH101" i="2"/>
  <c r="LI101" i="2"/>
  <c r="LJ101" i="2"/>
  <c r="LL101" i="2"/>
  <c r="LN101" i="2"/>
  <c r="LO101" i="2"/>
  <c r="LP101" i="2"/>
  <c r="LQ101" i="2"/>
  <c r="LR101" i="2"/>
  <c r="LS101" i="2"/>
  <c r="LT101" i="2"/>
  <c r="LU101" i="2"/>
  <c r="LV101" i="2"/>
  <c r="LW101" i="2"/>
  <c r="LX101" i="2"/>
  <c r="LY101" i="2"/>
  <c r="LZ101" i="2"/>
  <c r="MA101" i="2"/>
  <c r="MB101" i="2"/>
  <c r="MC101" i="2"/>
  <c r="MD101" i="2"/>
  <c r="ME101" i="2"/>
  <c r="MF101" i="2"/>
  <c r="MG101" i="2"/>
  <c r="MH101" i="2"/>
  <c r="MI101" i="2"/>
  <c r="MJ101" i="2"/>
  <c r="MK101" i="2"/>
  <c r="ML101" i="2"/>
  <c r="MM101" i="2"/>
  <c r="MN101" i="2"/>
  <c r="MO101" i="2"/>
  <c r="MP101" i="2"/>
  <c r="MQ101" i="2"/>
  <c r="MR101" i="2"/>
  <c r="MS101" i="2"/>
  <c r="MT101" i="2"/>
  <c r="MU101" i="2"/>
  <c r="MV101" i="2"/>
  <c r="MW101" i="2"/>
  <c r="MX101" i="2"/>
  <c r="MY101" i="2"/>
  <c r="MZ101" i="2"/>
  <c r="NA101" i="2"/>
  <c r="NB101" i="2"/>
  <c r="NC101" i="2"/>
  <c r="ND101" i="2"/>
  <c r="NE101" i="2"/>
  <c r="NF101" i="2"/>
  <c r="NG101" i="2"/>
  <c r="NH101" i="2"/>
  <c r="NI101" i="2"/>
  <c r="NJ101" i="2"/>
  <c r="NK101" i="2"/>
  <c r="NL101" i="2"/>
  <c r="NM101" i="2"/>
  <c r="NN101" i="2"/>
  <c r="NO101" i="2"/>
  <c r="NP101" i="2"/>
  <c r="NQ101" i="2"/>
  <c r="NR101" i="2"/>
  <c r="NS101" i="2"/>
  <c r="NT101" i="2"/>
  <c r="NU101" i="2"/>
  <c r="NV101" i="2"/>
  <c r="NW101" i="2"/>
  <c r="NX101" i="2"/>
  <c r="NY101" i="2"/>
  <c r="NZ101" i="2"/>
  <c r="OA101" i="2"/>
  <c r="OB101" i="2"/>
  <c r="OC101" i="2"/>
  <c r="OD101" i="2"/>
  <c r="OE101" i="2"/>
  <c r="OF101" i="2"/>
  <c r="OG101" i="2"/>
  <c r="OH101" i="2"/>
  <c r="OI101" i="2"/>
  <c r="OJ101" i="2"/>
  <c r="OK101" i="2"/>
  <c r="OL101" i="2"/>
  <c r="OM101" i="2"/>
  <c r="ON101" i="2"/>
  <c r="OO101" i="2"/>
  <c r="OP101" i="2"/>
  <c r="OQ101" i="2"/>
  <c r="OR101" i="2"/>
  <c r="OS101" i="2"/>
  <c r="OT101" i="2"/>
  <c r="OU101" i="2"/>
  <c r="OV101" i="2"/>
  <c r="OW101" i="2"/>
  <c r="OX101" i="2"/>
  <c r="OY101" i="2"/>
  <c r="OZ101" i="2"/>
  <c r="PA101" i="2"/>
  <c r="PB101" i="2"/>
  <c r="PC101" i="2"/>
  <c r="PD101" i="2"/>
  <c r="PE101" i="2"/>
  <c r="PF101" i="2"/>
  <c r="PG101" i="2"/>
  <c r="PH101" i="2"/>
  <c r="PI101" i="2"/>
  <c r="PJ101" i="2"/>
  <c r="PK101" i="2"/>
  <c r="PL101" i="2"/>
  <c r="IA102" i="2"/>
  <c r="IC102" i="2"/>
  <c r="IE102" i="2"/>
  <c r="IG102" i="2"/>
  <c r="II102" i="2"/>
  <c r="IJ102" i="2"/>
  <c r="IK102" i="2"/>
  <c r="IL102" i="2"/>
  <c r="IM102" i="2"/>
  <c r="IN102" i="2"/>
  <c r="IO102" i="2"/>
  <c r="IP102" i="2"/>
  <c r="IQ102" i="2"/>
  <c r="IR102" i="2"/>
  <c r="IS102" i="2"/>
  <c r="IT102" i="2"/>
  <c r="IU102" i="2"/>
  <c r="IV102" i="2"/>
  <c r="IW102" i="2"/>
  <c r="JD102" i="2"/>
  <c r="JE102" i="2"/>
  <c r="JG102" i="2"/>
  <c r="JH102" i="2"/>
  <c r="JK102" i="2"/>
  <c r="JL102" i="2"/>
  <c r="JM102" i="2"/>
  <c r="JN102" i="2"/>
  <c r="JO102" i="2"/>
  <c r="JP102" i="2"/>
  <c r="JR102" i="2"/>
  <c r="JS102" i="2"/>
  <c r="JT102" i="2"/>
  <c r="JU102" i="2"/>
  <c r="JV102" i="2"/>
  <c r="JW102" i="2"/>
  <c r="JX102" i="2"/>
  <c r="JY102" i="2"/>
  <c r="JZ102" i="2"/>
  <c r="KA102" i="2"/>
  <c r="KB102" i="2"/>
  <c r="KC102" i="2"/>
  <c r="KD102" i="2"/>
  <c r="KE102" i="2"/>
  <c r="KF102" i="2"/>
  <c r="KG102" i="2"/>
  <c r="KH102" i="2"/>
  <c r="KN102" i="2" s="1"/>
  <c r="KI102" i="2"/>
  <c r="KJ102" i="2"/>
  <c r="KK102" i="2"/>
  <c r="KL102" i="2"/>
  <c r="KM102" i="2"/>
  <c r="KO102" i="2"/>
  <c r="KP102" i="2"/>
  <c r="KQ102" i="2"/>
  <c r="KR102" i="2"/>
  <c r="KS102" i="2"/>
  <c r="KT102" i="2"/>
  <c r="KU102" i="2"/>
  <c r="KY102" i="2"/>
  <c r="LA102" i="2"/>
  <c r="LC102" i="2"/>
  <c r="LE102" i="2"/>
  <c r="LG102" i="2"/>
  <c r="LH102" i="2"/>
  <c r="LI102" i="2"/>
  <c r="LJ102" i="2"/>
  <c r="LL102" i="2"/>
  <c r="LN102" i="2"/>
  <c r="LO102" i="2"/>
  <c r="LP102" i="2"/>
  <c r="LQ102" i="2"/>
  <c r="LR102" i="2"/>
  <c r="LS102" i="2"/>
  <c r="LT102" i="2"/>
  <c r="LU102" i="2"/>
  <c r="LV102" i="2"/>
  <c r="LW102" i="2"/>
  <c r="LX102" i="2"/>
  <c r="LY102" i="2"/>
  <c r="LZ102" i="2"/>
  <c r="MA102" i="2"/>
  <c r="MB102" i="2"/>
  <c r="MC102" i="2"/>
  <c r="MD102" i="2"/>
  <c r="ME102" i="2"/>
  <c r="MF102" i="2"/>
  <c r="MG102" i="2"/>
  <c r="MH102" i="2"/>
  <c r="MI102" i="2"/>
  <c r="MJ102" i="2"/>
  <c r="MK102" i="2"/>
  <c r="ML102" i="2"/>
  <c r="MM102" i="2"/>
  <c r="MN102" i="2"/>
  <c r="MO102" i="2"/>
  <c r="MP102" i="2"/>
  <c r="MQ102" i="2"/>
  <c r="MR102" i="2"/>
  <c r="MS102" i="2"/>
  <c r="MT102" i="2"/>
  <c r="MU102" i="2"/>
  <c r="MV102" i="2"/>
  <c r="MW102" i="2"/>
  <c r="MX102" i="2"/>
  <c r="MY102" i="2"/>
  <c r="MZ102" i="2"/>
  <c r="NA102" i="2"/>
  <c r="NB102" i="2"/>
  <c r="NC102" i="2"/>
  <c r="ND102" i="2"/>
  <c r="NE102" i="2"/>
  <c r="NF102" i="2"/>
  <c r="NG102" i="2"/>
  <c r="NH102" i="2"/>
  <c r="NI102" i="2"/>
  <c r="NJ102" i="2"/>
  <c r="NK102" i="2"/>
  <c r="NL102" i="2"/>
  <c r="NM102" i="2"/>
  <c r="NN102" i="2"/>
  <c r="NO102" i="2"/>
  <c r="NP102" i="2"/>
  <c r="NQ102" i="2"/>
  <c r="NR102" i="2"/>
  <c r="NS102" i="2"/>
  <c r="NT102" i="2"/>
  <c r="NU102" i="2"/>
  <c r="NV102" i="2"/>
  <c r="NW102" i="2"/>
  <c r="NX102" i="2"/>
  <c r="NY102" i="2"/>
  <c r="NZ102" i="2"/>
  <c r="OA102" i="2"/>
  <c r="OB102" i="2"/>
  <c r="OC102" i="2"/>
  <c r="OD102" i="2"/>
  <c r="OE102" i="2"/>
  <c r="OF102" i="2"/>
  <c r="OG102" i="2"/>
  <c r="OH102" i="2"/>
  <c r="OI102" i="2"/>
  <c r="OJ102" i="2"/>
  <c r="OK102" i="2"/>
  <c r="OL102" i="2"/>
  <c r="OM102" i="2"/>
  <c r="ON102" i="2"/>
  <c r="OO102" i="2"/>
  <c r="OP102" i="2"/>
  <c r="OQ102" i="2"/>
  <c r="OR102" i="2"/>
  <c r="OS102" i="2"/>
  <c r="OT102" i="2"/>
  <c r="OU102" i="2"/>
  <c r="OV102" i="2"/>
  <c r="OW102" i="2"/>
  <c r="OX102" i="2"/>
  <c r="OY102" i="2"/>
  <c r="OZ102" i="2"/>
  <c r="PA102" i="2"/>
  <c r="PB102" i="2"/>
  <c r="PC102" i="2"/>
  <c r="PD102" i="2"/>
  <c r="PE102" i="2"/>
  <c r="PF102" i="2"/>
  <c r="PG102" i="2"/>
  <c r="PH102" i="2"/>
  <c r="PI102" i="2"/>
  <c r="PJ102" i="2"/>
  <c r="PK102" i="2"/>
  <c r="PL102" i="2"/>
  <c r="IA103" i="2"/>
  <c r="IC103" i="2"/>
  <c r="IE103" i="2"/>
  <c r="IG103" i="2"/>
  <c r="II103" i="2"/>
  <c r="IJ103" i="2"/>
  <c r="IK103" i="2"/>
  <c r="IL103" i="2"/>
  <c r="IM103" i="2"/>
  <c r="IN103" i="2"/>
  <c r="IO103" i="2"/>
  <c r="IP103" i="2"/>
  <c r="IQ103" i="2"/>
  <c r="IR103" i="2"/>
  <c r="IS103" i="2"/>
  <c r="IT103" i="2"/>
  <c r="IU103" i="2"/>
  <c r="IV103" i="2"/>
  <c r="IW103" i="2"/>
  <c r="JD103" i="2"/>
  <c r="JE103" i="2"/>
  <c r="JG103" i="2"/>
  <c r="JH103" i="2"/>
  <c r="JK103" i="2"/>
  <c r="JL103" i="2"/>
  <c r="JM103" i="2"/>
  <c r="JN103" i="2"/>
  <c r="JO103" i="2"/>
  <c r="JP103" i="2"/>
  <c r="JR103" i="2"/>
  <c r="JS103" i="2"/>
  <c r="JT103" i="2"/>
  <c r="JU103" i="2"/>
  <c r="JV103" i="2"/>
  <c r="JW103" i="2"/>
  <c r="JX103" i="2"/>
  <c r="JY103" i="2"/>
  <c r="JZ103" i="2"/>
  <c r="KA103" i="2"/>
  <c r="KB103" i="2"/>
  <c r="KC103" i="2"/>
  <c r="KD103" i="2"/>
  <c r="KE103" i="2"/>
  <c r="KF103" i="2"/>
  <c r="KG103" i="2"/>
  <c r="KH103" i="2"/>
  <c r="KN103" i="2" s="1"/>
  <c r="KI103" i="2"/>
  <c r="KJ103" i="2"/>
  <c r="KK103" i="2"/>
  <c r="KL103" i="2"/>
  <c r="KM103" i="2"/>
  <c r="KO103" i="2"/>
  <c r="KP103" i="2"/>
  <c r="KQ103" i="2"/>
  <c r="KR103" i="2"/>
  <c r="KS103" i="2"/>
  <c r="KT103" i="2"/>
  <c r="KU103" i="2"/>
  <c r="KY103" i="2"/>
  <c r="LA103" i="2"/>
  <c r="LC103" i="2"/>
  <c r="LE103" i="2"/>
  <c r="LG103" i="2"/>
  <c r="LH103" i="2"/>
  <c r="LI103" i="2"/>
  <c r="LJ103" i="2"/>
  <c r="LL103" i="2"/>
  <c r="LN103" i="2"/>
  <c r="LO103" i="2"/>
  <c r="LP103" i="2"/>
  <c r="LQ103" i="2"/>
  <c r="LR103" i="2"/>
  <c r="LS103" i="2"/>
  <c r="LT103" i="2"/>
  <c r="LU103" i="2"/>
  <c r="LV103" i="2"/>
  <c r="LW103" i="2"/>
  <c r="LX103" i="2"/>
  <c r="LY103" i="2"/>
  <c r="LZ103" i="2"/>
  <c r="MA103" i="2"/>
  <c r="MB103" i="2"/>
  <c r="MC103" i="2"/>
  <c r="MD103" i="2"/>
  <c r="ME103" i="2"/>
  <c r="MF103" i="2"/>
  <c r="MG103" i="2"/>
  <c r="MH103" i="2"/>
  <c r="MI103" i="2"/>
  <c r="MJ103" i="2"/>
  <c r="MK103" i="2"/>
  <c r="ML103" i="2"/>
  <c r="MM103" i="2"/>
  <c r="MN103" i="2"/>
  <c r="MO103" i="2"/>
  <c r="MP103" i="2"/>
  <c r="MQ103" i="2"/>
  <c r="MR103" i="2"/>
  <c r="MS103" i="2"/>
  <c r="MT103" i="2"/>
  <c r="MU103" i="2"/>
  <c r="MV103" i="2"/>
  <c r="MW103" i="2"/>
  <c r="MX103" i="2"/>
  <c r="MY103" i="2"/>
  <c r="MZ103" i="2"/>
  <c r="NA103" i="2"/>
  <c r="NB103" i="2"/>
  <c r="NC103" i="2"/>
  <c r="ND103" i="2"/>
  <c r="NE103" i="2"/>
  <c r="NF103" i="2"/>
  <c r="NG103" i="2"/>
  <c r="NH103" i="2"/>
  <c r="NI103" i="2"/>
  <c r="NJ103" i="2"/>
  <c r="NK103" i="2"/>
  <c r="NL103" i="2"/>
  <c r="NM103" i="2"/>
  <c r="NN103" i="2"/>
  <c r="NO103" i="2"/>
  <c r="NP103" i="2"/>
  <c r="NQ103" i="2"/>
  <c r="NR103" i="2"/>
  <c r="NS103" i="2"/>
  <c r="NT103" i="2"/>
  <c r="NU103" i="2"/>
  <c r="NV103" i="2"/>
  <c r="NW103" i="2"/>
  <c r="NX103" i="2"/>
  <c r="NY103" i="2"/>
  <c r="NZ103" i="2"/>
  <c r="OA103" i="2"/>
  <c r="OB103" i="2"/>
  <c r="OC103" i="2"/>
  <c r="OD103" i="2"/>
  <c r="OE103" i="2"/>
  <c r="OF103" i="2"/>
  <c r="OG103" i="2"/>
  <c r="OH103" i="2"/>
  <c r="OI103" i="2"/>
  <c r="OJ103" i="2"/>
  <c r="OK103" i="2"/>
  <c r="OL103" i="2"/>
  <c r="OM103" i="2"/>
  <c r="ON103" i="2"/>
  <c r="OO103" i="2"/>
  <c r="OP103" i="2"/>
  <c r="OQ103" i="2"/>
  <c r="OR103" i="2"/>
  <c r="OS103" i="2"/>
  <c r="OT103" i="2"/>
  <c r="OU103" i="2"/>
  <c r="OV103" i="2"/>
  <c r="OW103" i="2"/>
  <c r="OX103" i="2"/>
  <c r="OY103" i="2"/>
  <c r="OZ103" i="2"/>
  <c r="PA103" i="2"/>
  <c r="PB103" i="2"/>
  <c r="PC103" i="2"/>
  <c r="PD103" i="2"/>
  <c r="PE103" i="2"/>
  <c r="PF103" i="2"/>
  <c r="PG103" i="2"/>
  <c r="PH103" i="2"/>
  <c r="PI103" i="2"/>
  <c r="PJ103" i="2"/>
  <c r="PK103" i="2"/>
  <c r="PL103" i="2"/>
  <c r="IA104" i="2"/>
  <c r="IC104" i="2"/>
  <c r="IE104" i="2"/>
  <c r="IG104" i="2"/>
  <c r="II104" i="2"/>
  <c r="IJ104" i="2"/>
  <c r="IK104" i="2"/>
  <c r="IL104" i="2"/>
  <c r="IM104" i="2"/>
  <c r="IN104" i="2"/>
  <c r="IO104" i="2"/>
  <c r="IP104" i="2"/>
  <c r="IQ104" i="2"/>
  <c r="IR104" i="2"/>
  <c r="IS104" i="2"/>
  <c r="IT104" i="2"/>
  <c r="IU104" i="2"/>
  <c r="IV104" i="2"/>
  <c r="IW104" i="2"/>
  <c r="JD104" i="2"/>
  <c r="JE104" i="2"/>
  <c r="JG104" i="2"/>
  <c r="JH104" i="2"/>
  <c r="JK104" i="2"/>
  <c r="JL104" i="2"/>
  <c r="JM104" i="2"/>
  <c r="JN104" i="2"/>
  <c r="JO104" i="2"/>
  <c r="JP104" i="2"/>
  <c r="JR104" i="2"/>
  <c r="JS104" i="2"/>
  <c r="JT104" i="2"/>
  <c r="JU104" i="2"/>
  <c r="JV104" i="2"/>
  <c r="JW104" i="2"/>
  <c r="JX104" i="2"/>
  <c r="JY104" i="2"/>
  <c r="JZ104" i="2"/>
  <c r="KA104" i="2"/>
  <c r="KB104" i="2"/>
  <c r="KC104" i="2"/>
  <c r="KD104" i="2"/>
  <c r="KE104" i="2"/>
  <c r="KF104" i="2"/>
  <c r="KG104" i="2"/>
  <c r="KH104" i="2"/>
  <c r="KI104" i="2"/>
  <c r="KJ104" i="2"/>
  <c r="KK104" i="2"/>
  <c r="KL104" i="2"/>
  <c r="KM104" i="2"/>
  <c r="KO104" i="2"/>
  <c r="KP104" i="2"/>
  <c r="KQ104" i="2"/>
  <c r="KR104" i="2"/>
  <c r="KS104" i="2"/>
  <c r="KT104" i="2"/>
  <c r="KU104" i="2"/>
  <c r="KY104" i="2"/>
  <c r="LA104" i="2"/>
  <c r="LC104" i="2"/>
  <c r="LE104" i="2"/>
  <c r="LG104" i="2"/>
  <c r="LH104" i="2"/>
  <c r="LI104" i="2"/>
  <c r="LJ104" i="2"/>
  <c r="LL104" i="2"/>
  <c r="LN104" i="2"/>
  <c r="LO104" i="2"/>
  <c r="LP104" i="2"/>
  <c r="LQ104" i="2"/>
  <c r="LR104" i="2"/>
  <c r="LS104" i="2"/>
  <c r="LT104" i="2"/>
  <c r="LU104" i="2"/>
  <c r="LV104" i="2"/>
  <c r="LW104" i="2"/>
  <c r="LX104" i="2"/>
  <c r="LY104" i="2"/>
  <c r="LZ104" i="2"/>
  <c r="MA104" i="2"/>
  <c r="MB104" i="2"/>
  <c r="MC104" i="2"/>
  <c r="MD104" i="2"/>
  <c r="ME104" i="2"/>
  <c r="MF104" i="2"/>
  <c r="MG104" i="2"/>
  <c r="MH104" i="2"/>
  <c r="MI104" i="2"/>
  <c r="MJ104" i="2"/>
  <c r="MK104" i="2"/>
  <c r="ML104" i="2"/>
  <c r="MM104" i="2"/>
  <c r="MN104" i="2"/>
  <c r="MO104" i="2"/>
  <c r="MP104" i="2"/>
  <c r="MQ104" i="2"/>
  <c r="MR104" i="2"/>
  <c r="MS104" i="2"/>
  <c r="MT104" i="2"/>
  <c r="MU104" i="2"/>
  <c r="MV104" i="2"/>
  <c r="MW104" i="2"/>
  <c r="MX104" i="2"/>
  <c r="MY104" i="2"/>
  <c r="MZ104" i="2"/>
  <c r="NA104" i="2"/>
  <c r="NB104" i="2"/>
  <c r="NC104" i="2"/>
  <c r="ND104" i="2"/>
  <c r="NE104" i="2"/>
  <c r="NF104" i="2"/>
  <c r="NG104" i="2"/>
  <c r="NH104" i="2"/>
  <c r="NI104" i="2"/>
  <c r="NJ104" i="2"/>
  <c r="NK104" i="2"/>
  <c r="NL104" i="2"/>
  <c r="NM104" i="2"/>
  <c r="NN104" i="2"/>
  <c r="NO104" i="2"/>
  <c r="NP104" i="2"/>
  <c r="NQ104" i="2"/>
  <c r="NR104" i="2"/>
  <c r="NS104" i="2"/>
  <c r="NT104" i="2"/>
  <c r="NU104" i="2"/>
  <c r="NV104" i="2"/>
  <c r="NW104" i="2"/>
  <c r="NX104" i="2"/>
  <c r="NY104" i="2"/>
  <c r="NZ104" i="2"/>
  <c r="OA104" i="2"/>
  <c r="OB104" i="2"/>
  <c r="OC104" i="2"/>
  <c r="OD104" i="2"/>
  <c r="OE104" i="2"/>
  <c r="OF104" i="2"/>
  <c r="OG104" i="2"/>
  <c r="OH104" i="2"/>
  <c r="OI104" i="2"/>
  <c r="OJ104" i="2"/>
  <c r="OK104" i="2"/>
  <c r="OL104" i="2"/>
  <c r="OM104" i="2"/>
  <c r="ON104" i="2"/>
  <c r="OO104" i="2"/>
  <c r="OP104" i="2"/>
  <c r="OQ104" i="2"/>
  <c r="OR104" i="2"/>
  <c r="OS104" i="2"/>
  <c r="OT104" i="2"/>
  <c r="OU104" i="2"/>
  <c r="OV104" i="2"/>
  <c r="OW104" i="2"/>
  <c r="OX104" i="2"/>
  <c r="OY104" i="2"/>
  <c r="OZ104" i="2"/>
  <c r="PA104" i="2"/>
  <c r="PB104" i="2"/>
  <c r="PC104" i="2"/>
  <c r="PD104" i="2"/>
  <c r="PE104" i="2"/>
  <c r="PF104" i="2"/>
  <c r="PG104" i="2"/>
  <c r="PH104" i="2"/>
  <c r="PI104" i="2"/>
  <c r="PJ104" i="2"/>
  <c r="PK104" i="2"/>
  <c r="PL104" i="2"/>
  <c r="IA105" i="2"/>
  <c r="IC105" i="2"/>
  <c r="IE105" i="2"/>
  <c r="IG105" i="2"/>
  <c r="II105" i="2"/>
  <c r="IJ105" i="2"/>
  <c r="IK105" i="2"/>
  <c r="IL105" i="2"/>
  <c r="IM105" i="2"/>
  <c r="IN105" i="2"/>
  <c r="IO105" i="2"/>
  <c r="IP105" i="2"/>
  <c r="IQ105" i="2"/>
  <c r="IR105" i="2"/>
  <c r="IS105" i="2"/>
  <c r="IT105" i="2"/>
  <c r="IU105" i="2"/>
  <c r="IV105" i="2"/>
  <c r="IW105" i="2"/>
  <c r="JD105" i="2"/>
  <c r="JE105" i="2"/>
  <c r="JG105" i="2"/>
  <c r="JH105" i="2"/>
  <c r="JK105" i="2"/>
  <c r="JL105" i="2"/>
  <c r="JM105" i="2"/>
  <c r="JN105" i="2"/>
  <c r="JO105" i="2"/>
  <c r="JP105" i="2"/>
  <c r="JR105" i="2"/>
  <c r="JS105" i="2"/>
  <c r="JT105" i="2"/>
  <c r="JU105" i="2"/>
  <c r="JV105" i="2"/>
  <c r="JW105" i="2"/>
  <c r="JX105" i="2"/>
  <c r="JY105" i="2"/>
  <c r="JZ105" i="2"/>
  <c r="KA105" i="2"/>
  <c r="KB105" i="2"/>
  <c r="KC105" i="2"/>
  <c r="KD105" i="2"/>
  <c r="KE105" i="2"/>
  <c r="KF105" i="2"/>
  <c r="KG105" i="2"/>
  <c r="KH105" i="2"/>
  <c r="KN105" i="2" s="1"/>
  <c r="KI105" i="2"/>
  <c r="KJ105" i="2"/>
  <c r="KK105" i="2"/>
  <c r="KL105" i="2"/>
  <c r="KM105" i="2"/>
  <c r="KO105" i="2"/>
  <c r="KP105" i="2"/>
  <c r="KQ105" i="2"/>
  <c r="KR105" i="2"/>
  <c r="KS105" i="2"/>
  <c r="KT105" i="2"/>
  <c r="KU105" i="2"/>
  <c r="KY105" i="2"/>
  <c r="LA105" i="2"/>
  <c r="LC105" i="2"/>
  <c r="LE105" i="2"/>
  <c r="LG105" i="2"/>
  <c r="LH105" i="2"/>
  <c r="LI105" i="2"/>
  <c r="LJ105" i="2"/>
  <c r="LL105" i="2"/>
  <c r="LN105" i="2"/>
  <c r="LO105" i="2"/>
  <c r="LP105" i="2"/>
  <c r="LQ105" i="2"/>
  <c r="LR105" i="2"/>
  <c r="LS105" i="2"/>
  <c r="LT105" i="2"/>
  <c r="LU105" i="2"/>
  <c r="LV105" i="2"/>
  <c r="LW105" i="2"/>
  <c r="LX105" i="2"/>
  <c r="LY105" i="2"/>
  <c r="LZ105" i="2"/>
  <c r="MA105" i="2"/>
  <c r="MB105" i="2"/>
  <c r="MC105" i="2"/>
  <c r="MD105" i="2"/>
  <c r="ME105" i="2"/>
  <c r="MF105" i="2"/>
  <c r="MG105" i="2"/>
  <c r="MH105" i="2"/>
  <c r="MI105" i="2"/>
  <c r="MJ105" i="2"/>
  <c r="MK105" i="2"/>
  <c r="ML105" i="2"/>
  <c r="MM105" i="2"/>
  <c r="MN105" i="2"/>
  <c r="MO105" i="2"/>
  <c r="MP105" i="2"/>
  <c r="MQ105" i="2"/>
  <c r="MR105" i="2"/>
  <c r="MS105" i="2"/>
  <c r="MT105" i="2"/>
  <c r="MU105" i="2"/>
  <c r="MV105" i="2"/>
  <c r="MW105" i="2"/>
  <c r="MX105" i="2"/>
  <c r="MY105" i="2"/>
  <c r="MZ105" i="2"/>
  <c r="NA105" i="2"/>
  <c r="NB105" i="2"/>
  <c r="NC105" i="2"/>
  <c r="ND105" i="2"/>
  <c r="NE105" i="2"/>
  <c r="NF105" i="2"/>
  <c r="NG105" i="2"/>
  <c r="NH105" i="2"/>
  <c r="NI105" i="2"/>
  <c r="NJ105" i="2"/>
  <c r="NK105" i="2"/>
  <c r="NL105" i="2"/>
  <c r="NM105" i="2"/>
  <c r="NN105" i="2"/>
  <c r="NO105" i="2"/>
  <c r="NP105" i="2"/>
  <c r="NQ105" i="2"/>
  <c r="NR105" i="2"/>
  <c r="NS105" i="2"/>
  <c r="NT105" i="2"/>
  <c r="NU105" i="2"/>
  <c r="NV105" i="2"/>
  <c r="NW105" i="2"/>
  <c r="NX105" i="2"/>
  <c r="NY105" i="2"/>
  <c r="NZ105" i="2"/>
  <c r="OA105" i="2"/>
  <c r="OB105" i="2"/>
  <c r="OC105" i="2"/>
  <c r="OD105" i="2"/>
  <c r="OE105" i="2"/>
  <c r="OF105" i="2"/>
  <c r="OG105" i="2"/>
  <c r="OH105" i="2"/>
  <c r="OI105" i="2"/>
  <c r="OJ105" i="2"/>
  <c r="OK105" i="2"/>
  <c r="OL105" i="2"/>
  <c r="OM105" i="2"/>
  <c r="ON105" i="2"/>
  <c r="OO105" i="2"/>
  <c r="OP105" i="2"/>
  <c r="OQ105" i="2"/>
  <c r="OR105" i="2"/>
  <c r="OS105" i="2"/>
  <c r="OT105" i="2"/>
  <c r="OU105" i="2"/>
  <c r="OV105" i="2"/>
  <c r="OW105" i="2"/>
  <c r="OX105" i="2"/>
  <c r="OY105" i="2"/>
  <c r="OZ105" i="2"/>
  <c r="PA105" i="2"/>
  <c r="PB105" i="2"/>
  <c r="PC105" i="2"/>
  <c r="PD105" i="2"/>
  <c r="PE105" i="2"/>
  <c r="PF105" i="2"/>
  <c r="PG105" i="2"/>
  <c r="PH105" i="2"/>
  <c r="PI105" i="2"/>
  <c r="PJ105" i="2"/>
  <c r="PK105" i="2"/>
  <c r="PL105" i="2"/>
  <c r="IA107" i="2"/>
  <c r="IC107" i="2"/>
  <c r="IE107" i="2"/>
  <c r="IG107" i="2"/>
  <c r="II107" i="2"/>
  <c r="IJ107" i="2"/>
  <c r="IK107" i="2"/>
  <c r="IL107" i="2"/>
  <c r="IM107" i="2"/>
  <c r="IN107" i="2"/>
  <c r="IO107" i="2"/>
  <c r="IP107" i="2"/>
  <c r="IQ107" i="2"/>
  <c r="IR107" i="2"/>
  <c r="IS107" i="2"/>
  <c r="IT107" i="2"/>
  <c r="IU107" i="2"/>
  <c r="IV107" i="2"/>
  <c r="IW107" i="2"/>
  <c r="JD107" i="2"/>
  <c r="JE107" i="2"/>
  <c r="JG107" i="2"/>
  <c r="JH107" i="2"/>
  <c r="JK107" i="2"/>
  <c r="JL107" i="2"/>
  <c r="JM107" i="2"/>
  <c r="JN107" i="2"/>
  <c r="JO107" i="2"/>
  <c r="JP107" i="2"/>
  <c r="JR107" i="2"/>
  <c r="JS107" i="2"/>
  <c r="JT107" i="2"/>
  <c r="JU107" i="2"/>
  <c r="JV107" i="2"/>
  <c r="JW107" i="2"/>
  <c r="JX107" i="2"/>
  <c r="JY107" i="2"/>
  <c r="JZ107" i="2"/>
  <c r="KA107" i="2"/>
  <c r="KB107" i="2"/>
  <c r="KC107" i="2"/>
  <c r="KD107" i="2"/>
  <c r="KE107" i="2"/>
  <c r="KF107" i="2"/>
  <c r="KG107" i="2"/>
  <c r="KH107" i="2"/>
  <c r="KN107" i="2" s="1"/>
  <c r="KI107" i="2"/>
  <c r="KJ107" i="2"/>
  <c r="KK107" i="2"/>
  <c r="KL107" i="2"/>
  <c r="KM107" i="2"/>
  <c r="KO107" i="2"/>
  <c r="KP107" i="2"/>
  <c r="KQ107" i="2"/>
  <c r="KR107" i="2"/>
  <c r="KS107" i="2"/>
  <c r="KT107" i="2"/>
  <c r="KU107" i="2"/>
  <c r="KY107" i="2"/>
  <c r="LA107" i="2"/>
  <c r="LC107" i="2"/>
  <c r="LE107" i="2"/>
  <c r="LG107" i="2"/>
  <c r="LH107" i="2"/>
  <c r="LI107" i="2"/>
  <c r="LJ107" i="2"/>
  <c r="LL107" i="2"/>
  <c r="LN107" i="2"/>
  <c r="LO107" i="2"/>
  <c r="LP107" i="2"/>
  <c r="LQ107" i="2"/>
  <c r="LR107" i="2"/>
  <c r="LS107" i="2"/>
  <c r="LT107" i="2"/>
  <c r="LU107" i="2"/>
  <c r="LV107" i="2"/>
  <c r="LW107" i="2"/>
  <c r="LX107" i="2"/>
  <c r="LY107" i="2"/>
  <c r="LZ107" i="2"/>
  <c r="MA107" i="2"/>
  <c r="MB107" i="2"/>
  <c r="MC107" i="2"/>
  <c r="MD107" i="2"/>
  <c r="ME107" i="2"/>
  <c r="MF107" i="2"/>
  <c r="MG107" i="2"/>
  <c r="MH107" i="2"/>
  <c r="MI107" i="2"/>
  <c r="MJ107" i="2"/>
  <c r="MK107" i="2"/>
  <c r="ML107" i="2"/>
  <c r="MM107" i="2"/>
  <c r="MN107" i="2"/>
  <c r="MO107" i="2"/>
  <c r="MP107" i="2"/>
  <c r="MQ107" i="2"/>
  <c r="MR107" i="2"/>
  <c r="MS107" i="2"/>
  <c r="MT107" i="2"/>
  <c r="MU107" i="2"/>
  <c r="MV107" i="2"/>
  <c r="MW107" i="2"/>
  <c r="MX107" i="2"/>
  <c r="MY107" i="2"/>
  <c r="MZ107" i="2"/>
  <c r="NA107" i="2"/>
  <c r="NB107" i="2"/>
  <c r="NC107" i="2"/>
  <c r="ND107" i="2"/>
  <c r="NE107" i="2"/>
  <c r="NF107" i="2"/>
  <c r="NG107" i="2"/>
  <c r="NH107" i="2"/>
  <c r="NI107" i="2"/>
  <c r="NJ107" i="2"/>
  <c r="NK107" i="2"/>
  <c r="NL107" i="2"/>
  <c r="NM107" i="2"/>
  <c r="NN107" i="2"/>
  <c r="NO107" i="2"/>
  <c r="NP107" i="2"/>
  <c r="NQ107" i="2"/>
  <c r="NR107" i="2"/>
  <c r="NS107" i="2"/>
  <c r="NT107" i="2"/>
  <c r="NU107" i="2"/>
  <c r="NV107" i="2"/>
  <c r="NW107" i="2"/>
  <c r="NX107" i="2"/>
  <c r="NY107" i="2"/>
  <c r="NZ107" i="2"/>
  <c r="OA107" i="2"/>
  <c r="OB107" i="2"/>
  <c r="OC107" i="2"/>
  <c r="OD107" i="2"/>
  <c r="OE107" i="2"/>
  <c r="OF107" i="2"/>
  <c r="OG107" i="2"/>
  <c r="OH107" i="2"/>
  <c r="OI107" i="2"/>
  <c r="OJ107" i="2"/>
  <c r="OK107" i="2"/>
  <c r="OL107" i="2"/>
  <c r="OM107" i="2"/>
  <c r="ON107" i="2"/>
  <c r="OO107" i="2"/>
  <c r="OP107" i="2"/>
  <c r="OQ107" i="2"/>
  <c r="OR107" i="2"/>
  <c r="OS107" i="2"/>
  <c r="OT107" i="2"/>
  <c r="OU107" i="2"/>
  <c r="OV107" i="2"/>
  <c r="OW107" i="2"/>
  <c r="OX107" i="2"/>
  <c r="OY107" i="2"/>
  <c r="OZ107" i="2"/>
  <c r="PA107" i="2"/>
  <c r="PB107" i="2"/>
  <c r="PC107" i="2"/>
  <c r="PD107" i="2"/>
  <c r="PE107" i="2"/>
  <c r="PF107" i="2"/>
  <c r="PG107" i="2"/>
  <c r="PH107" i="2"/>
  <c r="PI107" i="2"/>
  <c r="PJ107" i="2"/>
  <c r="PK107" i="2"/>
  <c r="PL107" i="2"/>
  <c r="IA108" i="2"/>
  <c r="IC108" i="2"/>
  <c r="IE108" i="2"/>
  <c r="IG108" i="2"/>
  <c r="II108" i="2"/>
  <c r="IJ108" i="2"/>
  <c r="IK108" i="2"/>
  <c r="IL108" i="2"/>
  <c r="IM108" i="2"/>
  <c r="IN108" i="2"/>
  <c r="IO108" i="2"/>
  <c r="IP108" i="2"/>
  <c r="IQ108" i="2"/>
  <c r="IR108" i="2"/>
  <c r="IS108" i="2"/>
  <c r="IT108" i="2"/>
  <c r="IU108" i="2"/>
  <c r="IV108" i="2"/>
  <c r="IW108" i="2"/>
  <c r="JD108" i="2"/>
  <c r="JE108" i="2"/>
  <c r="JG108" i="2"/>
  <c r="JH108" i="2"/>
  <c r="JK108" i="2"/>
  <c r="JL108" i="2"/>
  <c r="JM108" i="2"/>
  <c r="JN108" i="2"/>
  <c r="JO108" i="2"/>
  <c r="JP108" i="2"/>
  <c r="JR108" i="2"/>
  <c r="JS108" i="2"/>
  <c r="JT108" i="2"/>
  <c r="JU108" i="2"/>
  <c r="JV108" i="2"/>
  <c r="JW108" i="2"/>
  <c r="JX108" i="2"/>
  <c r="JY108" i="2"/>
  <c r="JZ108" i="2"/>
  <c r="KA108" i="2"/>
  <c r="KB108" i="2"/>
  <c r="KC108" i="2"/>
  <c r="KD108" i="2"/>
  <c r="KE108" i="2"/>
  <c r="KF108" i="2"/>
  <c r="KG108" i="2"/>
  <c r="KH108" i="2"/>
  <c r="KI108" i="2"/>
  <c r="KJ108" i="2"/>
  <c r="KK108" i="2"/>
  <c r="KL108" i="2"/>
  <c r="KM108" i="2"/>
  <c r="KO108" i="2"/>
  <c r="KP108" i="2"/>
  <c r="KQ108" i="2"/>
  <c r="KR108" i="2"/>
  <c r="KS108" i="2"/>
  <c r="KT108" i="2"/>
  <c r="KU108" i="2"/>
  <c r="KY108" i="2"/>
  <c r="LA108" i="2"/>
  <c r="LC108" i="2"/>
  <c r="LE108" i="2"/>
  <c r="LG108" i="2"/>
  <c r="LH108" i="2"/>
  <c r="LI108" i="2"/>
  <c r="LJ108" i="2"/>
  <c r="LL108" i="2"/>
  <c r="LN108" i="2"/>
  <c r="LO108" i="2"/>
  <c r="LP108" i="2"/>
  <c r="LQ108" i="2"/>
  <c r="LR108" i="2"/>
  <c r="LS108" i="2"/>
  <c r="LT108" i="2"/>
  <c r="LU108" i="2"/>
  <c r="LV108" i="2"/>
  <c r="LW108" i="2"/>
  <c r="LX108" i="2"/>
  <c r="LY108" i="2"/>
  <c r="LZ108" i="2"/>
  <c r="MA108" i="2"/>
  <c r="MB108" i="2"/>
  <c r="MC108" i="2"/>
  <c r="MD108" i="2"/>
  <c r="ME108" i="2"/>
  <c r="MF108" i="2"/>
  <c r="MG108" i="2"/>
  <c r="MH108" i="2"/>
  <c r="MI108" i="2"/>
  <c r="MJ108" i="2"/>
  <c r="MK108" i="2"/>
  <c r="ML108" i="2"/>
  <c r="MM108" i="2"/>
  <c r="MN108" i="2"/>
  <c r="MO108" i="2"/>
  <c r="MP108" i="2"/>
  <c r="MQ108" i="2"/>
  <c r="MR108" i="2"/>
  <c r="MS108" i="2"/>
  <c r="MT108" i="2"/>
  <c r="MU108" i="2"/>
  <c r="MV108" i="2"/>
  <c r="MW108" i="2"/>
  <c r="MX108" i="2"/>
  <c r="MY108" i="2"/>
  <c r="MZ108" i="2"/>
  <c r="NA108" i="2"/>
  <c r="NB108" i="2"/>
  <c r="NC108" i="2"/>
  <c r="ND108" i="2"/>
  <c r="NE108" i="2"/>
  <c r="NF108" i="2"/>
  <c r="NG108" i="2"/>
  <c r="NH108" i="2"/>
  <c r="NI108" i="2"/>
  <c r="NJ108" i="2"/>
  <c r="NK108" i="2"/>
  <c r="NL108" i="2"/>
  <c r="NM108" i="2"/>
  <c r="NN108" i="2"/>
  <c r="NO108" i="2"/>
  <c r="NP108" i="2"/>
  <c r="NQ108" i="2"/>
  <c r="NR108" i="2"/>
  <c r="NS108" i="2"/>
  <c r="NT108" i="2"/>
  <c r="NU108" i="2"/>
  <c r="NV108" i="2"/>
  <c r="NW108" i="2"/>
  <c r="NX108" i="2"/>
  <c r="NY108" i="2"/>
  <c r="NZ108" i="2"/>
  <c r="OA108" i="2"/>
  <c r="OB108" i="2"/>
  <c r="OC108" i="2"/>
  <c r="OD108" i="2"/>
  <c r="OE108" i="2"/>
  <c r="OF108" i="2"/>
  <c r="OG108" i="2"/>
  <c r="OH108" i="2"/>
  <c r="OI108" i="2"/>
  <c r="OJ108" i="2"/>
  <c r="OK108" i="2"/>
  <c r="OL108" i="2"/>
  <c r="OM108" i="2"/>
  <c r="ON108" i="2"/>
  <c r="OO108" i="2"/>
  <c r="OP108" i="2"/>
  <c r="OQ108" i="2"/>
  <c r="OR108" i="2"/>
  <c r="OS108" i="2"/>
  <c r="OT108" i="2"/>
  <c r="OU108" i="2"/>
  <c r="OV108" i="2"/>
  <c r="OW108" i="2"/>
  <c r="OX108" i="2"/>
  <c r="OY108" i="2"/>
  <c r="OZ108" i="2"/>
  <c r="PA108" i="2"/>
  <c r="PB108" i="2"/>
  <c r="PC108" i="2"/>
  <c r="PD108" i="2"/>
  <c r="PE108" i="2"/>
  <c r="PF108" i="2"/>
  <c r="PG108" i="2"/>
  <c r="PH108" i="2"/>
  <c r="PI108" i="2"/>
  <c r="PJ108" i="2"/>
  <c r="PK108" i="2"/>
  <c r="PL108" i="2"/>
  <c r="IA109" i="2"/>
  <c r="IC109" i="2"/>
  <c r="IE109" i="2"/>
  <c r="IG109" i="2"/>
  <c r="II109" i="2"/>
  <c r="IJ109" i="2"/>
  <c r="IK109" i="2"/>
  <c r="IL109" i="2"/>
  <c r="IM109" i="2"/>
  <c r="IN109" i="2"/>
  <c r="IO109" i="2"/>
  <c r="IP109" i="2"/>
  <c r="IQ109" i="2"/>
  <c r="IR109" i="2"/>
  <c r="IS109" i="2"/>
  <c r="IT109" i="2"/>
  <c r="IU109" i="2"/>
  <c r="IV109" i="2"/>
  <c r="IW109" i="2"/>
  <c r="JD109" i="2"/>
  <c r="JE109" i="2"/>
  <c r="JG109" i="2"/>
  <c r="JH109" i="2"/>
  <c r="JK109" i="2"/>
  <c r="JL109" i="2"/>
  <c r="JM109" i="2"/>
  <c r="JN109" i="2"/>
  <c r="JO109" i="2"/>
  <c r="JP109" i="2"/>
  <c r="JR109" i="2"/>
  <c r="JS109" i="2"/>
  <c r="JT109" i="2"/>
  <c r="JU109" i="2"/>
  <c r="JV109" i="2"/>
  <c r="JW109" i="2"/>
  <c r="JX109" i="2"/>
  <c r="KN109" i="2" s="1"/>
  <c r="JY109" i="2"/>
  <c r="JZ109" i="2"/>
  <c r="KA109" i="2"/>
  <c r="KB109" i="2"/>
  <c r="KC109" i="2"/>
  <c r="KD109" i="2"/>
  <c r="KE109" i="2"/>
  <c r="KF109" i="2"/>
  <c r="KG109" i="2"/>
  <c r="KH109" i="2"/>
  <c r="KI109" i="2"/>
  <c r="KJ109" i="2"/>
  <c r="KK109" i="2"/>
  <c r="KM109" i="2"/>
  <c r="KP109" i="2"/>
  <c r="KQ109" i="2"/>
  <c r="KR109" i="2"/>
  <c r="KS109" i="2"/>
  <c r="KT109" i="2"/>
  <c r="KU109" i="2"/>
  <c r="KY109" i="2"/>
  <c r="LA109" i="2"/>
  <c r="LC109" i="2"/>
  <c r="LE109" i="2"/>
  <c r="LG109" i="2"/>
  <c r="LH109" i="2"/>
  <c r="LI109" i="2"/>
  <c r="LJ109" i="2"/>
  <c r="LL109" i="2"/>
  <c r="LN109" i="2"/>
  <c r="LO109" i="2"/>
  <c r="LP109" i="2"/>
  <c r="LQ109" i="2"/>
  <c r="LR109" i="2"/>
  <c r="LS109" i="2"/>
  <c r="LT109" i="2"/>
  <c r="LU109" i="2"/>
  <c r="LV109" i="2"/>
  <c r="LW109" i="2"/>
  <c r="LX109" i="2"/>
  <c r="LY109" i="2"/>
  <c r="LZ109" i="2"/>
  <c r="MA109" i="2"/>
  <c r="MB109" i="2"/>
  <c r="MC109" i="2"/>
  <c r="MD109" i="2"/>
  <c r="ME109" i="2"/>
  <c r="MF109" i="2"/>
  <c r="MG109" i="2"/>
  <c r="MH109" i="2"/>
  <c r="MI109" i="2"/>
  <c r="MJ109" i="2"/>
  <c r="MK109" i="2"/>
  <c r="ML109" i="2"/>
  <c r="MM109" i="2"/>
  <c r="MN109" i="2"/>
  <c r="MO109" i="2"/>
  <c r="MP109" i="2"/>
  <c r="MQ109" i="2"/>
  <c r="MR109" i="2"/>
  <c r="MS109" i="2"/>
  <c r="MT109" i="2"/>
  <c r="MU109" i="2"/>
  <c r="MV109" i="2"/>
  <c r="MW109" i="2"/>
  <c r="MX109" i="2"/>
  <c r="MY109" i="2"/>
  <c r="MZ109" i="2"/>
  <c r="NA109" i="2"/>
  <c r="NB109" i="2"/>
  <c r="NC109" i="2"/>
  <c r="ND109" i="2"/>
  <c r="NE109" i="2"/>
  <c r="NF109" i="2"/>
  <c r="NG109" i="2"/>
  <c r="NH109" i="2"/>
  <c r="NI109" i="2"/>
  <c r="NJ109" i="2"/>
  <c r="NK109" i="2"/>
  <c r="NL109" i="2"/>
  <c r="NM109" i="2"/>
  <c r="NN109" i="2"/>
  <c r="NO109" i="2"/>
  <c r="NP109" i="2"/>
  <c r="NQ109" i="2"/>
  <c r="NR109" i="2"/>
  <c r="NS109" i="2"/>
  <c r="NT109" i="2"/>
  <c r="NU109" i="2"/>
  <c r="NV109" i="2"/>
  <c r="NW109" i="2"/>
  <c r="NX109" i="2"/>
  <c r="NY109" i="2"/>
  <c r="NZ109" i="2"/>
  <c r="OA109" i="2"/>
  <c r="OB109" i="2"/>
  <c r="OC109" i="2"/>
  <c r="OD109" i="2"/>
  <c r="OE109" i="2"/>
  <c r="OF109" i="2"/>
  <c r="OG109" i="2"/>
  <c r="OH109" i="2"/>
  <c r="OI109" i="2"/>
  <c r="OJ109" i="2"/>
  <c r="OK109" i="2"/>
  <c r="OL109" i="2"/>
  <c r="OM109" i="2"/>
  <c r="ON109" i="2"/>
  <c r="OO109" i="2"/>
  <c r="OP109" i="2"/>
  <c r="OQ109" i="2"/>
  <c r="OR109" i="2"/>
  <c r="OS109" i="2"/>
  <c r="OT109" i="2"/>
  <c r="OU109" i="2"/>
  <c r="OW109" i="2"/>
  <c r="OX109" i="2"/>
  <c r="OY109" i="2"/>
  <c r="OZ109" i="2"/>
  <c r="PA109" i="2"/>
  <c r="PB109" i="2"/>
  <c r="PC109" i="2"/>
  <c r="PD109" i="2"/>
  <c r="PE109" i="2"/>
  <c r="PF109" i="2"/>
  <c r="PG109" i="2"/>
  <c r="PH109" i="2"/>
  <c r="PI109" i="2"/>
  <c r="PJ109" i="2"/>
  <c r="PK109" i="2"/>
  <c r="PL109" i="2"/>
  <c r="IA110" i="2"/>
  <c r="IC110" i="2"/>
  <c r="IE110" i="2"/>
  <c r="IG110" i="2"/>
  <c r="II110" i="2"/>
  <c r="IJ110" i="2"/>
  <c r="IK110" i="2"/>
  <c r="IL110" i="2"/>
  <c r="IM110" i="2"/>
  <c r="IN110" i="2"/>
  <c r="IO110" i="2"/>
  <c r="IP110" i="2"/>
  <c r="IQ110" i="2"/>
  <c r="IR110" i="2"/>
  <c r="IS110" i="2"/>
  <c r="IT110" i="2"/>
  <c r="IU110" i="2"/>
  <c r="IV110" i="2"/>
  <c r="IW110" i="2"/>
  <c r="JD110" i="2"/>
  <c r="JE110" i="2"/>
  <c r="JG110" i="2"/>
  <c r="JH110" i="2"/>
  <c r="JK110" i="2"/>
  <c r="JL110" i="2"/>
  <c r="JM110" i="2"/>
  <c r="JN110" i="2"/>
  <c r="JO110" i="2"/>
  <c r="JP110" i="2"/>
  <c r="JR110" i="2"/>
  <c r="JS110" i="2"/>
  <c r="JT110" i="2"/>
  <c r="JU110" i="2"/>
  <c r="JV110" i="2"/>
  <c r="JW110" i="2"/>
  <c r="JX110" i="2"/>
  <c r="KN110" i="2" s="1"/>
  <c r="JY110" i="2"/>
  <c r="JZ110" i="2"/>
  <c r="KA110" i="2"/>
  <c r="KB110" i="2"/>
  <c r="KC110" i="2"/>
  <c r="KD110" i="2"/>
  <c r="KE110" i="2"/>
  <c r="KF110" i="2"/>
  <c r="KG110" i="2"/>
  <c r="KH110" i="2"/>
  <c r="KI110" i="2"/>
  <c r="KJ110" i="2"/>
  <c r="KK110" i="2"/>
  <c r="KM110" i="2"/>
  <c r="KP110" i="2"/>
  <c r="KQ110" i="2"/>
  <c r="KR110" i="2"/>
  <c r="KS110" i="2"/>
  <c r="KT110" i="2"/>
  <c r="KU110" i="2"/>
  <c r="KY110" i="2"/>
  <c r="LA110" i="2"/>
  <c r="LC110" i="2"/>
  <c r="LE110" i="2"/>
  <c r="LG110" i="2"/>
  <c r="LH110" i="2"/>
  <c r="LI110" i="2"/>
  <c r="LJ110" i="2"/>
  <c r="LL110" i="2"/>
  <c r="LN110" i="2"/>
  <c r="LO110" i="2"/>
  <c r="LP110" i="2"/>
  <c r="LQ110" i="2"/>
  <c r="LR110" i="2"/>
  <c r="LS110" i="2"/>
  <c r="LT110" i="2"/>
  <c r="LU110" i="2"/>
  <c r="LV110" i="2"/>
  <c r="LW110" i="2"/>
  <c r="LX110" i="2"/>
  <c r="LY110" i="2"/>
  <c r="LZ110" i="2"/>
  <c r="MA110" i="2"/>
  <c r="MB110" i="2"/>
  <c r="MC110" i="2"/>
  <c r="MD110" i="2"/>
  <c r="ME110" i="2"/>
  <c r="MF110" i="2"/>
  <c r="MG110" i="2"/>
  <c r="MH110" i="2"/>
  <c r="MI110" i="2"/>
  <c r="MJ110" i="2"/>
  <c r="MK110" i="2"/>
  <c r="ML110" i="2"/>
  <c r="MM110" i="2"/>
  <c r="MN110" i="2"/>
  <c r="MO110" i="2"/>
  <c r="MP110" i="2"/>
  <c r="MQ110" i="2"/>
  <c r="MR110" i="2"/>
  <c r="MS110" i="2"/>
  <c r="MT110" i="2"/>
  <c r="MU110" i="2"/>
  <c r="MV110" i="2"/>
  <c r="MW110" i="2"/>
  <c r="MX110" i="2"/>
  <c r="MY110" i="2"/>
  <c r="MZ110" i="2"/>
  <c r="NA110" i="2"/>
  <c r="NB110" i="2"/>
  <c r="NC110" i="2"/>
  <c r="ND110" i="2"/>
  <c r="NE110" i="2"/>
  <c r="NF110" i="2"/>
  <c r="NG110" i="2"/>
  <c r="NH110" i="2"/>
  <c r="NI110" i="2"/>
  <c r="NJ110" i="2"/>
  <c r="NK110" i="2"/>
  <c r="NL110" i="2"/>
  <c r="NM110" i="2"/>
  <c r="NN110" i="2"/>
  <c r="NO110" i="2"/>
  <c r="NP110" i="2"/>
  <c r="NQ110" i="2"/>
  <c r="NR110" i="2"/>
  <c r="NS110" i="2"/>
  <c r="NT110" i="2"/>
  <c r="NU110" i="2"/>
  <c r="NV110" i="2"/>
  <c r="NW110" i="2"/>
  <c r="NX110" i="2"/>
  <c r="NY110" i="2"/>
  <c r="NZ110" i="2"/>
  <c r="OA110" i="2"/>
  <c r="OB110" i="2"/>
  <c r="OC110" i="2"/>
  <c r="OD110" i="2"/>
  <c r="OE110" i="2"/>
  <c r="OF110" i="2"/>
  <c r="OG110" i="2"/>
  <c r="OH110" i="2"/>
  <c r="OI110" i="2"/>
  <c r="OJ110" i="2"/>
  <c r="OK110" i="2"/>
  <c r="OL110" i="2"/>
  <c r="OM110" i="2"/>
  <c r="ON110" i="2"/>
  <c r="OO110" i="2"/>
  <c r="OP110" i="2"/>
  <c r="OQ110" i="2"/>
  <c r="OR110" i="2"/>
  <c r="OS110" i="2"/>
  <c r="OT110" i="2"/>
  <c r="OU110" i="2"/>
  <c r="OW110" i="2"/>
  <c r="OX110" i="2"/>
  <c r="OY110" i="2"/>
  <c r="OZ110" i="2"/>
  <c r="PA110" i="2"/>
  <c r="PB110" i="2"/>
  <c r="PC110" i="2"/>
  <c r="PD110" i="2"/>
  <c r="PE110" i="2"/>
  <c r="PF110" i="2"/>
  <c r="PG110" i="2"/>
  <c r="PH110" i="2"/>
  <c r="PI110" i="2"/>
  <c r="PJ110" i="2"/>
  <c r="PK110" i="2"/>
  <c r="PL110" i="2"/>
  <c r="IA112" i="2"/>
  <c r="IC112" i="2"/>
  <c r="IE112" i="2"/>
  <c r="IG112" i="2"/>
  <c r="II112" i="2"/>
  <c r="IJ112" i="2"/>
  <c r="IK112" i="2"/>
  <c r="IL112" i="2"/>
  <c r="IM112" i="2"/>
  <c r="IN112" i="2"/>
  <c r="IO112" i="2"/>
  <c r="IP112" i="2"/>
  <c r="IQ112" i="2"/>
  <c r="IR112" i="2"/>
  <c r="IS112" i="2"/>
  <c r="IT112" i="2"/>
  <c r="IU112" i="2"/>
  <c r="IV112" i="2"/>
  <c r="IW112" i="2"/>
  <c r="JD112" i="2"/>
  <c r="JE112" i="2"/>
  <c r="JG112" i="2"/>
  <c r="JH112" i="2"/>
  <c r="JK112" i="2"/>
  <c r="JL112" i="2"/>
  <c r="JM112" i="2"/>
  <c r="JN112" i="2"/>
  <c r="JO112" i="2"/>
  <c r="JP112" i="2"/>
  <c r="JR112" i="2"/>
  <c r="JS112" i="2"/>
  <c r="JT112" i="2"/>
  <c r="JU112" i="2"/>
  <c r="JV112" i="2"/>
  <c r="JW112" i="2"/>
  <c r="JX112" i="2"/>
  <c r="KN112" i="2" s="1"/>
  <c r="JY112" i="2"/>
  <c r="JZ112" i="2"/>
  <c r="KA112" i="2"/>
  <c r="KB112" i="2"/>
  <c r="KC112" i="2"/>
  <c r="KD112" i="2"/>
  <c r="KE112" i="2"/>
  <c r="KF112" i="2"/>
  <c r="KG112" i="2"/>
  <c r="KH112" i="2"/>
  <c r="KI112" i="2"/>
  <c r="KJ112" i="2"/>
  <c r="KK112" i="2"/>
  <c r="KM112" i="2"/>
  <c r="KP112" i="2"/>
  <c r="KQ112" i="2"/>
  <c r="KR112" i="2"/>
  <c r="KS112" i="2"/>
  <c r="KT112" i="2"/>
  <c r="KU112" i="2"/>
  <c r="KY112" i="2"/>
  <c r="LA112" i="2"/>
  <c r="LC112" i="2"/>
  <c r="LE112" i="2"/>
  <c r="LG112" i="2"/>
  <c r="LH112" i="2"/>
  <c r="LI112" i="2"/>
  <c r="LJ112" i="2"/>
  <c r="LL112" i="2"/>
  <c r="LN112" i="2"/>
  <c r="LO112" i="2"/>
  <c r="LP112" i="2"/>
  <c r="LQ112" i="2"/>
  <c r="LR112" i="2"/>
  <c r="LS112" i="2"/>
  <c r="LT112" i="2"/>
  <c r="LU112" i="2"/>
  <c r="LV112" i="2"/>
  <c r="LW112" i="2"/>
  <c r="LX112" i="2"/>
  <c r="LY112" i="2"/>
  <c r="LZ112" i="2"/>
  <c r="MA112" i="2"/>
  <c r="MB112" i="2"/>
  <c r="MC112" i="2"/>
  <c r="MD112" i="2"/>
  <c r="ME112" i="2"/>
  <c r="MF112" i="2"/>
  <c r="MG112" i="2"/>
  <c r="MH112" i="2"/>
  <c r="MI112" i="2"/>
  <c r="MJ112" i="2"/>
  <c r="MK112" i="2"/>
  <c r="ML112" i="2"/>
  <c r="MM112" i="2"/>
  <c r="MN112" i="2"/>
  <c r="MO112" i="2"/>
  <c r="MP112" i="2"/>
  <c r="MQ112" i="2"/>
  <c r="MR112" i="2"/>
  <c r="MS112" i="2"/>
  <c r="MT112" i="2"/>
  <c r="MU112" i="2"/>
  <c r="MV112" i="2"/>
  <c r="MW112" i="2"/>
  <c r="MX112" i="2"/>
  <c r="MY112" i="2"/>
  <c r="MZ112" i="2"/>
  <c r="NA112" i="2"/>
  <c r="NB112" i="2"/>
  <c r="NC112" i="2"/>
  <c r="ND112" i="2"/>
  <c r="NE112" i="2"/>
  <c r="NF112" i="2"/>
  <c r="NG112" i="2"/>
  <c r="NH112" i="2"/>
  <c r="NI112" i="2"/>
  <c r="NJ112" i="2"/>
  <c r="NK112" i="2"/>
  <c r="NL112" i="2"/>
  <c r="NM112" i="2"/>
  <c r="NN112" i="2"/>
  <c r="NO112" i="2"/>
  <c r="NP112" i="2"/>
  <c r="NQ112" i="2"/>
  <c r="NR112" i="2"/>
  <c r="NS112" i="2"/>
  <c r="NT112" i="2"/>
  <c r="NU112" i="2"/>
  <c r="NV112" i="2"/>
  <c r="NW112" i="2"/>
  <c r="NX112" i="2"/>
  <c r="NY112" i="2"/>
  <c r="NZ112" i="2"/>
  <c r="OA112" i="2"/>
  <c r="OB112" i="2"/>
  <c r="OC112" i="2"/>
  <c r="OD112" i="2"/>
  <c r="OE112" i="2"/>
  <c r="OF112" i="2"/>
  <c r="OG112" i="2"/>
  <c r="OH112" i="2"/>
  <c r="OI112" i="2"/>
  <c r="OJ112" i="2"/>
  <c r="OK112" i="2"/>
  <c r="OL112" i="2"/>
  <c r="OM112" i="2"/>
  <c r="ON112" i="2"/>
  <c r="OO112" i="2"/>
  <c r="OP112" i="2"/>
  <c r="OQ112" i="2"/>
  <c r="OR112" i="2"/>
  <c r="OS112" i="2"/>
  <c r="OT112" i="2"/>
  <c r="OU112" i="2"/>
  <c r="OW112" i="2"/>
  <c r="OX112" i="2"/>
  <c r="OY112" i="2"/>
  <c r="OZ112" i="2"/>
  <c r="PA112" i="2"/>
  <c r="PB112" i="2"/>
  <c r="PC112" i="2"/>
  <c r="PD112" i="2"/>
  <c r="PE112" i="2"/>
  <c r="PF112" i="2"/>
  <c r="PG112" i="2"/>
  <c r="PH112" i="2"/>
  <c r="PI112" i="2"/>
  <c r="PJ112" i="2"/>
  <c r="PK112" i="2"/>
  <c r="PL112" i="2"/>
  <c r="IA113" i="2"/>
  <c r="IC113" i="2"/>
  <c r="IE113" i="2"/>
  <c r="IG113" i="2"/>
  <c r="II113" i="2"/>
  <c r="IJ113" i="2"/>
  <c r="IK113" i="2"/>
  <c r="IL113" i="2"/>
  <c r="IM113" i="2"/>
  <c r="IN113" i="2"/>
  <c r="IO113" i="2"/>
  <c r="IP113" i="2"/>
  <c r="IQ113" i="2"/>
  <c r="IR113" i="2"/>
  <c r="IS113" i="2"/>
  <c r="IT113" i="2"/>
  <c r="IU113" i="2"/>
  <c r="IV113" i="2"/>
  <c r="IW113" i="2"/>
  <c r="JD113" i="2"/>
  <c r="JE113" i="2"/>
  <c r="JG113" i="2"/>
  <c r="JH113" i="2"/>
  <c r="JK113" i="2"/>
  <c r="JL113" i="2"/>
  <c r="JM113" i="2"/>
  <c r="JN113" i="2"/>
  <c r="JO113" i="2"/>
  <c r="JP113" i="2"/>
  <c r="JR113" i="2"/>
  <c r="JS113" i="2"/>
  <c r="JT113" i="2"/>
  <c r="JU113" i="2"/>
  <c r="JV113" i="2"/>
  <c r="JW113" i="2"/>
  <c r="JX113" i="2"/>
  <c r="JY113" i="2"/>
  <c r="JZ113" i="2"/>
  <c r="KA113" i="2"/>
  <c r="KB113" i="2"/>
  <c r="KC113" i="2"/>
  <c r="KD113" i="2"/>
  <c r="KE113" i="2"/>
  <c r="KF113" i="2"/>
  <c r="KG113" i="2"/>
  <c r="KH113" i="2"/>
  <c r="KI113" i="2"/>
  <c r="KJ113" i="2"/>
  <c r="KK113" i="2"/>
  <c r="KM113" i="2"/>
  <c r="KP113" i="2"/>
  <c r="KQ113" i="2"/>
  <c r="KR113" i="2"/>
  <c r="KS113" i="2"/>
  <c r="KT113" i="2"/>
  <c r="KU113" i="2"/>
  <c r="KY113" i="2"/>
  <c r="LA113" i="2"/>
  <c r="LC113" i="2"/>
  <c r="LE113" i="2"/>
  <c r="LG113" i="2"/>
  <c r="LH113" i="2"/>
  <c r="LI113" i="2"/>
  <c r="LJ113" i="2"/>
  <c r="LL113" i="2"/>
  <c r="LN113" i="2"/>
  <c r="LO113" i="2"/>
  <c r="LP113" i="2"/>
  <c r="LQ113" i="2"/>
  <c r="LR113" i="2"/>
  <c r="LS113" i="2"/>
  <c r="LT113" i="2"/>
  <c r="LU113" i="2"/>
  <c r="LV113" i="2"/>
  <c r="LW113" i="2"/>
  <c r="LX113" i="2"/>
  <c r="LY113" i="2"/>
  <c r="LZ113" i="2"/>
  <c r="MA113" i="2"/>
  <c r="MB113" i="2"/>
  <c r="MC113" i="2"/>
  <c r="MD113" i="2"/>
  <c r="ME113" i="2"/>
  <c r="MF113" i="2"/>
  <c r="MG113" i="2"/>
  <c r="MH113" i="2"/>
  <c r="MI113" i="2"/>
  <c r="MJ113" i="2"/>
  <c r="MK113" i="2"/>
  <c r="ML113" i="2"/>
  <c r="MM113" i="2"/>
  <c r="MN113" i="2"/>
  <c r="MO113" i="2"/>
  <c r="MP113" i="2"/>
  <c r="MQ113" i="2"/>
  <c r="MR113" i="2"/>
  <c r="MS113" i="2"/>
  <c r="MT113" i="2"/>
  <c r="MU113" i="2"/>
  <c r="MV113" i="2"/>
  <c r="MW113" i="2"/>
  <c r="MX113" i="2"/>
  <c r="MY113" i="2"/>
  <c r="MZ113" i="2"/>
  <c r="NA113" i="2"/>
  <c r="NB113" i="2"/>
  <c r="NC113" i="2"/>
  <c r="ND113" i="2"/>
  <c r="NE113" i="2"/>
  <c r="NF113" i="2"/>
  <c r="NG113" i="2"/>
  <c r="NH113" i="2"/>
  <c r="NI113" i="2"/>
  <c r="NJ113" i="2"/>
  <c r="NK113" i="2"/>
  <c r="NL113" i="2"/>
  <c r="NM113" i="2"/>
  <c r="NN113" i="2"/>
  <c r="NO113" i="2"/>
  <c r="NP113" i="2"/>
  <c r="NQ113" i="2"/>
  <c r="NR113" i="2"/>
  <c r="NS113" i="2"/>
  <c r="NT113" i="2"/>
  <c r="NU113" i="2"/>
  <c r="NV113" i="2"/>
  <c r="NW113" i="2"/>
  <c r="NX113" i="2"/>
  <c r="NY113" i="2"/>
  <c r="NZ113" i="2"/>
  <c r="OA113" i="2"/>
  <c r="OB113" i="2"/>
  <c r="OC113" i="2"/>
  <c r="OD113" i="2"/>
  <c r="OE113" i="2"/>
  <c r="OF113" i="2"/>
  <c r="OG113" i="2"/>
  <c r="OH113" i="2"/>
  <c r="OI113" i="2"/>
  <c r="OJ113" i="2"/>
  <c r="OK113" i="2"/>
  <c r="OL113" i="2"/>
  <c r="OM113" i="2"/>
  <c r="ON113" i="2"/>
  <c r="OO113" i="2"/>
  <c r="OP113" i="2"/>
  <c r="OQ113" i="2"/>
  <c r="OR113" i="2"/>
  <c r="OS113" i="2"/>
  <c r="OT113" i="2"/>
  <c r="OU113" i="2"/>
  <c r="OW113" i="2"/>
  <c r="OX113" i="2"/>
  <c r="OY113" i="2"/>
  <c r="OZ113" i="2"/>
  <c r="PA113" i="2"/>
  <c r="PB113" i="2"/>
  <c r="PC113" i="2"/>
  <c r="PD113" i="2"/>
  <c r="PE113" i="2"/>
  <c r="PF113" i="2"/>
  <c r="PG113" i="2"/>
  <c r="PH113" i="2"/>
  <c r="PI113" i="2"/>
  <c r="PJ113" i="2"/>
  <c r="PK113" i="2"/>
  <c r="PL113" i="2"/>
  <c r="IA114" i="2"/>
  <c r="IC114" i="2"/>
  <c r="IE114" i="2"/>
  <c r="IG114" i="2"/>
  <c r="II114" i="2"/>
  <c r="IJ114" i="2"/>
  <c r="IK114" i="2"/>
  <c r="IL114" i="2"/>
  <c r="IM114" i="2"/>
  <c r="IN114" i="2"/>
  <c r="IO114" i="2"/>
  <c r="IP114" i="2"/>
  <c r="IQ114" i="2"/>
  <c r="IR114" i="2"/>
  <c r="IS114" i="2"/>
  <c r="IT114" i="2"/>
  <c r="IU114" i="2"/>
  <c r="IV114" i="2"/>
  <c r="IW114" i="2"/>
  <c r="JD114" i="2"/>
  <c r="JE114" i="2"/>
  <c r="JG114" i="2"/>
  <c r="JH114" i="2"/>
  <c r="JK114" i="2"/>
  <c r="JL114" i="2"/>
  <c r="JM114" i="2"/>
  <c r="JN114" i="2"/>
  <c r="JO114" i="2"/>
  <c r="JP114" i="2"/>
  <c r="JR114" i="2"/>
  <c r="JS114" i="2"/>
  <c r="JT114" i="2"/>
  <c r="JU114" i="2"/>
  <c r="JV114" i="2"/>
  <c r="JW114" i="2"/>
  <c r="JX114" i="2"/>
  <c r="JY114" i="2"/>
  <c r="JZ114" i="2"/>
  <c r="KA114" i="2"/>
  <c r="KB114" i="2"/>
  <c r="KC114" i="2"/>
  <c r="KD114" i="2"/>
  <c r="KE114" i="2"/>
  <c r="KF114" i="2"/>
  <c r="KG114" i="2"/>
  <c r="KH114" i="2"/>
  <c r="KI114" i="2"/>
  <c r="KJ114" i="2"/>
  <c r="KK114" i="2"/>
  <c r="KM114" i="2"/>
  <c r="KP114" i="2"/>
  <c r="KQ114" i="2"/>
  <c r="KR114" i="2"/>
  <c r="KS114" i="2"/>
  <c r="KU114" i="2"/>
  <c r="KY114" i="2"/>
  <c r="LA114" i="2"/>
  <c r="LC114" i="2"/>
  <c r="LE114" i="2"/>
  <c r="LG114" i="2"/>
  <c r="LH114" i="2"/>
  <c r="LI114" i="2"/>
  <c r="LJ114" i="2"/>
  <c r="LL114" i="2"/>
  <c r="LN114" i="2"/>
  <c r="LO114" i="2"/>
  <c r="LP114" i="2"/>
  <c r="LQ114" i="2"/>
  <c r="LR114" i="2"/>
  <c r="LS114" i="2"/>
  <c r="LT114" i="2"/>
  <c r="LU114" i="2"/>
  <c r="LV114" i="2"/>
  <c r="LW114" i="2"/>
  <c r="LX114" i="2"/>
  <c r="LY114" i="2"/>
  <c r="LZ114" i="2"/>
  <c r="MA114" i="2"/>
  <c r="MB114" i="2"/>
  <c r="MC114" i="2"/>
  <c r="MD114" i="2"/>
  <c r="ME114" i="2"/>
  <c r="MF114" i="2"/>
  <c r="MG114" i="2"/>
  <c r="MH114" i="2"/>
  <c r="MI114" i="2"/>
  <c r="MJ114" i="2"/>
  <c r="MK114" i="2"/>
  <c r="ML114" i="2"/>
  <c r="MM114" i="2"/>
  <c r="MN114" i="2"/>
  <c r="MO114" i="2"/>
  <c r="MP114" i="2"/>
  <c r="MQ114" i="2"/>
  <c r="MR114" i="2"/>
  <c r="MS114" i="2"/>
  <c r="MT114" i="2"/>
  <c r="MU114" i="2"/>
  <c r="MV114" i="2"/>
  <c r="MW114" i="2"/>
  <c r="MX114" i="2"/>
  <c r="MY114" i="2"/>
  <c r="MZ114" i="2"/>
  <c r="NA114" i="2"/>
  <c r="NB114" i="2"/>
  <c r="NC114" i="2"/>
  <c r="ND114" i="2"/>
  <c r="NE114" i="2"/>
  <c r="NF114" i="2"/>
  <c r="NG114" i="2"/>
  <c r="NH114" i="2"/>
  <c r="NI114" i="2"/>
  <c r="NJ114" i="2"/>
  <c r="NK114" i="2"/>
  <c r="NL114" i="2"/>
  <c r="NM114" i="2"/>
  <c r="NN114" i="2"/>
  <c r="NO114" i="2"/>
  <c r="NP114" i="2"/>
  <c r="NQ114" i="2"/>
  <c r="NR114" i="2"/>
  <c r="NS114" i="2"/>
  <c r="NT114" i="2"/>
  <c r="NU114" i="2"/>
  <c r="NV114" i="2"/>
  <c r="NW114" i="2"/>
  <c r="NX114" i="2"/>
  <c r="NY114" i="2"/>
  <c r="NZ114" i="2"/>
  <c r="OA114" i="2"/>
  <c r="OB114" i="2"/>
  <c r="OC114" i="2"/>
  <c r="OD114" i="2"/>
  <c r="OE114" i="2"/>
  <c r="OF114" i="2"/>
  <c r="OG114" i="2"/>
  <c r="OH114" i="2"/>
  <c r="OI114" i="2"/>
  <c r="OJ114" i="2"/>
  <c r="OK114" i="2"/>
  <c r="OL114" i="2"/>
  <c r="OM114" i="2"/>
  <c r="ON114" i="2"/>
  <c r="OO114" i="2"/>
  <c r="OP114" i="2"/>
  <c r="OQ114" i="2"/>
  <c r="OR114" i="2"/>
  <c r="OS114" i="2"/>
  <c r="OT114" i="2"/>
  <c r="OU114" i="2"/>
  <c r="OW114" i="2"/>
  <c r="OX114" i="2"/>
  <c r="OY114" i="2"/>
  <c r="OZ114" i="2"/>
  <c r="PA114" i="2"/>
  <c r="PB114" i="2"/>
  <c r="PC114" i="2"/>
  <c r="PD114" i="2"/>
  <c r="PE114" i="2"/>
  <c r="PF114" i="2"/>
  <c r="PG114" i="2"/>
  <c r="PH114" i="2"/>
  <c r="PI114" i="2"/>
  <c r="PJ114" i="2"/>
  <c r="PK114" i="2"/>
  <c r="PL114" i="2"/>
  <c r="IA115" i="2"/>
  <c r="IC115" i="2"/>
  <c r="IE115" i="2"/>
  <c r="IG115" i="2"/>
  <c r="II115" i="2"/>
  <c r="IJ115" i="2"/>
  <c r="IK115" i="2"/>
  <c r="IL115" i="2"/>
  <c r="IM115" i="2"/>
  <c r="IN115" i="2"/>
  <c r="IO115" i="2"/>
  <c r="IP115" i="2"/>
  <c r="IQ115" i="2"/>
  <c r="IR115" i="2"/>
  <c r="IS115" i="2"/>
  <c r="IT115" i="2"/>
  <c r="IU115" i="2"/>
  <c r="IV115" i="2"/>
  <c r="IW115" i="2"/>
  <c r="JD115" i="2"/>
  <c r="JE115" i="2"/>
  <c r="JG115" i="2"/>
  <c r="JH115" i="2"/>
  <c r="JK115" i="2"/>
  <c r="JL115" i="2"/>
  <c r="JM115" i="2"/>
  <c r="JN115" i="2"/>
  <c r="JO115" i="2"/>
  <c r="JP115" i="2"/>
  <c r="JR115" i="2"/>
  <c r="JS115" i="2"/>
  <c r="JT115" i="2"/>
  <c r="JU115" i="2"/>
  <c r="JV115" i="2"/>
  <c r="JW115" i="2"/>
  <c r="JX115" i="2"/>
  <c r="JY115" i="2"/>
  <c r="JZ115" i="2"/>
  <c r="KA115" i="2"/>
  <c r="KB115" i="2"/>
  <c r="KC115" i="2"/>
  <c r="KD115" i="2"/>
  <c r="KE115" i="2"/>
  <c r="KF115" i="2"/>
  <c r="KG115" i="2"/>
  <c r="KH115" i="2"/>
  <c r="KN115" i="2" s="1"/>
  <c r="KI115" i="2"/>
  <c r="KJ115" i="2"/>
  <c r="KK115" i="2"/>
  <c r="KL115" i="2"/>
  <c r="KM115" i="2"/>
  <c r="KO115" i="2"/>
  <c r="KP115" i="2"/>
  <c r="KQ115" i="2"/>
  <c r="KR115" i="2"/>
  <c r="KS115" i="2"/>
  <c r="KT115" i="2"/>
  <c r="KU115" i="2"/>
  <c r="KY115" i="2"/>
  <c r="LA115" i="2"/>
  <c r="LC115" i="2"/>
  <c r="LE115" i="2"/>
  <c r="LG115" i="2"/>
  <c r="LH115" i="2"/>
  <c r="LI115" i="2"/>
  <c r="LJ115" i="2"/>
  <c r="LL115" i="2"/>
  <c r="LN115" i="2"/>
  <c r="LO115" i="2"/>
  <c r="LP115" i="2"/>
  <c r="LQ115" i="2"/>
  <c r="LR115" i="2"/>
  <c r="LS115" i="2"/>
  <c r="LT115" i="2"/>
  <c r="LU115" i="2"/>
  <c r="LV115" i="2"/>
  <c r="LW115" i="2"/>
  <c r="LX115" i="2"/>
  <c r="LY115" i="2"/>
  <c r="LZ115" i="2"/>
  <c r="MA115" i="2"/>
  <c r="MB115" i="2"/>
  <c r="MC115" i="2"/>
  <c r="MD115" i="2"/>
  <c r="ME115" i="2"/>
  <c r="MF115" i="2"/>
  <c r="MG115" i="2"/>
  <c r="MH115" i="2"/>
  <c r="MI115" i="2"/>
  <c r="MJ115" i="2"/>
  <c r="MK115" i="2"/>
  <c r="ML115" i="2"/>
  <c r="MM115" i="2"/>
  <c r="MN115" i="2"/>
  <c r="MO115" i="2"/>
  <c r="MP115" i="2"/>
  <c r="MQ115" i="2"/>
  <c r="MR115" i="2"/>
  <c r="MS115" i="2"/>
  <c r="MT115" i="2"/>
  <c r="MU115" i="2"/>
  <c r="MV115" i="2"/>
  <c r="MW115" i="2"/>
  <c r="MX115" i="2"/>
  <c r="MY115" i="2"/>
  <c r="MZ115" i="2"/>
  <c r="NA115" i="2"/>
  <c r="NB115" i="2"/>
  <c r="NC115" i="2"/>
  <c r="ND115" i="2"/>
  <c r="NE115" i="2"/>
  <c r="NF115" i="2"/>
  <c r="NG115" i="2"/>
  <c r="NH115" i="2"/>
  <c r="NI115" i="2"/>
  <c r="NJ115" i="2"/>
  <c r="NK115" i="2"/>
  <c r="NL115" i="2"/>
  <c r="NM115" i="2"/>
  <c r="NN115" i="2"/>
  <c r="NO115" i="2"/>
  <c r="NP115" i="2"/>
  <c r="NQ115" i="2"/>
  <c r="NR115" i="2"/>
  <c r="NS115" i="2"/>
  <c r="NT115" i="2"/>
  <c r="NU115" i="2"/>
  <c r="NV115" i="2"/>
  <c r="NW115" i="2"/>
  <c r="NX115" i="2"/>
  <c r="NY115" i="2"/>
  <c r="NZ115" i="2"/>
  <c r="OA115" i="2"/>
  <c r="OB115" i="2"/>
  <c r="OC115" i="2"/>
  <c r="OD115" i="2"/>
  <c r="OE115" i="2"/>
  <c r="OF115" i="2"/>
  <c r="OG115" i="2"/>
  <c r="OH115" i="2"/>
  <c r="OI115" i="2"/>
  <c r="OJ115" i="2"/>
  <c r="OK115" i="2"/>
  <c r="OL115" i="2"/>
  <c r="OM115" i="2"/>
  <c r="ON115" i="2"/>
  <c r="OO115" i="2"/>
  <c r="OP115" i="2"/>
  <c r="OQ115" i="2"/>
  <c r="OR115" i="2"/>
  <c r="OS115" i="2"/>
  <c r="OT115" i="2"/>
  <c r="OU115" i="2"/>
  <c r="OV115" i="2"/>
  <c r="OW115" i="2"/>
  <c r="OX115" i="2"/>
  <c r="OY115" i="2"/>
  <c r="OZ115" i="2"/>
  <c r="PA115" i="2"/>
  <c r="PB115" i="2"/>
  <c r="PC115" i="2"/>
  <c r="PD115" i="2"/>
  <c r="PE115" i="2"/>
  <c r="PF115" i="2"/>
  <c r="PG115" i="2"/>
  <c r="PH115" i="2"/>
  <c r="PI115" i="2"/>
  <c r="PJ115" i="2"/>
  <c r="PK115" i="2"/>
  <c r="PL115" i="2"/>
  <c r="IA116" i="2"/>
  <c r="IC116" i="2"/>
  <c r="IE116" i="2"/>
  <c r="IG116" i="2"/>
  <c r="II116" i="2"/>
  <c r="IJ116" i="2"/>
  <c r="IK116" i="2"/>
  <c r="IL116" i="2"/>
  <c r="IM116" i="2"/>
  <c r="IN116" i="2"/>
  <c r="IO116" i="2"/>
  <c r="IP116" i="2"/>
  <c r="IQ116" i="2"/>
  <c r="IR116" i="2"/>
  <c r="IS116" i="2"/>
  <c r="IT116" i="2"/>
  <c r="IU116" i="2"/>
  <c r="IV116" i="2"/>
  <c r="IW116" i="2"/>
  <c r="JD116" i="2"/>
  <c r="JE116" i="2"/>
  <c r="JG116" i="2"/>
  <c r="JH116" i="2"/>
  <c r="JK116" i="2"/>
  <c r="JL116" i="2"/>
  <c r="JM116" i="2"/>
  <c r="JN116" i="2"/>
  <c r="JO116" i="2"/>
  <c r="JP116" i="2"/>
  <c r="JR116" i="2"/>
  <c r="JS116" i="2"/>
  <c r="JT116" i="2"/>
  <c r="JU116" i="2"/>
  <c r="JV116" i="2"/>
  <c r="JW116" i="2"/>
  <c r="JX116" i="2"/>
  <c r="JY116" i="2"/>
  <c r="JZ116" i="2"/>
  <c r="KA116" i="2"/>
  <c r="KB116" i="2"/>
  <c r="KC116" i="2"/>
  <c r="KD116" i="2"/>
  <c r="KE116" i="2"/>
  <c r="KF116" i="2"/>
  <c r="KG116" i="2"/>
  <c r="KH116" i="2"/>
  <c r="KI116" i="2"/>
  <c r="KJ116" i="2"/>
  <c r="KK116" i="2"/>
  <c r="KL116" i="2"/>
  <c r="KM116" i="2"/>
  <c r="KO116" i="2"/>
  <c r="KP116" i="2"/>
  <c r="KQ116" i="2"/>
  <c r="KR116" i="2"/>
  <c r="KS116" i="2"/>
  <c r="KT116" i="2"/>
  <c r="KU116" i="2"/>
  <c r="KY116" i="2"/>
  <c r="LA116" i="2"/>
  <c r="LC116" i="2"/>
  <c r="LE116" i="2"/>
  <c r="LG116" i="2"/>
  <c r="LH116" i="2"/>
  <c r="LI116" i="2"/>
  <c r="LJ116" i="2"/>
  <c r="LL116" i="2"/>
  <c r="LN116" i="2"/>
  <c r="LO116" i="2"/>
  <c r="LP116" i="2"/>
  <c r="LQ116" i="2"/>
  <c r="LR116" i="2"/>
  <c r="LS116" i="2"/>
  <c r="LT116" i="2"/>
  <c r="LU116" i="2"/>
  <c r="LV116" i="2"/>
  <c r="LW116" i="2"/>
  <c r="LX116" i="2"/>
  <c r="LY116" i="2"/>
  <c r="LZ116" i="2"/>
  <c r="MA116" i="2"/>
  <c r="MB116" i="2"/>
  <c r="MC116" i="2"/>
  <c r="MD116" i="2"/>
  <c r="ME116" i="2"/>
  <c r="MF116" i="2"/>
  <c r="MG116" i="2"/>
  <c r="MH116" i="2"/>
  <c r="MI116" i="2"/>
  <c r="MJ116" i="2"/>
  <c r="MK116" i="2"/>
  <c r="ML116" i="2"/>
  <c r="MM116" i="2"/>
  <c r="MN116" i="2"/>
  <c r="MO116" i="2"/>
  <c r="MP116" i="2"/>
  <c r="MQ116" i="2"/>
  <c r="MR116" i="2"/>
  <c r="MS116" i="2"/>
  <c r="MT116" i="2"/>
  <c r="MU116" i="2"/>
  <c r="MV116" i="2"/>
  <c r="MW116" i="2"/>
  <c r="MX116" i="2"/>
  <c r="MY116" i="2"/>
  <c r="MZ116" i="2"/>
  <c r="NA116" i="2"/>
  <c r="NB116" i="2"/>
  <c r="NC116" i="2"/>
  <c r="ND116" i="2"/>
  <c r="NE116" i="2"/>
  <c r="NF116" i="2"/>
  <c r="NG116" i="2"/>
  <c r="NH116" i="2"/>
  <c r="NI116" i="2"/>
  <c r="NJ116" i="2"/>
  <c r="NK116" i="2"/>
  <c r="NL116" i="2"/>
  <c r="NM116" i="2"/>
  <c r="NN116" i="2"/>
  <c r="NO116" i="2"/>
  <c r="NP116" i="2"/>
  <c r="NQ116" i="2"/>
  <c r="NR116" i="2"/>
  <c r="NS116" i="2"/>
  <c r="NT116" i="2"/>
  <c r="NU116" i="2"/>
  <c r="NV116" i="2"/>
  <c r="NW116" i="2"/>
  <c r="NX116" i="2"/>
  <c r="NY116" i="2"/>
  <c r="NZ116" i="2"/>
  <c r="OA116" i="2"/>
  <c r="OB116" i="2"/>
  <c r="OC116" i="2"/>
  <c r="OD116" i="2"/>
  <c r="OE116" i="2"/>
  <c r="OF116" i="2"/>
  <c r="OG116" i="2"/>
  <c r="OH116" i="2"/>
  <c r="OI116" i="2"/>
  <c r="OJ116" i="2"/>
  <c r="OK116" i="2"/>
  <c r="OL116" i="2"/>
  <c r="OM116" i="2"/>
  <c r="ON116" i="2"/>
  <c r="OO116" i="2"/>
  <c r="OP116" i="2"/>
  <c r="OQ116" i="2"/>
  <c r="OR116" i="2"/>
  <c r="OS116" i="2"/>
  <c r="OT116" i="2"/>
  <c r="OU116" i="2"/>
  <c r="OV116" i="2"/>
  <c r="OW116" i="2"/>
  <c r="OX116" i="2"/>
  <c r="OY116" i="2"/>
  <c r="OZ116" i="2"/>
  <c r="PA116" i="2"/>
  <c r="PB116" i="2"/>
  <c r="PC116" i="2"/>
  <c r="PD116" i="2"/>
  <c r="PE116" i="2"/>
  <c r="PF116" i="2"/>
  <c r="PG116" i="2"/>
  <c r="PH116" i="2"/>
  <c r="PI116" i="2"/>
  <c r="PJ116" i="2"/>
  <c r="PK116" i="2"/>
  <c r="PL116" i="2"/>
  <c r="IA117" i="2"/>
  <c r="IC117" i="2"/>
  <c r="IE117" i="2"/>
  <c r="IG117" i="2"/>
  <c r="II117" i="2"/>
  <c r="IJ117" i="2"/>
  <c r="IK117" i="2"/>
  <c r="IL117" i="2"/>
  <c r="IM117" i="2"/>
  <c r="IN117" i="2"/>
  <c r="IO117" i="2"/>
  <c r="IP117" i="2"/>
  <c r="IQ117" i="2"/>
  <c r="IR117" i="2"/>
  <c r="IS117" i="2"/>
  <c r="IT117" i="2"/>
  <c r="IU117" i="2"/>
  <c r="IV117" i="2"/>
  <c r="IW117" i="2"/>
  <c r="JD117" i="2"/>
  <c r="JE117" i="2"/>
  <c r="JG117" i="2"/>
  <c r="JH117" i="2"/>
  <c r="JK117" i="2"/>
  <c r="JL117" i="2"/>
  <c r="JM117" i="2"/>
  <c r="JN117" i="2"/>
  <c r="JO117" i="2"/>
  <c r="JP117" i="2"/>
  <c r="JR117" i="2"/>
  <c r="JS117" i="2"/>
  <c r="JT117" i="2"/>
  <c r="JU117" i="2"/>
  <c r="JV117" i="2"/>
  <c r="JW117" i="2"/>
  <c r="JX117" i="2"/>
  <c r="JY117" i="2"/>
  <c r="JZ117" i="2"/>
  <c r="KA117" i="2"/>
  <c r="KB117" i="2"/>
  <c r="KC117" i="2"/>
  <c r="KD117" i="2"/>
  <c r="KE117" i="2"/>
  <c r="KF117" i="2"/>
  <c r="KG117" i="2"/>
  <c r="KH117" i="2"/>
  <c r="KI117" i="2"/>
  <c r="KJ117" i="2"/>
  <c r="KK117" i="2"/>
  <c r="KL117" i="2"/>
  <c r="KM117" i="2"/>
  <c r="KO117" i="2"/>
  <c r="KP117" i="2"/>
  <c r="KQ117" i="2"/>
  <c r="KR117" i="2"/>
  <c r="KS117" i="2"/>
  <c r="KT117" i="2"/>
  <c r="KU117" i="2"/>
  <c r="KY117" i="2"/>
  <c r="LA117" i="2"/>
  <c r="LC117" i="2"/>
  <c r="LE117" i="2"/>
  <c r="LG117" i="2"/>
  <c r="LH117" i="2"/>
  <c r="LI117" i="2"/>
  <c r="LJ117" i="2"/>
  <c r="LL117" i="2"/>
  <c r="LN117" i="2"/>
  <c r="LO117" i="2"/>
  <c r="LP117" i="2"/>
  <c r="LQ117" i="2"/>
  <c r="LR117" i="2"/>
  <c r="LS117" i="2"/>
  <c r="LT117" i="2"/>
  <c r="LU117" i="2"/>
  <c r="LV117" i="2"/>
  <c r="LW117" i="2"/>
  <c r="LX117" i="2"/>
  <c r="LY117" i="2"/>
  <c r="LZ117" i="2"/>
  <c r="MA117" i="2"/>
  <c r="MB117" i="2"/>
  <c r="MC117" i="2"/>
  <c r="MD117" i="2"/>
  <c r="ME117" i="2"/>
  <c r="MF117" i="2"/>
  <c r="MG117" i="2"/>
  <c r="MH117" i="2"/>
  <c r="MI117" i="2"/>
  <c r="MJ117" i="2"/>
  <c r="MK117" i="2"/>
  <c r="ML117" i="2"/>
  <c r="MM117" i="2"/>
  <c r="MN117" i="2"/>
  <c r="MO117" i="2"/>
  <c r="MP117" i="2"/>
  <c r="MQ117" i="2"/>
  <c r="MR117" i="2"/>
  <c r="MS117" i="2"/>
  <c r="MT117" i="2"/>
  <c r="MU117" i="2"/>
  <c r="MV117" i="2"/>
  <c r="MW117" i="2"/>
  <c r="MX117" i="2"/>
  <c r="MY117" i="2"/>
  <c r="MZ117" i="2"/>
  <c r="NA117" i="2"/>
  <c r="NB117" i="2"/>
  <c r="NC117" i="2"/>
  <c r="ND117" i="2"/>
  <c r="NE117" i="2"/>
  <c r="NF117" i="2"/>
  <c r="NG117" i="2"/>
  <c r="NH117" i="2"/>
  <c r="NI117" i="2"/>
  <c r="NJ117" i="2"/>
  <c r="NK117" i="2"/>
  <c r="NL117" i="2"/>
  <c r="NM117" i="2"/>
  <c r="NN117" i="2"/>
  <c r="NO117" i="2"/>
  <c r="NP117" i="2"/>
  <c r="NQ117" i="2"/>
  <c r="NR117" i="2"/>
  <c r="NS117" i="2"/>
  <c r="NT117" i="2"/>
  <c r="NU117" i="2"/>
  <c r="NV117" i="2"/>
  <c r="NW117" i="2"/>
  <c r="NX117" i="2"/>
  <c r="NY117" i="2"/>
  <c r="NZ117" i="2"/>
  <c r="OA117" i="2"/>
  <c r="OB117" i="2"/>
  <c r="OC117" i="2"/>
  <c r="OD117" i="2"/>
  <c r="OE117" i="2"/>
  <c r="OF117" i="2"/>
  <c r="OG117" i="2"/>
  <c r="OH117" i="2"/>
  <c r="OI117" i="2"/>
  <c r="OJ117" i="2"/>
  <c r="OK117" i="2"/>
  <c r="OL117" i="2"/>
  <c r="OM117" i="2"/>
  <c r="ON117" i="2"/>
  <c r="OO117" i="2"/>
  <c r="OP117" i="2"/>
  <c r="OQ117" i="2"/>
  <c r="OR117" i="2"/>
  <c r="OS117" i="2"/>
  <c r="OT117" i="2"/>
  <c r="OU117" i="2"/>
  <c r="OV117" i="2"/>
  <c r="OW117" i="2"/>
  <c r="OX117" i="2"/>
  <c r="OY117" i="2"/>
  <c r="OZ117" i="2"/>
  <c r="PA117" i="2"/>
  <c r="PB117" i="2"/>
  <c r="PC117" i="2"/>
  <c r="PD117" i="2"/>
  <c r="PE117" i="2"/>
  <c r="PF117" i="2"/>
  <c r="PG117" i="2"/>
  <c r="PH117" i="2"/>
  <c r="PI117" i="2"/>
  <c r="PJ117" i="2"/>
  <c r="PK117" i="2"/>
  <c r="PL117" i="2"/>
  <c r="IA118" i="2"/>
  <c r="IC118" i="2"/>
  <c r="IE118" i="2"/>
  <c r="IG118" i="2"/>
  <c r="II118" i="2"/>
  <c r="IJ118" i="2"/>
  <c r="IK118" i="2"/>
  <c r="IL118" i="2"/>
  <c r="IM118" i="2"/>
  <c r="IN118" i="2"/>
  <c r="IO118" i="2"/>
  <c r="IP118" i="2"/>
  <c r="IQ118" i="2"/>
  <c r="IR118" i="2"/>
  <c r="IS118" i="2"/>
  <c r="IT118" i="2"/>
  <c r="IU118" i="2"/>
  <c r="IV118" i="2"/>
  <c r="IW118" i="2"/>
  <c r="JD118" i="2"/>
  <c r="JE118" i="2"/>
  <c r="JG118" i="2"/>
  <c r="JH118" i="2"/>
  <c r="JK118" i="2"/>
  <c r="JL118" i="2"/>
  <c r="JM118" i="2"/>
  <c r="JN118" i="2"/>
  <c r="JO118" i="2"/>
  <c r="JP118" i="2"/>
  <c r="JR118" i="2"/>
  <c r="JS118" i="2"/>
  <c r="JT118" i="2"/>
  <c r="JU118" i="2"/>
  <c r="JV118" i="2"/>
  <c r="JW118" i="2"/>
  <c r="JX118" i="2"/>
  <c r="JY118" i="2"/>
  <c r="JZ118" i="2"/>
  <c r="KA118" i="2"/>
  <c r="KB118" i="2"/>
  <c r="KC118" i="2"/>
  <c r="KD118" i="2"/>
  <c r="KE118" i="2"/>
  <c r="KF118" i="2"/>
  <c r="KG118" i="2"/>
  <c r="KH118" i="2"/>
  <c r="KI118" i="2"/>
  <c r="KJ118" i="2"/>
  <c r="KK118" i="2"/>
  <c r="KM118" i="2"/>
  <c r="KP118" i="2"/>
  <c r="KQ118" i="2"/>
  <c r="KR118" i="2"/>
  <c r="KS118" i="2"/>
  <c r="KT118" i="2"/>
  <c r="KU118" i="2"/>
  <c r="KY118" i="2"/>
  <c r="LA118" i="2"/>
  <c r="LC118" i="2"/>
  <c r="LE118" i="2"/>
  <c r="LG118" i="2"/>
  <c r="LH118" i="2"/>
  <c r="LI118" i="2"/>
  <c r="LJ118" i="2"/>
  <c r="LL118" i="2"/>
  <c r="LN118" i="2"/>
  <c r="LO118" i="2"/>
  <c r="LP118" i="2"/>
  <c r="LQ118" i="2"/>
  <c r="LR118" i="2"/>
  <c r="LS118" i="2"/>
  <c r="LT118" i="2"/>
  <c r="LU118" i="2"/>
  <c r="LV118" i="2"/>
  <c r="LW118" i="2"/>
  <c r="LX118" i="2"/>
  <c r="LY118" i="2"/>
  <c r="LZ118" i="2"/>
  <c r="MA118" i="2"/>
  <c r="MB118" i="2"/>
  <c r="MC118" i="2"/>
  <c r="MD118" i="2"/>
  <c r="ME118" i="2"/>
  <c r="MF118" i="2"/>
  <c r="MG118" i="2"/>
  <c r="MH118" i="2"/>
  <c r="MI118" i="2"/>
  <c r="MJ118" i="2"/>
  <c r="MK118" i="2"/>
  <c r="ML118" i="2"/>
  <c r="MM118" i="2"/>
  <c r="MN118" i="2"/>
  <c r="MO118" i="2"/>
  <c r="MP118" i="2"/>
  <c r="MQ118" i="2"/>
  <c r="MR118" i="2"/>
  <c r="MS118" i="2"/>
  <c r="MT118" i="2"/>
  <c r="MU118" i="2"/>
  <c r="MV118" i="2"/>
  <c r="MW118" i="2"/>
  <c r="MX118" i="2"/>
  <c r="MY118" i="2"/>
  <c r="MZ118" i="2"/>
  <c r="NA118" i="2"/>
  <c r="NB118" i="2"/>
  <c r="NC118" i="2"/>
  <c r="ND118" i="2"/>
  <c r="NE118" i="2"/>
  <c r="NF118" i="2"/>
  <c r="NG118" i="2"/>
  <c r="NH118" i="2"/>
  <c r="NI118" i="2"/>
  <c r="NJ118" i="2"/>
  <c r="NK118" i="2"/>
  <c r="NL118" i="2"/>
  <c r="NM118" i="2"/>
  <c r="NN118" i="2"/>
  <c r="NO118" i="2"/>
  <c r="NP118" i="2"/>
  <c r="NQ118" i="2"/>
  <c r="NR118" i="2"/>
  <c r="NS118" i="2"/>
  <c r="NT118" i="2"/>
  <c r="NU118" i="2"/>
  <c r="NV118" i="2"/>
  <c r="NW118" i="2"/>
  <c r="NX118" i="2"/>
  <c r="NY118" i="2"/>
  <c r="NZ118" i="2"/>
  <c r="OA118" i="2"/>
  <c r="OB118" i="2"/>
  <c r="OC118" i="2"/>
  <c r="OD118" i="2"/>
  <c r="OE118" i="2"/>
  <c r="OF118" i="2"/>
  <c r="OG118" i="2"/>
  <c r="OH118" i="2"/>
  <c r="OI118" i="2"/>
  <c r="OJ118" i="2"/>
  <c r="OK118" i="2"/>
  <c r="OL118" i="2"/>
  <c r="OM118" i="2"/>
  <c r="ON118" i="2"/>
  <c r="OO118" i="2"/>
  <c r="OP118" i="2"/>
  <c r="OQ118" i="2"/>
  <c r="OR118" i="2"/>
  <c r="OS118" i="2"/>
  <c r="OT118" i="2"/>
  <c r="OU118" i="2"/>
  <c r="OW118" i="2"/>
  <c r="OX118" i="2"/>
  <c r="OY118" i="2"/>
  <c r="OZ118" i="2"/>
  <c r="PA118" i="2"/>
  <c r="PB118" i="2"/>
  <c r="PC118" i="2"/>
  <c r="PD118" i="2"/>
  <c r="PE118" i="2"/>
  <c r="PF118" i="2"/>
  <c r="PG118" i="2"/>
  <c r="PH118" i="2"/>
  <c r="PI118" i="2"/>
  <c r="PJ118" i="2"/>
  <c r="PK118" i="2"/>
  <c r="PL118" i="2"/>
  <c r="IA119" i="2"/>
  <c r="IC119" i="2"/>
  <c r="IE119" i="2"/>
  <c r="IG119" i="2"/>
  <c r="II119" i="2"/>
  <c r="IJ119" i="2"/>
  <c r="IK119" i="2"/>
  <c r="IL119" i="2"/>
  <c r="IM119" i="2"/>
  <c r="IN119" i="2"/>
  <c r="IO119" i="2"/>
  <c r="IP119" i="2"/>
  <c r="IQ119" i="2"/>
  <c r="IR119" i="2"/>
  <c r="IS119" i="2"/>
  <c r="IT119" i="2"/>
  <c r="IU119" i="2"/>
  <c r="IV119" i="2"/>
  <c r="IW119" i="2"/>
  <c r="JD119" i="2"/>
  <c r="JE119" i="2"/>
  <c r="JG119" i="2"/>
  <c r="JH119" i="2"/>
  <c r="JK119" i="2"/>
  <c r="JL119" i="2"/>
  <c r="JM119" i="2"/>
  <c r="JN119" i="2"/>
  <c r="JO119" i="2"/>
  <c r="JP119" i="2"/>
  <c r="JR119" i="2"/>
  <c r="JS119" i="2"/>
  <c r="JT119" i="2"/>
  <c r="JU119" i="2"/>
  <c r="JV119" i="2"/>
  <c r="JW119" i="2"/>
  <c r="JX119" i="2"/>
  <c r="JY119" i="2"/>
  <c r="JZ119" i="2"/>
  <c r="KA119" i="2"/>
  <c r="KB119" i="2"/>
  <c r="KC119" i="2"/>
  <c r="KD119" i="2"/>
  <c r="KE119" i="2"/>
  <c r="KF119" i="2"/>
  <c r="KG119" i="2"/>
  <c r="KH119" i="2"/>
  <c r="KI119" i="2"/>
  <c r="KJ119" i="2"/>
  <c r="KK119" i="2"/>
  <c r="KM119" i="2"/>
  <c r="KP119" i="2"/>
  <c r="KQ119" i="2"/>
  <c r="KR119" i="2"/>
  <c r="KS119" i="2"/>
  <c r="KT119" i="2"/>
  <c r="KU119" i="2"/>
  <c r="KY119" i="2"/>
  <c r="LA119" i="2"/>
  <c r="LC119" i="2"/>
  <c r="LE119" i="2"/>
  <c r="LG119" i="2"/>
  <c r="LH119" i="2"/>
  <c r="LI119" i="2"/>
  <c r="LJ119" i="2"/>
  <c r="LL119" i="2"/>
  <c r="LN119" i="2"/>
  <c r="LO119" i="2"/>
  <c r="LP119" i="2"/>
  <c r="LQ119" i="2"/>
  <c r="LR119" i="2"/>
  <c r="LS119" i="2"/>
  <c r="LT119" i="2"/>
  <c r="LU119" i="2"/>
  <c r="LV119" i="2"/>
  <c r="LW119" i="2"/>
  <c r="LX119" i="2"/>
  <c r="LY119" i="2"/>
  <c r="LZ119" i="2"/>
  <c r="MA119" i="2"/>
  <c r="MB119" i="2"/>
  <c r="MC119" i="2"/>
  <c r="MD119" i="2"/>
  <c r="ME119" i="2"/>
  <c r="MF119" i="2"/>
  <c r="MG119" i="2"/>
  <c r="MH119" i="2"/>
  <c r="MI119" i="2"/>
  <c r="MJ119" i="2"/>
  <c r="MK119" i="2"/>
  <c r="ML119" i="2"/>
  <c r="MM119" i="2"/>
  <c r="MN119" i="2"/>
  <c r="MO119" i="2"/>
  <c r="MP119" i="2"/>
  <c r="MQ119" i="2"/>
  <c r="MR119" i="2"/>
  <c r="MS119" i="2"/>
  <c r="MT119" i="2"/>
  <c r="MU119" i="2"/>
  <c r="MV119" i="2"/>
  <c r="MW119" i="2"/>
  <c r="MX119" i="2"/>
  <c r="MY119" i="2"/>
  <c r="MZ119" i="2"/>
  <c r="NA119" i="2"/>
  <c r="NB119" i="2"/>
  <c r="NC119" i="2"/>
  <c r="ND119" i="2"/>
  <c r="NE119" i="2"/>
  <c r="NF119" i="2"/>
  <c r="NG119" i="2"/>
  <c r="NH119" i="2"/>
  <c r="NI119" i="2"/>
  <c r="NJ119" i="2"/>
  <c r="NK119" i="2"/>
  <c r="NL119" i="2"/>
  <c r="NM119" i="2"/>
  <c r="NN119" i="2"/>
  <c r="NO119" i="2"/>
  <c r="NP119" i="2"/>
  <c r="NQ119" i="2"/>
  <c r="NR119" i="2"/>
  <c r="NS119" i="2"/>
  <c r="NT119" i="2"/>
  <c r="NU119" i="2"/>
  <c r="NV119" i="2"/>
  <c r="NW119" i="2"/>
  <c r="NX119" i="2"/>
  <c r="NY119" i="2"/>
  <c r="NZ119" i="2"/>
  <c r="OA119" i="2"/>
  <c r="OB119" i="2"/>
  <c r="OC119" i="2"/>
  <c r="OD119" i="2"/>
  <c r="OE119" i="2"/>
  <c r="OF119" i="2"/>
  <c r="OG119" i="2"/>
  <c r="OH119" i="2"/>
  <c r="OI119" i="2"/>
  <c r="OJ119" i="2"/>
  <c r="OK119" i="2"/>
  <c r="OL119" i="2"/>
  <c r="OM119" i="2"/>
  <c r="ON119" i="2"/>
  <c r="OO119" i="2"/>
  <c r="OP119" i="2"/>
  <c r="OQ119" i="2"/>
  <c r="OR119" i="2"/>
  <c r="OS119" i="2"/>
  <c r="OT119" i="2"/>
  <c r="OU119" i="2"/>
  <c r="OW119" i="2"/>
  <c r="OX119" i="2"/>
  <c r="OY119" i="2"/>
  <c r="OZ119" i="2"/>
  <c r="PA119" i="2"/>
  <c r="PB119" i="2"/>
  <c r="PC119" i="2"/>
  <c r="PD119" i="2"/>
  <c r="PE119" i="2"/>
  <c r="PF119" i="2"/>
  <c r="PG119" i="2"/>
  <c r="PH119" i="2"/>
  <c r="PI119" i="2"/>
  <c r="PJ119" i="2"/>
  <c r="PK119" i="2"/>
  <c r="PL119" i="2"/>
  <c r="IA120" i="2"/>
  <c r="IC120" i="2"/>
  <c r="IE120" i="2"/>
  <c r="IG120" i="2"/>
  <c r="II120" i="2"/>
  <c r="IJ120" i="2"/>
  <c r="IK120" i="2"/>
  <c r="IL120" i="2"/>
  <c r="IM120" i="2"/>
  <c r="IN120" i="2"/>
  <c r="IO120" i="2"/>
  <c r="IP120" i="2"/>
  <c r="IQ120" i="2"/>
  <c r="IR120" i="2"/>
  <c r="IS120" i="2"/>
  <c r="IT120" i="2"/>
  <c r="IU120" i="2"/>
  <c r="IV120" i="2"/>
  <c r="IW120" i="2"/>
  <c r="JD120" i="2"/>
  <c r="JE120" i="2"/>
  <c r="JG120" i="2"/>
  <c r="JH120" i="2"/>
  <c r="JK120" i="2"/>
  <c r="JL120" i="2"/>
  <c r="JM120" i="2"/>
  <c r="JN120" i="2"/>
  <c r="JO120" i="2"/>
  <c r="JP120" i="2"/>
  <c r="JR120" i="2"/>
  <c r="JS120" i="2"/>
  <c r="JT120" i="2"/>
  <c r="JU120" i="2"/>
  <c r="JV120" i="2"/>
  <c r="JW120" i="2"/>
  <c r="JX120" i="2"/>
  <c r="JY120" i="2"/>
  <c r="JZ120" i="2"/>
  <c r="KA120" i="2"/>
  <c r="KB120" i="2"/>
  <c r="KC120" i="2"/>
  <c r="KD120" i="2"/>
  <c r="KE120" i="2"/>
  <c r="KF120" i="2"/>
  <c r="KG120" i="2"/>
  <c r="KH120" i="2"/>
  <c r="KI120" i="2"/>
  <c r="KJ120" i="2"/>
  <c r="KK120" i="2"/>
  <c r="KL120" i="2"/>
  <c r="KM120" i="2"/>
  <c r="KO120" i="2"/>
  <c r="KP120" i="2"/>
  <c r="KQ120" i="2"/>
  <c r="KR120" i="2"/>
  <c r="KS120" i="2"/>
  <c r="KT120" i="2"/>
  <c r="KU120" i="2"/>
  <c r="KY120" i="2"/>
  <c r="LA120" i="2"/>
  <c r="LC120" i="2"/>
  <c r="LE120" i="2"/>
  <c r="LG120" i="2"/>
  <c r="LH120" i="2"/>
  <c r="LI120" i="2"/>
  <c r="LJ120" i="2"/>
  <c r="LL120" i="2"/>
  <c r="LN120" i="2"/>
  <c r="LO120" i="2"/>
  <c r="LP120" i="2"/>
  <c r="LQ120" i="2"/>
  <c r="LR120" i="2"/>
  <c r="LS120" i="2"/>
  <c r="LT120" i="2"/>
  <c r="LU120" i="2"/>
  <c r="LV120" i="2"/>
  <c r="LW120" i="2"/>
  <c r="LX120" i="2"/>
  <c r="LY120" i="2"/>
  <c r="LZ120" i="2"/>
  <c r="MA120" i="2"/>
  <c r="MB120" i="2"/>
  <c r="MC120" i="2"/>
  <c r="MD120" i="2"/>
  <c r="ME120" i="2"/>
  <c r="MF120" i="2"/>
  <c r="MG120" i="2"/>
  <c r="MH120" i="2"/>
  <c r="MI120" i="2"/>
  <c r="MJ120" i="2"/>
  <c r="MK120" i="2"/>
  <c r="ML120" i="2"/>
  <c r="MM120" i="2"/>
  <c r="MN120" i="2"/>
  <c r="MO120" i="2"/>
  <c r="MP120" i="2"/>
  <c r="MQ120" i="2"/>
  <c r="MR120" i="2"/>
  <c r="MS120" i="2"/>
  <c r="MT120" i="2"/>
  <c r="MU120" i="2"/>
  <c r="MV120" i="2"/>
  <c r="MW120" i="2"/>
  <c r="MX120" i="2"/>
  <c r="MY120" i="2"/>
  <c r="MZ120" i="2"/>
  <c r="NA120" i="2"/>
  <c r="NB120" i="2"/>
  <c r="NC120" i="2"/>
  <c r="ND120" i="2"/>
  <c r="NE120" i="2"/>
  <c r="NF120" i="2"/>
  <c r="NG120" i="2"/>
  <c r="NH120" i="2"/>
  <c r="NI120" i="2"/>
  <c r="NJ120" i="2"/>
  <c r="NK120" i="2"/>
  <c r="NL120" i="2"/>
  <c r="NM120" i="2"/>
  <c r="NN120" i="2"/>
  <c r="NO120" i="2"/>
  <c r="NP120" i="2"/>
  <c r="NQ120" i="2"/>
  <c r="NR120" i="2"/>
  <c r="NS120" i="2"/>
  <c r="NT120" i="2"/>
  <c r="NU120" i="2"/>
  <c r="NV120" i="2"/>
  <c r="NW120" i="2"/>
  <c r="NX120" i="2"/>
  <c r="NY120" i="2"/>
  <c r="NZ120" i="2"/>
  <c r="OA120" i="2"/>
  <c r="OB120" i="2"/>
  <c r="OC120" i="2"/>
  <c r="OD120" i="2"/>
  <c r="OE120" i="2"/>
  <c r="OF120" i="2"/>
  <c r="OG120" i="2"/>
  <c r="OH120" i="2"/>
  <c r="OI120" i="2"/>
  <c r="OJ120" i="2"/>
  <c r="OK120" i="2"/>
  <c r="OL120" i="2"/>
  <c r="OM120" i="2"/>
  <c r="ON120" i="2"/>
  <c r="OO120" i="2"/>
  <c r="OP120" i="2"/>
  <c r="OQ120" i="2"/>
  <c r="OR120" i="2"/>
  <c r="OS120" i="2"/>
  <c r="OT120" i="2"/>
  <c r="OU120" i="2"/>
  <c r="OV120" i="2"/>
  <c r="OW120" i="2"/>
  <c r="OX120" i="2"/>
  <c r="OY120" i="2"/>
  <c r="OZ120" i="2"/>
  <c r="PA120" i="2"/>
  <c r="PB120" i="2"/>
  <c r="PC120" i="2"/>
  <c r="PD120" i="2"/>
  <c r="PE120" i="2"/>
  <c r="PF120" i="2"/>
  <c r="PG120" i="2"/>
  <c r="PH120" i="2"/>
  <c r="PI120" i="2"/>
  <c r="PJ120" i="2"/>
  <c r="PK120" i="2"/>
  <c r="PL120" i="2"/>
  <c r="IA121" i="2"/>
  <c r="IC121" i="2"/>
  <c r="IE121" i="2"/>
  <c r="IG121" i="2"/>
  <c r="II121" i="2"/>
  <c r="IJ121" i="2"/>
  <c r="IK121" i="2"/>
  <c r="IL121" i="2"/>
  <c r="IM121" i="2"/>
  <c r="IN121" i="2"/>
  <c r="IO121" i="2"/>
  <c r="IP121" i="2"/>
  <c r="IQ121" i="2"/>
  <c r="IR121" i="2"/>
  <c r="IS121" i="2"/>
  <c r="IT121" i="2"/>
  <c r="IU121" i="2"/>
  <c r="IV121" i="2"/>
  <c r="IW121" i="2"/>
  <c r="JD121" i="2"/>
  <c r="JE121" i="2"/>
  <c r="JG121" i="2"/>
  <c r="JH121" i="2"/>
  <c r="JK121" i="2"/>
  <c r="JL121" i="2"/>
  <c r="JM121" i="2"/>
  <c r="JN121" i="2"/>
  <c r="JO121" i="2"/>
  <c r="JP121" i="2"/>
  <c r="JR121" i="2"/>
  <c r="JS121" i="2"/>
  <c r="JT121" i="2"/>
  <c r="JU121" i="2"/>
  <c r="JV121" i="2"/>
  <c r="JW121" i="2"/>
  <c r="JX121" i="2"/>
  <c r="JY121" i="2"/>
  <c r="JZ121" i="2"/>
  <c r="KA121" i="2"/>
  <c r="KB121" i="2"/>
  <c r="KC121" i="2"/>
  <c r="KD121" i="2"/>
  <c r="KE121" i="2"/>
  <c r="KF121" i="2"/>
  <c r="KG121" i="2"/>
  <c r="KH121" i="2"/>
  <c r="KN121" i="2" s="1"/>
  <c r="KI121" i="2"/>
  <c r="KJ121" i="2"/>
  <c r="KK121" i="2"/>
  <c r="KL121" i="2"/>
  <c r="KM121" i="2"/>
  <c r="KO121" i="2"/>
  <c r="KP121" i="2"/>
  <c r="KQ121" i="2"/>
  <c r="KR121" i="2"/>
  <c r="KS121" i="2"/>
  <c r="KT121" i="2"/>
  <c r="KU121" i="2"/>
  <c r="KY121" i="2"/>
  <c r="LA121" i="2"/>
  <c r="LC121" i="2"/>
  <c r="LE121" i="2"/>
  <c r="LG121" i="2"/>
  <c r="LH121" i="2"/>
  <c r="LI121" i="2"/>
  <c r="LJ121" i="2"/>
  <c r="LL121" i="2"/>
  <c r="LN121" i="2"/>
  <c r="LO121" i="2"/>
  <c r="LP121" i="2"/>
  <c r="LQ121" i="2"/>
  <c r="LR121" i="2"/>
  <c r="LS121" i="2"/>
  <c r="LT121" i="2"/>
  <c r="LU121" i="2"/>
  <c r="LV121" i="2"/>
  <c r="LW121" i="2"/>
  <c r="LX121" i="2"/>
  <c r="LY121" i="2"/>
  <c r="LZ121" i="2"/>
  <c r="MA121" i="2"/>
  <c r="MB121" i="2"/>
  <c r="MC121" i="2"/>
  <c r="MD121" i="2"/>
  <c r="ME121" i="2"/>
  <c r="MF121" i="2"/>
  <c r="MG121" i="2"/>
  <c r="MH121" i="2"/>
  <c r="MI121" i="2"/>
  <c r="MJ121" i="2"/>
  <c r="MK121" i="2"/>
  <c r="ML121" i="2"/>
  <c r="MM121" i="2"/>
  <c r="MN121" i="2"/>
  <c r="MO121" i="2"/>
  <c r="MP121" i="2"/>
  <c r="MQ121" i="2"/>
  <c r="MR121" i="2"/>
  <c r="MS121" i="2"/>
  <c r="MT121" i="2"/>
  <c r="MU121" i="2"/>
  <c r="MV121" i="2"/>
  <c r="MW121" i="2"/>
  <c r="MX121" i="2"/>
  <c r="MY121" i="2"/>
  <c r="MZ121" i="2"/>
  <c r="NA121" i="2"/>
  <c r="NB121" i="2"/>
  <c r="NC121" i="2"/>
  <c r="ND121" i="2"/>
  <c r="NE121" i="2"/>
  <c r="NF121" i="2"/>
  <c r="NG121" i="2"/>
  <c r="NH121" i="2"/>
  <c r="NI121" i="2"/>
  <c r="NJ121" i="2"/>
  <c r="NK121" i="2"/>
  <c r="NL121" i="2"/>
  <c r="NM121" i="2"/>
  <c r="NN121" i="2"/>
  <c r="NO121" i="2"/>
  <c r="NP121" i="2"/>
  <c r="NQ121" i="2"/>
  <c r="NR121" i="2"/>
  <c r="NS121" i="2"/>
  <c r="NT121" i="2"/>
  <c r="NU121" i="2"/>
  <c r="NV121" i="2"/>
  <c r="NW121" i="2"/>
  <c r="NX121" i="2"/>
  <c r="NY121" i="2"/>
  <c r="NZ121" i="2"/>
  <c r="OA121" i="2"/>
  <c r="OB121" i="2"/>
  <c r="OC121" i="2"/>
  <c r="OD121" i="2"/>
  <c r="OE121" i="2"/>
  <c r="OF121" i="2"/>
  <c r="OG121" i="2"/>
  <c r="OH121" i="2"/>
  <c r="OI121" i="2"/>
  <c r="OJ121" i="2"/>
  <c r="OK121" i="2"/>
  <c r="OL121" i="2"/>
  <c r="OM121" i="2"/>
  <c r="ON121" i="2"/>
  <c r="OO121" i="2"/>
  <c r="OP121" i="2"/>
  <c r="OQ121" i="2"/>
  <c r="OR121" i="2"/>
  <c r="OS121" i="2"/>
  <c r="OT121" i="2"/>
  <c r="OU121" i="2"/>
  <c r="OV121" i="2"/>
  <c r="OW121" i="2"/>
  <c r="OX121" i="2"/>
  <c r="OY121" i="2"/>
  <c r="OZ121" i="2"/>
  <c r="PA121" i="2"/>
  <c r="PB121" i="2"/>
  <c r="PC121" i="2"/>
  <c r="PD121" i="2"/>
  <c r="PE121" i="2"/>
  <c r="PF121" i="2"/>
  <c r="PG121" i="2"/>
  <c r="PH121" i="2"/>
  <c r="PI121" i="2"/>
  <c r="PJ121" i="2"/>
  <c r="PK121" i="2"/>
  <c r="PL121" i="2"/>
  <c r="IA122" i="2"/>
  <c r="IC122" i="2"/>
  <c r="IE122" i="2"/>
  <c r="IG122" i="2"/>
  <c r="II122" i="2"/>
  <c r="IJ122" i="2"/>
  <c r="IK122" i="2"/>
  <c r="IL122" i="2"/>
  <c r="IM122" i="2"/>
  <c r="IN122" i="2"/>
  <c r="IO122" i="2"/>
  <c r="IP122" i="2"/>
  <c r="IQ122" i="2"/>
  <c r="IR122" i="2"/>
  <c r="IS122" i="2"/>
  <c r="IT122" i="2"/>
  <c r="IU122" i="2"/>
  <c r="IV122" i="2"/>
  <c r="IW122" i="2"/>
  <c r="JD122" i="2"/>
  <c r="JE122" i="2"/>
  <c r="JG122" i="2"/>
  <c r="JH122" i="2"/>
  <c r="JK122" i="2"/>
  <c r="JL122" i="2"/>
  <c r="JM122" i="2"/>
  <c r="JN122" i="2"/>
  <c r="JO122" i="2"/>
  <c r="JP122" i="2"/>
  <c r="JR122" i="2"/>
  <c r="JS122" i="2"/>
  <c r="JT122" i="2"/>
  <c r="JU122" i="2"/>
  <c r="JV122" i="2"/>
  <c r="JW122" i="2"/>
  <c r="JX122" i="2"/>
  <c r="KN122" i="2" s="1"/>
  <c r="JY122" i="2"/>
  <c r="JZ122" i="2"/>
  <c r="KA122" i="2"/>
  <c r="KB122" i="2"/>
  <c r="KC122" i="2"/>
  <c r="KD122" i="2"/>
  <c r="KE122" i="2"/>
  <c r="KF122" i="2"/>
  <c r="KG122" i="2"/>
  <c r="KH122" i="2"/>
  <c r="KI122" i="2"/>
  <c r="KJ122" i="2"/>
  <c r="KK122" i="2"/>
  <c r="KM122" i="2"/>
  <c r="KP122" i="2"/>
  <c r="KQ122" i="2"/>
  <c r="KR122" i="2"/>
  <c r="KS122" i="2"/>
  <c r="KT122" i="2"/>
  <c r="KU122" i="2"/>
  <c r="KY122" i="2"/>
  <c r="LA122" i="2"/>
  <c r="LC122" i="2"/>
  <c r="LE122" i="2"/>
  <c r="LG122" i="2"/>
  <c r="LH122" i="2"/>
  <c r="LI122" i="2"/>
  <c r="LJ122" i="2"/>
  <c r="LL122" i="2"/>
  <c r="LN122" i="2"/>
  <c r="LO122" i="2"/>
  <c r="LP122" i="2"/>
  <c r="LQ122" i="2"/>
  <c r="LR122" i="2"/>
  <c r="LS122" i="2"/>
  <c r="LT122" i="2"/>
  <c r="LU122" i="2"/>
  <c r="LV122" i="2"/>
  <c r="LW122" i="2"/>
  <c r="LX122" i="2"/>
  <c r="LY122" i="2"/>
  <c r="LZ122" i="2"/>
  <c r="MA122" i="2"/>
  <c r="MB122" i="2"/>
  <c r="MC122" i="2"/>
  <c r="MD122" i="2"/>
  <c r="ME122" i="2"/>
  <c r="MF122" i="2"/>
  <c r="MG122" i="2"/>
  <c r="MH122" i="2"/>
  <c r="MI122" i="2"/>
  <c r="MJ122" i="2"/>
  <c r="MK122" i="2"/>
  <c r="ML122" i="2"/>
  <c r="MM122" i="2"/>
  <c r="MO122" i="2"/>
  <c r="MP122" i="2"/>
  <c r="MQ122" i="2"/>
  <c r="MR122" i="2"/>
  <c r="MS122" i="2"/>
  <c r="MT122" i="2"/>
  <c r="MU122" i="2"/>
  <c r="MV122" i="2"/>
  <c r="MW122" i="2"/>
  <c r="MX122" i="2"/>
  <c r="MY122" i="2"/>
  <c r="MZ122" i="2"/>
  <c r="NA122" i="2"/>
  <c r="NB122" i="2"/>
  <c r="NC122" i="2"/>
  <c r="ND122" i="2"/>
  <c r="NE122" i="2"/>
  <c r="NF122" i="2"/>
  <c r="NG122" i="2"/>
  <c r="NH122" i="2"/>
  <c r="NI122" i="2"/>
  <c r="NJ122" i="2"/>
  <c r="NK122" i="2"/>
  <c r="NL122" i="2"/>
  <c r="NM122" i="2"/>
  <c r="NN122" i="2"/>
  <c r="NO122" i="2"/>
  <c r="NP122" i="2"/>
  <c r="NQ122" i="2"/>
  <c r="NR122" i="2"/>
  <c r="NS122" i="2"/>
  <c r="NT122" i="2"/>
  <c r="NU122" i="2"/>
  <c r="NV122" i="2"/>
  <c r="NW122" i="2"/>
  <c r="NX122" i="2"/>
  <c r="NY122" i="2"/>
  <c r="NZ122" i="2"/>
  <c r="OA122" i="2"/>
  <c r="OB122" i="2"/>
  <c r="OC122" i="2"/>
  <c r="OD122" i="2"/>
  <c r="OE122" i="2"/>
  <c r="OF122" i="2"/>
  <c r="OG122" i="2"/>
  <c r="OH122" i="2"/>
  <c r="OI122" i="2"/>
  <c r="OJ122" i="2"/>
  <c r="OK122" i="2"/>
  <c r="OL122" i="2"/>
  <c r="OM122" i="2"/>
  <c r="ON122" i="2"/>
  <c r="OO122" i="2"/>
  <c r="OP122" i="2"/>
  <c r="OQ122" i="2"/>
  <c r="OR122" i="2"/>
  <c r="OS122" i="2"/>
  <c r="OT122" i="2"/>
  <c r="OU122" i="2"/>
  <c r="OW122" i="2"/>
  <c r="OX122" i="2"/>
  <c r="OY122" i="2"/>
  <c r="OZ122" i="2"/>
  <c r="PA122" i="2"/>
  <c r="PB122" i="2"/>
  <c r="PC122" i="2"/>
  <c r="PD122" i="2"/>
  <c r="PE122" i="2"/>
  <c r="PF122" i="2"/>
  <c r="PG122" i="2"/>
  <c r="PH122" i="2"/>
  <c r="PI122" i="2"/>
  <c r="PJ122" i="2"/>
  <c r="PK122" i="2"/>
  <c r="PL122" i="2"/>
  <c r="IA123" i="2"/>
  <c r="IC123" i="2"/>
  <c r="IE123" i="2"/>
  <c r="IG123" i="2"/>
  <c r="II123" i="2"/>
  <c r="IJ123" i="2"/>
  <c r="IK123" i="2"/>
  <c r="IL123" i="2"/>
  <c r="IM123" i="2"/>
  <c r="IN123" i="2"/>
  <c r="IO123" i="2"/>
  <c r="IP123" i="2"/>
  <c r="IQ123" i="2"/>
  <c r="IR123" i="2"/>
  <c r="IS123" i="2"/>
  <c r="IT123" i="2"/>
  <c r="IU123" i="2"/>
  <c r="IV123" i="2"/>
  <c r="IW123" i="2"/>
  <c r="JD123" i="2"/>
  <c r="JE123" i="2"/>
  <c r="JG123" i="2"/>
  <c r="JH123" i="2"/>
  <c r="JK123" i="2"/>
  <c r="JL123" i="2"/>
  <c r="JM123" i="2"/>
  <c r="JN123" i="2"/>
  <c r="JO123" i="2"/>
  <c r="JP123" i="2"/>
  <c r="JR123" i="2"/>
  <c r="JS123" i="2"/>
  <c r="JT123" i="2"/>
  <c r="JU123" i="2"/>
  <c r="JV123" i="2"/>
  <c r="JW123" i="2"/>
  <c r="JX123" i="2"/>
  <c r="KN123" i="2" s="1"/>
  <c r="JY123" i="2"/>
  <c r="JZ123" i="2"/>
  <c r="KA123" i="2"/>
  <c r="KB123" i="2"/>
  <c r="KC123" i="2"/>
  <c r="KD123" i="2"/>
  <c r="KE123" i="2"/>
  <c r="KF123" i="2"/>
  <c r="KG123" i="2"/>
  <c r="KH123" i="2"/>
  <c r="KI123" i="2"/>
  <c r="KJ123" i="2"/>
  <c r="KK123" i="2"/>
  <c r="KM123" i="2"/>
  <c r="KP123" i="2"/>
  <c r="KQ123" i="2"/>
  <c r="KR123" i="2"/>
  <c r="KS123" i="2"/>
  <c r="KT123" i="2"/>
  <c r="KU123" i="2"/>
  <c r="KY123" i="2"/>
  <c r="LA123" i="2"/>
  <c r="LC123" i="2"/>
  <c r="LE123" i="2"/>
  <c r="LG123" i="2"/>
  <c r="LH123" i="2"/>
  <c r="LI123" i="2"/>
  <c r="LJ123" i="2"/>
  <c r="LL123" i="2"/>
  <c r="LN123" i="2"/>
  <c r="LO123" i="2"/>
  <c r="LP123" i="2"/>
  <c r="LQ123" i="2"/>
  <c r="LR123" i="2"/>
  <c r="LS123" i="2"/>
  <c r="LT123" i="2"/>
  <c r="LU123" i="2"/>
  <c r="LV123" i="2"/>
  <c r="LW123" i="2"/>
  <c r="LX123" i="2"/>
  <c r="LY123" i="2"/>
  <c r="LZ123" i="2"/>
  <c r="MA123" i="2"/>
  <c r="MB123" i="2"/>
  <c r="MC123" i="2"/>
  <c r="MD123" i="2"/>
  <c r="ME123" i="2"/>
  <c r="MF123" i="2"/>
  <c r="MG123" i="2"/>
  <c r="MH123" i="2"/>
  <c r="MI123" i="2"/>
  <c r="MJ123" i="2"/>
  <c r="MK123" i="2"/>
  <c r="ML123" i="2"/>
  <c r="MM123" i="2"/>
  <c r="MN123" i="2"/>
  <c r="MO123" i="2"/>
  <c r="MP123" i="2"/>
  <c r="MQ123" i="2"/>
  <c r="MR123" i="2"/>
  <c r="MS123" i="2"/>
  <c r="MT123" i="2"/>
  <c r="MU123" i="2"/>
  <c r="MV123" i="2"/>
  <c r="MW123" i="2"/>
  <c r="MX123" i="2"/>
  <c r="MY123" i="2"/>
  <c r="MZ123" i="2"/>
  <c r="NA123" i="2"/>
  <c r="NB123" i="2"/>
  <c r="NC123" i="2"/>
  <c r="ND123" i="2"/>
  <c r="NE123" i="2"/>
  <c r="NF123" i="2"/>
  <c r="NG123" i="2"/>
  <c r="NH123" i="2"/>
  <c r="NI123" i="2"/>
  <c r="NJ123" i="2"/>
  <c r="NK123" i="2"/>
  <c r="NL123" i="2"/>
  <c r="NM123" i="2"/>
  <c r="NN123" i="2"/>
  <c r="NO123" i="2"/>
  <c r="NP123" i="2"/>
  <c r="NQ123" i="2"/>
  <c r="NR123" i="2"/>
  <c r="NS123" i="2"/>
  <c r="NT123" i="2"/>
  <c r="NU123" i="2"/>
  <c r="NV123" i="2"/>
  <c r="NW123" i="2"/>
  <c r="NX123" i="2"/>
  <c r="NY123" i="2"/>
  <c r="NZ123" i="2"/>
  <c r="OA123" i="2"/>
  <c r="OB123" i="2"/>
  <c r="OC123" i="2"/>
  <c r="OD123" i="2"/>
  <c r="OE123" i="2"/>
  <c r="OF123" i="2"/>
  <c r="OG123" i="2"/>
  <c r="OH123" i="2"/>
  <c r="OI123" i="2"/>
  <c r="OJ123" i="2"/>
  <c r="OK123" i="2"/>
  <c r="OL123" i="2"/>
  <c r="OM123" i="2"/>
  <c r="ON123" i="2"/>
  <c r="OO123" i="2"/>
  <c r="OP123" i="2"/>
  <c r="OQ123" i="2"/>
  <c r="OR123" i="2"/>
  <c r="OS123" i="2"/>
  <c r="OT123" i="2"/>
  <c r="OU123" i="2"/>
  <c r="OW123" i="2"/>
  <c r="OX123" i="2"/>
  <c r="OY123" i="2"/>
  <c r="OZ123" i="2"/>
  <c r="PA123" i="2"/>
  <c r="PB123" i="2"/>
  <c r="PC123" i="2"/>
  <c r="PD123" i="2"/>
  <c r="PE123" i="2"/>
  <c r="PF123" i="2"/>
  <c r="PG123" i="2"/>
  <c r="PH123" i="2"/>
  <c r="PI123" i="2"/>
  <c r="PJ123" i="2"/>
  <c r="PK123" i="2"/>
  <c r="PL123" i="2"/>
  <c r="IA124" i="2"/>
  <c r="IC124" i="2"/>
  <c r="IE124" i="2"/>
  <c r="IG124" i="2"/>
  <c r="II124" i="2"/>
  <c r="IJ124" i="2"/>
  <c r="IK124" i="2"/>
  <c r="IL124" i="2"/>
  <c r="IM124" i="2"/>
  <c r="IN124" i="2"/>
  <c r="IO124" i="2"/>
  <c r="IP124" i="2"/>
  <c r="IQ124" i="2"/>
  <c r="IR124" i="2"/>
  <c r="IS124" i="2"/>
  <c r="IT124" i="2"/>
  <c r="IU124" i="2"/>
  <c r="IV124" i="2"/>
  <c r="IW124" i="2"/>
  <c r="JD124" i="2"/>
  <c r="JE124" i="2"/>
  <c r="JG124" i="2"/>
  <c r="JH124" i="2"/>
  <c r="JK124" i="2"/>
  <c r="JL124" i="2"/>
  <c r="JM124" i="2"/>
  <c r="JN124" i="2"/>
  <c r="JO124" i="2"/>
  <c r="JP124" i="2"/>
  <c r="JR124" i="2"/>
  <c r="JS124" i="2"/>
  <c r="JT124" i="2"/>
  <c r="JU124" i="2"/>
  <c r="JV124" i="2"/>
  <c r="JW124" i="2"/>
  <c r="JX124" i="2"/>
  <c r="JY124" i="2"/>
  <c r="JZ124" i="2"/>
  <c r="KA124" i="2"/>
  <c r="KB124" i="2"/>
  <c r="KC124" i="2"/>
  <c r="KD124" i="2"/>
  <c r="KE124" i="2"/>
  <c r="KF124" i="2"/>
  <c r="KG124" i="2"/>
  <c r="KH124" i="2"/>
  <c r="KI124" i="2"/>
  <c r="KJ124" i="2"/>
  <c r="KK124" i="2"/>
  <c r="KL124" i="2"/>
  <c r="KM124" i="2"/>
  <c r="KO124" i="2"/>
  <c r="KP124" i="2"/>
  <c r="KQ124" i="2"/>
  <c r="KR124" i="2"/>
  <c r="KS124" i="2"/>
  <c r="KT124" i="2"/>
  <c r="KU124" i="2"/>
  <c r="KY124" i="2"/>
  <c r="LA124" i="2"/>
  <c r="LC124" i="2"/>
  <c r="LE124" i="2"/>
  <c r="LG124" i="2"/>
  <c r="LH124" i="2"/>
  <c r="LI124" i="2"/>
  <c r="LJ124" i="2"/>
  <c r="LL124" i="2"/>
  <c r="LN124" i="2"/>
  <c r="LO124" i="2"/>
  <c r="LP124" i="2"/>
  <c r="LQ124" i="2"/>
  <c r="LR124" i="2"/>
  <c r="LS124" i="2"/>
  <c r="LT124" i="2"/>
  <c r="LU124" i="2"/>
  <c r="LV124" i="2"/>
  <c r="LW124" i="2"/>
  <c r="LX124" i="2"/>
  <c r="LY124" i="2"/>
  <c r="LZ124" i="2"/>
  <c r="MA124" i="2"/>
  <c r="MB124" i="2"/>
  <c r="MC124" i="2"/>
  <c r="MD124" i="2"/>
  <c r="ME124" i="2"/>
  <c r="MF124" i="2"/>
  <c r="MG124" i="2"/>
  <c r="MH124" i="2"/>
  <c r="MI124" i="2"/>
  <c r="MJ124" i="2"/>
  <c r="MK124" i="2"/>
  <c r="ML124" i="2"/>
  <c r="MM124" i="2"/>
  <c r="MN124" i="2"/>
  <c r="MO124" i="2"/>
  <c r="MP124" i="2"/>
  <c r="MQ124" i="2"/>
  <c r="MR124" i="2"/>
  <c r="MS124" i="2"/>
  <c r="MT124" i="2"/>
  <c r="MU124" i="2"/>
  <c r="MV124" i="2"/>
  <c r="MW124" i="2"/>
  <c r="MX124" i="2"/>
  <c r="MY124" i="2"/>
  <c r="MZ124" i="2"/>
  <c r="NA124" i="2"/>
  <c r="NB124" i="2"/>
  <c r="NC124" i="2"/>
  <c r="ND124" i="2"/>
  <c r="NE124" i="2"/>
  <c r="NF124" i="2"/>
  <c r="NG124" i="2"/>
  <c r="NH124" i="2"/>
  <c r="NI124" i="2"/>
  <c r="NJ124" i="2"/>
  <c r="NK124" i="2"/>
  <c r="NL124" i="2"/>
  <c r="NM124" i="2"/>
  <c r="NN124" i="2"/>
  <c r="NO124" i="2"/>
  <c r="NP124" i="2"/>
  <c r="NQ124" i="2"/>
  <c r="NR124" i="2"/>
  <c r="NS124" i="2"/>
  <c r="NT124" i="2"/>
  <c r="NU124" i="2"/>
  <c r="NV124" i="2"/>
  <c r="NW124" i="2"/>
  <c r="NX124" i="2"/>
  <c r="NY124" i="2"/>
  <c r="NZ124" i="2"/>
  <c r="OA124" i="2"/>
  <c r="OB124" i="2"/>
  <c r="OC124" i="2"/>
  <c r="OD124" i="2"/>
  <c r="OE124" i="2"/>
  <c r="OF124" i="2"/>
  <c r="OG124" i="2"/>
  <c r="OH124" i="2"/>
  <c r="OI124" i="2"/>
  <c r="OJ124" i="2"/>
  <c r="OK124" i="2"/>
  <c r="OL124" i="2"/>
  <c r="OM124" i="2"/>
  <c r="ON124" i="2"/>
  <c r="OO124" i="2"/>
  <c r="OP124" i="2"/>
  <c r="OQ124" i="2"/>
  <c r="OR124" i="2"/>
  <c r="OS124" i="2"/>
  <c r="OT124" i="2"/>
  <c r="OU124" i="2"/>
  <c r="OV124" i="2"/>
  <c r="OW124" i="2"/>
  <c r="OX124" i="2"/>
  <c r="OY124" i="2"/>
  <c r="OZ124" i="2"/>
  <c r="PA124" i="2"/>
  <c r="PB124" i="2"/>
  <c r="PC124" i="2"/>
  <c r="PD124" i="2"/>
  <c r="PE124" i="2"/>
  <c r="PF124" i="2"/>
  <c r="PG124" i="2"/>
  <c r="PH124" i="2"/>
  <c r="PI124" i="2"/>
  <c r="PJ124" i="2"/>
  <c r="PK124" i="2"/>
  <c r="PL124" i="2"/>
  <c r="IA125" i="2"/>
  <c r="IC125" i="2"/>
  <c r="IE125" i="2"/>
  <c r="IG125" i="2"/>
  <c r="II125" i="2"/>
  <c r="IJ125" i="2"/>
  <c r="IK125" i="2"/>
  <c r="IL125" i="2"/>
  <c r="IM125" i="2"/>
  <c r="IN125" i="2"/>
  <c r="IO125" i="2"/>
  <c r="IP125" i="2"/>
  <c r="IQ125" i="2"/>
  <c r="IR125" i="2"/>
  <c r="IS125" i="2"/>
  <c r="IT125" i="2"/>
  <c r="IU125" i="2"/>
  <c r="IV125" i="2"/>
  <c r="IW125" i="2"/>
  <c r="JD125" i="2"/>
  <c r="JE125" i="2"/>
  <c r="JG125" i="2"/>
  <c r="JH125" i="2"/>
  <c r="JK125" i="2"/>
  <c r="JL125" i="2"/>
  <c r="JM125" i="2"/>
  <c r="JN125" i="2"/>
  <c r="JO125" i="2"/>
  <c r="JP125" i="2"/>
  <c r="JR125" i="2"/>
  <c r="JS125" i="2"/>
  <c r="JT125" i="2"/>
  <c r="JU125" i="2"/>
  <c r="JV125" i="2"/>
  <c r="JW125" i="2"/>
  <c r="JX125" i="2"/>
  <c r="KN125" i="2" s="1"/>
  <c r="JY125" i="2"/>
  <c r="JZ125" i="2"/>
  <c r="KA125" i="2"/>
  <c r="KB125" i="2"/>
  <c r="KC125" i="2"/>
  <c r="KD125" i="2"/>
  <c r="KE125" i="2"/>
  <c r="KF125" i="2"/>
  <c r="KG125" i="2"/>
  <c r="KH125" i="2"/>
  <c r="KI125" i="2"/>
  <c r="KJ125" i="2"/>
  <c r="KK125" i="2"/>
  <c r="KM125" i="2"/>
  <c r="KP125" i="2"/>
  <c r="KQ125" i="2"/>
  <c r="KR125" i="2"/>
  <c r="KS125" i="2"/>
  <c r="KT125" i="2"/>
  <c r="KU125" i="2"/>
  <c r="KY125" i="2"/>
  <c r="LA125" i="2"/>
  <c r="LC125" i="2"/>
  <c r="LE125" i="2"/>
  <c r="LG125" i="2"/>
  <c r="LH125" i="2"/>
  <c r="LI125" i="2"/>
  <c r="LJ125" i="2"/>
  <c r="LL125" i="2"/>
  <c r="LN125" i="2"/>
  <c r="LO125" i="2"/>
  <c r="LP125" i="2"/>
  <c r="LQ125" i="2"/>
  <c r="LR125" i="2"/>
  <c r="LS125" i="2"/>
  <c r="LT125" i="2"/>
  <c r="LU125" i="2"/>
  <c r="LV125" i="2"/>
  <c r="LW125" i="2"/>
  <c r="LX125" i="2"/>
  <c r="LY125" i="2"/>
  <c r="LZ125" i="2"/>
  <c r="MA125" i="2"/>
  <c r="MB125" i="2"/>
  <c r="MC125" i="2"/>
  <c r="MD125" i="2"/>
  <c r="ME125" i="2"/>
  <c r="MF125" i="2"/>
  <c r="MG125" i="2"/>
  <c r="MH125" i="2"/>
  <c r="MI125" i="2"/>
  <c r="MJ125" i="2"/>
  <c r="MK125" i="2"/>
  <c r="ML125" i="2"/>
  <c r="MM125" i="2"/>
  <c r="MN125" i="2"/>
  <c r="MO125" i="2"/>
  <c r="MP125" i="2"/>
  <c r="MQ125" i="2"/>
  <c r="MR125" i="2"/>
  <c r="MS125" i="2"/>
  <c r="MT125" i="2"/>
  <c r="MU125" i="2"/>
  <c r="MV125" i="2"/>
  <c r="MW125" i="2"/>
  <c r="MX125" i="2"/>
  <c r="MY125" i="2"/>
  <c r="MZ125" i="2"/>
  <c r="NA125" i="2"/>
  <c r="NB125" i="2"/>
  <c r="NC125" i="2"/>
  <c r="ND125" i="2"/>
  <c r="NE125" i="2"/>
  <c r="NF125" i="2"/>
  <c r="NG125" i="2"/>
  <c r="NH125" i="2"/>
  <c r="NI125" i="2"/>
  <c r="NJ125" i="2"/>
  <c r="NK125" i="2"/>
  <c r="NL125" i="2"/>
  <c r="NM125" i="2"/>
  <c r="NN125" i="2"/>
  <c r="NO125" i="2"/>
  <c r="NP125" i="2"/>
  <c r="NQ125" i="2"/>
  <c r="NR125" i="2"/>
  <c r="NS125" i="2"/>
  <c r="NT125" i="2"/>
  <c r="NU125" i="2"/>
  <c r="NV125" i="2"/>
  <c r="NW125" i="2"/>
  <c r="NX125" i="2"/>
  <c r="NY125" i="2"/>
  <c r="NZ125" i="2"/>
  <c r="OA125" i="2"/>
  <c r="OB125" i="2"/>
  <c r="OC125" i="2"/>
  <c r="OD125" i="2"/>
  <c r="OE125" i="2"/>
  <c r="OF125" i="2"/>
  <c r="OG125" i="2"/>
  <c r="OH125" i="2"/>
  <c r="OI125" i="2"/>
  <c r="OJ125" i="2"/>
  <c r="OK125" i="2"/>
  <c r="OL125" i="2"/>
  <c r="OM125" i="2"/>
  <c r="ON125" i="2"/>
  <c r="OO125" i="2"/>
  <c r="OP125" i="2"/>
  <c r="OQ125" i="2"/>
  <c r="OR125" i="2"/>
  <c r="OS125" i="2"/>
  <c r="OT125" i="2"/>
  <c r="OU125" i="2"/>
  <c r="OW125" i="2"/>
  <c r="OX125" i="2"/>
  <c r="OY125" i="2"/>
  <c r="OZ125" i="2"/>
  <c r="PA125" i="2"/>
  <c r="PB125" i="2"/>
  <c r="PC125" i="2"/>
  <c r="PD125" i="2"/>
  <c r="PE125" i="2"/>
  <c r="PF125" i="2"/>
  <c r="PG125" i="2"/>
  <c r="PH125" i="2"/>
  <c r="PI125" i="2"/>
  <c r="PJ125" i="2"/>
  <c r="PK125" i="2"/>
  <c r="PL125" i="2"/>
  <c r="IA126" i="2"/>
  <c r="IC126" i="2"/>
  <c r="IE126" i="2"/>
  <c r="IG126" i="2"/>
  <c r="II126" i="2"/>
  <c r="IJ126" i="2"/>
  <c r="IK126" i="2"/>
  <c r="IL126" i="2"/>
  <c r="IM126" i="2"/>
  <c r="IN126" i="2"/>
  <c r="IO126" i="2"/>
  <c r="IP126" i="2"/>
  <c r="IQ126" i="2"/>
  <c r="IR126" i="2"/>
  <c r="IS126" i="2"/>
  <c r="IT126" i="2"/>
  <c r="IU126" i="2"/>
  <c r="IV126" i="2"/>
  <c r="IW126" i="2"/>
  <c r="JD126" i="2"/>
  <c r="JE126" i="2"/>
  <c r="JG126" i="2"/>
  <c r="JH126" i="2"/>
  <c r="JK126" i="2"/>
  <c r="JL126" i="2"/>
  <c r="JM126" i="2"/>
  <c r="JN126" i="2"/>
  <c r="JO126" i="2"/>
  <c r="JP126" i="2"/>
  <c r="JR126" i="2"/>
  <c r="JS126" i="2"/>
  <c r="JT126" i="2"/>
  <c r="JU126" i="2"/>
  <c r="JV126" i="2"/>
  <c r="JW126" i="2"/>
  <c r="JX126" i="2"/>
  <c r="KN126" i="2" s="1"/>
  <c r="JY126" i="2"/>
  <c r="JZ126" i="2"/>
  <c r="KA126" i="2"/>
  <c r="KB126" i="2"/>
  <c r="KC126" i="2"/>
  <c r="KD126" i="2"/>
  <c r="KE126" i="2"/>
  <c r="KF126" i="2"/>
  <c r="KG126" i="2"/>
  <c r="KH126" i="2"/>
  <c r="KI126" i="2"/>
  <c r="KJ126" i="2"/>
  <c r="KK126" i="2"/>
  <c r="KM126" i="2"/>
  <c r="KP126" i="2"/>
  <c r="KQ126" i="2"/>
  <c r="KR126" i="2"/>
  <c r="KS126" i="2"/>
  <c r="KT126" i="2"/>
  <c r="KU126" i="2"/>
  <c r="KY126" i="2"/>
  <c r="LA126" i="2"/>
  <c r="LC126" i="2"/>
  <c r="LE126" i="2"/>
  <c r="LG126" i="2"/>
  <c r="LH126" i="2"/>
  <c r="LI126" i="2"/>
  <c r="LJ126" i="2"/>
  <c r="LL126" i="2"/>
  <c r="LN126" i="2"/>
  <c r="LO126" i="2"/>
  <c r="LP126" i="2"/>
  <c r="LQ126" i="2"/>
  <c r="LR126" i="2"/>
  <c r="LS126" i="2"/>
  <c r="LT126" i="2"/>
  <c r="LU126" i="2"/>
  <c r="LV126" i="2"/>
  <c r="LW126" i="2"/>
  <c r="LX126" i="2"/>
  <c r="LY126" i="2"/>
  <c r="LZ126" i="2"/>
  <c r="MA126" i="2"/>
  <c r="MB126" i="2"/>
  <c r="MC126" i="2"/>
  <c r="MD126" i="2"/>
  <c r="ME126" i="2"/>
  <c r="MF126" i="2"/>
  <c r="MG126" i="2"/>
  <c r="MH126" i="2"/>
  <c r="MI126" i="2"/>
  <c r="MJ126" i="2"/>
  <c r="MK126" i="2"/>
  <c r="ML126" i="2"/>
  <c r="MM126" i="2"/>
  <c r="MN126" i="2"/>
  <c r="MO126" i="2"/>
  <c r="MP126" i="2"/>
  <c r="MQ126" i="2"/>
  <c r="MR126" i="2"/>
  <c r="MS126" i="2"/>
  <c r="MT126" i="2"/>
  <c r="MU126" i="2"/>
  <c r="MV126" i="2"/>
  <c r="MW126" i="2"/>
  <c r="MX126" i="2"/>
  <c r="MY126" i="2"/>
  <c r="MZ126" i="2"/>
  <c r="NA126" i="2"/>
  <c r="NB126" i="2"/>
  <c r="NC126" i="2"/>
  <c r="ND126" i="2"/>
  <c r="NE126" i="2"/>
  <c r="NF126" i="2"/>
  <c r="NG126" i="2"/>
  <c r="NH126" i="2"/>
  <c r="NI126" i="2"/>
  <c r="NJ126" i="2"/>
  <c r="NK126" i="2"/>
  <c r="NL126" i="2"/>
  <c r="NM126" i="2"/>
  <c r="NN126" i="2"/>
  <c r="NO126" i="2"/>
  <c r="NP126" i="2"/>
  <c r="NQ126" i="2"/>
  <c r="NR126" i="2"/>
  <c r="NS126" i="2"/>
  <c r="NT126" i="2"/>
  <c r="NU126" i="2"/>
  <c r="NV126" i="2"/>
  <c r="NW126" i="2"/>
  <c r="NX126" i="2"/>
  <c r="NY126" i="2"/>
  <c r="NZ126" i="2"/>
  <c r="OA126" i="2"/>
  <c r="OB126" i="2"/>
  <c r="OC126" i="2"/>
  <c r="OD126" i="2"/>
  <c r="OE126" i="2"/>
  <c r="OF126" i="2"/>
  <c r="OG126" i="2"/>
  <c r="OH126" i="2"/>
  <c r="OI126" i="2"/>
  <c r="OJ126" i="2"/>
  <c r="OK126" i="2"/>
  <c r="OL126" i="2"/>
  <c r="OM126" i="2"/>
  <c r="ON126" i="2"/>
  <c r="OO126" i="2"/>
  <c r="OP126" i="2"/>
  <c r="OQ126" i="2"/>
  <c r="OR126" i="2"/>
  <c r="OS126" i="2"/>
  <c r="OT126" i="2"/>
  <c r="OU126" i="2"/>
  <c r="OW126" i="2"/>
  <c r="OX126" i="2"/>
  <c r="OY126" i="2"/>
  <c r="OZ126" i="2"/>
  <c r="PA126" i="2"/>
  <c r="PB126" i="2"/>
  <c r="PC126" i="2"/>
  <c r="PD126" i="2"/>
  <c r="PE126" i="2"/>
  <c r="PF126" i="2"/>
  <c r="PG126" i="2"/>
  <c r="PH126" i="2"/>
  <c r="PI126" i="2"/>
  <c r="PJ126" i="2"/>
  <c r="PK126" i="2"/>
  <c r="PL126" i="2"/>
  <c r="IA127" i="2"/>
  <c r="IC127" i="2"/>
  <c r="IE127" i="2"/>
  <c r="IG127" i="2"/>
  <c r="II127" i="2"/>
  <c r="IJ127" i="2"/>
  <c r="IK127" i="2"/>
  <c r="IL127" i="2"/>
  <c r="IM127" i="2"/>
  <c r="IN127" i="2"/>
  <c r="IO127" i="2"/>
  <c r="IP127" i="2"/>
  <c r="IQ127" i="2"/>
  <c r="IR127" i="2"/>
  <c r="IS127" i="2"/>
  <c r="IT127" i="2"/>
  <c r="IU127" i="2"/>
  <c r="IV127" i="2"/>
  <c r="IW127" i="2"/>
  <c r="JD127" i="2"/>
  <c r="JE127" i="2"/>
  <c r="JG127" i="2"/>
  <c r="JH127" i="2"/>
  <c r="JK127" i="2"/>
  <c r="JL127" i="2"/>
  <c r="JM127" i="2"/>
  <c r="JN127" i="2"/>
  <c r="JO127" i="2"/>
  <c r="JP127" i="2"/>
  <c r="JR127" i="2"/>
  <c r="JS127" i="2"/>
  <c r="JT127" i="2"/>
  <c r="JU127" i="2"/>
  <c r="JV127" i="2"/>
  <c r="JW127" i="2"/>
  <c r="JX127" i="2"/>
  <c r="JY127" i="2"/>
  <c r="JZ127" i="2"/>
  <c r="KA127" i="2"/>
  <c r="KB127" i="2"/>
  <c r="KC127" i="2"/>
  <c r="KD127" i="2"/>
  <c r="KE127" i="2"/>
  <c r="KF127" i="2"/>
  <c r="KG127" i="2"/>
  <c r="KH127" i="2"/>
  <c r="KN127" i="2" s="1"/>
  <c r="KI127" i="2"/>
  <c r="KJ127" i="2"/>
  <c r="KK127" i="2"/>
  <c r="KL127" i="2"/>
  <c r="KM127" i="2"/>
  <c r="KO127" i="2"/>
  <c r="KP127" i="2"/>
  <c r="KQ127" i="2"/>
  <c r="KR127" i="2"/>
  <c r="KS127" i="2"/>
  <c r="KT127" i="2"/>
  <c r="KU127" i="2"/>
  <c r="KY127" i="2"/>
  <c r="LA127" i="2"/>
  <c r="LC127" i="2"/>
  <c r="LE127" i="2"/>
  <c r="LG127" i="2"/>
  <c r="LH127" i="2"/>
  <c r="LI127" i="2"/>
  <c r="LJ127" i="2"/>
  <c r="LL127" i="2"/>
  <c r="LN127" i="2"/>
  <c r="LO127" i="2"/>
  <c r="LP127" i="2"/>
  <c r="LQ127" i="2"/>
  <c r="LR127" i="2"/>
  <c r="LS127" i="2"/>
  <c r="LT127" i="2"/>
  <c r="LU127" i="2"/>
  <c r="LV127" i="2"/>
  <c r="LW127" i="2"/>
  <c r="LX127" i="2"/>
  <c r="LY127" i="2"/>
  <c r="LZ127" i="2"/>
  <c r="MA127" i="2"/>
  <c r="MB127" i="2"/>
  <c r="MC127" i="2"/>
  <c r="MD127" i="2"/>
  <c r="ME127" i="2"/>
  <c r="MF127" i="2"/>
  <c r="MG127" i="2"/>
  <c r="MH127" i="2"/>
  <c r="MI127" i="2"/>
  <c r="MJ127" i="2"/>
  <c r="MK127" i="2"/>
  <c r="ML127" i="2"/>
  <c r="MM127" i="2"/>
  <c r="MN127" i="2"/>
  <c r="MO127" i="2"/>
  <c r="MP127" i="2"/>
  <c r="MQ127" i="2"/>
  <c r="MR127" i="2"/>
  <c r="MS127" i="2"/>
  <c r="MT127" i="2"/>
  <c r="MU127" i="2"/>
  <c r="MV127" i="2"/>
  <c r="MW127" i="2"/>
  <c r="MX127" i="2"/>
  <c r="MY127" i="2"/>
  <c r="MZ127" i="2"/>
  <c r="NA127" i="2"/>
  <c r="NB127" i="2"/>
  <c r="NC127" i="2"/>
  <c r="ND127" i="2"/>
  <c r="NE127" i="2"/>
  <c r="NF127" i="2"/>
  <c r="NG127" i="2"/>
  <c r="NH127" i="2"/>
  <c r="NI127" i="2"/>
  <c r="NJ127" i="2"/>
  <c r="NK127" i="2"/>
  <c r="NL127" i="2"/>
  <c r="NM127" i="2"/>
  <c r="NN127" i="2"/>
  <c r="NO127" i="2"/>
  <c r="NP127" i="2"/>
  <c r="NQ127" i="2"/>
  <c r="NR127" i="2"/>
  <c r="NS127" i="2"/>
  <c r="NT127" i="2"/>
  <c r="NU127" i="2"/>
  <c r="NV127" i="2"/>
  <c r="NW127" i="2"/>
  <c r="NX127" i="2"/>
  <c r="NY127" i="2"/>
  <c r="NZ127" i="2"/>
  <c r="OA127" i="2"/>
  <c r="OB127" i="2"/>
  <c r="OC127" i="2"/>
  <c r="OD127" i="2"/>
  <c r="OE127" i="2"/>
  <c r="OF127" i="2"/>
  <c r="OG127" i="2"/>
  <c r="OH127" i="2"/>
  <c r="OI127" i="2"/>
  <c r="OJ127" i="2"/>
  <c r="OK127" i="2"/>
  <c r="OL127" i="2"/>
  <c r="OM127" i="2"/>
  <c r="ON127" i="2"/>
  <c r="OO127" i="2"/>
  <c r="OP127" i="2"/>
  <c r="OQ127" i="2"/>
  <c r="OR127" i="2"/>
  <c r="OS127" i="2"/>
  <c r="OT127" i="2"/>
  <c r="OU127" i="2"/>
  <c r="OV127" i="2"/>
  <c r="OW127" i="2"/>
  <c r="OX127" i="2"/>
  <c r="OY127" i="2"/>
  <c r="OZ127" i="2"/>
  <c r="PA127" i="2"/>
  <c r="PB127" i="2"/>
  <c r="PC127" i="2"/>
  <c r="PD127" i="2"/>
  <c r="PE127" i="2"/>
  <c r="PF127" i="2"/>
  <c r="PG127" i="2"/>
  <c r="PH127" i="2"/>
  <c r="PI127" i="2"/>
  <c r="PJ127" i="2"/>
  <c r="PK127" i="2"/>
  <c r="PL127" i="2"/>
  <c r="IA72" i="2"/>
  <c r="IC72" i="2"/>
  <c r="IE72" i="2"/>
  <c r="IG72" i="2"/>
  <c r="II72" i="2"/>
  <c r="IJ72" i="2"/>
  <c r="IK72" i="2"/>
  <c r="IL72" i="2"/>
  <c r="IM72" i="2"/>
  <c r="IN72" i="2"/>
  <c r="IO72" i="2"/>
  <c r="IP72" i="2"/>
  <c r="IQ72" i="2"/>
  <c r="IR72" i="2"/>
  <c r="IS72" i="2"/>
  <c r="IT72" i="2"/>
  <c r="IU72" i="2"/>
  <c r="IV72" i="2"/>
  <c r="IW72" i="2"/>
  <c r="JD72" i="2"/>
  <c r="JE72" i="2"/>
  <c r="JG72" i="2"/>
  <c r="JH72" i="2"/>
  <c r="JK72" i="2"/>
  <c r="JL72" i="2"/>
  <c r="JM72" i="2"/>
  <c r="JN72" i="2"/>
  <c r="JO72" i="2"/>
  <c r="JP72" i="2"/>
  <c r="JR72" i="2"/>
  <c r="JS72" i="2"/>
  <c r="JT72" i="2"/>
  <c r="JU72" i="2"/>
  <c r="JV72" i="2"/>
  <c r="JW72" i="2"/>
  <c r="JX72" i="2"/>
  <c r="JY72" i="2"/>
  <c r="JZ72" i="2"/>
  <c r="KA72" i="2"/>
  <c r="KB72" i="2"/>
  <c r="KC72" i="2"/>
  <c r="KD72" i="2"/>
  <c r="KE72" i="2"/>
  <c r="KF72" i="2"/>
  <c r="KG72" i="2"/>
  <c r="KH72" i="2"/>
  <c r="KI72" i="2"/>
  <c r="KJ72" i="2"/>
  <c r="KK72" i="2"/>
  <c r="KM72" i="2"/>
  <c r="KP72" i="2"/>
  <c r="KQ72" i="2"/>
  <c r="KR72" i="2"/>
  <c r="KS72" i="2"/>
  <c r="KT72" i="2"/>
  <c r="KU72" i="2"/>
  <c r="KY72" i="2"/>
  <c r="LA72" i="2"/>
  <c r="LC72" i="2"/>
  <c r="LE72" i="2"/>
  <c r="LG72" i="2"/>
  <c r="LH72" i="2"/>
  <c r="LI72" i="2"/>
  <c r="LJ72" i="2"/>
  <c r="LL72" i="2"/>
  <c r="LN72" i="2"/>
  <c r="LO72" i="2"/>
  <c r="LP72" i="2"/>
  <c r="LQ72" i="2"/>
  <c r="LR72" i="2"/>
  <c r="LS72" i="2"/>
  <c r="LT72" i="2"/>
  <c r="LU72" i="2"/>
  <c r="LV72" i="2"/>
  <c r="LW72" i="2"/>
  <c r="LX72" i="2"/>
  <c r="LY72" i="2"/>
  <c r="LZ72" i="2"/>
  <c r="MA72" i="2"/>
  <c r="MB72" i="2"/>
  <c r="MC72" i="2"/>
  <c r="MD72" i="2"/>
  <c r="ME72" i="2"/>
  <c r="MF72" i="2"/>
  <c r="MG72" i="2"/>
  <c r="MH72" i="2"/>
  <c r="MI72" i="2"/>
  <c r="MJ72" i="2"/>
  <c r="MK72" i="2"/>
  <c r="ML72" i="2"/>
  <c r="MM72" i="2"/>
  <c r="MN72" i="2"/>
  <c r="MO72" i="2"/>
  <c r="MP72" i="2"/>
  <c r="MQ72" i="2"/>
  <c r="MR72" i="2"/>
  <c r="MS72" i="2"/>
  <c r="MT72" i="2"/>
  <c r="MU72" i="2"/>
  <c r="MV72" i="2"/>
  <c r="MW72" i="2"/>
  <c r="MX72" i="2"/>
  <c r="MY72" i="2"/>
  <c r="MZ72" i="2"/>
  <c r="NA72" i="2"/>
  <c r="NB72" i="2"/>
  <c r="NC72" i="2"/>
  <c r="ND72" i="2"/>
  <c r="NE72" i="2"/>
  <c r="NF72" i="2"/>
  <c r="NG72" i="2"/>
  <c r="NH72" i="2"/>
  <c r="NI72" i="2"/>
  <c r="NJ72" i="2"/>
  <c r="NK72" i="2"/>
  <c r="NL72" i="2"/>
  <c r="NM72" i="2"/>
  <c r="NN72" i="2"/>
  <c r="NO72" i="2"/>
  <c r="NP72" i="2"/>
  <c r="NQ72" i="2"/>
  <c r="NR72" i="2"/>
  <c r="NS72" i="2"/>
  <c r="NT72" i="2"/>
  <c r="NU72" i="2"/>
  <c r="NV72" i="2"/>
  <c r="NW72" i="2"/>
  <c r="NX72" i="2"/>
  <c r="NY72" i="2"/>
  <c r="NZ72" i="2"/>
  <c r="OA72" i="2"/>
  <c r="OB72" i="2"/>
  <c r="OC72" i="2"/>
  <c r="OD72" i="2"/>
  <c r="OE72" i="2"/>
  <c r="OF72" i="2"/>
  <c r="OG72" i="2"/>
  <c r="OH72" i="2"/>
  <c r="OI72" i="2"/>
  <c r="OJ72" i="2"/>
  <c r="OK72" i="2"/>
  <c r="OL72" i="2"/>
  <c r="OM72" i="2"/>
  <c r="ON72" i="2"/>
  <c r="OO72" i="2"/>
  <c r="OP72" i="2"/>
  <c r="OQ72" i="2"/>
  <c r="OR72" i="2"/>
  <c r="OS72" i="2"/>
  <c r="OT72" i="2"/>
  <c r="OU72" i="2"/>
  <c r="OW72" i="2"/>
  <c r="OX72" i="2"/>
  <c r="OY72" i="2"/>
  <c r="OZ72" i="2"/>
  <c r="PA72" i="2"/>
  <c r="PB72" i="2"/>
  <c r="PC72" i="2"/>
  <c r="PD72" i="2"/>
  <c r="PE72" i="2"/>
  <c r="PF72" i="2"/>
  <c r="PG72" i="2"/>
  <c r="PH72" i="2"/>
  <c r="PI72" i="2"/>
  <c r="PJ72" i="2"/>
  <c r="PK72" i="2"/>
  <c r="PL72" i="2"/>
  <c r="IA128" i="2"/>
  <c r="IC128" i="2"/>
  <c r="IE128" i="2"/>
  <c r="IG128" i="2"/>
  <c r="II128" i="2"/>
  <c r="IJ128" i="2"/>
  <c r="IK128" i="2"/>
  <c r="IL128" i="2"/>
  <c r="IM128" i="2"/>
  <c r="IN128" i="2"/>
  <c r="IO128" i="2"/>
  <c r="IP128" i="2"/>
  <c r="IQ128" i="2"/>
  <c r="IR128" i="2"/>
  <c r="IS128" i="2"/>
  <c r="IT128" i="2"/>
  <c r="IU128" i="2"/>
  <c r="IV128" i="2"/>
  <c r="IW128" i="2"/>
  <c r="JD128" i="2"/>
  <c r="JE128" i="2"/>
  <c r="JG128" i="2"/>
  <c r="JH128" i="2"/>
  <c r="JK128" i="2"/>
  <c r="JL128" i="2"/>
  <c r="JM128" i="2"/>
  <c r="JN128" i="2"/>
  <c r="JO128" i="2"/>
  <c r="JP128" i="2"/>
  <c r="JR128" i="2"/>
  <c r="JS128" i="2"/>
  <c r="JT128" i="2"/>
  <c r="JU128" i="2"/>
  <c r="JV128" i="2"/>
  <c r="JW128" i="2"/>
  <c r="JX128" i="2"/>
  <c r="JY128" i="2"/>
  <c r="JZ128" i="2"/>
  <c r="KA128" i="2"/>
  <c r="KB128" i="2"/>
  <c r="KC128" i="2"/>
  <c r="KD128" i="2"/>
  <c r="KE128" i="2"/>
  <c r="KF128" i="2"/>
  <c r="KG128" i="2"/>
  <c r="KH128" i="2"/>
  <c r="KI128" i="2"/>
  <c r="KJ128" i="2"/>
  <c r="KK128" i="2"/>
  <c r="KM128" i="2"/>
  <c r="KP128" i="2"/>
  <c r="KQ128" i="2"/>
  <c r="KR128" i="2"/>
  <c r="KS128" i="2"/>
  <c r="KT128" i="2"/>
  <c r="KU128" i="2"/>
  <c r="KY128" i="2"/>
  <c r="LA128" i="2"/>
  <c r="LC128" i="2"/>
  <c r="LE128" i="2"/>
  <c r="LG128" i="2"/>
  <c r="LH128" i="2"/>
  <c r="LI128" i="2"/>
  <c r="LJ128" i="2"/>
  <c r="LL128" i="2"/>
  <c r="LN128" i="2"/>
  <c r="LO128" i="2"/>
  <c r="LP128" i="2"/>
  <c r="LQ128" i="2"/>
  <c r="LR128" i="2"/>
  <c r="LS128" i="2"/>
  <c r="LT128" i="2"/>
  <c r="LU128" i="2"/>
  <c r="LV128" i="2"/>
  <c r="LW128" i="2"/>
  <c r="LX128" i="2"/>
  <c r="LY128" i="2"/>
  <c r="LZ128" i="2"/>
  <c r="MA128" i="2"/>
  <c r="MB128" i="2"/>
  <c r="MC128" i="2"/>
  <c r="MD128" i="2"/>
  <c r="ME128" i="2"/>
  <c r="MF128" i="2"/>
  <c r="MG128" i="2"/>
  <c r="MH128" i="2"/>
  <c r="MI128" i="2"/>
  <c r="MJ128" i="2"/>
  <c r="MK128" i="2"/>
  <c r="ML128" i="2"/>
  <c r="MM128" i="2"/>
  <c r="MN128" i="2"/>
  <c r="MO128" i="2"/>
  <c r="MP128" i="2"/>
  <c r="MQ128" i="2"/>
  <c r="MR128" i="2"/>
  <c r="MS128" i="2"/>
  <c r="MT128" i="2"/>
  <c r="MU128" i="2"/>
  <c r="MV128" i="2"/>
  <c r="MW128" i="2"/>
  <c r="MX128" i="2"/>
  <c r="MY128" i="2"/>
  <c r="MZ128" i="2"/>
  <c r="NA128" i="2"/>
  <c r="NB128" i="2"/>
  <c r="NC128" i="2"/>
  <c r="ND128" i="2"/>
  <c r="NE128" i="2"/>
  <c r="NF128" i="2"/>
  <c r="NG128" i="2"/>
  <c r="NH128" i="2"/>
  <c r="NI128" i="2"/>
  <c r="NJ128" i="2"/>
  <c r="NK128" i="2"/>
  <c r="NL128" i="2"/>
  <c r="NM128" i="2"/>
  <c r="NN128" i="2"/>
  <c r="NO128" i="2"/>
  <c r="NP128" i="2"/>
  <c r="NQ128" i="2"/>
  <c r="NR128" i="2"/>
  <c r="NS128" i="2"/>
  <c r="NT128" i="2"/>
  <c r="NU128" i="2"/>
  <c r="NV128" i="2"/>
  <c r="NW128" i="2"/>
  <c r="NX128" i="2"/>
  <c r="NY128" i="2"/>
  <c r="NZ128" i="2"/>
  <c r="OA128" i="2"/>
  <c r="OB128" i="2"/>
  <c r="OC128" i="2"/>
  <c r="OD128" i="2"/>
  <c r="OE128" i="2"/>
  <c r="OF128" i="2"/>
  <c r="OG128" i="2"/>
  <c r="OH128" i="2"/>
  <c r="OI128" i="2"/>
  <c r="OJ128" i="2"/>
  <c r="OK128" i="2"/>
  <c r="OL128" i="2"/>
  <c r="OM128" i="2"/>
  <c r="ON128" i="2"/>
  <c r="OO128" i="2"/>
  <c r="OP128" i="2"/>
  <c r="OQ128" i="2"/>
  <c r="OR128" i="2"/>
  <c r="OS128" i="2"/>
  <c r="OT128" i="2"/>
  <c r="OU128" i="2"/>
  <c r="OW128" i="2"/>
  <c r="OX128" i="2"/>
  <c r="OY128" i="2"/>
  <c r="OZ128" i="2"/>
  <c r="PA128" i="2"/>
  <c r="PB128" i="2"/>
  <c r="PC128" i="2"/>
  <c r="PD128" i="2"/>
  <c r="PE128" i="2"/>
  <c r="PF128" i="2"/>
  <c r="PG128" i="2"/>
  <c r="PH128" i="2"/>
  <c r="PI128" i="2"/>
  <c r="PJ128" i="2"/>
  <c r="PK128" i="2"/>
  <c r="PL128" i="2"/>
  <c r="IA129" i="2"/>
  <c r="IC129" i="2"/>
  <c r="IE129" i="2"/>
  <c r="IG129" i="2"/>
  <c r="II129" i="2"/>
  <c r="IJ129" i="2"/>
  <c r="IK129" i="2"/>
  <c r="IL129" i="2"/>
  <c r="IM129" i="2"/>
  <c r="IN129" i="2"/>
  <c r="IO129" i="2"/>
  <c r="IP129" i="2"/>
  <c r="IQ129" i="2"/>
  <c r="IR129" i="2"/>
  <c r="IS129" i="2"/>
  <c r="IT129" i="2"/>
  <c r="IU129" i="2"/>
  <c r="IV129" i="2"/>
  <c r="IW129" i="2"/>
  <c r="JD129" i="2"/>
  <c r="JE129" i="2"/>
  <c r="JG129" i="2"/>
  <c r="JH129" i="2"/>
  <c r="JK129" i="2"/>
  <c r="JL129" i="2"/>
  <c r="JM129" i="2"/>
  <c r="JN129" i="2"/>
  <c r="JO129" i="2"/>
  <c r="JP129" i="2"/>
  <c r="JR129" i="2"/>
  <c r="JS129" i="2"/>
  <c r="JT129" i="2"/>
  <c r="JU129" i="2"/>
  <c r="JV129" i="2"/>
  <c r="JW129" i="2"/>
  <c r="JX129" i="2"/>
  <c r="JY129" i="2"/>
  <c r="JZ129" i="2"/>
  <c r="KA129" i="2"/>
  <c r="KB129" i="2"/>
  <c r="KC129" i="2"/>
  <c r="KD129" i="2"/>
  <c r="KE129" i="2"/>
  <c r="KF129" i="2"/>
  <c r="KG129" i="2"/>
  <c r="KH129" i="2"/>
  <c r="KI129" i="2"/>
  <c r="KJ129" i="2"/>
  <c r="KK129" i="2"/>
  <c r="KL129" i="2"/>
  <c r="KM129" i="2"/>
  <c r="KO129" i="2"/>
  <c r="KP129" i="2"/>
  <c r="KQ129" i="2"/>
  <c r="KR129" i="2"/>
  <c r="KS129" i="2"/>
  <c r="KT129" i="2"/>
  <c r="KU129" i="2"/>
  <c r="KY129" i="2"/>
  <c r="LA129" i="2"/>
  <c r="LC129" i="2"/>
  <c r="LE129" i="2"/>
  <c r="LG129" i="2"/>
  <c r="LH129" i="2"/>
  <c r="LI129" i="2"/>
  <c r="LJ129" i="2"/>
  <c r="LL129" i="2"/>
  <c r="LN129" i="2"/>
  <c r="LO129" i="2"/>
  <c r="LP129" i="2"/>
  <c r="LQ129" i="2"/>
  <c r="LR129" i="2"/>
  <c r="LS129" i="2"/>
  <c r="LT129" i="2"/>
  <c r="LU129" i="2"/>
  <c r="LV129" i="2"/>
  <c r="LW129" i="2"/>
  <c r="LX129" i="2"/>
  <c r="LY129" i="2"/>
  <c r="LZ129" i="2"/>
  <c r="MA129" i="2"/>
  <c r="MB129" i="2"/>
  <c r="MC129" i="2"/>
  <c r="MD129" i="2"/>
  <c r="ME129" i="2"/>
  <c r="MF129" i="2"/>
  <c r="MG129" i="2"/>
  <c r="MH129" i="2"/>
  <c r="MI129" i="2"/>
  <c r="MJ129" i="2"/>
  <c r="MK129" i="2"/>
  <c r="ML129" i="2"/>
  <c r="MM129" i="2"/>
  <c r="MN129" i="2"/>
  <c r="MO129" i="2"/>
  <c r="MP129" i="2"/>
  <c r="MQ129" i="2"/>
  <c r="MR129" i="2"/>
  <c r="MS129" i="2"/>
  <c r="MT129" i="2"/>
  <c r="MU129" i="2"/>
  <c r="MV129" i="2"/>
  <c r="MW129" i="2"/>
  <c r="MX129" i="2"/>
  <c r="MY129" i="2"/>
  <c r="MZ129" i="2"/>
  <c r="NA129" i="2"/>
  <c r="NB129" i="2"/>
  <c r="NC129" i="2"/>
  <c r="ND129" i="2"/>
  <c r="NE129" i="2"/>
  <c r="NF129" i="2"/>
  <c r="NG129" i="2"/>
  <c r="NH129" i="2"/>
  <c r="NI129" i="2"/>
  <c r="NJ129" i="2"/>
  <c r="NK129" i="2"/>
  <c r="NL129" i="2"/>
  <c r="NM129" i="2"/>
  <c r="NN129" i="2"/>
  <c r="NO129" i="2"/>
  <c r="NP129" i="2"/>
  <c r="NQ129" i="2"/>
  <c r="NR129" i="2"/>
  <c r="NS129" i="2"/>
  <c r="NT129" i="2"/>
  <c r="NU129" i="2"/>
  <c r="NV129" i="2"/>
  <c r="NW129" i="2"/>
  <c r="NX129" i="2"/>
  <c r="NY129" i="2"/>
  <c r="NZ129" i="2"/>
  <c r="OA129" i="2"/>
  <c r="OB129" i="2"/>
  <c r="OC129" i="2"/>
  <c r="OD129" i="2"/>
  <c r="OE129" i="2"/>
  <c r="OF129" i="2"/>
  <c r="OG129" i="2"/>
  <c r="OH129" i="2"/>
  <c r="OI129" i="2"/>
  <c r="OJ129" i="2"/>
  <c r="OK129" i="2"/>
  <c r="OL129" i="2"/>
  <c r="OM129" i="2"/>
  <c r="ON129" i="2"/>
  <c r="OO129" i="2"/>
  <c r="OP129" i="2"/>
  <c r="OQ129" i="2"/>
  <c r="OR129" i="2"/>
  <c r="OS129" i="2"/>
  <c r="OT129" i="2"/>
  <c r="OU129" i="2"/>
  <c r="OV129" i="2"/>
  <c r="OW129" i="2"/>
  <c r="OX129" i="2"/>
  <c r="OY129" i="2"/>
  <c r="OZ129" i="2"/>
  <c r="PA129" i="2"/>
  <c r="PB129" i="2"/>
  <c r="PC129" i="2"/>
  <c r="PD129" i="2"/>
  <c r="PE129" i="2"/>
  <c r="PF129" i="2"/>
  <c r="PG129" i="2"/>
  <c r="PH129" i="2"/>
  <c r="PI129" i="2"/>
  <c r="PJ129" i="2"/>
  <c r="PK129" i="2"/>
  <c r="PL129" i="2"/>
  <c r="IA130" i="2"/>
  <c r="IC130" i="2"/>
  <c r="IE130" i="2"/>
  <c r="IG130" i="2"/>
  <c r="II130" i="2"/>
  <c r="IJ130" i="2"/>
  <c r="IK130" i="2"/>
  <c r="IL130" i="2"/>
  <c r="IM130" i="2"/>
  <c r="IN130" i="2"/>
  <c r="IO130" i="2"/>
  <c r="IP130" i="2"/>
  <c r="IQ130" i="2"/>
  <c r="IR130" i="2"/>
  <c r="IS130" i="2"/>
  <c r="IT130" i="2"/>
  <c r="IU130" i="2"/>
  <c r="IV130" i="2"/>
  <c r="IW130" i="2"/>
  <c r="JD130" i="2"/>
  <c r="JE130" i="2"/>
  <c r="JG130" i="2"/>
  <c r="JH130" i="2"/>
  <c r="JK130" i="2"/>
  <c r="JL130" i="2"/>
  <c r="JM130" i="2"/>
  <c r="JN130" i="2"/>
  <c r="JO130" i="2"/>
  <c r="JP130" i="2"/>
  <c r="JR130" i="2"/>
  <c r="JS130" i="2"/>
  <c r="JT130" i="2"/>
  <c r="JU130" i="2"/>
  <c r="JV130" i="2"/>
  <c r="JW130" i="2"/>
  <c r="JX130" i="2"/>
  <c r="JY130" i="2"/>
  <c r="JZ130" i="2"/>
  <c r="KA130" i="2"/>
  <c r="KB130" i="2"/>
  <c r="KC130" i="2"/>
  <c r="KD130" i="2"/>
  <c r="KE130" i="2"/>
  <c r="KF130" i="2"/>
  <c r="KG130" i="2"/>
  <c r="KH130" i="2"/>
  <c r="KI130" i="2"/>
  <c r="KJ130" i="2"/>
  <c r="KK130" i="2"/>
  <c r="KL130" i="2"/>
  <c r="KM130" i="2"/>
  <c r="KO130" i="2"/>
  <c r="KP130" i="2"/>
  <c r="KQ130" i="2"/>
  <c r="KR130" i="2"/>
  <c r="KS130" i="2"/>
  <c r="KT130" i="2"/>
  <c r="KU130" i="2"/>
  <c r="KY130" i="2"/>
  <c r="LA130" i="2"/>
  <c r="LC130" i="2"/>
  <c r="LE130" i="2"/>
  <c r="LG130" i="2"/>
  <c r="LH130" i="2"/>
  <c r="LI130" i="2"/>
  <c r="LJ130" i="2"/>
  <c r="LL130" i="2"/>
  <c r="LN130" i="2"/>
  <c r="LO130" i="2"/>
  <c r="LP130" i="2"/>
  <c r="LQ130" i="2"/>
  <c r="LR130" i="2"/>
  <c r="LS130" i="2"/>
  <c r="LT130" i="2"/>
  <c r="LU130" i="2"/>
  <c r="LV130" i="2"/>
  <c r="LW130" i="2"/>
  <c r="LX130" i="2"/>
  <c r="LY130" i="2"/>
  <c r="LZ130" i="2"/>
  <c r="MA130" i="2"/>
  <c r="MB130" i="2"/>
  <c r="MC130" i="2"/>
  <c r="MD130" i="2"/>
  <c r="ME130" i="2"/>
  <c r="MF130" i="2"/>
  <c r="MG130" i="2"/>
  <c r="MH130" i="2"/>
  <c r="MI130" i="2"/>
  <c r="MJ130" i="2"/>
  <c r="MK130" i="2"/>
  <c r="ML130" i="2"/>
  <c r="MM130" i="2"/>
  <c r="MN130" i="2"/>
  <c r="MO130" i="2"/>
  <c r="MP130" i="2"/>
  <c r="MQ130" i="2"/>
  <c r="MR130" i="2"/>
  <c r="MS130" i="2"/>
  <c r="MT130" i="2"/>
  <c r="MU130" i="2"/>
  <c r="MV130" i="2"/>
  <c r="MW130" i="2"/>
  <c r="MX130" i="2"/>
  <c r="MY130" i="2"/>
  <c r="MZ130" i="2"/>
  <c r="NA130" i="2"/>
  <c r="NB130" i="2"/>
  <c r="NC130" i="2"/>
  <c r="ND130" i="2"/>
  <c r="NE130" i="2"/>
  <c r="NF130" i="2"/>
  <c r="NG130" i="2"/>
  <c r="NH130" i="2"/>
  <c r="NI130" i="2"/>
  <c r="NJ130" i="2"/>
  <c r="NK130" i="2"/>
  <c r="NL130" i="2"/>
  <c r="NM130" i="2"/>
  <c r="NN130" i="2"/>
  <c r="NO130" i="2"/>
  <c r="NP130" i="2"/>
  <c r="NQ130" i="2"/>
  <c r="NR130" i="2"/>
  <c r="NS130" i="2"/>
  <c r="NT130" i="2"/>
  <c r="NU130" i="2"/>
  <c r="NV130" i="2"/>
  <c r="NW130" i="2"/>
  <c r="NX130" i="2"/>
  <c r="NY130" i="2"/>
  <c r="NZ130" i="2"/>
  <c r="OA130" i="2"/>
  <c r="OB130" i="2"/>
  <c r="OC130" i="2"/>
  <c r="OD130" i="2"/>
  <c r="OE130" i="2"/>
  <c r="OF130" i="2"/>
  <c r="OG130" i="2"/>
  <c r="OH130" i="2"/>
  <c r="OI130" i="2"/>
  <c r="OJ130" i="2"/>
  <c r="OK130" i="2"/>
  <c r="OL130" i="2"/>
  <c r="OM130" i="2"/>
  <c r="ON130" i="2"/>
  <c r="OO130" i="2"/>
  <c r="OP130" i="2"/>
  <c r="OQ130" i="2"/>
  <c r="OR130" i="2"/>
  <c r="OS130" i="2"/>
  <c r="OT130" i="2"/>
  <c r="OU130" i="2"/>
  <c r="OV130" i="2"/>
  <c r="OW130" i="2"/>
  <c r="OX130" i="2"/>
  <c r="OY130" i="2"/>
  <c r="OZ130" i="2"/>
  <c r="PA130" i="2"/>
  <c r="PB130" i="2"/>
  <c r="PC130" i="2"/>
  <c r="PD130" i="2"/>
  <c r="PE130" i="2"/>
  <c r="PF130" i="2"/>
  <c r="PG130" i="2"/>
  <c r="PH130" i="2"/>
  <c r="PI130" i="2"/>
  <c r="PJ130" i="2"/>
  <c r="PK130" i="2"/>
  <c r="PL130" i="2"/>
  <c r="IA131" i="2"/>
  <c r="IC131" i="2"/>
  <c r="IE131" i="2"/>
  <c r="IG131" i="2"/>
  <c r="II131" i="2"/>
  <c r="IJ131" i="2"/>
  <c r="IK131" i="2"/>
  <c r="IL131" i="2"/>
  <c r="IM131" i="2"/>
  <c r="IN131" i="2"/>
  <c r="IO131" i="2"/>
  <c r="IP131" i="2"/>
  <c r="IQ131" i="2"/>
  <c r="IR131" i="2"/>
  <c r="IS131" i="2"/>
  <c r="IT131" i="2"/>
  <c r="IU131" i="2"/>
  <c r="IV131" i="2"/>
  <c r="IW131" i="2"/>
  <c r="JD131" i="2"/>
  <c r="JE131" i="2"/>
  <c r="JG131" i="2"/>
  <c r="JH131" i="2"/>
  <c r="JK131" i="2"/>
  <c r="JL131" i="2"/>
  <c r="JM131" i="2"/>
  <c r="JN131" i="2"/>
  <c r="JO131" i="2"/>
  <c r="JP131" i="2"/>
  <c r="JR131" i="2"/>
  <c r="JS131" i="2"/>
  <c r="JT131" i="2"/>
  <c r="JU131" i="2"/>
  <c r="JV131" i="2"/>
  <c r="JW131" i="2"/>
  <c r="JX131" i="2"/>
  <c r="JY131" i="2"/>
  <c r="JZ131" i="2"/>
  <c r="KA131" i="2"/>
  <c r="KB131" i="2"/>
  <c r="KC131" i="2"/>
  <c r="KD131" i="2"/>
  <c r="KE131" i="2"/>
  <c r="KF131" i="2"/>
  <c r="KG131" i="2"/>
  <c r="KH131" i="2"/>
  <c r="KI131" i="2"/>
  <c r="KJ131" i="2"/>
  <c r="KK131" i="2"/>
  <c r="KM131" i="2"/>
  <c r="KP131" i="2"/>
  <c r="KQ131" i="2"/>
  <c r="KR131" i="2"/>
  <c r="KS131" i="2"/>
  <c r="KT131" i="2"/>
  <c r="KU131" i="2"/>
  <c r="KY131" i="2"/>
  <c r="LA131" i="2"/>
  <c r="LC131" i="2"/>
  <c r="LE131" i="2"/>
  <c r="LG131" i="2"/>
  <c r="LH131" i="2"/>
  <c r="LI131" i="2"/>
  <c r="LJ131" i="2"/>
  <c r="LL131" i="2"/>
  <c r="LN131" i="2"/>
  <c r="LO131" i="2"/>
  <c r="LP131" i="2"/>
  <c r="LQ131" i="2"/>
  <c r="LR131" i="2"/>
  <c r="LS131" i="2"/>
  <c r="LT131" i="2"/>
  <c r="LU131" i="2"/>
  <c r="LV131" i="2"/>
  <c r="LW131" i="2"/>
  <c r="LX131" i="2"/>
  <c r="LY131" i="2"/>
  <c r="LZ131" i="2"/>
  <c r="MA131" i="2"/>
  <c r="MB131" i="2"/>
  <c r="MC131" i="2"/>
  <c r="MD131" i="2"/>
  <c r="ME131" i="2"/>
  <c r="MF131" i="2"/>
  <c r="MG131" i="2"/>
  <c r="MH131" i="2"/>
  <c r="MI131" i="2"/>
  <c r="MJ131" i="2"/>
  <c r="MK131" i="2"/>
  <c r="ML131" i="2"/>
  <c r="MM131" i="2"/>
  <c r="MN131" i="2"/>
  <c r="MO131" i="2"/>
  <c r="MP131" i="2"/>
  <c r="MQ131" i="2"/>
  <c r="MR131" i="2"/>
  <c r="MS131" i="2"/>
  <c r="MT131" i="2"/>
  <c r="MU131" i="2"/>
  <c r="MV131" i="2"/>
  <c r="MW131" i="2"/>
  <c r="MX131" i="2"/>
  <c r="MY131" i="2"/>
  <c r="MZ131" i="2"/>
  <c r="NA131" i="2"/>
  <c r="NB131" i="2"/>
  <c r="NC131" i="2"/>
  <c r="ND131" i="2"/>
  <c r="NE131" i="2"/>
  <c r="NF131" i="2"/>
  <c r="NG131" i="2"/>
  <c r="NH131" i="2"/>
  <c r="NI131" i="2"/>
  <c r="NJ131" i="2"/>
  <c r="NK131" i="2"/>
  <c r="NL131" i="2"/>
  <c r="NM131" i="2"/>
  <c r="NN131" i="2"/>
  <c r="NO131" i="2"/>
  <c r="NP131" i="2"/>
  <c r="NQ131" i="2"/>
  <c r="NR131" i="2"/>
  <c r="NS131" i="2"/>
  <c r="NT131" i="2"/>
  <c r="NU131" i="2"/>
  <c r="NV131" i="2"/>
  <c r="NW131" i="2"/>
  <c r="NX131" i="2"/>
  <c r="NY131" i="2"/>
  <c r="NZ131" i="2"/>
  <c r="OA131" i="2"/>
  <c r="OB131" i="2"/>
  <c r="OC131" i="2"/>
  <c r="OD131" i="2"/>
  <c r="OE131" i="2"/>
  <c r="OF131" i="2"/>
  <c r="OG131" i="2"/>
  <c r="OH131" i="2"/>
  <c r="OI131" i="2"/>
  <c r="OJ131" i="2"/>
  <c r="OK131" i="2"/>
  <c r="OL131" i="2"/>
  <c r="OM131" i="2"/>
  <c r="ON131" i="2"/>
  <c r="OO131" i="2"/>
  <c r="OP131" i="2"/>
  <c r="OQ131" i="2"/>
  <c r="OR131" i="2"/>
  <c r="OS131" i="2"/>
  <c r="OT131" i="2"/>
  <c r="OU131" i="2"/>
  <c r="OW131" i="2"/>
  <c r="OX131" i="2"/>
  <c r="OY131" i="2"/>
  <c r="OZ131" i="2"/>
  <c r="PA131" i="2"/>
  <c r="PB131" i="2"/>
  <c r="PC131" i="2"/>
  <c r="PD131" i="2"/>
  <c r="PE131" i="2"/>
  <c r="PF131" i="2"/>
  <c r="PG131" i="2"/>
  <c r="PH131" i="2"/>
  <c r="PI131" i="2"/>
  <c r="PJ131" i="2"/>
  <c r="PK131" i="2"/>
  <c r="PL131" i="2"/>
  <c r="IA132" i="2"/>
  <c r="IC132" i="2"/>
  <c r="IE132" i="2"/>
  <c r="IG132" i="2"/>
  <c r="II132" i="2"/>
  <c r="IJ132" i="2"/>
  <c r="IK132" i="2"/>
  <c r="IL132" i="2"/>
  <c r="IM132" i="2"/>
  <c r="IN132" i="2"/>
  <c r="IO132" i="2"/>
  <c r="IP132" i="2"/>
  <c r="IQ132" i="2"/>
  <c r="IR132" i="2"/>
  <c r="IS132" i="2"/>
  <c r="IT132" i="2"/>
  <c r="IU132" i="2"/>
  <c r="IV132" i="2"/>
  <c r="IW132" i="2"/>
  <c r="JD132" i="2"/>
  <c r="JE132" i="2"/>
  <c r="JG132" i="2"/>
  <c r="JH132" i="2"/>
  <c r="JK132" i="2"/>
  <c r="JL132" i="2"/>
  <c r="JM132" i="2"/>
  <c r="JN132" i="2"/>
  <c r="JO132" i="2"/>
  <c r="JP132" i="2"/>
  <c r="JR132" i="2"/>
  <c r="JS132" i="2"/>
  <c r="JT132" i="2"/>
  <c r="JU132" i="2"/>
  <c r="JV132" i="2"/>
  <c r="JW132" i="2"/>
  <c r="JX132" i="2"/>
  <c r="JY132" i="2"/>
  <c r="JZ132" i="2"/>
  <c r="KA132" i="2"/>
  <c r="KB132" i="2"/>
  <c r="KC132" i="2"/>
  <c r="KD132" i="2"/>
  <c r="KE132" i="2"/>
  <c r="KF132" i="2"/>
  <c r="KG132" i="2"/>
  <c r="KH132" i="2"/>
  <c r="KI132" i="2"/>
  <c r="KJ132" i="2"/>
  <c r="KK132" i="2"/>
  <c r="KM132" i="2"/>
  <c r="KO132" i="2"/>
  <c r="KP132" i="2"/>
  <c r="KQ132" i="2"/>
  <c r="KR132" i="2"/>
  <c r="KS132" i="2"/>
  <c r="KT132" i="2"/>
  <c r="KU132" i="2"/>
  <c r="KY132" i="2"/>
  <c r="LA132" i="2"/>
  <c r="LC132" i="2"/>
  <c r="LE132" i="2"/>
  <c r="LG132" i="2"/>
  <c r="LH132" i="2"/>
  <c r="LI132" i="2"/>
  <c r="LJ132" i="2"/>
  <c r="LL132" i="2"/>
  <c r="LN132" i="2"/>
  <c r="LO132" i="2"/>
  <c r="LP132" i="2"/>
  <c r="LQ132" i="2"/>
  <c r="LR132" i="2"/>
  <c r="LS132" i="2"/>
  <c r="LT132" i="2"/>
  <c r="LU132" i="2"/>
  <c r="LV132" i="2"/>
  <c r="LW132" i="2"/>
  <c r="LX132" i="2"/>
  <c r="LY132" i="2"/>
  <c r="LZ132" i="2"/>
  <c r="MA132" i="2"/>
  <c r="MB132" i="2"/>
  <c r="MC132" i="2"/>
  <c r="MD132" i="2"/>
  <c r="ME132" i="2"/>
  <c r="MF132" i="2"/>
  <c r="MG132" i="2"/>
  <c r="MH132" i="2"/>
  <c r="MI132" i="2"/>
  <c r="MJ132" i="2"/>
  <c r="MK132" i="2"/>
  <c r="ML132" i="2"/>
  <c r="MM132" i="2"/>
  <c r="MN132" i="2"/>
  <c r="MO132" i="2"/>
  <c r="MP132" i="2"/>
  <c r="MQ132" i="2"/>
  <c r="MR132" i="2"/>
  <c r="MS132" i="2"/>
  <c r="MT132" i="2"/>
  <c r="MU132" i="2"/>
  <c r="MV132" i="2"/>
  <c r="MW132" i="2"/>
  <c r="MX132" i="2"/>
  <c r="MY132" i="2"/>
  <c r="MZ132" i="2"/>
  <c r="NA132" i="2"/>
  <c r="NB132" i="2"/>
  <c r="NC132" i="2"/>
  <c r="ND132" i="2"/>
  <c r="NE132" i="2"/>
  <c r="NF132" i="2"/>
  <c r="NG132" i="2"/>
  <c r="NH132" i="2"/>
  <c r="NI132" i="2"/>
  <c r="NJ132" i="2"/>
  <c r="NK132" i="2"/>
  <c r="NL132" i="2"/>
  <c r="NM132" i="2"/>
  <c r="NN132" i="2"/>
  <c r="NO132" i="2"/>
  <c r="NP132" i="2"/>
  <c r="NQ132" i="2"/>
  <c r="NR132" i="2"/>
  <c r="NS132" i="2"/>
  <c r="NT132" i="2"/>
  <c r="NU132" i="2"/>
  <c r="NV132" i="2"/>
  <c r="NW132" i="2"/>
  <c r="NX132" i="2"/>
  <c r="NY132" i="2"/>
  <c r="NZ132" i="2"/>
  <c r="OA132" i="2"/>
  <c r="OB132" i="2"/>
  <c r="OC132" i="2"/>
  <c r="OD132" i="2"/>
  <c r="OE132" i="2"/>
  <c r="OF132" i="2"/>
  <c r="OG132" i="2"/>
  <c r="OH132" i="2"/>
  <c r="OI132" i="2"/>
  <c r="OJ132" i="2"/>
  <c r="OK132" i="2"/>
  <c r="OL132" i="2"/>
  <c r="OM132" i="2"/>
  <c r="ON132" i="2"/>
  <c r="OO132" i="2"/>
  <c r="OP132" i="2"/>
  <c r="OQ132" i="2"/>
  <c r="OR132" i="2"/>
  <c r="OS132" i="2"/>
  <c r="OT132" i="2"/>
  <c r="OU132" i="2"/>
  <c r="OW132" i="2"/>
  <c r="OX132" i="2"/>
  <c r="OY132" i="2"/>
  <c r="OZ132" i="2"/>
  <c r="PA132" i="2"/>
  <c r="PB132" i="2"/>
  <c r="PC132" i="2"/>
  <c r="PD132" i="2"/>
  <c r="PE132" i="2"/>
  <c r="PF132" i="2"/>
  <c r="PG132" i="2"/>
  <c r="PH132" i="2"/>
  <c r="PI132" i="2"/>
  <c r="PJ132" i="2"/>
  <c r="PK132" i="2"/>
  <c r="PL132" i="2"/>
  <c r="IA133" i="2"/>
  <c r="IC133" i="2"/>
  <c r="IE133" i="2"/>
  <c r="IG133" i="2"/>
  <c r="II133" i="2"/>
  <c r="IJ133" i="2"/>
  <c r="IK133" i="2"/>
  <c r="IL133" i="2"/>
  <c r="IM133" i="2"/>
  <c r="IN133" i="2"/>
  <c r="IO133" i="2"/>
  <c r="IP133" i="2"/>
  <c r="IQ133" i="2"/>
  <c r="IR133" i="2"/>
  <c r="IS133" i="2"/>
  <c r="IT133" i="2"/>
  <c r="IU133" i="2"/>
  <c r="IV133" i="2"/>
  <c r="IW133" i="2"/>
  <c r="JD133" i="2"/>
  <c r="JE133" i="2"/>
  <c r="JG133" i="2"/>
  <c r="JH133" i="2"/>
  <c r="JK133" i="2"/>
  <c r="JL133" i="2"/>
  <c r="JM133" i="2"/>
  <c r="JN133" i="2"/>
  <c r="JO133" i="2"/>
  <c r="JP133" i="2"/>
  <c r="JR133" i="2"/>
  <c r="JS133" i="2"/>
  <c r="JT133" i="2"/>
  <c r="JU133" i="2"/>
  <c r="JV133" i="2"/>
  <c r="JW133" i="2"/>
  <c r="JX133" i="2"/>
  <c r="JY133" i="2"/>
  <c r="JZ133" i="2"/>
  <c r="KA133" i="2"/>
  <c r="KB133" i="2"/>
  <c r="KC133" i="2"/>
  <c r="KD133" i="2"/>
  <c r="KE133" i="2"/>
  <c r="KF133" i="2"/>
  <c r="KG133" i="2"/>
  <c r="KH133" i="2"/>
  <c r="KN133" i="2" s="1"/>
  <c r="KI133" i="2"/>
  <c r="KJ133" i="2"/>
  <c r="KK133" i="2"/>
  <c r="KL133" i="2"/>
  <c r="KM133" i="2"/>
  <c r="KO133" i="2"/>
  <c r="KP133" i="2"/>
  <c r="KQ133" i="2"/>
  <c r="KR133" i="2"/>
  <c r="KS133" i="2"/>
  <c r="KT133" i="2"/>
  <c r="KU133" i="2"/>
  <c r="KY133" i="2"/>
  <c r="LA133" i="2"/>
  <c r="LC133" i="2"/>
  <c r="LE133" i="2"/>
  <c r="LG133" i="2"/>
  <c r="LH133" i="2"/>
  <c r="LI133" i="2"/>
  <c r="LJ133" i="2"/>
  <c r="LL133" i="2"/>
  <c r="LN133" i="2"/>
  <c r="LO133" i="2"/>
  <c r="LP133" i="2"/>
  <c r="LQ133" i="2"/>
  <c r="LR133" i="2"/>
  <c r="LS133" i="2"/>
  <c r="LT133" i="2"/>
  <c r="LU133" i="2"/>
  <c r="LV133" i="2"/>
  <c r="LW133" i="2"/>
  <c r="LX133" i="2"/>
  <c r="LY133" i="2"/>
  <c r="LZ133" i="2"/>
  <c r="MA133" i="2"/>
  <c r="MB133" i="2"/>
  <c r="MC133" i="2"/>
  <c r="MD133" i="2"/>
  <c r="ME133" i="2"/>
  <c r="MF133" i="2"/>
  <c r="MG133" i="2"/>
  <c r="MH133" i="2"/>
  <c r="MI133" i="2"/>
  <c r="MJ133" i="2"/>
  <c r="MK133" i="2"/>
  <c r="ML133" i="2"/>
  <c r="MM133" i="2"/>
  <c r="MN133" i="2"/>
  <c r="MO133" i="2"/>
  <c r="MP133" i="2"/>
  <c r="MQ133" i="2"/>
  <c r="MR133" i="2"/>
  <c r="MS133" i="2"/>
  <c r="MT133" i="2"/>
  <c r="MU133" i="2"/>
  <c r="MV133" i="2"/>
  <c r="MW133" i="2"/>
  <c r="MX133" i="2"/>
  <c r="MY133" i="2"/>
  <c r="MZ133" i="2"/>
  <c r="NA133" i="2"/>
  <c r="NB133" i="2"/>
  <c r="NC133" i="2"/>
  <c r="ND133" i="2"/>
  <c r="NE133" i="2"/>
  <c r="NF133" i="2"/>
  <c r="NG133" i="2"/>
  <c r="NH133" i="2"/>
  <c r="NI133" i="2"/>
  <c r="NJ133" i="2"/>
  <c r="NK133" i="2"/>
  <c r="NL133" i="2"/>
  <c r="NM133" i="2"/>
  <c r="NN133" i="2"/>
  <c r="NO133" i="2"/>
  <c r="NP133" i="2"/>
  <c r="NQ133" i="2"/>
  <c r="NR133" i="2"/>
  <c r="NS133" i="2"/>
  <c r="NT133" i="2"/>
  <c r="NU133" i="2"/>
  <c r="NV133" i="2"/>
  <c r="NW133" i="2"/>
  <c r="NX133" i="2"/>
  <c r="NY133" i="2"/>
  <c r="NZ133" i="2"/>
  <c r="OA133" i="2"/>
  <c r="OB133" i="2"/>
  <c r="OC133" i="2"/>
  <c r="OD133" i="2"/>
  <c r="OE133" i="2"/>
  <c r="OF133" i="2"/>
  <c r="OG133" i="2"/>
  <c r="OH133" i="2"/>
  <c r="OI133" i="2"/>
  <c r="OJ133" i="2"/>
  <c r="OK133" i="2"/>
  <c r="OL133" i="2"/>
  <c r="OM133" i="2"/>
  <c r="ON133" i="2"/>
  <c r="OO133" i="2"/>
  <c r="OP133" i="2"/>
  <c r="OQ133" i="2"/>
  <c r="OR133" i="2"/>
  <c r="OS133" i="2"/>
  <c r="OT133" i="2"/>
  <c r="OU133" i="2"/>
  <c r="OV133" i="2"/>
  <c r="OW133" i="2"/>
  <c r="OX133" i="2"/>
  <c r="OY133" i="2"/>
  <c r="OZ133" i="2"/>
  <c r="PA133" i="2"/>
  <c r="PB133" i="2"/>
  <c r="PC133" i="2"/>
  <c r="PD133" i="2"/>
  <c r="PE133" i="2"/>
  <c r="PF133" i="2"/>
  <c r="PG133" i="2"/>
  <c r="PH133" i="2"/>
  <c r="PI133" i="2"/>
  <c r="PJ133" i="2"/>
  <c r="PK133" i="2"/>
  <c r="PL133" i="2"/>
  <c r="IA134" i="2"/>
  <c r="IC134" i="2"/>
  <c r="IE134" i="2"/>
  <c r="IG134" i="2"/>
  <c r="II134" i="2"/>
  <c r="IJ134" i="2"/>
  <c r="IK134" i="2"/>
  <c r="IL134" i="2"/>
  <c r="IM134" i="2"/>
  <c r="IN134" i="2"/>
  <c r="IO134" i="2"/>
  <c r="IP134" i="2"/>
  <c r="IQ134" i="2"/>
  <c r="IR134" i="2"/>
  <c r="IS134" i="2"/>
  <c r="IT134" i="2"/>
  <c r="IU134" i="2"/>
  <c r="IV134" i="2"/>
  <c r="IW134" i="2"/>
  <c r="JD134" i="2"/>
  <c r="JE134" i="2"/>
  <c r="JG134" i="2"/>
  <c r="JH134" i="2"/>
  <c r="JK134" i="2"/>
  <c r="JL134" i="2"/>
  <c r="JM134" i="2"/>
  <c r="JN134" i="2"/>
  <c r="JO134" i="2"/>
  <c r="JP134" i="2"/>
  <c r="JR134" i="2"/>
  <c r="JS134" i="2"/>
  <c r="JT134" i="2"/>
  <c r="JU134" i="2"/>
  <c r="JV134" i="2"/>
  <c r="JW134" i="2"/>
  <c r="JX134" i="2"/>
  <c r="JY134" i="2"/>
  <c r="JZ134" i="2"/>
  <c r="KA134" i="2"/>
  <c r="KB134" i="2"/>
  <c r="KC134" i="2"/>
  <c r="KD134" i="2"/>
  <c r="KE134" i="2"/>
  <c r="KF134" i="2"/>
  <c r="KG134" i="2"/>
  <c r="KH134" i="2"/>
  <c r="KI134" i="2"/>
  <c r="KJ134" i="2"/>
  <c r="KK134" i="2"/>
  <c r="KL134" i="2"/>
  <c r="KM134" i="2"/>
  <c r="KO134" i="2"/>
  <c r="KP134" i="2"/>
  <c r="KQ134" i="2"/>
  <c r="KR134" i="2"/>
  <c r="KS134" i="2"/>
  <c r="KT134" i="2"/>
  <c r="KU134" i="2"/>
  <c r="KY134" i="2"/>
  <c r="LA134" i="2"/>
  <c r="LC134" i="2"/>
  <c r="LE134" i="2"/>
  <c r="LG134" i="2"/>
  <c r="LH134" i="2"/>
  <c r="LI134" i="2"/>
  <c r="LJ134" i="2"/>
  <c r="LL134" i="2"/>
  <c r="LN134" i="2"/>
  <c r="LO134" i="2"/>
  <c r="LP134" i="2"/>
  <c r="LQ134" i="2"/>
  <c r="LR134" i="2"/>
  <c r="LS134" i="2"/>
  <c r="LT134" i="2"/>
  <c r="LU134" i="2"/>
  <c r="LV134" i="2"/>
  <c r="LW134" i="2"/>
  <c r="LX134" i="2"/>
  <c r="LY134" i="2"/>
  <c r="LZ134" i="2"/>
  <c r="MA134" i="2"/>
  <c r="MB134" i="2"/>
  <c r="MC134" i="2"/>
  <c r="MD134" i="2"/>
  <c r="ME134" i="2"/>
  <c r="MF134" i="2"/>
  <c r="MG134" i="2"/>
  <c r="MH134" i="2"/>
  <c r="MI134" i="2"/>
  <c r="MJ134" i="2"/>
  <c r="MK134" i="2"/>
  <c r="ML134" i="2"/>
  <c r="MM134" i="2"/>
  <c r="MN134" i="2"/>
  <c r="MO134" i="2"/>
  <c r="MP134" i="2"/>
  <c r="MQ134" i="2"/>
  <c r="MR134" i="2"/>
  <c r="MS134" i="2"/>
  <c r="MT134" i="2"/>
  <c r="MU134" i="2"/>
  <c r="MV134" i="2"/>
  <c r="MW134" i="2"/>
  <c r="MX134" i="2"/>
  <c r="MY134" i="2"/>
  <c r="MZ134" i="2"/>
  <c r="NA134" i="2"/>
  <c r="NB134" i="2"/>
  <c r="NC134" i="2"/>
  <c r="ND134" i="2"/>
  <c r="NE134" i="2"/>
  <c r="NF134" i="2"/>
  <c r="NG134" i="2"/>
  <c r="NH134" i="2"/>
  <c r="NI134" i="2"/>
  <c r="NJ134" i="2"/>
  <c r="NK134" i="2"/>
  <c r="NL134" i="2"/>
  <c r="NM134" i="2"/>
  <c r="NN134" i="2"/>
  <c r="NO134" i="2"/>
  <c r="NP134" i="2"/>
  <c r="NQ134" i="2"/>
  <c r="NR134" i="2"/>
  <c r="NS134" i="2"/>
  <c r="NT134" i="2"/>
  <c r="NU134" i="2"/>
  <c r="NV134" i="2"/>
  <c r="NW134" i="2"/>
  <c r="NX134" i="2"/>
  <c r="NY134" i="2"/>
  <c r="NZ134" i="2"/>
  <c r="OA134" i="2"/>
  <c r="OB134" i="2"/>
  <c r="OC134" i="2"/>
  <c r="OD134" i="2"/>
  <c r="OE134" i="2"/>
  <c r="OF134" i="2"/>
  <c r="OG134" i="2"/>
  <c r="OH134" i="2"/>
  <c r="OI134" i="2"/>
  <c r="OJ134" i="2"/>
  <c r="OK134" i="2"/>
  <c r="OL134" i="2"/>
  <c r="OM134" i="2"/>
  <c r="ON134" i="2"/>
  <c r="OO134" i="2"/>
  <c r="OP134" i="2"/>
  <c r="OQ134" i="2"/>
  <c r="OR134" i="2"/>
  <c r="OS134" i="2"/>
  <c r="OT134" i="2"/>
  <c r="OU134" i="2"/>
  <c r="OV134" i="2"/>
  <c r="OW134" i="2"/>
  <c r="OX134" i="2"/>
  <c r="OY134" i="2"/>
  <c r="OZ134" i="2"/>
  <c r="PA134" i="2"/>
  <c r="PB134" i="2"/>
  <c r="PC134" i="2"/>
  <c r="PD134" i="2"/>
  <c r="PE134" i="2"/>
  <c r="PF134" i="2"/>
  <c r="PG134" i="2"/>
  <c r="PH134" i="2"/>
  <c r="PI134" i="2"/>
  <c r="PJ134" i="2"/>
  <c r="PK134" i="2"/>
  <c r="PL134" i="2"/>
  <c r="IA135" i="2"/>
  <c r="IC135" i="2"/>
  <c r="IE135" i="2"/>
  <c r="IG135" i="2"/>
  <c r="II135" i="2"/>
  <c r="IJ135" i="2"/>
  <c r="IK135" i="2"/>
  <c r="IL135" i="2"/>
  <c r="IM135" i="2"/>
  <c r="IN135" i="2"/>
  <c r="IO135" i="2"/>
  <c r="IP135" i="2"/>
  <c r="IQ135" i="2"/>
  <c r="IR135" i="2"/>
  <c r="IS135" i="2"/>
  <c r="IT135" i="2"/>
  <c r="IU135" i="2"/>
  <c r="IV135" i="2"/>
  <c r="IW135" i="2"/>
  <c r="JD135" i="2"/>
  <c r="JE135" i="2"/>
  <c r="JG135" i="2"/>
  <c r="JH135" i="2"/>
  <c r="JK135" i="2"/>
  <c r="JL135" i="2"/>
  <c r="JM135" i="2"/>
  <c r="JN135" i="2"/>
  <c r="JO135" i="2"/>
  <c r="JP135" i="2"/>
  <c r="JR135" i="2"/>
  <c r="JS135" i="2"/>
  <c r="JT135" i="2"/>
  <c r="JU135" i="2"/>
  <c r="JV135" i="2"/>
  <c r="JW135" i="2"/>
  <c r="JX135" i="2"/>
  <c r="JY135" i="2"/>
  <c r="JZ135" i="2"/>
  <c r="KA135" i="2"/>
  <c r="KB135" i="2"/>
  <c r="KC135" i="2"/>
  <c r="KD135" i="2"/>
  <c r="KE135" i="2"/>
  <c r="KF135" i="2"/>
  <c r="KG135" i="2"/>
  <c r="KH135" i="2"/>
  <c r="KI135" i="2"/>
  <c r="KJ135" i="2"/>
  <c r="KK135" i="2"/>
  <c r="KL135" i="2"/>
  <c r="KM135" i="2"/>
  <c r="KO135" i="2"/>
  <c r="KP135" i="2"/>
  <c r="KQ135" i="2"/>
  <c r="KR135" i="2"/>
  <c r="KS135" i="2"/>
  <c r="KT135" i="2"/>
  <c r="KU135" i="2"/>
  <c r="KY135" i="2"/>
  <c r="LA135" i="2"/>
  <c r="LC135" i="2"/>
  <c r="LE135" i="2"/>
  <c r="LG135" i="2"/>
  <c r="LH135" i="2"/>
  <c r="LI135" i="2"/>
  <c r="LJ135" i="2"/>
  <c r="LL135" i="2"/>
  <c r="LN135" i="2"/>
  <c r="LO135" i="2"/>
  <c r="LP135" i="2"/>
  <c r="LQ135" i="2"/>
  <c r="LR135" i="2"/>
  <c r="LS135" i="2"/>
  <c r="LT135" i="2"/>
  <c r="LU135" i="2"/>
  <c r="LV135" i="2"/>
  <c r="LW135" i="2"/>
  <c r="LX135" i="2"/>
  <c r="LY135" i="2"/>
  <c r="LZ135" i="2"/>
  <c r="MA135" i="2"/>
  <c r="MB135" i="2"/>
  <c r="MC135" i="2"/>
  <c r="MD135" i="2"/>
  <c r="ME135" i="2"/>
  <c r="MF135" i="2"/>
  <c r="MG135" i="2"/>
  <c r="MH135" i="2"/>
  <c r="MI135" i="2"/>
  <c r="MJ135" i="2"/>
  <c r="MK135" i="2"/>
  <c r="ML135" i="2"/>
  <c r="MM135" i="2"/>
  <c r="MN135" i="2"/>
  <c r="MO135" i="2"/>
  <c r="MP135" i="2"/>
  <c r="MQ135" i="2"/>
  <c r="MR135" i="2"/>
  <c r="MS135" i="2"/>
  <c r="MT135" i="2"/>
  <c r="MU135" i="2"/>
  <c r="MV135" i="2"/>
  <c r="MW135" i="2"/>
  <c r="MX135" i="2"/>
  <c r="MY135" i="2"/>
  <c r="MZ135" i="2"/>
  <c r="NA135" i="2"/>
  <c r="NB135" i="2"/>
  <c r="NC135" i="2"/>
  <c r="ND135" i="2"/>
  <c r="NE135" i="2"/>
  <c r="NF135" i="2"/>
  <c r="NG135" i="2"/>
  <c r="NH135" i="2"/>
  <c r="NI135" i="2"/>
  <c r="NJ135" i="2"/>
  <c r="NK135" i="2"/>
  <c r="NL135" i="2"/>
  <c r="NM135" i="2"/>
  <c r="NN135" i="2"/>
  <c r="NO135" i="2"/>
  <c r="NP135" i="2"/>
  <c r="NQ135" i="2"/>
  <c r="NR135" i="2"/>
  <c r="NS135" i="2"/>
  <c r="NT135" i="2"/>
  <c r="NU135" i="2"/>
  <c r="NV135" i="2"/>
  <c r="NW135" i="2"/>
  <c r="NX135" i="2"/>
  <c r="NY135" i="2"/>
  <c r="NZ135" i="2"/>
  <c r="OA135" i="2"/>
  <c r="OB135" i="2"/>
  <c r="OC135" i="2"/>
  <c r="OD135" i="2"/>
  <c r="OE135" i="2"/>
  <c r="OF135" i="2"/>
  <c r="OG135" i="2"/>
  <c r="OH135" i="2"/>
  <c r="OI135" i="2"/>
  <c r="OJ135" i="2"/>
  <c r="OK135" i="2"/>
  <c r="OL135" i="2"/>
  <c r="OM135" i="2"/>
  <c r="ON135" i="2"/>
  <c r="OO135" i="2"/>
  <c r="OP135" i="2"/>
  <c r="OQ135" i="2"/>
  <c r="OR135" i="2"/>
  <c r="OS135" i="2"/>
  <c r="OT135" i="2"/>
  <c r="OU135" i="2"/>
  <c r="OV135" i="2"/>
  <c r="OW135" i="2"/>
  <c r="OX135" i="2"/>
  <c r="OY135" i="2"/>
  <c r="OZ135" i="2"/>
  <c r="PA135" i="2"/>
  <c r="PB135" i="2"/>
  <c r="PC135" i="2"/>
  <c r="PD135" i="2"/>
  <c r="PE135" i="2"/>
  <c r="PF135" i="2"/>
  <c r="PG135" i="2"/>
  <c r="PH135" i="2"/>
  <c r="PI135" i="2"/>
  <c r="PJ135" i="2"/>
  <c r="PK135" i="2"/>
  <c r="PL135" i="2"/>
  <c r="IA136" i="2"/>
  <c r="IC136" i="2"/>
  <c r="IE136" i="2"/>
  <c r="IG136" i="2"/>
  <c r="II136" i="2"/>
  <c r="IJ136" i="2"/>
  <c r="IK136" i="2"/>
  <c r="IL136" i="2"/>
  <c r="IM136" i="2"/>
  <c r="IN136" i="2"/>
  <c r="IO136" i="2"/>
  <c r="IP136" i="2"/>
  <c r="IQ136" i="2"/>
  <c r="IR136" i="2"/>
  <c r="IS136" i="2"/>
  <c r="IT136" i="2"/>
  <c r="IU136" i="2"/>
  <c r="IV136" i="2"/>
  <c r="IW136" i="2"/>
  <c r="JD136" i="2"/>
  <c r="JE136" i="2"/>
  <c r="JG136" i="2"/>
  <c r="JH136" i="2"/>
  <c r="JK136" i="2"/>
  <c r="JL136" i="2"/>
  <c r="JM136" i="2"/>
  <c r="JN136" i="2"/>
  <c r="JO136" i="2"/>
  <c r="JP136" i="2"/>
  <c r="JR136" i="2"/>
  <c r="JS136" i="2"/>
  <c r="JT136" i="2"/>
  <c r="JU136" i="2"/>
  <c r="JV136" i="2"/>
  <c r="JW136" i="2"/>
  <c r="JX136" i="2"/>
  <c r="JY136" i="2"/>
  <c r="JZ136" i="2"/>
  <c r="KA136" i="2"/>
  <c r="KB136" i="2"/>
  <c r="KC136" i="2"/>
  <c r="KD136" i="2"/>
  <c r="KE136" i="2"/>
  <c r="KF136" i="2"/>
  <c r="KG136" i="2"/>
  <c r="KH136" i="2"/>
  <c r="KI136" i="2"/>
  <c r="KJ136" i="2"/>
  <c r="KK136" i="2"/>
  <c r="KL136" i="2"/>
  <c r="KM136" i="2"/>
  <c r="KO136" i="2"/>
  <c r="KP136" i="2"/>
  <c r="KQ136" i="2"/>
  <c r="KR136" i="2"/>
  <c r="KS136" i="2"/>
  <c r="KT136" i="2"/>
  <c r="KU136" i="2"/>
  <c r="KY136" i="2"/>
  <c r="LA136" i="2"/>
  <c r="LC136" i="2"/>
  <c r="LE136" i="2"/>
  <c r="LG136" i="2"/>
  <c r="LH136" i="2"/>
  <c r="LI136" i="2"/>
  <c r="LJ136" i="2"/>
  <c r="LL136" i="2"/>
  <c r="LN136" i="2"/>
  <c r="LO136" i="2"/>
  <c r="LP136" i="2"/>
  <c r="LQ136" i="2"/>
  <c r="LR136" i="2"/>
  <c r="LS136" i="2"/>
  <c r="LT136" i="2"/>
  <c r="LU136" i="2"/>
  <c r="LV136" i="2"/>
  <c r="LW136" i="2"/>
  <c r="LX136" i="2"/>
  <c r="LY136" i="2"/>
  <c r="LZ136" i="2"/>
  <c r="MA136" i="2"/>
  <c r="MB136" i="2"/>
  <c r="MC136" i="2"/>
  <c r="MD136" i="2"/>
  <c r="ME136" i="2"/>
  <c r="MF136" i="2"/>
  <c r="MG136" i="2"/>
  <c r="MH136" i="2"/>
  <c r="MI136" i="2"/>
  <c r="MJ136" i="2"/>
  <c r="MK136" i="2"/>
  <c r="ML136" i="2"/>
  <c r="MM136" i="2"/>
  <c r="MN136" i="2"/>
  <c r="MO136" i="2"/>
  <c r="MP136" i="2"/>
  <c r="MQ136" i="2"/>
  <c r="MR136" i="2"/>
  <c r="MS136" i="2"/>
  <c r="MT136" i="2"/>
  <c r="MU136" i="2"/>
  <c r="MV136" i="2"/>
  <c r="MW136" i="2"/>
  <c r="MX136" i="2"/>
  <c r="MY136" i="2"/>
  <c r="MZ136" i="2"/>
  <c r="NA136" i="2"/>
  <c r="NB136" i="2"/>
  <c r="NC136" i="2"/>
  <c r="ND136" i="2"/>
  <c r="NE136" i="2"/>
  <c r="NF136" i="2"/>
  <c r="NG136" i="2"/>
  <c r="NH136" i="2"/>
  <c r="NI136" i="2"/>
  <c r="NJ136" i="2"/>
  <c r="NK136" i="2"/>
  <c r="NL136" i="2"/>
  <c r="NM136" i="2"/>
  <c r="NN136" i="2"/>
  <c r="NO136" i="2"/>
  <c r="NP136" i="2"/>
  <c r="NQ136" i="2"/>
  <c r="NR136" i="2"/>
  <c r="NS136" i="2"/>
  <c r="NT136" i="2"/>
  <c r="NU136" i="2"/>
  <c r="NV136" i="2"/>
  <c r="NW136" i="2"/>
  <c r="NX136" i="2"/>
  <c r="NY136" i="2"/>
  <c r="NZ136" i="2"/>
  <c r="OA136" i="2"/>
  <c r="OB136" i="2"/>
  <c r="OC136" i="2"/>
  <c r="OD136" i="2"/>
  <c r="OE136" i="2"/>
  <c r="OF136" i="2"/>
  <c r="OG136" i="2"/>
  <c r="OH136" i="2"/>
  <c r="OI136" i="2"/>
  <c r="OJ136" i="2"/>
  <c r="OK136" i="2"/>
  <c r="OL136" i="2"/>
  <c r="OM136" i="2"/>
  <c r="ON136" i="2"/>
  <c r="OO136" i="2"/>
  <c r="OP136" i="2"/>
  <c r="OQ136" i="2"/>
  <c r="OR136" i="2"/>
  <c r="OS136" i="2"/>
  <c r="OT136" i="2"/>
  <c r="OU136" i="2"/>
  <c r="OV136" i="2"/>
  <c r="OW136" i="2"/>
  <c r="OX136" i="2"/>
  <c r="OY136" i="2"/>
  <c r="OZ136" i="2"/>
  <c r="PA136" i="2"/>
  <c r="PB136" i="2"/>
  <c r="PC136" i="2"/>
  <c r="PD136" i="2"/>
  <c r="PE136" i="2"/>
  <c r="PF136" i="2"/>
  <c r="PG136" i="2"/>
  <c r="PH136" i="2"/>
  <c r="PI136" i="2"/>
  <c r="PJ136" i="2"/>
  <c r="PK136" i="2"/>
  <c r="PL136" i="2"/>
  <c r="IA137" i="2"/>
  <c r="IC137" i="2"/>
  <c r="IE137" i="2"/>
  <c r="IG137" i="2"/>
  <c r="II137" i="2"/>
  <c r="IJ137" i="2"/>
  <c r="IK137" i="2"/>
  <c r="IL137" i="2"/>
  <c r="IM137" i="2"/>
  <c r="IN137" i="2"/>
  <c r="IO137" i="2"/>
  <c r="IP137" i="2"/>
  <c r="IQ137" i="2"/>
  <c r="IR137" i="2"/>
  <c r="IS137" i="2"/>
  <c r="IT137" i="2"/>
  <c r="IU137" i="2"/>
  <c r="IV137" i="2"/>
  <c r="IW137" i="2"/>
  <c r="JD137" i="2"/>
  <c r="JE137" i="2"/>
  <c r="JG137" i="2"/>
  <c r="JH137" i="2"/>
  <c r="JK137" i="2"/>
  <c r="JL137" i="2"/>
  <c r="JM137" i="2"/>
  <c r="JN137" i="2"/>
  <c r="JO137" i="2"/>
  <c r="JP137" i="2"/>
  <c r="JR137" i="2"/>
  <c r="JS137" i="2"/>
  <c r="JT137" i="2"/>
  <c r="JU137" i="2"/>
  <c r="JV137" i="2"/>
  <c r="JW137" i="2"/>
  <c r="JX137" i="2"/>
  <c r="JY137" i="2"/>
  <c r="JZ137" i="2"/>
  <c r="KA137" i="2"/>
  <c r="KB137" i="2"/>
  <c r="KC137" i="2"/>
  <c r="KD137" i="2"/>
  <c r="KE137" i="2"/>
  <c r="KF137" i="2"/>
  <c r="KG137" i="2"/>
  <c r="KH137" i="2"/>
  <c r="KN137" i="2" s="1"/>
  <c r="KI137" i="2"/>
  <c r="KJ137" i="2"/>
  <c r="KK137" i="2"/>
  <c r="KL137" i="2"/>
  <c r="KM137" i="2"/>
  <c r="KO137" i="2"/>
  <c r="KP137" i="2"/>
  <c r="KQ137" i="2"/>
  <c r="KR137" i="2"/>
  <c r="KS137" i="2"/>
  <c r="KT137" i="2"/>
  <c r="KU137" i="2"/>
  <c r="KY137" i="2"/>
  <c r="LA137" i="2"/>
  <c r="LC137" i="2"/>
  <c r="LE137" i="2"/>
  <c r="LG137" i="2"/>
  <c r="LH137" i="2"/>
  <c r="LI137" i="2"/>
  <c r="LJ137" i="2"/>
  <c r="LL137" i="2"/>
  <c r="LN137" i="2"/>
  <c r="LO137" i="2"/>
  <c r="LP137" i="2"/>
  <c r="LQ137" i="2"/>
  <c r="LR137" i="2"/>
  <c r="LS137" i="2"/>
  <c r="LT137" i="2"/>
  <c r="LU137" i="2"/>
  <c r="LV137" i="2"/>
  <c r="LW137" i="2"/>
  <c r="LX137" i="2"/>
  <c r="LY137" i="2"/>
  <c r="LZ137" i="2"/>
  <c r="MA137" i="2"/>
  <c r="MB137" i="2"/>
  <c r="MC137" i="2"/>
  <c r="MD137" i="2"/>
  <c r="ME137" i="2"/>
  <c r="MF137" i="2"/>
  <c r="MG137" i="2"/>
  <c r="MH137" i="2"/>
  <c r="MI137" i="2"/>
  <c r="MJ137" i="2"/>
  <c r="MK137" i="2"/>
  <c r="ML137" i="2"/>
  <c r="MM137" i="2"/>
  <c r="MN137" i="2"/>
  <c r="MO137" i="2"/>
  <c r="MP137" i="2"/>
  <c r="MQ137" i="2"/>
  <c r="MR137" i="2"/>
  <c r="MS137" i="2"/>
  <c r="MT137" i="2"/>
  <c r="MU137" i="2"/>
  <c r="MV137" i="2"/>
  <c r="MW137" i="2"/>
  <c r="MX137" i="2"/>
  <c r="MY137" i="2"/>
  <c r="MZ137" i="2"/>
  <c r="NA137" i="2"/>
  <c r="NB137" i="2"/>
  <c r="NC137" i="2"/>
  <c r="ND137" i="2"/>
  <c r="NE137" i="2"/>
  <c r="NF137" i="2"/>
  <c r="NG137" i="2"/>
  <c r="NH137" i="2"/>
  <c r="NI137" i="2"/>
  <c r="NJ137" i="2"/>
  <c r="NK137" i="2"/>
  <c r="NL137" i="2"/>
  <c r="NM137" i="2"/>
  <c r="NN137" i="2"/>
  <c r="NO137" i="2"/>
  <c r="NP137" i="2"/>
  <c r="NQ137" i="2"/>
  <c r="NR137" i="2"/>
  <c r="NS137" i="2"/>
  <c r="NT137" i="2"/>
  <c r="NU137" i="2"/>
  <c r="NV137" i="2"/>
  <c r="NW137" i="2"/>
  <c r="NX137" i="2"/>
  <c r="NY137" i="2"/>
  <c r="NZ137" i="2"/>
  <c r="OA137" i="2"/>
  <c r="OB137" i="2"/>
  <c r="OC137" i="2"/>
  <c r="OD137" i="2"/>
  <c r="OE137" i="2"/>
  <c r="OF137" i="2"/>
  <c r="OG137" i="2"/>
  <c r="OH137" i="2"/>
  <c r="OI137" i="2"/>
  <c r="OJ137" i="2"/>
  <c r="OK137" i="2"/>
  <c r="OL137" i="2"/>
  <c r="OM137" i="2"/>
  <c r="ON137" i="2"/>
  <c r="OO137" i="2"/>
  <c r="OP137" i="2"/>
  <c r="OQ137" i="2"/>
  <c r="OR137" i="2"/>
  <c r="OS137" i="2"/>
  <c r="OT137" i="2"/>
  <c r="OU137" i="2"/>
  <c r="OV137" i="2"/>
  <c r="OW137" i="2"/>
  <c r="OX137" i="2"/>
  <c r="OY137" i="2"/>
  <c r="OZ137" i="2"/>
  <c r="PA137" i="2"/>
  <c r="PB137" i="2"/>
  <c r="PC137" i="2"/>
  <c r="PD137" i="2"/>
  <c r="PE137" i="2"/>
  <c r="PF137" i="2"/>
  <c r="PG137" i="2"/>
  <c r="PH137" i="2"/>
  <c r="PI137" i="2"/>
  <c r="PJ137" i="2"/>
  <c r="PK137" i="2"/>
  <c r="PL137" i="2"/>
  <c r="IA138" i="2"/>
  <c r="IC138" i="2"/>
  <c r="IE138" i="2"/>
  <c r="IG138" i="2"/>
  <c r="II138" i="2"/>
  <c r="IJ138" i="2"/>
  <c r="IK138" i="2"/>
  <c r="IL138" i="2"/>
  <c r="IM138" i="2"/>
  <c r="IN138" i="2"/>
  <c r="IO138" i="2"/>
  <c r="IP138" i="2"/>
  <c r="IQ138" i="2"/>
  <c r="IR138" i="2"/>
  <c r="IS138" i="2"/>
  <c r="IT138" i="2"/>
  <c r="IU138" i="2"/>
  <c r="IV138" i="2"/>
  <c r="IW138" i="2"/>
  <c r="JD138" i="2"/>
  <c r="JE138" i="2"/>
  <c r="JG138" i="2"/>
  <c r="JH138" i="2"/>
  <c r="JK138" i="2"/>
  <c r="JL138" i="2"/>
  <c r="JM138" i="2"/>
  <c r="JN138" i="2"/>
  <c r="JO138" i="2"/>
  <c r="JP138" i="2"/>
  <c r="JR138" i="2"/>
  <c r="JS138" i="2"/>
  <c r="JT138" i="2"/>
  <c r="JU138" i="2"/>
  <c r="JV138" i="2"/>
  <c r="JW138" i="2"/>
  <c r="JX138" i="2"/>
  <c r="KN138" i="2" s="1"/>
  <c r="JY138" i="2"/>
  <c r="JZ138" i="2"/>
  <c r="KA138" i="2"/>
  <c r="KB138" i="2"/>
  <c r="KC138" i="2"/>
  <c r="KD138" i="2"/>
  <c r="KE138" i="2"/>
  <c r="KF138" i="2"/>
  <c r="KG138" i="2"/>
  <c r="KH138" i="2"/>
  <c r="KI138" i="2"/>
  <c r="KJ138" i="2"/>
  <c r="KK138" i="2"/>
  <c r="KM138" i="2"/>
  <c r="KP138" i="2"/>
  <c r="KQ138" i="2"/>
  <c r="KR138" i="2"/>
  <c r="KS138" i="2"/>
  <c r="KT138" i="2"/>
  <c r="KU138" i="2"/>
  <c r="KY138" i="2"/>
  <c r="LA138" i="2"/>
  <c r="LC138" i="2"/>
  <c r="LE138" i="2"/>
  <c r="LG138" i="2"/>
  <c r="LH138" i="2"/>
  <c r="LI138" i="2"/>
  <c r="LJ138" i="2"/>
  <c r="LL138" i="2"/>
  <c r="LN138" i="2"/>
  <c r="LO138" i="2"/>
  <c r="LP138" i="2"/>
  <c r="LQ138" i="2"/>
  <c r="LR138" i="2"/>
  <c r="LS138" i="2"/>
  <c r="LT138" i="2"/>
  <c r="LU138" i="2"/>
  <c r="LV138" i="2"/>
  <c r="LW138" i="2"/>
  <c r="LX138" i="2"/>
  <c r="LY138" i="2"/>
  <c r="LZ138" i="2"/>
  <c r="MA138" i="2"/>
  <c r="MB138" i="2"/>
  <c r="MC138" i="2"/>
  <c r="MD138" i="2"/>
  <c r="ME138" i="2"/>
  <c r="MF138" i="2"/>
  <c r="MG138" i="2"/>
  <c r="MH138" i="2"/>
  <c r="MI138" i="2"/>
  <c r="MJ138" i="2"/>
  <c r="MK138" i="2"/>
  <c r="ML138" i="2"/>
  <c r="MM138" i="2"/>
  <c r="MN138" i="2"/>
  <c r="MO138" i="2"/>
  <c r="MP138" i="2"/>
  <c r="MQ138" i="2"/>
  <c r="MR138" i="2"/>
  <c r="MS138" i="2"/>
  <c r="MT138" i="2"/>
  <c r="MU138" i="2"/>
  <c r="MV138" i="2"/>
  <c r="MW138" i="2"/>
  <c r="MX138" i="2"/>
  <c r="MY138" i="2"/>
  <c r="MZ138" i="2"/>
  <c r="NA138" i="2"/>
  <c r="NB138" i="2"/>
  <c r="NC138" i="2"/>
  <c r="ND138" i="2"/>
  <c r="NE138" i="2"/>
  <c r="NF138" i="2"/>
  <c r="NG138" i="2"/>
  <c r="NH138" i="2"/>
  <c r="NI138" i="2"/>
  <c r="NJ138" i="2"/>
  <c r="NK138" i="2"/>
  <c r="NL138" i="2"/>
  <c r="NM138" i="2"/>
  <c r="NN138" i="2"/>
  <c r="NO138" i="2"/>
  <c r="NP138" i="2"/>
  <c r="NQ138" i="2"/>
  <c r="NR138" i="2"/>
  <c r="NS138" i="2"/>
  <c r="NT138" i="2"/>
  <c r="NU138" i="2"/>
  <c r="NV138" i="2"/>
  <c r="NW138" i="2"/>
  <c r="NX138" i="2"/>
  <c r="NY138" i="2"/>
  <c r="NZ138" i="2"/>
  <c r="OA138" i="2"/>
  <c r="OB138" i="2"/>
  <c r="OC138" i="2"/>
  <c r="OD138" i="2"/>
  <c r="OE138" i="2"/>
  <c r="OF138" i="2"/>
  <c r="OG138" i="2"/>
  <c r="OH138" i="2"/>
  <c r="OI138" i="2"/>
  <c r="OJ138" i="2"/>
  <c r="OK138" i="2"/>
  <c r="OL138" i="2"/>
  <c r="OM138" i="2"/>
  <c r="ON138" i="2"/>
  <c r="OO138" i="2"/>
  <c r="OP138" i="2"/>
  <c r="OQ138" i="2"/>
  <c r="OR138" i="2"/>
  <c r="OS138" i="2"/>
  <c r="OT138" i="2"/>
  <c r="OU138" i="2"/>
  <c r="OW138" i="2"/>
  <c r="OX138" i="2"/>
  <c r="OY138" i="2"/>
  <c r="OZ138" i="2"/>
  <c r="PA138" i="2"/>
  <c r="PB138" i="2"/>
  <c r="PC138" i="2"/>
  <c r="PD138" i="2"/>
  <c r="PE138" i="2"/>
  <c r="PF138" i="2"/>
  <c r="PG138" i="2"/>
  <c r="PH138" i="2"/>
  <c r="PI138" i="2"/>
  <c r="PJ138" i="2"/>
  <c r="PK138" i="2"/>
  <c r="PL138" i="2"/>
  <c r="IA139" i="2"/>
  <c r="IC139" i="2"/>
  <c r="IE139" i="2"/>
  <c r="IG139" i="2"/>
  <c r="II139" i="2"/>
  <c r="IJ139" i="2"/>
  <c r="IK139" i="2"/>
  <c r="IL139" i="2"/>
  <c r="IM139" i="2"/>
  <c r="IN139" i="2"/>
  <c r="IO139" i="2"/>
  <c r="IP139" i="2"/>
  <c r="IQ139" i="2"/>
  <c r="IR139" i="2"/>
  <c r="IS139" i="2"/>
  <c r="IT139" i="2"/>
  <c r="IU139" i="2"/>
  <c r="IV139" i="2"/>
  <c r="IW139" i="2"/>
  <c r="JD139" i="2"/>
  <c r="JE139" i="2"/>
  <c r="JG139" i="2"/>
  <c r="JH139" i="2"/>
  <c r="JK139" i="2"/>
  <c r="JL139" i="2"/>
  <c r="JM139" i="2"/>
  <c r="JN139" i="2"/>
  <c r="JO139" i="2"/>
  <c r="JP139" i="2"/>
  <c r="JR139" i="2"/>
  <c r="JS139" i="2"/>
  <c r="JT139" i="2"/>
  <c r="JU139" i="2"/>
  <c r="JV139" i="2"/>
  <c r="JW139" i="2"/>
  <c r="JX139" i="2"/>
  <c r="JY139" i="2"/>
  <c r="JZ139" i="2"/>
  <c r="KA139" i="2"/>
  <c r="KB139" i="2"/>
  <c r="KC139" i="2"/>
  <c r="KD139" i="2"/>
  <c r="KE139" i="2"/>
  <c r="KF139" i="2"/>
  <c r="KG139" i="2"/>
  <c r="KH139" i="2"/>
  <c r="KI139" i="2"/>
  <c r="KJ139" i="2"/>
  <c r="KK139" i="2"/>
  <c r="KM139" i="2"/>
  <c r="KP139" i="2"/>
  <c r="KQ139" i="2"/>
  <c r="KR139" i="2"/>
  <c r="KS139" i="2"/>
  <c r="KT139" i="2"/>
  <c r="KU139" i="2"/>
  <c r="KY139" i="2"/>
  <c r="LA139" i="2"/>
  <c r="LC139" i="2"/>
  <c r="LE139" i="2"/>
  <c r="LG139" i="2"/>
  <c r="LH139" i="2"/>
  <c r="LI139" i="2"/>
  <c r="LJ139" i="2"/>
  <c r="LL139" i="2"/>
  <c r="LN139" i="2"/>
  <c r="LO139" i="2"/>
  <c r="LP139" i="2"/>
  <c r="LQ139" i="2"/>
  <c r="LR139" i="2"/>
  <c r="LS139" i="2"/>
  <c r="LT139" i="2"/>
  <c r="LU139" i="2"/>
  <c r="LV139" i="2"/>
  <c r="LW139" i="2"/>
  <c r="LX139" i="2"/>
  <c r="LY139" i="2"/>
  <c r="LZ139" i="2"/>
  <c r="MA139" i="2"/>
  <c r="MB139" i="2"/>
  <c r="MC139" i="2"/>
  <c r="MD139" i="2"/>
  <c r="ME139" i="2"/>
  <c r="MF139" i="2"/>
  <c r="MG139" i="2"/>
  <c r="MH139" i="2"/>
  <c r="MI139" i="2"/>
  <c r="MJ139" i="2"/>
  <c r="MK139" i="2"/>
  <c r="ML139" i="2"/>
  <c r="MM139" i="2"/>
  <c r="MN139" i="2"/>
  <c r="MO139" i="2"/>
  <c r="MP139" i="2"/>
  <c r="MQ139" i="2"/>
  <c r="MR139" i="2"/>
  <c r="MS139" i="2"/>
  <c r="MT139" i="2"/>
  <c r="MU139" i="2"/>
  <c r="MV139" i="2"/>
  <c r="MW139" i="2"/>
  <c r="MX139" i="2"/>
  <c r="MY139" i="2"/>
  <c r="MZ139" i="2"/>
  <c r="NA139" i="2"/>
  <c r="NB139" i="2"/>
  <c r="NC139" i="2"/>
  <c r="ND139" i="2"/>
  <c r="NE139" i="2"/>
  <c r="NF139" i="2"/>
  <c r="NG139" i="2"/>
  <c r="NH139" i="2"/>
  <c r="NI139" i="2"/>
  <c r="NJ139" i="2"/>
  <c r="NK139" i="2"/>
  <c r="NL139" i="2"/>
  <c r="NM139" i="2"/>
  <c r="NN139" i="2"/>
  <c r="NO139" i="2"/>
  <c r="NP139" i="2"/>
  <c r="NQ139" i="2"/>
  <c r="NR139" i="2"/>
  <c r="NS139" i="2"/>
  <c r="NT139" i="2"/>
  <c r="NU139" i="2"/>
  <c r="NV139" i="2"/>
  <c r="NW139" i="2"/>
  <c r="NX139" i="2"/>
  <c r="NY139" i="2"/>
  <c r="NZ139" i="2"/>
  <c r="OA139" i="2"/>
  <c r="OB139" i="2"/>
  <c r="OC139" i="2"/>
  <c r="OD139" i="2"/>
  <c r="OE139" i="2"/>
  <c r="OF139" i="2"/>
  <c r="OG139" i="2"/>
  <c r="OH139" i="2"/>
  <c r="OI139" i="2"/>
  <c r="OJ139" i="2"/>
  <c r="OK139" i="2"/>
  <c r="OL139" i="2"/>
  <c r="OM139" i="2"/>
  <c r="ON139" i="2"/>
  <c r="OO139" i="2"/>
  <c r="OP139" i="2"/>
  <c r="OQ139" i="2"/>
  <c r="OR139" i="2"/>
  <c r="OS139" i="2"/>
  <c r="OT139" i="2"/>
  <c r="OU139" i="2"/>
  <c r="OW139" i="2"/>
  <c r="OX139" i="2"/>
  <c r="OY139" i="2"/>
  <c r="OZ139" i="2"/>
  <c r="PA139" i="2"/>
  <c r="PB139" i="2"/>
  <c r="PC139" i="2"/>
  <c r="PD139" i="2"/>
  <c r="PE139" i="2"/>
  <c r="PF139" i="2"/>
  <c r="PG139" i="2"/>
  <c r="PH139" i="2"/>
  <c r="PI139" i="2"/>
  <c r="PJ139" i="2"/>
  <c r="PK139" i="2"/>
  <c r="PL139" i="2"/>
  <c r="IA140" i="2"/>
  <c r="IC140" i="2"/>
  <c r="IE140" i="2"/>
  <c r="IG140" i="2"/>
  <c r="II140" i="2"/>
  <c r="IJ140" i="2"/>
  <c r="IK140" i="2"/>
  <c r="IL140" i="2"/>
  <c r="IM140" i="2"/>
  <c r="IN140" i="2"/>
  <c r="IO140" i="2"/>
  <c r="IP140" i="2"/>
  <c r="IQ140" i="2"/>
  <c r="IR140" i="2"/>
  <c r="IS140" i="2"/>
  <c r="IT140" i="2"/>
  <c r="IU140" i="2"/>
  <c r="IV140" i="2"/>
  <c r="IW140" i="2"/>
  <c r="JD140" i="2"/>
  <c r="JE140" i="2"/>
  <c r="JG140" i="2"/>
  <c r="JH140" i="2"/>
  <c r="JK140" i="2"/>
  <c r="JL140" i="2"/>
  <c r="JM140" i="2"/>
  <c r="JN140" i="2"/>
  <c r="JO140" i="2"/>
  <c r="JP140" i="2"/>
  <c r="JR140" i="2"/>
  <c r="JS140" i="2"/>
  <c r="JT140" i="2"/>
  <c r="JU140" i="2"/>
  <c r="JV140" i="2"/>
  <c r="JW140" i="2"/>
  <c r="JX140" i="2"/>
  <c r="KN140" i="2" s="1"/>
  <c r="JY140" i="2"/>
  <c r="JZ140" i="2"/>
  <c r="KA140" i="2"/>
  <c r="KB140" i="2"/>
  <c r="KC140" i="2"/>
  <c r="KD140" i="2"/>
  <c r="KE140" i="2"/>
  <c r="KF140" i="2"/>
  <c r="KG140" i="2"/>
  <c r="KH140" i="2"/>
  <c r="KI140" i="2"/>
  <c r="KJ140" i="2"/>
  <c r="KK140" i="2"/>
  <c r="KM140" i="2"/>
  <c r="KP140" i="2"/>
  <c r="KQ140" i="2"/>
  <c r="KR140" i="2"/>
  <c r="KS140" i="2"/>
  <c r="KT140" i="2"/>
  <c r="KU140" i="2"/>
  <c r="KY140" i="2"/>
  <c r="LA140" i="2"/>
  <c r="LC140" i="2"/>
  <c r="LE140" i="2"/>
  <c r="LG140" i="2"/>
  <c r="LH140" i="2"/>
  <c r="LI140" i="2"/>
  <c r="LJ140" i="2"/>
  <c r="LL140" i="2"/>
  <c r="LN140" i="2"/>
  <c r="LO140" i="2"/>
  <c r="LP140" i="2"/>
  <c r="LQ140" i="2"/>
  <c r="LR140" i="2"/>
  <c r="LS140" i="2"/>
  <c r="LT140" i="2"/>
  <c r="LU140" i="2"/>
  <c r="LV140" i="2"/>
  <c r="LW140" i="2"/>
  <c r="LX140" i="2"/>
  <c r="LY140" i="2"/>
  <c r="LZ140" i="2"/>
  <c r="MA140" i="2"/>
  <c r="MB140" i="2"/>
  <c r="MC140" i="2"/>
  <c r="MD140" i="2"/>
  <c r="ME140" i="2"/>
  <c r="MF140" i="2"/>
  <c r="MG140" i="2"/>
  <c r="MH140" i="2"/>
  <c r="MI140" i="2"/>
  <c r="MJ140" i="2"/>
  <c r="MK140" i="2"/>
  <c r="ML140" i="2"/>
  <c r="MM140" i="2"/>
  <c r="MN140" i="2"/>
  <c r="MO140" i="2"/>
  <c r="MP140" i="2"/>
  <c r="MQ140" i="2"/>
  <c r="MR140" i="2"/>
  <c r="MS140" i="2"/>
  <c r="MT140" i="2"/>
  <c r="MU140" i="2"/>
  <c r="MV140" i="2"/>
  <c r="MW140" i="2"/>
  <c r="MX140" i="2"/>
  <c r="MY140" i="2"/>
  <c r="MZ140" i="2"/>
  <c r="NA140" i="2"/>
  <c r="NB140" i="2"/>
  <c r="NC140" i="2"/>
  <c r="ND140" i="2"/>
  <c r="NE140" i="2"/>
  <c r="NF140" i="2"/>
  <c r="NG140" i="2"/>
  <c r="NH140" i="2"/>
  <c r="NI140" i="2"/>
  <c r="NJ140" i="2"/>
  <c r="NK140" i="2"/>
  <c r="NL140" i="2"/>
  <c r="NM140" i="2"/>
  <c r="NN140" i="2"/>
  <c r="NO140" i="2"/>
  <c r="NP140" i="2"/>
  <c r="NQ140" i="2"/>
  <c r="NR140" i="2"/>
  <c r="NS140" i="2"/>
  <c r="NT140" i="2"/>
  <c r="NU140" i="2"/>
  <c r="NV140" i="2"/>
  <c r="NW140" i="2"/>
  <c r="NX140" i="2"/>
  <c r="NY140" i="2"/>
  <c r="NZ140" i="2"/>
  <c r="OA140" i="2"/>
  <c r="OB140" i="2"/>
  <c r="OC140" i="2"/>
  <c r="OD140" i="2"/>
  <c r="OE140" i="2"/>
  <c r="OF140" i="2"/>
  <c r="OG140" i="2"/>
  <c r="OH140" i="2"/>
  <c r="OI140" i="2"/>
  <c r="OJ140" i="2"/>
  <c r="OK140" i="2"/>
  <c r="OL140" i="2"/>
  <c r="OM140" i="2"/>
  <c r="ON140" i="2"/>
  <c r="OO140" i="2"/>
  <c r="OP140" i="2"/>
  <c r="OQ140" i="2"/>
  <c r="OR140" i="2"/>
  <c r="OS140" i="2"/>
  <c r="OT140" i="2"/>
  <c r="OU140" i="2"/>
  <c r="OW140" i="2"/>
  <c r="OX140" i="2"/>
  <c r="OY140" i="2"/>
  <c r="OZ140" i="2"/>
  <c r="PA140" i="2"/>
  <c r="PB140" i="2"/>
  <c r="PC140" i="2"/>
  <c r="PD140" i="2"/>
  <c r="PE140" i="2"/>
  <c r="PF140" i="2"/>
  <c r="PG140" i="2"/>
  <c r="PH140" i="2"/>
  <c r="PI140" i="2"/>
  <c r="PJ140" i="2"/>
  <c r="PK140" i="2"/>
  <c r="PL140" i="2"/>
  <c r="IA141" i="2"/>
  <c r="IC141" i="2"/>
  <c r="IE141" i="2"/>
  <c r="IG141" i="2"/>
  <c r="II141" i="2"/>
  <c r="IJ141" i="2"/>
  <c r="IK141" i="2"/>
  <c r="IL141" i="2"/>
  <c r="IM141" i="2"/>
  <c r="IN141" i="2"/>
  <c r="IO141" i="2"/>
  <c r="IP141" i="2"/>
  <c r="IQ141" i="2"/>
  <c r="IR141" i="2"/>
  <c r="IS141" i="2"/>
  <c r="IT141" i="2"/>
  <c r="IU141" i="2"/>
  <c r="IV141" i="2"/>
  <c r="IW141" i="2"/>
  <c r="JD141" i="2"/>
  <c r="JE141" i="2"/>
  <c r="JG141" i="2"/>
  <c r="JH141" i="2"/>
  <c r="JK141" i="2"/>
  <c r="JL141" i="2"/>
  <c r="JM141" i="2"/>
  <c r="JN141" i="2"/>
  <c r="JO141" i="2"/>
  <c r="JP141" i="2"/>
  <c r="JR141" i="2"/>
  <c r="JS141" i="2"/>
  <c r="JT141" i="2"/>
  <c r="JU141" i="2"/>
  <c r="JV141" i="2"/>
  <c r="JW141" i="2"/>
  <c r="JX141" i="2"/>
  <c r="KN141" i="2" s="1"/>
  <c r="JY141" i="2"/>
  <c r="JZ141" i="2"/>
  <c r="KA141" i="2"/>
  <c r="KB141" i="2"/>
  <c r="KC141" i="2"/>
  <c r="KD141" i="2"/>
  <c r="KE141" i="2"/>
  <c r="KF141" i="2"/>
  <c r="KG141" i="2"/>
  <c r="KH141" i="2"/>
  <c r="KI141" i="2"/>
  <c r="KJ141" i="2"/>
  <c r="KK141" i="2"/>
  <c r="KM141" i="2"/>
  <c r="KP141" i="2"/>
  <c r="KQ141" i="2"/>
  <c r="KR141" i="2"/>
  <c r="KS141" i="2"/>
  <c r="KT141" i="2"/>
  <c r="KU141" i="2"/>
  <c r="KY141" i="2"/>
  <c r="LA141" i="2"/>
  <c r="LC141" i="2"/>
  <c r="LE141" i="2"/>
  <c r="LG141" i="2"/>
  <c r="LH141" i="2"/>
  <c r="LI141" i="2"/>
  <c r="LJ141" i="2"/>
  <c r="LL141" i="2"/>
  <c r="LN141" i="2"/>
  <c r="LO141" i="2"/>
  <c r="LP141" i="2"/>
  <c r="LQ141" i="2"/>
  <c r="LR141" i="2"/>
  <c r="LS141" i="2"/>
  <c r="LT141" i="2"/>
  <c r="LU141" i="2"/>
  <c r="LV141" i="2"/>
  <c r="LW141" i="2"/>
  <c r="LX141" i="2"/>
  <c r="LY141" i="2"/>
  <c r="LZ141" i="2"/>
  <c r="MA141" i="2"/>
  <c r="MB141" i="2"/>
  <c r="MC141" i="2"/>
  <c r="MD141" i="2"/>
  <c r="ME141" i="2"/>
  <c r="MF141" i="2"/>
  <c r="MG141" i="2"/>
  <c r="MH141" i="2"/>
  <c r="MI141" i="2"/>
  <c r="MJ141" i="2"/>
  <c r="MK141" i="2"/>
  <c r="ML141" i="2"/>
  <c r="MM141" i="2"/>
  <c r="MN141" i="2"/>
  <c r="MO141" i="2"/>
  <c r="MP141" i="2"/>
  <c r="MQ141" i="2"/>
  <c r="MR141" i="2"/>
  <c r="MS141" i="2"/>
  <c r="MT141" i="2"/>
  <c r="MU141" i="2"/>
  <c r="MV141" i="2"/>
  <c r="MW141" i="2"/>
  <c r="MX141" i="2"/>
  <c r="MY141" i="2"/>
  <c r="MZ141" i="2"/>
  <c r="NA141" i="2"/>
  <c r="NB141" i="2"/>
  <c r="NC141" i="2"/>
  <c r="ND141" i="2"/>
  <c r="NE141" i="2"/>
  <c r="NF141" i="2"/>
  <c r="NG141" i="2"/>
  <c r="NH141" i="2"/>
  <c r="NI141" i="2"/>
  <c r="NJ141" i="2"/>
  <c r="NK141" i="2"/>
  <c r="NL141" i="2"/>
  <c r="NM141" i="2"/>
  <c r="NN141" i="2"/>
  <c r="NO141" i="2"/>
  <c r="NP141" i="2"/>
  <c r="NQ141" i="2"/>
  <c r="NR141" i="2"/>
  <c r="NS141" i="2"/>
  <c r="NT141" i="2"/>
  <c r="NU141" i="2"/>
  <c r="NV141" i="2"/>
  <c r="NW141" i="2"/>
  <c r="NX141" i="2"/>
  <c r="NY141" i="2"/>
  <c r="NZ141" i="2"/>
  <c r="OA141" i="2"/>
  <c r="OB141" i="2"/>
  <c r="OC141" i="2"/>
  <c r="OD141" i="2"/>
  <c r="OE141" i="2"/>
  <c r="OF141" i="2"/>
  <c r="OG141" i="2"/>
  <c r="OH141" i="2"/>
  <c r="OI141" i="2"/>
  <c r="OJ141" i="2"/>
  <c r="OK141" i="2"/>
  <c r="OL141" i="2"/>
  <c r="OM141" i="2"/>
  <c r="ON141" i="2"/>
  <c r="OO141" i="2"/>
  <c r="OP141" i="2"/>
  <c r="OQ141" i="2"/>
  <c r="OR141" i="2"/>
  <c r="OS141" i="2"/>
  <c r="OT141" i="2"/>
  <c r="OU141" i="2"/>
  <c r="OW141" i="2"/>
  <c r="OX141" i="2"/>
  <c r="OY141" i="2"/>
  <c r="OZ141" i="2"/>
  <c r="PA141" i="2"/>
  <c r="PB141" i="2"/>
  <c r="PC141" i="2"/>
  <c r="PD141" i="2"/>
  <c r="PE141" i="2"/>
  <c r="PF141" i="2"/>
  <c r="PG141" i="2"/>
  <c r="PH141" i="2"/>
  <c r="PI141" i="2"/>
  <c r="PJ141" i="2"/>
  <c r="PK141" i="2"/>
  <c r="PL141" i="2"/>
  <c r="IA142" i="2"/>
  <c r="IC142" i="2"/>
  <c r="IE142" i="2"/>
  <c r="IG142" i="2"/>
  <c r="II142" i="2"/>
  <c r="IJ142" i="2"/>
  <c r="IK142" i="2"/>
  <c r="IL142" i="2"/>
  <c r="IM142" i="2"/>
  <c r="IN142" i="2"/>
  <c r="IO142" i="2"/>
  <c r="IP142" i="2"/>
  <c r="IQ142" i="2"/>
  <c r="IR142" i="2"/>
  <c r="IS142" i="2"/>
  <c r="IT142" i="2"/>
  <c r="IU142" i="2"/>
  <c r="IV142" i="2"/>
  <c r="IW142" i="2"/>
  <c r="JD142" i="2"/>
  <c r="JE142" i="2"/>
  <c r="JG142" i="2"/>
  <c r="JH142" i="2"/>
  <c r="JK142" i="2"/>
  <c r="JL142" i="2"/>
  <c r="JM142" i="2"/>
  <c r="JN142" i="2"/>
  <c r="JO142" i="2"/>
  <c r="JP142" i="2"/>
  <c r="JR142" i="2"/>
  <c r="JS142" i="2"/>
  <c r="JT142" i="2"/>
  <c r="JU142" i="2"/>
  <c r="JV142" i="2"/>
  <c r="JW142" i="2"/>
  <c r="JX142" i="2"/>
  <c r="JY142" i="2"/>
  <c r="JZ142" i="2"/>
  <c r="KA142" i="2"/>
  <c r="KB142" i="2"/>
  <c r="KC142" i="2"/>
  <c r="KD142" i="2"/>
  <c r="KE142" i="2"/>
  <c r="KF142" i="2"/>
  <c r="KG142" i="2"/>
  <c r="KH142" i="2"/>
  <c r="KN142" i="2" s="1"/>
  <c r="KI142" i="2"/>
  <c r="KJ142" i="2"/>
  <c r="KK142" i="2"/>
  <c r="KL142" i="2"/>
  <c r="KM142" i="2"/>
  <c r="KO142" i="2"/>
  <c r="KP142" i="2"/>
  <c r="KQ142" i="2"/>
  <c r="KR142" i="2"/>
  <c r="KS142" i="2"/>
  <c r="KT142" i="2"/>
  <c r="KU142" i="2"/>
  <c r="KY142" i="2"/>
  <c r="LA142" i="2"/>
  <c r="LC142" i="2"/>
  <c r="LE142" i="2"/>
  <c r="LG142" i="2"/>
  <c r="LH142" i="2"/>
  <c r="LI142" i="2"/>
  <c r="LJ142" i="2"/>
  <c r="LL142" i="2"/>
  <c r="LN142" i="2"/>
  <c r="LO142" i="2"/>
  <c r="LP142" i="2"/>
  <c r="LQ142" i="2"/>
  <c r="LR142" i="2"/>
  <c r="LS142" i="2"/>
  <c r="LT142" i="2"/>
  <c r="LU142" i="2"/>
  <c r="LV142" i="2"/>
  <c r="LW142" i="2"/>
  <c r="LX142" i="2"/>
  <c r="LY142" i="2"/>
  <c r="LZ142" i="2"/>
  <c r="MA142" i="2"/>
  <c r="MB142" i="2"/>
  <c r="MC142" i="2"/>
  <c r="MD142" i="2"/>
  <c r="ME142" i="2"/>
  <c r="MF142" i="2"/>
  <c r="MG142" i="2"/>
  <c r="MH142" i="2"/>
  <c r="MI142" i="2"/>
  <c r="MJ142" i="2"/>
  <c r="MK142" i="2"/>
  <c r="ML142" i="2"/>
  <c r="MM142" i="2"/>
  <c r="MN142" i="2"/>
  <c r="MO142" i="2"/>
  <c r="MP142" i="2"/>
  <c r="MQ142" i="2"/>
  <c r="MR142" i="2"/>
  <c r="MS142" i="2"/>
  <c r="MT142" i="2"/>
  <c r="MU142" i="2"/>
  <c r="MV142" i="2"/>
  <c r="MW142" i="2"/>
  <c r="MX142" i="2"/>
  <c r="MY142" i="2"/>
  <c r="MZ142" i="2"/>
  <c r="NA142" i="2"/>
  <c r="NB142" i="2"/>
  <c r="NC142" i="2"/>
  <c r="ND142" i="2"/>
  <c r="NE142" i="2"/>
  <c r="NF142" i="2"/>
  <c r="NG142" i="2"/>
  <c r="NH142" i="2"/>
  <c r="NI142" i="2"/>
  <c r="NJ142" i="2"/>
  <c r="NK142" i="2"/>
  <c r="NL142" i="2"/>
  <c r="NM142" i="2"/>
  <c r="NN142" i="2"/>
  <c r="NO142" i="2"/>
  <c r="NP142" i="2"/>
  <c r="NQ142" i="2"/>
  <c r="NR142" i="2"/>
  <c r="NS142" i="2"/>
  <c r="NT142" i="2"/>
  <c r="NU142" i="2"/>
  <c r="NV142" i="2"/>
  <c r="NW142" i="2"/>
  <c r="NX142" i="2"/>
  <c r="NY142" i="2"/>
  <c r="NZ142" i="2"/>
  <c r="OA142" i="2"/>
  <c r="OB142" i="2"/>
  <c r="OC142" i="2"/>
  <c r="OD142" i="2"/>
  <c r="OE142" i="2"/>
  <c r="OF142" i="2"/>
  <c r="OG142" i="2"/>
  <c r="OH142" i="2"/>
  <c r="OI142" i="2"/>
  <c r="OJ142" i="2"/>
  <c r="OK142" i="2"/>
  <c r="OL142" i="2"/>
  <c r="OM142" i="2"/>
  <c r="ON142" i="2"/>
  <c r="OO142" i="2"/>
  <c r="OP142" i="2"/>
  <c r="OQ142" i="2"/>
  <c r="OR142" i="2"/>
  <c r="OS142" i="2"/>
  <c r="OT142" i="2"/>
  <c r="OU142" i="2"/>
  <c r="OV142" i="2"/>
  <c r="OW142" i="2"/>
  <c r="OX142" i="2"/>
  <c r="OY142" i="2"/>
  <c r="OZ142" i="2"/>
  <c r="PA142" i="2"/>
  <c r="PB142" i="2"/>
  <c r="PC142" i="2"/>
  <c r="PD142" i="2"/>
  <c r="PE142" i="2"/>
  <c r="PF142" i="2"/>
  <c r="PG142" i="2"/>
  <c r="PH142" i="2"/>
  <c r="PI142" i="2"/>
  <c r="PJ142" i="2"/>
  <c r="PK142" i="2"/>
  <c r="PL142" i="2"/>
  <c r="IA143" i="2"/>
  <c r="IC143" i="2"/>
  <c r="IE143" i="2"/>
  <c r="IG143" i="2"/>
  <c r="II143" i="2"/>
  <c r="IJ143" i="2"/>
  <c r="IK143" i="2"/>
  <c r="IL143" i="2"/>
  <c r="IM143" i="2"/>
  <c r="IN143" i="2"/>
  <c r="IO143" i="2"/>
  <c r="IP143" i="2"/>
  <c r="IQ143" i="2"/>
  <c r="IR143" i="2"/>
  <c r="IS143" i="2"/>
  <c r="IT143" i="2"/>
  <c r="IU143" i="2"/>
  <c r="IV143" i="2"/>
  <c r="IW143" i="2"/>
  <c r="JD143" i="2"/>
  <c r="JE143" i="2"/>
  <c r="JG143" i="2"/>
  <c r="JH143" i="2"/>
  <c r="JK143" i="2"/>
  <c r="JL143" i="2"/>
  <c r="JM143" i="2"/>
  <c r="JN143" i="2"/>
  <c r="JO143" i="2"/>
  <c r="JP143" i="2"/>
  <c r="JR143" i="2"/>
  <c r="JS143" i="2"/>
  <c r="JT143" i="2"/>
  <c r="JU143" i="2"/>
  <c r="JV143" i="2"/>
  <c r="JW143" i="2"/>
  <c r="JX143" i="2"/>
  <c r="JY143" i="2"/>
  <c r="JZ143" i="2"/>
  <c r="KA143" i="2"/>
  <c r="KB143" i="2"/>
  <c r="KC143" i="2"/>
  <c r="KD143" i="2"/>
  <c r="KE143" i="2"/>
  <c r="KF143" i="2"/>
  <c r="KG143" i="2"/>
  <c r="KH143" i="2"/>
  <c r="KI143" i="2"/>
  <c r="KJ143" i="2"/>
  <c r="KK143" i="2"/>
  <c r="KM143" i="2"/>
  <c r="KP143" i="2"/>
  <c r="KQ143" i="2"/>
  <c r="KR143" i="2"/>
  <c r="KS143" i="2"/>
  <c r="KT143" i="2"/>
  <c r="KU143" i="2"/>
  <c r="KY143" i="2"/>
  <c r="LA143" i="2"/>
  <c r="LC143" i="2"/>
  <c r="LE143" i="2"/>
  <c r="LG143" i="2"/>
  <c r="LH143" i="2"/>
  <c r="LI143" i="2"/>
  <c r="LJ143" i="2"/>
  <c r="LL143" i="2"/>
  <c r="LN143" i="2"/>
  <c r="LO143" i="2"/>
  <c r="LP143" i="2"/>
  <c r="LQ143" i="2"/>
  <c r="LR143" i="2"/>
  <c r="LS143" i="2"/>
  <c r="LT143" i="2"/>
  <c r="LU143" i="2"/>
  <c r="LV143" i="2"/>
  <c r="LW143" i="2"/>
  <c r="LX143" i="2"/>
  <c r="LY143" i="2"/>
  <c r="LZ143" i="2"/>
  <c r="MA143" i="2"/>
  <c r="MB143" i="2"/>
  <c r="MC143" i="2"/>
  <c r="MD143" i="2"/>
  <c r="ME143" i="2"/>
  <c r="MF143" i="2"/>
  <c r="MG143" i="2"/>
  <c r="MH143" i="2"/>
  <c r="MI143" i="2"/>
  <c r="MJ143" i="2"/>
  <c r="MK143" i="2"/>
  <c r="ML143" i="2"/>
  <c r="MM143" i="2"/>
  <c r="MN143" i="2"/>
  <c r="MO143" i="2"/>
  <c r="MP143" i="2"/>
  <c r="MQ143" i="2"/>
  <c r="MR143" i="2"/>
  <c r="MS143" i="2"/>
  <c r="MT143" i="2"/>
  <c r="MU143" i="2"/>
  <c r="MV143" i="2"/>
  <c r="MW143" i="2"/>
  <c r="MX143" i="2"/>
  <c r="MY143" i="2"/>
  <c r="MZ143" i="2"/>
  <c r="NA143" i="2"/>
  <c r="NB143" i="2"/>
  <c r="NC143" i="2"/>
  <c r="ND143" i="2"/>
  <c r="NE143" i="2"/>
  <c r="NF143" i="2"/>
  <c r="NG143" i="2"/>
  <c r="NH143" i="2"/>
  <c r="NI143" i="2"/>
  <c r="NJ143" i="2"/>
  <c r="NK143" i="2"/>
  <c r="NL143" i="2"/>
  <c r="NM143" i="2"/>
  <c r="NN143" i="2"/>
  <c r="NO143" i="2"/>
  <c r="NP143" i="2"/>
  <c r="NQ143" i="2"/>
  <c r="NR143" i="2"/>
  <c r="NS143" i="2"/>
  <c r="NT143" i="2"/>
  <c r="NU143" i="2"/>
  <c r="NV143" i="2"/>
  <c r="NW143" i="2"/>
  <c r="NX143" i="2"/>
  <c r="NY143" i="2"/>
  <c r="NZ143" i="2"/>
  <c r="OA143" i="2"/>
  <c r="OB143" i="2"/>
  <c r="OC143" i="2"/>
  <c r="OD143" i="2"/>
  <c r="OE143" i="2"/>
  <c r="OF143" i="2"/>
  <c r="OG143" i="2"/>
  <c r="OH143" i="2"/>
  <c r="OI143" i="2"/>
  <c r="OJ143" i="2"/>
  <c r="OK143" i="2"/>
  <c r="OL143" i="2"/>
  <c r="OM143" i="2"/>
  <c r="ON143" i="2"/>
  <c r="OO143" i="2"/>
  <c r="OP143" i="2"/>
  <c r="OQ143" i="2"/>
  <c r="OR143" i="2"/>
  <c r="OS143" i="2"/>
  <c r="OT143" i="2"/>
  <c r="OU143" i="2"/>
  <c r="OW143" i="2"/>
  <c r="OX143" i="2"/>
  <c r="OY143" i="2"/>
  <c r="OZ143" i="2"/>
  <c r="PA143" i="2"/>
  <c r="PB143" i="2"/>
  <c r="PC143" i="2"/>
  <c r="PD143" i="2"/>
  <c r="PE143" i="2"/>
  <c r="PF143" i="2"/>
  <c r="PG143" i="2"/>
  <c r="PH143" i="2"/>
  <c r="PI143" i="2"/>
  <c r="PJ143" i="2"/>
  <c r="PK143" i="2"/>
  <c r="PL143" i="2"/>
  <c r="IA144" i="2"/>
  <c r="IC144" i="2"/>
  <c r="IE144" i="2"/>
  <c r="IG144" i="2"/>
  <c r="II144" i="2"/>
  <c r="IJ144" i="2"/>
  <c r="IK144" i="2"/>
  <c r="IL144" i="2"/>
  <c r="IM144" i="2"/>
  <c r="IN144" i="2"/>
  <c r="IO144" i="2"/>
  <c r="IP144" i="2"/>
  <c r="IQ144" i="2"/>
  <c r="IR144" i="2"/>
  <c r="IS144" i="2"/>
  <c r="IT144" i="2"/>
  <c r="IU144" i="2"/>
  <c r="IV144" i="2"/>
  <c r="IW144" i="2"/>
  <c r="JD144" i="2"/>
  <c r="JE144" i="2"/>
  <c r="JG144" i="2"/>
  <c r="JH144" i="2"/>
  <c r="JK144" i="2"/>
  <c r="JL144" i="2"/>
  <c r="JM144" i="2"/>
  <c r="JN144" i="2"/>
  <c r="JO144" i="2"/>
  <c r="JP144" i="2"/>
  <c r="JR144" i="2"/>
  <c r="JS144" i="2"/>
  <c r="JT144" i="2"/>
  <c r="JU144" i="2"/>
  <c r="JV144" i="2"/>
  <c r="JW144" i="2"/>
  <c r="JX144" i="2"/>
  <c r="KN144" i="2" s="1"/>
  <c r="JY144" i="2"/>
  <c r="JZ144" i="2"/>
  <c r="KA144" i="2"/>
  <c r="KB144" i="2"/>
  <c r="KC144" i="2"/>
  <c r="KD144" i="2"/>
  <c r="KE144" i="2"/>
  <c r="KF144" i="2"/>
  <c r="KG144" i="2"/>
  <c r="KH144" i="2"/>
  <c r="KI144" i="2"/>
  <c r="KJ144" i="2"/>
  <c r="KK144" i="2"/>
  <c r="KM144" i="2"/>
  <c r="KP144" i="2"/>
  <c r="KQ144" i="2"/>
  <c r="KR144" i="2"/>
  <c r="KS144" i="2"/>
  <c r="KT144" i="2"/>
  <c r="KU144" i="2"/>
  <c r="KY144" i="2"/>
  <c r="LA144" i="2"/>
  <c r="LC144" i="2"/>
  <c r="LE144" i="2"/>
  <c r="LG144" i="2"/>
  <c r="LH144" i="2"/>
  <c r="LI144" i="2"/>
  <c r="LJ144" i="2"/>
  <c r="LL144" i="2"/>
  <c r="LN144" i="2"/>
  <c r="LO144" i="2"/>
  <c r="LP144" i="2"/>
  <c r="LQ144" i="2"/>
  <c r="LR144" i="2"/>
  <c r="LS144" i="2"/>
  <c r="LT144" i="2"/>
  <c r="LU144" i="2"/>
  <c r="LV144" i="2"/>
  <c r="LW144" i="2"/>
  <c r="LX144" i="2"/>
  <c r="LY144" i="2"/>
  <c r="LZ144" i="2"/>
  <c r="MA144" i="2"/>
  <c r="MB144" i="2"/>
  <c r="MC144" i="2"/>
  <c r="MD144" i="2"/>
  <c r="ME144" i="2"/>
  <c r="MF144" i="2"/>
  <c r="MG144" i="2"/>
  <c r="MH144" i="2"/>
  <c r="MI144" i="2"/>
  <c r="MJ144" i="2"/>
  <c r="MK144" i="2"/>
  <c r="ML144" i="2"/>
  <c r="MM144" i="2"/>
  <c r="MN144" i="2"/>
  <c r="MO144" i="2"/>
  <c r="MP144" i="2"/>
  <c r="MQ144" i="2"/>
  <c r="MR144" i="2"/>
  <c r="MS144" i="2"/>
  <c r="MT144" i="2"/>
  <c r="MU144" i="2"/>
  <c r="MV144" i="2"/>
  <c r="MW144" i="2"/>
  <c r="MX144" i="2"/>
  <c r="MY144" i="2"/>
  <c r="MZ144" i="2"/>
  <c r="NA144" i="2"/>
  <c r="NB144" i="2"/>
  <c r="NC144" i="2"/>
  <c r="ND144" i="2"/>
  <c r="NE144" i="2"/>
  <c r="NF144" i="2"/>
  <c r="NG144" i="2"/>
  <c r="NH144" i="2"/>
  <c r="NI144" i="2"/>
  <c r="NJ144" i="2"/>
  <c r="NK144" i="2"/>
  <c r="NL144" i="2"/>
  <c r="NM144" i="2"/>
  <c r="NN144" i="2"/>
  <c r="NO144" i="2"/>
  <c r="NP144" i="2"/>
  <c r="NQ144" i="2"/>
  <c r="NR144" i="2"/>
  <c r="NS144" i="2"/>
  <c r="NT144" i="2"/>
  <c r="NU144" i="2"/>
  <c r="NV144" i="2"/>
  <c r="NW144" i="2"/>
  <c r="NX144" i="2"/>
  <c r="NY144" i="2"/>
  <c r="NZ144" i="2"/>
  <c r="OA144" i="2"/>
  <c r="OB144" i="2"/>
  <c r="OC144" i="2"/>
  <c r="OD144" i="2"/>
  <c r="OE144" i="2"/>
  <c r="OF144" i="2"/>
  <c r="OG144" i="2"/>
  <c r="OH144" i="2"/>
  <c r="OI144" i="2"/>
  <c r="OJ144" i="2"/>
  <c r="OK144" i="2"/>
  <c r="OL144" i="2"/>
  <c r="OM144" i="2"/>
  <c r="ON144" i="2"/>
  <c r="OO144" i="2"/>
  <c r="OP144" i="2"/>
  <c r="OQ144" i="2"/>
  <c r="OR144" i="2"/>
  <c r="OS144" i="2"/>
  <c r="OT144" i="2"/>
  <c r="OU144" i="2"/>
  <c r="OW144" i="2"/>
  <c r="OX144" i="2"/>
  <c r="OY144" i="2"/>
  <c r="OZ144" i="2"/>
  <c r="PA144" i="2"/>
  <c r="PB144" i="2"/>
  <c r="PC144" i="2"/>
  <c r="PD144" i="2"/>
  <c r="PE144" i="2"/>
  <c r="PF144" i="2"/>
  <c r="PG144" i="2"/>
  <c r="PH144" i="2"/>
  <c r="PI144" i="2"/>
  <c r="PJ144" i="2"/>
  <c r="PK144" i="2"/>
  <c r="PL144" i="2"/>
  <c r="IA145" i="2"/>
  <c r="IC145" i="2"/>
  <c r="IE145" i="2"/>
  <c r="IG145" i="2"/>
  <c r="II145" i="2"/>
  <c r="IJ145" i="2"/>
  <c r="IK145" i="2"/>
  <c r="IL145" i="2"/>
  <c r="IM145" i="2"/>
  <c r="IN145" i="2"/>
  <c r="IO145" i="2"/>
  <c r="IP145" i="2"/>
  <c r="IQ145" i="2"/>
  <c r="IR145" i="2"/>
  <c r="IS145" i="2"/>
  <c r="IT145" i="2"/>
  <c r="IU145" i="2"/>
  <c r="IV145" i="2"/>
  <c r="IW145" i="2"/>
  <c r="JD145" i="2"/>
  <c r="JE145" i="2"/>
  <c r="JG145" i="2"/>
  <c r="JH145" i="2"/>
  <c r="JK145" i="2"/>
  <c r="JL145" i="2"/>
  <c r="JM145" i="2"/>
  <c r="JN145" i="2"/>
  <c r="JO145" i="2"/>
  <c r="JP145" i="2"/>
  <c r="JR145" i="2"/>
  <c r="JS145" i="2"/>
  <c r="JT145" i="2"/>
  <c r="JU145" i="2"/>
  <c r="JV145" i="2"/>
  <c r="JW145" i="2"/>
  <c r="JX145" i="2"/>
  <c r="JY145" i="2"/>
  <c r="JZ145" i="2"/>
  <c r="KA145" i="2"/>
  <c r="KB145" i="2"/>
  <c r="KC145" i="2"/>
  <c r="KD145" i="2"/>
  <c r="KE145" i="2"/>
  <c r="KF145" i="2"/>
  <c r="KG145" i="2"/>
  <c r="KH145" i="2"/>
  <c r="KI145" i="2"/>
  <c r="KJ145" i="2"/>
  <c r="KK145" i="2"/>
  <c r="KL145" i="2"/>
  <c r="KM145" i="2"/>
  <c r="KO145" i="2"/>
  <c r="KP145" i="2"/>
  <c r="KQ145" i="2"/>
  <c r="KR145" i="2"/>
  <c r="KS145" i="2"/>
  <c r="KU145" i="2"/>
  <c r="KY145" i="2"/>
  <c r="LA145" i="2"/>
  <c r="LC145" i="2"/>
  <c r="LE145" i="2"/>
  <c r="LG145" i="2"/>
  <c r="LH145" i="2"/>
  <c r="LI145" i="2"/>
  <c r="LJ145" i="2"/>
  <c r="LL145" i="2"/>
  <c r="LN145" i="2"/>
  <c r="LO145" i="2"/>
  <c r="LP145" i="2"/>
  <c r="LQ145" i="2"/>
  <c r="LR145" i="2"/>
  <c r="LS145" i="2"/>
  <c r="LT145" i="2"/>
  <c r="LU145" i="2"/>
  <c r="LV145" i="2"/>
  <c r="LW145" i="2"/>
  <c r="LX145" i="2"/>
  <c r="LY145" i="2"/>
  <c r="LZ145" i="2"/>
  <c r="MA145" i="2"/>
  <c r="MB145" i="2"/>
  <c r="MC145" i="2"/>
  <c r="MD145" i="2"/>
  <c r="ME145" i="2"/>
  <c r="MF145" i="2"/>
  <c r="MG145" i="2"/>
  <c r="MH145" i="2"/>
  <c r="MI145" i="2"/>
  <c r="MJ145" i="2"/>
  <c r="MK145" i="2"/>
  <c r="ML145" i="2"/>
  <c r="MM145" i="2"/>
  <c r="MN145" i="2"/>
  <c r="MO145" i="2"/>
  <c r="MP145" i="2"/>
  <c r="MQ145" i="2"/>
  <c r="MR145" i="2"/>
  <c r="MS145" i="2"/>
  <c r="MT145" i="2"/>
  <c r="MU145" i="2"/>
  <c r="MV145" i="2"/>
  <c r="MW145" i="2"/>
  <c r="MX145" i="2"/>
  <c r="MY145" i="2"/>
  <c r="MZ145" i="2"/>
  <c r="NA145" i="2"/>
  <c r="NB145" i="2"/>
  <c r="NC145" i="2"/>
  <c r="ND145" i="2"/>
  <c r="NE145" i="2"/>
  <c r="NF145" i="2"/>
  <c r="NG145" i="2"/>
  <c r="NH145" i="2"/>
  <c r="NI145" i="2"/>
  <c r="NJ145" i="2"/>
  <c r="NK145" i="2"/>
  <c r="NL145" i="2"/>
  <c r="NM145" i="2"/>
  <c r="NN145" i="2"/>
  <c r="NO145" i="2"/>
  <c r="NP145" i="2"/>
  <c r="NQ145" i="2"/>
  <c r="NR145" i="2"/>
  <c r="NS145" i="2"/>
  <c r="NT145" i="2"/>
  <c r="NU145" i="2"/>
  <c r="NV145" i="2"/>
  <c r="NW145" i="2"/>
  <c r="NX145" i="2"/>
  <c r="NY145" i="2"/>
  <c r="NZ145" i="2"/>
  <c r="OA145" i="2"/>
  <c r="OB145" i="2"/>
  <c r="OC145" i="2"/>
  <c r="OD145" i="2"/>
  <c r="OE145" i="2"/>
  <c r="OF145" i="2"/>
  <c r="OG145" i="2"/>
  <c r="OH145" i="2"/>
  <c r="OI145" i="2"/>
  <c r="OJ145" i="2"/>
  <c r="OK145" i="2"/>
  <c r="OL145" i="2"/>
  <c r="OM145" i="2"/>
  <c r="ON145" i="2"/>
  <c r="OO145" i="2"/>
  <c r="OP145" i="2"/>
  <c r="OQ145" i="2"/>
  <c r="OR145" i="2"/>
  <c r="OS145" i="2"/>
  <c r="OT145" i="2"/>
  <c r="OU145" i="2"/>
  <c r="OV145" i="2"/>
  <c r="OW145" i="2"/>
  <c r="OX145" i="2"/>
  <c r="OY145" i="2"/>
  <c r="OZ145" i="2"/>
  <c r="PA145" i="2"/>
  <c r="PB145" i="2"/>
  <c r="PC145" i="2"/>
  <c r="PD145" i="2"/>
  <c r="PE145" i="2"/>
  <c r="PF145" i="2"/>
  <c r="PG145" i="2"/>
  <c r="PH145" i="2"/>
  <c r="PI145" i="2"/>
  <c r="PJ145" i="2"/>
  <c r="PK145" i="2"/>
  <c r="PL145" i="2"/>
  <c r="IA147" i="2"/>
  <c r="IC147" i="2"/>
  <c r="IE147" i="2"/>
  <c r="IG147" i="2"/>
  <c r="II147" i="2"/>
  <c r="IJ147" i="2"/>
  <c r="IK147" i="2"/>
  <c r="IL147" i="2"/>
  <c r="IM147" i="2"/>
  <c r="IN147" i="2"/>
  <c r="IO147" i="2"/>
  <c r="IP147" i="2"/>
  <c r="IQ147" i="2"/>
  <c r="IR147" i="2"/>
  <c r="IS147" i="2"/>
  <c r="IT147" i="2"/>
  <c r="IU147" i="2"/>
  <c r="IV147" i="2"/>
  <c r="IW147" i="2"/>
  <c r="JD147" i="2"/>
  <c r="JE147" i="2"/>
  <c r="JG147" i="2"/>
  <c r="JH147" i="2"/>
  <c r="JK147" i="2"/>
  <c r="JL147" i="2"/>
  <c r="JM147" i="2"/>
  <c r="JN147" i="2"/>
  <c r="JO147" i="2"/>
  <c r="JP147" i="2"/>
  <c r="JR147" i="2"/>
  <c r="JS147" i="2"/>
  <c r="JT147" i="2"/>
  <c r="JU147" i="2"/>
  <c r="JV147" i="2"/>
  <c r="JW147" i="2"/>
  <c r="JX147" i="2"/>
  <c r="JY147" i="2"/>
  <c r="JZ147" i="2"/>
  <c r="KA147" i="2"/>
  <c r="KB147" i="2"/>
  <c r="KC147" i="2"/>
  <c r="KD147" i="2"/>
  <c r="KE147" i="2"/>
  <c r="KF147" i="2"/>
  <c r="KG147" i="2"/>
  <c r="KH147" i="2"/>
  <c r="KN147" i="2" s="1"/>
  <c r="KI147" i="2"/>
  <c r="KJ147" i="2"/>
  <c r="KK147" i="2"/>
  <c r="KL147" i="2"/>
  <c r="KM147" i="2"/>
  <c r="KO147" i="2"/>
  <c r="KP147" i="2"/>
  <c r="KQ147" i="2"/>
  <c r="KR147" i="2"/>
  <c r="KS147" i="2"/>
  <c r="KT147" i="2"/>
  <c r="KU147" i="2"/>
  <c r="KY147" i="2"/>
  <c r="LA147" i="2"/>
  <c r="LC147" i="2"/>
  <c r="LE147" i="2"/>
  <c r="LG147" i="2"/>
  <c r="LH147" i="2"/>
  <c r="LI147" i="2"/>
  <c r="LJ147" i="2"/>
  <c r="LL147" i="2"/>
  <c r="LN147" i="2"/>
  <c r="LO147" i="2"/>
  <c r="LP147" i="2"/>
  <c r="LQ147" i="2"/>
  <c r="LR147" i="2"/>
  <c r="LS147" i="2"/>
  <c r="LT147" i="2"/>
  <c r="LU147" i="2"/>
  <c r="LV147" i="2"/>
  <c r="LW147" i="2"/>
  <c r="LX147" i="2"/>
  <c r="LY147" i="2"/>
  <c r="LZ147" i="2"/>
  <c r="MA147" i="2"/>
  <c r="MB147" i="2"/>
  <c r="MC147" i="2"/>
  <c r="MD147" i="2"/>
  <c r="ME147" i="2"/>
  <c r="MF147" i="2"/>
  <c r="MG147" i="2"/>
  <c r="MH147" i="2"/>
  <c r="MI147" i="2"/>
  <c r="MJ147" i="2"/>
  <c r="MK147" i="2"/>
  <c r="ML147" i="2"/>
  <c r="MM147" i="2"/>
  <c r="MN147" i="2"/>
  <c r="MO147" i="2"/>
  <c r="MP147" i="2"/>
  <c r="MQ147" i="2"/>
  <c r="MR147" i="2"/>
  <c r="MS147" i="2"/>
  <c r="MT147" i="2"/>
  <c r="MU147" i="2"/>
  <c r="MV147" i="2"/>
  <c r="MW147" i="2"/>
  <c r="MX147" i="2"/>
  <c r="MY147" i="2"/>
  <c r="MZ147" i="2"/>
  <c r="NA147" i="2"/>
  <c r="NB147" i="2"/>
  <c r="NC147" i="2"/>
  <c r="ND147" i="2"/>
  <c r="NE147" i="2"/>
  <c r="NF147" i="2"/>
  <c r="NG147" i="2"/>
  <c r="NH147" i="2"/>
  <c r="NI147" i="2"/>
  <c r="NJ147" i="2"/>
  <c r="NK147" i="2"/>
  <c r="NL147" i="2"/>
  <c r="NM147" i="2"/>
  <c r="NN147" i="2"/>
  <c r="NO147" i="2"/>
  <c r="NP147" i="2"/>
  <c r="NQ147" i="2"/>
  <c r="NR147" i="2"/>
  <c r="NS147" i="2"/>
  <c r="NT147" i="2"/>
  <c r="NU147" i="2"/>
  <c r="NV147" i="2"/>
  <c r="NW147" i="2"/>
  <c r="NX147" i="2"/>
  <c r="NY147" i="2"/>
  <c r="NZ147" i="2"/>
  <c r="OA147" i="2"/>
  <c r="OB147" i="2"/>
  <c r="OC147" i="2"/>
  <c r="OD147" i="2"/>
  <c r="OE147" i="2"/>
  <c r="OF147" i="2"/>
  <c r="OG147" i="2"/>
  <c r="OH147" i="2"/>
  <c r="OI147" i="2"/>
  <c r="OJ147" i="2"/>
  <c r="OK147" i="2"/>
  <c r="OL147" i="2"/>
  <c r="OM147" i="2"/>
  <c r="ON147" i="2"/>
  <c r="OO147" i="2"/>
  <c r="OP147" i="2"/>
  <c r="OQ147" i="2"/>
  <c r="OR147" i="2"/>
  <c r="OS147" i="2"/>
  <c r="OT147" i="2"/>
  <c r="OU147" i="2"/>
  <c r="OV147" i="2"/>
  <c r="OW147" i="2"/>
  <c r="OX147" i="2"/>
  <c r="OY147" i="2"/>
  <c r="OZ147" i="2"/>
  <c r="PA147" i="2"/>
  <c r="PB147" i="2"/>
  <c r="PC147" i="2"/>
  <c r="PD147" i="2"/>
  <c r="PE147" i="2"/>
  <c r="PF147" i="2"/>
  <c r="PG147" i="2"/>
  <c r="PH147" i="2"/>
  <c r="PI147" i="2"/>
  <c r="PJ147" i="2"/>
  <c r="PK147" i="2"/>
  <c r="PL147" i="2"/>
  <c r="IA148" i="2"/>
  <c r="IC148" i="2"/>
  <c r="IE148" i="2"/>
  <c r="IG148" i="2"/>
  <c r="II148" i="2"/>
  <c r="IJ148" i="2"/>
  <c r="IK148" i="2"/>
  <c r="IL148" i="2"/>
  <c r="IM148" i="2"/>
  <c r="IN148" i="2"/>
  <c r="IO148" i="2"/>
  <c r="IP148" i="2"/>
  <c r="IQ148" i="2"/>
  <c r="IR148" i="2"/>
  <c r="IS148" i="2"/>
  <c r="IT148" i="2"/>
  <c r="IU148" i="2"/>
  <c r="IV148" i="2"/>
  <c r="IW148" i="2"/>
  <c r="JD148" i="2"/>
  <c r="JE148" i="2"/>
  <c r="JG148" i="2"/>
  <c r="JH148" i="2"/>
  <c r="JK148" i="2"/>
  <c r="JL148" i="2"/>
  <c r="JM148" i="2"/>
  <c r="JN148" i="2"/>
  <c r="JO148" i="2"/>
  <c r="JP148" i="2"/>
  <c r="JR148" i="2"/>
  <c r="JS148" i="2"/>
  <c r="JT148" i="2"/>
  <c r="JU148" i="2"/>
  <c r="JV148" i="2"/>
  <c r="JW148" i="2"/>
  <c r="JX148" i="2"/>
  <c r="KN148" i="2" s="1"/>
  <c r="JY148" i="2"/>
  <c r="JZ148" i="2"/>
  <c r="KA148" i="2"/>
  <c r="KB148" i="2"/>
  <c r="KC148" i="2"/>
  <c r="KD148" i="2"/>
  <c r="KE148" i="2"/>
  <c r="KF148" i="2"/>
  <c r="KG148" i="2"/>
  <c r="KH148" i="2"/>
  <c r="KI148" i="2"/>
  <c r="KJ148" i="2"/>
  <c r="KK148" i="2"/>
  <c r="KM148" i="2"/>
  <c r="KO148" i="2"/>
  <c r="KP148" i="2"/>
  <c r="KQ148" i="2"/>
  <c r="KR148" i="2"/>
  <c r="KS148" i="2"/>
  <c r="KT148" i="2"/>
  <c r="KU148" i="2"/>
  <c r="KY148" i="2"/>
  <c r="LA148" i="2"/>
  <c r="LC148" i="2"/>
  <c r="LE148" i="2"/>
  <c r="LG148" i="2"/>
  <c r="LH148" i="2"/>
  <c r="LI148" i="2"/>
  <c r="LJ148" i="2"/>
  <c r="LL148" i="2"/>
  <c r="LN148" i="2"/>
  <c r="LO148" i="2"/>
  <c r="LQ148" i="2"/>
  <c r="LR148" i="2"/>
  <c r="LS148" i="2"/>
  <c r="LT148" i="2"/>
  <c r="LU148" i="2"/>
  <c r="LV148" i="2"/>
  <c r="LW148" i="2"/>
  <c r="LX148" i="2"/>
  <c r="LY148" i="2"/>
  <c r="LZ148" i="2"/>
  <c r="MA148" i="2"/>
  <c r="MB148" i="2"/>
  <c r="MC148" i="2"/>
  <c r="MD148" i="2"/>
  <c r="ME148" i="2"/>
  <c r="MF148" i="2"/>
  <c r="MG148" i="2"/>
  <c r="MH148" i="2"/>
  <c r="MI148" i="2"/>
  <c r="MJ148" i="2"/>
  <c r="MK148" i="2"/>
  <c r="ML148" i="2"/>
  <c r="MM148" i="2"/>
  <c r="MN148" i="2"/>
  <c r="MO148" i="2"/>
  <c r="MP148" i="2"/>
  <c r="MQ148" i="2"/>
  <c r="MR148" i="2"/>
  <c r="MS148" i="2"/>
  <c r="MT148" i="2"/>
  <c r="MU148" i="2"/>
  <c r="MV148" i="2"/>
  <c r="MW148" i="2"/>
  <c r="MX148" i="2"/>
  <c r="MY148" i="2"/>
  <c r="MZ148" i="2"/>
  <c r="NA148" i="2"/>
  <c r="NB148" i="2"/>
  <c r="NC148" i="2"/>
  <c r="ND148" i="2"/>
  <c r="NE148" i="2"/>
  <c r="NF148" i="2"/>
  <c r="NG148" i="2"/>
  <c r="NH148" i="2"/>
  <c r="NI148" i="2"/>
  <c r="NJ148" i="2"/>
  <c r="NK148" i="2"/>
  <c r="NL148" i="2"/>
  <c r="NM148" i="2"/>
  <c r="NN148" i="2"/>
  <c r="NO148" i="2"/>
  <c r="NP148" i="2"/>
  <c r="NQ148" i="2"/>
  <c r="NR148" i="2"/>
  <c r="NS148" i="2"/>
  <c r="NT148" i="2"/>
  <c r="NU148" i="2"/>
  <c r="NV148" i="2"/>
  <c r="NW148" i="2"/>
  <c r="NX148" i="2"/>
  <c r="NY148" i="2"/>
  <c r="NZ148" i="2"/>
  <c r="OA148" i="2"/>
  <c r="OB148" i="2"/>
  <c r="OC148" i="2"/>
  <c r="OD148" i="2"/>
  <c r="OE148" i="2"/>
  <c r="OF148" i="2"/>
  <c r="OG148" i="2"/>
  <c r="OH148" i="2"/>
  <c r="OI148" i="2"/>
  <c r="OJ148" i="2"/>
  <c r="OK148" i="2"/>
  <c r="OL148" i="2"/>
  <c r="OM148" i="2"/>
  <c r="ON148" i="2"/>
  <c r="OO148" i="2"/>
  <c r="OP148" i="2"/>
  <c r="OQ148" i="2"/>
  <c r="OR148" i="2"/>
  <c r="OS148" i="2"/>
  <c r="OT148" i="2"/>
  <c r="OU148" i="2"/>
  <c r="OW148" i="2"/>
  <c r="OX148" i="2"/>
  <c r="OY148" i="2"/>
  <c r="OZ148" i="2"/>
  <c r="PA148" i="2"/>
  <c r="PB148" i="2"/>
  <c r="PC148" i="2"/>
  <c r="PD148" i="2"/>
  <c r="PE148" i="2"/>
  <c r="PF148" i="2"/>
  <c r="PG148" i="2"/>
  <c r="PH148" i="2"/>
  <c r="PI148" i="2"/>
  <c r="PJ148" i="2"/>
  <c r="PK148" i="2"/>
  <c r="PL148" i="2"/>
  <c r="IA149" i="2"/>
  <c r="IC149" i="2"/>
  <c r="IE149" i="2"/>
  <c r="IG149" i="2"/>
  <c r="II149" i="2"/>
  <c r="IJ149" i="2"/>
  <c r="IK149" i="2"/>
  <c r="IL149" i="2"/>
  <c r="IM149" i="2"/>
  <c r="IN149" i="2"/>
  <c r="IO149" i="2"/>
  <c r="IP149" i="2"/>
  <c r="IQ149" i="2"/>
  <c r="IR149" i="2"/>
  <c r="IS149" i="2"/>
  <c r="IT149" i="2"/>
  <c r="IU149" i="2"/>
  <c r="IV149" i="2"/>
  <c r="IW149" i="2"/>
  <c r="JD149" i="2"/>
  <c r="JE149" i="2"/>
  <c r="JG149" i="2"/>
  <c r="JH149" i="2"/>
  <c r="JK149" i="2"/>
  <c r="JL149" i="2"/>
  <c r="JM149" i="2"/>
  <c r="JN149" i="2"/>
  <c r="JO149" i="2"/>
  <c r="JP149" i="2"/>
  <c r="JR149" i="2"/>
  <c r="JS149" i="2"/>
  <c r="JT149" i="2"/>
  <c r="JU149" i="2"/>
  <c r="JV149" i="2"/>
  <c r="JW149" i="2"/>
  <c r="JX149" i="2"/>
  <c r="JY149" i="2"/>
  <c r="JZ149" i="2"/>
  <c r="KA149" i="2"/>
  <c r="KB149" i="2"/>
  <c r="KC149" i="2"/>
  <c r="KD149" i="2"/>
  <c r="KE149" i="2"/>
  <c r="KF149" i="2"/>
  <c r="KG149" i="2"/>
  <c r="KH149" i="2"/>
  <c r="KI149" i="2"/>
  <c r="KJ149" i="2"/>
  <c r="KK149" i="2"/>
  <c r="KL149" i="2"/>
  <c r="KM149" i="2"/>
  <c r="KO149" i="2"/>
  <c r="KP149" i="2"/>
  <c r="KQ149" i="2"/>
  <c r="KR149" i="2"/>
  <c r="KS149" i="2"/>
  <c r="KT149" i="2"/>
  <c r="KU149" i="2"/>
  <c r="KY149" i="2"/>
  <c r="LA149" i="2"/>
  <c r="LC149" i="2"/>
  <c r="LE149" i="2"/>
  <c r="LG149" i="2"/>
  <c r="LH149" i="2"/>
  <c r="LI149" i="2"/>
  <c r="LJ149" i="2"/>
  <c r="LL149" i="2"/>
  <c r="LN149" i="2"/>
  <c r="LO149" i="2"/>
  <c r="LQ149" i="2"/>
  <c r="LR149" i="2"/>
  <c r="LS149" i="2"/>
  <c r="LT149" i="2"/>
  <c r="LU149" i="2"/>
  <c r="LV149" i="2"/>
  <c r="LW149" i="2"/>
  <c r="LX149" i="2"/>
  <c r="LY149" i="2"/>
  <c r="LZ149" i="2"/>
  <c r="MA149" i="2"/>
  <c r="MB149" i="2"/>
  <c r="MC149" i="2"/>
  <c r="MD149" i="2"/>
  <c r="ME149" i="2"/>
  <c r="MF149" i="2"/>
  <c r="MG149" i="2"/>
  <c r="MH149" i="2"/>
  <c r="MI149" i="2"/>
  <c r="MJ149" i="2"/>
  <c r="MK149" i="2"/>
  <c r="ML149" i="2"/>
  <c r="MM149" i="2"/>
  <c r="MN149" i="2"/>
  <c r="MO149" i="2"/>
  <c r="MP149" i="2"/>
  <c r="MQ149" i="2"/>
  <c r="MR149" i="2"/>
  <c r="MS149" i="2"/>
  <c r="MT149" i="2"/>
  <c r="MU149" i="2"/>
  <c r="MV149" i="2"/>
  <c r="MW149" i="2"/>
  <c r="MX149" i="2"/>
  <c r="MY149" i="2"/>
  <c r="MZ149" i="2"/>
  <c r="NA149" i="2"/>
  <c r="NB149" i="2"/>
  <c r="NC149" i="2"/>
  <c r="ND149" i="2"/>
  <c r="NE149" i="2"/>
  <c r="NF149" i="2"/>
  <c r="NG149" i="2"/>
  <c r="NH149" i="2"/>
  <c r="NI149" i="2"/>
  <c r="NJ149" i="2"/>
  <c r="NK149" i="2"/>
  <c r="NL149" i="2"/>
  <c r="NM149" i="2"/>
  <c r="NN149" i="2"/>
  <c r="NO149" i="2"/>
  <c r="NP149" i="2"/>
  <c r="NQ149" i="2"/>
  <c r="NR149" i="2"/>
  <c r="NS149" i="2"/>
  <c r="NT149" i="2"/>
  <c r="NU149" i="2"/>
  <c r="NV149" i="2"/>
  <c r="NW149" i="2"/>
  <c r="NX149" i="2"/>
  <c r="NY149" i="2"/>
  <c r="NZ149" i="2"/>
  <c r="OA149" i="2"/>
  <c r="OB149" i="2"/>
  <c r="OC149" i="2"/>
  <c r="OD149" i="2"/>
  <c r="OE149" i="2"/>
  <c r="OF149" i="2"/>
  <c r="OG149" i="2"/>
  <c r="OH149" i="2"/>
  <c r="OI149" i="2"/>
  <c r="OJ149" i="2"/>
  <c r="OK149" i="2"/>
  <c r="OL149" i="2"/>
  <c r="OM149" i="2"/>
  <c r="ON149" i="2"/>
  <c r="OO149" i="2"/>
  <c r="OP149" i="2"/>
  <c r="OQ149" i="2"/>
  <c r="OR149" i="2"/>
  <c r="OS149" i="2"/>
  <c r="OT149" i="2"/>
  <c r="OU149" i="2"/>
  <c r="OV149" i="2"/>
  <c r="OW149" i="2"/>
  <c r="OX149" i="2"/>
  <c r="OY149" i="2"/>
  <c r="OZ149" i="2"/>
  <c r="PA149" i="2"/>
  <c r="PB149" i="2"/>
  <c r="PC149" i="2"/>
  <c r="PD149" i="2"/>
  <c r="PE149" i="2"/>
  <c r="PF149" i="2"/>
  <c r="PG149" i="2"/>
  <c r="PH149" i="2"/>
  <c r="PI149" i="2"/>
  <c r="PJ149" i="2"/>
  <c r="PK149" i="2"/>
  <c r="PL149" i="2"/>
  <c r="IA150" i="2"/>
  <c r="IC150" i="2"/>
  <c r="IE150" i="2"/>
  <c r="IG150" i="2"/>
  <c r="II150" i="2"/>
  <c r="IJ150" i="2"/>
  <c r="IK150" i="2"/>
  <c r="IL150" i="2"/>
  <c r="IM150" i="2"/>
  <c r="IN150" i="2"/>
  <c r="IO150" i="2"/>
  <c r="IP150" i="2"/>
  <c r="IQ150" i="2"/>
  <c r="IR150" i="2"/>
  <c r="IS150" i="2"/>
  <c r="IT150" i="2"/>
  <c r="IU150" i="2"/>
  <c r="IV150" i="2"/>
  <c r="IW150" i="2"/>
  <c r="JD150" i="2"/>
  <c r="JE150" i="2"/>
  <c r="JG150" i="2"/>
  <c r="JH150" i="2"/>
  <c r="JK150" i="2"/>
  <c r="JL150" i="2"/>
  <c r="JM150" i="2"/>
  <c r="JN150" i="2"/>
  <c r="JO150" i="2"/>
  <c r="JP150" i="2"/>
  <c r="JR150" i="2"/>
  <c r="JS150" i="2"/>
  <c r="JT150" i="2"/>
  <c r="JU150" i="2"/>
  <c r="JV150" i="2"/>
  <c r="JW150" i="2"/>
  <c r="JX150" i="2"/>
  <c r="JY150" i="2"/>
  <c r="JZ150" i="2"/>
  <c r="KA150" i="2"/>
  <c r="KB150" i="2"/>
  <c r="KC150" i="2"/>
  <c r="KD150" i="2"/>
  <c r="KE150" i="2"/>
  <c r="KF150" i="2"/>
  <c r="KG150" i="2"/>
  <c r="KH150" i="2"/>
  <c r="KI150" i="2"/>
  <c r="KJ150" i="2"/>
  <c r="KK150" i="2"/>
  <c r="KM150" i="2"/>
  <c r="KP150" i="2"/>
  <c r="KQ150" i="2"/>
  <c r="KR150" i="2"/>
  <c r="KS150" i="2"/>
  <c r="KT150" i="2"/>
  <c r="KU150" i="2"/>
  <c r="KY150" i="2"/>
  <c r="LA150" i="2"/>
  <c r="LC150" i="2"/>
  <c r="LE150" i="2"/>
  <c r="LG150" i="2"/>
  <c r="LH150" i="2"/>
  <c r="LI150" i="2"/>
  <c r="LJ150" i="2"/>
  <c r="LL150" i="2"/>
  <c r="LN150" i="2"/>
  <c r="LO150" i="2"/>
  <c r="LP150" i="2"/>
  <c r="LQ150" i="2"/>
  <c r="LR150" i="2"/>
  <c r="LS150" i="2"/>
  <c r="LT150" i="2"/>
  <c r="LU150" i="2"/>
  <c r="LV150" i="2"/>
  <c r="LW150" i="2"/>
  <c r="LX150" i="2"/>
  <c r="LY150" i="2"/>
  <c r="LZ150" i="2"/>
  <c r="MA150" i="2"/>
  <c r="MB150" i="2"/>
  <c r="MC150" i="2"/>
  <c r="MD150" i="2"/>
  <c r="ME150" i="2"/>
  <c r="MF150" i="2"/>
  <c r="MG150" i="2"/>
  <c r="MH150" i="2"/>
  <c r="MI150" i="2"/>
  <c r="MJ150" i="2"/>
  <c r="MK150" i="2"/>
  <c r="ML150" i="2"/>
  <c r="MM150" i="2"/>
  <c r="MN150" i="2"/>
  <c r="MO150" i="2"/>
  <c r="MP150" i="2"/>
  <c r="MQ150" i="2"/>
  <c r="MR150" i="2"/>
  <c r="MS150" i="2"/>
  <c r="MT150" i="2"/>
  <c r="MU150" i="2"/>
  <c r="MV150" i="2"/>
  <c r="MW150" i="2"/>
  <c r="MX150" i="2"/>
  <c r="MY150" i="2"/>
  <c r="MZ150" i="2"/>
  <c r="NA150" i="2"/>
  <c r="NB150" i="2"/>
  <c r="NC150" i="2"/>
  <c r="ND150" i="2"/>
  <c r="NE150" i="2"/>
  <c r="NF150" i="2"/>
  <c r="NG150" i="2"/>
  <c r="NH150" i="2"/>
  <c r="NI150" i="2"/>
  <c r="NJ150" i="2"/>
  <c r="NK150" i="2"/>
  <c r="NL150" i="2"/>
  <c r="NM150" i="2"/>
  <c r="NN150" i="2"/>
  <c r="NO150" i="2"/>
  <c r="NP150" i="2"/>
  <c r="NQ150" i="2"/>
  <c r="NR150" i="2"/>
  <c r="NS150" i="2"/>
  <c r="NT150" i="2"/>
  <c r="NU150" i="2"/>
  <c r="NV150" i="2"/>
  <c r="NW150" i="2"/>
  <c r="NX150" i="2"/>
  <c r="NY150" i="2"/>
  <c r="NZ150" i="2"/>
  <c r="OA150" i="2"/>
  <c r="OB150" i="2"/>
  <c r="OC150" i="2"/>
  <c r="OD150" i="2"/>
  <c r="OE150" i="2"/>
  <c r="OF150" i="2"/>
  <c r="OG150" i="2"/>
  <c r="OH150" i="2"/>
  <c r="OI150" i="2"/>
  <c r="OJ150" i="2"/>
  <c r="OK150" i="2"/>
  <c r="OL150" i="2"/>
  <c r="OM150" i="2"/>
  <c r="ON150" i="2"/>
  <c r="OO150" i="2"/>
  <c r="OP150" i="2"/>
  <c r="OQ150" i="2"/>
  <c r="OR150" i="2"/>
  <c r="OS150" i="2"/>
  <c r="OT150" i="2"/>
  <c r="OU150" i="2"/>
  <c r="OW150" i="2"/>
  <c r="OX150" i="2"/>
  <c r="OY150" i="2"/>
  <c r="OZ150" i="2"/>
  <c r="PA150" i="2"/>
  <c r="PB150" i="2"/>
  <c r="PC150" i="2"/>
  <c r="PD150" i="2"/>
  <c r="PE150" i="2"/>
  <c r="PF150" i="2"/>
  <c r="PG150" i="2"/>
  <c r="PH150" i="2"/>
  <c r="PI150" i="2"/>
  <c r="PJ150" i="2"/>
  <c r="PK150" i="2"/>
  <c r="PL150" i="2"/>
  <c r="IA151" i="2"/>
  <c r="IC151" i="2"/>
  <c r="IE151" i="2"/>
  <c r="IG151" i="2"/>
  <c r="II151" i="2"/>
  <c r="IJ151" i="2"/>
  <c r="IK151" i="2"/>
  <c r="IL151" i="2"/>
  <c r="IM151" i="2"/>
  <c r="IN151" i="2"/>
  <c r="IO151" i="2"/>
  <c r="IP151" i="2"/>
  <c r="IQ151" i="2"/>
  <c r="IR151" i="2"/>
  <c r="IS151" i="2"/>
  <c r="IT151" i="2"/>
  <c r="IU151" i="2"/>
  <c r="IV151" i="2"/>
  <c r="IW151" i="2"/>
  <c r="JD151" i="2"/>
  <c r="JE151" i="2"/>
  <c r="JG151" i="2"/>
  <c r="JH151" i="2"/>
  <c r="JK151" i="2"/>
  <c r="JL151" i="2"/>
  <c r="JM151" i="2"/>
  <c r="JN151" i="2"/>
  <c r="JO151" i="2"/>
  <c r="JP151" i="2"/>
  <c r="JR151" i="2"/>
  <c r="JS151" i="2"/>
  <c r="JT151" i="2"/>
  <c r="JU151" i="2"/>
  <c r="JV151" i="2"/>
  <c r="JW151" i="2"/>
  <c r="JX151" i="2"/>
  <c r="JY151" i="2"/>
  <c r="JZ151" i="2"/>
  <c r="KA151" i="2"/>
  <c r="KB151" i="2"/>
  <c r="KC151" i="2"/>
  <c r="KD151" i="2"/>
  <c r="KE151" i="2"/>
  <c r="KF151" i="2"/>
  <c r="KG151" i="2"/>
  <c r="KH151" i="2"/>
  <c r="KI151" i="2"/>
  <c r="KJ151" i="2"/>
  <c r="KK151" i="2"/>
  <c r="KM151" i="2"/>
  <c r="KP151" i="2"/>
  <c r="KQ151" i="2"/>
  <c r="KR151" i="2"/>
  <c r="KS151" i="2"/>
  <c r="KT151" i="2"/>
  <c r="KU151" i="2"/>
  <c r="KY151" i="2"/>
  <c r="LA151" i="2"/>
  <c r="LC151" i="2"/>
  <c r="LE151" i="2"/>
  <c r="LG151" i="2"/>
  <c r="LH151" i="2"/>
  <c r="LI151" i="2"/>
  <c r="LJ151" i="2"/>
  <c r="LL151" i="2"/>
  <c r="LN151" i="2"/>
  <c r="LO151" i="2"/>
  <c r="LP151" i="2"/>
  <c r="LQ151" i="2"/>
  <c r="LR151" i="2"/>
  <c r="LS151" i="2"/>
  <c r="LT151" i="2"/>
  <c r="LU151" i="2"/>
  <c r="LV151" i="2"/>
  <c r="LW151" i="2"/>
  <c r="LX151" i="2"/>
  <c r="LY151" i="2"/>
  <c r="LZ151" i="2"/>
  <c r="MA151" i="2"/>
  <c r="MB151" i="2"/>
  <c r="MC151" i="2"/>
  <c r="MD151" i="2"/>
  <c r="ME151" i="2"/>
  <c r="MF151" i="2"/>
  <c r="MG151" i="2"/>
  <c r="MH151" i="2"/>
  <c r="MI151" i="2"/>
  <c r="MJ151" i="2"/>
  <c r="MK151" i="2"/>
  <c r="ML151" i="2"/>
  <c r="MM151" i="2"/>
  <c r="MN151" i="2"/>
  <c r="MO151" i="2"/>
  <c r="MP151" i="2"/>
  <c r="MQ151" i="2"/>
  <c r="MR151" i="2"/>
  <c r="MS151" i="2"/>
  <c r="MT151" i="2"/>
  <c r="MU151" i="2"/>
  <c r="MV151" i="2"/>
  <c r="MW151" i="2"/>
  <c r="MX151" i="2"/>
  <c r="MY151" i="2"/>
  <c r="MZ151" i="2"/>
  <c r="NA151" i="2"/>
  <c r="NB151" i="2"/>
  <c r="NC151" i="2"/>
  <c r="ND151" i="2"/>
  <c r="NE151" i="2"/>
  <c r="NF151" i="2"/>
  <c r="NG151" i="2"/>
  <c r="NH151" i="2"/>
  <c r="NI151" i="2"/>
  <c r="NJ151" i="2"/>
  <c r="NK151" i="2"/>
  <c r="NL151" i="2"/>
  <c r="NM151" i="2"/>
  <c r="NN151" i="2"/>
  <c r="NO151" i="2"/>
  <c r="NP151" i="2"/>
  <c r="NQ151" i="2"/>
  <c r="NR151" i="2"/>
  <c r="NS151" i="2"/>
  <c r="NT151" i="2"/>
  <c r="NU151" i="2"/>
  <c r="NV151" i="2"/>
  <c r="NW151" i="2"/>
  <c r="NX151" i="2"/>
  <c r="NY151" i="2"/>
  <c r="NZ151" i="2"/>
  <c r="OA151" i="2"/>
  <c r="OB151" i="2"/>
  <c r="OC151" i="2"/>
  <c r="OD151" i="2"/>
  <c r="OE151" i="2"/>
  <c r="OF151" i="2"/>
  <c r="OG151" i="2"/>
  <c r="OH151" i="2"/>
  <c r="OI151" i="2"/>
  <c r="OJ151" i="2"/>
  <c r="OK151" i="2"/>
  <c r="OL151" i="2"/>
  <c r="OM151" i="2"/>
  <c r="ON151" i="2"/>
  <c r="OO151" i="2"/>
  <c r="OP151" i="2"/>
  <c r="OQ151" i="2"/>
  <c r="OR151" i="2"/>
  <c r="OS151" i="2"/>
  <c r="OT151" i="2"/>
  <c r="OU151" i="2"/>
  <c r="OW151" i="2"/>
  <c r="OX151" i="2"/>
  <c r="OY151" i="2"/>
  <c r="OZ151" i="2"/>
  <c r="PA151" i="2"/>
  <c r="PB151" i="2"/>
  <c r="PC151" i="2"/>
  <c r="PD151" i="2"/>
  <c r="PE151" i="2"/>
  <c r="PF151" i="2"/>
  <c r="PG151" i="2"/>
  <c r="PH151" i="2"/>
  <c r="PI151" i="2"/>
  <c r="PJ151" i="2"/>
  <c r="PK151" i="2"/>
  <c r="PL151" i="2"/>
  <c r="IA152" i="2"/>
  <c r="IC152" i="2"/>
  <c r="IE152" i="2"/>
  <c r="IG152" i="2"/>
  <c r="II152" i="2"/>
  <c r="IJ152" i="2"/>
  <c r="IK152" i="2"/>
  <c r="IL152" i="2"/>
  <c r="IM152" i="2"/>
  <c r="IN152" i="2"/>
  <c r="IO152" i="2"/>
  <c r="IP152" i="2"/>
  <c r="IQ152" i="2"/>
  <c r="IR152" i="2"/>
  <c r="IS152" i="2"/>
  <c r="IT152" i="2"/>
  <c r="IU152" i="2"/>
  <c r="IV152" i="2"/>
  <c r="IW152" i="2"/>
  <c r="JD152" i="2"/>
  <c r="JE152" i="2"/>
  <c r="JG152" i="2"/>
  <c r="JH152" i="2"/>
  <c r="JJ152" i="2"/>
  <c r="JK152" i="2"/>
  <c r="JL152" i="2"/>
  <c r="JM152" i="2"/>
  <c r="JN152" i="2"/>
  <c r="JO152" i="2"/>
  <c r="JP152" i="2"/>
  <c r="JR152" i="2"/>
  <c r="JS152" i="2"/>
  <c r="JT152" i="2"/>
  <c r="JU152" i="2"/>
  <c r="JV152" i="2"/>
  <c r="JW152" i="2"/>
  <c r="JX152" i="2"/>
  <c r="JY152" i="2"/>
  <c r="JZ152" i="2"/>
  <c r="KA152" i="2"/>
  <c r="KB152" i="2"/>
  <c r="KC152" i="2"/>
  <c r="KD152" i="2"/>
  <c r="KE152" i="2"/>
  <c r="KF152" i="2"/>
  <c r="KG152" i="2"/>
  <c r="KH152" i="2"/>
  <c r="KI152" i="2"/>
  <c r="KJ152" i="2"/>
  <c r="KK152" i="2"/>
  <c r="KL152" i="2"/>
  <c r="KM152" i="2"/>
  <c r="KO152" i="2"/>
  <c r="KP152" i="2"/>
  <c r="KQ152" i="2"/>
  <c r="KR152" i="2"/>
  <c r="KS152" i="2"/>
  <c r="KT152" i="2"/>
  <c r="KU152" i="2"/>
  <c r="KY152" i="2"/>
  <c r="LA152" i="2"/>
  <c r="LC152" i="2"/>
  <c r="LE152" i="2"/>
  <c r="LG152" i="2"/>
  <c r="LH152" i="2"/>
  <c r="LI152" i="2"/>
  <c r="LJ152" i="2"/>
  <c r="LL152" i="2"/>
  <c r="LN152" i="2"/>
  <c r="LO152" i="2"/>
  <c r="LP152" i="2"/>
  <c r="LQ152" i="2"/>
  <c r="LR152" i="2"/>
  <c r="LS152" i="2"/>
  <c r="LT152" i="2"/>
  <c r="LU152" i="2"/>
  <c r="LV152" i="2"/>
  <c r="LW152" i="2"/>
  <c r="LX152" i="2"/>
  <c r="LY152" i="2"/>
  <c r="LZ152" i="2"/>
  <c r="MA152" i="2"/>
  <c r="MB152" i="2"/>
  <c r="MC152" i="2"/>
  <c r="MD152" i="2"/>
  <c r="ME152" i="2"/>
  <c r="MF152" i="2"/>
  <c r="MG152" i="2"/>
  <c r="MH152" i="2"/>
  <c r="MI152" i="2"/>
  <c r="MJ152" i="2"/>
  <c r="MK152" i="2"/>
  <c r="ML152" i="2"/>
  <c r="MM152" i="2"/>
  <c r="MN152" i="2"/>
  <c r="MO152" i="2"/>
  <c r="MP152" i="2"/>
  <c r="MQ152" i="2"/>
  <c r="MR152" i="2"/>
  <c r="MS152" i="2"/>
  <c r="MT152" i="2"/>
  <c r="MU152" i="2"/>
  <c r="MV152" i="2"/>
  <c r="MW152" i="2"/>
  <c r="MX152" i="2"/>
  <c r="MY152" i="2"/>
  <c r="MZ152" i="2"/>
  <c r="NA152" i="2"/>
  <c r="NB152" i="2"/>
  <c r="NC152" i="2"/>
  <c r="ND152" i="2"/>
  <c r="NE152" i="2"/>
  <c r="NF152" i="2"/>
  <c r="NG152" i="2"/>
  <c r="NH152" i="2"/>
  <c r="NI152" i="2"/>
  <c r="NJ152" i="2"/>
  <c r="NK152" i="2"/>
  <c r="NL152" i="2"/>
  <c r="NM152" i="2"/>
  <c r="NN152" i="2"/>
  <c r="NO152" i="2"/>
  <c r="NP152" i="2"/>
  <c r="NQ152" i="2"/>
  <c r="NR152" i="2"/>
  <c r="NS152" i="2"/>
  <c r="NT152" i="2"/>
  <c r="NU152" i="2"/>
  <c r="NV152" i="2"/>
  <c r="NW152" i="2"/>
  <c r="NX152" i="2"/>
  <c r="NY152" i="2"/>
  <c r="NZ152" i="2"/>
  <c r="OA152" i="2"/>
  <c r="OB152" i="2"/>
  <c r="OC152" i="2"/>
  <c r="OD152" i="2"/>
  <c r="OE152" i="2"/>
  <c r="OF152" i="2"/>
  <c r="OG152" i="2"/>
  <c r="OH152" i="2"/>
  <c r="OI152" i="2"/>
  <c r="OJ152" i="2"/>
  <c r="OK152" i="2"/>
  <c r="OL152" i="2"/>
  <c r="OM152" i="2"/>
  <c r="ON152" i="2"/>
  <c r="OO152" i="2"/>
  <c r="OP152" i="2"/>
  <c r="OQ152" i="2"/>
  <c r="OR152" i="2"/>
  <c r="OS152" i="2"/>
  <c r="OT152" i="2"/>
  <c r="OU152" i="2"/>
  <c r="OV152" i="2"/>
  <c r="OW152" i="2"/>
  <c r="OX152" i="2"/>
  <c r="OY152" i="2"/>
  <c r="OZ152" i="2"/>
  <c r="PA152" i="2"/>
  <c r="PB152" i="2"/>
  <c r="PC152" i="2"/>
  <c r="PD152" i="2"/>
  <c r="PE152" i="2"/>
  <c r="PF152" i="2"/>
  <c r="PG152" i="2"/>
  <c r="PH152" i="2"/>
  <c r="PI152" i="2"/>
  <c r="PJ152" i="2"/>
  <c r="PK152" i="2"/>
  <c r="PL152" i="2"/>
  <c r="IA153" i="2"/>
  <c r="IC153" i="2"/>
  <c r="IE153" i="2"/>
  <c r="IG153" i="2"/>
  <c r="II153" i="2"/>
  <c r="IJ153" i="2"/>
  <c r="IK153" i="2"/>
  <c r="IL153" i="2"/>
  <c r="IM153" i="2"/>
  <c r="IN153" i="2"/>
  <c r="IO153" i="2"/>
  <c r="IP153" i="2"/>
  <c r="IQ153" i="2"/>
  <c r="IR153" i="2"/>
  <c r="IS153" i="2"/>
  <c r="IT153" i="2"/>
  <c r="IU153" i="2"/>
  <c r="IV153" i="2"/>
  <c r="IW153" i="2"/>
  <c r="JD153" i="2"/>
  <c r="JE153" i="2"/>
  <c r="JG153" i="2"/>
  <c r="JH153" i="2"/>
  <c r="JK153" i="2"/>
  <c r="JL153" i="2"/>
  <c r="JM153" i="2"/>
  <c r="JN153" i="2"/>
  <c r="JO153" i="2"/>
  <c r="JP153" i="2"/>
  <c r="JR153" i="2"/>
  <c r="JS153" i="2"/>
  <c r="JT153" i="2"/>
  <c r="JU153" i="2"/>
  <c r="JV153" i="2"/>
  <c r="JW153" i="2"/>
  <c r="JX153" i="2"/>
  <c r="JY153" i="2"/>
  <c r="JZ153" i="2"/>
  <c r="KA153" i="2"/>
  <c r="KB153" i="2"/>
  <c r="KC153" i="2"/>
  <c r="KD153" i="2"/>
  <c r="KE153" i="2"/>
  <c r="KF153" i="2"/>
  <c r="KG153" i="2"/>
  <c r="KH153" i="2"/>
  <c r="KN153" i="2" s="1"/>
  <c r="KI153" i="2"/>
  <c r="KJ153" i="2"/>
  <c r="KK153" i="2"/>
  <c r="KL153" i="2"/>
  <c r="KM153" i="2"/>
  <c r="KO153" i="2"/>
  <c r="KP153" i="2"/>
  <c r="KQ153" i="2"/>
  <c r="KR153" i="2"/>
  <c r="KS153" i="2"/>
  <c r="KT153" i="2"/>
  <c r="KU153" i="2"/>
  <c r="KY153" i="2"/>
  <c r="LA153" i="2"/>
  <c r="LC153" i="2"/>
  <c r="LE153" i="2"/>
  <c r="LG153" i="2"/>
  <c r="LH153" i="2"/>
  <c r="LI153" i="2"/>
  <c r="LJ153" i="2"/>
  <c r="LL153" i="2"/>
  <c r="LN153" i="2"/>
  <c r="LO153" i="2"/>
  <c r="LP153" i="2"/>
  <c r="LQ153" i="2"/>
  <c r="LR153" i="2"/>
  <c r="LS153" i="2"/>
  <c r="LT153" i="2"/>
  <c r="LU153" i="2"/>
  <c r="LV153" i="2"/>
  <c r="LW153" i="2"/>
  <c r="LX153" i="2"/>
  <c r="LY153" i="2"/>
  <c r="LZ153" i="2"/>
  <c r="MA153" i="2"/>
  <c r="MB153" i="2"/>
  <c r="MC153" i="2"/>
  <c r="MD153" i="2"/>
  <c r="ME153" i="2"/>
  <c r="MF153" i="2"/>
  <c r="MG153" i="2"/>
  <c r="MH153" i="2"/>
  <c r="MI153" i="2"/>
  <c r="MJ153" i="2"/>
  <c r="MK153" i="2"/>
  <c r="ML153" i="2"/>
  <c r="MM153" i="2"/>
  <c r="MN153" i="2"/>
  <c r="MO153" i="2"/>
  <c r="MP153" i="2"/>
  <c r="MQ153" i="2"/>
  <c r="MR153" i="2"/>
  <c r="MS153" i="2"/>
  <c r="MT153" i="2"/>
  <c r="MU153" i="2"/>
  <c r="MV153" i="2"/>
  <c r="MW153" i="2"/>
  <c r="MX153" i="2"/>
  <c r="MY153" i="2"/>
  <c r="MZ153" i="2"/>
  <c r="NA153" i="2"/>
  <c r="NB153" i="2"/>
  <c r="NC153" i="2"/>
  <c r="ND153" i="2"/>
  <c r="NE153" i="2"/>
  <c r="NF153" i="2"/>
  <c r="NG153" i="2"/>
  <c r="NH153" i="2"/>
  <c r="NI153" i="2"/>
  <c r="NJ153" i="2"/>
  <c r="NK153" i="2"/>
  <c r="NL153" i="2"/>
  <c r="NM153" i="2"/>
  <c r="NN153" i="2"/>
  <c r="NO153" i="2"/>
  <c r="NP153" i="2"/>
  <c r="NQ153" i="2"/>
  <c r="NR153" i="2"/>
  <c r="NS153" i="2"/>
  <c r="NT153" i="2"/>
  <c r="NU153" i="2"/>
  <c r="NV153" i="2"/>
  <c r="NW153" i="2"/>
  <c r="NX153" i="2"/>
  <c r="NY153" i="2"/>
  <c r="NZ153" i="2"/>
  <c r="OA153" i="2"/>
  <c r="OB153" i="2"/>
  <c r="OC153" i="2"/>
  <c r="OD153" i="2"/>
  <c r="OE153" i="2"/>
  <c r="OF153" i="2"/>
  <c r="OG153" i="2"/>
  <c r="OH153" i="2"/>
  <c r="OI153" i="2"/>
  <c r="OJ153" i="2"/>
  <c r="OK153" i="2"/>
  <c r="OL153" i="2"/>
  <c r="OM153" i="2"/>
  <c r="ON153" i="2"/>
  <c r="OO153" i="2"/>
  <c r="OP153" i="2"/>
  <c r="OQ153" i="2"/>
  <c r="OR153" i="2"/>
  <c r="OS153" i="2"/>
  <c r="OT153" i="2"/>
  <c r="OU153" i="2"/>
  <c r="OV153" i="2"/>
  <c r="OW153" i="2"/>
  <c r="OX153" i="2"/>
  <c r="OY153" i="2"/>
  <c r="OZ153" i="2"/>
  <c r="PA153" i="2"/>
  <c r="PB153" i="2"/>
  <c r="PC153" i="2"/>
  <c r="PD153" i="2"/>
  <c r="PE153" i="2"/>
  <c r="PF153" i="2"/>
  <c r="PG153" i="2"/>
  <c r="PH153" i="2"/>
  <c r="PI153" i="2"/>
  <c r="PJ153" i="2"/>
  <c r="PK153" i="2"/>
  <c r="PL153" i="2"/>
  <c r="IA154" i="2"/>
  <c r="IC154" i="2"/>
  <c r="IE154" i="2"/>
  <c r="IG154" i="2"/>
  <c r="II154" i="2"/>
  <c r="IJ154" i="2"/>
  <c r="IK154" i="2"/>
  <c r="IL154" i="2"/>
  <c r="IM154" i="2"/>
  <c r="IN154" i="2"/>
  <c r="IO154" i="2"/>
  <c r="IP154" i="2"/>
  <c r="IQ154" i="2"/>
  <c r="IR154" i="2"/>
  <c r="IS154" i="2"/>
  <c r="IT154" i="2"/>
  <c r="IU154" i="2"/>
  <c r="IV154" i="2"/>
  <c r="IW154" i="2"/>
  <c r="JD154" i="2"/>
  <c r="JE154" i="2"/>
  <c r="JG154" i="2"/>
  <c r="JH154" i="2"/>
  <c r="JK154" i="2"/>
  <c r="JL154" i="2"/>
  <c r="JM154" i="2"/>
  <c r="JN154" i="2"/>
  <c r="JO154" i="2"/>
  <c r="JP154" i="2"/>
  <c r="JR154" i="2"/>
  <c r="JS154" i="2"/>
  <c r="JT154" i="2"/>
  <c r="JU154" i="2"/>
  <c r="JV154" i="2"/>
  <c r="JW154" i="2"/>
  <c r="JX154" i="2"/>
  <c r="KN154" i="2" s="1"/>
  <c r="JY154" i="2"/>
  <c r="JZ154" i="2"/>
  <c r="KA154" i="2"/>
  <c r="KB154" i="2"/>
  <c r="KC154" i="2"/>
  <c r="KD154" i="2"/>
  <c r="KE154" i="2"/>
  <c r="KF154" i="2"/>
  <c r="KG154" i="2"/>
  <c r="KH154" i="2"/>
  <c r="KI154" i="2"/>
  <c r="KJ154" i="2"/>
  <c r="KK154" i="2"/>
  <c r="KM154" i="2"/>
  <c r="KO154" i="2"/>
  <c r="KP154" i="2"/>
  <c r="KQ154" i="2"/>
  <c r="KR154" i="2"/>
  <c r="KS154" i="2"/>
  <c r="KT154" i="2"/>
  <c r="KU154" i="2"/>
  <c r="KY154" i="2"/>
  <c r="LA154" i="2"/>
  <c r="LC154" i="2"/>
  <c r="LE154" i="2"/>
  <c r="LG154" i="2"/>
  <c r="LH154" i="2"/>
  <c r="LI154" i="2"/>
  <c r="LJ154" i="2"/>
  <c r="LL154" i="2"/>
  <c r="LN154" i="2"/>
  <c r="LO154" i="2"/>
  <c r="LP154" i="2"/>
  <c r="LQ154" i="2"/>
  <c r="LR154" i="2"/>
  <c r="LS154" i="2"/>
  <c r="LT154" i="2"/>
  <c r="LU154" i="2"/>
  <c r="LV154" i="2"/>
  <c r="LW154" i="2"/>
  <c r="LX154" i="2"/>
  <c r="LY154" i="2"/>
  <c r="LZ154" i="2"/>
  <c r="MA154" i="2"/>
  <c r="MB154" i="2"/>
  <c r="MC154" i="2"/>
  <c r="MD154" i="2"/>
  <c r="ME154" i="2"/>
  <c r="MF154" i="2"/>
  <c r="MG154" i="2"/>
  <c r="MH154" i="2"/>
  <c r="MI154" i="2"/>
  <c r="MJ154" i="2"/>
  <c r="MK154" i="2"/>
  <c r="ML154" i="2"/>
  <c r="MM154" i="2"/>
  <c r="MN154" i="2"/>
  <c r="MO154" i="2"/>
  <c r="MP154" i="2"/>
  <c r="MQ154" i="2"/>
  <c r="MR154" i="2"/>
  <c r="MS154" i="2"/>
  <c r="MT154" i="2"/>
  <c r="MU154" i="2"/>
  <c r="MV154" i="2"/>
  <c r="MW154" i="2"/>
  <c r="MX154" i="2"/>
  <c r="MY154" i="2"/>
  <c r="MZ154" i="2"/>
  <c r="NA154" i="2"/>
  <c r="NB154" i="2"/>
  <c r="NC154" i="2"/>
  <c r="ND154" i="2"/>
  <c r="NE154" i="2"/>
  <c r="NF154" i="2"/>
  <c r="NG154" i="2"/>
  <c r="NH154" i="2"/>
  <c r="NI154" i="2"/>
  <c r="NJ154" i="2"/>
  <c r="NK154" i="2"/>
  <c r="NL154" i="2"/>
  <c r="NM154" i="2"/>
  <c r="NN154" i="2"/>
  <c r="NO154" i="2"/>
  <c r="NP154" i="2"/>
  <c r="NQ154" i="2"/>
  <c r="NR154" i="2"/>
  <c r="NS154" i="2"/>
  <c r="NT154" i="2"/>
  <c r="NU154" i="2"/>
  <c r="NV154" i="2"/>
  <c r="NW154" i="2"/>
  <c r="NX154" i="2"/>
  <c r="NY154" i="2"/>
  <c r="NZ154" i="2"/>
  <c r="OA154" i="2"/>
  <c r="OB154" i="2"/>
  <c r="OC154" i="2"/>
  <c r="OD154" i="2"/>
  <c r="OE154" i="2"/>
  <c r="OF154" i="2"/>
  <c r="OG154" i="2"/>
  <c r="OH154" i="2"/>
  <c r="OI154" i="2"/>
  <c r="OJ154" i="2"/>
  <c r="OK154" i="2"/>
  <c r="OL154" i="2"/>
  <c r="OM154" i="2"/>
  <c r="ON154" i="2"/>
  <c r="OO154" i="2"/>
  <c r="OP154" i="2"/>
  <c r="OQ154" i="2"/>
  <c r="OR154" i="2"/>
  <c r="OS154" i="2"/>
  <c r="OT154" i="2"/>
  <c r="OU154" i="2"/>
  <c r="OW154" i="2"/>
  <c r="OX154" i="2"/>
  <c r="OY154" i="2"/>
  <c r="OZ154" i="2"/>
  <c r="PA154" i="2"/>
  <c r="PB154" i="2"/>
  <c r="PC154" i="2"/>
  <c r="PD154" i="2"/>
  <c r="PE154" i="2"/>
  <c r="PF154" i="2"/>
  <c r="PG154" i="2"/>
  <c r="PH154" i="2"/>
  <c r="PI154" i="2"/>
  <c r="PJ154" i="2"/>
  <c r="PK154" i="2"/>
  <c r="PL154" i="2"/>
  <c r="IA156" i="2"/>
  <c r="IC156" i="2"/>
  <c r="IE156" i="2"/>
  <c r="IG156" i="2"/>
  <c r="II156" i="2"/>
  <c r="IJ156" i="2"/>
  <c r="IK156" i="2"/>
  <c r="IL156" i="2"/>
  <c r="IM156" i="2"/>
  <c r="IN156" i="2"/>
  <c r="IO156" i="2"/>
  <c r="IP156" i="2"/>
  <c r="IQ156" i="2"/>
  <c r="IR156" i="2"/>
  <c r="IS156" i="2"/>
  <c r="IT156" i="2"/>
  <c r="IU156" i="2"/>
  <c r="IV156" i="2"/>
  <c r="IW156" i="2"/>
  <c r="JD156" i="2"/>
  <c r="JE156" i="2"/>
  <c r="JG156" i="2"/>
  <c r="JH156" i="2"/>
  <c r="JK156" i="2"/>
  <c r="JL156" i="2"/>
  <c r="JM156" i="2"/>
  <c r="JN156" i="2"/>
  <c r="JO156" i="2"/>
  <c r="JP156" i="2"/>
  <c r="JR156" i="2"/>
  <c r="JS156" i="2"/>
  <c r="JT156" i="2"/>
  <c r="JU156" i="2"/>
  <c r="JV156" i="2"/>
  <c r="JW156" i="2"/>
  <c r="JX156" i="2"/>
  <c r="JY156" i="2"/>
  <c r="JZ156" i="2"/>
  <c r="KA156" i="2"/>
  <c r="KB156" i="2"/>
  <c r="KC156" i="2"/>
  <c r="KD156" i="2"/>
  <c r="KE156" i="2"/>
  <c r="KF156" i="2"/>
  <c r="KG156" i="2"/>
  <c r="KH156" i="2"/>
  <c r="KN156" i="2" s="1"/>
  <c r="KI156" i="2"/>
  <c r="KJ156" i="2"/>
  <c r="KK156" i="2"/>
  <c r="KL156" i="2"/>
  <c r="KM156" i="2"/>
  <c r="KO156" i="2"/>
  <c r="KP156" i="2"/>
  <c r="KQ156" i="2"/>
  <c r="KR156" i="2"/>
  <c r="KS156" i="2"/>
  <c r="KT156" i="2"/>
  <c r="KU156" i="2"/>
  <c r="KY156" i="2"/>
  <c r="LA156" i="2"/>
  <c r="LC156" i="2"/>
  <c r="LE156" i="2"/>
  <c r="LG156" i="2"/>
  <c r="LH156" i="2"/>
  <c r="LI156" i="2"/>
  <c r="LJ156" i="2"/>
  <c r="LL156" i="2"/>
  <c r="LN156" i="2"/>
  <c r="LO156" i="2"/>
  <c r="LP156" i="2"/>
  <c r="LQ156" i="2"/>
  <c r="LR156" i="2"/>
  <c r="LS156" i="2"/>
  <c r="LT156" i="2"/>
  <c r="LU156" i="2"/>
  <c r="LV156" i="2"/>
  <c r="LW156" i="2"/>
  <c r="LX156" i="2"/>
  <c r="LY156" i="2"/>
  <c r="LZ156" i="2"/>
  <c r="MA156" i="2"/>
  <c r="MB156" i="2"/>
  <c r="MC156" i="2"/>
  <c r="MD156" i="2"/>
  <c r="ME156" i="2"/>
  <c r="MF156" i="2"/>
  <c r="MG156" i="2"/>
  <c r="MH156" i="2"/>
  <c r="MI156" i="2"/>
  <c r="MJ156" i="2"/>
  <c r="MK156" i="2"/>
  <c r="ML156" i="2"/>
  <c r="MM156" i="2"/>
  <c r="MN156" i="2"/>
  <c r="MO156" i="2"/>
  <c r="MP156" i="2"/>
  <c r="MQ156" i="2"/>
  <c r="MR156" i="2"/>
  <c r="MS156" i="2"/>
  <c r="MT156" i="2"/>
  <c r="MU156" i="2"/>
  <c r="MV156" i="2"/>
  <c r="MW156" i="2"/>
  <c r="MX156" i="2"/>
  <c r="MY156" i="2"/>
  <c r="MZ156" i="2"/>
  <c r="NA156" i="2"/>
  <c r="NB156" i="2"/>
  <c r="NC156" i="2"/>
  <c r="ND156" i="2"/>
  <c r="NE156" i="2"/>
  <c r="NF156" i="2"/>
  <c r="NG156" i="2"/>
  <c r="NH156" i="2"/>
  <c r="NI156" i="2"/>
  <c r="NJ156" i="2"/>
  <c r="NK156" i="2"/>
  <c r="NL156" i="2"/>
  <c r="NM156" i="2"/>
  <c r="NN156" i="2"/>
  <c r="NO156" i="2"/>
  <c r="NP156" i="2"/>
  <c r="NQ156" i="2"/>
  <c r="NR156" i="2"/>
  <c r="NS156" i="2"/>
  <c r="NT156" i="2"/>
  <c r="NU156" i="2"/>
  <c r="NV156" i="2"/>
  <c r="NW156" i="2"/>
  <c r="NX156" i="2"/>
  <c r="NY156" i="2"/>
  <c r="NZ156" i="2"/>
  <c r="OA156" i="2"/>
  <c r="OB156" i="2"/>
  <c r="OC156" i="2"/>
  <c r="OD156" i="2"/>
  <c r="OE156" i="2"/>
  <c r="OF156" i="2"/>
  <c r="OG156" i="2"/>
  <c r="OH156" i="2"/>
  <c r="OI156" i="2"/>
  <c r="OJ156" i="2"/>
  <c r="OK156" i="2"/>
  <c r="OL156" i="2"/>
  <c r="OM156" i="2"/>
  <c r="ON156" i="2"/>
  <c r="OO156" i="2"/>
  <c r="OP156" i="2"/>
  <c r="OQ156" i="2"/>
  <c r="OR156" i="2"/>
  <c r="OS156" i="2"/>
  <c r="OT156" i="2"/>
  <c r="OU156" i="2"/>
  <c r="OV156" i="2"/>
  <c r="OW156" i="2"/>
  <c r="OX156" i="2"/>
  <c r="OY156" i="2"/>
  <c r="OZ156" i="2"/>
  <c r="PA156" i="2"/>
  <c r="PB156" i="2"/>
  <c r="PC156" i="2"/>
  <c r="PD156" i="2"/>
  <c r="PE156" i="2"/>
  <c r="PF156" i="2"/>
  <c r="PG156" i="2"/>
  <c r="PH156" i="2"/>
  <c r="PI156" i="2"/>
  <c r="PJ156" i="2"/>
  <c r="PK156" i="2"/>
  <c r="PL156" i="2"/>
  <c r="IA157" i="2"/>
  <c r="IC157" i="2"/>
  <c r="IE157" i="2"/>
  <c r="IG157" i="2"/>
  <c r="II157" i="2"/>
  <c r="IJ157" i="2"/>
  <c r="IK157" i="2"/>
  <c r="IL157" i="2"/>
  <c r="IM157" i="2"/>
  <c r="IN157" i="2"/>
  <c r="IO157" i="2"/>
  <c r="IP157" i="2"/>
  <c r="IQ157" i="2"/>
  <c r="IR157" i="2"/>
  <c r="IS157" i="2"/>
  <c r="IT157" i="2"/>
  <c r="IU157" i="2"/>
  <c r="IV157" i="2"/>
  <c r="IW157" i="2"/>
  <c r="JD157" i="2"/>
  <c r="JE157" i="2"/>
  <c r="JG157" i="2"/>
  <c r="JH157" i="2"/>
  <c r="JK157" i="2"/>
  <c r="JL157" i="2"/>
  <c r="JM157" i="2"/>
  <c r="JN157" i="2"/>
  <c r="JO157" i="2"/>
  <c r="JP157" i="2"/>
  <c r="JR157" i="2"/>
  <c r="JS157" i="2"/>
  <c r="JT157" i="2"/>
  <c r="JU157" i="2"/>
  <c r="JV157" i="2"/>
  <c r="JW157" i="2"/>
  <c r="JX157" i="2"/>
  <c r="KN157" i="2" s="1"/>
  <c r="JY157" i="2"/>
  <c r="JZ157" i="2"/>
  <c r="KA157" i="2"/>
  <c r="KB157" i="2"/>
  <c r="KC157" i="2"/>
  <c r="KD157" i="2"/>
  <c r="KE157" i="2"/>
  <c r="KF157" i="2"/>
  <c r="KG157" i="2"/>
  <c r="KH157" i="2"/>
  <c r="KI157" i="2"/>
  <c r="KJ157" i="2"/>
  <c r="KK157" i="2"/>
  <c r="KL157" i="2"/>
  <c r="KM157" i="2"/>
  <c r="KO157" i="2"/>
  <c r="KP157" i="2"/>
  <c r="KQ157" i="2"/>
  <c r="KR157" i="2"/>
  <c r="KS157" i="2"/>
  <c r="KT157" i="2"/>
  <c r="KU157" i="2"/>
  <c r="KY157" i="2"/>
  <c r="LA157" i="2"/>
  <c r="LC157" i="2"/>
  <c r="LE157" i="2"/>
  <c r="LG157" i="2"/>
  <c r="LH157" i="2"/>
  <c r="LI157" i="2"/>
  <c r="LJ157" i="2"/>
  <c r="LL157" i="2"/>
  <c r="LN157" i="2"/>
  <c r="LO157" i="2"/>
  <c r="LP157" i="2"/>
  <c r="LQ157" i="2"/>
  <c r="LR157" i="2"/>
  <c r="LS157" i="2"/>
  <c r="LT157" i="2"/>
  <c r="LU157" i="2"/>
  <c r="LV157" i="2"/>
  <c r="LW157" i="2"/>
  <c r="LX157" i="2"/>
  <c r="LY157" i="2"/>
  <c r="LZ157" i="2"/>
  <c r="MA157" i="2"/>
  <c r="MB157" i="2"/>
  <c r="MC157" i="2"/>
  <c r="MD157" i="2"/>
  <c r="ME157" i="2"/>
  <c r="MF157" i="2"/>
  <c r="MG157" i="2"/>
  <c r="MH157" i="2"/>
  <c r="MI157" i="2"/>
  <c r="MJ157" i="2"/>
  <c r="MK157" i="2"/>
  <c r="ML157" i="2"/>
  <c r="MM157" i="2"/>
  <c r="MN157" i="2"/>
  <c r="MO157" i="2"/>
  <c r="MP157" i="2"/>
  <c r="MQ157" i="2"/>
  <c r="MR157" i="2"/>
  <c r="MS157" i="2"/>
  <c r="MT157" i="2"/>
  <c r="MU157" i="2"/>
  <c r="MV157" i="2"/>
  <c r="MW157" i="2"/>
  <c r="MX157" i="2"/>
  <c r="MY157" i="2"/>
  <c r="MZ157" i="2"/>
  <c r="NA157" i="2"/>
  <c r="NB157" i="2"/>
  <c r="NC157" i="2"/>
  <c r="ND157" i="2"/>
  <c r="NE157" i="2"/>
  <c r="NF157" i="2"/>
  <c r="NG157" i="2"/>
  <c r="NH157" i="2"/>
  <c r="NI157" i="2"/>
  <c r="NJ157" i="2"/>
  <c r="NK157" i="2"/>
  <c r="NL157" i="2"/>
  <c r="NM157" i="2"/>
  <c r="NN157" i="2"/>
  <c r="NO157" i="2"/>
  <c r="NP157" i="2"/>
  <c r="NQ157" i="2"/>
  <c r="NR157" i="2"/>
  <c r="NS157" i="2"/>
  <c r="NT157" i="2"/>
  <c r="NU157" i="2"/>
  <c r="NV157" i="2"/>
  <c r="NW157" i="2"/>
  <c r="NX157" i="2"/>
  <c r="NY157" i="2"/>
  <c r="NZ157" i="2"/>
  <c r="OA157" i="2"/>
  <c r="OB157" i="2"/>
  <c r="OC157" i="2"/>
  <c r="OD157" i="2"/>
  <c r="OE157" i="2"/>
  <c r="OF157" i="2"/>
  <c r="OG157" i="2"/>
  <c r="OH157" i="2"/>
  <c r="OI157" i="2"/>
  <c r="OJ157" i="2"/>
  <c r="OK157" i="2"/>
  <c r="OL157" i="2"/>
  <c r="OM157" i="2"/>
  <c r="ON157" i="2"/>
  <c r="OO157" i="2"/>
  <c r="OP157" i="2"/>
  <c r="OQ157" i="2"/>
  <c r="OR157" i="2"/>
  <c r="OS157" i="2"/>
  <c r="OT157" i="2"/>
  <c r="OU157" i="2"/>
  <c r="OW157" i="2"/>
  <c r="OX157" i="2"/>
  <c r="OY157" i="2"/>
  <c r="OZ157" i="2"/>
  <c r="PA157" i="2"/>
  <c r="PB157" i="2"/>
  <c r="PC157" i="2"/>
  <c r="PD157" i="2"/>
  <c r="PE157" i="2"/>
  <c r="PF157" i="2"/>
  <c r="PG157" i="2"/>
  <c r="PH157" i="2"/>
  <c r="PI157" i="2"/>
  <c r="PJ157" i="2"/>
  <c r="PK157" i="2"/>
  <c r="PL157" i="2"/>
  <c r="IA158" i="2"/>
  <c r="IC158" i="2"/>
  <c r="IE158" i="2"/>
  <c r="IG158" i="2"/>
  <c r="II158" i="2"/>
  <c r="IJ158" i="2"/>
  <c r="IK158" i="2"/>
  <c r="IL158" i="2"/>
  <c r="IM158" i="2"/>
  <c r="IN158" i="2"/>
  <c r="IO158" i="2"/>
  <c r="IP158" i="2"/>
  <c r="IQ158" i="2"/>
  <c r="IR158" i="2"/>
  <c r="IS158" i="2"/>
  <c r="IT158" i="2"/>
  <c r="IU158" i="2"/>
  <c r="IV158" i="2"/>
  <c r="IW158" i="2"/>
  <c r="JD158" i="2"/>
  <c r="JE158" i="2"/>
  <c r="JG158" i="2"/>
  <c r="JH158" i="2"/>
  <c r="JK158" i="2"/>
  <c r="JL158" i="2"/>
  <c r="JM158" i="2"/>
  <c r="JN158" i="2"/>
  <c r="JO158" i="2"/>
  <c r="JP158" i="2"/>
  <c r="JR158" i="2"/>
  <c r="JS158" i="2"/>
  <c r="JT158" i="2"/>
  <c r="JU158" i="2"/>
  <c r="JV158" i="2"/>
  <c r="JW158" i="2"/>
  <c r="JX158" i="2"/>
  <c r="JY158" i="2"/>
  <c r="JZ158" i="2"/>
  <c r="KA158" i="2"/>
  <c r="KB158" i="2"/>
  <c r="KC158" i="2"/>
  <c r="KD158" i="2"/>
  <c r="KE158" i="2"/>
  <c r="KF158" i="2"/>
  <c r="KG158" i="2"/>
  <c r="KH158" i="2"/>
  <c r="KI158" i="2"/>
  <c r="KJ158" i="2"/>
  <c r="KK158" i="2"/>
  <c r="KL158" i="2"/>
  <c r="KM158" i="2"/>
  <c r="KO158" i="2"/>
  <c r="KP158" i="2"/>
  <c r="KQ158" i="2"/>
  <c r="KR158" i="2"/>
  <c r="KS158" i="2"/>
  <c r="KT158" i="2"/>
  <c r="KU158" i="2"/>
  <c r="KY158" i="2"/>
  <c r="LA158" i="2"/>
  <c r="LC158" i="2"/>
  <c r="LE158" i="2"/>
  <c r="LG158" i="2"/>
  <c r="LH158" i="2"/>
  <c r="LI158" i="2"/>
  <c r="LJ158" i="2"/>
  <c r="LL158" i="2"/>
  <c r="LN158" i="2"/>
  <c r="LO158" i="2"/>
  <c r="LP158" i="2"/>
  <c r="LQ158" i="2"/>
  <c r="LR158" i="2"/>
  <c r="LS158" i="2"/>
  <c r="LT158" i="2"/>
  <c r="LU158" i="2"/>
  <c r="LV158" i="2"/>
  <c r="LW158" i="2"/>
  <c r="LX158" i="2"/>
  <c r="LY158" i="2"/>
  <c r="LZ158" i="2"/>
  <c r="MA158" i="2"/>
  <c r="MB158" i="2"/>
  <c r="MC158" i="2"/>
  <c r="MD158" i="2"/>
  <c r="ME158" i="2"/>
  <c r="MF158" i="2"/>
  <c r="MG158" i="2"/>
  <c r="MH158" i="2"/>
  <c r="MI158" i="2"/>
  <c r="MJ158" i="2"/>
  <c r="MK158" i="2"/>
  <c r="ML158" i="2"/>
  <c r="MM158" i="2"/>
  <c r="MN158" i="2"/>
  <c r="MO158" i="2"/>
  <c r="MP158" i="2"/>
  <c r="MQ158" i="2"/>
  <c r="MR158" i="2"/>
  <c r="MS158" i="2"/>
  <c r="MT158" i="2"/>
  <c r="MU158" i="2"/>
  <c r="MV158" i="2"/>
  <c r="MW158" i="2"/>
  <c r="MX158" i="2"/>
  <c r="MY158" i="2"/>
  <c r="MZ158" i="2"/>
  <c r="NA158" i="2"/>
  <c r="NB158" i="2"/>
  <c r="NC158" i="2"/>
  <c r="ND158" i="2"/>
  <c r="NE158" i="2"/>
  <c r="NF158" i="2"/>
  <c r="NG158" i="2"/>
  <c r="NH158" i="2"/>
  <c r="NI158" i="2"/>
  <c r="NJ158" i="2"/>
  <c r="NK158" i="2"/>
  <c r="NL158" i="2"/>
  <c r="NM158" i="2"/>
  <c r="NN158" i="2"/>
  <c r="NO158" i="2"/>
  <c r="NP158" i="2"/>
  <c r="NQ158" i="2"/>
  <c r="NR158" i="2"/>
  <c r="NS158" i="2"/>
  <c r="NT158" i="2"/>
  <c r="NU158" i="2"/>
  <c r="NV158" i="2"/>
  <c r="NW158" i="2"/>
  <c r="NX158" i="2"/>
  <c r="NY158" i="2"/>
  <c r="NZ158" i="2"/>
  <c r="OA158" i="2"/>
  <c r="OB158" i="2"/>
  <c r="OC158" i="2"/>
  <c r="OD158" i="2"/>
  <c r="OE158" i="2"/>
  <c r="OF158" i="2"/>
  <c r="OG158" i="2"/>
  <c r="OH158" i="2"/>
  <c r="OI158" i="2"/>
  <c r="OJ158" i="2"/>
  <c r="OK158" i="2"/>
  <c r="OL158" i="2"/>
  <c r="OM158" i="2"/>
  <c r="ON158" i="2"/>
  <c r="OO158" i="2"/>
  <c r="OP158" i="2"/>
  <c r="OQ158" i="2"/>
  <c r="OR158" i="2"/>
  <c r="OS158" i="2"/>
  <c r="OT158" i="2"/>
  <c r="OU158" i="2"/>
  <c r="OV158" i="2"/>
  <c r="OW158" i="2"/>
  <c r="OX158" i="2"/>
  <c r="OY158" i="2"/>
  <c r="OZ158" i="2"/>
  <c r="PA158" i="2"/>
  <c r="PB158" i="2"/>
  <c r="PC158" i="2"/>
  <c r="PD158" i="2"/>
  <c r="PE158" i="2"/>
  <c r="PF158" i="2"/>
  <c r="PG158" i="2"/>
  <c r="PH158" i="2"/>
  <c r="PI158" i="2"/>
  <c r="PJ158" i="2"/>
  <c r="PK158" i="2"/>
  <c r="PL158" i="2"/>
  <c r="IA159" i="2"/>
  <c r="IC159" i="2"/>
  <c r="IE159" i="2"/>
  <c r="IG159" i="2"/>
  <c r="II159" i="2"/>
  <c r="IJ159" i="2"/>
  <c r="IK159" i="2"/>
  <c r="IL159" i="2"/>
  <c r="IM159" i="2"/>
  <c r="IN159" i="2"/>
  <c r="IO159" i="2"/>
  <c r="IP159" i="2"/>
  <c r="IQ159" i="2"/>
  <c r="IR159" i="2"/>
  <c r="IS159" i="2"/>
  <c r="IT159" i="2"/>
  <c r="IU159" i="2"/>
  <c r="IV159" i="2"/>
  <c r="IW159" i="2"/>
  <c r="JD159" i="2"/>
  <c r="JE159" i="2"/>
  <c r="JG159" i="2"/>
  <c r="JH159" i="2"/>
  <c r="JK159" i="2"/>
  <c r="JL159" i="2"/>
  <c r="JM159" i="2"/>
  <c r="JN159" i="2"/>
  <c r="JO159" i="2"/>
  <c r="JP159" i="2"/>
  <c r="JR159" i="2"/>
  <c r="JS159" i="2"/>
  <c r="JT159" i="2"/>
  <c r="JU159" i="2"/>
  <c r="JV159" i="2"/>
  <c r="JW159" i="2"/>
  <c r="JX159" i="2"/>
  <c r="JY159" i="2"/>
  <c r="JZ159" i="2"/>
  <c r="KA159" i="2"/>
  <c r="KB159" i="2"/>
  <c r="KC159" i="2"/>
  <c r="KD159" i="2"/>
  <c r="KE159" i="2"/>
  <c r="KF159" i="2"/>
  <c r="KG159" i="2"/>
  <c r="KH159" i="2"/>
  <c r="KI159" i="2"/>
  <c r="KJ159" i="2"/>
  <c r="KK159" i="2"/>
  <c r="KL159" i="2"/>
  <c r="KM159" i="2"/>
  <c r="KO159" i="2"/>
  <c r="KP159" i="2"/>
  <c r="KQ159" i="2"/>
  <c r="KR159" i="2"/>
  <c r="KS159" i="2"/>
  <c r="KT159" i="2"/>
  <c r="KU159" i="2"/>
  <c r="KY159" i="2"/>
  <c r="LA159" i="2"/>
  <c r="LC159" i="2"/>
  <c r="LE159" i="2"/>
  <c r="LG159" i="2"/>
  <c r="LH159" i="2"/>
  <c r="LI159" i="2"/>
  <c r="LJ159" i="2"/>
  <c r="LL159" i="2"/>
  <c r="LN159" i="2"/>
  <c r="LO159" i="2"/>
  <c r="LP159" i="2"/>
  <c r="LQ159" i="2"/>
  <c r="LR159" i="2"/>
  <c r="LS159" i="2"/>
  <c r="LT159" i="2"/>
  <c r="LU159" i="2"/>
  <c r="LV159" i="2"/>
  <c r="LW159" i="2"/>
  <c r="LX159" i="2"/>
  <c r="LY159" i="2"/>
  <c r="LZ159" i="2"/>
  <c r="MA159" i="2"/>
  <c r="MB159" i="2"/>
  <c r="MC159" i="2"/>
  <c r="MD159" i="2"/>
  <c r="ME159" i="2"/>
  <c r="MF159" i="2"/>
  <c r="MG159" i="2"/>
  <c r="MH159" i="2"/>
  <c r="MI159" i="2"/>
  <c r="MJ159" i="2"/>
  <c r="MK159" i="2"/>
  <c r="ML159" i="2"/>
  <c r="MM159" i="2"/>
  <c r="MN159" i="2"/>
  <c r="MO159" i="2"/>
  <c r="MP159" i="2"/>
  <c r="MQ159" i="2"/>
  <c r="MR159" i="2"/>
  <c r="MS159" i="2"/>
  <c r="MT159" i="2"/>
  <c r="MU159" i="2"/>
  <c r="MV159" i="2"/>
  <c r="MW159" i="2"/>
  <c r="MX159" i="2"/>
  <c r="MY159" i="2"/>
  <c r="MZ159" i="2"/>
  <c r="NA159" i="2"/>
  <c r="NB159" i="2"/>
  <c r="NC159" i="2"/>
  <c r="ND159" i="2"/>
  <c r="NE159" i="2"/>
  <c r="NF159" i="2"/>
  <c r="NG159" i="2"/>
  <c r="NH159" i="2"/>
  <c r="NI159" i="2"/>
  <c r="NJ159" i="2"/>
  <c r="NK159" i="2"/>
  <c r="NL159" i="2"/>
  <c r="NM159" i="2"/>
  <c r="NN159" i="2"/>
  <c r="NO159" i="2"/>
  <c r="NP159" i="2"/>
  <c r="NQ159" i="2"/>
  <c r="NR159" i="2"/>
  <c r="NS159" i="2"/>
  <c r="NT159" i="2"/>
  <c r="NU159" i="2"/>
  <c r="NV159" i="2"/>
  <c r="NW159" i="2"/>
  <c r="NX159" i="2"/>
  <c r="NY159" i="2"/>
  <c r="NZ159" i="2"/>
  <c r="OA159" i="2"/>
  <c r="OB159" i="2"/>
  <c r="OC159" i="2"/>
  <c r="OD159" i="2"/>
  <c r="OE159" i="2"/>
  <c r="OF159" i="2"/>
  <c r="OG159" i="2"/>
  <c r="OH159" i="2"/>
  <c r="OI159" i="2"/>
  <c r="OJ159" i="2"/>
  <c r="OK159" i="2"/>
  <c r="OL159" i="2"/>
  <c r="OM159" i="2"/>
  <c r="ON159" i="2"/>
  <c r="OO159" i="2"/>
  <c r="OP159" i="2"/>
  <c r="OQ159" i="2"/>
  <c r="OR159" i="2"/>
  <c r="OS159" i="2"/>
  <c r="OT159" i="2"/>
  <c r="OU159" i="2"/>
  <c r="OV159" i="2"/>
  <c r="OW159" i="2"/>
  <c r="OX159" i="2"/>
  <c r="OY159" i="2"/>
  <c r="OZ159" i="2"/>
  <c r="PA159" i="2"/>
  <c r="PB159" i="2"/>
  <c r="PC159" i="2"/>
  <c r="PD159" i="2"/>
  <c r="PE159" i="2"/>
  <c r="PF159" i="2"/>
  <c r="PG159" i="2"/>
  <c r="PH159" i="2"/>
  <c r="PI159" i="2"/>
  <c r="PJ159" i="2"/>
  <c r="PK159" i="2"/>
  <c r="PL159" i="2"/>
  <c r="IA160" i="2"/>
  <c r="IC160" i="2"/>
  <c r="IE160" i="2"/>
  <c r="IG160" i="2"/>
  <c r="II160" i="2"/>
  <c r="IJ160" i="2"/>
  <c r="IK160" i="2"/>
  <c r="IL160" i="2"/>
  <c r="IM160" i="2"/>
  <c r="IN160" i="2"/>
  <c r="IO160" i="2"/>
  <c r="IP160" i="2"/>
  <c r="IQ160" i="2"/>
  <c r="IR160" i="2"/>
  <c r="IS160" i="2"/>
  <c r="IT160" i="2"/>
  <c r="IU160" i="2"/>
  <c r="IV160" i="2"/>
  <c r="IW160" i="2"/>
  <c r="JD160" i="2"/>
  <c r="JE160" i="2"/>
  <c r="JG160" i="2"/>
  <c r="JH160" i="2"/>
  <c r="JK160" i="2"/>
  <c r="JL160" i="2"/>
  <c r="JM160" i="2"/>
  <c r="JN160" i="2"/>
  <c r="JO160" i="2"/>
  <c r="JP160" i="2"/>
  <c r="JR160" i="2"/>
  <c r="JS160" i="2"/>
  <c r="JT160" i="2"/>
  <c r="JU160" i="2"/>
  <c r="JV160" i="2"/>
  <c r="JW160" i="2"/>
  <c r="JX160" i="2"/>
  <c r="JY160" i="2"/>
  <c r="JZ160" i="2"/>
  <c r="KA160" i="2"/>
  <c r="KB160" i="2"/>
  <c r="KC160" i="2"/>
  <c r="KD160" i="2"/>
  <c r="KE160" i="2"/>
  <c r="KF160" i="2"/>
  <c r="KG160" i="2"/>
  <c r="KH160" i="2"/>
  <c r="KI160" i="2"/>
  <c r="KJ160" i="2"/>
  <c r="KK160" i="2"/>
  <c r="KM160" i="2"/>
  <c r="KP160" i="2"/>
  <c r="KQ160" i="2"/>
  <c r="KR160" i="2"/>
  <c r="KS160" i="2"/>
  <c r="KT160" i="2"/>
  <c r="KU160" i="2"/>
  <c r="KY160" i="2"/>
  <c r="LA160" i="2"/>
  <c r="LC160" i="2"/>
  <c r="LE160" i="2"/>
  <c r="LG160" i="2"/>
  <c r="LH160" i="2"/>
  <c r="LI160" i="2"/>
  <c r="LJ160" i="2"/>
  <c r="LL160" i="2"/>
  <c r="LN160" i="2"/>
  <c r="LO160" i="2"/>
  <c r="LP160" i="2"/>
  <c r="LQ160" i="2"/>
  <c r="LR160" i="2"/>
  <c r="LS160" i="2"/>
  <c r="LT160" i="2"/>
  <c r="LU160" i="2"/>
  <c r="LV160" i="2"/>
  <c r="LW160" i="2"/>
  <c r="LX160" i="2"/>
  <c r="LY160" i="2"/>
  <c r="LZ160" i="2"/>
  <c r="MA160" i="2"/>
  <c r="MB160" i="2"/>
  <c r="MC160" i="2"/>
  <c r="MD160" i="2"/>
  <c r="ME160" i="2"/>
  <c r="MF160" i="2"/>
  <c r="MG160" i="2"/>
  <c r="MH160" i="2"/>
  <c r="MI160" i="2"/>
  <c r="MJ160" i="2"/>
  <c r="MK160" i="2"/>
  <c r="ML160" i="2"/>
  <c r="MM160" i="2"/>
  <c r="MN160" i="2"/>
  <c r="MO160" i="2"/>
  <c r="MP160" i="2"/>
  <c r="MQ160" i="2"/>
  <c r="MR160" i="2"/>
  <c r="MS160" i="2"/>
  <c r="MT160" i="2"/>
  <c r="MU160" i="2"/>
  <c r="MV160" i="2"/>
  <c r="MW160" i="2"/>
  <c r="MX160" i="2"/>
  <c r="MY160" i="2"/>
  <c r="MZ160" i="2"/>
  <c r="NA160" i="2"/>
  <c r="NB160" i="2"/>
  <c r="NC160" i="2"/>
  <c r="ND160" i="2"/>
  <c r="NE160" i="2"/>
  <c r="NF160" i="2"/>
  <c r="NG160" i="2"/>
  <c r="NH160" i="2"/>
  <c r="NI160" i="2"/>
  <c r="NJ160" i="2"/>
  <c r="NK160" i="2"/>
  <c r="NL160" i="2"/>
  <c r="NM160" i="2"/>
  <c r="NN160" i="2"/>
  <c r="NO160" i="2"/>
  <c r="NP160" i="2"/>
  <c r="NQ160" i="2"/>
  <c r="NR160" i="2"/>
  <c r="NS160" i="2"/>
  <c r="NT160" i="2"/>
  <c r="NU160" i="2"/>
  <c r="NV160" i="2"/>
  <c r="NW160" i="2"/>
  <c r="NX160" i="2"/>
  <c r="NY160" i="2"/>
  <c r="NZ160" i="2"/>
  <c r="OA160" i="2"/>
  <c r="OB160" i="2"/>
  <c r="OC160" i="2"/>
  <c r="OD160" i="2"/>
  <c r="OE160" i="2"/>
  <c r="OF160" i="2"/>
  <c r="OG160" i="2"/>
  <c r="OH160" i="2"/>
  <c r="OI160" i="2"/>
  <c r="OJ160" i="2"/>
  <c r="OK160" i="2"/>
  <c r="OL160" i="2"/>
  <c r="OM160" i="2"/>
  <c r="ON160" i="2"/>
  <c r="OO160" i="2"/>
  <c r="OP160" i="2"/>
  <c r="OQ160" i="2"/>
  <c r="OR160" i="2"/>
  <c r="OS160" i="2"/>
  <c r="OT160" i="2"/>
  <c r="OU160" i="2"/>
  <c r="OW160" i="2"/>
  <c r="OX160" i="2"/>
  <c r="OY160" i="2"/>
  <c r="OZ160" i="2"/>
  <c r="PA160" i="2"/>
  <c r="PB160" i="2"/>
  <c r="PC160" i="2"/>
  <c r="PD160" i="2"/>
  <c r="PE160" i="2"/>
  <c r="PF160" i="2"/>
  <c r="PG160" i="2"/>
  <c r="PH160" i="2"/>
  <c r="PI160" i="2"/>
  <c r="PJ160" i="2"/>
  <c r="PK160" i="2"/>
  <c r="PL160" i="2"/>
  <c r="IA162" i="2"/>
  <c r="IC162" i="2"/>
  <c r="IE162" i="2"/>
  <c r="IG162" i="2"/>
  <c r="II162" i="2"/>
  <c r="IJ162" i="2"/>
  <c r="IK162" i="2"/>
  <c r="IL162" i="2"/>
  <c r="IM162" i="2"/>
  <c r="IN162" i="2"/>
  <c r="IO162" i="2"/>
  <c r="IP162" i="2"/>
  <c r="IQ162" i="2"/>
  <c r="IR162" i="2"/>
  <c r="IS162" i="2"/>
  <c r="IT162" i="2"/>
  <c r="IU162" i="2"/>
  <c r="IV162" i="2"/>
  <c r="IW162" i="2"/>
  <c r="JD162" i="2"/>
  <c r="JE162" i="2"/>
  <c r="JG162" i="2"/>
  <c r="JH162" i="2"/>
  <c r="JK162" i="2"/>
  <c r="JL162" i="2"/>
  <c r="JM162" i="2"/>
  <c r="JN162" i="2"/>
  <c r="JO162" i="2"/>
  <c r="JP162" i="2"/>
  <c r="JR162" i="2"/>
  <c r="JS162" i="2"/>
  <c r="JT162" i="2"/>
  <c r="JU162" i="2"/>
  <c r="JV162" i="2"/>
  <c r="JW162" i="2"/>
  <c r="JX162" i="2"/>
  <c r="JY162" i="2"/>
  <c r="JZ162" i="2"/>
  <c r="KA162" i="2"/>
  <c r="KB162" i="2"/>
  <c r="KC162" i="2"/>
  <c r="KD162" i="2"/>
  <c r="KE162" i="2"/>
  <c r="KF162" i="2"/>
  <c r="KG162" i="2"/>
  <c r="KH162" i="2"/>
  <c r="KI162" i="2"/>
  <c r="KJ162" i="2"/>
  <c r="KK162" i="2"/>
  <c r="KM162" i="2"/>
  <c r="KP162" i="2"/>
  <c r="KQ162" i="2"/>
  <c r="KR162" i="2"/>
  <c r="KS162" i="2"/>
  <c r="KT162" i="2"/>
  <c r="KU162" i="2"/>
  <c r="KY162" i="2"/>
  <c r="LA162" i="2"/>
  <c r="LC162" i="2"/>
  <c r="LE162" i="2"/>
  <c r="LG162" i="2"/>
  <c r="LH162" i="2"/>
  <c r="LI162" i="2"/>
  <c r="LJ162" i="2"/>
  <c r="LL162" i="2"/>
  <c r="LN162" i="2"/>
  <c r="LO162" i="2"/>
  <c r="LP162" i="2"/>
  <c r="LQ162" i="2"/>
  <c r="LR162" i="2"/>
  <c r="LS162" i="2"/>
  <c r="LT162" i="2"/>
  <c r="LU162" i="2"/>
  <c r="LV162" i="2"/>
  <c r="LW162" i="2"/>
  <c r="LX162" i="2"/>
  <c r="LY162" i="2"/>
  <c r="LZ162" i="2"/>
  <c r="MA162" i="2"/>
  <c r="MB162" i="2"/>
  <c r="MC162" i="2"/>
  <c r="MD162" i="2"/>
  <c r="ME162" i="2"/>
  <c r="MF162" i="2"/>
  <c r="MG162" i="2"/>
  <c r="MH162" i="2"/>
  <c r="MI162" i="2"/>
  <c r="MJ162" i="2"/>
  <c r="MK162" i="2"/>
  <c r="ML162" i="2"/>
  <c r="MM162" i="2"/>
  <c r="MN162" i="2"/>
  <c r="MO162" i="2"/>
  <c r="MP162" i="2"/>
  <c r="MQ162" i="2"/>
  <c r="MR162" i="2"/>
  <c r="MS162" i="2"/>
  <c r="MT162" i="2"/>
  <c r="MU162" i="2"/>
  <c r="MV162" i="2"/>
  <c r="MW162" i="2"/>
  <c r="MX162" i="2"/>
  <c r="MY162" i="2"/>
  <c r="MZ162" i="2"/>
  <c r="NA162" i="2"/>
  <c r="NB162" i="2"/>
  <c r="NC162" i="2"/>
  <c r="ND162" i="2"/>
  <c r="NE162" i="2"/>
  <c r="NF162" i="2"/>
  <c r="NG162" i="2"/>
  <c r="NH162" i="2"/>
  <c r="NI162" i="2"/>
  <c r="NJ162" i="2"/>
  <c r="NK162" i="2"/>
  <c r="NL162" i="2"/>
  <c r="NM162" i="2"/>
  <c r="NN162" i="2"/>
  <c r="NO162" i="2"/>
  <c r="NP162" i="2"/>
  <c r="NQ162" i="2"/>
  <c r="NR162" i="2"/>
  <c r="NS162" i="2"/>
  <c r="NT162" i="2"/>
  <c r="NU162" i="2"/>
  <c r="NV162" i="2"/>
  <c r="NW162" i="2"/>
  <c r="NX162" i="2"/>
  <c r="NY162" i="2"/>
  <c r="NZ162" i="2"/>
  <c r="OA162" i="2"/>
  <c r="OB162" i="2"/>
  <c r="OC162" i="2"/>
  <c r="OD162" i="2"/>
  <c r="OE162" i="2"/>
  <c r="OF162" i="2"/>
  <c r="OG162" i="2"/>
  <c r="OH162" i="2"/>
  <c r="OI162" i="2"/>
  <c r="OJ162" i="2"/>
  <c r="OK162" i="2"/>
  <c r="OL162" i="2"/>
  <c r="OM162" i="2"/>
  <c r="ON162" i="2"/>
  <c r="OO162" i="2"/>
  <c r="OP162" i="2"/>
  <c r="OQ162" i="2"/>
  <c r="OR162" i="2"/>
  <c r="OS162" i="2"/>
  <c r="OT162" i="2"/>
  <c r="OU162" i="2"/>
  <c r="OW162" i="2"/>
  <c r="OX162" i="2"/>
  <c r="OY162" i="2"/>
  <c r="OZ162" i="2"/>
  <c r="PA162" i="2"/>
  <c r="PB162" i="2"/>
  <c r="PC162" i="2"/>
  <c r="PD162" i="2"/>
  <c r="PE162" i="2"/>
  <c r="PF162" i="2"/>
  <c r="PG162" i="2"/>
  <c r="PH162" i="2"/>
  <c r="PI162" i="2"/>
  <c r="PJ162" i="2"/>
  <c r="PK162" i="2"/>
  <c r="PL162" i="2"/>
  <c r="IA106" i="2"/>
  <c r="IC106" i="2"/>
  <c r="IE106" i="2"/>
  <c r="IG106" i="2"/>
  <c r="II106" i="2"/>
  <c r="IJ106" i="2"/>
  <c r="IK106" i="2"/>
  <c r="IL106" i="2"/>
  <c r="IM106" i="2"/>
  <c r="IN106" i="2"/>
  <c r="IO106" i="2"/>
  <c r="IP106" i="2"/>
  <c r="IQ106" i="2"/>
  <c r="IR106" i="2"/>
  <c r="IS106" i="2"/>
  <c r="IT106" i="2"/>
  <c r="IU106" i="2"/>
  <c r="IV106" i="2"/>
  <c r="IW106" i="2"/>
  <c r="JD106" i="2"/>
  <c r="JE106" i="2"/>
  <c r="JG106" i="2"/>
  <c r="JH106" i="2"/>
  <c r="JK106" i="2"/>
  <c r="JL106" i="2"/>
  <c r="JM106" i="2"/>
  <c r="JN106" i="2"/>
  <c r="JO106" i="2"/>
  <c r="JP106" i="2"/>
  <c r="JR106" i="2"/>
  <c r="JS106" i="2"/>
  <c r="JT106" i="2"/>
  <c r="JU106" i="2"/>
  <c r="JV106" i="2"/>
  <c r="JW106" i="2"/>
  <c r="JX106" i="2"/>
  <c r="JY106" i="2"/>
  <c r="JZ106" i="2"/>
  <c r="KA106" i="2"/>
  <c r="KB106" i="2"/>
  <c r="KC106" i="2"/>
  <c r="KD106" i="2"/>
  <c r="KE106" i="2"/>
  <c r="KF106" i="2"/>
  <c r="KG106" i="2"/>
  <c r="KH106" i="2"/>
  <c r="KI106" i="2"/>
  <c r="KJ106" i="2"/>
  <c r="KK106" i="2"/>
  <c r="KM106" i="2"/>
  <c r="KP106" i="2"/>
  <c r="KQ106" i="2"/>
  <c r="KR106" i="2"/>
  <c r="KS106" i="2"/>
  <c r="KT106" i="2"/>
  <c r="KU106" i="2"/>
  <c r="KY106" i="2"/>
  <c r="LA106" i="2"/>
  <c r="LE106" i="2"/>
  <c r="LH106" i="2"/>
  <c r="LI106" i="2"/>
  <c r="LJ106" i="2"/>
  <c r="LL106" i="2"/>
  <c r="LN106" i="2"/>
  <c r="LO106" i="2"/>
  <c r="LP106" i="2"/>
  <c r="LQ106" i="2"/>
  <c r="LR106" i="2"/>
  <c r="LS106" i="2"/>
  <c r="LT106" i="2"/>
  <c r="LU106" i="2"/>
  <c r="LV106" i="2"/>
  <c r="LW106" i="2"/>
  <c r="LX106" i="2"/>
  <c r="LY106" i="2"/>
  <c r="LZ106" i="2"/>
  <c r="MA106" i="2"/>
  <c r="MB106" i="2"/>
  <c r="MC106" i="2"/>
  <c r="MD106" i="2"/>
  <c r="ME106" i="2"/>
  <c r="MF106" i="2"/>
  <c r="MG106" i="2"/>
  <c r="MH106" i="2"/>
  <c r="MI106" i="2"/>
  <c r="MJ106" i="2"/>
  <c r="MK106" i="2"/>
  <c r="ML106" i="2"/>
  <c r="MM106" i="2"/>
  <c r="MN106" i="2"/>
  <c r="MO106" i="2"/>
  <c r="MP106" i="2"/>
  <c r="MQ106" i="2"/>
  <c r="MR106" i="2"/>
  <c r="MS106" i="2"/>
  <c r="MT106" i="2"/>
  <c r="MU106" i="2"/>
  <c r="MV106" i="2"/>
  <c r="MW106" i="2"/>
  <c r="MX106" i="2"/>
  <c r="MY106" i="2"/>
  <c r="MZ106" i="2"/>
  <c r="NA106" i="2"/>
  <c r="NB106" i="2"/>
  <c r="NC106" i="2"/>
  <c r="ND106" i="2"/>
  <c r="NE106" i="2"/>
  <c r="NF106" i="2"/>
  <c r="NG106" i="2"/>
  <c r="NH106" i="2"/>
  <c r="NI106" i="2"/>
  <c r="NJ106" i="2"/>
  <c r="NK106" i="2"/>
  <c r="NL106" i="2"/>
  <c r="NM106" i="2"/>
  <c r="NN106" i="2"/>
  <c r="NO106" i="2"/>
  <c r="NP106" i="2"/>
  <c r="NQ106" i="2"/>
  <c r="NR106" i="2"/>
  <c r="NS106" i="2"/>
  <c r="NT106" i="2"/>
  <c r="NU106" i="2"/>
  <c r="NV106" i="2"/>
  <c r="NW106" i="2"/>
  <c r="NX106" i="2"/>
  <c r="NY106" i="2"/>
  <c r="NZ106" i="2"/>
  <c r="OA106" i="2"/>
  <c r="OB106" i="2"/>
  <c r="OC106" i="2"/>
  <c r="OD106" i="2"/>
  <c r="OE106" i="2"/>
  <c r="OF106" i="2"/>
  <c r="OG106" i="2"/>
  <c r="OH106" i="2"/>
  <c r="OI106" i="2"/>
  <c r="OJ106" i="2"/>
  <c r="OK106" i="2"/>
  <c r="OL106" i="2"/>
  <c r="OM106" i="2"/>
  <c r="ON106" i="2"/>
  <c r="OO106" i="2"/>
  <c r="OP106" i="2"/>
  <c r="OQ106" i="2"/>
  <c r="OR106" i="2"/>
  <c r="OS106" i="2"/>
  <c r="OT106" i="2"/>
  <c r="OU106" i="2"/>
  <c r="OW106" i="2"/>
  <c r="OX106" i="2"/>
  <c r="OY106" i="2"/>
  <c r="OZ106" i="2"/>
  <c r="PA106" i="2"/>
  <c r="PB106" i="2"/>
  <c r="PC106" i="2"/>
  <c r="PD106" i="2"/>
  <c r="PE106" i="2"/>
  <c r="PF106" i="2"/>
  <c r="PG106" i="2"/>
  <c r="PH106" i="2"/>
  <c r="PI106" i="2"/>
  <c r="PJ106" i="2"/>
  <c r="PK106" i="2"/>
  <c r="PL106" i="2"/>
  <c r="IA163" i="2"/>
  <c r="IC163" i="2"/>
  <c r="IE163" i="2"/>
  <c r="IG163" i="2"/>
  <c r="II163" i="2"/>
  <c r="IJ163" i="2"/>
  <c r="IK163" i="2"/>
  <c r="IL163" i="2"/>
  <c r="IM163" i="2"/>
  <c r="IN163" i="2"/>
  <c r="IO163" i="2"/>
  <c r="IP163" i="2"/>
  <c r="IQ163" i="2"/>
  <c r="IR163" i="2"/>
  <c r="IS163" i="2"/>
  <c r="IT163" i="2"/>
  <c r="IU163" i="2"/>
  <c r="IV163" i="2"/>
  <c r="IW163" i="2"/>
  <c r="JD163" i="2"/>
  <c r="JE163" i="2"/>
  <c r="JG163" i="2"/>
  <c r="JH163" i="2"/>
  <c r="JK163" i="2"/>
  <c r="JL163" i="2"/>
  <c r="JM163" i="2"/>
  <c r="JN163" i="2"/>
  <c r="JO163" i="2"/>
  <c r="JP163" i="2"/>
  <c r="JR163" i="2"/>
  <c r="JS163" i="2"/>
  <c r="JT163" i="2"/>
  <c r="JU163" i="2"/>
  <c r="JV163" i="2"/>
  <c r="JW163" i="2"/>
  <c r="JX163" i="2"/>
  <c r="JY163" i="2"/>
  <c r="JZ163" i="2"/>
  <c r="KA163" i="2"/>
  <c r="KB163" i="2"/>
  <c r="KC163" i="2"/>
  <c r="KD163" i="2"/>
  <c r="KE163" i="2"/>
  <c r="KF163" i="2"/>
  <c r="KG163" i="2"/>
  <c r="KH163" i="2"/>
  <c r="KN163" i="2" s="1"/>
  <c r="KI163" i="2"/>
  <c r="KJ163" i="2"/>
  <c r="KK163" i="2"/>
  <c r="KL163" i="2"/>
  <c r="KM163" i="2"/>
  <c r="KO163" i="2"/>
  <c r="KP163" i="2"/>
  <c r="KQ163" i="2"/>
  <c r="KR163" i="2"/>
  <c r="KS163" i="2"/>
  <c r="KT163" i="2"/>
  <c r="KU163" i="2"/>
  <c r="KY163" i="2"/>
  <c r="LA163" i="2"/>
  <c r="LC163" i="2"/>
  <c r="LE163" i="2"/>
  <c r="LG163" i="2"/>
  <c r="LH163" i="2"/>
  <c r="LI163" i="2"/>
  <c r="LJ163" i="2"/>
  <c r="LL163" i="2"/>
  <c r="LN163" i="2"/>
  <c r="LO163" i="2"/>
  <c r="LP163" i="2"/>
  <c r="LQ163" i="2"/>
  <c r="LR163" i="2"/>
  <c r="LS163" i="2"/>
  <c r="LT163" i="2"/>
  <c r="LU163" i="2"/>
  <c r="LV163" i="2"/>
  <c r="LW163" i="2"/>
  <c r="LX163" i="2"/>
  <c r="LY163" i="2"/>
  <c r="LZ163" i="2"/>
  <c r="MA163" i="2"/>
  <c r="MB163" i="2"/>
  <c r="MC163" i="2"/>
  <c r="MD163" i="2"/>
  <c r="ME163" i="2"/>
  <c r="MF163" i="2"/>
  <c r="MG163" i="2"/>
  <c r="MH163" i="2"/>
  <c r="MI163" i="2"/>
  <c r="MJ163" i="2"/>
  <c r="MK163" i="2"/>
  <c r="ML163" i="2"/>
  <c r="MM163" i="2"/>
  <c r="MN163" i="2"/>
  <c r="MO163" i="2"/>
  <c r="MP163" i="2"/>
  <c r="MQ163" i="2"/>
  <c r="MR163" i="2"/>
  <c r="MS163" i="2"/>
  <c r="MT163" i="2"/>
  <c r="MU163" i="2"/>
  <c r="MV163" i="2"/>
  <c r="MW163" i="2"/>
  <c r="MX163" i="2"/>
  <c r="MY163" i="2"/>
  <c r="MZ163" i="2"/>
  <c r="NA163" i="2"/>
  <c r="NB163" i="2"/>
  <c r="NC163" i="2"/>
  <c r="ND163" i="2"/>
  <c r="NE163" i="2"/>
  <c r="NF163" i="2"/>
  <c r="NG163" i="2"/>
  <c r="NH163" i="2"/>
  <c r="NI163" i="2"/>
  <c r="NJ163" i="2"/>
  <c r="NK163" i="2"/>
  <c r="NL163" i="2"/>
  <c r="NM163" i="2"/>
  <c r="NN163" i="2"/>
  <c r="NO163" i="2"/>
  <c r="NP163" i="2"/>
  <c r="NQ163" i="2"/>
  <c r="NR163" i="2"/>
  <c r="NS163" i="2"/>
  <c r="NT163" i="2"/>
  <c r="NU163" i="2"/>
  <c r="NV163" i="2"/>
  <c r="NW163" i="2"/>
  <c r="NX163" i="2"/>
  <c r="NY163" i="2"/>
  <c r="NZ163" i="2"/>
  <c r="OA163" i="2"/>
  <c r="OB163" i="2"/>
  <c r="OC163" i="2"/>
  <c r="OD163" i="2"/>
  <c r="OE163" i="2"/>
  <c r="OF163" i="2"/>
  <c r="OG163" i="2"/>
  <c r="OH163" i="2"/>
  <c r="OI163" i="2"/>
  <c r="OJ163" i="2"/>
  <c r="OK163" i="2"/>
  <c r="OL163" i="2"/>
  <c r="OM163" i="2"/>
  <c r="ON163" i="2"/>
  <c r="OO163" i="2"/>
  <c r="OP163" i="2"/>
  <c r="OQ163" i="2"/>
  <c r="OR163" i="2"/>
  <c r="OS163" i="2"/>
  <c r="OT163" i="2"/>
  <c r="OU163" i="2"/>
  <c r="OV163" i="2"/>
  <c r="OW163" i="2"/>
  <c r="OX163" i="2"/>
  <c r="OY163" i="2"/>
  <c r="OZ163" i="2"/>
  <c r="PA163" i="2"/>
  <c r="PB163" i="2"/>
  <c r="PC163" i="2"/>
  <c r="PD163" i="2"/>
  <c r="PE163" i="2"/>
  <c r="PF163" i="2"/>
  <c r="PG163" i="2"/>
  <c r="PH163" i="2"/>
  <c r="PI163" i="2"/>
  <c r="PJ163" i="2"/>
  <c r="PK163" i="2"/>
  <c r="PL163" i="2"/>
  <c r="IA78" i="2"/>
  <c r="IC78" i="2"/>
  <c r="IE78" i="2"/>
  <c r="IG78" i="2"/>
  <c r="II78" i="2"/>
  <c r="IJ78" i="2"/>
  <c r="IK78" i="2"/>
  <c r="IL78" i="2"/>
  <c r="IM78" i="2"/>
  <c r="IN78" i="2"/>
  <c r="IO78" i="2"/>
  <c r="IP78" i="2"/>
  <c r="IQ78" i="2"/>
  <c r="IR78" i="2"/>
  <c r="IS78" i="2"/>
  <c r="IT78" i="2"/>
  <c r="IU78" i="2"/>
  <c r="IV78" i="2"/>
  <c r="IW78" i="2"/>
  <c r="JD78" i="2"/>
  <c r="JE78" i="2"/>
  <c r="JG78" i="2"/>
  <c r="JH78" i="2"/>
  <c r="JK78" i="2"/>
  <c r="JL78" i="2"/>
  <c r="JM78" i="2"/>
  <c r="JN78" i="2"/>
  <c r="JO78" i="2"/>
  <c r="JP78" i="2"/>
  <c r="JR78" i="2"/>
  <c r="JS78" i="2"/>
  <c r="JT78" i="2"/>
  <c r="JU78" i="2"/>
  <c r="JV78" i="2"/>
  <c r="JW78" i="2"/>
  <c r="JX78" i="2"/>
  <c r="JY78" i="2"/>
  <c r="JZ78" i="2"/>
  <c r="KA78" i="2"/>
  <c r="KB78" i="2"/>
  <c r="KC78" i="2"/>
  <c r="KD78" i="2"/>
  <c r="KE78" i="2"/>
  <c r="KF78" i="2"/>
  <c r="KG78" i="2"/>
  <c r="KH78" i="2"/>
  <c r="KI78" i="2"/>
  <c r="KJ78" i="2"/>
  <c r="KK78" i="2"/>
  <c r="KL78" i="2"/>
  <c r="KM78" i="2"/>
  <c r="KO78" i="2"/>
  <c r="KP78" i="2"/>
  <c r="KQ78" i="2"/>
  <c r="KR78" i="2"/>
  <c r="KS78" i="2"/>
  <c r="KT78" i="2"/>
  <c r="KU78" i="2"/>
  <c r="KY78" i="2"/>
  <c r="LA78" i="2"/>
  <c r="LC78" i="2"/>
  <c r="LE78" i="2"/>
  <c r="LG78" i="2"/>
  <c r="LH78" i="2"/>
  <c r="LI78" i="2"/>
  <c r="LJ78" i="2"/>
  <c r="LL78" i="2"/>
  <c r="LN78" i="2"/>
  <c r="LO78" i="2"/>
  <c r="LP78" i="2"/>
  <c r="LQ78" i="2"/>
  <c r="LR78" i="2"/>
  <c r="LS78" i="2"/>
  <c r="LT78" i="2"/>
  <c r="LU78" i="2"/>
  <c r="LV78" i="2"/>
  <c r="LW78" i="2"/>
  <c r="LX78" i="2"/>
  <c r="LY78" i="2"/>
  <c r="LZ78" i="2"/>
  <c r="MA78" i="2"/>
  <c r="MB78" i="2"/>
  <c r="MC78" i="2"/>
  <c r="MD78" i="2"/>
  <c r="ME78" i="2"/>
  <c r="MF78" i="2"/>
  <c r="MG78" i="2"/>
  <c r="MH78" i="2"/>
  <c r="MI78" i="2"/>
  <c r="MJ78" i="2"/>
  <c r="MK78" i="2"/>
  <c r="ML78" i="2"/>
  <c r="MM78" i="2"/>
  <c r="MN78" i="2"/>
  <c r="MO78" i="2"/>
  <c r="MP78" i="2"/>
  <c r="MQ78" i="2"/>
  <c r="MR78" i="2"/>
  <c r="MS78" i="2"/>
  <c r="MT78" i="2"/>
  <c r="MU78" i="2"/>
  <c r="MV78" i="2"/>
  <c r="MW78" i="2"/>
  <c r="MX78" i="2"/>
  <c r="MY78" i="2"/>
  <c r="MZ78" i="2"/>
  <c r="NA78" i="2"/>
  <c r="NB78" i="2"/>
  <c r="NC78" i="2"/>
  <c r="ND78" i="2"/>
  <c r="NE78" i="2"/>
  <c r="NF78" i="2"/>
  <c r="NG78" i="2"/>
  <c r="NH78" i="2"/>
  <c r="NI78" i="2"/>
  <c r="NJ78" i="2"/>
  <c r="NK78" i="2"/>
  <c r="NL78" i="2"/>
  <c r="NM78" i="2"/>
  <c r="NN78" i="2"/>
  <c r="NO78" i="2"/>
  <c r="NP78" i="2"/>
  <c r="NQ78" i="2"/>
  <c r="NR78" i="2"/>
  <c r="NS78" i="2"/>
  <c r="NT78" i="2"/>
  <c r="NU78" i="2"/>
  <c r="NV78" i="2"/>
  <c r="NW78" i="2"/>
  <c r="NX78" i="2"/>
  <c r="NY78" i="2"/>
  <c r="NZ78" i="2"/>
  <c r="OA78" i="2"/>
  <c r="OB78" i="2"/>
  <c r="OC78" i="2"/>
  <c r="OD78" i="2"/>
  <c r="OE78" i="2"/>
  <c r="OF78" i="2"/>
  <c r="OG78" i="2"/>
  <c r="OH78" i="2"/>
  <c r="OI78" i="2"/>
  <c r="OJ78" i="2"/>
  <c r="OK78" i="2"/>
  <c r="OL78" i="2"/>
  <c r="OM78" i="2"/>
  <c r="ON78" i="2"/>
  <c r="OO78" i="2"/>
  <c r="OP78" i="2"/>
  <c r="OQ78" i="2"/>
  <c r="OR78" i="2"/>
  <c r="OS78" i="2"/>
  <c r="OT78" i="2"/>
  <c r="OU78" i="2"/>
  <c r="OV78" i="2"/>
  <c r="OW78" i="2"/>
  <c r="OX78" i="2"/>
  <c r="OY78" i="2"/>
  <c r="OZ78" i="2"/>
  <c r="PA78" i="2"/>
  <c r="PB78" i="2"/>
  <c r="PC78" i="2"/>
  <c r="PD78" i="2"/>
  <c r="PE78" i="2"/>
  <c r="PF78" i="2"/>
  <c r="PG78" i="2"/>
  <c r="PH78" i="2"/>
  <c r="PI78" i="2"/>
  <c r="PJ78" i="2"/>
  <c r="PK78" i="2"/>
  <c r="PL78" i="2"/>
  <c r="IA79" i="2"/>
  <c r="IC79" i="2"/>
  <c r="IE79" i="2"/>
  <c r="IG79" i="2"/>
  <c r="II79" i="2"/>
  <c r="IJ79" i="2"/>
  <c r="IK79" i="2"/>
  <c r="IL79" i="2"/>
  <c r="IM79" i="2"/>
  <c r="IN79" i="2"/>
  <c r="IO79" i="2"/>
  <c r="IP79" i="2"/>
  <c r="IQ79" i="2"/>
  <c r="IR79" i="2"/>
  <c r="IS79" i="2"/>
  <c r="IT79" i="2"/>
  <c r="IU79" i="2"/>
  <c r="IV79" i="2"/>
  <c r="IW79" i="2"/>
  <c r="JD79" i="2"/>
  <c r="JE79" i="2"/>
  <c r="JG79" i="2"/>
  <c r="JH79" i="2"/>
  <c r="JI79" i="2"/>
  <c r="JJ79" i="2"/>
  <c r="JK79" i="2"/>
  <c r="JL79" i="2"/>
  <c r="JM79" i="2"/>
  <c r="JN79" i="2"/>
  <c r="JO79" i="2"/>
  <c r="JP79" i="2"/>
  <c r="JR79" i="2"/>
  <c r="JS79" i="2"/>
  <c r="JT79" i="2"/>
  <c r="JU79" i="2"/>
  <c r="JV79" i="2"/>
  <c r="JW79" i="2"/>
  <c r="JX79" i="2"/>
  <c r="JY79" i="2"/>
  <c r="JZ79" i="2"/>
  <c r="KA79" i="2"/>
  <c r="KB79" i="2"/>
  <c r="KC79" i="2"/>
  <c r="KD79" i="2"/>
  <c r="KE79" i="2"/>
  <c r="KF79" i="2"/>
  <c r="KG79" i="2"/>
  <c r="KH79" i="2"/>
  <c r="KI79" i="2"/>
  <c r="KJ79" i="2"/>
  <c r="KK79" i="2"/>
  <c r="KL79" i="2"/>
  <c r="KM79" i="2"/>
  <c r="KO79" i="2"/>
  <c r="KP79" i="2"/>
  <c r="KQ79" i="2"/>
  <c r="KR79" i="2"/>
  <c r="KS79" i="2"/>
  <c r="KT79" i="2"/>
  <c r="KU79" i="2"/>
  <c r="KY79" i="2"/>
  <c r="LA79" i="2"/>
  <c r="LC79" i="2"/>
  <c r="LE79" i="2"/>
  <c r="LG79" i="2"/>
  <c r="LH79" i="2"/>
  <c r="LI79" i="2"/>
  <c r="LJ79" i="2"/>
  <c r="LL79" i="2"/>
  <c r="LM79" i="2"/>
  <c r="LN79" i="2"/>
  <c r="LO79" i="2"/>
  <c r="LP79" i="2"/>
  <c r="LQ79" i="2"/>
  <c r="LR79" i="2"/>
  <c r="LS79" i="2"/>
  <c r="LT79" i="2"/>
  <c r="LU79" i="2"/>
  <c r="LV79" i="2"/>
  <c r="LW79" i="2"/>
  <c r="LX79" i="2"/>
  <c r="LY79" i="2"/>
  <c r="LZ79" i="2"/>
  <c r="MA79" i="2"/>
  <c r="MB79" i="2"/>
  <c r="MC79" i="2"/>
  <c r="MD79" i="2"/>
  <c r="ME79" i="2"/>
  <c r="MF79" i="2"/>
  <c r="MG79" i="2"/>
  <c r="MH79" i="2"/>
  <c r="MI79" i="2"/>
  <c r="MJ79" i="2"/>
  <c r="MK79" i="2"/>
  <c r="ML79" i="2"/>
  <c r="MM79" i="2"/>
  <c r="MN79" i="2"/>
  <c r="MO79" i="2"/>
  <c r="MP79" i="2"/>
  <c r="MQ79" i="2"/>
  <c r="MR79" i="2"/>
  <c r="MS79" i="2"/>
  <c r="MT79" i="2"/>
  <c r="MU79" i="2"/>
  <c r="MV79" i="2"/>
  <c r="MW79" i="2"/>
  <c r="MX79" i="2"/>
  <c r="MY79" i="2"/>
  <c r="MZ79" i="2"/>
  <c r="NA79" i="2"/>
  <c r="NB79" i="2"/>
  <c r="NC79" i="2"/>
  <c r="ND79" i="2"/>
  <c r="NE79" i="2"/>
  <c r="NF79" i="2"/>
  <c r="NG79" i="2"/>
  <c r="NH79" i="2"/>
  <c r="NI79" i="2"/>
  <c r="NJ79" i="2"/>
  <c r="NK79" i="2"/>
  <c r="NL79" i="2"/>
  <c r="NM79" i="2"/>
  <c r="NN79" i="2"/>
  <c r="NO79" i="2"/>
  <c r="NP79" i="2"/>
  <c r="NQ79" i="2"/>
  <c r="NR79" i="2"/>
  <c r="NS79" i="2"/>
  <c r="NT79" i="2"/>
  <c r="NU79" i="2"/>
  <c r="NV79" i="2"/>
  <c r="NW79" i="2"/>
  <c r="NX79" i="2"/>
  <c r="NY79" i="2"/>
  <c r="NZ79" i="2"/>
  <c r="OA79" i="2"/>
  <c r="OB79" i="2"/>
  <c r="OC79" i="2"/>
  <c r="OD79" i="2"/>
  <c r="OE79" i="2"/>
  <c r="OF79" i="2"/>
  <c r="OG79" i="2"/>
  <c r="OH79" i="2"/>
  <c r="OI79" i="2"/>
  <c r="OJ79" i="2"/>
  <c r="OK79" i="2"/>
  <c r="OL79" i="2"/>
  <c r="OM79" i="2"/>
  <c r="ON79" i="2"/>
  <c r="OO79" i="2"/>
  <c r="OP79" i="2"/>
  <c r="OQ79" i="2"/>
  <c r="OR79" i="2"/>
  <c r="OS79" i="2"/>
  <c r="OT79" i="2"/>
  <c r="OU79" i="2"/>
  <c r="OV79" i="2"/>
  <c r="OW79" i="2"/>
  <c r="OX79" i="2"/>
  <c r="OY79" i="2"/>
  <c r="OZ79" i="2"/>
  <c r="PA79" i="2"/>
  <c r="PB79" i="2"/>
  <c r="PC79" i="2"/>
  <c r="PD79" i="2"/>
  <c r="PE79" i="2"/>
  <c r="PF79" i="2"/>
  <c r="PG79" i="2"/>
  <c r="PH79" i="2"/>
  <c r="PI79" i="2"/>
  <c r="PJ79" i="2"/>
  <c r="PK79" i="2"/>
  <c r="PL79" i="2"/>
  <c r="IA165" i="2"/>
  <c r="IC165" i="2"/>
  <c r="IE165" i="2"/>
  <c r="IG165" i="2"/>
  <c r="II165" i="2"/>
  <c r="IJ165" i="2"/>
  <c r="IK165" i="2"/>
  <c r="IL165" i="2"/>
  <c r="IM165" i="2"/>
  <c r="IN165" i="2"/>
  <c r="IO165" i="2"/>
  <c r="IP165" i="2"/>
  <c r="IQ165" i="2"/>
  <c r="IR165" i="2"/>
  <c r="IS165" i="2"/>
  <c r="IT165" i="2"/>
  <c r="IU165" i="2"/>
  <c r="IV165" i="2"/>
  <c r="IW165" i="2"/>
  <c r="JD165" i="2"/>
  <c r="JE165" i="2"/>
  <c r="JG165" i="2"/>
  <c r="JH165" i="2"/>
  <c r="JK165" i="2"/>
  <c r="JL165" i="2"/>
  <c r="JM165" i="2"/>
  <c r="JN165" i="2"/>
  <c r="JO165" i="2"/>
  <c r="JP165" i="2"/>
  <c r="JR165" i="2"/>
  <c r="JS165" i="2"/>
  <c r="JT165" i="2"/>
  <c r="JU165" i="2"/>
  <c r="JV165" i="2"/>
  <c r="JW165" i="2"/>
  <c r="JX165" i="2"/>
  <c r="JY165" i="2"/>
  <c r="JZ165" i="2"/>
  <c r="KA165" i="2"/>
  <c r="KB165" i="2"/>
  <c r="KC165" i="2"/>
  <c r="KD165" i="2"/>
  <c r="KE165" i="2"/>
  <c r="KF165" i="2"/>
  <c r="KG165" i="2"/>
  <c r="KH165" i="2"/>
  <c r="KI165" i="2"/>
  <c r="KJ165" i="2"/>
  <c r="KK165" i="2"/>
  <c r="KL165" i="2"/>
  <c r="KM165" i="2"/>
  <c r="KO165" i="2"/>
  <c r="KP165" i="2"/>
  <c r="KQ165" i="2"/>
  <c r="KR165" i="2"/>
  <c r="KS165" i="2"/>
  <c r="KT165" i="2"/>
  <c r="KU165" i="2"/>
  <c r="KY165" i="2"/>
  <c r="LA165" i="2"/>
  <c r="LC165" i="2"/>
  <c r="LE165" i="2"/>
  <c r="LG165" i="2"/>
  <c r="LH165" i="2"/>
  <c r="LI165" i="2"/>
  <c r="LJ165" i="2"/>
  <c r="LL165" i="2"/>
  <c r="LN165" i="2"/>
  <c r="LO165" i="2"/>
  <c r="LP165" i="2"/>
  <c r="LQ165" i="2"/>
  <c r="LR165" i="2"/>
  <c r="LS165" i="2"/>
  <c r="LT165" i="2"/>
  <c r="LU165" i="2"/>
  <c r="LV165" i="2"/>
  <c r="LW165" i="2"/>
  <c r="LX165" i="2"/>
  <c r="LY165" i="2"/>
  <c r="LZ165" i="2"/>
  <c r="MA165" i="2"/>
  <c r="MB165" i="2"/>
  <c r="MC165" i="2"/>
  <c r="MD165" i="2"/>
  <c r="ME165" i="2"/>
  <c r="MF165" i="2"/>
  <c r="MG165" i="2"/>
  <c r="MH165" i="2"/>
  <c r="MI165" i="2"/>
  <c r="MJ165" i="2"/>
  <c r="MK165" i="2"/>
  <c r="ML165" i="2"/>
  <c r="MM165" i="2"/>
  <c r="MN165" i="2"/>
  <c r="MO165" i="2"/>
  <c r="MP165" i="2"/>
  <c r="MQ165" i="2"/>
  <c r="MR165" i="2"/>
  <c r="MS165" i="2"/>
  <c r="MT165" i="2"/>
  <c r="MU165" i="2"/>
  <c r="MV165" i="2"/>
  <c r="MW165" i="2"/>
  <c r="MX165" i="2"/>
  <c r="MY165" i="2"/>
  <c r="MZ165" i="2"/>
  <c r="NA165" i="2"/>
  <c r="NB165" i="2"/>
  <c r="NC165" i="2"/>
  <c r="ND165" i="2"/>
  <c r="NE165" i="2"/>
  <c r="NF165" i="2"/>
  <c r="NG165" i="2"/>
  <c r="NH165" i="2"/>
  <c r="NI165" i="2"/>
  <c r="NJ165" i="2"/>
  <c r="NK165" i="2"/>
  <c r="NL165" i="2"/>
  <c r="NM165" i="2"/>
  <c r="NN165" i="2"/>
  <c r="NO165" i="2"/>
  <c r="NP165" i="2"/>
  <c r="NQ165" i="2"/>
  <c r="NR165" i="2"/>
  <c r="NS165" i="2"/>
  <c r="NT165" i="2"/>
  <c r="NU165" i="2"/>
  <c r="NV165" i="2"/>
  <c r="NW165" i="2"/>
  <c r="NX165" i="2"/>
  <c r="NY165" i="2"/>
  <c r="NZ165" i="2"/>
  <c r="OA165" i="2"/>
  <c r="OB165" i="2"/>
  <c r="OC165" i="2"/>
  <c r="OD165" i="2"/>
  <c r="OE165" i="2"/>
  <c r="OF165" i="2"/>
  <c r="OG165" i="2"/>
  <c r="OH165" i="2"/>
  <c r="OI165" i="2"/>
  <c r="OJ165" i="2"/>
  <c r="OK165" i="2"/>
  <c r="OL165" i="2"/>
  <c r="OM165" i="2"/>
  <c r="ON165" i="2"/>
  <c r="OO165" i="2"/>
  <c r="OP165" i="2"/>
  <c r="OQ165" i="2"/>
  <c r="OR165" i="2"/>
  <c r="OS165" i="2"/>
  <c r="OT165" i="2"/>
  <c r="OU165" i="2"/>
  <c r="OV165" i="2"/>
  <c r="OW165" i="2"/>
  <c r="OX165" i="2"/>
  <c r="OY165" i="2"/>
  <c r="OZ165" i="2"/>
  <c r="PA165" i="2"/>
  <c r="PB165" i="2"/>
  <c r="PC165" i="2"/>
  <c r="PD165" i="2"/>
  <c r="PE165" i="2"/>
  <c r="PF165" i="2"/>
  <c r="PG165" i="2"/>
  <c r="PH165" i="2"/>
  <c r="PI165" i="2"/>
  <c r="PJ165" i="2"/>
  <c r="PK165" i="2"/>
  <c r="PL165" i="2"/>
  <c r="IA166" i="2"/>
  <c r="IC166" i="2"/>
  <c r="IE166" i="2"/>
  <c r="IG166" i="2"/>
  <c r="II166" i="2"/>
  <c r="IJ166" i="2"/>
  <c r="IK166" i="2"/>
  <c r="IL166" i="2"/>
  <c r="IM166" i="2"/>
  <c r="IN166" i="2"/>
  <c r="IO166" i="2"/>
  <c r="IP166" i="2"/>
  <c r="IQ166" i="2"/>
  <c r="IR166" i="2"/>
  <c r="IS166" i="2"/>
  <c r="IT166" i="2"/>
  <c r="IU166" i="2"/>
  <c r="IV166" i="2"/>
  <c r="IW166" i="2"/>
  <c r="JD166" i="2"/>
  <c r="JE166" i="2"/>
  <c r="JG166" i="2"/>
  <c r="JH166" i="2"/>
  <c r="JK166" i="2"/>
  <c r="JL166" i="2"/>
  <c r="JM166" i="2"/>
  <c r="JN166" i="2"/>
  <c r="JO166" i="2"/>
  <c r="JP166" i="2"/>
  <c r="JR166" i="2"/>
  <c r="JS166" i="2"/>
  <c r="JT166" i="2"/>
  <c r="JU166" i="2"/>
  <c r="JV166" i="2"/>
  <c r="JW166" i="2"/>
  <c r="JX166" i="2"/>
  <c r="JY166" i="2"/>
  <c r="JZ166" i="2"/>
  <c r="KA166" i="2"/>
  <c r="KB166" i="2"/>
  <c r="KC166" i="2"/>
  <c r="KD166" i="2"/>
  <c r="KE166" i="2"/>
  <c r="KF166" i="2"/>
  <c r="KG166" i="2"/>
  <c r="KH166" i="2"/>
  <c r="KI166" i="2"/>
  <c r="KJ166" i="2"/>
  <c r="KK166" i="2"/>
  <c r="KM166" i="2"/>
  <c r="KP166" i="2"/>
  <c r="KQ166" i="2"/>
  <c r="KR166" i="2"/>
  <c r="KS166" i="2"/>
  <c r="KT166" i="2"/>
  <c r="KU166" i="2"/>
  <c r="KY166" i="2"/>
  <c r="LA166" i="2"/>
  <c r="LC166" i="2"/>
  <c r="LE166" i="2"/>
  <c r="LG166" i="2"/>
  <c r="LH166" i="2"/>
  <c r="LI166" i="2"/>
  <c r="LJ166" i="2"/>
  <c r="LL166" i="2"/>
  <c r="LN166" i="2"/>
  <c r="LO166" i="2"/>
  <c r="LP166" i="2"/>
  <c r="LQ166" i="2"/>
  <c r="LR166" i="2"/>
  <c r="LS166" i="2"/>
  <c r="LT166" i="2"/>
  <c r="LU166" i="2"/>
  <c r="LV166" i="2"/>
  <c r="LW166" i="2"/>
  <c r="LX166" i="2"/>
  <c r="LY166" i="2"/>
  <c r="LZ166" i="2"/>
  <c r="MA166" i="2"/>
  <c r="MB166" i="2"/>
  <c r="MC166" i="2"/>
  <c r="MD166" i="2"/>
  <c r="ME166" i="2"/>
  <c r="MF166" i="2"/>
  <c r="MG166" i="2"/>
  <c r="MH166" i="2"/>
  <c r="MI166" i="2"/>
  <c r="MJ166" i="2"/>
  <c r="MK166" i="2"/>
  <c r="ML166" i="2"/>
  <c r="MM166" i="2"/>
  <c r="MN166" i="2"/>
  <c r="MO166" i="2"/>
  <c r="MP166" i="2"/>
  <c r="MQ166" i="2"/>
  <c r="MR166" i="2"/>
  <c r="MS166" i="2"/>
  <c r="MT166" i="2"/>
  <c r="MU166" i="2"/>
  <c r="MV166" i="2"/>
  <c r="MW166" i="2"/>
  <c r="MX166" i="2"/>
  <c r="MY166" i="2"/>
  <c r="MZ166" i="2"/>
  <c r="NA166" i="2"/>
  <c r="NB166" i="2"/>
  <c r="NC166" i="2"/>
  <c r="ND166" i="2"/>
  <c r="NE166" i="2"/>
  <c r="NF166" i="2"/>
  <c r="NG166" i="2"/>
  <c r="NH166" i="2"/>
  <c r="NI166" i="2"/>
  <c r="NJ166" i="2"/>
  <c r="NK166" i="2"/>
  <c r="NL166" i="2"/>
  <c r="NM166" i="2"/>
  <c r="NN166" i="2"/>
  <c r="NO166" i="2"/>
  <c r="NP166" i="2"/>
  <c r="NQ166" i="2"/>
  <c r="NR166" i="2"/>
  <c r="NS166" i="2"/>
  <c r="NT166" i="2"/>
  <c r="NU166" i="2"/>
  <c r="NV166" i="2"/>
  <c r="NW166" i="2"/>
  <c r="NX166" i="2"/>
  <c r="NY166" i="2"/>
  <c r="NZ166" i="2"/>
  <c r="OA166" i="2"/>
  <c r="OB166" i="2"/>
  <c r="OC166" i="2"/>
  <c r="OD166" i="2"/>
  <c r="OE166" i="2"/>
  <c r="OF166" i="2"/>
  <c r="OG166" i="2"/>
  <c r="OH166" i="2"/>
  <c r="OI166" i="2"/>
  <c r="OJ166" i="2"/>
  <c r="OK166" i="2"/>
  <c r="OL166" i="2"/>
  <c r="OM166" i="2"/>
  <c r="ON166" i="2"/>
  <c r="OO166" i="2"/>
  <c r="OP166" i="2"/>
  <c r="OQ166" i="2"/>
  <c r="OR166" i="2"/>
  <c r="OS166" i="2"/>
  <c r="OT166" i="2"/>
  <c r="OU166" i="2"/>
  <c r="OW166" i="2"/>
  <c r="OX166" i="2"/>
  <c r="OY166" i="2"/>
  <c r="OZ166" i="2"/>
  <c r="PA166" i="2"/>
  <c r="PB166" i="2"/>
  <c r="PC166" i="2"/>
  <c r="PD166" i="2"/>
  <c r="PE166" i="2"/>
  <c r="PF166" i="2"/>
  <c r="PG166" i="2"/>
  <c r="PH166" i="2"/>
  <c r="PI166" i="2"/>
  <c r="PJ166" i="2"/>
  <c r="PK166" i="2"/>
  <c r="PL166" i="2"/>
  <c r="IA155" i="2"/>
  <c r="IC155" i="2"/>
  <c r="IE155" i="2"/>
  <c r="IG155" i="2"/>
  <c r="II155" i="2"/>
  <c r="IJ155" i="2"/>
  <c r="IK155" i="2"/>
  <c r="IL155" i="2"/>
  <c r="IM155" i="2"/>
  <c r="IN155" i="2"/>
  <c r="IO155" i="2"/>
  <c r="IP155" i="2"/>
  <c r="IQ155" i="2"/>
  <c r="IR155" i="2"/>
  <c r="IS155" i="2"/>
  <c r="IT155" i="2"/>
  <c r="IU155" i="2"/>
  <c r="IV155" i="2"/>
  <c r="IW155" i="2"/>
  <c r="JD155" i="2"/>
  <c r="JE155" i="2"/>
  <c r="JG155" i="2"/>
  <c r="JH155" i="2"/>
  <c r="JK155" i="2"/>
  <c r="JL155" i="2"/>
  <c r="JM155" i="2"/>
  <c r="JN155" i="2"/>
  <c r="JO155" i="2"/>
  <c r="JP155" i="2"/>
  <c r="JR155" i="2"/>
  <c r="JS155" i="2"/>
  <c r="JT155" i="2"/>
  <c r="JU155" i="2"/>
  <c r="JV155" i="2"/>
  <c r="JW155" i="2"/>
  <c r="JX155" i="2"/>
  <c r="JY155" i="2"/>
  <c r="JZ155" i="2"/>
  <c r="KA155" i="2"/>
  <c r="KB155" i="2"/>
  <c r="KC155" i="2"/>
  <c r="KD155" i="2"/>
  <c r="KE155" i="2"/>
  <c r="KF155" i="2"/>
  <c r="KG155" i="2"/>
  <c r="KH155" i="2"/>
  <c r="KI155" i="2"/>
  <c r="KJ155" i="2"/>
  <c r="KK155" i="2"/>
  <c r="KL155" i="2"/>
  <c r="KM155" i="2"/>
  <c r="KO155" i="2"/>
  <c r="KP155" i="2"/>
  <c r="KQ155" i="2"/>
  <c r="KR155" i="2"/>
  <c r="KS155" i="2"/>
  <c r="KT155" i="2"/>
  <c r="KU155" i="2"/>
  <c r="KY155" i="2"/>
  <c r="LA155" i="2"/>
  <c r="LC155" i="2"/>
  <c r="LE155" i="2"/>
  <c r="LG155" i="2"/>
  <c r="LH155" i="2"/>
  <c r="LI155" i="2"/>
  <c r="LJ155" i="2"/>
  <c r="LL155" i="2"/>
  <c r="LN155" i="2"/>
  <c r="LO155" i="2"/>
  <c r="LP155" i="2"/>
  <c r="LQ155" i="2"/>
  <c r="LR155" i="2"/>
  <c r="LS155" i="2"/>
  <c r="LT155" i="2"/>
  <c r="LU155" i="2"/>
  <c r="LV155" i="2"/>
  <c r="LW155" i="2"/>
  <c r="LX155" i="2"/>
  <c r="LY155" i="2"/>
  <c r="LZ155" i="2"/>
  <c r="MA155" i="2"/>
  <c r="MB155" i="2"/>
  <c r="MC155" i="2"/>
  <c r="MD155" i="2"/>
  <c r="ME155" i="2"/>
  <c r="MF155" i="2"/>
  <c r="MG155" i="2"/>
  <c r="MH155" i="2"/>
  <c r="MI155" i="2"/>
  <c r="MJ155" i="2"/>
  <c r="MK155" i="2"/>
  <c r="ML155" i="2"/>
  <c r="MM155" i="2"/>
  <c r="MN155" i="2"/>
  <c r="MO155" i="2"/>
  <c r="MP155" i="2"/>
  <c r="MQ155" i="2"/>
  <c r="MR155" i="2"/>
  <c r="MS155" i="2"/>
  <c r="MT155" i="2"/>
  <c r="MU155" i="2"/>
  <c r="MV155" i="2"/>
  <c r="MW155" i="2"/>
  <c r="MX155" i="2"/>
  <c r="MY155" i="2"/>
  <c r="MZ155" i="2"/>
  <c r="NA155" i="2"/>
  <c r="NB155" i="2"/>
  <c r="NC155" i="2"/>
  <c r="ND155" i="2"/>
  <c r="NE155" i="2"/>
  <c r="NF155" i="2"/>
  <c r="NG155" i="2"/>
  <c r="NH155" i="2"/>
  <c r="NI155" i="2"/>
  <c r="NJ155" i="2"/>
  <c r="NK155" i="2"/>
  <c r="NL155" i="2"/>
  <c r="NM155" i="2"/>
  <c r="NN155" i="2"/>
  <c r="NO155" i="2"/>
  <c r="NP155" i="2"/>
  <c r="NQ155" i="2"/>
  <c r="NR155" i="2"/>
  <c r="NS155" i="2"/>
  <c r="NT155" i="2"/>
  <c r="NU155" i="2"/>
  <c r="NV155" i="2"/>
  <c r="NW155" i="2"/>
  <c r="NX155" i="2"/>
  <c r="NY155" i="2"/>
  <c r="NZ155" i="2"/>
  <c r="OA155" i="2"/>
  <c r="OB155" i="2"/>
  <c r="OC155" i="2"/>
  <c r="OD155" i="2"/>
  <c r="OE155" i="2"/>
  <c r="OF155" i="2"/>
  <c r="OG155" i="2"/>
  <c r="OH155" i="2"/>
  <c r="OI155" i="2"/>
  <c r="OJ155" i="2"/>
  <c r="OK155" i="2"/>
  <c r="OL155" i="2"/>
  <c r="OM155" i="2"/>
  <c r="ON155" i="2"/>
  <c r="OO155" i="2"/>
  <c r="OP155" i="2"/>
  <c r="OQ155" i="2"/>
  <c r="OR155" i="2"/>
  <c r="OS155" i="2"/>
  <c r="OT155" i="2"/>
  <c r="OU155" i="2"/>
  <c r="OV155" i="2"/>
  <c r="OW155" i="2"/>
  <c r="OX155" i="2"/>
  <c r="OY155" i="2"/>
  <c r="OZ155" i="2"/>
  <c r="PA155" i="2"/>
  <c r="PB155" i="2"/>
  <c r="PC155" i="2"/>
  <c r="PD155" i="2"/>
  <c r="PE155" i="2"/>
  <c r="PF155" i="2"/>
  <c r="PG155" i="2"/>
  <c r="PH155" i="2"/>
  <c r="PI155" i="2"/>
  <c r="PJ155" i="2"/>
  <c r="PK155" i="2"/>
  <c r="PL155" i="2"/>
  <c r="IA167" i="2"/>
  <c r="IC167" i="2"/>
  <c r="IE167" i="2"/>
  <c r="IG167" i="2"/>
  <c r="II167" i="2"/>
  <c r="IJ167" i="2"/>
  <c r="IK167" i="2"/>
  <c r="IL167" i="2"/>
  <c r="IM167" i="2"/>
  <c r="IN167" i="2"/>
  <c r="IO167" i="2"/>
  <c r="IP167" i="2"/>
  <c r="IQ167" i="2"/>
  <c r="IR167" i="2"/>
  <c r="IS167" i="2"/>
  <c r="IT167" i="2"/>
  <c r="IU167" i="2"/>
  <c r="IV167" i="2"/>
  <c r="IW167" i="2"/>
  <c r="JD167" i="2"/>
  <c r="JE167" i="2"/>
  <c r="JG167" i="2"/>
  <c r="JH167" i="2"/>
  <c r="JK167" i="2"/>
  <c r="JL167" i="2"/>
  <c r="JM167" i="2"/>
  <c r="JN167" i="2"/>
  <c r="JO167" i="2"/>
  <c r="JP167" i="2"/>
  <c r="JR167" i="2"/>
  <c r="JS167" i="2"/>
  <c r="JT167" i="2"/>
  <c r="JU167" i="2"/>
  <c r="JV167" i="2"/>
  <c r="JW167" i="2"/>
  <c r="JX167" i="2"/>
  <c r="JY167" i="2"/>
  <c r="JZ167" i="2"/>
  <c r="KA167" i="2"/>
  <c r="KB167" i="2"/>
  <c r="KC167" i="2"/>
  <c r="KD167" i="2"/>
  <c r="KE167" i="2"/>
  <c r="KF167" i="2"/>
  <c r="KG167" i="2"/>
  <c r="KH167" i="2"/>
  <c r="KN167" i="2" s="1"/>
  <c r="KI167" i="2"/>
  <c r="KJ167" i="2"/>
  <c r="KK167" i="2"/>
  <c r="KL167" i="2"/>
  <c r="KM167" i="2"/>
  <c r="KO167" i="2"/>
  <c r="KP167" i="2"/>
  <c r="KQ167" i="2"/>
  <c r="KR167" i="2"/>
  <c r="KS167" i="2"/>
  <c r="KT167" i="2"/>
  <c r="KU167" i="2"/>
  <c r="KY167" i="2"/>
  <c r="LA167" i="2"/>
  <c r="LC167" i="2"/>
  <c r="LE167" i="2"/>
  <c r="LG167" i="2"/>
  <c r="LH167" i="2"/>
  <c r="LI167" i="2"/>
  <c r="LJ167" i="2"/>
  <c r="LL167" i="2"/>
  <c r="LN167" i="2"/>
  <c r="LO167" i="2"/>
  <c r="LP167" i="2"/>
  <c r="LQ167" i="2"/>
  <c r="LR167" i="2"/>
  <c r="LS167" i="2"/>
  <c r="LT167" i="2"/>
  <c r="LU167" i="2"/>
  <c r="LV167" i="2"/>
  <c r="LW167" i="2"/>
  <c r="LX167" i="2"/>
  <c r="LY167" i="2"/>
  <c r="LZ167" i="2"/>
  <c r="MA167" i="2"/>
  <c r="MB167" i="2"/>
  <c r="MC167" i="2"/>
  <c r="MD167" i="2"/>
  <c r="ME167" i="2"/>
  <c r="MF167" i="2"/>
  <c r="MG167" i="2"/>
  <c r="MH167" i="2"/>
  <c r="MI167" i="2"/>
  <c r="MJ167" i="2"/>
  <c r="MK167" i="2"/>
  <c r="ML167" i="2"/>
  <c r="MM167" i="2"/>
  <c r="MN167" i="2"/>
  <c r="MO167" i="2"/>
  <c r="MP167" i="2"/>
  <c r="MQ167" i="2"/>
  <c r="MR167" i="2"/>
  <c r="MS167" i="2"/>
  <c r="MT167" i="2"/>
  <c r="MU167" i="2"/>
  <c r="MV167" i="2"/>
  <c r="MW167" i="2"/>
  <c r="MX167" i="2"/>
  <c r="MY167" i="2"/>
  <c r="MZ167" i="2"/>
  <c r="NA167" i="2"/>
  <c r="NB167" i="2"/>
  <c r="NC167" i="2"/>
  <c r="ND167" i="2"/>
  <c r="NE167" i="2"/>
  <c r="NF167" i="2"/>
  <c r="NG167" i="2"/>
  <c r="NH167" i="2"/>
  <c r="NI167" i="2"/>
  <c r="NJ167" i="2"/>
  <c r="NK167" i="2"/>
  <c r="NL167" i="2"/>
  <c r="NM167" i="2"/>
  <c r="NN167" i="2"/>
  <c r="NO167" i="2"/>
  <c r="NP167" i="2"/>
  <c r="NQ167" i="2"/>
  <c r="NR167" i="2"/>
  <c r="NS167" i="2"/>
  <c r="NT167" i="2"/>
  <c r="NU167" i="2"/>
  <c r="NV167" i="2"/>
  <c r="NW167" i="2"/>
  <c r="NX167" i="2"/>
  <c r="NY167" i="2"/>
  <c r="NZ167" i="2"/>
  <c r="OA167" i="2"/>
  <c r="OB167" i="2"/>
  <c r="OC167" i="2"/>
  <c r="OD167" i="2"/>
  <c r="OE167" i="2"/>
  <c r="OF167" i="2"/>
  <c r="OG167" i="2"/>
  <c r="OH167" i="2"/>
  <c r="OI167" i="2"/>
  <c r="OJ167" i="2"/>
  <c r="OK167" i="2"/>
  <c r="OL167" i="2"/>
  <c r="OM167" i="2"/>
  <c r="ON167" i="2"/>
  <c r="OO167" i="2"/>
  <c r="OP167" i="2"/>
  <c r="OQ167" i="2"/>
  <c r="OR167" i="2"/>
  <c r="OS167" i="2"/>
  <c r="OT167" i="2"/>
  <c r="OU167" i="2"/>
  <c r="OV167" i="2"/>
  <c r="OW167" i="2"/>
  <c r="OX167" i="2"/>
  <c r="OY167" i="2"/>
  <c r="OZ167" i="2"/>
  <c r="PA167" i="2"/>
  <c r="PB167" i="2"/>
  <c r="PC167" i="2"/>
  <c r="PD167" i="2"/>
  <c r="PE167" i="2"/>
  <c r="PF167" i="2"/>
  <c r="PG167" i="2"/>
  <c r="PH167" i="2"/>
  <c r="PI167" i="2"/>
  <c r="PJ167" i="2"/>
  <c r="PK167" i="2"/>
  <c r="PL167" i="2"/>
  <c r="IA169" i="2"/>
  <c r="IC169" i="2"/>
  <c r="IE169" i="2"/>
  <c r="IG169" i="2"/>
  <c r="II169" i="2"/>
  <c r="IJ169" i="2"/>
  <c r="IK169" i="2"/>
  <c r="IL169" i="2"/>
  <c r="IM169" i="2"/>
  <c r="IN169" i="2"/>
  <c r="IO169" i="2"/>
  <c r="IP169" i="2"/>
  <c r="IQ169" i="2"/>
  <c r="IR169" i="2"/>
  <c r="IS169" i="2"/>
  <c r="IT169" i="2"/>
  <c r="IU169" i="2"/>
  <c r="IV169" i="2"/>
  <c r="IW169" i="2"/>
  <c r="JD169" i="2"/>
  <c r="JE169" i="2"/>
  <c r="JG169" i="2"/>
  <c r="JH169" i="2"/>
  <c r="JK169" i="2"/>
  <c r="JL169" i="2"/>
  <c r="JM169" i="2"/>
  <c r="JN169" i="2"/>
  <c r="JO169" i="2"/>
  <c r="JP169" i="2"/>
  <c r="JR169" i="2"/>
  <c r="JS169" i="2"/>
  <c r="JT169" i="2"/>
  <c r="JU169" i="2"/>
  <c r="JV169" i="2"/>
  <c r="JW169" i="2"/>
  <c r="JX169" i="2"/>
  <c r="KN169" i="2" s="1"/>
  <c r="JY169" i="2"/>
  <c r="JZ169" i="2"/>
  <c r="KA169" i="2"/>
  <c r="KB169" i="2"/>
  <c r="KC169" i="2"/>
  <c r="KD169" i="2"/>
  <c r="KE169" i="2"/>
  <c r="KF169" i="2"/>
  <c r="KG169" i="2"/>
  <c r="KH169" i="2"/>
  <c r="KI169" i="2"/>
  <c r="KJ169" i="2"/>
  <c r="KK169" i="2"/>
  <c r="KL169" i="2"/>
  <c r="KM169" i="2"/>
  <c r="KO169" i="2"/>
  <c r="KP169" i="2"/>
  <c r="KQ169" i="2"/>
  <c r="KR169" i="2"/>
  <c r="KS169" i="2"/>
  <c r="KT169" i="2"/>
  <c r="KU169" i="2"/>
  <c r="KY169" i="2"/>
  <c r="LA169" i="2"/>
  <c r="LC169" i="2"/>
  <c r="LE169" i="2"/>
  <c r="LG169" i="2"/>
  <c r="LH169" i="2"/>
  <c r="LI169" i="2"/>
  <c r="LJ169" i="2"/>
  <c r="LL169" i="2"/>
  <c r="LN169" i="2"/>
  <c r="LO169" i="2"/>
  <c r="LP169" i="2"/>
  <c r="LQ169" i="2"/>
  <c r="LR169" i="2"/>
  <c r="LS169" i="2"/>
  <c r="LT169" i="2"/>
  <c r="LU169" i="2"/>
  <c r="LV169" i="2"/>
  <c r="LW169" i="2"/>
  <c r="LX169" i="2"/>
  <c r="LY169" i="2"/>
  <c r="LZ169" i="2"/>
  <c r="MA169" i="2"/>
  <c r="MB169" i="2"/>
  <c r="MC169" i="2"/>
  <c r="MD169" i="2"/>
  <c r="ME169" i="2"/>
  <c r="MF169" i="2"/>
  <c r="MG169" i="2"/>
  <c r="MH169" i="2"/>
  <c r="MI169" i="2"/>
  <c r="MJ169" i="2"/>
  <c r="MK169" i="2"/>
  <c r="ML169" i="2"/>
  <c r="MM169" i="2"/>
  <c r="MN169" i="2"/>
  <c r="MO169" i="2"/>
  <c r="MP169" i="2"/>
  <c r="MQ169" i="2"/>
  <c r="MR169" i="2"/>
  <c r="MS169" i="2"/>
  <c r="MT169" i="2"/>
  <c r="MU169" i="2"/>
  <c r="MV169" i="2"/>
  <c r="MW169" i="2"/>
  <c r="MX169" i="2"/>
  <c r="MY169" i="2"/>
  <c r="MZ169" i="2"/>
  <c r="NA169" i="2"/>
  <c r="NB169" i="2"/>
  <c r="NC169" i="2"/>
  <c r="ND169" i="2"/>
  <c r="NE169" i="2"/>
  <c r="NF169" i="2"/>
  <c r="NG169" i="2"/>
  <c r="NH169" i="2"/>
  <c r="NI169" i="2"/>
  <c r="NJ169" i="2"/>
  <c r="NK169" i="2"/>
  <c r="NL169" i="2"/>
  <c r="NM169" i="2"/>
  <c r="NN169" i="2"/>
  <c r="NO169" i="2"/>
  <c r="NP169" i="2"/>
  <c r="NQ169" i="2"/>
  <c r="NR169" i="2"/>
  <c r="NS169" i="2"/>
  <c r="NT169" i="2"/>
  <c r="NU169" i="2"/>
  <c r="NV169" i="2"/>
  <c r="NW169" i="2"/>
  <c r="NX169" i="2"/>
  <c r="NY169" i="2"/>
  <c r="NZ169" i="2"/>
  <c r="OA169" i="2"/>
  <c r="OB169" i="2"/>
  <c r="OC169" i="2"/>
  <c r="OD169" i="2"/>
  <c r="OE169" i="2"/>
  <c r="OF169" i="2"/>
  <c r="OG169" i="2"/>
  <c r="OH169" i="2"/>
  <c r="OI169" i="2"/>
  <c r="OJ169" i="2"/>
  <c r="OK169" i="2"/>
  <c r="OL169" i="2"/>
  <c r="OM169" i="2"/>
  <c r="ON169" i="2"/>
  <c r="OO169" i="2"/>
  <c r="OP169" i="2"/>
  <c r="OQ169" i="2"/>
  <c r="OR169" i="2"/>
  <c r="OS169" i="2"/>
  <c r="OT169" i="2"/>
  <c r="OU169" i="2"/>
  <c r="OV169" i="2"/>
  <c r="OW169" i="2"/>
  <c r="OX169" i="2"/>
  <c r="OY169" i="2"/>
  <c r="OZ169" i="2"/>
  <c r="PA169" i="2"/>
  <c r="PB169" i="2"/>
  <c r="PC169" i="2"/>
  <c r="PD169" i="2"/>
  <c r="PE169" i="2"/>
  <c r="PF169" i="2"/>
  <c r="PG169" i="2"/>
  <c r="PH169" i="2"/>
  <c r="PI169" i="2"/>
  <c r="PJ169" i="2"/>
  <c r="PK169" i="2"/>
  <c r="PL169" i="2"/>
  <c r="IA175" i="2"/>
  <c r="IC175" i="2"/>
  <c r="IE175" i="2"/>
  <c r="IG175" i="2"/>
  <c r="II175" i="2"/>
  <c r="IJ175" i="2"/>
  <c r="IK175" i="2"/>
  <c r="IL175" i="2"/>
  <c r="IM175" i="2"/>
  <c r="IN175" i="2"/>
  <c r="IO175" i="2"/>
  <c r="IP175" i="2"/>
  <c r="IQ175" i="2"/>
  <c r="IR175" i="2"/>
  <c r="IS175" i="2"/>
  <c r="IT175" i="2"/>
  <c r="IU175" i="2"/>
  <c r="IV175" i="2"/>
  <c r="IW175" i="2"/>
  <c r="JD175" i="2"/>
  <c r="JE175" i="2"/>
  <c r="JG175" i="2"/>
  <c r="JH175" i="2"/>
  <c r="JK175" i="2"/>
  <c r="JL175" i="2"/>
  <c r="JM175" i="2"/>
  <c r="JN175" i="2"/>
  <c r="JO175" i="2"/>
  <c r="JP175" i="2"/>
  <c r="JR175" i="2"/>
  <c r="JS175" i="2"/>
  <c r="JT175" i="2"/>
  <c r="JU175" i="2"/>
  <c r="JV175" i="2"/>
  <c r="JW175" i="2"/>
  <c r="JX175" i="2"/>
  <c r="JY175" i="2"/>
  <c r="JZ175" i="2"/>
  <c r="KA175" i="2"/>
  <c r="KB175" i="2"/>
  <c r="KC175" i="2"/>
  <c r="KD175" i="2"/>
  <c r="KE175" i="2"/>
  <c r="KF175" i="2"/>
  <c r="KG175" i="2"/>
  <c r="KH175" i="2"/>
  <c r="KI175" i="2"/>
  <c r="KJ175" i="2"/>
  <c r="KK175" i="2"/>
  <c r="KL175" i="2"/>
  <c r="KM175" i="2"/>
  <c r="KO175" i="2"/>
  <c r="KP175" i="2"/>
  <c r="KQ175" i="2"/>
  <c r="KR175" i="2"/>
  <c r="KS175" i="2"/>
  <c r="KU175" i="2"/>
  <c r="KY175" i="2"/>
  <c r="LA175" i="2"/>
  <c r="LC175" i="2"/>
  <c r="LE175" i="2"/>
  <c r="LG175" i="2"/>
  <c r="LH175" i="2"/>
  <c r="LI175" i="2"/>
  <c r="LJ175" i="2"/>
  <c r="LL175" i="2"/>
  <c r="LN175" i="2"/>
  <c r="LO175" i="2"/>
  <c r="LP175" i="2"/>
  <c r="LQ175" i="2"/>
  <c r="LR175" i="2"/>
  <c r="LS175" i="2"/>
  <c r="LT175" i="2"/>
  <c r="LU175" i="2"/>
  <c r="LV175" i="2"/>
  <c r="LW175" i="2"/>
  <c r="LX175" i="2"/>
  <c r="LY175" i="2"/>
  <c r="LZ175" i="2"/>
  <c r="MA175" i="2"/>
  <c r="MB175" i="2"/>
  <c r="MC175" i="2"/>
  <c r="MD175" i="2"/>
  <c r="ME175" i="2"/>
  <c r="MF175" i="2"/>
  <c r="MG175" i="2"/>
  <c r="MH175" i="2"/>
  <c r="MI175" i="2"/>
  <c r="MJ175" i="2"/>
  <c r="MK175" i="2"/>
  <c r="ML175" i="2"/>
  <c r="MM175" i="2"/>
  <c r="MN175" i="2"/>
  <c r="MO175" i="2"/>
  <c r="MP175" i="2"/>
  <c r="MQ175" i="2"/>
  <c r="MR175" i="2"/>
  <c r="MS175" i="2"/>
  <c r="MT175" i="2"/>
  <c r="MU175" i="2"/>
  <c r="MV175" i="2"/>
  <c r="MW175" i="2"/>
  <c r="MX175" i="2"/>
  <c r="MY175" i="2"/>
  <c r="MZ175" i="2"/>
  <c r="NA175" i="2"/>
  <c r="NB175" i="2"/>
  <c r="NC175" i="2"/>
  <c r="ND175" i="2"/>
  <c r="NE175" i="2"/>
  <c r="NF175" i="2"/>
  <c r="NG175" i="2"/>
  <c r="NH175" i="2"/>
  <c r="NI175" i="2"/>
  <c r="NJ175" i="2"/>
  <c r="NK175" i="2"/>
  <c r="NL175" i="2"/>
  <c r="NM175" i="2"/>
  <c r="NN175" i="2"/>
  <c r="NO175" i="2"/>
  <c r="NP175" i="2"/>
  <c r="NQ175" i="2"/>
  <c r="NR175" i="2"/>
  <c r="NS175" i="2"/>
  <c r="NT175" i="2"/>
  <c r="NU175" i="2"/>
  <c r="NV175" i="2"/>
  <c r="NW175" i="2"/>
  <c r="NX175" i="2"/>
  <c r="NY175" i="2"/>
  <c r="NZ175" i="2"/>
  <c r="OA175" i="2"/>
  <c r="OB175" i="2"/>
  <c r="OC175" i="2"/>
  <c r="OD175" i="2"/>
  <c r="OE175" i="2"/>
  <c r="OF175" i="2"/>
  <c r="OG175" i="2"/>
  <c r="OH175" i="2"/>
  <c r="OI175" i="2"/>
  <c r="OJ175" i="2"/>
  <c r="OK175" i="2"/>
  <c r="OL175" i="2"/>
  <c r="OM175" i="2"/>
  <c r="ON175" i="2"/>
  <c r="OO175" i="2"/>
  <c r="OP175" i="2"/>
  <c r="OQ175" i="2"/>
  <c r="OR175" i="2"/>
  <c r="OS175" i="2"/>
  <c r="OT175" i="2"/>
  <c r="OU175" i="2"/>
  <c r="OV175" i="2"/>
  <c r="OW175" i="2"/>
  <c r="OX175" i="2"/>
  <c r="OY175" i="2"/>
  <c r="OZ175" i="2"/>
  <c r="PA175" i="2"/>
  <c r="PB175" i="2"/>
  <c r="PC175" i="2"/>
  <c r="PD175" i="2"/>
  <c r="PE175" i="2"/>
  <c r="PF175" i="2"/>
  <c r="PG175" i="2"/>
  <c r="PH175" i="2"/>
  <c r="PI175" i="2"/>
  <c r="PJ175" i="2"/>
  <c r="PK175" i="2"/>
  <c r="PL175" i="2"/>
  <c r="BG54" i="2"/>
  <c r="KN72" i="2" l="1"/>
  <c r="KN175" i="2"/>
  <c r="KN79" i="2"/>
  <c r="KN129" i="2"/>
  <c r="KN124" i="2"/>
  <c r="KN162" i="2"/>
  <c r="KN166" i="2"/>
  <c r="KN106" i="2"/>
  <c r="KN150" i="2"/>
  <c r="KN114" i="2"/>
  <c r="KN76" i="2"/>
  <c r="KN155" i="2"/>
  <c r="KN78" i="2"/>
  <c r="KN152" i="2"/>
  <c r="KN149" i="2"/>
  <c r="KN113" i="2"/>
  <c r="KN118" i="2"/>
  <c r="KN82" i="2"/>
  <c r="KN160" i="2"/>
  <c r="KN165" i="2"/>
  <c r="KN75" i="2"/>
  <c r="KN84" i="2"/>
  <c r="KN151" i="2"/>
  <c r="KN139" i="2"/>
  <c r="KN131" i="2"/>
  <c r="KN130" i="2"/>
  <c r="KN104" i="2"/>
  <c r="KN145" i="2"/>
  <c r="KN143" i="2"/>
  <c r="KN136" i="2"/>
  <c r="KN132" i="2"/>
  <c r="KN135" i="2"/>
  <c r="KN128" i="2"/>
  <c r="KN120" i="2"/>
  <c r="KN117" i="2"/>
  <c r="KN108" i="2"/>
  <c r="KN119" i="2"/>
  <c r="KN159" i="2"/>
  <c r="KN134" i="2"/>
  <c r="KN116" i="2"/>
  <c r="KL154" i="2"/>
  <c r="JI152" i="2"/>
  <c r="KL119" i="2"/>
  <c r="OV86" i="2"/>
  <c r="KL76" i="2"/>
  <c r="KL86" i="2"/>
  <c r="KL140" i="2"/>
  <c r="OV76" i="2"/>
  <c r="KN158" i="2"/>
  <c r="KL68" i="2"/>
  <c r="KL77" i="2"/>
  <c r="KL60" i="2"/>
  <c r="OV162" i="2"/>
  <c r="KL162" i="2"/>
  <c r="KL87" i="2"/>
  <c r="OV166" i="2"/>
  <c r="OV151" i="2"/>
  <c r="KL73" i="2"/>
  <c r="KL151" i="2"/>
  <c r="KL166" i="2"/>
  <c r="KL95" i="2"/>
  <c r="LM134" i="2"/>
  <c r="LM87" i="2"/>
  <c r="KL160" i="2"/>
  <c r="JJ87" i="2"/>
  <c r="JJ134" i="2"/>
  <c r="OV91" i="2"/>
  <c r="KL128" i="2"/>
  <c r="KO128" i="2"/>
  <c r="KL114" i="2"/>
  <c r="KO114" i="2"/>
  <c r="KO138" i="2"/>
  <c r="OV71" i="2"/>
  <c r="KL72" i="2"/>
  <c r="KO72" i="2"/>
  <c r="KL65" i="2"/>
  <c r="KO65" i="2"/>
  <c r="KL122" i="2"/>
  <c r="KO122" i="2"/>
  <c r="KL100" i="2"/>
  <c r="KO100" i="2"/>
  <c r="KO74" i="2"/>
  <c r="OV157" i="2"/>
  <c r="OV126" i="2"/>
  <c r="OV88" i="2"/>
  <c r="KL113" i="2"/>
  <c r="KO113" i="2"/>
  <c r="KL98" i="2"/>
  <c r="KO98" i="2"/>
  <c r="KL82" i="2"/>
  <c r="KO82" i="2"/>
  <c r="KL64" i="2"/>
  <c r="KO64" i="2"/>
  <c r="KL144" i="2"/>
  <c r="KO144" i="2"/>
  <c r="KL150" i="2"/>
  <c r="KO150" i="2"/>
  <c r="KL118" i="2"/>
  <c r="KO118" i="2"/>
  <c r="KL71" i="2"/>
  <c r="KL81" i="2"/>
  <c r="KL112" i="2"/>
  <c r="KL132" i="2"/>
  <c r="KO131" i="2"/>
  <c r="KL141" i="2"/>
  <c r="KO141" i="2"/>
  <c r="KL126" i="2"/>
  <c r="KL125" i="2"/>
  <c r="KO125" i="2"/>
  <c r="KL80" i="2"/>
  <c r="KO80" i="2"/>
  <c r="KL62" i="2"/>
  <c r="KO62" i="2"/>
  <c r="OV110" i="2"/>
  <c r="KL143" i="2"/>
  <c r="KL110" i="2"/>
  <c r="KL109" i="2"/>
  <c r="KL123" i="2"/>
  <c r="KO123" i="2"/>
  <c r="KO85" i="2"/>
  <c r="KO139" i="2"/>
  <c r="KL106" i="2"/>
  <c r="KO106" i="2"/>
  <c r="KV162" i="2"/>
  <c r="IY66" i="2"/>
  <c r="JF166" i="2"/>
  <c r="IX127" i="2"/>
  <c r="JA58" i="2"/>
  <c r="IX159" i="2"/>
  <c r="JC156" i="2"/>
  <c r="JC154" i="2"/>
  <c r="JF145" i="2"/>
  <c r="JF130" i="2"/>
  <c r="IX128" i="2"/>
  <c r="JF136" i="2"/>
  <c r="IY135" i="2"/>
  <c r="JF167" i="2"/>
  <c r="KV147" i="2"/>
  <c r="KV118" i="2"/>
  <c r="JB159" i="2"/>
  <c r="JF119" i="2"/>
  <c r="JF81" i="2"/>
  <c r="JF159" i="2"/>
  <c r="IY145" i="2"/>
  <c r="JF79" i="2"/>
  <c r="JA78" i="2"/>
  <c r="JF158" i="2"/>
  <c r="JA135" i="2"/>
  <c r="JB85" i="2"/>
  <c r="JA61" i="2"/>
  <c r="JA59" i="2"/>
  <c r="KV169" i="2"/>
  <c r="JA165" i="2"/>
  <c r="KV90" i="2"/>
  <c r="KW94" i="2"/>
  <c r="JB98" i="2"/>
  <c r="IX144" i="2"/>
  <c r="JF131" i="2"/>
  <c r="JF139" i="2"/>
  <c r="IY131" i="2"/>
  <c r="JF127" i="2"/>
  <c r="JF123" i="2"/>
  <c r="JF122" i="2"/>
  <c r="IZ109" i="2"/>
  <c r="KV93" i="2"/>
  <c r="JF121" i="2"/>
  <c r="JF144" i="2"/>
  <c r="IX134" i="2"/>
  <c r="JC128" i="2"/>
  <c r="JF124" i="2"/>
  <c r="IX119" i="2"/>
  <c r="IX118" i="2"/>
  <c r="IX108" i="2"/>
  <c r="JQ96" i="2"/>
  <c r="KV88" i="2"/>
  <c r="KW167" i="2"/>
  <c r="JA79" i="2"/>
  <c r="JC144" i="2"/>
  <c r="KV84" i="2"/>
  <c r="KW59" i="2"/>
  <c r="JQ59" i="2"/>
  <c r="JF162" i="2"/>
  <c r="JF160" i="2"/>
  <c r="JF118" i="2"/>
  <c r="JB96" i="2"/>
  <c r="JB92" i="2"/>
  <c r="JA87" i="2"/>
  <c r="JA71" i="2"/>
  <c r="KW155" i="2"/>
  <c r="JF156" i="2"/>
  <c r="JC153" i="2"/>
  <c r="IZ151" i="2"/>
  <c r="JA145" i="2"/>
  <c r="IZ126" i="2"/>
  <c r="IZ123" i="2"/>
  <c r="JB122" i="2"/>
  <c r="JB120" i="2"/>
  <c r="KV95" i="2"/>
  <c r="KV92" i="2"/>
  <c r="KW81" i="2"/>
  <c r="KW80" i="2"/>
  <c r="JF155" i="2"/>
  <c r="JF59" i="2"/>
  <c r="KV117" i="2"/>
  <c r="KV107" i="2"/>
  <c r="JF103" i="2"/>
  <c r="JF89" i="2"/>
  <c r="JF85" i="2"/>
  <c r="JC64" i="2"/>
  <c r="JF165" i="2"/>
  <c r="JF147" i="2"/>
  <c r="IY133" i="2"/>
  <c r="IX132" i="2"/>
  <c r="KW100" i="2"/>
  <c r="JQ82" i="2"/>
  <c r="KW66" i="2"/>
  <c r="IZ63" i="2"/>
  <c r="JF141" i="2"/>
  <c r="IX126" i="2"/>
  <c r="KV150" i="2"/>
  <c r="KW135" i="2"/>
  <c r="JA75" i="2"/>
  <c r="KW65" i="2"/>
  <c r="KV155" i="2"/>
  <c r="JQ166" i="2"/>
  <c r="JC160" i="2"/>
  <c r="JA159" i="2"/>
  <c r="JC158" i="2"/>
  <c r="IX157" i="2"/>
  <c r="JF150" i="2"/>
  <c r="KV149" i="2"/>
  <c r="JF149" i="2"/>
  <c r="JF135" i="2"/>
  <c r="JF129" i="2"/>
  <c r="JF125" i="2"/>
  <c r="KV123" i="2"/>
  <c r="KV121" i="2"/>
  <c r="JF117" i="2"/>
  <c r="IX116" i="2"/>
  <c r="KV114" i="2"/>
  <c r="KV109" i="2"/>
  <c r="IZ105" i="2"/>
  <c r="KV100" i="2"/>
  <c r="JQ86" i="2"/>
  <c r="JQ81" i="2"/>
  <c r="JA74" i="2"/>
  <c r="JC73" i="2"/>
  <c r="JQ164" i="2"/>
  <c r="KW61" i="2"/>
  <c r="IX153" i="2"/>
  <c r="JA169" i="2"/>
  <c r="KW160" i="2"/>
  <c r="JA147" i="2"/>
  <c r="KV138" i="2"/>
  <c r="JB121" i="2"/>
  <c r="KV115" i="2"/>
  <c r="JC109" i="2"/>
  <c r="IX104" i="2"/>
  <c r="JQ77" i="2"/>
  <c r="JF70" i="2"/>
  <c r="KW62" i="2"/>
  <c r="KW166" i="2"/>
  <c r="KV106" i="2"/>
  <c r="JC152" i="2"/>
  <c r="JA136" i="2"/>
  <c r="KW90" i="2"/>
  <c r="JB89" i="2"/>
  <c r="JA86" i="2"/>
  <c r="JF74" i="2"/>
  <c r="KV69" i="2"/>
  <c r="KV68" i="2"/>
  <c r="IZ67" i="2"/>
  <c r="JF106" i="2"/>
  <c r="JF154" i="2"/>
  <c r="JF169" i="2"/>
  <c r="IY163" i="2"/>
  <c r="JA150" i="2"/>
  <c r="JF137" i="2"/>
  <c r="KV134" i="2"/>
  <c r="JA132" i="2"/>
  <c r="IX131" i="2"/>
  <c r="IX130" i="2"/>
  <c r="KV80" i="2"/>
  <c r="JQ80" i="2"/>
  <c r="JQ73" i="2"/>
  <c r="KW60" i="2"/>
  <c r="JF138" i="2"/>
  <c r="IZ130" i="2"/>
  <c r="IY72" i="2"/>
  <c r="JQ127" i="2"/>
  <c r="JF116" i="2"/>
  <c r="JF108" i="2"/>
  <c r="JC105" i="2"/>
  <c r="JF102" i="2"/>
  <c r="JA100" i="2"/>
  <c r="IZ95" i="2"/>
  <c r="KV89" i="2"/>
  <c r="JQ87" i="2"/>
  <c r="JQ85" i="2"/>
  <c r="JF84" i="2"/>
  <c r="KW77" i="2"/>
  <c r="KV77" i="2"/>
  <c r="JC77" i="2"/>
  <c r="JQ76" i="2"/>
  <c r="KV73" i="2"/>
  <c r="IZ164" i="2"/>
  <c r="KV70" i="2"/>
  <c r="JQ65" i="2"/>
  <c r="JQ64" i="2"/>
  <c r="JQ61" i="2"/>
  <c r="JF78" i="2"/>
  <c r="KW175" i="2"/>
  <c r="JQ169" i="2"/>
  <c r="JB167" i="2"/>
  <c r="IZ157" i="2"/>
  <c r="JF153" i="2"/>
  <c r="JC148" i="2"/>
  <c r="JF142" i="2"/>
  <c r="KV137" i="2"/>
  <c r="JF134" i="2"/>
  <c r="KW133" i="2"/>
  <c r="IZ132" i="2"/>
  <c r="JF72" i="2"/>
  <c r="JC126" i="2"/>
  <c r="JC116" i="2"/>
  <c r="JC114" i="2"/>
  <c r="JF113" i="2"/>
  <c r="JC110" i="2"/>
  <c r="IZ108" i="2"/>
  <c r="KW101" i="2"/>
  <c r="KV101" i="2"/>
  <c r="KV96" i="2"/>
  <c r="KV82" i="2"/>
  <c r="JA81" i="2"/>
  <c r="IZ76" i="2"/>
  <c r="JA164" i="2"/>
  <c r="KW71" i="2"/>
  <c r="JQ71" i="2"/>
  <c r="JC69" i="2"/>
  <c r="JC68" i="2"/>
  <c r="JQ67" i="2"/>
  <c r="IY65" i="2"/>
  <c r="JQ58" i="2"/>
  <c r="KV167" i="2"/>
  <c r="KV79" i="2"/>
  <c r="KV159" i="2"/>
  <c r="JF157" i="2"/>
  <c r="JB153" i="2"/>
  <c r="JQ152" i="2"/>
  <c r="JC134" i="2"/>
  <c r="JC130" i="2"/>
  <c r="JQ128" i="2"/>
  <c r="IX72" i="2"/>
  <c r="JC123" i="2"/>
  <c r="JC119" i="2"/>
  <c r="JC108" i="2"/>
  <c r="JQ95" i="2"/>
  <c r="JQ90" i="2"/>
  <c r="KW82" i="2"/>
  <c r="JA76" i="2"/>
  <c r="KW164" i="2"/>
  <c r="KW69" i="2"/>
  <c r="JA66" i="2"/>
  <c r="JQ63" i="2"/>
  <c r="JQ175" i="2"/>
  <c r="IY106" i="2"/>
  <c r="JA175" i="2"/>
  <c r="KV166" i="2"/>
  <c r="JQ165" i="2"/>
  <c r="IY159" i="2"/>
  <c r="JB157" i="2"/>
  <c r="KV151" i="2"/>
  <c r="JA149" i="2"/>
  <c r="JC145" i="2"/>
  <c r="JQ143" i="2"/>
  <c r="JF140" i="2"/>
  <c r="JF133" i="2"/>
  <c r="KW132" i="2"/>
  <c r="KV132" i="2"/>
  <c r="KW131" i="2"/>
  <c r="IZ127" i="2"/>
  <c r="JQ124" i="2"/>
  <c r="JB123" i="2"/>
  <c r="JB119" i="2"/>
  <c r="JC118" i="2"/>
  <c r="JF115" i="2"/>
  <c r="JF114" i="2"/>
  <c r="JF107" i="2"/>
  <c r="IX107" i="2"/>
  <c r="KW95" i="2"/>
  <c r="JF92" i="2"/>
  <c r="KW87" i="2"/>
  <c r="JB86" i="2"/>
  <c r="JQ84" i="2"/>
  <c r="JF82" i="2"/>
  <c r="KW76" i="2"/>
  <c r="JF164" i="2"/>
  <c r="JQ70" i="2"/>
  <c r="KW68" i="2"/>
  <c r="JQ60" i="2"/>
  <c r="JQ155" i="2"/>
  <c r="JF163" i="2"/>
  <c r="JF152" i="2"/>
  <c r="JB166" i="2"/>
  <c r="JF175" i="2"/>
  <c r="JQ167" i="2"/>
  <c r="JQ78" i="2"/>
  <c r="IX145" i="2"/>
  <c r="KW144" i="2"/>
  <c r="IY144" i="2"/>
  <c r="IX135" i="2"/>
  <c r="JA134" i="2"/>
  <c r="IX133" i="2"/>
  <c r="JF132" i="2"/>
  <c r="KV120" i="2"/>
  <c r="JB118" i="2"/>
  <c r="JQ116" i="2"/>
  <c r="JF110" i="2"/>
  <c r="JF109" i="2"/>
  <c r="IX109" i="2"/>
  <c r="JQ108" i="2"/>
  <c r="JC107" i="2"/>
  <c r="KV105" i="2"/>
  <c r="JF104" i="2"/>
  <c r="IX103" i="2"/>
  <c r="IZ102" i="2"/>
  <c r="KW98" i="2"/>
  <c r="KV91" i="2"/>
  <c r="KV85" i="2"/>
  <c r="KV81" i="2"/>
  <c r="KW75" i="2"/>
  <c r="JA70" i="2"/>
  <c r="KW67" i="2"/>
  <c r="KW64" i="2"/>
  <c r="JQ62" i="2"/>
  <c r="JF61" i="2"/>
  <c r="KW169" i="2"/>
  <c r="JB169" i="2"/>
  <c r="JB155" i="2"/>
  <c r="JQ159" i="2"/>
  <c r="JC151" i="2"/>
  <c r="IX149" i="2"/>
  <c r="IZ138" i="2"/>
  <c r="JC132" i="2"/>
  <c r="JQ130" i="2"/>
  <c r="JF128" i="2"/>
  <c r="IZ128" i="2"/>
  <c r="JC127" i="2"/>
  <c r="JC124" i="2"/>
  <c r="IZ119" i="2"/>
  <c r="KV116" i="2"/>
  <c r="KV108" i="2"/>
  <c r="IZ107" i="2"/>
  <c r="KV97" i="2"/>
  <c r="JQ74" i="2"/>
  <c r="JQ66" i="2"/>
  <c r="KW63" i="2"/>
  <c r="IZ62" i="2"/>
  <c r="KW58" i="2"/>
  <c r="KV58" i="2"/>
  <c r="JC58" i="2"/>
  <c r="JQ79" i="2"/>
  <c r="JF143" i="2"/>
  <c r="IZ134" i="2"/>
  <c r="JF120" i="2"/>
  <c r="JQ118" i="2"/>
  <c r="KV113" i="2"/>
  <c r="JC113" i="2"/>
  <c r="JQ83" i="2"/>
  <c r="KW74" i="2"/>
  <c r="IZ74" i="2"/>
  <c r="KW70" i="2"/>
  <c r="IZ70" i="2"/>
  <c r="JQ69" i="2"/>
  <c r="JQ68" i="2"/>
  <c r="JF58" i="2"/>
  <c r="KL91" i="2"/>
  <c r="OV119" i="2"/>
  <c r="OV81" i="2"/>
  <c r="KL88" i="2"/>
  <c r="OV160" i="2"/>
  <c r="OV112" i="2"/>
  <c r="OV68" i="2"/>
  <c r="OV143" i="2"/>
  <c r="OV77" i="2"/>
  <c r="JB175" i="2"/>
  <c r="JQ162" i="2"/>
  <c r="IY125" i="2"/>
  <c r="IX125" i="2"/>
  <c r="JC125" i="2"/>
  <c r="JQ163" i="2"/>
  <c r="JA106" i="2"/>
  <c r="KW158" i="2"/>
  <c r="JF151" i="2"/>
  <c r="IZ106" i="2"/>
  <c r="JQ156" i="2"/>
  <c r="KW153" i="2"/>
  <c r="JF148" i="2"/>
  <c r="IY143" i="2"/>
  <c r="IX143" i="2"/>
  <c r="JB143" i="2"/>
  <c r="IY139" i="2"/>
  <c r="IX139" i="2"/>
  <c r="JC139" i="2"/>
  <c r="KW78" i="2"/>
  <c r="KW163" i="2"/>
  <c r="KW106" i="2"/>
  <c r="KW156" i="2"/>
  <c r="IZ142" i="2"/>
  <c r="JC142" i="2"/>
  <c r="JI147" i="2"/>
  <c r="JJ147" i="2"/>
  <c r="LM147" i="2"/>
  <c r="KV175" i="2"/>
  <c r="IY152" i="2"/>
  <c r="IX152" i="2"/>
  <c r="JC143" i="2"/>
  <c r="IZ141" i="2"/>
  <c r="JC141" i="2"/>
  <c r="KW79" i="2"/>
  <c r="IX117" i="2"/>
  <c r="JB117" i="2"/>
  <c r="JC117" i="2"/>
  <c r="KW165" i="2"/>
  <c r="KV165" i="2"/>
  <c r="KW157" i="2"/>
  <c r="KW154" i="2"/>
  <c r="JB152" i="2"/>
  <c r="IY140" i="2"/>
  <c r="IX140" i="2"/>
  <c r="JC140" i="2"/>
  <c r="IY129" i="2"/>
  <c r="IX129" i="2"/>
  <c r="JC129" i="2"/>
  <c r="JQ106" i="2"/>
  <c r="KW159" i="2"/>
  <c r="JQ158" i="2"/>
  <c r="JQ157" i="2"/>
  <c r="JC157" i="2"/>
  <c r="IY157" i="2"/>
  <c r="JQ154" i="2"/>
  <c r="IY153" i="2"/>
  <c r="IZ152" i="2"/>
  <c r="JA148" i="2"/>
  <c r="JB144" i="2"/>
  <c r="IZ140" i="2"/>
  <c r="IZ139" i="2"/>
  <c r="JA137" i="2"/>
  <c r="KW134" i="2"/>
  <c r="JQ133" i="2"/>
  <c r="JC133" i="2"/>
  <c r="JQ131" i="2"/>
  <c r="JC131" i="2"/>
  <c r="IY130" i="2"/>
  <c r="IZ129" i="2"/>
  <c r="IY128" i="2"/>
  <c r="JQ72" i="2"/>
  <c r="JC72" i="2"/>
  <c r="IY127" i="2"/>
  <c r="JF126" i="2"/>
  <c r="IY126" i="2"/>
  <c r="IZ125" i="2"/>
  <c r="KW122" i="2"/>
  <c r="JC122" i="2"/>
  <c r="KV119" i="2"/>
  <c r="JB116" i="2"/>
  <c r="KW96" i="2"/>
  <c r="JQ92" i="2"/>
  <c r="JQ89" i="2"/>
  <c r="JQ142" i="2"/>
  <c r="IY142" i="2"/>
  <c r="JQ141" i="2"/>
  <c r="IY141" i="2"/>
  <c r="JQ140" i="2"/>
  <c r="JQ139" i="2"/>
  <c r="IY138" i="2"/>
  <c r="IZ137" i="2"/>
  <c r="KW130" i="2"/>
  <c r="JQ129" i="2"/>
  <c r="KW72" i="2"/>
  <c r="KW127" i="2"/>
  <c r="JQ126" i="2"/>
  <c r="JQ125" i="2"/>
  <c r="IX112" i="2"/>
  <c r="IZ112" i="2"/>
  <c r="JF99" i="2"/>
  <c r="JA162" i="2"/>
  <c r="IZ160" i="2"/>
  <c r="KV153" i="2"/>
  <c r="JQ151" i="2"/>
  <c r="IZ150" i="2"/>
  <c r="JQ148" i="2"/>
  <c r="IY148" i="2"/>
  <c r="IZ147" i="2"/>
  <c r="KW143" i="2"/>
  <c r="JB142" i="2"/>
  <c r="JB141" i="2"/>
  <c r="KW139" i="2"/>
  <c r="JQ138" i="2"/>
  <c r="JC138" i="2"/>
  <c r="IY137" i="2"/>
  <c r="IZ136" i="2"/>
  <c r="KV131" i="2"/>
  <c r="KW129" i="2"/>
  <c r="KW128" i="2"/>
  <c r="KV72" i="2"/>
  <c r="KW126" i="2"/>
  <c r="KW125" i="2"/>
  <c r="IY115" i="2"/>
  <c r="IX115" i="2"/>
  <c r="JQ114" i="2"/>
  <c r="JQ113" i="2"/>
  <c r="JF112" i="2"/>
  <c r="KW108" i="2"/>
  <c r="JQ105" i="2"/>
  <c r="JQ88" i="2"/>
  <c r="KV78" i="2"/>
  <c r="JB162" i="2"/>
  <c r="JC162" i="2"/>
  <c r="JB151" i="2"/>
  <c r="IY151" i="2"/>
  <c r="JQ150" i="2"/>
  <c r="JC150" i="2"/>
  <c r="IY150" i="2"/>
  <c r="JQ149" i="2"/>
  <c r="JC149" i="2"/>
  <c r="IY149" i="2"/>
  <c r="JB148" i="2"/>
  <c r="JQ147" i="2"/>
  <c r="JC147" i="2"/>
  <c r="IY147" i="2"/>
  <c r="IZ145" i="2"/>
  <c r="JA144" i="2"/>
  <c r="KV143" i="2"/>
  <c r="IX142" i="2"/>
  <c r="IX141" i="2"/>
  <c r="KW140" i="2"/>
  <c r="KW138" i="2"/>
  <c r="IX138" i="2"/>
  <c r="JQ137" i="2"/>
  <c r="JC137" i="2"/>
  <c r="IY136" i="2"/>
  <c r="IZ135" i="2"/>
  <c r="JA133" i="2"/>
  <c r="JA131" i="2"/>
  <c r="KV130" i="2"/>
  <c r="KV128" i="2"/>
  <c r="JA72" i="2"/>
  <c r="KV127" i="2"/>
  <c r="JC120" i="2"/>
  <c r="JQ117" i="2"/>
  <c r="JC115" i="2"/>
  <c r="JC112" i="2"/>
  <c r="JQ109" i="2"/>
  <c r="JQ99" i="2"/>
  <c r="JQ94" i="2"/>
  <c r="KW92" i="2"/>
  <c r="JQ91" i="2"/>
  <c r="KW89" i="2"/>
  <c r="KW84" i="2"/>
  <c r="KW73" i="2"/>
  <c r="JB165" i="2"/>
  <c r="KV163" i="2"/>
  <c r="IZ162" i="2"/>
  <c r="IZ158" i="2"/>
  <c r="IZ154" i="2"/>
  <c r="JQ153" i="2"/>
  <c r="JA153" i="2"/>
  <c r="KW151" i="2"/>
  <c r="JA151" i="2"/>
  <c r="JB150" i="2"/>
  <c r="JB149" i="2"/>
  <c r="IX148" i="2"/>
  <c r="JB147" i="2"/>
  <c r="JQ145" i="2"/>
  <c r="KW141" i="2"/>
  <c r="KV141" i="2"/>
  <c r="KW137" i="2"/>
  <c r="IX137" i="2"/>
  <c r="JQ136" i="2"/>
  <c r="JC136" i="2"/>
  <c r="JA130" i="2"/>
  <c r="KV129" i="2"/>
  <c r="JA128" i="2"/>
  <c r="JA127" i="2"/>
  <c r="KV126" i="2"/>
  <c r="JA126" i="2"/>
  <c r="KV125" i="2"/>
  <c r="KV122" i="2"/>
  <c r="JB115" i="2"/>
  <c r="JB79" i="2"/>
  <c r="KW162" i="2"/>
  <c r="IX162" i="2"/>
  <c r="JQ160" i="2"/>
  <c r="JC159" i="2"/>
  <c r="JA152" i="2"/>
  <c r="IX151" i="2"/>
  <c r="IX150" i="2"/>
  <c r="IX147" i="2"/>
  <c r="JB145" i="2"/>
  <c r="IZ144" i="2"/>
  <c r="JA143" i="2"/>
  <c r="JA140" i="2"/>
  <c r="JA139" i="2"/>
  <c r="KW136" i="2"/>
  <c r="IX136" i="2"/>
  <c r="JQ135" i="2"/>
  <c r="JC135" i="2"/>
  <c r="IY134" i="2"/>
  <c r="IZ133" i="2"/>
  <c r="IY132" i="2"/>
  <c r="IZ131" i="2"/>
  <c r="JA129" i="2"/>
  <c r="IZ72" i="2"/>
  <c r="IY124" i="2"/>
  <c r="JA124" i="2"/>
  <c r="JC121" i="2"/>
  <c r="JQ115" i="2"/>
  <c r="IX114" i="2"/>
  <c r="IZ114" i="2"/>
  <c r="IX113" i="2"/>
  <c r="IZ113" i="2"/>
  <c r="IX110" i="2"/>
  <c r="IZ110" i="2"/>
  <c r="JQ107" i="2"/>
  <c r="JB100" i="2"/>
  <c r="JQ98" i="2"/>
  <c r="JB94" i="2"/>
  <c r="KW88" i="2"/>
  <c r="JQ75" i="2"/>
  <c r="JB78" i="2"/>
  <c r="KW150" i="2"/>
  <c r="KW149" i="2"/>
  <c r="JQ144" i="2"/>
  <c r="JA142" i="2"/>
  <c r="JA141" i="2"/>
  <c r="JA138" i="2"/>
  <c r="JQ134" i="2"/>
  <c r="JQ132" i="2"/>
  <c r="JQ119" i="2"/>
  <c r="JB102" i="2"/>
  <c r="JC91" i="2"/>
  <c r="JA91" i="2"/>
  <c r="KV104" i="2"/>
  <c r="KV103" i="2"/>
  <c r="KV102" i="2"/>
  <c r="IZ91" i="2"/>
  <c r="JC89" i="2"/>
  <c r="JF87" i="2"/>
  <c r="JF86" i="2"/>
  <c r="JC86" i="2"/>
  <c r="KL85" i="2"/>
  <c r="JC85" i="2"/>
  <c r="JF75" i="2"/>
  <c r="JF71" i="2"/>
  <c r="JC70" i="2"/>
  <c r="IZ69" i="2"/>
  <c r="IZ68" i="2"/>
  <c r="KV66" i="2"/>
  <c r="IZ64" i="2"/>
  <c r="KV61" i="2"/>
  <c r="KV59" i="2"/>
  <c r="JF93" i="2"/>
  <c r="JF91" i="2"/>
  <c r="JF90" i="2"/>
  <c r="JF88" i="2"/>
  <c r="IZ82" i="2"/>
  <c r="JF69" i="2"/>
  <c r="JF68" i="2"/>
  <c r="JC67" i="2"/>
  <c r="JC65" i="2"/>
  <c r="JF64" i="2"/>
  <c r="JC63" i="2"/>
  <c r="JC62" i="2"/>
  <c r="IZ61" i="2"/>
  <c r="IZ59" i="2"/>
  <c r="IY58" i="2"/>
  <c r="KW114" i="2"/>
  <c r="JQ112" i="2"/>
  <c r="JQ110" i="2"/>
  <c r="KW109" i="2"/>
  <c r="IX101" i="2"/>
  <c r="JF94" i="2"/>
  <c r="KW86" i="2"/>
  <c r="KW83" i="2"/>
  <c r="KV83" i="2"/>
  <c r="IZ81" i="2"/>
  <c r="IZ80" i="2"/>
  <c r="KV76" i="2"/>
  <c r="KV74" i="2"/>
  <c r="KV164" i="2"/>
  <c r="JA69" i="2"/>
  <c r="JA68" i="2"/>
  <c r="JF67" i="2"/>
  <c r="JC66" i="2"/>
  <c r="JF65" i="2"/>
  <c r="JA64" i="2"/>
  <c r="JF63" i="2"/>
  <c r="JF62" i="2"/>
  <c r="JC61" i="2"/>
  <c r="JF60" i="2"/>
  <c r="JC59" i="2"/>
  <c r="KW124" i="2"/>
  <c r="IZ122" i="2"/>
  <c r="IZ121" i="2"/>
  <c r="IZ120" i="2"/>
  <c r="KW117" i="2"/>
  <c r="KW116" i="2"/>
  <c r="KW115" i="2"/>
  <c r="KW113" i="2"/>
  <c r="KW112" i="2"/>
  <c r="KV112" i="2"/>
  <c r="KW110" i="2"/>
  <c r="KV110" i="2"/>
  <c r="IY102" i="2"/>
  <c r="JQ100" i="2"/>
  <c r="JF100" i="2"/>
  <c r="KV98" i="2"/>
  <c r="KW97" i="2"/>
  <c r="JQ97" i="2"/>
  <c r="IZ97" i="2"/>
  <c r="JF95" i="2"/>
  <c r="KV87" i="2"/>
  <c r="KV86" i="2"/>
  <c r="KW85" i="2"/>
  <c r="IZ83" i="2"/>
  <c r="IZ77" i="2"/>
  <c r="KV75" i="2"/>
  <c r="IZ73" i="2"/>
  <c r="KV71" i="2"/>
  <c r="JA67" i="2"/>
  <c r="JF66" i="2"/>
  <c r="JA65" i="2"/>
  <c r="JA63" i="2"/>
  <c r="JA62" i="2"/>
  <c r="JA101" i="2"/>
  <c r="KW91" i="2"/>
  <c r="JA125" i="2"/>
  <c r="KV124" i="2"/>
  <c r="IX122" i="2"/>
  <c r="IX121" i="2"/>
  <c r="IX120" i="2"/>
  <c r="IZ118" i="2"/>
  <c r="IZ117" i="2"/>
  <c r="IZ116" i="2"/>
  <c r="JC104" i="2"/>
  <c r="JC103" i="2"/>
  <c r="JC102" i="2"/>
  <c r="JQ101" i="2"/>
  <c r="JF96" i="2"/>
  <c r="IZ87" i="2"/>
  <c r="IZ84" i="2"/>
  <c r="JF80" i="2"/>
  <c r="JF77" i="2"/>
  <c r="JC76" i="2"/>
  <c r="IZ75" i="2"/>
  <c r="JC74" i="2"/>
  <c r="JF73" i="2"/>
  <c r="JC164" i="2"/>
  <c r="IZ71" i="2"/>
  <c r="KV64" i="2"/>
  <c r="JQ123" i="2"/>
  <c r="JQ122" i="2"/>
  <c r="JQ121" i="2"/>
  <c r="JQ120" i="2"/>
  <c r="IZ115" i="2"/>
  <c r="JF105" i="2"/>
  <c r="IX105" i="2"/>
  <c r="JQ104" i="2"/>
  <c r="IZ104" i="2"/>
  <c r="JQ103" i="2"/>
  <c r="IZ103" i="2"/>
  <c r="JQ102" i="2"/>
  <c r="KW99" i="2"/>
  <c r="KV99" i="2"/>
  <c r="IZ99" i="2"/>
  <c r="JF97" i="2"/>
  <c r="KV94" i="2"/>
  <c r="KW93" i="2"/>
  <c r="JQ93" i="2"/>
  <c r="IZ93" i="2"/>
  <c r="IZ90" i="2"/>
  <c r="JC87" i="2"/>
  <c r="JF83" i="2"/>
  <c r="JA77" i="2"/>
  <c r="JF76" i="2"/>
  <c r="JC75" i="2"/>
  <c r="JA73" i="2"/>
  <c r="JC71" i="2"/>
  <c r="KV67" i="2"/>
  <c r="KV65" i="2"/>
  <c r="KV63" i="2"/>
  <c r="KV62" i="2"/>
  <c r="KV60" i="2"/>
  <c r="OV148" i="2"/>
  <c r="OV154" i="2"/>
  <c r="KL74" i="2"/>
  <c r="OV95" i="2"/>
  <c r="OV109" i="2"/>
  <c r="OV132" i="2"/>
  <c r="OV87" i="2"/>
  <c r="OV60" i="2"/>
  <c r="OV140" i="2"/>
  <c r="OV73" i="2"/>
  <c r="JA155" i="2"/>
  <c r="JA163" i="2"/>
  <c r="IZ175" i="2"/>
  <c r="IZ169" i="2"/>
  <c r="IZ167" i="2"/>
  <c r="IZ155" i="2"/>
  <c r="IZ166" i="2"/>
  <c r="IZ165" i="2"/>
  <c r="IZ79" i="2"/>
  <c r="IZ78" i="2"/>
  <c r="IZ163" i="2"/>
  <c r="IX106" i="2"/>
  <c r="KV157" i="2"/>
  <c r="JA157" i="2"/>
  <c r="JB154" i="2"/>
  <c r="IY154" i="2"/>
  <c r="KW152" i="2"/>
  <c r="KV152" i="2"/>
  <c r="KW148" i="2"/>
  <c r="KW142" i="2"/>
  <c r="KV142" i="2"/>
  <c r="KV136" i="2"/>
  <c r="IY175" i="2"/>
  <c r="IY169" i="2"/>
  <c r="IY167" i="2"/>
  <c r="IY155" i="2"/>
  <c r="IY166" i="2"/>
  <c r="IY165" i="2"/>
  <c r="IY79" i="2"/>
  <c r="IY78" i="2"/>
  <c r="IX163" i="2"/>
  <c r="KV154" i="2"/>
  <c r="JA154" i="2"/>
  <c r="KV148" i="2"/>
  <c r="KV135" i="2"/>
  <c r="IX175" i="2"/>
  <c r="IX169" i="2"/>
  <c r="IX167" i="2"/>
  <c r="IX155" i="2"/>
  <c r="IX166" i="2"/>
  <c r="IX165" i="2"/>
  <c r="IX79" i="2"/>
  <c r="IX78" i="2"/>
  <c r="JB160" i="2"/>
  <c r="IY160" i="2"/>
  <c r="JB158" i="2"/>
  <c r="IY158" i="2"/>
  <c r="IZ156" i="2"/>
  <c r="IX154" i="2"/>
  <c r="IZ149" i="2"/>
  <c r="KW147" i="2"/>
  <c r="JA167" i="2"/>
  <c r="JA166" i="2"/>
  <c r="KV160" i="2"/>
  <c r="JA160" i="2"/>
  <c r="KV158" i="2"/>
  <c r="JA158" i="2"/>
  <c r="JB156" i="2"/>
  <c r="IY156" i="2"/>
  <c r="IZ153" i="2"/>
  <c r="KW145" i="2"/>
  <c r="KV145" i="2"/>
  <c r="IZ143" i="2"/>
  <c r="KV133" i="2"/>
  <c r="JC106" i="2"/>
  <c r="IX160" i="2"/>
  <c r="IX158" i="2"/>
  <c r="KV156" i="2"/>
  <c r="JA156" i="2"/>
  <c r="KV140" i="2"/>
  <c r="JC175" i="2"/>
  <c r="JC169" i="2"/>
  <c r="JC167" i="2"/>
  <c r="JC155" i="2"/>
  <c r="JC166" i="2"/>
  <c r="JC165" i="2"/>
  <c r="JC79" i="2"/>
  <c r="JC78" i="2"/>
  <c r="JC163" i="2"/>
  <c r="JB106" i="2"/>
  <c r="IY162" i="2"/>
  <c r="IZ159" i="2"/>
  <c r="IX156" i="2"/>
  <c r="IZ148" i="2"/>
  <c r="KV144" i="2"/>
  <c r="KV139" i="2"/>
  <c r="JB163" i="2"/>
  <c r="JB140" i="2"/>
  <c r="JB139" i="2"/>
  <c r="JB138" i="2"/>
  <c r="JB137" i="2"/>
  <c r="JB136" i="2"/>
  <c r="JB135" i="2"/>
  <c r="JB134" i="2"/>
  <c r="JB133" i="2"/>
  <c r="JB132" i="2"/>
  <c r="JB131" i="2"/>
  <c r="JB130" i="2"/>
  <c r="JB129" i="2"/>
  <c r="JB128" i="2"/>
  <c r="JB72" i="2"/>
  <c r="JB127" i="2"/>
  <c r="JB126" i="2"/>
  <c r="JB125" i="2"/>
  <c r="JB124" i="2"/>
  <c r="IX123" i="2"/>
  <c r="IY123" i="2"/>
  <c r="JA123" i="2"/>
  <c r="IZ124" i="2"/>
  <c r="KW123" i="2"/>
  <c r="IX124" i="2"/>
  <c r="KW107" i="2"/>
  <c r="KW105" i="2"/>
  <c r="KW104" i="2"/>
  <c r="KW103" i="2"/>
  <c r="KW102" i="2"/>
  <c r="KW121" i="2"/>
  <c r="KW120" i="2"/>
  <c r="KW119" i="2"/>
  <c r="KW118" i="2"/>
  <c r="JB114" i="2"/>
  <c r="JB113" i="2"/>
  <c r="JB112" i="2"/>
  <c r="JB110" i="2"/>
  <c r="JB109" i="2"/>
  <c r="JB108" i="2"/>
  <c r="JB107" i="2"/>
  <c r="JB105" i="2"/>
  <c r="JB104" i="2"/>
  <c r="JB103" i="2"/>
  <c r="IZ101" i="2"/>
  <c r="JB99" i="2"/>
  <c r="JC99" i="2"/>
  <c r="IX99" i="2"/>
  <c r="IY99" i="2"/>
  <c r="JB97" i="2"/>
  <c r="JC97" i="2"/>
  <c r="IX97" i="2"/>
  <c r="IY97" i="2"/>
  <c r="JB95" i="2"/>
  <c r="JC95" i="2"/>
  <c r="IX95" i="2"/>
  <c r="IY95" i="2"/>
  <c r="JB93" i="2"/>
  <c r="JC93" i="2"/>
  <c r="IX93" i="2"/>
  <c r="IY93" i="2"/>
  <c r="JB91" i="2"/>
  <c r="JC90" i="2"/>
  <c r="IZ89" i="2"/>
  <c r="IZ85" i="2"/>
  <c r="JA80" i="2"/>
  <c r="JA122" i="2"/>
  <c r="JA121" i="2"/>
  <c r="JA120" i="2"/>
  <c r="JA119" i="2"/>
  <c r="JA118" i="2"/>
  <c r="JA117" i="2"/>
  <c r="JA116" i="2"/>
  <c r="JA115" i="2"/>
  <c r="JA114" i="2"/>
  <c r="JA113" i="2"/>
  <c r="JA112" i="2"/>
  <c r="JA110" i="2"/>
  <c r="JA109" i="2"/>
  <c r="JA108" i="2"/>
  <c r="JA107" i="2"/>
  <c r="JA105" i="2"/>
  <c r="JA104" i="2"/>
  <c r="JA103" i="2"/>
  <c r="JA102" i="2"/>
  <c r="IX102" i="2"/>
  <c r="IY101" i="2"/>
  <c r="JA99" i="2"/>
  <c r="JA97" i="2"/>
  <c r="JA95" i="2"/>
  <c r="JA93" i="2"/>
  <c r="JB90" i="2"/>
  <c r="JA90" i="2"/>
  <c r="IZ88" i="2"/>
  <c r="JC84" i="2"/>
  <c r="IY122" i="2"/>
  <c r="IY121" i="2"/>
  <c r="IY120" i="2"/>
  <c r="IY119" i="2"/>
  <c r="IY118" i="2"/>
  <c r="IY117" i="2"/>
  <c r="IY116" i="2"/>
  <c r="IY114" i="2"/>
  <c r="IY113" i="2"/>
  <c r="IY112" i="2"/>
  <c r="IY110" i="2"/>
  <c r="IY109" i="2"/>
  <c r="IY108" i="2"/>
  <c r="IY107" i="2"/>
  <c r="IY105" i="2"/>
  <c r="IY104" i="2"/>
  <c r="IY103" i="2"/>
  <c r="JF98" i="2"/>
  <c r="JA89" i="2"/>
  <c r="JC88" i="2"/>
  <c r="JA85" i="2"/>
  <c r="JB84" i="2"/>
  <c r="JC83" i="2"/>
  <c r="JF101" i="2"/>
  <c r="JC100" i="2"/>
  <c r="IX100" i="2"/>
  <c r="JC98" i="2"/>
  <c r="IX98" i="2"/>
  <c r="IY98" i="2"/>
  <c r="JC96" i="2"/>
  <c r="IX96" i="2"/>
  <c r="IY96" i="2"/>
  <c r="JC94" i="2"/>
  <c r="IX94" i="2"/>
  <c r="IY94" i="2"/>
  <c r="JC92" i="2"/>
  <c r="IX92" i="2"/>
  <c r="IY92" i="2"/>
  <c r="JB88" i="2"/>
  <c r="JA84" i="2"/>
  <c r="JB83" i="2"/>
  <c r="JC82" i="2"/>
  <c r="JC101" i="2"/>
  <c r="IZ100" i="2"/>
  <c r="JA98" i="2"/>
  <c r="JA96" i="2"/>
  <c r="JA94" i="2"/>
  <c r="JA92" i="2"/>
  <c r="JA88" i="2"/>
  <c r="JA83" i="2"/>
  <c r="JC81" i="2"/>
  <c r="JB101" i="2"/>
  <c r="IY100" i="2"/>
  <c r="IZ98" i="2"/>
  <c r="IZ96" i="2"/>
  <c r="IZ94" i="2"/>
  <c r="IZ92" i="2"/>
  <c r="JB87" i="2"/>
  <c r="IZ86" i="2"/>
  <c r="JA82" i="2"/>
  <c r="JC80" i="2"/>
  <c r="JB82" i="2"/>
  <c r="JB81" i="2"/>
  <c r="JB80" i="2"/>
  <c r="JB77" i="2"/>
  <c r="JB76" i="2"/>
  <c r="JB75" i="2"/>
  <c r="JB74" i="2"/>
  <c r="JB73" i="2"/>
  <c r="JB164" i="2"/>
  <c r="JB71" i="2"/>
  <c r="JB70" i="2"/>
  <c r="JB69" i="2"/>
  <c r="JB68" i="2"/>
  <c r="JB67" i="2"/>
  <c r="JB66" i="2"/>
  <c r="JB65" i="2"/>
  <c r="JB64" i="2"/>
  <c r="JB63" i="2"/>
  <c r="JB62" i="2"/>
  <c r="JB61" i="2"/>
  <c r="JB59" i="2"/>
  <c r="JB58" i="2"/>
  <c r="IZ66" i="2"/>
  <c r="IZ65" i="2"/>
  <c r="IZ58" i="2"/>
  <c r="IY91" i="2"/>
  <c r="IY90" i="2"/>
  <c r="IY89" i="2"/>
  <c r="IY88" i="2"/>
  <c r="IY87" i="2"/>
  <c r="IY86" i="2"/>
  <c r="IY85" i="2"/>
  <c r="IY84" i="2"/>
  <c r="IY83" i="2"/>
  <c r="IY82" i="2"/>
  <c r="IY81" i="2"/>
  <c r="IY80" i="2"/>
  <c r="IY77" i="2"/>
  <c r="IY76" i="2"/>
  <c r="IY75" i="2"/>
  <c r="IY74" i="2"/>
  <c r="IY73" i="2"/>
  <c r="IY164" i="2"/>
  <c r="IY71" i="2"/>
  <c r="IY70" i="2"/>
  <c r="IY69" i="2"/>
  <c r="IY68" i="2"/>
  <c r="IY67" i="2"/>
  <c r="IY64" i="2"/>
  <c r="IY63" i="2"/>
  <c r="IY62" i="2"/>
  <c r="IY61" i="2"/>
  <c r="IY59" i="2"/>
  <c r="IX91" i="2"/>
  <c r="IX90" i="2"/>
  <c r="IX89" i="2"/>
  <c r="IX88" i="2"/>
  <c r="IX87" i="2"/>
  <c r="IX86" i="2"/>
  <c r="IX85" i="2"/>
  <c r="IX84" i="2"/>
  <c r="IX83" i="2"/>
  <c r="IX82" i="2"/>
  <c r="IX81" i="2"/>
  <c r="IX80" i="2"/>
  <c r="IX77" i="2"/>
  <c r="IX76" i="2"/>
  <c r="IX75" i="2"/>
  <c r="IX74" i="2"/>
  <c r="IX73" i="2"/>
  <c r="IX164" i="2"/>
  <c r="IX71" i="2"/>
  <c r="IX70" i="2"/>
  <c r="IX69" i="2"/>
  <c r="IX68" i="2"/>
  <c r="IX67" i="2"/>
  <c r="IX66" i="2"/>
  <c r="IX65" i="2"/>
  <c r="IX64" i="2"/>
  <c r="IX63" i="2"/>
  <c r="IX62" i="2"/>
  <c r="IX61" i="2"/>
  <c r="IX59" i="2"/>
  <c r="IX58" i="2"/>
  <c r="OV114" i="2" l="1"/>
  <c r="OV113" i="2"/>
  <c r="OV106" i="2"/>
  <c r="OV72" i="2"/>
  <c r="OV64" i="2"/>
  <c r="OV118" i="2"/>
  <c r="OV150" i="2"/>
  <c r="OV98" i="2"/>
  <c r="OV80" i="2"/>
  <c r="OV82" i="2"/>
  <c r="OV128" i="2"/>
  <c r="OV85" i="2"/>
  <c r="OV65" i="2"/>
  <c r="OV62" i="2"/>
  <c r="OV141" i="2"/>
  <c r="OV125" i="2"/>
  <c r="OV144" i="2"/>
  <c r="OV138" i="2"/>
  <c r="OV74" i="2"/>
  <c r="OV139" i="2"/>
  <c r="OV123" i="2"/>
  <c r="OV131" i="2"/>
  <c r="OV122" i="2"/>
  <c r="OV100" i="2"/>
  <c r="JI166" i="2" l="1"/>
  <c r="JJ166" i="2"/>
  <c r="LM166" i="2"/>
  <c r="LM126" i="2"/>
  <c r="JI126" i="2"/>
  <c r="JJ126" i="2"/>
  <c r="JJ160" i="2"/>
  <c r="JI160" i="2"/>
  <c r="LM160" i="2"/>
  <c r="LM158" i="2"/>
  <c r="JI158" i="2"/>
  <c r="JJ158" i="2"/>
  <c r="JJ155" i="2"/>
  <c r="JI155" i="2"/>
  <c r="LM155" i="2"/>
  <c r="LM144" i="2"/>
  <c r="JJ144" i="2"/>
  <c r="JI144" i="2"/>
  <c r="LM132" i="2"/>
  <c r="JJ132" i="2"/>
  <c r="JI132" i="2"/>
  <c r="LM120" i="2"/>
  <c r="JI120" i="2"/>
  <c r="JJ120" i="2"/>
  <c r="LM109" i="2"/>
  <c r="JI109" i="2"/>
  <c r="JJ109" i="2"/>
  <c r="JJ100" i="2"/>
  <c r="JI100" i="2"/>
  <c r="LM100" i="2"/>
  <c r="JI89" i="2"/>
  <c r="LM89" i="2"/>
  <c r="JJ89" i="2"/>
  <c r="JI75" i="2"/>
  <c r="JJ75" i="2"/>
  <c r="LM75" i="2"/>
  <c r="JI65" i="2"/>
  <c r="LM65" i="2"/>
  <c r="JJ65" i="2"/>
  <c r="JJ58" i="2"/>
  <c r="JI58" i="2"/>
  <c r="LM58" i="2"/>
  <c r="LM138" i="2"/>
  <c r="JI138" i="2"/>
  <c r="JJ138" i="2"/>
  <c r="JJ81" i="2"/>
  <c r="LM81" i="2"/>
  <c r="JI81" i="2"/>
  <c r="LM143" i="2"/>
  <c r="JI143" i="2"/>
  <c r="JJ143" i="2"/>
  <c r="JI73" i="2"/>
  <c r="LM73" i="2"/>
  <c r="JJ73" i="2"/>
  <c r="JJ167" i="2"/>
  <c r="JI167" i="2"/>
  <c r="LM167" i="2"/>
  <c r="LM140" i="2"/>
  <c r="JI140" i="2"/>
  <c r="JJ140" i="2"/>
  <c r="LM142" i="2"/>
  <c r="JI142" i="2"/>
  <c r="JJ142" i="2"/>
  <c r="LM130" i="2"/>
  <c r="JI130" i="2"/>
  <c r="JJ130" i="2"/>
  <c r="LM118" i="2"/>
  <c r="JI118" i="2"/>
  <c r="JJ118" i="2"/>
  <c r="LM107" i="2"/>
  <c r="JI107" i="2"/>
  <c r="JJ107" i="2"/>
  <c r="JI98" i="2"/>
  <c r="LM98" i="2"/>
  <c r="JJ98" i="2"/>
  <c r="JI86" i="2"/>
  <c r="LM86" i="2"/>
  <c r="JJ86" i="2"/>
  <c r="JI165" i="2"/>
  <c r="JJ165" i="2"/>
  <c r="LM165" i="2"/>
  <c r="JI63" i="2"/>
  <c r="JJ63" i="2"/>
  <c r="LM63" i="2"/>
  <c r="LM125" i="2"/>
  <c r="JI125" i="2"/>
  <c r="JJ125" i="2"/>
  <c r="JI68" i="2"/>
  <c r="LM68" i="2"/>
  <c r="JJ68" i="2"/>
  <c r="LM156" i="2"/>
  <c r="JI156" i="2"/>
  <c r="JJ156" i="2"/>
  <c r="JI99" i="2"/>
  <c r="JJ99" i="2"/>
  <c r="LM99" i="2"/>
  <c r="JJ61" i="2"/>
  <c r="LM61" i="2"/>
  <c r="JI61" i="2"/>
  <c r="JI164" i="2"/>
  <c r="JJ164" i="2"/>
  <c r="LM164" i="2"/>
  <c r="LM153" i="2"/>
  <c r="JJ153" i="2"/>
  <c r="JI153" i="2"/>
  <c r="LM72" i="2"/>
  <c r="JI72" i="2"/>
  <c r="JJ72" i="2"/>
  <c r="LM141" i="2"/>
  <c r="JI141" i="2"/>
  <c r="JJ141" i="2"/>
  <c r="LM129" i="2"/>
  <c r="JI129" i="2"/>
  <c r="JJ129" i="2"/>
  <c r="LM117" i="2"/>
  <c r="JI117" i="2"/>
  <c r="JJ117" i="2"/>
  <c r="LM105" i="2"/>
  <c r="JI105" i="2"/>
  <c r="JJ105" i="2"/>
  <c r="LM97" i="2"/>
  <c r="JI97" i="2"/>
  <c r="JJ97" i="2"/>
  <c r="JI85" i="2"/>
  <c r="LM85" i="2"/>
  <c r="JJ85" i="2"/>
  <c r="JI71" i="2"/>
  <c r="JJ71" i="2"/>
  <c r="LM71" i="2"/>
  <c r="JI78" i="2"/>
  <c r="LM78" i="2"/>
  <c r="JJ78" i="2"/>
  <c r="JI175" i="2"/>
  <c r="JJ175" i="2"/>
  <c r="LM175" i="2"/>
  <c r="LM123" i="2"/>
  <c r="JJ123" i="2"/>
  <c r="JI123" i="2"/>
  <c r="LM131" i="2"/>
  <c r="JI131" i="2"/>
  <c r="JJ131" i="2"/>
  <c r="JI64" i="2"/>
  <c r="LM64" i="2"/>
  <c r="JJ64" i="2"/>
  <c r="LM154" i="2"/>
  <c r="JI154" i="2"/>
  <c r="JJ154" i="2"/>
  <c r="JI163" i="2"/>
  <c r="LM163" i="2"/>
  <c r="JJ163" i="2"/>
  <c r="LM113" i="2"/>
  <c r="JI113" i="2"/>
  <c r="JJ113" i="2"/>
  <c r="LM139" i="2"/>
  <c r="JI139" i="2"/>
  <c r="JJ139" i="2"/>
  <c r="LM128" i="2"/>
  <c r="JI128" i="2"/>
  <c r="JJ128" i="2"/>
  <c r="LM116" i="2"/>
  <c r="JI116" i="2"/>
  <c r="JJ116" i="2"/>
  <c r="JJ96" i="2"/>
  <c r="JI96" i="2"/>
  <c r="LM96" i="2"/>
  <c r="JI84" i="2"/>
  <c r="LM84" i="2"/>
  <c r="JJ84" i="2"/>
  <c r="JI70" i="2"/>
  <c r="JJ70" i="2"/>
  <c r="LM70" i="2"/>
  <c r="JI62" i="2"/>
  <c r="LM62" i="2"/>
  <c r="JJ62" i="2"/>
  <c r="JI169" i="2"/>
  <c r="JJ169" i="2"/>
  <c r="LM169" i="2"/>
  <c r="JJ104" i="2"/>
  <c r="JI104" i="2"/>
  <c r="LM104" i="2"/>
  <c r="JJ135" i="2"/>
  <c r="JI135" i="2"/>
  <c r="LM135" i="2"/>
  <c r="LM119" i="2"/>
  <c r="JJ119" i="2"/>
  <c r="JI119" i="2"/>
  <c r="LM151" i="2"/>
  <c r="JI151" i="2"/>
  <c r="JJ151" i="2"/>
  <c r="JI76" i="2"/>
  <c r="JJ76" i="2"/>
  <c r="LM76" i="2"/>
  <c r="LM106" i="2"/>
  <c r="JI106" i="2"/>
  <c r="JJ106" i="2"/>
  <c r="JI149" i="2"/>
  <c r="JJ149" i="2"/>
  <c r="LM149" i="2"/>
  <c r="JJ95" i="2"/>
  <c r="JI95" i="2"/>
  <c r="LM95" i="2"/>
  <c r="LM137" i="2"/>
  <c r="JI137" i="2"/>
  <c r="JJ137" i="2"/>
  <c r="LM127" i="2"/>
  <c r="JI127" i="2"/>
  <c r="JJ127" i="2"/>
  <c r="LM114" i="2"/>
  <c r="JI114" i="2"/>
  <c r="JJ114" i="2"/>
  <c r="JI94" i="2"/>
  <c r="LM94" i="2"/>
  <c r="JJ94" i="2"/>
  <c r="LM83" i="2"/>
  <c r="JI83" i="2"/>
  <c r="JJ83" i="2"/>
  <c r="JI69" i="2"/>
  <c r="JJ69" i="2"/>
  <c r="LM69" i="2"/>
  <c r="JI60" i="2"/>
  <c r="LM60" i="2"/>
  <c r="JJ60" i="2"/>
  <c r="JI162" i="2"/>
  <c r="LM162" i="2"/>
  <c r="JJ162" i="2"/>
  <c r="JJ103" i="2"/>
  <c r="LM103" i="2"/>
  <c r="JI103" i="2"/>
  <c r="JI88" i="2"/>
  <c r="JJ88" i="2"/>
  <c r="LM88" i="2"/>
  <c r="LM148" i="2"/>
  <c r="JI148" i="2"/>
  <c r="JJ148" i="2"/>
  <c r="JJ82" i="2"/>
  <c r="JI82" i="2"/>
  <c r="LM82" i="2"/>
  <c r="JI136" i="2"/>
  <c r="JJ136" i="2"/>
  <c r="LM136" i="2"/>
  <c r="LM124" i="2"/>
  <c r="JJ124" i="2"/>
  <c r="JI124" i="2"/>
  <c r="LM112" i="2"/>
  <c r="JI112" i="2"/>
  <c r="JJ112" i="2"/>
  <c r="JJ102" i="2"/>
  <c r="JI102" i="2"/>
  <c r="LM102" i="2"/>
  <c r="JI92" i="2"/>
  <c r="LM92" i="2"/>
  <c r="JJ92" i="2"/>
  <c r="JI80" i="2"/>
  <c r="LM80" i="2"/>
  <c r="JJ80" i="2"/>
  <c r="JI67" i="2"/>
  <c r="JJ67" i="2"/>
  <c r="LM67" i="2"/>
  <c r="JJ59" i="2"/>
  <c r="LM59" i="2"/>
  <c r="JI59" i="2"/>
  <c r="LM157" i="2"/>
  <c r="JI157" i="2"/>
  <c r="JJ157" i="2"/>
  <c r="LM93" i="2"/>
  <c r="JI93" i="2"/>
  <c r="JJ93" i="2"/>
  <c r="LM108" i="2"/>
  <c r="JI108" i="2"/>
  <c r="JJ108" i="2"/>
  <c r="LM115" i="2"/>
  <c r="JI115" i="2"/>
  <c r="JJ115" i="2"/>
  <c r="JJ159" i="2"/>
  <c r="JI159" i="2"/>
  <c r="LM159" i="2"/>
  <c r="JI145" i="2"/>
  <c r="JJ145" i="2"/>
  <c r="LM145" i="2"/>
  <c r="JI74" i="2"/>
  <c r="LM74" i="2"/>
  <c r="JJ74" i="2"/>
  <c r="LM133" i="2"/>
  <c r="JI133" i="2"/>
  <c r="JJ133" i="2"/>
  <c r="JI122" i="2"/>
  <c r="JJ122" i="2"/>
  <c r="LM122" i="2"/>
  <c r="LM110" i="2"/>
  <c r="JI110" i="2"/>
  <c r="JJ110" i="2"/>
  <c r="JJ101" i="2"/>
  <c r="JI101" i="2"/>
  <c r="LM101" i="2"/>
  <c r="JI90" i="2"/>
  <c r="LM90" i="2"/>
  <c r="JJ90" i="2"/>
  <c r="JI77" i="2"/>
  <c r="JJ77" i="2"/>
  <c r="LM77" i="2"/>
  <c r="JJ66" i="2"/>
  <c r="LM66" i="2"/>
  <c r="JI66" i="2"/>
  <c r="LM121" i="2"/>
  <c r="JI121" i="2"/>
  <c r="JJ121" i="2"/>
  <c r="JI150" i="2"/>
  <c r="JJ150" i="2"/>
  <c r="LM150" i="2"/>
  <c r="JI91" i="2"/>
  <c r="JJ91" i="2"/>
  <c r="LM91" i="2"/>
  <c r="J369" i="22" l="1"/>
  <c r="J354" i="22"/>
  <c r="J292" i="22"/>
  <c r="K291" i="22"/>
  <c r="F4" i="31" l="1"/>
  <c r="G4" i="31"/>
  <c r="G6" i="38" l="1"/>
  <c r="G7" i="38"/>
  <c r="G8" i="38"/>
  <c r="G9" i="38"/>
  <c r="G10" i="38"/>
  <c r="G11" i="38"/>
  <c r="G12" i="38"/>
  <c r="G13" i="38"/>
  <c r="G14" i="38"/>
  <c r="G5" i="38"/>
  <c r="N34" i="38"/>
  <c r="M34" i="38"/>
  <c r="L34" i="38"/>
  <c r="K34" i="38"/>
  <c r="J34" i="38"/>
  <c r="I34" i="38"/>
  <c r="H34" i="38"/>
  <c r="P34" i="38" s="1"/>
  <c r="G34" i="38"/>
  <c r="F15" i="38"/>
  <c r="F14" i="38"/>
  <c r="F11" i="38"/>
  <c r="F7" i="38"/>
  <c r="F6" i="38"/>
  <c r="F8" i="38"/>
  <c r="F9" i="38"/>
  <c r="F10" i="38"/>
  <c r="F12" i="38"/>
  <c r="F13" i="38"/>
  <c r="F5" i="38"/>
  <c r="B1" i="38"/>
  <c r="B2" i="38"/>
  <c r="B3" i="38"/>
  <c r="B4" i="38"/>
  <c r="B5" i="38"/>
  <c r="B6" i="38"/>
  <c r="B7" i="38"/>
  <c r="B8" i="38"/>
  <c r="B9" i="38"/>
  <c r="B10" i="38"/>
  <c r="B11" i="38"/>
  <c r="B13" i="38"/>
  <c r="B14" i="38"/>
  <c r="B15" i="38"/>
  <c r="B16" i="38"/>
  <c r="B17" i="38"/>
  <c r="B18" i="38"/>
  <c r="B19" i="38"/>
  <c r="B21" i="38"/>
  <c r="B22" i="38"/>
  <c r="B23" i="38"/>
  <c r="B24" i="38"/>
  <c r="B25" i="38"/>
  <c r="B26" i="38"/>
  <c r="B27" i="38"/>
  <c r="B28" i="38"/>
  <c r="B29" i="38"/>
  <c r="B30" i="38"/>
  <c r="B31" i="38"/>
  <c r="B32" i="38"/>
  <c r="B33" i="38"/>
  <c r="B34" i="38"/>
  <c r="B35" i="38"/>
  <c r="B36" i="38"/>
  <c r="B37" i="38"/>
  <c r="B38" i="38"/>
  <c r="B39" i="38"/>
  <c r="B40" i="38"/>
  <c r="B41" i="38"/>
  <c r="B42" i="38"/>
  <c r="B43" i="38"/>
  <c r="B44" i="38"/>
  <c r="B45" i="38"/>
  <c r="B46" i="38"/>
  <c r="B47" i="38"/>
  <c r="B48" i="38"/>
  <c r="B49" i="38"/>
  <c r="B50" i="38"/>
  <c r="B51" i="38"/>
  <c r="B52" i="38"/>
  <c r="B53" i="38"/>
  <c r="B54" i="38"/>
  <c r="B55" i="38"/>
  <c r="B56" i="38"/>
  <c r="B57" i="38"/>
  <c r="B58" i="38"/>
  <c r="B59" i="38"/>
  <c r="B60" i="38"/>
  <c r="B61" i="38"/>
  <c r="B62" i="38"/>
  <c r="B63" i="38"/>
  <c r="B64" i="38"/>
  <c r="B65" i="38"/>
  <c r="B66" i="38"/>
  <c r="B67" i="38"/>
  <c r="B68" i="38"/>
  <c r="B69" i="38"/>
  <c r="B70" i="38"/>
  <c r="B71" i="38"/>
  <c r="B72" i="38"/>
  <c r="B73" i="38"/>
  <c r="B74" i="38"/>
  <c r="B75" i="38"/>
  <c r="B76" i="38"/>
  <c r="B77" i="38"/>
  <c r="B78" i="38"/>
  <c r="B79" i="38"/>
  <c r="B80" i="38"/>
  <c r="B81" i="38"/>
  <c r="B82" i="38"/>
  <c r="B83" i="38"/>
  <c r="B84" i="38"/>
  <c r="B85" i="38"/>
  <c r="B86" i="38"/>
  <c r="B87" i="38"/>
  <c r="B88" i="38"/>
  <c r="B89" i="38"/>
  <c r="B90" i="38"/>
  <c r="B91" i="38"/>
  <c r="B92" i="38"/>
  <c r="B93" i="38"/>
  <c r="B94" i="38"/>
  <c r="B95" i="38"/>
  <c r="B96" i="38"/>
  <c r="B97" i="38"/>
  <c r="B98" i="38"/>
  <c r="B99" i="38"/>
  <c r="B100" i="38"/>
  <c r="B101" i="38"/>
  <c r="B102" i="38"/>
  <c r="B103" i="38"/>
  <c r="B104" i="38"/>
  <c r="B105" i="38"/>
  <c r="B106" i="38"/>
  <c r="B107" i="38"/>
  <c r="B108" i="38"/>
  <c r="B109" i="38"/>
  <c r="B110" i="38"/>
  <c r="B111" i="38"/>
  <c r="B112" i="38"/>
  <c r="B113" i="38"/>
  <c r="B114" i="38"/>
  <c r="B115" i="38"/>
  <c r="B116" i="38"/>
  <c r="B117" i="38"/>
  <c r="B118" i="38"/>
  <c r="B119" i="38"/>
  <c r="B120" i="38"/>
  <c r="B121" i="38"/>
  <c r="B122" i="38"/>
  <c r="B12" i="38"/>
  <c r="B20" i="38"/>
  <c r="IC57" i="2" l="1"/>
  <c r="G23" i="31" l="1"/>
  <c r="H23" i="31"/>
  <c r="G24" i="31"/>
  <c r="H24" i="31"/>
  <c r="G25" i="31"/>
  <c r="H25" i="31"/>
  <c r="G26" i="31"/>
  <c r="H26" i="31"/>
  <c r="G27" i="31"/>
  <c r="H27" i="31"/>
  <c r="G28" i="31"/>
  <c r="H28" i="31"/>
  <c r="G29" i="31"/>
  <c r="H29" i="31"/>
  <c r="G30" i="31"/>
  <c r="H30" i="31"/>
  <c r="G31" i="31"/>
  <c r="H31" i="31"/>
  <c r="G32" i="31"/>
  <c r="H32" i="31"/>
  <c r="G33" i="31"/>
  <c r="H33" i="31"/>
  <c r="G34" i="31"/>
  <c r="H34" i="31"/>
  <c r="G35" i="31"/>
  <c r="H35" i="31"/>
  <c r="G36" i="31"/>
  <c r="H36" i="31"/>
  <c r="G37" i="31"/>
  <c r="H37" i="31"/>
  <c r="G38" i="31"/>
  <c r="H38" i="31"/>
  <c r="G39" i="31"/>
  <c r="H39" i="31"/>
  <c r="G40" i="31"/>
  <c r="H40" i="31"/>
  <c r="G41" i="31"/>
  <c r="H41" i="31"/>
  <c r="G42" i="31"/>
  <c r="H42" i="31"/>
  <c r="G43" i="31"/>
  <c r="H43" i="31"/>
  <c r="G44" i="31"/>
  <c r="H44" i="31"/>
  <c r="G45" i="31"/>
  <c r="H45" i="31"/>
  <c r="G46" i="31"/>
  <c r="H46" i="31"/>
  <c r="G47" i="31"/>
  <c r="H47" i="31"/>
  <c r="G48" i="31"/>
  <c r="H48" i="31"/>
  <c r="G49" i="31"/>
  <c r="H49" i="31"/>
  <c r="G50" i="31"/>
  <c r="H50" i="31"/>
  <c r="G51" i="31"/>
  <c r="H51" i="31"/>
  <c r="G52" i="31"/>
  <c r="H52" i="31"/>
  <c r="G53" i="31"/>
  <c r="H53" i="31"/>
  <c r="G54" i="31"/>
  <c r="H54" i="31"/>
  <c r="G55" i="31"/>
  <c r="H55" i="31"/>
  <c r="G56" i="31"/>
  <c r="H56" i="31"/>
  <c r="G57" i="31"/>
  <c r="H57" i="31"/>
  <c r="G58" i="31"/>
  <c r="H58" i="31"/>
  <c r="G59" i="31"/>
  <c r="H59" i="31"/>
  <c r="G60" i="31"/>
  <c r="H60" i="31"/>
  <c r="G61" i="31"/>
  <c r="H61" i="31"/>
  <c r="G62" i="31"/>
  <c r="H62" i="31"/>
  <c r="G63" i="31"/>
  <c r="H63" i="31"/>
  <c r="G64" i="31"/>
  <c r="H64" i="31"/>
  <c r="G65" i="31"/>
  <c r="H65" i="31"/>
  <c r="G66" i="31"/>
  <c r="H66" i="31"/>
  <c r="G67" i="31"/>
  <c r="H67" i="31"/>
  <c r="G68" i="31"/>
  <c r="H68" i="31"/>
  <c r="G69" i="31"/>
  <c r="H69" i="31"/>
  <c r="G70" i="31"/>
  <c r="H70" i="31"/>
  <c r="G71" i="31"/>
  <c r="H71" i="31"/>
  <c r="G72" i="31"/>
  <c r="H72" i="31"/>
  <c r="G73" i="31"/>
  <c r="H73" i="31"/>
  <c r="G74" i="31"/>
  <c r="H74" i="31"/>
  <c r="G75" i="31"/>
  <c r="H75" i="31"/>
  <c r="G76" i="31"/>
  <c r="H76" i="31"/>
  <c r="G77" i="31"/>
  <c r="H77" i="31"/>
  <c r="G78" i="31"/>
  <c r="H78" i="31"/>
  <c r="G79" i="31"/>
  <c r="H79" i="31"/>
  <c r="G80" i="31"/>
  <c r="H80" i="31"/>
  <c r="G81" i="31"/>
  <c r="H81" i="31"/>
  <c r="G82" i="31"/>
  <c r="H82" i="31"/>
  <c r="G83" i="31"/>
  <c r="H83" i="31"/>
  <c r="G84" i="31"/>
  <c r="H84" i="31"/>
  <c r="G85" i="31"/>
  <c r="H85" i="31"/>
  <c r="G86" i="31"/>
  <c r="H86" i="31"/>
  <c r="G87" i="31"/>
  <c r="H87" i="31"/>
  <c r="G88" i="31"/>
  <c r="H88" i="31"/>
  <c r="G89" i="31"/>
  <c r="H89" i="31"/>
  <c r="G90" i="31"/>
  <c r="H90" i="31"/>
  <c r="G91" i="31"/>
  <c r="H91" i="31"/>
  <c r="G92" i="31"/>
  <c r="H92" i="31"/>
  <c r="G93" i="31"/>
  <c r="H93" i="31"/>
  <c r="G94" i="31"/>
  <c r="H94" i="31"/>
  <c r="G95" i="31"/>
  <c r="H95" i="31"/>
  <c r="G96" i="31"/>
  <c r="H96" i="31"/>
  <c r="G97" i="31"/>
  <c r="H97" i="31"/>
  <c r="G98" i="31"/>
  <c r="H98" i="31"/>
  <c r="G99" i="31"/>
  <c r="H99" i="31"/>
  <c r="G100" i="31"/>
  <c r="H100" i="31"/>
  <c r="G101" i="31"/>
  <c r="H101" i="31"/>
  <c r="G102" i="31"/>
  <c r="H102" i="31"/>
  <c r="G103" i="31"/>
  <c r="H103" i="31"/>
  <c r="G104" i="31"/>
  <c r="H104" i="31"/>
  <c r="G105" i="31"/>
  <c r="H105" i="31"/>
  <c r="G106" i="31"/>
  <c r="H106" i="31"/>
  <c r="G107" i="31"/>
  <c r="H107" i="31"/>
  <c r="G108" i="31"/>
  <c r="H108" i="31"/>
  <c r="G109" i="31"/>
  <c r="H109" i="31"/>
  <c r="G110" i="31"/>
  <c r="H110" i="31"/>
  <c r="G111" i="31"/>
  <c r="H111" i="31"/>
  <c r="G112" i="31"/>
  <c r="H112" i="31"/>
  <c r="G113" i="31"/>
  <c r="H113" i="31"/>
  <c r="G114" i="31"/>
  <c r="H114" i="31"/>
  <c r="G115" i="31"/>
  <c r="H115" i="31"/>
  <c r="G116" i="31"/>
  <c r="H116" i="31"/>
  <c r="G117" i="31"/>
  <c r="H117" i="31"/>
  <c r="G118" i="31"/>
  <c r="H118" i="31"/>
  <c r="G119" i="31"/>
  <c r="H119" i="31"/>
  <c r="G120" i="31"/>
  <c r="H120" i="31"/>
  <c r="G121" i="31"/>
  <c r="H121" i="31"/>
  <c r="G122" i="31"/>
  <c r="H122" i="31"/>
  <c r="G123" i="31"/>
  <c r="H123" i="31"/>
  <c r="G124" i="31"/>
  <c r="H124" i="31"/>
  <c r="G125" i="31"/>
  <c r="H125" i="31"/>
  <c r="G126" i="31"/>
  <c r="H126" i="31"/>
  <c r="G127" i="31"/>
  <c r="H127" i="31"/>
  <c r="G128" i="31"/>
  <c r="H128" i="31"/>
  <c r="F123" i="31"/>
  <c r="F124" i="31"/>
  <c r="F125" i="31"/>
  <c r="F126" i="31"/>
  <c r="F127" i="31"/>
  <c r="F128" i="31"/>
  <c r="F129"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77" i="31"/>
  <c r="F78" i="31"/>
  <c r="F79" i="31"/>
  <c r="F80" i="31"/>
  <c r="F81" i="31"/>
  <c r="F55" i="31"/>
  <c r="F56" i="31"/>
  <c r="F57" i="31"/>
  <c r="F58" i="31"/>
  <c r="F59" i="31"/>
  <c r="F60" i="31"/>
  <c r="F61" i="31"/>
  <c r="F62" i="31"/>
  <c r="F63" i="31"/>
  <c r="F64" i="31"/>
  <c r="F65" i="31"/>
  <c r="F66" i="31"/>
  <c r="F67" i="31"/>
  <c r="F68" i="31"/>
  <c r="F69" i="31"/>
  <c r="F70" i="31"/>
  <c r="F71" i="31"/>
  <c r="F72" i="31"/>
  <c r="F73" i="31"/>
  <c r="F74" i="31"/>
  <c r="F75" i="31"/>
  <c r="F76" i="31"/>
  <c r="F38" i="31"/>
  <c r="F39" i="31"/>
  <c r="F40" i="31"/>
  <c r="F41" i="31"/>
  <c r="F42" i="31"/>
  <c r="F43" i="31"/>
  <c r="F44" i="31"/>
  <c r="F45" i="31"/>
  <c r="F46" i="31"/>
  <c r="F47" i="31"/>
  <c r="F48" i="31"/>
  <c r="F49" i="31"/>
  <c r="F50" i="31"/>
  <c r="F51" i="31"/>
  <c r="F52" i="31"/>
  <c r="F53" i="31"/>
  <c r="F54" i="31"/>
  <c r="F31" i="31"/>
  <c r="F32" i="31"/>
  <c r="F33" i="31"/>
  <c r="F34" i="31"/>
  <c r="F35" i="31"/>
  <c r="F36" i="31"/>
  <c r="F37" i="31"/>
  <c r="F22" i="31"/>
  <c r="F23" i="31"/>
  <c r="F24" i="31"/>
  <c r="F25" i="31"/>
  <c r="F26" i="31"/>
  <c r="F27" i="31"/>
  <c r="F28" i="31"/>
  <c r="F29" i="31"/>
  <c r="F30" i="31"/>
  <c r="F8" i="31"/>
  <c r="F9" i="31"/>
  <c r="F10" i="31"/>
  <c r="F11" i="31"/>
  <c r="F12" i="31"/>
  <c r="F13" i="31"/>
  <c r="F14" i="31"/>
  <c r="F15" i="31"/>
  <c r="F16" i="31"/>
  <c r="F17" i="31"/>
  <c r="F18" i="31"/>
  <c r="F19" i="31"/>
  <c r="F20" i="31"/>
  <c r="F21" i="31"/>
  <c r="F5" i="31"/>
  <c r="F6" i="31"/>
  <c r="F7" i="31"/>
  <c r="G5" i="31"/>
  <c r="H5" i="31"/>
  <c r="G6" i="31"/>
  <c r="H6" i="31"/>
  <c r="G7" i="31"/>
  <c r="H7" i="31"/>
  <c r="G8" i="31"/>
  <c r="H8" i="31"/>
  <c r="G9" i="31"/>
  <c r="H9" i="31"/>
  <c r="G10" i="31"/>
  <c r="H10" i="31"/>
  <c r="G11" i="31"/>
  <c r="H11" i="31"/>
  <c r="G12" i="31"/>
  <c r="H12" i="31"/>
  <c r="G13" i="31"/>
  <c r="H13" i="31"/>
  <c r="G14" i="31"/>
  <c r="H14" i="31"/>
  <c r="G15" i="31"/>
  <c r="H15" i="31"/>
  <c r="G16" i="31"/>
  <c r="H16" i="31"/>
  <c r="G17" i="31"/>
  <c r="H17" i="31"/>
  <c r="G18" i="31"/>
  <c r="H18" i="31"/>
  <c r="G19" i="31"/>
  <c r="H19" i="31"/>
  <c r="G20" i="31"/>
  <c r="H20" i="31"/>
  <c r="G21" i="31"/>
  <c r="H21" i="31"/>
  <c r="G22" i="31"/>
  <c r="H22" i="31"/>
  <c r="H4" i="31"/>
  <c r="V160" i="20" l="1"/>
  <c r="V122" i="20"/>
  <c r="HR3" i="2" l="1"/>
  <c r="BS3" i="2" l="1"/>
  <c r="BS53" i="2"/>
  <c r="J149" i="37"/>
  <c r="F149" i="37"/>
  <c r="M145" i="37"/>
  <c r="E145" i="37"/>
  <c r="M144" i="37"/>
  <c r="E144" i="37"/>
  <c r="M143" i="37"/>
  <c r="E143" i="37"/>
  <c r="M142" i="37"/>
  <c r="E142" i="37"/>
  <c r="M141" i="37"/>
  <c r="E141" i="37"/>
  <c r="M140" i="37"/>
  <c r="E140" i="37"/>
  <c r="M139" i="37"/>
  <c r="E139" i="37"/>
  <c r="M138" i="37"/>
  <c r="E138" i="37"/>
  <c r="M137" i="37"/>
  <c r="E137" i="37"/>
  <c r="M136" i="37"/>
  <c r="E136" i="37"/>
  <c r="M135" i="37"/>
  <c r="E135" i="37"/>
  <c r="M134" i="37"/>
  <c r="E134" i="37"/>
  <c r="M133" i="37"/>
  <c r="L133" i="37"/>
  <c r="E133" i="37"/>
  <c r="M132" i="37"/>
  <c r="L132" i="37"/>
  <c r="E132" i="37"/>
  <c r="M131" i="37"/>
  <c r="L131" i="37"/>
  <c r="E131" i="37"/>
  <c r="M130" i="37"/>
  <c r="L130" i="37"/>
  <c r="E130" i="37"/>
  <c r="M129" i="37"/>
  <c r="E129" i="37"/>
  <c r="M128" i="37"/>
  <c r="L128" i="37"/>
  <c r="E128" i="37"/>
  <c r="M127" i="37"/>
  <c r="H127" i="37"/>
  <c r="E127" i="37"/>
  <c r="M125" i="37"/>
  <c r="L125" i="37"/>
  <c r="H125" i="37"/>
  <c r="E125" i="37"/>
  <c r="M124" i="37"/>
  <c r="L124" i="37"/>
  <c r="H124" i="37"/>
  <c r="E124" i="37"/>
  <c r="M123" i="37"/>
  <c r="L123" i="37"/>
  <c r="H123" i="37"/>
  <c r="E123" i="37"/>
  <c r="M122" i="37"/>
  <c r="L122" i="37"/>
  <c r="H122" i="37"/>
  <c r="E122" i="37"/>
  <c r="M121" i="37"/>
  <c r="L121" i="37"/>
  <c r="H121" i="37"/>
  <c r="E121" i="37"/>
  <c r="M120" i="37"/>
  <c r="L120" i="37"/>
  <c r="H120" i="37"/>
  <c r="E120" i="37"/>
  <c r="M119" i="37"/>
  <c r="L119" i="37"/>
  <c r="H119" i="37"/>
  <c r="E119" i="37"/>
  <c r="M118" i="37"/>
  <c r="L118" i="37"/>
  <c r="H118" i="37"/>
  <c r="E118" i="37"/>
  <c r="M117" i="37"/>
  <c r="L117" i="37"/>
  <c r="H117" i="37"/>
  <c r="E117" i="37"/>
  <c r="M116" i="37"/>
  <c r="L116" i="37"/>
  <c r="H116" i="37"/>
  <c r="E116" i="37"/>
  <c r="M115" i="37"/>
  <c r="L115" i="37"/>
  <c r="H115" i="37"/>
  <c r="E115" i="37"/>
  <c r="M114" i="37"/>
  <c r="L114" i="37"/>
  <c r="H114" i="37"/>
  <c r="E114" i="37"/>
  <c r="M113" i="37"/>
  <c r="L113" i="37"/>
  <c r="H113" i="37"/>
  <c r="E113" i="37"/>
  <c r="M112" i="37"/>
  <c r="L112" i="37"/>
  <c r="H112" i="37"/>
  <c r="E112" i="37"/>
  <c r="M111" i="37"/>
  <c r="L111" i="37"/>
  <c r="H111" i="37"/>
  <c r="E111" i="37"/>
  <c r="M110" i="37"/>
  <c r="L110" i="37"/>
  <c r="H110" i="37"/>
  <c r="E110" i="37"/>
  <c r="M109" i="37"/>
  <c r="L109" i="37"/>
  <c r="H109" i="37"/>
  <c r="E109" i="37"/>
  <c r="M108" i="37"/>
  <c r="E108" i="37"/>
  <c r="M107" i="37"/>
  <c r="L107" i="37"/>
  <c r="H107" i="37"/>
  <c r="E107" i="37"/>
  <c r="M106" i="37"/>
  <c r="L106" i="37"/>
  <c r="H106" i="37"/>
  <c r="E106" i="37"/>
  <c r="M105" i="37"/>
  <c r="L105" i="37"/>
  <c r="H105" i="37"/>
  <c r="E105" i="37"/>
  <c r="M104" i="37"/>
  <c r="L104" i="37"/>
  <c r="H104" i="37"/>
  <c r="E104" i="37"/>
  <c r="M103" i="37"/>
  <c r="L103" i="37"/>
  <c r="H103" i="37"/>
  <c r="E103" i="37"/>
  <c r="M102" i="37"/>
  <c r="L102" i="37"/>
  <c r="H102" i="37"/>
  <c r="E102" i="37"/>
  <c r="M101" i="37"/>
  <c r="L101" i="37"/>
  <c r="H101" i="37"/>
  <c r="E101" i="37"/>
  <c r="M100" i="37"/>
  <c r="L100" i="37"/>
  <c r="H100" i="37"/>
  <c r="E100" i="37"/>
  <c r="M99" i="37"/>
  <c r="L99" i="37"/>
  <c r="H99" i="37"/>
  <c r="E99" i="37"/>
  <c r="M98" i="37"/>
  <c r="L98" i="37"/>
  <c r="H98" i="37"/>
  <c r="E98" i="37"/>
  <c r="M97" i="37"/>
  <c r="L97" i="37"/>
  <c r="H97" i="37"/>
  <c r="E97" i="37"/>
  <c r="M95" i="37"/>
  <c r="L95" i="37"/>
  <c r="H95" i="37"/>
  <c r="E95" i="37"/>
  <c r="M94" i="37"/>
  <c r="L94" i="37"/>
  <c r="H94" i="37"/>
  <c r="E94" i="37"/>
  <c r="M93" i="37"/>
  <c r="L93" i="37"/>
  <c r="H93" i="37"/>
  <c r="E93" i="37"/>
  <c r="M92" i="37"/>
  <c r="H92" i="37"/>
  <c r="E92" i="37"/>
  <c r="M91" i="37"/>
  <c r="L91" i="37"/>
  <c r="H91" i="37"/>
  <c r="E91" i="37"/>
  <c r="M90" i="37"/>
  <c r="L90" i="37"/>
  <c r="H90" i="37"/>
  <c r="E90" i="37"/>
  <c r="M89" i="37"/>
  <c r="L89" i="37"/>
  <c r="H89" i="37"/>
  <c r="E89" i="37"/>
  <c r="M88" i="37"/>
  <c r="L88" i="37"/>
  <c r="H88" i="37"/>
  <c r="E88" i="37"/>
  <c r="M87" i="37"/>
  <c r="L87" i="37"/>
  <c r="H87" i="37"/>
  <c r="E87" i="37"/>
  <c r="M86" i="37"/>
  <c r="L86" i="37"/>
  <c r="H86" i="37"/>
  <c r="E86" i="37"/>
  <c r="M85" i="37"/>
  <c r="L85" i="37"/>
  <c r="H85" i="37"/>
  <c r="E85" i="37"/>
  <c r="M84" i="37"/>
  <c r="L84" i="37"/>
  <c r="H84" i="37"/>
  <c r="E84" i="37"/>
  <c r="M83" i="37"/>
  <c r="L83" i="37"/>
  <c r="H83" i="37"/>
  <c r="E83" i="37"/>
  <c r="M82" i="37"/>
  <c r="L82" i="37"/>
  <c r="H82" i="37"/>
  <c r="E82" i="37"/>
  <c r="M81" i="37"/>
  <c r="L81" i="37"/>
  <c r="H81" i="37"/>
  <c r="E81" i="37"/>
  <c r="M80" i="37"/>
  <c r="L80" i="37"/>
  <c r="H80" i="37"/>
  <c r="E80" i="37"/>
  <c r="M79" i="37"/>
  <c r="L79" i="37"/>
  <c r="H79" i="37"/>
  <c r="E79" i="37"/>
  <c r="M78" i="37"/>
  <c r="L78" i="37"/>
  <c r="H78" i="37"/>
  <c r="E78" i="37"/>
  <c r="M77" i="37"/>
  <c r="L77" i="37"/>
  <c r="H77" i="37"/>
  <c r="E77" i="37"/>
  <c r="M74" i="37"/>
  <c r="L74" i="37"/>
  <c r="H74" i="37"/>
  <c r="F74" i="37"/>
  <c r="F77" i="37" s="1"/>
  <c r="F78" i="37" s="1"/>
  <c r="F79" i="37" s="1"/>
  <c r="F80" i="37" s="1"/>
  <c r="F81" i="37" s="1"/>
  <c r="F82" i="37" s="1"/>
  <c r="F83" i="37" s="1"/>
  <c r="F84" i="37" s="1"/>
  <c r="F85" i="37" s="1"/>
  <c r="F86" i="37" s="1"/>
  <c r="F87" i="37" s="1"/>
  <c r="F88" i="37" s="1"/>
  <c r="F89" i="37" s="1"/>
  <c r="F90" i="37" s="1"/>
  <c r="F91" i="37" s="1"/>
  <c r="F92" i="37" s="1"/>
  <c r="F93" i="37" s="1"/>
  <c r="F94" i="37" s="1"/>
  <c r="F95" i="37" s="1"/>
  <c r="F97" i="37" s="1"/>
  <c r="F98" i="37" s="1"/>
  <c r="F99" i="37" s="1"/>
  <c r="F100" i="37" s="1"/>
  <c r="F101" i="37" s="1"/>
  <c r="F102" i="37" s="1"/>
  <c r="F103" i="37" s="1"/>
  <c r="F104" i="37" s="1"/>
  <c r="F105" i="37" s="1"/>
  <c r="F106"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7" i="37" s="1"/>
  <c r="F128" i="37" s="1"/>
  <c r="F129" i="37" s="1"/>
  <c r="F130" i="37" s="1"/>
  <c r="F131" i="37" s="1"/>
  <c r="F132" i="37" s="1"/>
  <c r="F133" i="37" s="1"/>
  <c r="F134" i="37" s="1"/>
  <c r="F135" i="37" s="1"/>
  <c r="F136" i="37" s="1"/>
  <c r="F137" i="37" s="1"/>
  <c r="F138" i="37" s="1"/>
  <c r="F139" i="37" s="1"/>
  <c r="F140" i="37" s="1"/>
  <c r="F141" i="37" s="1"/>
  <c r="F142" i="37" s="1"/>
  <c r="E74" i="37"/>
  <c r="M73" i="37"/>
  <c r="L73" i="37"/>
  <c r="H73" i="37"/>
  <c r="F73" i="37"/>
  <c r="E73" i="37"/>
  <c r="M72" i="37"/>
  <c r="L72" i="37"/>
  <c r="H72" i="37"/>
  <c r="E72" i="37"/>
  <c r="M71" i="37"/>
  <c r="L71" i="37"/>
  <c r="H71" i="37"/>
  <c r="E71" i="37"/>
  <c r="M70" i="37"/>
  <c r="L70" i="37"/>
  <c r="H70" i="37"/>
  <c r="E70" i="37"/>
  <c r="M69" i="37"/>
  <c r="L69" i="37"/>
  <c r="H69" i="37"/>
  <c r="E69" i="37"/>
  <c r="M68" i="37"/>
  <c r="L68" i="37"/>
  <c r="H68" i="37"/>
  <c r="E68" i="37"/>
  <c r="M67" i="37"/>
  <c r="L67" i="37"/>
  <c r="H67" i="37"/>
  <c r="E67" i="37"/>
  <c r="M66" i="37"/>
  <c r="L66" i="37"/>
  <c r="H66" i="37"/>
  <c r="E66" i="37"/>
  <c r="M65" i="37"/>
  <c r="L65" i="37"/>
  <c r="H65" i="37"/>
  <c r="E65" i="37"/>
  <c r="M64" i="37"/>
  <c r="L64" i="37"/>
  <c r="H64" i="37"/>
  <c r="E64" i="37"/>
  <c r="M63" i="37"/>
  <c r="L63" i="37"/>
  <c r="H63" i="37"/>
  <c r="E63" i="37"/>
  <c r="M62" i="37"/>
  <c r="L62" i="37"/>
  <c r="H62" i="37"/>
  <c r="E62" i="37"/>
  <c r="M61" i="37"/>
  <c r="L61" i="37"/>
  <c r="H61" i="37"/>
  <c r="E61" i="37"/>
  <c r="M60" i="37"/>
  <c r="L60" i="37"/>
  <c r="H60" i="37"/>
  <c r="E60" i="37"/>
  <c r="M59" i="37"/>
  <c r="L59" i="37"/>
  <c r="H59" i="37"/>
  <c r="E59" i="37"/>
  <c r="M58" i="37"/>
  <c r="E58" i="37"/>
  <c r="M57" i="37"/>
  <c r="L57" i="37"/>
  <c r="H57" i="37"/>
  <c r="E57" i="37"/>
  <c r="M56" i="37"/>
  <c r="L56" i="37"/>
  <c r="H56" i="37"/>
  <c r="E56" i="37"/>
  <c r="M55" i="37"/>
  <c r="L55" i="37"/>
  <c r="H55" i="37"/>
  <c r="E55" i="37"/>
  <c r="M54" i="37"/>
  <c r="L54" i="37"/>
  <c r="H54" i="37"/>
  <c r="E54" i="37"/>
  <c r="M53" i="37"/>
  <c r="L53" i="37"/>
  <c r="H53" i="37"/>
  <c r="E53" i="37"/>
  <c r="M52" i="37"/>
  <c r="L52" i="37"/>
  <c r="H52" i="37"/>
  <c r="E52" i="37"/>
  <c r="M51" i="37"/>
  <c r="L51" i="37"/>
  <c r="H51" i="37"/>
  <c r="E51" i="37"/>
  <c r="M50" i="37"/>
  <c r="L50" i="37"/>
  <c r="H50" i="37"/>
  <c r="E50" i="37"/>
  <c r="M49" i="37"/>
  <c r="L49" i="37"/>
  <c r="H49" i="37"/>
  <c r="E49" i="37"/>
  <c r="M46" i="37"/>
  <c r="L46" i="37"/>
  <c r="E46" i="37"/>
  <c r="M45" i="37"/>
  <c r="H45" i="37"/>
  <c r="E45" i="37"/>
  <c r="M44" i="37"/>
  <c r="L44" i="37"/>
  <c r="H44" i="37"/>
  <c r="E44" i="37"/>
  <c r="M43" i="37"/>
  <c r="H43" i="37"/>
  <c r="E43" i="37"/>
  <c r="M42" i="37"/>
  <c r="L42" i="37"/>
  <c r="H42" i="37"/>
  <c r="E42" i="37"/>
  <c r="M41" i="37"/>
  <c r="L41" i="37"/>
  <c r="H41" i="37"/>
  <c r="E41" i="37"/>
  <c r="M40" i="37"/>
  <c r="L40" i="37"/>
  <c r="H40" i="37"/>
  <c r="E40" i="37"/>
  <c r="M39" i="37"/>
  <c r="L39" i="37"/>
  <c r="H39" i="37"/>
  <c r="E39" i="37"/>
  <c r="H38" i="37"/>
  <c r="E38" i="37"/>
  <c r="M37" i="37"/>
  <c r="L37" i="37"/>
  <c r="H37" i="37"/>
  <c r="E37" i="37"/>
  <c r="M36" i="37"/>
  <c r="L36" i="37"/>
  <c r="H36" i="37"/>
  <c r="E36" i="37"/>
  <c r="M35" i="37"/>
  <c r="L35" i="37"/>
  <c r="H35" i="37"/>
  <c r="E35" i="37"/>
  <c r="M34" i="37"/>
  <c r="L34" i="37"/>
  <c r="H34" i="37"/>
  <c r="E34" i="37"/>
  <c r="M33" i="37"/>
  <c r="L33" i="37"/>
  <c r="H33" i="37"/>
  <c r="E33" i="37"/>
  <c r="M32" i="37"/>
  <c r="L32" i="37"/>
  <c r="H32" i="37"/>
  <c r="E32" i="37"/>
  <c r="M31" i="37"/>
  <c r="L31" i="37"/>
  <c r="H31" i="37"/>
  <c r="E31" i="37"/>
  <c r="M30" i="37"/>
  <c r="L30" i="37"/>
  <c r="H30" i="37"/>
  <c r="E30" i="37"/>
  <c r="M29" i="37"/>
  <c r="L29" i="37"/>
  <c r="H29" i="37"/>
  <c r="E29" i="37"/>
  <c r="M28" i="37"/>
  <c r="L28" i="37"/>
  <c r="H28" i="37"/>
  <c r="E28" i="37"/>
  <c r="M27" i="37"/>
  <c r="L27" i="37"/>
  <c r="H27" i="37"/>
  <c r="E27" i="37"/>
  <c r="M26" i="37"/>
  <c r="L26" i="37"/>
  <c r="H26" i="37"/>
  <c r="E26" i="37"/>
  <c r="M25" i="37"/>
  <c r="L25" i="37"/>
  <c r="H25" i="37"/>
  <c r="E25" i="37"/>
  <c r="M24" i="37"/>
  <c r="L24" i="37"/>
  <c r="H24" i="37"/>
  <c r="E24" i="37"/>
  <c r="M23" i="37"/>
  <c r="L23" i="37"/>
  <c r="H23" i="37"/>
  <c r="E23" i="37"/>
  <c r="M21" i="37"/>
  <c r="L21" i="37"/>
  <c r="E21" i="37"/>
  <c r="M20" i="37"/>
  <c r="L20" i="37"/>
  <c r="H20" i="37"/>
  <c r="E20" i="37"/>
  <c r="M19" i="37"/>
  <c r="L19" i="37"/>
  <c r="H19" i="37"/>
  <c r="E19" i="37"/>
  <c r="M18" i="37"/>
  <c r="L18" i="37"/>
  <c r="H18" i="37"/>
  <c r="E18" i="37"/>
  <c r="M17" i="37"/>
  <c r="L17" i="37"/>
  <c r="H17" i="37"/>
  <c r="E17" i="37"/>
  <c r="M16" i="37"/>
  <c r="L16" i="37"/>
  <c r="H16" i="37"/>
  <c r="E16" i="37"/>
  <c r="M15" i="37"/>
  <c r="L15" i="37"/>
  <c r="H15" i="37"/>
  <c r="E15" i="37"/>
  <c r="M14" i="37"/>
  <c r="L14" i="37"/>
  <c r="H14" i="37"/>
  <c r="E14" i="37"/>
  <c r="M13" i="37"/>
  <c r="L13" i="37"/>
  <c r="H13" i="37"/>
  <c r="E13" i="37"/>
  <c r="M12" i="37"/>
  <c r="L12" i="37"/>
  <c r="H12" i="37"/>
  <c r="E12" i="37"/>
  <c r="M11" i="37"/>
  <c r="L11" i="37"/>
  <c r="H11" i="37"/>
  <c r="E11" i="37"/>
  <c r="M10" i="37"/>
  <c r="L10" i="37"/>
  <c r="H10" i="37"/>
  <c r="E10" i="37"/>
  <c r="M9" i="37"/>
  <c r="L9" i="37"/>
  <c r="H9" i="37"/>
  <c r="E9" i="37"/>
  <c r="M8" i="37"/>
  <c r="L8" i="37"/>
  <c r="H8" i="37"/>
  <c r="E8" i="37"/>
  <c r="M7" i="37"/>
  <c r="L7" i="37"/>
  <c r="H7" i="37"/>
  <c r="E7" i="37"/>
  <c r="M6" i="37"/>
  <c r="L6" i="37"/>
  <c r="H6" i="37"/>
  <c r="E6" i="37"/>
  <c r="M5" i="37"/>
  <c r="L5" i="37"/>
  <c r="H5" i="37"/>
  <c r="E5" i="37"/>
  <c r="F143" i="37" l="1"/>
  <c r="F144" i="37"/>
  <c r="IE57" i="2" l="1"/>
  <c r="IG57" i="2"/>
  <c r="II57" i="2"/>
  <c r="IJ57" i="2"/>
  <c r="IK57" i="2"/>
  <c r="IL57" i="2"/>
  <c r="IM57" i="2"/>
  <c r="IN57" i="2"/>
  <c r="IO57" i="2"/>
  <c r="IP57" i="2"/>
  <c r="IQ57" i="2"/>
  <c r="IR57" i="2"/>
  <c r="IS57" i="2"/>
  <c r="IT57" i="2"/>
  <c r="IU57" i="2"/>
  <c r="IV57" i="2"/>
  <c r="IW57" i="2"/>
  <c r="JD57" i="2"/>
  <c r="JE57" i="2"/>
  <c r="JG57" i="2"/>
  <c r="JH57" i="2"/>
  <c r="JI57" i="2"/>
  <c r="JJ57" i="2"/>
  <c r="JK57" i="2"/>
  <c r="JL57" i="2"/>
  <c r="JM57" i="2"/>
  <c r="JN57" i="2"/>
  <c r="JO57" i="2"/>
  <c r="JP57" i="2"/>
  <c r="JR57" i="2"/>
  <c r="JS57" i="2"/>
  <c r="JT57" i="2"/>
  <c r="JU57" i="2"/>
  <c r="JV57" i="2"/>
  <c r="JW57" i="2"/>
  <c r="JX57" i="2"/>
  <c r="JY57" i="2"/>
  <c r="JZ57" i="2"/>
  <c r="KA57" i="2"/>
  <c r="KB57" i="2"/>
  <c r="KC57" i="2"/>
  <c r="KD57" i="2"/>
  <c r="KE57" i="2"/>
  <c r="KF57" i="2"/>
  <c r="KG57" i="2"/>
  <c r="KH57" i="2"/>
  <c r="KI57" i="2"/>
  <c r="KJ57" i="2"/>
  <c r="KK57" i="2"/>
  <c r="KL57" i="2"/>
  <c r="KM57" i="2"/>
  <c r="KO57" i="2"/>
  <c r="KP57" i="2"/>
  <c r="KQ57" i="2"/>
  <c r="KR57" i="2"/>
  <c r="KS57" i="2"/>
  <c r="KT57" i="2"/>
  <c r="KU57" i="2"/>
  <c r="KY57" i="2"/>
  <c r="LA57" i="2"/>
  <c r="LC57" i="2"/>
  <c r="LE57" i="2"/>
  <c r="LG57" i="2"/>
  <c r="LH57" i="2"/>
  <c r="LI57" i="2"/>
  <c r="LJ57" i="2"/>
  <c r="LL57" i="2"/>
  <c r="LM57" i="2"/>
  <c r="LN57" i="2"/>
  <c r="LO57" i="2"/>
  <c r="LP57" i="2"/>
  <c r="LQ57" i="2"/>
  <c r="LR57" i="2"/>
  <c r="LS57" i="2"/>
  <c r="LT57" i="2"/>
  <c r="LU57" i="2"/>
  <c r="LV57" i="2"/>
  <c r="LW57" i="2"/>
  <c r="LX57" i="2"/>
  <c r="LY57" i="2"/>
  <c r="LZ57" i="2"/>
  <c r="MA57" i="2"/>
  <c r="MB57" i="2"/>
  <c r="MC57" i="2"/>
  <c r="MD57" i="2"/>
  <c r="ME57" i="2"/>
  <c r="MF57" i="2"/>
  <c r="MG57" i="2"/>
  <c r="MH57" i="2"/>
  <c r="MI57" i="2"/>
  <c r="MJ57" i="2"/>
  <c r="MK57" i="2"/>
  <c r="ML57" i="2"/>
  <c r="MM57" i="2"/>
  <c r="MN57" i="2"/>
  <c r="MO57" i="2"/>
  <c r="MP57" i="2"/>
  <c r="MQ57" i="2"/>
  <c r="MR57" i="2"/>
  <c r="MS57" i="2"/>
  <c r="MT57" i="2"/>
  <c r="MU57" i="2"/>
  <c r="MV57" i="2"/>
  <c r="MW57" i="2"/>
  <c r="MX57" i="2"/>
  <c r="MY57" i="2"/>
  <c r="MZ57" i="2"/>
  <c r="NA57" i="2"/>
  <c r="NB57" i="2"/>
  <c r="NC57" i="2"/>
  <c r="ND57" i="2"/>
  <c r="NE57" i="2"/>
  <c r="NF57" i="2"/>
  <c r="NG57" i="2"/>
  <c r="NH57" i="2"/>
  <c r="NI57" i="2"/>
  <c r="NJ57" i="2"/>
  <c r="NK57" i="2"/>
  <c r="NL57" i="2"/>
  <c r="NM57" i="2"/>
  <c r="NN57" i="2"/>
  <c r="NO57" i="2"/>
  <c r="NP57" i="2"/>
  <c r="NQ57" i="2"/>
  <c r="NR57" i="2"/>
  <c r="NS57" i="2"/>
  <c r="NT57" i="2"/>
  <c r="NU57" i="2"/>
  <c r="NV57" i="2"/>
  <c r="NW57" i="2"/>
  <c r="NX57" i="2"/>
  <c r="NY57" i="2"/>
  <c r="NZ57" i="2"/>
  <c r="OA57" i="2"/>
  <c r="OB57" i="2"/>
  <c r="OC57" i="2"/>
  <c r="OD57" i="2"/>
  <c r="OE57" i="2"/>
  <c r="OF57" i="2"/>
  <c r="OG57" i="2"/>
  <c r="OH57" i="2"/>
  <c r="OI57" i="2"/>
  <c r="OJ57" i="2"/>
  <c r="OK57" i="2"/>
  <c r="OL57" i="2"/>
  <c r="OM57" i="2"/>
  <c r="ON57" i="2"/>
  <c r="OO57" i="2"/>
  <c r="OP57" i="2"/>
  <c r="OQ57" i="2"/>
  <c r="OR57" i="2"/>
  <c r="OS57" i="2"/>
  <c r="OT57" i="2"/>
  <c r="OU57" i="2"/>
  <c r="OV57" i="2"/>
  <c r="OW57" i="2"/>
  <c r="OX57" i="2"/>
  <c r="OY57" i="2"/>
  <c r="OZ57" i="2"/>
  <c r="PA57" i="2"/>
  <c r="PB57" i="2"/>
  <c r="PC57" i="2"/>
  <c r="PD57" i="2"/>
  <c r="PE57" i="2"/>
  <c r="PF57" i="2"/>
  <c r="PG57" i="2"/>
  <c r="PH57" i="2"/>
  <c r="PI57" i="2"/>
  <c r="PJ57" i="2"/>
  <c r="PK57" i="2"/>
  <c r="PL57" i="2"/>
  <c r="KN57" i="2" l="1"/>
  <c r="IE54" i="2"/>
  <c r="BS13" i="2"/>
  <c r="IY57" i="2"/>
  <c r="JB57" i="2"/>
  <c r="JC57" i="2"/>
  <c r="IZ57" i="2"/>
  <c r="KV57" i="2"/>
  <c r="IX57" i="2"/>
  <c r="JQ57" i="2"/>
  <c r="KW57" i="2"/>
  <c r="JF57" i="2"/>
  <c r="JA57" i="2"/>
  <c r="J368" i="22" l="1"/>
  <c r="K355" i="22"/>
  <c r="J355" i="22"/>
  <c r="J291" i="22"/>
  <c r="C368" i="35" l="1"/>
  <c r="K361" i="22" l="1"/>
  <c r="K360" i="22"/>
  <c r="K359" i="22"/>
  <c r="K358" i="22"/>
  <c r="K357" i="22"/>
  <c r="K365" i="22"/>
  <c r="K366" i="22"/>
  <c r="R119" i="35" l="1"/>
  <c r="Q123" i="35"/>
  <c r="Q125" i="35" s="1"/>
  <c r="P123" i="35" l="1"/>
  <c r="P125" i="35" s="1"/>
  <c r="R125" i="35" s="1"/>
  <c r="F150" i="35" l="1"/>
  <c r="E150" i="35"/>
  <c r="D150" i="35"/>
  <c r="C150" i="35"/>
  <c r="F149" i="35"/>
  <c r="E149" i="35"/>
  <c r="D149" i="35"/>
  <c r="C149" i="35"/>
  <c r="F120" i="35"/>
  <c r="E120" i="35"/>
  <c r="D120" i="35"/>
  <c r="F121" i="35"/>
  <c r="E121" i="35"/>
  <c r="D121" i="35"/>
  <c r="C121" i="35"/>
  <c r="C120" i="35"/>
  <c r="D122" i="35" l="1"/>
  <c r="E122" i="35"/>
  <c r="F122" i="35"/>
  <c r="C122" i="35"/>
  <c r="D151" i="35"/>
  <c r="E151" i="35"/>
  <c r="C151" i="35"/>
  <c r="F151" i="35"/>
  <c r="BF54" i="2" l="1"/>
  <c r="J367" i="22" l="1"/>
  <c r="J290" i="22"/>
  <c r="K289" i="22"/>
  <c r="J289" i="22"/>
  <c r="AG284" i="34" l="1"/>
  <c r="AG283" i="34"/>
  <c r="AG281" i="34"/>
  <c r="AG280" i="34"/>
  <c r="C288" i="34" l="1"/>
  <c r="B288" i="34"/>
  <c r="E255" i="34" l="1"/>
  <c r="AE250" i="34" l="1"/>
  <c r="AC250" i="34"/>
  <c r="AD250" i="34"/>
  <c r="AD248" i="34"/>
  <c r="AC248" i="34"/>
  <c r="AE244" i="34"/>
  <c r="AS210" i="34" l="1"/>
  <c r="AP210" i="34"/>
  <c r="AQ210" i="34"/>
  <c r="AR210" i="34"/>
  <c r="AO210" i="34"/>
  <c r="AN210" i="34"/>
  <c r="AM210" i="34"/>
  <c r="AE210" i="34" l="1"/>
  <c r="AG210" i="34"/>
  <c r="E210" i="34"/>
  <c r="A32" i="2"/>
  <c r="C92" i="22" l="1"/>
  <c r="D92" i="22"/>
  <c r="E92" i="22"/>
  <c r="F92" i="22"/>
  <c r="G92" i="22"/>
  <c r="H92" i="22"/>
  <c r="GN53" i="2" l="1"/>
  <c r="EV54" i="2" l="1"/>
  <c r="V3" i="34"/>
  <c r="Y52" i="34"/>
  <c r="X3" i="34"/>
  <c r="V52" i="34"/>
  <c r="Y38" i="34"/>
  <c r="X55" i="34"/>
  <c r="Y55" i="34"/>
  <c r="X56" i="34"/>
  <c r="Y56" i="34"/>
  <c r="X57" i="34"/>
  <c r="Y57" i="34"/>
  <c r="X58" i="34"/>
  <c r="Y58" i="34"/>
  <c r="X59" i="34"/>
  <c r="Y59" i="34"/>
  <c r="X60" i="34"/>
  <c r="Y60" i="34"/>
  <c r="X61" i="34"/>
  <c r="Y61" i="34"/>
  <c r="X62" i="34"/>
  <c r="Y62" i="34"/>
  <c r="X63" i="34"/>
  <c r="Y63" i="34"/>
  <c r="X64" i="34"/>
  <c r="Y64" i="34"/>
  <c r="X65" i="34"/>
  <c r="Y65" i="34"/>
  <c r="X66" i="34"/>
  <c r="Y66" i="34"/>
  <c r="X67" i="34"/>
  <c r="Y67" i="34"/>
  <c r="X68" i="34"/>
  <c r="Y68" i="34"/>
  <c r="X69" i="34"/>
  <c r="Y69" i="34"/>
  <c r="X70" i="34"/>
  <c r="Y70" i="34"/>
  <c r="X71" i="34"/>
  <c r="Y71" i="34"/>
  <c r="X72" i="34"/>
  <c r="Y72" i="34"/>
  <c r="X73" i="34"/>
  <c r="Y73" i="34"/>
  <c r="X74" i="34"/>
  <c r="Y74" i="34"/>
  <c r="X75" i="34"/>
  <c r="Y75" i="34"/>
  <c r="X76" i="34"/>
  <c r="Y76" i="34"/>
  <c r="X77" i="34"/>
  <c r="Y77" i="34"/>
  <c r="X78" i="34"/>
  <c r="Y78" i="34"/>
  <c r="X79" i="34"/>
  <c r="Y79" i="34"/>
  <c r="X80" i="34"/>
  <c r="Y80" i="34"/>
  <c r="X81" i="34"/>
  <c r="Y81" i="34"/>
  <c r="X82" i="34"/>
  <c r="Y82" i="34"/>
  <c r="X83" i="34"/>
  <c r="Y83" i="34"/>
  <c r="X84" i="34"/>
  <c r="Y84" i="34"/>
  <c r="X85" i="34"/>
  <c r="Y85" i="34"/>
  <c r="X86" i="34"/>
  <c r="Y86" i="34"/>
  <c r="X87" i="34"/>
  <c r="Y87" i="34"/>
  <c r="X89" i="34"/>
  <c r="Y89" i="34"/>
  <c r="X90" i="34"/>
  <c r="Y90" i="34"/>
  <c r="X91" i="34"/>
  <c r="Y91" i="34"/>
  <c r="X95" i="34"/>
  <c r="Y95" i="34"/>
  <c r="X96" i="34"/>
  <c r="Y96" i="34"/>
  <c r="X97" i="34"/>
  <c r="Y97" i="34"/>
  <c r="T53" i="34"/>
  <c r="U53" i="34"/>
  <c r="V53" i="34"/>
  <c r="X53" i="34"/>
  <c r="Y53" i="34"/>
  <c r="T54" i="34"/>
  <c r="U54" i="34"/>
  <c r="V54" i="34"/>
  <c r="X54" i="34"/>
  <c r="Y54" i="34"/>
  <c r="T55" i="34"/>
  <c r="U55" i="34"/>
  <c r="V55" i="34"/>
  <c r="T56" i="34"/>
  <c r="U56" i="34"/>
  <c r="V56" i="34"/>
  <c r="T57" i="34"/>
  <c r="U57" i="34"/>
  <c r="V57" i="34"/>
  <c r="T58" i="34"/>
  <c r="U58" i="34"/>
  <c r="V58" i="34"/>
  <c r="T59" i="34"/>
  <c r="U59" i="34"/>
  <c r="V59" i="34"/>
  <c r="T60" i="34"/>
  <c r="U60" i="34"/>
  <c r="V60" i="34"/>
  <c r="T61" i="34"/>
  <c r="U61" i="34"/>
  <c r="V61" i="34"/>
  <c r="T62" i="34"/>
  <c r="U62" i="34"/>
  <c r="V62" i="34"/>
  <c r="T63" i="34"/>
  <c r="U63" i="34"/>
  <c r="V63" i="34"/>
  <c r="T64" i="34"/>
  <c r="U64" i="34"/>
  <c r="V64" i="34"/>
  <c r="T65" i="34"/>
  <c r="U65" i="34"/>
  <c r="V65" i="34"/>
  <c r="T66" i="34"/>
  <c r="U66" i="34"/>
  <c r="V66" i="34"/>
  <c r="T67" i="34"/>
  <c r="U67" i="34"/>
  <c r="V67" i="34"/>
  <c r="T68" i="34"/>
  <c r="U68" i="34"/>
  <c r="V68" i="34"/>
  <c r="T69" i="34"/>
  <c r="U69" i="34"/>
  <c r="V69" i="34"/>
  <c r="T70" i="34"/>
  <c r="U70" i="34"/>
  <c r="V70" i="34"/>
  <c r="T71" i="34"/>
  <c r="U71" i="34"/>
  <c r="V71" i="34"/>
  <c r="T72" i="34"/>
  <c r="U72" i="34"/>
  <c r="V72" i="34"/>
  <c r="T73" i="34"/>
  <c r="U73" i="34"/>
  <c r="V73" i="34"/>
  <c r="T74" i="34"/>
  <c r="U74" i="34"/>
  <c r="V74" i="34"/>
  <c r="T75" i="34"/>
  <c r="U75" i="34"/>
  <c r="V75" i="34"/>
  <c r="T76" i="34"/>
  <c r="U76" i="34"/>
  <c r="V76" i="34"/>
  <c r="T77" i="34"/>
  <c r="U77" i="34"/>
  <c r="V77" i="34"/>
  <c r="T78" i="34"/>
  <c r="U78" i="34"/>
  <c r="V78" i="34"/>
  <c r="T79" i="34"/>
  <c r="U79" i="34"/>
  <c r="V79" i="34"/>
  <c r="T80" i="34"/>
  <c r="U80" i="34"/>
  <c r="V80" i="34"/>
  <c r="T81" i="34"/>
  <c r="U81" i="34"/>
  <c r="V81" i="34"/>
  <c r="T82" i="34"/>
  <c r="U82" i="34"/>
  <c r="V82" i="34"/>
  <c r="T83" i="34"/>
  <c r="U83" i="34"/>
  <c r="V83" i="34"/>
  <c r="T84" i="34"/>
  <c r="U84" i="34"/>
  <c r="V84" i="34"/>
  <c r="T85" i="34"/>
  <c r="U85" i="34"/>
  <c r="V85" i="34"/>
  <c r="T86" i="34"/>
  <c r="U86" i="34"/>
  <c r="V86" i="34"/>
  <c r="T87" i="34"/>
  <c r="U87" i="34"/>
  <c r="V87" i="34"/>
  <c r="T89" i="34"/>
  <c r="U89" i="34"/>
  <c r="V89" i="34"/>
  <c r="T90" i="34"/>
  <c r="U90" i="34"/>
  <c r="V90" i="34"/>
  <c r="T91" i="34"/>
  <c r="U91" i="34"/>
  <c r="V91" i="34"/>
  <c r="T95" i="34"/>
  <c r="U95" i="34"/>
  <c r="V95" i="34"/>
  <c r="T96" i="34"/>
  <c r="U96" i="34"/>
  <c r="V96" i="34"/>
  <c r="T93" i="34"/>
  <c r="U93" i="34"/>
  <c r="V93" i="34"/>
  <c r="X93" i="34"/>
  <c r="Y93" i="34"/>
  <c r="T98" i="34"/>
  <c r="U98" i="34"/>
  <c r="V98" i="34"/>
  <c r="X98" i="34"/>
  <c r="Y98" i="34"/>
  <c r="T99" i="34"/>
  <c r="U99" i="34"/>
  <c r="V99" i="34"/>
  <c r="X99" i="34"/>
  <c r="Y99" i="34"/>
  <c r="T100" i="34"/>
  <c r="U100" i="34"/>
  <c r="V100" i="34"/>
  <c r="X100" i="34"/>
  <c r="Y100" i="34"/>
  <c r="T101" i="34"/>
  <c r="U101" i="34"/>
  <c r="V101" i="34"/>
  <c r="X101" i="34"/>
  <c r="Y101" i="34"/>
  <c r="T102" i="34"/>
  <c r="U102" i="34"/>
  <c r="V102" i="34"/>
  <c r="X102" i="34"/>
  <c r="Y102" i="34"/>
  <c r="T103" i="34"/>
  <c r="U103" i="34"/>
  <c r="V103" i="34"/>
  <c r="X103" i="34"/>
  <c r="Y103" i="34"/>
  <c r="T104" i="34"/>
  <c r="U104" i="34"/>
  <c r="V104" i="34"/>
  <c r="X104" i="34"/>
  <c r="Y104" i="34"/>
  <c r="T105" i="34"/>
  <c r="U105" i="34"/>
  <c r="V105" i="34"/>
  <c r="X105" i="34"/>
  <c r="Y105" i="34"/>
  <c r="T106" i="34"/>
  <c r="U106" i="34"/>
  <c r="V106" i="34"/>
  <c r="X106" i="34"/>
  <c r="Y106" i="34"/>
  <c r="T107" i="34"/>
  <c r="U107" i="34"/>
  <c r="V107" i="34"/>
  <c r="X107" i="34"/>
  <c r="Y107" i="34"/>
  <c r="T108" i="34"/>
  <c r="U108" i="34"/>
  <c r="V108" i="34"/>
  <c r="X108" i="34"/>
  <c r="Y108" i="34"/>
  <c r="T109" i="34"/>
  <c r="U109" i="34"/>
  <c r="V109" i="34"/>
  <c r="X109" i="34"/>
  <c r="Y109" i="34"/>
  <c r="T110" i="34"/>
  <c r="U110" i="34"/>
  <c r="V110" i="34"/>
  <c r="X110" i="34"/>
  <c r="Y110" i="34"/>
  <c r="T111" i="34"/>
  <c r="U111" i="34"/>
  <c r="V111" i="34"/>
  <c r="X111" i="34"/>
  <c r="Y111" i="34"/>
  <c r="T112" i="34"/>
  <c r="U112" i="34"/>
  <c r="V112" i="34"/>
  <c r="X112" i="34"/>
  <c r="Y112" i="34"/>
  <c r="T113" i="34"/>
  <c r="U113" i="34"/>
  <c r="V113" i="34"/>
  <c r="X113" i="34"/>
  <c r="Y113" i="34"/>
  <c r="T114" i="34"/>
  <c r="U114" i="34"/>
  <c r="V114" i="34"/>
  <c r="X114" i="34"/>
  <c r="Y114" i="34"/>
  <c r="T115" i="34"/>
  <c r="U115" i="34"/>
  <c r="V115" i="34"/>
  <c r="X115" i="34"/>
  <c r="Y115" i="34"/>
  <c r="T116" i="34"/>
  <c r="U116" i="34"/>
  <c r="V116" i="34"/>
  <c r="X116" i="34"/>
  <c r="Y116" i="34"/>
  <c r="T117" i="34"/>
  <c r="U117" i="34"/>
  <c r="V117" i="34"/>
  <c r="X117" i="34"/>
  <c r="Y117" i="34"/>
  <c r="T118" i="34"/>
  <c r="U118" i="34"/>
  <c r="V118" i="34"/>
  <c r="X118" i="34"/>
  <c r="Y118" i="34"/>
  <c r="X52" i="34"/>
  <c r="U52" i="34"/>
  <c r="T52" i="34"/>
  <c r="U41" i="34"/>
  <c r="U40" i="34"/>
  <c r="Y40" i="34"/>
  <c r="Y20" i="34"/>
  <c r="Y19" i="34"/>
  <c r="Y4" i="34"/>
  <c r="Y5" i="34"/>
  <c r="Y6" i="34"/>
  <c r="Y7" i="34"/>
  <c r="Y8" i="34"/>
  <c r="Y9" i="34"/>
  <c r="Y10" i="34"/>
  <c r="Y11" i="34"/>
  <c r="Y12" i="34"/>
  <c r="Y13" i="34"/>
  <c r="Y14" i="34"/>
  <c r="Y15" i="34"/>
  <c r="Y16" i="34"/>
  <c r="Y17" i="34"/>
  <c r="Y18" i="34"/>
  <c r="Y21" i="34"/>
  <c r="Y25" i="34"/>
  <c r="Y22" i="34"/>
  <c r="Y23" i="34"/>
  <c r="Y26" i="34"/>
  <c r="Y27" i="34"/>
  <c r="Y28" i="34"/>
  <c r="Y29" i="34"/>
  <c r="Y30" i="34"/>
  <c r="Y31" i="34"/>
  <c r="Y32" i="34"/>
  <c r="Y33" i="34"/>
  <c r="Y34" i="34"/>
  <c r="Y35" i="34"/>
  <c r="Y36" i="34"/>
  <c r="Y37" i="34"/>
  <c r="Y39" i="34"/>
  <c r="Y41" i="34"/>
  <c r="Y42" i="34"/>
  <c r="Y43" i="34"/>
  <c r="Y44" i="34"/>
  <c r="Y45" i="34"/>
  <c r="Y46" i="34"/>
  <c r="Y3" i="34"/>
  <c r="X4" i="34"/>
  <c r="X5" i="34"/>
  <c r="X6" i="34"/>
  <c r="X7" i="34"/>
  <c r="X8" i="34"/>
  <c r="X9" i="34"/>
  <c r="X10" i="34"/>
  <c r="X11" i="34"/>
  <c r="X12" i="34"/>
  <c r="X13" i="34"/>
  <c r="X14" i="34"/>
  <c r="X15" i="34"/>
  <c r="X16" i="34"/>
  <c r="X17" i="34"/>
  <c r="X18" i="34"/>
  <c r="X19" i="34"/>
  <c r="X20" i="34"/>
  <c r="X21" i="34"/>
  <c r="X25" i="34"/>
  <c r="X22" i="34"/>
  <c r="X23" i="34"/>
  <c r="X26" i="34"/>
  <c r="X27" i="34"/>
  <c r="X28" i="34"/>
  <c r="X29" i="34"/>
  <c r="X30" i="34"/>
  <c r="X31" i="34"/>
  <c r="X32" i="34"/>
  <c r="X33" i="34"/>
  <c r="X34" i="34"/>
  <c r="X35" i="34"/>
  <c r="X36" i="34"/>
  <c r="X37" i="34"/>
  <c r="X38" i="34"/>
  <c r="X39" i="34"/>
  <c r="X40" i="34"/>
  <c r="X41" i="34"/>
  <c r="X42" i="34"/>
  <c r="X43" i="34"/>
  <c r="X44" i="34"/>
  <c r="X45" i="34"/>
  <c r="X46" i="34"/>
  <c r="U3" i="34"/>
  <c r="T4" i="34"/>
  <c r="U4" i="34"/>
  <c r="T5" i="34"/>
  <c r="U5" i="34"/>
  <c r="T6" i="34"/>
  <c r="U6" i="34"/>
  <c r="T7" i="34"/>
  <c r="U7" i="34"/>
  <c r="T8" i="34"/>
  <c r="U8" i="34"/>
  <c r="T9" i="34"/>
  <c r="U9" i="34"/>
  <c r="T10" i="34"/>
  <c r="U10" i="34"/>
  <c r="T11" i="34"/>
  <c r="U11" i="34"/>
  <c r="T12" i="34"/>
  <c r="U12" i="34"/>
  <c r="T13" i="34"/>
  <c r="U13" i="34"/>
  <c r="T14" i="34"/>
  <c r="U14" i="34"/>
  <c r="T15" i="34"/>
  <c r="U15" i="34"/>
  <c r="T16" i="34"/>
  <c r="U16" i="34"/>
  <c r="T17" i="34"/>
  <c r="U17" i="34"/>
  <c r="T18" i="34"/>
  <c r="U18" i="34"/>
  <c r="T19" i="34"/>
  <c r="U19" i="34"/>
  <c r="T20" i="34"/>
  <c r="U20" i="34"/>
  <c r="T21" i="34"/>
  <c r="U21" i="34"/>
  <c r="T25" i="34"/>
  <c r="U25" i="34"/>
  <c r="T22" i="34"/>
  <c r="U22" i="34"/>
  <c r="T23" i="34"/>
  <c r="U23" i="34"/>
  <c r="T26" i="34"/>
  <c r="U26" i="34"/>
  <c r="T27" i="34"/>
  <c r="U27" i="34"/>
  <c r="T28" i="34"/>
  <c r="U28" i="34"/>
  <c r="T29" i="34"/>
  <c r="U29" i="34"/>
  <c r="T30" i="34"/>
  <c r="U30" i="34"/>
  <c r="T31" i="34"/>
  <c r="U31" i="34"/>
  <c r="T32" i="34"/>
  <c r="U32" i="34"/>
  <c r="T33" i="34"/>
  <c r="U33" i="34"/>
  <c r="T34" i="34"/>
  <c r="U34" i="34"/>
  <c r="T35" i="34"/>
  <c r="U35" i="34"/>
  <c r="T36" i="34"/>
  <c r="U36" i="34"/>
  <c r="T37" i="34"/>
  <c r="U37" i="34"/>
  <c r="T38" i="34"/>
  <c r="U38" i="34"/>
  <c r="T40" i="34"/>
  <c r="T41" i="34"/>
  <c r="T42" i="34"/>
  <c r="U42" i="34"/>
  <c r="T43" i="34"/>
  <c r="U43" i="34"/>
  <c r="T44" i="34"/>
  <c r="U44" i="34"/>
  <c r="T45" i="34"/>
  <c r="U45" i="34"/>
  <c r="T46" i="34"/>
  <c r="U46" i="34"/>
  <c r="T3" i="34"/>
  <c r="V46" i="34"/>
  <c r="V45" i="34"/>
  <c r="V44" i="34"/>
  <c r="V43" i="34"/>
  <c r="V42" i="34"/>
  <c r="V41" i="34"/>
  <c r="V40" i="34"/>
  <c r="V38" i="34"/>
  <c r="V37" i="34"/>
  <c r="V36" i="34"/>
  <c r="V35" i="34"/>
  <c r="V34" i="34"/>
  <c r="V33" i="34"/>
  <c r="V32" i="34"/>
  <c r="V31" i="34"/>
  <c r="V30" i="34"/>
  <c r="V29" i="34"/>
  <c r="V28" i="34"/>
  <c r="V27" i="34"/>
  <c r="V26" i="34"/>
  <c r="V23" i="34"/>
  <c r="V22" i="34"/>
  <c r="V25" i="34"/>
  <c r="V21" i="34"/>
  <c r="V20" i="34"/>
  <c r="V19" i="34"/>
  <c r="V18" i="34"/>
  <c r="V17" i="34"/>
  <c r="V16" i="34"/>
  <c r="V15" i="34"/>
  <c r="V14" i="34"/>
  <c r="V13" i="34"/>
  <c r="V12" i="34"/>
  <c r="V11" i="34"/>
  <c r="V10" i="34"/>
  <c r="V9" i="34"/>
  <c r="V8" i="34"/>
  <c r="V7" i="34"/>
  <c r="V6" i="34"/>
  <c r="V5" i="34"/>
  <c r="V4" i="34"/>
  <c r="T160" i="20" l="1"/>
  <c r="J366" i="22"/>
  <c r="J288" i="22"/>
  <c r="IH51" i="2" l="1"/>
  <c r="IJ54" i="2" l="1"/>
  <c r="II54" i="2"/>
  <c r="IJ53" i="2" l="1"/>
  <c r="IJ55" i="2" s="1"/>
  <c r="II53" i="2"/>
  <c r="II55" i="2" s="1"/>
  <c r="IG51" i="2" l="1"/>
  <c r="H214" i="22"/>
  <c r="G214" i="22"/>
  <c r="F214" i="22"/>
  <c r="E214" i="22"/>
  <c r="D214" i="22"/>
  <c r="C214" i="22"/>
  <c r="B214" i="22"/>
  <c r="BS54" i="2"/>
  <c r="BS55" i="2" l="1"/>
  <c r="EX54" i="2"/>
  <c r="ER53" i="2"/>
  <c r="ER54" i="2"/>
  <c r="EI54" i="2"/>
  <c r="EI53" i="2"/>
  <c r="EG54" i="2"/>
  <c r="EG53" i="2"/>
  <c r="EH54" i="2"/>
  <c r="EH53" i="2"/>
  <c r="GJ53" i="2"/>
  <c r="ER55" i="2" l="1"/>
  <c r="EI55" i="2"/>
  <c r="EG55" i="2"/>
  <c r="EH55" i="2"/>
  <c r="EE53" i="2" l="1"/>
  <c r="BM53" i="2"/>
  <c r="HH3" i="2" l="1"/>
  <c r="HI3" i="2"/>
  <c r="HJ3" i="2"/>
  <c r="HK3" i="2"/>
  <c r="HL3" i="2"/>
  <c r="HM3" i="2"/>
  <c r="HN3" i="2"/>
  <c r="HO3" i="2"/>
  <c r="HP3" i="2"/>
  <c r="HQ3" i="2"/>
  <c r="HG3" i="2"/>
  <c r="HS3" i="2"/>
  <c r="HT3" i="2"/>
  <c r="HU3" i="2"/>
  <c r="HV3" i="2"/>
  <c r="HW3" i="2"/>
  <c r="HX3" i="2"/>
  <c r="HY3" i="2"/>
  <c r="EX3" i="2"/>
  <c r="EU3" i="2"/>
  <c r="ER3" i="2"/>
  <c r="EI3" i="2"/>
  <c r="EG3" i="2"/>
  <c r="EH3" i="2"/>
  <c r="BV54" i="2"/>
  <c r="BU54" i="2"/>
  <c r="BT54" i="2"/>
  <c r="BV53" i="2"/>
  <c r="BU53" i="2"/>
  <c r="BT53" i="2"/>
  <c r="BR53" i="2"/>
  <c r="BR54" i="2"/>
  <c r="BP53" i="2"/>
  <c r="BQ53" i="2"/>
  <c r="BP54" i="2"/>
  <c r="BQ54" i="2"/>
  <c r="BN54" i="2"/>
  <c r="BN53" i="2"/>
  <c r="BV3" i="2"/>
  <c r="BU3" i="2"/>
  <c r="BT3" i="2"/>
  <c r="BR3" i="2"/>
  <c r="BQ3" i="2"/>
  <c r="BP3" i="2"/>
  <c r="BI53" i="2"/>
  <c r="BI54" i="2"/>
  <c r="BI3" i="2"/>
  <c r="BD54" i="2"/>
  <c r="BD53" i="2"/>
  <c r="BD3" i="2"/>
  <c r="BC54" i="2"/>
  <c r="BB54" i="2"/>
  <c r="BC53" i="2"/>
  <c r="BB53" i="2"/>
  <c r="BC3" i="2"/>
  <c r="BB3" i="2"/>
  <c r="BA54" i="2"/>
  <c r="BA53" i="2"/>
  <c r="BA3" i="2"/>
  <c r="AZ54" i="2"/>
  <c r="AZ53" i="2"/>
  <c r="AZ3" i="2"/>
  <c r="AY54" i="2"/>
  <c r="AY53" i="2"/>
  <c r="AY3" i="2"/>
  <c r="AX54" i="2"/>
  <c r="AX53" i="2"/>
  <c r="AX3" i="2"/>
  <c r="AL54" i="2"/>
  <c r="AL53" i="2"/>
  <c r="AI54" i="2"/>
  <c r="AI53" i="2"/>
  <c r="AK54" i="2"/>
  <c r="AK53" i="2"/>
  <c r="AL3" i="2"/>
  <c r="AK3" i="2"/>
  <c r="AJ3" i="2"/>
  <c r="AH3" i="2"/>
  <c r="AZ55" i="2" l="1"/>
  <c r="BC55" i="2"/>
  <c r="BB55" i="2"/>
  <c r="BQ55" i="2"/>
  <c r="AX55" i="2"/>
  <c r="BN55" i="2"/>
  <c r="BA55" i="2"/>
  <c r="AK55" i="2"/>
  <c r="BD55" i="2"/>
  <c r="AY55" i="2"/>
  <c r="BR55" i="2"/>
  <c r="BT55" i="2"/>
  <c r="BU55" i="2"/>
  <c r="BV55" i="2"/>
  <c r="BP55" i="2"/>
  <c r="BI55" i="2"/>
  <c r="AL55" i="2"/>
  <c r="AI55" i="2"/>
  <c r="IP51" i="2" l="1"/>
  <c r="B6" i="1"/>
  <c r="J365" i="22" l="1"/>
  <c r="K287" i="22"/>
  <c r="GO3" i="2" l="1"/>
  <c r="J7" i="8" l="1"/>
  <c r="C326" i="18" l="1"/>
  <c r="C327" i="18" s="1"/>
  <c r="K284" i="22"/>
  <c r="K283" i="22"/>
  <c r="J287" i="22"/>
  <c r="C328" i="18" l="1"/>
  <c r="JK53" i="2" l="1"/>
  <c r="IC54" i="2"/>
  <c r="HF3" i="2" l="1"/>
  <c r="HE3" i="2"/>
  <c r="HD3" i="2"/>
  <c r="HC3" i="2"/>
  <c r="HB3" i="2"/>
  <c r="HA3" i="2"/>
  <c r="GZ3" i="2"/>
  <c r="GY3" i="2"/>
  <c r="GW3" i="2"/>
  <c r="GV3" i="2"/>
  <c r="GU3" i="2"/>
  <c r="GT3" i="2"/>
  <c r="GS3" i="2"/>
  <c r="GR3" i="2"/>
  <c r="GQ3" i="2"/>
  <c r="GP3" i="2"/>
  <c r="GN3" i="2"/>
  <c r="GM3" i="2"/>
  <c r="GL3" i="2"/>
  <c r="GK3" i="2"/>
  <c r="GJ3" i="2"/>
  <c r="GI3" i="2"/>
  <c r="GH3" i="2"/>
  <c r="GG3" i="2"/>
  <c r="GF3" i="2"/>
  <c r="GE3" i="2"/>
  <c r="GD3" i="2"/>
  <c r="GC3" i="2"/>
  <c r="GB3" i="2"/>
  <c r="GA3" i="2"/>
  <c r="FZ3" i="2"/>
  <c r="FY3" i="2"/>
  <c r="FX3" i="2"/>
  <c r="FW3" i="2"/>
  <c r="FV3" i="2"/>
  <c r="FU3" i="2"/>
  <c r="FT3" i="2"/>
  <c r="FS3" i="2"/>
  <c r="FQ3" i="2"/>
  <c r="FP3" i="2"/>
  <c r="FO3" i="2"/>
  <c r="FN3" i="2"/>
  <c r="FM3" i="2"/>
  <c r="FL3" i="2"/>
  <c r="FK3" i="2"/>
  <c r="FJ3" i="2"/>
  <c r="FI3" i="2"/>
  <c r="FH3" i="2"/>
  <c r="FG3" i="2"/>
  <c r="FF3" i="2"/>
  <c r="FE3" i="2"/>
  <c r="FD3" i="2"/>
  <c r="FC3" i="2"/>
  <c r="FB3" i="2"/>
  <c r="FA3" i="2"/>
  <c r="EZ3" i="2"/>
  <c r="EY3" i="2"/>
  <c r="EW3" i="2"/>
  <c r="EV3" i="2"/>
  <c r="EQ3" i="2"/>
  <c r="EP3" i="2"/>
  <c r="EO3" i="2"/>
  <c r="EN3" i="2"/>
  <c r="EM3" i="2"/>
  <c r="EL3" i="2"/>
  <c r="EK3" i="2"/>
  <c r="EF3" i="2"/>
  <c r="EE3" i="2"/>
  <c r="ED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N3" i="2"/>
  <c r="BM3" i="2"/>
  <c r="BL3" i="2"/>
  <c r="BK3" i="2"/>
  <c r="BJ3" i="2"/>
  <c r="BH3" i="2"/>
  <c r="BG3" i="2"/>
  <c r="BF3" i="2"/>
  <c r="BE3" i="2"/>
  <c r="AP3" i="2"/>
  <c r="AO3" i="2"/>
  <c r="AI3" i="2"/>
  <c r="AF3" i="2"/>
  <c r="AE3" i="2"/>
  <c r="AB3" i="2"/>
  <c r="AA3" i="2"/>
  <c r="X3" i="2"/>
  <c r="W3" i="2"/>
  <c r="S3" i="2"/>
  <c r="R3" i="2"/>
  <c r="Q3" i="2"/>
  <c r="J3" i="2"/>
  <c r="I3" i="2"/>
  <c r="H3" i="2"/>
  <c r="G3" i="2"/>
  <c r="F3" i="2"/>
  <c r="AM3" i="2" l="1"/>
  <c r="AN3" i="2"/>
  <c r="AR3" i="2" l="1"/>
  <c r="AQ3" i="2"/>
  <c r="J286" i="22" l="1"/>
  <c r="P120" i="20" l="1"/>
  <c r="O120" i="20"/>
  <c r="N120" i="20"/>
  <c r="M120" i="20"/>
  <c r="M158" i="20" l="1"/>
  <c r="N158" i="20"/>
  <c r="O158" i="20"/>
  <c r="P158" i="20"/>
  <c r="H113" i="32" l="1"/>
  <c r="G113" i="32"/>
  <c r="H112" i="32"/>
  <c r="G112" i="32"/>
  <c r="H111" i="32"/>
  <c r="G111" i="32"/>
  <c r="H110" i="32"/>
  <c r="G110" i="32"/>
  <c r="H109" i="32"/>
  <c r="G109" i="32"/>
  <c r="H108" i="32"/>
  <c r="G108" i="32"/>
  <c r="H107" i="32"/>
  <c r="G107" i="32"/>
  <c r="H106" i="32"/>
  <c r="G106" i="32"/>
  <c r="H105" i="32"/>
  <c r="G105" i="32"/>
  <c r="H104" i="32"/>
  <c r="G104" i="32"/>
  <c r="H103" i="32"/>
  <c r="G103" i="32"/>
  <c r="H102" i="32"/>
  <c r="G102" i="32"/>
  <c r="H101" i="32"/>
  <c r="G101" i="32"/>
  <c r="H100" i="32"/>
  <c r="G100" i="32"/>
  <c r="H99" i="32"/>
  <c r="G99" i="32"/>
  <c r="H98" i="32"/>
  <c r="G98" i="32"/>
  <c r="H97" i="32"/>
  <c r="G97" i="32"/>
  <c r="H96" i="32"/>
  <c r="G96" i="32"/>
  <c r="H95" i="32"/>
  <c r="G95" i="32"/>
  <c r="H94" i="32"/>
  <c r="G94" i="32"/>
  <c r="H93" i="32"/>
  <c r="G93" i="32"/>
  <c r="H92" i="32"/>
  <c r="G92" i="32"/>
  <c r="H91" i="32"/>
  <c r="G91" i="32"/>
  <c r="H90" i="32"/>
  <c r="G90" i="32"/>
  <c r="H89" i="32"/>
  <c r="G89" i="32"/>
  <c r="H88" i="32"/>
  <c r="G88" i="32"/>
  <c r="H87" i="32"/>
  <c r="G87" i="32"/>
  <c r="H86" i="32"/>
  <c r="G86" i="32"/>
  <c r="H85" i="32"/>
  <c r="G85" i="32"/>
  <c r="H84" i="32"/>
  <c r="G84" i="32"/>
  <c r="H83" i="32"/>
  <c r="G83" i="32"/>
  <c r="H82" i="32"/>
  <c r="G82" i="32"/>
  <c r="H81" i="32"/>
  <c r="G81" i="32"/>
  <c r="H80" i="32"/>
  <c r="G80" i="32"/>
  <c r="H79" i="32"/>
  <c r="G79" i="32"/>
  <c r="H78" i="32"/>
  <c r="G78" i="32"/>
  <c r="H77" i="32"/>
  <c r="G77" i="32"/>
  <c r="H76" i="32"/>
  <c r="G76" i="32"/>
  <c r="H75" i="32"/>
  <c r="G75" i="32"/>
  <c r="H74" i="32"/>
  <c r="G74" i="32"/>
  <c r="H73" i="32"/>
  <c r="G73" i="32"/>
  <c r="H72" i="32"/>
  <c r="G72" i="32"/>
  <c r="H71" i="32"/>
  <c r="G71" i="32"/>
  <c r="H70" i="32"/>
  <c r="G70" i="32"/>
  <c r="H69" i="32"/>
  <c r="G69" i="32"/>
  <c r="H68" i="32"/>
  <c r="G68" i="32"/>
  <c r="H67" i="32"/>
  <c r="G67" i="32"/>
  <c r="H66" i="32"/>
  <c r="G66" i="32"/>
  <c r="H65" i="32"/>
  <c r="G65" i="32"/>
  <c r="H64" i="32"/>
  <c r="G64" i="32"/>
  <c r="H63" i="32"/>
  <c r="G63" i="32"/>
  <c r="H62" i="32"/>
  <c r="G62" i="32"/>
  <c r="H61" i="32"/>
  <c r="G61" i="32"/>
  <c r="H60" i="32"/>
  <c r="G60" i="32"/>
  <c r="H59" i="32"/>
  <c r="G59" i="32"/>
  <c r="H58" i="32"/>
  <c r="G58" i="32"/>
  <c r="H57" i="32"/>
  <c r="G57" i="32"/>
  <c r="H56" i="32"/>
  <c r="G56" i="32"/>
  <c r="H55" i="32"/>
  <c r="G55" i="32"/>
  <c r="H54" i="32"/>
  <c r="G54" i="32"/>
  <c r="H53" i="32"/>
  <c r="G53" i="32"/>
  <c r="H52" i="32"/>
  <c r="G52" i="32"/>
  <c r="J49" i="32"/>
  <c r="I49" i="32"/>
  <c r="J48" i="32"/>
  <c r="I48" i="32"/>
  <c r="J47" i="32"/>
  <c r="I47" i="32"/>
  <c r="J46" i="32"/>
  <c r="I46" i="32"/>
  <c r="J45" i="32"/>
  <c r="I45" i="32"/>
  <c r="J44" i="32"/>
  <c r="I44" i="32"/>
  <c r="J43" i="32"/>
  <c r="I43" i="32"/>
  <c r="J42" i="32"/>
  <c r="I42" i="32"/>
  <c r="J41" i="32"/>
  <c r="I41" i="32"/>
  <c r="J40" i="32"/>
  <c r="I40" i="32"/>
  <c r="J39" i="32"/>
  <c r="I39" i="32"/>
  <c r="J38" i="32"/>
  <c r="I38" i="32"/>
  <c r="J37" i="32"/>
  <c r="I37" i="32"/>
  <c r="J36" i="32"/>
  <c r="I36" i="32"/>
  <c r="J35" i="32"/>
  <c r="I35" i="32"/>
  <c r="J34" i="32"/>
  <c r="I34" i="32"/>
  <c r="J33" i="32"/>
  <c r="I33" i="32"/>
  <c r="J32" i="32"/>
  <c r="I32" i="32"/>
  <c r="J31" i="32"/>
  <c r="I31" i="32"/>
  <c r="J30" i="32"/>
  <c r="I30" i="32"/>
  <c r="J29" i="32"/>
  <c r="I29" i="32"/>
  <c r="J28" i="32"/>
  <c r="I28" i="32"/>
  <c r="J27" i="32"/>
  <c r="I27" i="32"/>
  <c r="J26" i="32"/>
  <c r="I26" i="32"/>
  <c r="J25" i="32"/>
  <c r="I25" i="32"/>
  <c r="J24" i="32"/>
  <c r="I24" i="32"/>
  <c r="J23" i="32"/>
  <c r="I23" i="32"/>
  <c r="J22" i="32"/>
  <c r="I22" i="32"/>
  <c r="J21" i="32"/>
  <c r="I21" i="32"/>
  <c r="J20" i="32"/>
  <c r="I20" i="32"/>
  <c r="J19" i="32"/>
  <c r="I19" i="32"/>
  <c r="J18" i="32"/>
  <c r="I18" i="32"/>
  <c r="J17" i="32"/>
  <c r="I17" i="32"/>
  <c r="J16" i="32"/>
  <c r="I16" i="32"/>
  <c r="J15" i="32"/>
  <c r="I15" i="32"/>
  <c r="J14" i="32"/>
  <c r="I14" i="32"/>
  <c r="J13" i="32"/>
  <c r="I13" i="32"/>
  <c r="J12" i="32"/>
  <c r="I12" i="32"/>
  <c r="J11" i="32"/>
  <c r="I11" i="32"/>
  <c r="H11" i="32"/>
  <c r="G11" i="32"/>
  <c r="J10" i="32"/>
  <c r="I10" i="32"/>
  <c r="J9" i="32"/>
  <c r="I9" i="32"/>
  <c r="J8" i="32"/>
  <c r="I8" i="32"/>
  <c r="J7" i="32"/>
  <c r="I7" i="32"/>
  <c r="J6" i="32"/>
  <c r="I6" i="32"/>
  <c r="H6" i="32"/>
  <c r="G6" i="32"/>
  <c r="O135" i="8" l="1"/>
  <c r="GW54" i="2" l="1"/>
  <c r="P122" i="20" l="1"/>
  <c r="HP54" i="2" l="1"/>
  <c r="HG53" i="2"/>
  <c r="F54" i="2" l="1"/>
  <c r="HG54" i="2"/>
  <c r="GM54" i="2"/>
  <c r="GL54" i="2"/>
  <c r="GK54" i="2"/>
  <c r="GJ54" i="2"/>
  <c r="EY54" i="2"/>
  <c r="EW54" i="2"/>
  <c r="EQ54" i="2"/>
  <c r="EP54" i="2"/>
  <c r="EO54" i="2"/>
  <c r="EN54" i="2"/>
  <c r="EM54" i="2"/>
  <c r="EL54" i="2"/>
  <c r="EK54" i="2"/>
  <c r="EF54" i="2"/>
  <c r="EE54" i="2"/>
  <c r="ED54" i="2"/>
  <c r="CJ54" i="2"/>
  <c r="BM54" i="2"/>
  <c r="BK54" i="2"/>
  <c r="BJ54" i="2"/>
  <c r="BH54" i="2"/>
  <c r="BE54" i="2"/>
  <c r="AH54" i="2"/>
  <c r="AF54" i="2"/>
  <c r="AE54" i="2"/>
  <c r="AB54" i="2"/>
  <c r="AA54" i="2"/>
  <c r="X54" i="2"/>
  <c r="W54" i="2"/>
  <c r="S54" i="2"/>
  <c r="J54" i="2"/>
  <c r="I54" i="2"/>
  <c r="H54" i="2"/>
  <c r="G54" i="2"/>
  <c r="HP53" i="2"/>
  <c r="HO53" i="2"/>
  <c r="HN53" i="2"/>
  <c r="HM53" i="2"/>
  <c r="HL53" i="2"/>
  <c r="HK53" i="2"/>
  <c r="HJ53" i="2"/>
  <c r="HI53" i="2"/>
  <c r="HH53" i="2"/>
  <c r="GW53" i="2"/>
  <c r="GV53" i="2"/>
  <c r="GU53" i="2"/>
  <c r="GT53" i="2"/>
  <c r="GS53" i="2"/>
  <c r="GR53" i="2"/>
  <c r="GQ53" i="2"/>
  <c r="GP53" i="2"/>
  <c r="GO53" i="2"/>
  <c r="GM53" i="2"/>
  <c r="GL53" i="2"/>
  <c r="GK53" i="2"/>
  <c r="FW53" i="2"/>
  <c r="FV53" i="2"/>
  <c r="FU53" i="2"/>
  <c r="FT53" i="2"/>
  <c r="FS53" i="2"/>
  <c r="FR53" i="2"/>
  <c r="FQ53" i="2"/>
  <c r="FC53" i="2"/>
  <c r="FB53" i="2"/>
  <c r="EZ53" i="2"/>
  <c r="EY53" i="2"/>
  <c r="EW53" i="2"/>
  <c r="EV53" i="2"/>
  <c r="EQ53" i="2"/>
  <c r="EP53" i="2"/>
  <c r="EO53" i="2"/>
  <c r="EN53" i="2"/>
  <c r="EM53" i="2"/>
  <c r="EL53" i="2"/>
  <c r="EK53" i="2"/>
  <c r="EF53" i="2"/>
  <c r="ED53" i="2"/>
  <c r="DB53" i="2"/>
  <c r="DA53" i="2"/>
  <c r="CZ53" i="2"/>
  <c r="CY53" i="2"/>
  <c r="CX53" i="2"/>
  <c r="CW53" i="2"/>
  <c r="CV53" i="2"/>
  <c r="CI53" i="2"/>
  <c r="CH53" i="2"/>
  <c r="CG53" i="2"/>
  <c r="CF53" i="2"/>
  <c r="CE53" i="2"/>
  <c r="CD53" i="2"/>
  <c r="CC53" i="2"/>
  <c r="CB53" i="2"/>
  <c r="CA53" i="2"/>
  <c r="BZ53" i="2"/>
  <c r="BK53" i="2"/>
  <c r="BJ53" i="2"/>
  <c r="BH53" i="2"/>
  <c r="BG53" i="2"/>
  <c r="BF53" i="2"/>
  <c r="BE53" i="2"/>
  <c r="AH53" i="2"/>
  <c r="AF53" i="2"/>
  <c r="AE53" i="2"/>
  <c r="AB53" i="2"/>
  <c r="AA53" i="2"/>
  <c r="X53" i="2"/>
  <c r="W53" i="2"/>
  <c r="S53" i="2"/>
  <c r="R53" i="2"/>
  <c r="Q53" i="2"/>
  <c r="J53" i="2"/>
  <c r="I53" i="2"/>
  <c r="H53" i="2"/>
  <c r="G53" i="2"/>
  <c r="F53" i="2"/>
  <c r="AM53" i="2" l="1"/>
  <c r="BL53" i="2"/>
  <c r="AF55" i="2"/>
  <c r="JH53" i="2"/>
  <c r="JL53" i="2"/>
  <c r="JL54" i="2"/>
  <c r="JN53" i="2"/>
  <c r="JN54" i="2"/>
  <c r="JP53" i="2"/>
  <c r="JP54" i="2"/>
  <c r="JK54" i="2"/>
  <c r="JM54" i="2"/>
  <c r="JM53" i="2"/>
  <c r="JO54" i="2"/>
  <c r="JO53" i="2"/>
  <c r="KT54" i="2"/>
  <c r="KT53" i="2"/>
  <c r="KR54" i="2"/>
  <c r="KR53" i="2"/>
  <c r="KL54" i="2"/>
  <c r="KL53" i="2"/>
  <c r="KJ54" i="2"/>
  <c r="KJ53" i="2"/>
  <c r="IM54" i="2"/>
  <c r="IM53" i="2"/>
  <c r="IK53" i="2"/>
  <c r="IK54" i="2"/>
  <c r="KS54" i="2"/>
  <c r="KS53" i="2"/>
  <c r="KK54" i="2"/>
  <c r="KK53" i="2"/>
  <c r="KI53" i="2"/>
  <c r="KI54" i="2"/>
  <c r="JY54" i="2"/>
  <c r="JY53" i="2"/>
  <c r="JH54" i="2"/>
  <c r="IN53" i="2"/>
  <c r="IN54" i="2"/>
  <c r="IL53" i="2"/>
  <c r="IL54" i="2"/>
  <c r="IE53" i="2"/>
  <c r="IC53" i="2"/>
  <c r="KQ53" i="2"/>
  <c r="KQ54" i="2"/>
  <c r="KO53" i="2"/>
  <c r="KO54" i="2"/>
  <c r="KM54" i="2"/>
  <c r="KM53" i="2"/>
  <c r="KU54" i="2"/>
  <c r="KU53" i="2"/>
  <c r="KP54" i="2"/>
  <c r="KP53" i="2"/>
  <c r="DQ3" i="2" l="1"/>
  <c r="DP3" i="2"/>
  <c r="BX3" i="2"/>
  <c r="DN3" i="2"/>
  <c r="DU3" i="2"/>
  <c r="DO3" i="2"/>
  <c r="DY3" i="2"/>
  <c r="DM3" i="2"/>
  <c r="ES3" i="2"/>
  <c r="DL3" i="2"/>
  <c r="EC3" i="2"/>
  <c r="DK3" i="2"/>
  <c r="DS3" i="2"/>
  <c r="EB3" i="2"/>
  <c r="BY3" i="2"/>
  <c r="DW3" i="2"/>
  <c r="DZ3" i="2"/>
  <c r="EJ3" i="2"/>
  <c r="DR3" i="2"/>
  <c r="EA3" i="2"/>
  <c r="DX3" i="2"/>
  <c r="ET3" i="2"/>
  <c r="DV3" i="2"/>
  <c r="DT3" i="2"/>
  <c r="KN53" i="2"/>
  <c r="KN54" i="2"/>
  <c r="JQ54" i="2"/>
  <c r="JQ53" i="2"/>
  <c r="KV54" i="2"/>
  <c r="KV53" i="2"/>
  <c r="KW53" i="2"/>
  <c r="KW54" i="2"/>
  <c r="KU55" i="2" l="1"/>
  <c r="J285" i="22"/>
  <c r="L233" i="18" l="1"/>
  <c r="L232" i="18"/>
  <c r="L231" i="18"/>
  <c r="L230" i="18"/>
  <c r="M234" i="18" l="1"/>
  <c r="N234" i="18"/>
  <c r="L234" i="18"/>
  <c r="GI28" i="2" l="1"/>
  <c r="ET51" i="2" l="1"/>
  <c r="ES51" i="2"/>
  <c r="EJ51" i="2"/>
  <c r="EC51" i="2"/>
  <c r="EB51" i="2"/>
  <c r="EA51" i="2"/>
  <c r="DZ51" i="2"/>
  <c r="DY51" i="2"/>
  <c r="DX51" i="2"/>
  <c r="DW51" i="2"/>
  <c r="DV51" i="2"/>
  <c r="DU51" i="2"/>
  <c r="DT51" i="2"/>
  <c r="DS51" i="2"/>
  <c r="DR51" i="2"/>
  <c r="DQ51" i="2"/>
  <c r="DP51" i="2"/>
  <c r="DO51" i="2"/>
  <c r="DN51" i="2"/>
  <c r="DM51" i="2"/>
  <c r="DL51" i="2"/>
  <c r="DK51" i="2"/>
  <c r="BY51" i="2"/>
  <c r="BX51" i="2"/>
  <c r="BW51" i="2"/>
  <c r="JM55" i="2" l="1"/>
  <c r="JK55" i="2"/>
  <c r="JP55" i="2"/>
  <c r="JN55" i="2"/>
  <c r="JL55" i="2"/>
  <c r="JO55" i="2" l="1"/>
  <c r="JQ55" i="2"/>
  <c r="N122" i="20" l="1"/>
  <c r="O160" i="20"/>
  <c r="N160" i="20"/>
  <c r="M160" i="20"/>
  <c r="BG55" i="2" l="1"/>
  <c r="JG51" i="2" l="1"/>
  <c r="JF51" i="2"/>
  <c r="JE51" i="2"/>
  <c r="JD51" i="2"/>
  <c r="GK55" i="2" l="1"/>
  <c r="JY55" i="2" l="1"/>
  <c r="KI55" i="2"/>
  <c r="JH55" i="2"/>
  <c r="KP55" i="2"/>
  <c r="KL55" i="2"/>
  <c r="KS55" i="2"/>
  <c r="KJ55" i="2"/>
  <c r="KQ55" i="2"/>
  <c r="KR55" i="2"/>
  <c r="KM55" i="2"/>
  <c r="KO55" i="2"/>
  <c r="KK55" i="2"/>
  <c r="KW55" i="2" l="1"/>
  <c r="KV55" i="2"/>
  <c r="KT55" i="2"/>
  <c r="KN55" i="2"/>
  <c r="M121" i="20" l="1"/>
  <c r="M122" i="20" s="1"/>
  <c r="HH54" i="2" l="1"/>
  <c r="CZ54" i="2"/>
  <c r="HR53" i="2"/>
  <c r="IR53" i="2"/>
  <c r="HH55" i="2" l="1"/>
  <c r="HJ54" i="2"/>
  <c r="AR53" i="2"/>
  <c r="JE53" i="2"/>
  <c r="JD53" i="2"/>
  <c r="JG53" i="2"/>
  <c r="HQ53" i="2"/>
  <c r="AY43" i="7" l="1"/>
  <c r="AY30" i="7"/>
  <c r="AY15" i="7"/>
  <c r="AU30" i="7"/>
  <c r="AQ15" i="7"/>
  <c r="AO43" i="7"/>
  <c r="AO30" i="7"/>
  <c r="AK28" i="7"/>
  <c r="AI30" i="7"/>
  <c r="AG15" i="7"/>
  <c r="AE30" i="7"/>
  <c r="AC43" i="7"/>
  <c r="Y43" i="7"/>
  <c r="Y28" i="7"/>
  <c r="AW30" i="7"/>
  <c r="AU28" i="7"/>
  <c r="AS15" i="7"/>
  <c r="AS28" i="7"/>
  <c r="AQ30" i="7"/>
  <c r="AM43" i="7"/>
  <c r="AM28" i="7"/>
  <c r="AI15" i="7"/>
  <c r="AG30" i="7"/>
  <c r="AE28" i="7"/>
  <c r="AC49" i="7"/>
  <c r="AC15" i="7"/>
  <c r="AA43" i="7"/>
  <c r="AA30" i="7"/>
  <c r="W15" i="7"/>
  <c r="W28" i="7"/>
  <c r="U15" i="7"/>
  <c r="U43" i="7"/>
  <c r="U28" i="7"/>
  <c r="K43" i="7"/>
  <c r="O28" i="7"/>
  <c r="M30" i="7"/>
  <c r="W43" i="7"/>
  <c r="AY28" i="7"/>
  <c r="AU43" i="7"/>
  <c r="AS43" i="7"/>
  <c r="AS30" i="7"/>
  <c r="AO15" i="7"/>
  <c r="AO28" i="7"/>
  <c r="AM30" i="7"/>
  <c r="AI43" i="7"/>
  <c r="AI28" i="7"/>
  <c r="AE15" i="7"/>
  <c r="AC30" i="7"/>
  <c r="Y15" i="7"/>
  <c r="Q30" i="7"/>
  <c r="K15" i="7"/>
  <c r="AQ28" i="7"/>
  <c r="AK30" i="7"/>
  <c r="AG28" i="7"/>
  <c r="AE43" i="7"/>
  <c r="S15" i="7"/>
  <c r="S43" i="7"/>
  <c r="O15" i="7"/>
  <c r="M28" i="7"/>
  <c r="O30" i="7"/>
  <c r="AC28" i="7"/>
  <c r="W30" i="7"/>
  <c r="Q43" i="7"/>
  <c r="M15" i="7"/>
  <c r="K30" i="7"/>
  <c r="AQ43" i="7"/>
  <c r="AG43" i="7"/>
  <c r="AA28" i="7"/>
  <c r="Q28" i="7"/>
  <c r="S30" i="7"/>
  <c r="M43" i="7"/>
  <c r="AW28" i="7"/>
  <c r="AK43" i="7"/>
  <c r="Y30" i="7"/>
  <c r="S28" i="7"/>
  <c r="U30" i="7"/>
  <c r="O43" i="7"/>
  <c r="AW43" i="7"/>
  <c r="AA15" i="7"/>
  <c r="Q15" i="7"/>
  <c r="K28" i="7"/>
  <c r="AW15" i="7" l="1"/>
  <c r="AU15" i="7"/>
  <c r="AK15" i="7"/>
  <c r="AM15" i="7"/>
  <c r="CK51" i="2"/>
  <c r="J357" i="22" l="1"/>
  <c r="J284" i="22"/>
  <c r="B302" i="22"/>
  <c r="B301" i="22"/>
  <c r="B300" i="22"/>
  <c r="B299" i="22"/>
  <c r="J283" i="22"/>
  <c r="K356" i="22"/>
  <c r="J356" i="22"/>
  <c r="B376" i="22"/>
  <c r="B375" i="22"/>
  <c r="B374" i="22"/>
  <c r="IQ51" i="2"/>
  <c r="JC51" i="2" l="1"/>
  <c r="JB51" i="2"/>
  <c r="JA51" i="2"/>
  <c r="IZ51" i="2"/>
  <c r="IY51" i="2"/>
  <c r="IX51" i="2"/>
  <c r="HR51" i="2" l="1"/>
  <c r="HR45" i="2"/>
  <c r="HR43" i="2"/>
  <c r="FA51" i="2"/>
  <c r="IO51" i="2" l="1"/>
  <c r="IE55" i="2" l="1"/>
  <c r="ED55" i="2"/>
  <c r="DB54" i="2" l="1"/>
  <c r="DA54" i="2"/>
  <c r="CY54" i="2"/>
  <c r="CX54" i="2"/>
  <c r="CW54" i="2"/>
  <c r="CV54" i="2"/>
  <c r="E186" i="22" l="1"/>
  <c r="F186" i="22"/>
  <c r="G186" i="22"/>
  <c r="D186" i="22"/>
  <c r="H186" i="22"/>
  <c r="C186" i="22"/>
  <c r="IN55" i="2"/>
  <c r="C151" i="22" l="1"/>
  <c r="F151" i="22"/>
  <c r="E151" i="22"/>
  <c r="D151" i="22"/>
  <c r="H151" i="22"/>
  <c r="G151" i="22"/>
  <c r="B186" i="22"/>
  <c r="F55" i="2" l="1"/>
  <c r="IR51" i="2" l="1"/>
  <c r="IS51" i="2"/>
  <c r="IT51" i="2"/>
  <c r="IU51" i="2"/>
  <c r="IV51" i="2"/>
  <c r="IW51" i="2"/>
  <c r="B405" i="20" l="1"/>
  <c r="C405" i="20"/>
  <c r="D405" i="20"/>
  <c r="E405" i="20"/>
  <c r="F405" i="20"/>
  <c r="G405" i="20"/>
  <c r="B404" i="20"/>
  <c r="C404" i="20"/>
  <c r="D404" i="20"/>
  <c r="E404" i="20"/>
  <c r="F404" i="20"/>
  <c r="G404" i="20"/>
  <c r="B403" i="20"/>
  <c r="C403" i="20"/>
  <c r="D403" i="20"/>
  <c r="E403" i="20"/>
  <c r="F403" i="20"/>
  <c r="G403" i="20"/>
  <c r="B402" i="20"/>
  <c r="C402" i="20"/>
  <c r="D402" i="20"/>
  <c r="E402" i="20"/>
  <c r="F402" i="20"/>
  <c r="G402" i="20"/>
  <c r="B313" i="20"/>
  <c r="C313" i="20"/>
  <c r="D313" i="20"/>
  <c r="E313" i="20"/>
  <c r="F313" i="20"/>
  <c r="G313" i="20"/>
  <c r="L159" i="20"/>
  <c r="L160" i="20" s="1"/>
  <c r="K159" i="20"/>
  <c r="J159" i="20"/>
  <c r="I159" i="20"/>
  <c r="H159" i="20"/>
  <c r="G159" i="20"/>
  <c r="F159" i="20"/>
  <c r="E159" i="20"/>
  <c r="D159" i="20"/>
  <c r="C159" i="20"/>
  <c r="B159" i="20"/>
  <c r="L121" i="20"/>
  <c r="L122" i="20" s="1"/>
  <c r="K121" i="20"/>
  <c r="J121" i="20"/>
  <c r="I121" i="20"/>
  <c r="H121" i="20"/>
  <c r="G121" i="20"/>
  <c r="F121" i="20"/>
  <c r="E121" i="20"/>
  <c r="D121" i="20"/>
  <c r="C121" i="20"/>
  <c r="B121" i="20"/>
  <c r="K326" i="18"/>
  <c r="K327" i="18" s="1"/>
  <c r="J326" i="18"/>
  <c r="J327" i="18" s="1"/>
  <c r="I326" i="18"/>
  <c r="I327" i="18" s="1"/>
  <c r="H326" i="18"/>
  <c r="H327" i="18" s="1"/>
  <c r="G326" i="18"/>
  <c r="G327" i="18" s="1"/>
  <c r="F326" i="18"/>
  <c r="F327" i="18" s="1"/>
  <c r="E326" i="18"/>
  <c r="E327" i="18" s="1"/>
  <c r="D326" i="18"/>
  <c r="D327" i="18" s="1"/>
  <c r="B326" i="18"/>
  <c r="B327" i="18" s="1"/>
  <c r="W311" i="18"/>
  <c r="V311" i="18"/>
  <c r="U311" i="18"/>
  <c r="T311" i="18"/>
  <c r="S311" i="18"/>
  <c r="R311" i="18"/>
  <c r="W305" i="18"/>
  <c r="V305" i="18"/>
  <c r="U305" i="18"/>
  <c r="T305" i="18"/>
  <c r="S305" i="18"/>
  <c r="R305" i="18"/>
  <c r="W301" i="18"/>
  <c r="V301" i="18"/>
  <c r="U301" i="18"/>
  <c r="T301" i="18"/>
  <c r="S301" i="18"/>
  <c r="R301" i="18"/>
  <c r="W297" i="18"/>
  <c r="V297" i="18"/>
  <c r="U297" i="18"/>
  <c r="T297" i="18"/>
  <c r="S297" i="18"/>
  <c r="R297" i="18"/>
  <c r="K264" i="18"/>
  <c r="K266" i="18" s="1"/>
  <c r="J264" i="18"/>
  <c r="J266" i="18" s="1"/>
  <c r="I264" i="18"/>
  <c r="I266" i="18" s="1"/>
  <c r="H264" i="18"/>
  <c r="H266" i="18" s="1"/>
  <c r="G264" i="18"/>
  <c r="G266" i="18" s="1"/>
  <c r="F264" i="18"/>
  <c r="F266" i="18" s="1"/>
  <c r="E264" i="18"/>
  <c r="E266" i="18" s="1"/>
  <c r="D264" i="18"/>
  <c r="D266" i="18" s="1"/>
  <c r="C264" i="18"/>
  <c r="C266" i="18" s="1"/>
  <c r="B264" i="18"/>
  <c r="B266" i="18" s="1"/>
  <c r="K234" i="18"/>
  <c r="J234" i="18"/>
  <c r="I234" i="18"/>
  <c r="H234" i="18"/>
  <c r="G234" i="18"/>
  <c r="F234" i="18"/>
  <c r="E234" i="18"/>
  <c r="D234" i="18"/>
  <c r="C234" i="18"/>
  <c r="W220" i="18"/>
  <c r="V220" i="18"/>
  <c r="U220" i="18"/>
  <c r="T220" i="18"/>
  <c r="S220" i="18"/>
  <c r="R220" i="18"/>
  <c r="W214" i="18"/>
  <c r="V214" i="18"/>
  <c r="U214" i="18"/>
  <c r="T214" i="18"/>
  <c r="S214" i="18"/>
  <c r="R214" i="18"/>
  <c r="W210" i="18"/>
  <c r="V210" i="18"/>
  <c r="U210" i="18"/>
  <c r="T210" i="18"/>
  <c r="S210" i="18"/>
  <c r="R210" i="18"/>
  <c r="W206" i="18"/>
  <c r="V206" i="18"/>
  <c r="U206" i="18"/>
  <c r="T206" i="18"/>
  <c r="S206" i="18"/>
  <c r="R206" i="18"/>
  <c r="H175" i="18"/>
  <c r="G175" i="18"/>
  <c r="D175" i="18"/>
  <c r="C175" i="18"/>
  <c r="H174" i="18"/>
  <c r="G174" i="18"/>
  <c r="D174" i="18"/>
  <c r="C174" i="18"/>
  <c r="H173" i="18"/>
  <c r="G173" i="18"/>
  <c r="D173" i="18"/>
  <c r="C173" i="18"/>
  <c r="H172" i="18"/>
  <c r="G172" i="18"/>
  <c r="D172" i="18"/>
  <c r="C172" i="18"/>
  <c r="H171" i="18"/>
  <c r="G171" i="18"/>
  <c r="F171" i="18"/>
  <c r="E171" i="18"/>
  <c r="D171" i="18"/>
  <c r="C171" i="18"/>
  <c r="B171" i="18"/>
  <c r="B265" i="18" l="1"/>
  <c r="C265" i="18"/>
  <c r="D265" i="18"/>
  <c r="E265" i="18"/>
  <c r="F265" i="18"/>
  <c r="G265" i="18"/>
  <c r="H265" i="18"/>
  <c r="I265" i="18"/>
  <c r="J265" i="18"/>
  <c r="K265" i="18"/>
  <c r="H99" i="7"/>
  <c r="H97" i="7"/>
  <c r="H89" i="7"/>
  <c r="H87" i="7"/>
  <c r="H85" i="7"/>
  <c r="H77" i="7"/>
  <c r="HO54" i="2" l="1"/>
  <c r="HN54" i="2"/>
  <c r="HM54" i="2"/>
  <c r="HL54" i="2"/>
  <c r="HK54" i="2"/>
  <c r="HI54" i="2"/>
  <c r="HG55" i="2"/>
  <c r="CI54" i="2"/>
  <c r="CH54" i="2"/>
  <c r="CG54" i="2"/>
  <c r="CF54" i="2"/>
  <c r="CE54" i="2"/>
  <c r="CD54" i="2"/>
  <c r="CC54" i="2"/>
  <c r="CB54" i="2"/>
  <c r="CA54" i="2"/>
  <c r="BZ54" i="2"/>
  <c r="Q54" i="2"/>
  <c r="R54" i="2"/>
  <c r="EZ54" i="2" l="1"/>
  <c r="FB54" i="2"/>
  <c r="FC54" i="2"/>
  <c r="FQ54" i="2"/>
  <c r="FR54" i="2"/>
  <c r="FS54" i="2"/>
  <c r="FT54" i="2"/>
  <c r="FU54" i="2"/>
  <c r="FV54" i="2"/>
  <c r="FW54" i="2"/>
  <c r="IM55" i="2"/>
  <c r="IL55" i="2"/>
  <c r="IK55" i="2"/>
  <c r="IC55" i="2"/>
  <c r="HO55" i="2"/>
  <c r="HN55" i="2"/>
  <c r="HM55" i="2"/>
  <c r="HL55" i="2"/>
  <c r="HK55" i="2"/>
  <c r="HJ55" i="2"/>
  <c r="JZ55" i="2" s="1"/>
  <c r="HI55" i="2"/>
  <c r="GM55" i="2"/>
  <c r="GL55" i="2"/>
  <c r="GJ55" i="2"/>
  <c r="KG55" i="2" l="1"/>
  <c r="KG53" i="2"/>
  <c r="HP55" i="2"/>
  <c r="KA55" i="2"/>
  <c r="KB55" i="2"/>
  <c r="KC55" i="2"/>
  <c r="KD55" i="2"/>
  <c r="KE55" i="2"/>
  <c r="KF55" i="2"/>
  <c r="HS53" i="2"/>
  <c r="HT53" i="2"/>
  <c r="HU53" i="2"/>
  <c r="HV53" i="2"/>
  <c r="HW53" i="2"/>
  <c r="HX53" i="2"/>
  <c r="HY53" i="2"/>
  <c r="JR53" i="2"/>
  <c r="JS53" i="2"/>
  <c r="JT53" i="2"/>
  <c r="JU53" i="2"/>
  <c r="JV53" i="2"/>
  <c r="JW53" i="2"/>
  <c r="JZ53" i="2"/>
  <c r="KA53" i="2"/>
  <c r="KB53" i="2"/>
  <c r="KC53" i="2"/>
  <c r="KD53" i="2"/>
  <c r="KE53" i="2"/>
  <c r="KF53" i="2"/>
  <c r="KH53" i="2"/>
  <c r="FW55" i="2"/>
  <c r="FV55" i="2"/>
  <c r="FU55" i="2"/>
  <c r="FT55" i="2"/>
  <c r="FC55" i="2"/>
  <c r="FK53" i="2"/>
  <c r="EZ55" i="2"/>
  <c r="FH53" i="2"/>
  <c r="EW55" i="2"/>
  <c r="EV55" i="2"/>
  <c r="EQ55" i="2"/>
  <c r="EO55" i="2"/>
  <c r="EN55" i="2"/>
  <c r="EM55" i="2"/>
  <c r="AO53" i="2"/>
  <c r="EK55" i="2"/>
  <c r="EF55" i="2"/>
  <c r="EE55" i="2"/>
  <c r="BM55" i="2"/>
  <c r="BF55" i="2"/>
  <c r="BE55" i="2"/>
  <c r="AH55" i="2"/>
  <c r="AE55" i="2"/>
  <c r="AB55" i="2"/>
  <c r="AA55" i="2"/>
  <c r="W55" i="2"/>
  <c r="S55" i="2"/>
  <c r="R55" i="2"/>
  <c r="I55" i="2"/>
  <c r="H55" i="2"/>
  <c r="G55" i="2"/>
  <c r="AR55" i="2" l="1"/>
  <c r="AN55" i="2"/>
  <c r="HW55" i="2"/>
  <c r="HQ55" i="2"/>
  <c r="CJ53" i="2"/>
  <c r="KH55" i="2"/>
  <c r="HX55" i="2"/>
  <c r="HS55" i="2"/>
  <c r="HR55" i="2"/>
  <c r="HU55" i="2"/>
  <c r="HV55" i="2"/>
  <c r="HT55" i="2"/>
  <c r="IA53" i="2"/>
  <c r="HY55" i="2"/>
  <c r="EP55" i="2"/>
  <c r="AP55" i="2" s="1"/>
  <c r="AP53" i="2"/>
  <c r="AQ53" i="2" s="1"/>
  <c r="GI53" i="2"/>
  <c r="FA53" i="2"/>
  <c r="FJ53" i="2" s="1"/>
  <c r="Q55" i="2"/>
  <c r="IA55" i="2" s="1"/>
  <c r="X55" i="2"/>
  <c r="AM55" i="2" s="1"/>
  <c r="EL55" i="2"/>
  <c r="AO55" i="2" s="1"/>
  <c r="BH55" i="2"/>
  <c r="BZ55" i="2"/>
  <c r="CA55" i="2"/>
  <c r="CB55" i="2"/>
  <c r="CC55" i="2"/>
  <c r="CE55" i="2"/>
  <c r="CF55" i="2"/>
  <c r="CG55" i="2"/>
  <c r="CH55" i="2"/>
  <c r="CI55" i="2"/>
  <c r="CV55" i="2"/>
  <c r="CW55" i="2"/>
  <c r="CX55" i="2"/>
  <c r="CY55" i="2"/>
  <c r="DA55" i="2"/>
  <c r="DB55" i="2"/>
  <c r="AN53" i="2"/>
  <c r="J55" i="2"/>
  <c r="CD55" i="2"/>
  <c r="EY55" i="2"/>
  <c r="FA55" i="2" s="1"/>
  <c r="FB55" i="2"/>
  <c r="FK55" i="2" s="1"/>
  <c r="IS53" i="2"/>
  <c r="FQ55" i="2"/>
  <c r="IT53" i="2"/>
  <c r="FR55" i="2"/>
  <c r="IW55" i="2" s="1"/>
  <c r="IW53" i="2"/>
  <c r="FS55" i="2"/>
  <c r="IU55" i="2" s="1"/>
  <c r="IU53" i="2"/>
  <c r="FF55" i="2"/>
  <c r="DC53" i="2"/>
  <c r="DD53" i="2"/>
  <c r="DE53" i="2"/>
  <c r="DF53" i="2"/>
  <c r="DG53" i="2"/>
  <c r="DH53" i="2"/>
  <c r="DI53" i="2"/>
  <c r="FD53" i="2"/>
  <c r="FM53" i="2" s="1"/>
  <c r="FE53" i="2"/>
  <c r="FF53" i="2"/>
  <c r="FI53" i="2"/>
  <c r="FL53" i="2"/>
  <c r="FX53" i="2"/>
  <c r="CZ55" i="2"/>
  <c r="AQ55" i="2" l="1"/>
  <c r="JC53" i="2"/>
  <c r="GD53" i="2"/>
  <c r="JF53" i="2"/>
  <c r="JG55" i="2"/>
  <c r="JD55" i="2"/>
  <c r="JE55" i="2"/>
  <c r="CP53" i="2"/>
  <c r="CT53" i="2"/>
  <c r="CL53" i="2"/>
  <c r="CU53" i="2"/>
  <c r="CQ53" i="2"/>
  <c r="DJ53" i="2"/>
  <c r="CN53" i="2"/>
  <c r="CM53" i="2"/>
  <c r="CR53" i="2"/>
  <c r="CS53" i="2"/>
  <c r="CO53" i="2"/>
  <c r="CK53" i="2"/>
  <c r="GB53" i="2"/>
  <c r="GF53" i="2"/>
  <c r="IY53" i="2"/>
  <c r="IR55" i="2"/>
  <c r="FX55" i="2"/>
  <c r="FE55" i="2"/>
  <c r="IT55" i="2"/>
  <c r="FD55" i="2"/>
  <c r="FM55" i="2" s="1"/>
  <c r="GA53" i="2"/>
  <c r="FG53" i="2"/>
  <c r="GC53" i="2"/>
  <c r="JA53" i="2"/>
  <c r="IZ53" i="2"/>
  <c r="GE53" i="2"/>
  <c r="GG53" i="2"/>
  <c r="FZ53" i="2"/>
  <c r="FN53" i="2"/>
  <c r="IX53" i="2"/>
  <c r="CJ55" i="2"/>
  <c r="CU55" i="2" s="1"/>
  <c r="FH55" i="2"/>
  <c r="FL55" i="2"/>
  <c r="FJ55" i="2"/>
  <c r="FI55" i="2"/>
  <c r="IV55" i="2"/>
  <c r="GI55" i="2"/>
  <c r="IS55" i="2"/>
  <c r="FO53" i="2"/>
  <c r="IV53" i="2"/>
  <c r="JB53" i="2" s="1"/>
  <c r="DG55" i="2"/>
  <c r="DF55" i="2" s="1"/>
  <c r="DE55" i="2" s="1"/>
  <c r="DD55" i="2" s="1"/>
  <c r="DC55" i="2" s="1"/>
  <c r="FZ55" i="2" l="1"/>
  <c r="JC55" i="2"/>
  <c r="JF55" i="2"/>
  <c r="DJ55" i="2"/>
  <c r="DI55" i="2" s="1"/>
  <c r="DH55" i="2" s="1"/>
  <c r="FN55" i="2"/>
  <c r="IY55" i="2"/>
  <c r="GC55" i="2"/>
  <c r="GB55" i="2"/>
  <c r="GA55" i="2"/>
  <c r="GG55" i="2"/>
  <c r="GF55" i="2"/>
  <c r="FG55" i="2"/>
  <c r="GD55" i="2"/>
  <c r="FO55" i="2"/>
  <c r="GE55" i="2"/>
  <c r="FY53" i="2"/>
  <c r="FP53" i="2"/>
  <c r="JB55" i="2"/>
  <c r="JA55" i="2"/>
  <c r="IX55" i="2"/>
  <c r="IZ55" i="2"/>
  <c r="CL55" i="2"/>
  <c r="CM55" i="2"/>
  <c r="CN55" i="2"/>
  <c r="CO55" i="2"/>
  <c r="CP55" i="2"/>
  <c r="CQ55" i="2"/>
  <c r="CR55" i="2"/>
  <c r="CS55" i="2"/>
  <c r="CT55" i="2"/>
  <c r="CK55" i="2"/>
  <c r="IQ53" i="2" l="1"/>
  <c r="IO53" i="2"/>
  <c r="FP55" i="2"/>
  <c r="FY55" i="2"/>
  <c r="GH53" i="2"/>
  <c r="KH51" i="2"/>
  <c r="KG51" i="2"/>
  <c r="KF51" i="2"/>
  <c r="KE51" i="2"/>
  <c r="KD51" i="2"/>
  <c r="KC51" i="2"/>
  <c r="KB51" i="2"/>
  <c r="KA51" i="2"/>
  <c r="JZ51" i="2"/>
  <c r="JX51" i="2"/>
  <c r="JW51" i="2"/>
  <c r="JV51" i="2"/>
  <c r="JU51" i="2"/>
  <c r="JT51" i="2"/>
  <c r="JS51" i="2"/>
  <c r="JR51" i="2"/>
  <c r="IQ55" i="2" l="1"/>
  <c r="IO55" i="2"/>
  <c r="GH55" i="2"/>
  <c r="HY51" i="2"/>
  <c r="HX51" i="2"/>
  <c r="HW51" i="2"/>
  <c r="HV51" i="2"/>
  <c r="HU51" i="2"/>
  <c r="HT51" i="2"/>
  <c r="HS51" i="2"/>
  <c r="HQ51" i="2"/>
  <c r="HF51" i="2"/>
  <c r="HE51" i="2"/>
  <c r="HD51" i="2"/>
  <c r="HC51" i="2"/>
  <c r="HB51" i="2"/>
  <c r="HA51" i="2"/>
  <c r="GZ51" i="2"/>
  <c r="GY51" i="2"/>
  <c r="GX51" i="2"/>
  <c r="GH51" i="2"/>
  <c r="GG51" i="2"/>
  <c r="GF51" i="2"/>
  <c r="GE51" i="2"/>
  <c r="GD51" i="2"/>
  <c r="GC51" i="2"/>
  <c r="GB51" i="2"/>
  <c r="GA51" i="2"/>
  <c r="FZ51" i="2"/>
  <c r="FY51" i="2"/>
  <c r="FX51" i="2"/>
  <c r="FP51" i="2"/>
  <c r="FO51" i="2"/>
  <c r="FN51" i="2"/>
  <c r="FM51" i="2"/>
  <c r="FL51" i="2"/>
  <c r="FK51" i="2"/>
  <c r="FJ51" i="2"/>
  <c r="FI51" i="2"/>
  <c r="FH51" i="2"/>
  <c r="FG51" i="2"/>
  <c r="FF51" i="2"/>
  <c r="FE51" i="2"/>
  <c r="FD51" i="2"/>
  <c r="DJ51" i="2" l="1"/>
  <c r="DI51" i="2"/>
  <c r="DH51" i="2"/>
  <c r="DG51" i="2"/>
  <c r="DF51" i="2"/>
  <c r="DE51" i="2"/>
  <c r="DD51" i="2"/>
  <c r="DC51" i="2"/>
  <c r="CU51" i="2"/>
  <c r="CT51" i="2"/>
  <c r="CS51" i="2"/>
  <c r="CR51" i="2"/>
  <c r="CQ51" i="2"/>
  <c r="CP51" i="2"/>
  <c r="CO51" i="2"/>
  <c r="CN51" i="2"/>
  <c r="CM51" i="2"/>
  <c r="CL51" i="2"/>
  <c r="BL51" i="2"/>
  <c r="AR51" i="2"/>
  <c r="AQ51" i="2"/>
  <c r="AP51" i="2"/>
  <c r="AO51" i="2"/>
  <c r="AN51" i="2"/>
  <c r="AM51" i="2"/>
  <c r="H284" i="23" l="1"/>
  <c r="H281" i="23"/>
  <c r="G284" i="23"/>
  <c r="G102" i="22"/>
  <c r="G477" i="22"/>
  <c r="H102" i="22" l="1"/>
  <c r="G100" i="22"/>
  <c r="G37" i="7"/>
  <c r="G476" i="22"/>
  <c r="H37" i="7"/>
  <c r="H476" i="22"/>
  <c r="G28" i="7"/>
  <c r="H28" i="7"/>
  <c r="AN37" i="2"/>
  <c r="AR37" i="2"/>
  <c r="AN43" i="2"/>
  <c r="AR43" i="2"/>
  <c r="G99" i="22"/>
  <c r="G30" i="7"/>
  <c r="G35" i="7"/>
  <c r="H99" i="22"/>
  <c r="H30" i="7"/>
  <c r="H35" i="7"/>
  <c r="AR45" i="2"/>
  <c r="F284" i="23"/>
  <c r="F283" i="23"/>
  <c r="F281" i="23"/>
  <c r="F102" i="22"/>
  <c r="E284" i="23"/>
  <c r="E281" i="23"/>
  <c r="H90" i="23" l="1"/>
  <c r="G90" i="23"/>
  <c r="H100" i="22"/>
  <c r="H223" i="22"/>
  <c r="H477" i="22"/>
  <c r="G223" i="22"/>
  <c r="F28" i="7"/>
  <c r="AR39" i="2"/>
  <c r="AN31" i="2"/>
  <c r="AR31" i="2"/>
  <c r="AN45" i="2"/>
  <c r="AN39" i="2"/>
  <c r="E35" i="7"/>
  <c r="F99" i="22"/>
  <c r="F30" i="7"/>
  <c r="E102" i="22"/>
  <c r="E477" i="22"/>
  <c r="D284" i="23"/>
  <c r="D281" i="23"/>
  <c r="D477" i="22"/>
  <c r="C284" i="23"/>
  <c r="C281" i="23"/>
  <c r="C477" i="22"/>
  <c r="K364" i="22" l="1"/>
  <c r="D102" i="22"/>
  <c r="AR21" i="2"/>
  <c r="G10" i="27"/>
  <c r="H10" i="27"/>
  <c r="G9" i="27"/>
  <c r="H9" i="27"/>
  <c r="F90" i="23"/>
  <c r="D100" i="22"/>
  <c r="D223" i="22"/>
  <c r="E223" i="22"/>
  <c r="C37" i="7"/>
  <c r="C476" i="22"/>
  <c r="D37" i="7"/>
  <c r="D476" i="22"/>
  <c r="E37" i="7"/>
  <c r="E476" i="22"/>
  <c r="F223" i="22"/>
  <c r="C99" i="22"/>
  <c r="B28" i="7"/>
  <c r="C28" i="7"/>
  <c r="AR15" i="2"/>
  <c r="D28" i="7"/>
  <c r="E28" i="7"/>
  <c r="W312" i="18"/>
  <c r="V312" i="18" s="1"/>
  <c r="U312" i="18" s="1"/>
  <c r="T312" i="18" s="1"/>
  <c r="S312" i="18" s="1"/>
  <c r="R312" i="18" s="1"/>
  <c r="AR33" i="2"/>
  <c r="C223" i="22"/>
  <c r="AN13" i="2"/>
  <c r="AR13" i="2"/>
  <c r="AN19" i="2"/>
  <c r="AR19" i="2"/>
  <c r="AN25" i="2"/>
  <c r="AR25" i="2"/>
  <c r="C35" i="7"/>
  <c r="D99" i="22"/>
  <c r="D30" i="7"/>
  <c r="D35" i="7"/>
  <c r="E99" i="22"/>
  <c r="E30" i="7"/>
  <c r="F35" i="7"/>
  <c r="K288" i="22" l="1"/>
  <c r="K362" i="22"/>
  <c r="C102" i="22"/>
  <c r="AN15" i="2"/>
  <c r="F10" i="27"/>
  <c r="F9" i="27"/>
  <c r="K286" i="22"/>
  <c r="B102" i="22"/>
  <c r="C30" i="7"/>
  <c r="C100" i="22"/>
  <c r="E90" i="23"/>
  <c r="D90" i="23"/>
  <c r="C90" i="23"/>
  <c r="AN21" i="2"/>
  <c r="E100" i="22"/>
  <c r="E9" i="27" l="1"/>
  <c r="C10" i="27"/>
  <c r="E10" i="27"/>
  <c r="D9" i="27"/>
  <c r="K285" i="22"/>
  <c r="C9" i="27"/>
  <c r="D10" i="27"/>
  <c r="F100" i="22"/>
  <c r="B37" i="7" l="1"/>
  <c r="B477" i="22"/>
  <c r="B282" i="23"/>
  <c r="B281" i="23"/>
  <c r="B284" i="23"/>
  <c r="B283" i="23"/>
  <c r="AN7" i="2"/>
  <c r="AR7" i="2"/>
  <c r="B100" i="22"/>
  <c r="B99" i="22"/>
  <c r="B30" i="7"/>
  <c r="B151" i="22" l="1"/>
  <c r="B476" i="22"/>
  <c r="B35" i="7"/>
  <c r="B90" i="23"/>
  <c r="B223" i="22"/>
  <c r="B10" i="27" l="1"/>
  <c r="B9" i="27"/>
  <c r="T122" i="20" l="1"/>
  <c r="S122" i="20"/>
  <c r="Q122" i="20"/>
  <c r="O122" i="20"/>
  <c r="W221" i="18"/>
  <c r="V221" i="18" s="1"/>
  <c r="U221" i="18" s="1"/>
  <c r="T221" i="18" s="1"/>
  <c r="S221" i="18" s="1"/>
  <c r="R221" i="18" s="1"/>
  <c r="IA51" i="2"/>
  <c r="H122" i="20" l="1"/>
  <c r="AN4" i="2"/>
  <c r="AN50" i="2" s="1"/>
  <c r="AR4" i="2"/>
  <c r="Q160" i="20" l="1"/>
  <c r="S160" i="20" l="1"/>
  <c r="H160" i="20"/>
  <c r="G93" i="8" l="1"/>
  <c r="E93" i="8"/>
  <c r="D93" i="8"/>
  <c r="C93" i="8"/>
  <c r="G90" i="8"/>
  <c r="E90" i="8"/>
  <c r="D90" i="8"/>
  <c r="C90" i="8"/>
  <c r="H85" i="8"/>
  <c r="G85" i="8"/>
  <c r="F85" i="8"/>
  <c r="E85" i="8"/>
  <c r="D85" i="8"/>
  <c r="C85" i="8"/>
  <c r="B85" i="8"/>
  <c r="G82" i="8"/>
  <c r="E82" i="8"/>
  <c r="D82" i="8"/>
  <c r="C82" i="8"/>
  <c r="B82" i="8"/>
  <c r="G76" i="8"/>
  <c r="F76" i="8"/>
  <c r="E76" i="8"/>
  <c r="D76" i="8"/>
  <c r="C76" i="8"/>
  <c r="C69" i="8" l="1"/>
  <c r="D69" i="8"/>
  <c r="E69" i="8"/>
  <c r="F69" i="8"/>
  <c r="G69" i="8"/>
  <c r="F90" i="8"/>
  <c r="BJ55" i="2"/>
  <c r="BK55" i="2"/>
  <c r="AR6" i="2"/>
  <c r="H282" i="23"/>
  <c r="H283" i="23"/>
  <c r="G281" i="23"/>
  <c r="G282" i="23"/>
  <c r="G283" i="23"/>
  <c r="F282" i="23"/>
  <c r="E282" i="23"/>
  <c r="E283" i="23"/>
  <c r="D282" i="23"/>
  <c r="D283" i="23"/>
  <c r="AR9" i="2"/>
  <c r="AR27" i="2"/>
  <c r="C283" i="23"/>
  <c r="C282" i="23"/>
  <c r="K328" i="18"/>
  <c r="J328" i="18"/>
  <c r="I328" i="18"/>
  <c r="H328" i="18"/>
  <c r="G328" i="18"/>
  <c r="F328" i="18"/>
  <c r="E328" i="18"/>
  <c r="D328" i="18"/>
  <c r="B328" i="18"/>
  <c r="H285" i="23" l="1"/>
  <c r="G285" i="23"/>
  <c r="B285" i="23"/>
  <c r="D285" i="23"/>
  <c r="C285" i="23"/>
  <c r="F285" i="23"/>
  <c r="E285" i="23"/>
  <c r="BL55" i="2"/>
  <c r="AN9" i="2"/>
  <c r="AN6" i="2"/>
  <c r="AN52" i="2" s="1"/>
  <c r="AR52" i="2"/>
  <c r="A285" i="23" l="1"/>
  <c r="AR50" i="2"/>
  <c r="B33" i="7"/>
  <c r="B103" i="22"/>
  <c r="E33" i="7"/>
  <c r="E103" i="22"/>
  <c r="C33" i="7"/>
  <c r="C103" i="22"/>
  <c r="D33" i="7"/>
  <c r="D103" i="22"/>
  <c r="F33" i="7"/>
  <c r="F103" i="22"/>
  <c r="G33" i="7"/>
  <c r="G103" i="22"/>
  <c r="H33" i="7"/>
  <c r="H103" i="22"/>
  <c r="G91" i="8" l="1"/>
  <c r="F91" i="8"/>
  <c r="E91" i="8"/>
  <c r="D91" i="8"/>
  <c r="C91" i="8"/>
  <c r="G83" i="8"/>
  <c r="E83" i="8"/>
  <c r="D83" i="8"/>
  <c r="C83" i="8"/>
  <c r="B83" i="8"/>
  <c r="G70" i="8"/>
  <c r="F70" i="8"/>
  <c r="E70" i="8"/>
  <c r="D70" i="8"/>
  <c r="C70" i="8"/>
  <c r="H90" i="8" l="1"/>
  <c r="H91" i="8" s="1"/>
  <c r="H82" i="8"/>
  <c r="H83" i="8" s="1"/>
  <c r="H93" i="8" l="1"/>
  <c r="H69" i="8"/>
  <c r="H70" i="8" s="1"/>
  <c r="H76" i="8" l="1"/>
  <c r="H75" i="8"/>
  <c r="G75" i="8" s="1"/>
  <c r="F75" i="8" s="1"/>
  <c r="E75" i="8" s="1"/>
  <c r="D75" i="8" s="1"/>
  <c r="C75" i="8" s="1"/>
  <c r="B90" i="8" l="1"/>
  <c r="B91" i="8" s="1"/>
  <c r="B93" i="8" l="1"/>
  <c r="B69" i="8"/>
  <c r="B70" i="8" s="1"/>
  <c r="B75" i="8" l="1"/>
  <c r="B76" i="8"/>
  <c r="GX53" i="2" l="1"/>
  <c r="GN54" i="2" l="1"/>
  <c r="GY53" i="2"/>
  <c r="HD53" i="2"/>
  <c r="HB53" i="2"/>
  <c r="GS54" i="2"/>
  <c r="GS55" i="2" s="1"/>
  <c r="GT54" i="2"/>
  <c r="GO54" i="2"/>
  <c r="GR54" i="2"/>
  <c r="GP54" i="2"/>
  <c r="GP55" i="2" s="1"/>
  <c r="HC53" i="2"/>
  <c r="HF53" i="2"/>
  <c r="HA53" i="2"/>
  <c r="JX53" i="2"/>
  <c r="GZ53" i="2"/>
  <c r="GQ54" i="2"/>
  <c r="GU54" i="2"/>
  <c r="HE53" i="2"/>
  <c r="GV54" i="2"/>
  <c r="GR55" i="2" l="1"/>
  <c r="GT55" i="2"/>
  <c r="GO55" i="2"/>
  <c r="GN55" i="2"/>
  <c r="GV55" i="2"/>
  <c r="GQ55" i="2"/>
  <c r="GU55" i="2"/>
  <c r="JS55" i="2" l="1"/>
  <c r="JT55" i="2"/>
  <c r="JU55" i="2"/>
  <c r="JV55" i="2"/>
  <c r="JW55" i="2"/>
  <c r="GW55" i="2"/>
  <c r="JR55" i="2"/>
  <c r="JX55" i="2" l="1"/>
  <c r="HF55" i="2"/>
  <c r="GX55" i="2"/>
  <c r="GY55" i="2"/>
  <c r="HB55" i="2"/>
  <c r="HA55" i="2"/>
  <c r="HC55" i="2"/>
  <c r="HE55" i="2"/>
  <c r="HD55" i="2"/>
  <c r="GZ55" i="2"/>
  <c r="K3" i="2" l="1"/>
  <c r="K54" i="2"/>
  <c r="K53" i="2"/>
  <c r="DP53" i="2" l="1"/>
  <c r="EJ53" i="2"/>
  <c r="DO53" i="2"/>
  <c r="IP53" i="2"/>
  <c r="ET53" i="2"/>
  <c r="BX53" i="2"/>
  <c r="DQ53" i="2"/>
  <c r="DW53" i="2"/>
  <c r="DN53" i="2"/>
  <c r="DZ53" i="2"/>
  <c r="DR53" i="2"/>
  <c r="BW53" i="2"/>
  <c r="DM53" i="2"/>
  <c r="DX53" i="2"/>
  <c r="BY53" i="2"/>
  <c r="DL53" i="2"/>
  <c r="DY53" i="2"/>
  <c r="IG53" i="2"/>
  <c r="DT53" i="2"/>
  <c r="ES53" i="2"/>
  <c r="K55" i="2"/>
  <c r="EA53" i="2"/>
  <c r="IH53" i="2"/>
  <c r="DS53" i="2"/>
  <c r="DK53" i="2"/>
  <c r="DV53" i="2"/>
  <c r="DZ55" i="2" l="1"/>
  <c r="EA55" i="2"/>
  <c r="DK55" i="2"/>
  <c r="DN55" i="2"/>
  <c r="DS55" i="2"/>
  <c r="DO55" i="2"/>
  <c r="DL55" i="2"/>
  <c r="DY55" i="2"/>
  <c r="DW55" i="2"/>
  <c r="DM55" i="2"/>
  <c r="DP55" i="2"/>
  <c r="DT55" i="2"/>
  <c r="DR55" i="2"/>
  <c r="DQ55" i="2"/>
  <c r="DV55" i="2"/>
  <c r="DX55" i="2"/>
  <c r="EJ55" i="2"/>
  <c r="EB53" i="2"/>
  <c r="IH55" i="2"/>
  <c r="ET55" i="2"/>
  <c r="IP55" i="2"/>
  <c r="BY55" i="2"/>
  <c r="BW55" i="2"/>
  <c r="ES55" i="2"/>
  <c r="BX55" i="2"/>
  <c r="DU53" i="2"/>
  <c r="EC53" i="2" l="1"/>
  <c r="DU55" i="2"/>
  <c r="EB55" i="2"/>
  <c r="EC55" i="2" l="1"/>
  <c r="GI51" i="2"/>
  <c r="BW3" i="2" l="1"/>
  <c r="K363" i="22" l="1"/>
  <c r="GJ43" i="2" l="1"/>
  <c r="S13" i="2" l="1"/>
  <c r="AK13" i="2"/>
  <c r="EX13" i="2"/>
  <c r="BZ13" i="2"/>
  <c r="CD37" i="2"/>
  <c r="AK43" i="2"/>
  <c r="EO37" i="2"/>
  <c r="FB43" i="2"/>
  <c r="GK13" i="2"/>
  <c r="IL13" i="2"/>
  <c r="W43" i="2"/>
  <c r="JH43" i="2"/>
  <c r="HP14" i="2"/>
  <c r="AB13" i="2"/>
  <c r="HH13" i="2"/>
  <c r="KW14" i="2"/>
  <c r="KU19" i="2"/>
  <c r="KP13" i="2"/>
  <c r="KI31" i="2"/>
  <c r="W19" i="2"/>
  <c r="HN13" i="2"/>
  <c r="W31" i="2"/>
  <c r="EK14" i="2"/>
  <c r="EK43" i="2"/>
  <c r="IM13" i="2"/>
  <c r="EY13" i="2"/>
  <c r="EZ13" i="2"/>
  <c r="BP13" i="2"/>
  <c r="S43" i="2"/>
  <c r="EE37" i="2"/>
  <c r="EE25" i="2"/>
  <c r="EV14" i="2"/>
  <c r="CF13" i="2"/>
  <c r="AK31" i="2"/>
  <c r="KU13" i="2"/>
  <c r="S14" i="2"/>
  <c r="AH14" i="2"/>
  <c r="EF19" i="2"/>
  <c r="GM13" i="2"/>
  <c r="S31" i="2"/>
  <c r="JJ14" i="2"/>
  <c r="GL43" i="2"/>
  <c r="BU14" i="2"/>
  <c r="EM43" i="2"/>
  <c r="JL13" i="2"/>
  <c r="AL13" i="2"/>
  <c r="EO13" i="2"/>
  <c r="G13" i="2"/>
  <c r="EI14" i="2"/>
  <c r="CI37" i="2"/>
  <c r="HK13" i="2"/>
  <c r="KQ14" i="2"/>
  <c r="GQ13" i="2"/>
  <c r="F14" i="2"/>
  <c r="CI19" i="2"/>
  <c r="JK14" i="2"/>
  <c r="FV13" i="2"/>
  <c r="BH13" i="2"/>
  <c r="AL37" i="2"/>
  <c r="FB31" i="2"/>
  <c r="CD19" i="2"/>
  <c r="KL14" i="2"/>
  <c r="FS13" i="2"/>
  <c r="EG25" i="2"/>
  <c r="AF14" i="2"/>
  <c r="CA13" i="2"/>
  <c r="F13" i="2"/>
  <c r="X13" i="2"/>
  <c r="II14" i="2"/>
  <c r="BW16" i="2" a="1"/>
  <c r="BW16" i="2" s="1"/>
  <c r="J12" i="2" a="1"/>
  <c r="J12" i="2" s="1"/>
  <c r="O7" i="7" s="1"/>
  <c r="AR16" i="2" a="1"/>
  <c r="AR16" i="2" s="1"/>
  <c r="Q33" i="7" s="1"/>
  <c r="FY18" i="2" a="1"/>
  <c r="FY18" i="2" s="1"/>
  <c r="U53" i="7" s="1"/>
  <c r="BN20" i="2"/>
  <c r="W17" i="2" a="1"/>
  <c r="W17" i="2" s="1"/>
  <c r="S17" i="7" s="1"/>
  <c r="JY12" i="2" a="1"/>
  <c r="JY12" i="2" s="1"/>
  <c r="S12" i="2" a="1"/>
  <c r="S12" i="2" s="1"/>
  <c r="O19" i="7" s="1"/>
  <c r="S16" i="2" a="1"/>
  <c r="S16" i="2" s="1"/>
  <c r="Q19" i="7" s="1"/>
  <c r="BS20" i="2"/>
  <c r="AR10" i="2" a="1"/>
  <c r="AR10" i="2" s="1"/>
  <c r="K33" i="7" s="1"/>
  <c r="GI17" i="2" a="1"/>
  <c r="GI17" i="2" s="1"/>
  <c r="S49" i="7" s="1"/>
  <c r="FE16" i="2" a="1"/>
  <c r="FE16" i="2" s="1"/>
  <c r="Q47" i="7" s="1"/>
  <c r="EV20" i="2"/>
  <c r="BN26" i="2"/>
  <c r="BB25" i="2"/>
  <c r="EU14" i="2"/>
  <c r="G20" i="2"/>
  <c r="F26" i="2"/>
  <c r="BM26" i="2"/>
  <c r="AZ19" i="2"/>
  <c r="BA31" i="2"/>
  <c r="D31" i="2"/>
  <c r="F6" i="8" s="1"/>
  <c r="F8" i="8" s="1"/>
  <c r="F9" i="8" s="1"/>
  <c r="IE32" i="2"/>
  <c r="IO30" i="2" a="1"/>
  <c r="IO30" i="2" s="1"/>
  <c r="AG57" i="7" s="1"/>
  <c r="AE20" i="2"/>
  <c r="IM26" i="2"/>
  <c r="J23" i="2" a="1"/>
  <c r="J23" i="2" s="1"/>
  <c r="Y7" i="7" s="1"/>
  <c r="AX20" i="2"/>
  <c r="BC37" i="2"/>
  <c r="BC38" i="2"/>
  <c r="H38" i="2"/>
  <c r="JN32" i="2"/>
  <c r="FE30" i="2" a="1"/>
  <c r="FE30" i="2" s="1"/>
  <c r="AG47" i="7" s="1"/>
  <c r="KI34" i="2" a="1"/>
  <c r="KI34" i="2" s="1"/>
  <c r="BJ38" i="2"/>
  <c r="S11" i="2" a="1"/>
  <c r="S11" i="2" s="1"/>
  <c r="M19" i="7" s="1"/>
  <c r="AZ20" i="2"/>
  <c r="KO20" i="2"/>
  <c r="EX27" i="2"/>
  <c r="G384" i="18" s="1"/>
  <c r="KW20" i="2"/>
  <c r="EW26" i="2"/>
  <c r="KI30" i="2" a="1"/>
  <c r="KI30" i="2" s="1"/>
  <c r="AA32" i="2"/>
  <c r="W34" i="2" a="1"/>
  <c r="W34" i="2" s="1"/>
  <c r="AI17" i="7" s="1"/>
  <c r="KU38" i="2"/>
  <c r="GX40" i="2" a="1"/>
  <c r="GX40" i="2" s="1"/>
  <c r="AO81" i="7" s="1"/>
  <c r="FY41" i="2" a="1"/>
  <c r="FY41" i="2" s="1"/>
  <c r="AQ53" i="7" s="1"/>
  <c r="AK20" i="2"/>
  <c r="BW23" i="2" a="1"/>
  <c r="BW23" i="2" s="1"/>
  <c r="IJ20" i="2"/>
  <c r="EQ32" i="2"/>
  <c r="IP29" i="2" a="1"/>
  <c r="IP29" i="2" s="1"/>
  <c r="AE32" i="2"/>
  <c r="S30" i="2" a="1"/>
  <c r="S30" i="2" s="1"/>
  <c r="AG19" i="7" s="1"/>
  <c r="EX43" i="2"/>
  <c r="E387" i="18" s="1"/>
  <c r="EV38" i="2"/>
  <c r="GH48" i="2" a="1"/>
  <c r="GH48" i="2" s="1"/>
  <c r="AY51" i="7" s="1"/>
  <c r="AB20" i="2"/>
  <c r="BK26" i="2"/>
  <c r="GJ26" i="2"/>
  <c r="EU26" i="2"/>
  <c r="D422" i="18" s="1"/>
  <c r="IL26" i="2"/>
  <c r="IO29" i="2" a="1"/>
  <c r="IO29" i="2" s="1"/>
  <c r="AE57" i="7" s="1"/>
  <c r="AQ12" i="2" a="1"/>
  <c r="AQ12" i="2" s="1"/>
  <c r="O24" i="7" s="1"/>
  <c r="BK20" i="2"/>
  <c r="EM26" i="2"/>
  <c r="GJ32" i="2"/>
  <c r="EX26" i="2"/>
  <c r="F384" i="18" s="1"/>
  <c r="JL26" i="2"/>
  <c r="BD37" i="2"/>
  <c r="BG38" i="2"/>
  <c r="KI18" i="2" a="1"/>
  <c r="KI18" i="2" s="1"/>
  <c r="KI17" i="2" a="1"/>
  <c r="KI17" i="2" s="1"/>
  <c r="I20" i="2"/>
  <c r="EU22" i="2"/>
  <c r="EH32" i="2"/>
  <c r="JI32" i="2"/>
  <c r="HQ34" i="2" a="1"/>
  <c r="HQ34" i="2" s="1"/>
  <c r="AI93" i="7" s="1"/>
  <c r="EL44" i="2"/>
  <c r="AH32" i="2"/>
  <c r="GI35" i="2" a="1"/>
  <c r="GI35" i="2" s="1"/>
  <c r="AK49" i="7" s="1"/>
  <c r="W40" i="2" a="1"/>
  <c r="W40" i="2" s="1"/>
  <c r="AO17" i="7" s="1"/>
  <c r="BW11" i="2" a="1"/>
  <c r="BW11" i="2" s="1"/>
  <c r="CJ11" i="2" a="1"/>
  <c r="CJ11" i="2" s="1"/>
  <c r="M45" i="7" s="1"/>
  <c r="FE11" i="2" a="1"/>
  <c r="FE11" i="2" s="1"/>
  <c r="M47" i="7" s="1"/>
  <c r="AR17" i="2" a="1"/>
  <c r="AR17" i="2" s="1"/>
  <c r="S33" i="7" s="1"/>
  <c r="KM20" i="2"/>
  <c r="IQ28" i="2" a="1"/>
  <c r="IQ28" i="2" s="1"/>
  <c r="AC55" i="7" s="1"/>
  <c r="K26" i="2"/>
  <c r="EE26" i="2"/>
  <c r="AX32" i="2"/>
  <c r="IJ32" i="2"/>
  <c r="BC32" i="2"/>
  <c r="IC44" i="2"/>
  <c r="F44" i="2"/>
  <c r="IO35" i="2" a="1"/>
  <c r="IO35" i="2" s="1"/>
  <c r="AK57" i="7" s="1"/>
  <c r="GH41" i="2" a="1"/>
  <c r="GH41" i="2" s="1"/>
  <c r="AQ51" i="7" s="1"/>
  <c r="HQ28" i="2" a="1"/>
  <c r="HQ28" i="2" s="1"/>
  <c r="AC93" i="7" s="1"/>
  <c r="BD44" i="2"/>
  <c r="GH11" i="2" a="1"/>
  <c r="GH11" i="2" s="1"/>
  <c r="M51" i="7" s="1"/>
  <c r="GI10" i="2" a="1"/>
  <c r="GI10" i="2" s="1"/>
  <c r="K49" i="7" s="1"/>
  <c r="CJ22" i="2" a="1"/>
  <c r="CJ22" i="2" s="1"/>
  <c r="W45" i="7" s="1"/>
  <c r="GI18" i="2" a="1"/>
  <c r="GI18" i="2" s="1"/>
  <c r="U49" i="7" s="1"/>
  <c r="JJ20" i="2"/>
  <c r="W11" i="2" a="1"/>
  <c r="W11" i="2" s="1"/>
  <c r="M17" i="7" s="1"/>
  <c r="AQ18" i="2" a="1"/>
  <c r="AQ18" i="2" s="1"/>
  <c r="U24" i="7" s="1"/>
  <c r="GX28" i="2" a="1"/>
  <c r="GX28" i="2" s="1"/>
  <c r="AC81" i="7" s="1"/>
  <c r="HQ24" i="2" a="1"/>
  <c r="HQ24" i="2" s="1"/>
  <c r="AA93" i="7" s="1"/>
  <c r="KL20" i="2"/>
  <c r="AY32" i="2"/>
  <c r="KM38" i="2"/>
  <c r="KO38" i="2"/>
  <c r="GX36" i="2" a="1"/>
  <c r="GX36" i="2" s="1"/>
  <c r="AM81" i="7" s="1"/>
  <c r="IP41" i="2" a="1"/>
  <c r="IP41" i="2" s="1"/>
  <c r="FE12" i="2" a="1"/>
  <c r="FE12" i="2" s="1"/>
  <c r="O47" i="7" s="1"/>
  <c r="GI16" i="2" a="1"/>
  <c r="GI16" i="2" s="1"/>
  <c r="Q49" i="7" s="1"/>
  <c r="EI20" i="2"/>
  <c r="HQ23" i="2" a="1"/>
  <c r="HQ23" i="2" s="1"/>
  <c r="Y93" i="7" s="1"/>
  <c r="BW24" i="2" a="1"/>
  <c r="BW24" i="2" s="1"/>
  <c r="EU24" i="2"/>
  <c r="KK20" i="2"/>
  <c r="BK38" i="2"/>
  <c r="K32" i="2"/>
  <c r="GX18" i="2" a="1"/>
  <c r="GX18" i="2" s="1"/>
  <c r="U81" i="7" s="1"/>
  <c r="KK32" i="2"/>
  <c r="AA38" i="2"/>
  <c r="EX18" i="2"/>
  <c r="KI24" i="2" a="1"/>
  <c r="KI24" i="2" s="1"/>
  <c r="GM26" i="2"/>
  <c r="X32" i="2"/>
  <c r="JQ32" i="2"/>
  <c r="EK20" i="2"/>
  <c r="BE38" i="2"/>
  <c r="AY38" i="2"/>
  <c r="EU34" i="2"/>
  <c r="K38" i="2"/>
  <c r="GM44" i="2"/>
  <c r="BD20" i="2"/>
  <c r="EU20" i="2"/>
  <c r="D421" i="18" s="1"/>
  <c r="J28" i="2" a="1"/>
  <c r="J28" i="2" s="1"/>
  <c r="AC7" i="7" s="1"/>
  <c r="AE26" i="2"/>
  <c r="JP32" i="2"/>
  <c r="BW30" i="2" a="1"/>
  <c r="BW30" i="2" s="1"/>
  <c r="IP30" i="2" a="1"/>
  <c r="IP30" i="2" s="1"/>
  <c r="IP35" i="2" a="1"/>
  <c r="IP35" i="2" s="1"/>
  <c r="GJ38" i="2"/>
  <c r="ER38" i="2"/>
  <c r="GX10" i="2" a="1"/>
  <c r="GX10" i="2" s="1"/>
  <c r="K81" i="7" s="1"/>
  <c r="AQ17" i="2" a="1"/>
  <c r="AQ17" i="2" s="1"/>
  <c r="S24" i="7" s="1"/>
  <c r="JL20" i="2"/>
  <c r="BV20" i="2"/>
  <c r="W26" i="2"/>
  <c r="AQ22" i="2" a="1"/>
  <c r="AQ22" i="2" s="1"/>
  <c r="W24" i="7" s="1"/>
  <c r="BW10" i="2" a="1"/>
  <c r="BW10" i="2" s="1"/>
  <c r="IN20" i="2"/>
  <c r="KV26" i="2"/>
  <c r="J34" i="2" a="1"/>
  <c r="J34" i="2" s="1"/>
  <c r="AI7" i="7" s="1"/>
  <c r="JY32" i="2"/>
  <c r="KI29" i="2" a="1"/>
  <c r="KI29" i="2" s="1"/>
  <c r="BQ44" i="2"/>
  <c r="EN44" i="2"/>
  <c r="BT38" i="2"/>
  <c r="EX14" i="2"/>
  <c r="EE20" i="2"/>
  <c r="J17" i="2" a="1"/>
  <c r="J17" i="2" s="1"/>
  <c r="S7" i="7" s="1"/>
  <c r="EX21" i="2"/>
  <c r="G383" i="18" s="1"/>
  <c r="AI26" i="2"/>
  <c r="IP22" i="2" a="1"/>
  <c r="IP22" i="2" s="1"/>
  <c r="BG26" i="2"/>
  <c r="EF26" i="2"/>
  <c r="IK26" i="2"/>
  <c r="GM32" i="2"/>
  <c r="AI32" i="2"/>
  <c r="IQ35" i="2" a="1"/>
  <c r="IQ35" i="2" s="1"/>
  <c r="AK55" i="7" s="1"/>
  <c r="JJ38" i="2"/>
  <c r="KI40" i="2" a="1"/>
  <c r="KI40" i="2" s="1"/>
  <c r="FY16" i="2" a="1"/>
  <c r="FY16" i="2" s="1"/>
  <c r="Q53" i="7" s="1"/>
  <c r="AR12" i="2" a="1"/>
  <c r="AR12" i="2" s="1"/>
  <c r="O33" i="7" s="1"/>
  <c r="BW12" i="2" a="1"/>
  <c r="BW12" i="2" s="1"/>
  <c r="HQ18" i="2" a="1"/>
  <c r="HQ18" i="2" s="1"/>
  <c r="U93" i="7" s="1"/>
  <c r="ER20" i="2"/>
  <c r="AR23" i="2" a="1"/>
  <c r="AR23" i="2" s="1"/>
  <c r="Y33" i="7" s="1"/>
  <c r="ER26" i="2"/>
  <c r="JH32" i="2"/>
  <c r="BU38" i="2"/>
  <c r="EX40" i="2"/>
  <c r="JY38" i="2"/>
  <c r="KL38" i="2"/>
  <c r="KI42" i="2" a="1"/>
  <c r="KI42" i="2" s="1"/>
  <c r="EU42" i="2"/>
  <c r="W42" i="2" a="1"/>
  <c r="W42" i="2" s="1"/>
  <c r="AS17" i="7" s="1"/>
  <c r="GX12" i="2" a="1"/>
  <c r="GX12" i="2" s="1"/>
  <c r="O81" i="7" s="1"/>
  <c r="CJ12" i="2" a="1"/>
  <c r="CJ12" i="2" s="1"/>
  <c r="O45" i="7" s="1"/>
  <c r="CJ18" i="2" a="1"/>
  <c r="CJ18" i="2" s="1"/>
  <c r="U45" i="7" s="1"/>
  <c r="AQ11" i="2" a="1"/>
  <c r="AQ11" i="2" s="1"/>
  <c r="M24" i="7" s="1"/>
  <c r="KV20" i="2"/>
  <c r="IO22" i="2" a="1"/>
  <c r="IO22" i="2" s="1"/>
  <c r="W57" i="7" s="1"/>
  <c r="BF26" i="2"/>
  <c r="JY23" i="2" a="1"/>
  <c r="JY23" i="2" s="1"/>
  <c r="BS32" i="2"/>
  <c r="EO32" i="2"/>
  <c r="BB32" i="2"/>
  <c r="EX42" i="2"/>
  <c r="J16" i="2" a="1"/>
  <c r="J16" i="2" s="1"/>
  <c r="Q7" i="7" s="1"/>
  <c r="BU20" i="2"/>
  <c r="BA19" i="2"/>
  <c r="JN26" i="2"/>
  <c r="EF20" i="2"/>
  <c r="IL20" i="2"/>
  <c r="CJ29" i="2" a="1"/>
  <c r="CJ29" i="2" s="1"/>
  <c r="AE45" i="7" s="1"/>
  <c r="X38" i="2"/>
  <c r="KL32" i="2"/>
  <c r="AQ36" i="2" a="1"/>
  <c r="AQ36" i="2" s="1"/>
  <c r="AM24" i="7" s="1"/>
  <c r="BR38" i="2"/>
  <c r="EK38" i="2"/>
  <c r="BB37" i="2"/>
  <c r="BH20" i="2"/>
  <c r="J20" i="2"/>
  <c r="JN20" i="2"/>
  <c r="IP16" i="2" a="1"/>
  <c r="IP16" i="2" s="1"/>
  <c r="BQ32" i="2"/>
  <c r="GH28" i="2" a="1"/>
  <c r="GH28" i="2" s="1"/>
  <c r="AC51" i="7" s="1"/>
  <c r="EV44" i="2"/>
  <c r="CJ36" i="2" a="1"/>
  <c r="CJ36" i="2" s="1"/>
  <c r="AM45" i="7" s="1"/>
  <c r="EQ44" i="2"/>
  <c r="BR20" i="2"/>
  <c r="AH20" i="2"/>
  <c r="AY19" i="2"/>
  <c r="EQ26" i="2"/>
  <c r="G32" i="2"/>
  <c r="BF32" i="2"/>
  <c r="BC43" i="2"/>
  <c r="J40" i="2" a="1"/>
  <c r="J40" i="2" s="1"/>
  <c r="AO7" i="7" s="1"/>
  <c r="JH44" i="2"/>
  <c r="IO11" i="2" a="1"/>
  <c r="IO11" i="2" s="1"/>
  <c r="M57" i="7" s="1"/>
  <c r="J11" i="2" a="1"/>
  <c r="J11" i="2" s="1"/>
  <c r="M7" i="7" s="1"/>
  <c r="X20" i="2"/>
  <c r="KS20" i="2"/>
  <c r="GH23" i="2" a="1"/>
  <c r="GH23" i="2" s="1"/>
  <c r="Y51" i="7" s="1"/>
  <c r="GL26" i="2"/>
  <c r="AH26" i="2"/>
  <c r="EK32" i="2"/>
  <c r="BW34" i="2" a="1"/>
  <c r="BW34" i="2" s="1"/>
  <c r="JM32" i="2"/>
  <c r="KI12" i="2" a="1"/>
  <c r="KI12" i="2" s="1"/>
  <c r="FE24" i="2" a="1"/>
  <c r="FE24" i="2" s="1"/>
  <c r="AA47" i="7" s="1"/>
  <c r="KO26" i="2"/>
  <c r="BT26" i="2"/>
  <c r="IQ23" i="2" a="1"/>
  <c r="IQ23" i="2" s="1"/>
  <c r="Y55" i="7" s="1"/>
  <c r="S29" i="2" a="1"/>
  <c r="S29" i="2" s="1"/>
  <c r="AE19" i="7" s="1"/>
  <c r="BQ38" i="2"/>
  <c r="EU37" i="2"/>
  <c r="C424" i="18" s="1"/>
  <c r="AZ31" i="2"/>
  <c r="IO16" i="2" a="1"/>
  <c r="IO16" i="2" s="1"/>
  <c r="Q57" i="7" s="1"/>
  <c r="W22" i="2" a="1"/>
  <c r="W22" i="2" s="1"/>
  <c r="W17" i="7" s="1"/>
  <c r="EU18" i="2"/>
  <c r="GL20" i="2"/>
  <c r="BV26" i="2"/>
  <c r="FY24" i="2" a="1"/>
  <c r="FY24" i="2" s="1"/>
  <c r="AA53" i="7" s="1"/>
  <c r="H32" i="2"/>
  <c r="IQ29" i="2" a="1"/>
  <c r="IQ29" i="2" s="1"/>
  <c r="AE55" i="7" s="1"/>
  <c r="EU30" i="2"/>
  <c r="EF38" i="2"/>
  <c r="KW38" i="2"/>
  <c r="AY43" i="2"/>
  <c r="JN38" i="2"/>
  <c r="CJ17" i="2" a="1"/>
  <c r="CJ17" i="2" s="1"/>
  <c r="S45" i="7" s="1"/>
  <c r="IP17" i="2" a="1"/>
  <c r="IP17" i="2" s="1"/>
  <c r="CJ10" i="2" a="1"/>
  <c r="CJ10" i="2" s="1"/>
  <c r="K45" i="7" s="1"/>
  <c r="EN20" i="2"/>
  <c r="II20" i="2"/>
  <c r="JY24" i="2" a="1"/>
  <c r="JY24" i="2" s="1"/>
  <c r="EK26" i="2"/>
  <c r="EO26" i="2"/>
  <c r="AR34" i="2" a="1"/>
  <c r="AR34" i="2" s="1"/>
  <c r="AI33" i="7" s="1"/>
  <c r="BF20" i="2"/>
  <c r="EN32" i="2"/>
  <c r="EQ38" i="2"/>
  <c r="BW35" i="2" a="1"/>
  <c r="BW35" i="2" s="1"/>
  <c r="EL38" i="2"/>
  <c r="IP40" i="2" a="1"/>
  <c r="IP40" i="2" s="1"/>
  <c r="J46" i="2" a="1"/>
  <c r="J46" i="2" s="1"/>
  <c r="AU7" i="7" s="1"/>
  <c r="GX16" i="2" a="1"/>
  <c r="GX16" i="2" s="1"/>
  <c r="Q81" i="7" s="1"/>
  <c r="W16" i="2" a="1"/>
  <c r="W16" i="2" s="1"/>
  <c r="Q17" i="7" s="1"/>
  <c r="GJ20" i="2"/>
  <c r="FE22" i="2" a="1"/>
  <c r="FE22" i="2" s="1"/>
  <c r="W47" i="7" s="1"/>
  <c r="JI20" i="2"/>
  <c r="AY26" i="2"/>
  <c r="BV32" i="2"/>
  <c r="I32" i="2"/>
  <c r="EW32" i="2"/>
  <c r="F32" i="2"/>
  <c r="J36" i="2" a="1"/>
  <c r="J36" i="2" s="1"/>
  <c r="AM7" i="7" s="1"/>
  <c r="JY11" i="2" a="1"/>
  <c r="JY11" i="2" s="1"/>
  <c r="W18" i="2" a="1"/>
  <c r="W18" i="2" s="1"/>
  <c r="U17" i="7" s="1"/>
  <c r="JO20" i="2"/>
  <c r="BW22" i="2" a="1"/>
  <c r="BW22" i="2" s="1"/>
  <c r="EI26" i="2"/>
  <c r="KW26" i="2"/>
  <c r="EU25" i="2"/>
  <c r="C422" i="18" s="1"/>
  <c r="BC25" i="2"/>
  <c r="KP32" i="2"/>
  <c r="AK38" i="2"/>
  <c r="KT32" i="2"/>
  <c r="BV38" i="2"/>
  <c r="FY10" i="2" a="1"/>
  <c r="FY10" i="2" s="1"/>
  <c r="K53" i="7" s="1"/>
  <c r="GH10" i="2" a="1"/>
  <c r="GH10" i="2" s="1"/>
  <c r="K51" i="7" s="1"/>
  <c r="W12" i="2" a="1"/>
  <c r="W12" i="2" s="1"/>
  <c r="O17" i="7" s="1"/>
  <c r="EG20" i="2"/>
  <c r="KL26" i="2"/>
  <c r="BQ26" i="2"/>
  <c r="BD31" i="2"/>
  <c r="FY29" i="2" a="1"/>
  <c r="FY29" i="2" s="1"/>
  <c r="AE53" i="7" s="1"/>
  <c r="EH38" i="2"/>
  <c r="KI36" i="2" a="1"/>
  <c r="KI36" i="2" s="1"/>
  <c r="AQ29" i="2" a="1"/>
  <c r="AQ29" i="2" s="1"/>
  <c r="AE24" i="7" s="1"/>
  <c r="AL44" i="2"/>
  <c r="W47" i="2" a="1"/>
  <c r="W47" i="2" s="1"/>
  <c r="AW17" i="7" s="1"/>
  <c r="AQ10" i="2" a="1"/>
  <c r="AQ10" i="2" s="1"/>
  <c r="K24" i="7" s="1"/>
  <c r="KI16" i="2" a="1"/>
  <c r="KI16" i="2" s="1"/>
  <c r="EX20" i="2"/>
  <c r="F383" i="18" s="1"/>
  <c r="EU16" i="2"/>
  <c r="J22" i="2" a="1"/>
  <c r="J22" i="2" s="1"/>
  <c r="W7" i="7" s="1"/>
  <c r="AQ24" i="2" a="1"/>
  <c r="AQ24" i="2" s="1"/>
  <c r="AA24" i="7" s="1"/>
  <c r="AQ16" i="2" a="1"/>
  <c r="AQ16" i="2" s="1"/>
  <c r="Q24" i="7" s="1"/>
  <c r="II38" i="2"/>
  <c r="BP26" i="2"/>
  <c r="EX44" i="2"/>
  <c r="F387" i="18" s="1"/>
  <c r="EH26" i="2"/>
  <c r="KU20" i="2"/>
  <c r="AY25" i="2"/>
  <c r="GH24" i="2" a="1"/>
  <c r="GH24" i="2" s="1"/>
  <c r="AA51" i="7" s="1"/>
  <c r="KP26" i="2"/>
  <c r="EG38" i="2"/>
  <c r="JK32" i="2"/>
  <c r="BP38" i="2"/>
  <c r="IQ40" i="2" a="1"/>
  <c r="IQ40" i="2" s="1"/>
  <c r="AO55" i="7" s="1"/>
  <c r="IQ16" i="2" a="1"/>
  <c r="IQ16" i="2" s="1"/>
  <c r="Q55" i="7" s="1"/>
  <c r="BJ20" i="2"/>
  <c r="BG20" i="2"/>
  <c r="JO26" i="2"/>
  <c r="IE26" i="2"/>
  <c r="KV32" i="2"/>
  <c r="GL32" i="2"/>
  <c r="EG32" i="2"/>
  <c r="IQ36" i="2" a="1"/>
  <c r="IQ36" i="2" s="1"/>
  <c r="AM55" i="7" s="1"/>
  <c r="KI10" i="2" a="1"/>
  <c r="KI10" i="2" s="1"/>
  <c r="KM26" i="2"/>
  <c r="AA20" i="2"/>
  <c r="KS26" i="2"/>
  <c r="GX30" i="2" a="1"/>
  <c r="GX30" i="2" s="1"/>
  <c r="AG81" i="7" s="1"/>
  <c r="FY28" i="2" a="1"/>
  <c r="FY28" i="2" s="1"/>
  <c r="AC53" i="7" s="1"/>
  <c r="GH29" i="2" a="1"/>
  <c r="GH29" i="2" s="1"/>
  <c r="AE51" i="7" s="1"/>
  <c r="IN38" i="2"/>
  <c r="EU38" i="2"/>
  <c r="D424" i="18" s="1"/>
  <c r="H20" i="2"/>
  <c r="IK32" i="2"/>
  <c r="JL38" i="2"/>
  <c r="AA44" i="2"/>
  <c r="KI11" i="2" a="1"/>
  <c r="KI11" i="2" s="1"/>
  <c r="BD26" i="2"/>
  <c r="FY34" i="2" a="1"/>
  <c r="FY34" i="2" s="1"/>
  <c r="AI53" i="7" s="1"/>
  <c r="JY34" i="2" a="1"/>
  <c r="JY34" i="2" s="1"/>
  <c r="EU41" i="2"/>
  <c r="EM44" i="2"/>
  <c r="HQ41" i="2" a="1"/>
  <c r="HQ41" i="2" s="1"/>
  <c r="AQ93" i="7" s="1"/>
  <c r="J18" i="2" a="1"/>
  <c r="J18" i="2" s="1"/>
  <c r="U7" i="7" s="1"/>
  <c r="D25" i="2"/>
  <c r="E6" i="8" s="1"/>
  <c r="E8" i="8" s="1"/>
  <c r="E9" i="8" s="1"/>
  <c r="BD38" i="2"/>
  <c r="D43" i="2"/>
  <c r="H6" i="8" s="1"/>
  <c r="H8" i="8" s="1"/>
  <c r="H9" i="8" s="1"/>
  <c r="S42" i="2" a="1"/>
  <c r="S42" i="2" s="1"/>
  <c r="AS19" i="7" s="1"/>
  <c r="IL44" i="2"/>
  <c r="AB26" i="2"/>
  <c r="BI26" i="2"/>
  <c r="GH35" i="2" a="1"/>
  <c r="GH35" i="2" s="1"/>
  <c r="AK51" i="7" s="1"/>
  <c r="I38" i="2"/>
  <c r="GI42" i="2" a="1"/>
  <c r="GI42" i="2" s="1"/>
  <c r="AS49" i="7" s="1"/>
  <c r="EU35" i="2"/>
  <c r="JQ44" i="2"/>
  <c r="FY12" i="2" a="1"/>
  <c r="FY12" i="2" s="1"/>
  <c r="O53" i="7" s="1"/>
  <c r="GM20" i="2"/>
  <c r="BP32" i="2"/>
  <c r="AR40" i="2" a="1"/>
  <c r="AR40" i="2" s="1"/>
  <c r="AO33" i="7" s="1"/>
  <c r="ED38" i="2"/>
  <c r="BW40" i="2" a="1"/>
  <c r="BW40" i="2" s="1"/>
  <c r="BE44" i="2"/>
  <c r="GI48" i="2" a="1"/>
  <c r="GI48" i="2" s="1"/>
  <c r="AY49" i="7" s="1"/>
  <c r="EX28" i="2"/>
  <c r="GI23" i="2" a="1"/>
  <c r="GI23" i="2" s="1"/>
  <c r="Y49" i="7" s="1"/>
  <c r="BT32" i="2"/>
  <c r="EX30" i="2"/>
  <c r="EX38" i="2"/>
  <c r="F386" i="18" s="1"/>
  <c r="EL26" i="2"/>
  <c r="HQ29" i="2" a="1"/>
  <c r="HQ29" i="2" s="1"/>
  <c r="AE93" i="7" s="1"/>
  <c r="GL44" i="2"/>
  <c r="EU33" i="2"/>
  <c r="E423" i="18" s="1"/>
  <c r="F20" i="2"/>
  <c r="KP20" i="2"/>
  <c r="X26" i="2"/>
  <c r="CJ24" i="2" a="1"/>
  <c r="CJ24" i="2" s="1"/>
  <c r="AA45" i="7" s="1"/>
  <c r="W30" i="2" a="1"/>
  <c r="W30" i="2" s="1"/>
  <c r="AG17" i="7" s="1"/>
  <c r="S17" i="2" a="1"/>
  <c r="S17" i="2" s="1"/>
  <c r="S19" i="7" s="1"/>
  <c r="IP11" i="2" a="1"/>
  <c r="IP11" i="2" s="1"/>
  <c r="BW18" i="2" a="1"/>
  <c r="BW18" i="2" s="1"/>
  <c r="HQ17" i="2" a="1"/>
  <c r="HQ17" i="2" s="1"/>
  <c r="S93" i="7" s="1"/>
  <c r="GX24" i="2" a="1"/>
  <c r="GX24" i="2" s="1"/>
  <c r="AA81" i="7" s="1"/>
  <c r="EU21" i="2"/>
  <c r="E421" i="18" s="1"/>
  <c r="J26" i="2"/>
  <c r="BD32" i="2"/>
  <c r="EU32" i="2"/>
  <c r="D423" i="18" s="1"/>
  <c r="BA32" i="2"/>
  <c r="AY44" i="2"/>
  <c r="JY20" i="2"/>
  <c r="BU32" i="2"/>
  <c r="FY48" i="2" a="1"/>
  <c r="FY48" i="2" s="1"/>
  <c r="AY53" i="7" s="1"/>
  <c r="IP47" i="2" a="1"/>
  <c r="IP47" i="2" s="1"/>
  <c r="K20" i="2"/>
  <c r="BE26" i="2"/>
  <c r="GH30" i="2" a="1"/>
  <c r="GH30" i="2" s="1"/>
  <c r="AG51" i="7" s="1"/>
  <c r="AY37" i="2"/>
  <c r="EI38" i="2"/>
  <c r="CJ42" i="2" a="1"/>
  <c r="CJ42" i="2" s="1"/>
  <c r="AS45" i="7" s="1"/>
  <c r="BR44" i="2"/>
  <c r="AZ26" i="2"/>
  <c r="GX22" i="2" a="1"/>
  <c r="GX22" i="2" s="1"/>
  <c r="W81" i="7" s="1"/>
  <c r="AR35" i="2" a="1"/>
  <c r="AR35" i="2" s="1"/>
  <c r="AK33" i="7" s="1"/>
  <c r="EU40" i="2"/>
  <c r="EF44" i="2"/>
  <c r="BF44" i="2"/>
  <c r="IO18" i="2" a="1"/>
  <c r="IO18" i="2" s="1"/>
  <c r="U57" i="7" s="1"/>
  <c r="ED26" i="2"/>
  <c r="BI44" i="2"/>
  <c r="IN44" i="2"/>
  <c r="ER44" i="2"/>
  <c r="JM20" i="2"/>
  <c r="EE44" i="2"/>
  <c r="W44" i="2"/>
  <c r="FE28" i="2" a="1"/>
  <c r="FE28" i="2" s="1"/>
  <c r="AC47" i="7" s="1"/>
  <c r="AB32" i="2"/>
  <c r="GH36" i="2" a="1"/>
  <c r="GH36" i="2" s="1"/>
  <c r="AM51" i="7" s="1"/>
  <c r="CJ35" i="2" a="1"/>
  <c r="CJ35" i="2" s="1"/>
  <c r="AK45" i="7" s="1"/>
  <c r="IE44" i="2"/>
  <c r="BT44" i="2"/>
  <c r="W23" i="2" a="1"/>
  <c r="W23" i="2" s="1"/>
  <c r="Y17" i="7" s="1"/>
  <c r="EM32" i="2"/>
  <c r="GH47" i="2" a="1"/>
  <c r="GH47" i="2" s="1"/>
  <c r="AW51" i="7" s="1"/>
  <c r="BN44" i="2"/>
  <c r="EU43" i="2"/>
  <c r="C425" i="18" s="1"/>
  <c r="J41" i="2" a="1"/>
  <c r="J41" i="2" s="1"/>
  <c r="AQ7" i="7" s="1"/>
  <c r="KQ38" i="2"/>
  <c r="JQ20" i="2"/>
  <c r="FY17" i="2" a="1"/>
  <c r="FY17" i="2" s="1"/>
  <c r="S53" i="7" s="1"/>
  <c r="BW29" i="2" a="1"/>
  <c r="BW29" i="2" s="1"/>
  <c r="J38" i="2"/>
  <c r="EU23" i="2"/>
  <c r="FY22" i="2" a="1"/>
  <c r="FY22" i="2" s="1"/>
  <c r="W53" i="7" s="1"/>
  <c r="KT20" i="2"/>
  <c r="KI20" i="2"/>
  <c r="IN32" i="2"/>
  <c r="CJ28" i="2" a="1"/>
  <c r="CJ28" i="2" s="1"/>
  <c r="AC45" i="7" s="1"/>
  <c r="EX32" i="2"/>
  <c r="F385" i="18" s="1"/>
  <c r="IP12" i="2" a="1"/>
  <c r="IP12" i="2" s="1"/>
  <c r="HQ22" i="2" a="1"/>
  <c r="HQ22" i="2" s="1"/>
  <c r="W93" i="7" s="1"/>
  <c r="JH26" i="2"/>
  <c r="AR18" i="2" a="1"/>
  <c r="AR18" i="2" s="1"/>
  <c r="U33" i="7" s="1"/>
  <c r="BH26" i="2"/>
  <c r="AK32" i="2"/>
  <c r="BW28" i="2" a="1"/>
  <c r="BW28" i="2" s="1"/>
  <c r="BR32" i="2"/>
  <c r="W36" i="2" a="1"/>
  <c r="W36" i="2" s="1"/>
  <c r="AM17" i="7" s="1"/>
  <c r="IQ11" i="2" a="1"/>
  <c r="IQ11" i="2" s="1"/>
  <c r="M55" i="7" s="1"/>
  <c r="EU19" i="2"/>
  <c r="C421" i="18" s="1"/>
  <c r="D19" i="2"/>
  <c r="D6" i="8" s="1"/>
  <c r="D8" i="8" s="1"/>
  <c r="D9" i="8" s="1"/>
  <c r="EP26" i="2"/>
  <c r="BR26" i="2"/>
  <c r="KU32" i="2"/>
  <c r="F38" i="2"/>
  <c r="CJ30" i="2" a="1"/>
  <c r="CJ30" i="2" s="1"/>
  <c r="AG45" i="7" s="1"/>
  <c r="KJ32" i="2"/>
  <c r="AL38" i="2"/>
  <c r="HQ10" i="2" a="1"/>
  <c r="HQ10" i="2" s="1"/>
  <c r="K93" i="7" s="1"/>
  <c r="BU26" i="2"/>
  <c r="J44" i="2"/>
  <c r="AQ41" i="2" a="1"/>
  <c r="AQ41" i="2" s="1"/>
  <c r="AQ24" i="7" s="1"/>
  <c r="HQ35" i="2" a="1"/>
  <c r="HQ35" i="2" s="1"/>
  <c r="AK93" i="7" s="1"/>
  <c r="BH44" i="2"/>
  <c r="KR32" i="2"/>
  <c r="S35" i="2" a="1"/>
  <c r="S35" i="2" s="1"/>
  <c r="AK19" i="7" s="1"/>
  <c r="IP48" i="2" a="1"/>
  <c r="IP48" i="2" s="1"/>
  <c r="IL38" i="2"/>
  <c r="IP10" i="2" a="1"/>
  <c r="IP10" i="2" s="1"/>
  <c r="BD25" i="2"/>
  <c r="EF32" i="2"/>
  <c r="GL38" i="2"/>
  <c r="AQ47" i="2" a="1"/>
  <c r="AQ47" i="2" s="1"/>
  <c r="AW24" i="7" s="1"/>
  <c r="G44" i="2"/>
  <c r="AX19" i="2"/>
  <c r="BJ26" i="2"/>
  <c r="IO34" i="2" a="1"/>
  <c r="IO34" i="2" s="1"/>
  <c r="AI57" i="7" s="1"/>
  <c r="CJ40" i="2" a="1"/>
  <c r="CJ40" i="2" s="1"/>
  <c r="AO45" i="7" s="1"/>
  <c r="KS38" i="2"/>
  <c r="S47" i="2" a="1"/>
  <c r="S47" i="2" s="1"/>
  <c r="AW19" i="7" s="1"/>
  <c r="IO10" i="2" a="1"/>
  <c r="IO10" i="2" s="1"/>
  <c r="K57" i="7" s="1"/>
  <c r="GK26" i="2"/>
  <c r="JY29" i="2" a="1"/>
  <c r="JY29" i="2" s="1"/>
  <c r="BC31" i="2"/>
  <c r="W10" i="2" a="1"/>
  <c r="W10" i="2" s="1"/>
  <c r="K17" i="7" s="1"/>
  <c r="IC32" i="2"/>
  <c r="EN26" i="2"/>
  <c r="GH46" i="2" a="1"/>
  <c r="GH46" i="2" s="1"/>
  <c r="AU51" i="7" s="1"/>
  <c r="S23" i="2" a="1"/>
  <c r="S23" i="2" s="1"/>
  <c r="Y19" i="7" s="1"/>
  <c r="S24" i="2" a="1"/>
  <c r="S24" i="2" s="1"/>
  <c r="AA19" i="7" s="1"/>
  <c r="KR26" i="2"/>
  <c r="CJ34" i="2" a="1"/>
  <c r="CJ34" i="2" s="1"/>
  <c r="AI45" i="7" s="1"/>
  <c r="IP34" i="2" a="1"/>
  <c r="IP34" i="2" s="1"/>
  <c r="AR36" i="2" a="1"/>
  <c r="AR36" i="2" s="1"/>
  <c r="AM33" i="7" s="1"/>
  <c r="BB19" i="2"/>
  <c r="IP18" i="2" a="1"/>
  <c r="IP18" i="2" s="1"/>
  <c r="KI22" i="2" a="1"/>
  <c r="KI22" i="2" s="1"/>
  <c r="KI26" i="2"/>
  <c r="KM32" i="2"/>
  <c r="EX37" i="2"/>
  <c r="E386" i="18" s="1"/>
  <c r="KQ32" i="2"/>
  <c r="EO38" i="2"/>
  <c r="JY16" i="2" a="1"/>
  <c r="JY16" i="2" s="1"/>
  <c r="HQ12" i="2" a="1"/>
  <c r="HQ12" i="2" s="1"/>
  <c r="O93" i="7" s="1"/>
  <c r="EW20" i="2"/>
  <c r="EH20" i="2"/>
  <c r="EU28" i="2"/>
  <c r="AR24" i="2" a="1"/>
  <c r="AR24" i="2" s="1"/>
  <c r="AA33" i="7" s="1"/>
  <c r="KQ26" i="2"/>
  <c r="EI32" i="2"/>
  <c r="ED32" i="2"/>
  <c r="JP38" i="2"/>
  <c r="G26" i="2"/>
  <c r="IC38" i="2"/>
  <c r="J42" i="2" a="1"/>
  <c r="J42" i="2" s="1"/>
  <c r="AS7" i="7" s="1"/>
  <c r="GX17" i="2" a="1"/>
  <c r="GX17" i="2" s="1"/>
  <c r="S81" i="7" s="1"/>
  <c r="J24" i="2" a="1"/>
  <c r="J24" i="2" s="1"/>
  <c r="AA7" i="7" s="1"/>
  <c r="GI30" i="2" a="1"/>
  <c r="GI30" i="2" s="1"/>
  <c r="AG49" i="7" s="1"/>
  <c r="IM32" i="2"/>
  <c r="KI35" i="2" a="1"/>
  <c r="KI35" i="2" s="1"/>
  <c r="AH38" i="2"/>
  <c r="J35" i="2" a="1"/>
  <c r="J35" i="2" s="1"/>
  <c r="AK7" i="7" s="1"/>
  <c r="BD43" i="2"/>
  <c r="ED20" i="2"/>
  <c r="W32" i="2"/>
  <c r="IM44" i="2"/>
  <c r="GM38" i="2"/>
  <c r="HQ36" i="2" a="1"/>
  <c r="HQ36" i="2" s="1"/>
  <c r="AM93" i="7" s="1"/>
  <c r="BA37" i="2"/>
  <c r="EU45" i="2"/>
  <c r="E425" i="18" s="1"/>
  <c r="AQ42" i="2" a="1"/>
  <c r="AQ42" i="2" s="1"/>
  <c r="AS24" i="7" s="1"/>
  <c r="KN20" i="2"/>
  <c r="BM32" i="2"/>
  <c r="JY35" i="2" a="1"/>
  <c r="JY35" i="2" s="1"/>
  <c r="CJ41" i="2" a="1"/>
  <c r="CJ41" i="2" s="1"/>
  <c r="AQ45" i="7" s="1"/>
  <c r="EV26" i="2"/>
  <c r="JY22" i="2" a="1"/>
  <c r="JY22" i="2" s="1"/>
  <c r="IO47" i="2" a="1"/>
  <c r="IO47" i="2" s="1"/>
  <c r="AW57" i="7" s="1"/>
  <c r="EU29" i="2"/>
  <c r="BG32" i="2"/>
  <c r="KT26" i="2"/>
  <c r="IJ26" i="2"/>
  <c r="EL32" i="2"/>
  <c r="BK32" i="2"/>
  <c r="AF44" i="2"/>
  <c r="IQ12" i="2" a="1"/>
  <c r="IQ12" i="2" s="1"/>
  <c r="O55" i="7" s="1"/>
  <c r="EM20" i="2"/>
  <c r="EX16" i="2"/>
  <c r="EG26" i="2"/>
  <c r="AR28" i="2" a="1"/>
  <c r="AR28" i="2" s="1"/>
  <c r="AC33" i="7" s="1"/>
  <c r="CJ23" i="2" a="1"/>
  <c r="CJ23" i="2" s="1"/>
  <c r="Y45" i="7" s="1"/>
  <c r="BP20" i="2"/>
  <c r="W28" i="2" a="1"/>
  <c r="W28" i="2" s="1"/>
  <c r="AC17" i="7" s="1"/>
  <c r="AF32" i="2"/>
  <c r="AB44" i="2"/>
  <c r="EU17" i="2"/>
  <c r="IO12" i="2" a="1"/>
  <c r="IO12" i="2" s="1"/>
  <c r="O57" i="7" s="1"/>
  <c r="BA20" i="2"/>
  <c r="AL20" i="2"/>
  <c r="KQ20" i="2"/>
  <c r="AL26" i="2"/>
  <c r="EO20" i="2"/>
  <c r="EX33" i="2"/>
  <c r="G385" i="18" s="1"/>
  <c r="W24" i="2" a="1"/>
  <c r="W24" i="2" s="1"/>
  <c r="AA17" i="7" s="1"/>
  <c r="EX36" i="2"/>
  <c r="AR29" i="2" a="1"/>
  <c r="AR29" i="2" s="1"/>
  <c r="AE33" i="7" s="1"/>
  <c r="BS26" i="2"/>
  <c r="GH12" i="2" a="1"/>
  <c r="GH12" i="2" s="1"/>
  <c r="O51" i="7" s="1"/>
  <c r="H26" i="2"/>
  <c r="IE38" i="2"/>
  <c r="IO36" i="2" a="1"/>
  <c r="IO36" i="2" s="1"/>
  <c r="AM57" i="7" s="1"/>
  <c r="JJ44" i="2"/>
  <c r="IP42" i="2" a="1"/>
  <c r="IP42" i="2" s="1"/>
  <c r="IO48" i="2" a="1"/>
  <c r="IO48" i="2" s="1"/>
  <c r="AY57" i="7" s="1"/>
  <c r="BE20" i="2"/>
  <c r="BG44" i="2"/>
  <c r="BI38" i="2"/>
  <c r="BW42" i="2" a="1"/>
  <c r="BW42" i="2" s="1"/>
  <c r="X44" i="2"/>
  <c r="JM44" i="2"/>
  <c r="IC20" i="2"/>
  <c r="BE32" i="2"/>
  <c r="KN38" i="2"/>
  <c r="BU44" i="2"/>
  <c r="GJ44" i="2"/>
  <c r="GJ45" i="2" s="1"/>
  <c r="BB44" i="2"/>
  <c r="H44" i="2"/>
  <c r="GK20" i="2"/>
  <c r="ER32" i="2"/>
  <c r="W35" i="2" a="1"/>
  <c r="W35" i="2" s="1"/>
  <c r="AK17" i="7" s="1"/>
  <c r="GI41" i="2" a="1"/>
  <c r="GI41" i="2" s="1"/>
  <c r="AQ49" i="7" s="1"/>
  <c r="GX42" i="2" a="1"/>
  <c r="GX42" i="2" s="1"/>
  <c r="AS81" i="7" s="1"/>
  <c r="AE44" i="2"/>
  <c r="AQ48" i="2" a="1"/>
  <c r="AQ48" i="2" s="1"/>
  <c r="AY24" i="7" s="1"/>
  <c r="GI12" i="2" a="1"/>
  <c r="GI12" i="2" s="1"/>
  <c r="O49" i="7" s="1"/>
  <c r="JK26" i="2"/>
  <c r="W29" i="2" a="1"/>
  <c r="W29" i="2" s="1"/>
  <c r="AE17" i="7" s="1"/>
  <c r="JK38" i="2"/>
  <c r="EU39" i="2"/>
  <c r="E424" i="18" s="1"/>
  <c r="ED44" i="2"/>
  <c r="AR47" i="2" a="1"/>
  <c r="AR47" i="2" s="1"/>
  <c r="AW33" i="7" s="1"/>
  <c r="BV14" i="2"/>
  <c r="W20" i="2"/>
  <c r="EE32" i="2"/>
  <c r="KJ26" i="2"/>
  <c r="AX25" i="2"/>
  <c r="IO24" i="2" a="1"/>
  <c r="IO24" i="2" s="1"/>
  <c r="AA57" i="7" s="1"/>
  <c r="AQ23" i="2" a="1"/>
  <c r="AQ23" i="2" s="1"/>
  <c r="Y24" i="7" s="1"/>
  <c r="AL32" i="2"/>
  <c r="S34" i="2" a="1"/>
  <c r="S34" i="2" s="1"/>
  <c r="AI19" i="7" s="1"/>
  <c r="FY36" i="2" a="1"/>
  <c r="FY36" i="2" s="1"/>
  <c r="AM53" i="7" s="1"/>
  <c r="AF20" i="2"/>
  <c r="JH20" i="2"/>
  <c r="BA25" i="2"/>
  <c r="KK26" i="2"/>
  <c r="J29" i="2" a="1"/>
  <c r="J29" i="2" s="1"/>
  <c r="AE7" i="7" s="1"/>
  <c r="JL32" i="2"/>
  <c r="JN44" i="2"/>
  <c r="J10" i="2" a="1"/>
  <c r="J10" i="2" s="1"/>
  <c r="K7" i="7" s="1"/>
  <c r="KJ20" i="2"/>
  <c r="JP20" i="2"/>
  <c r="JP26" i="2"/>
  <c r="J32" i="2"/>
  <c r="W38" i="2"/>
  <c r="EX23" i="2"/>
  <c r="BS38" i="2"/>
  <c r="BA43" i="2"/>
  <c r="IJ44" i="2"/>
  <c r="IP23" i="2" a="1"/>
  <c r="IP23" i="2" s="1"/>
  <c r="KI28" i="2" a="1"/>
  <c r="KI28" i="2" s="1"/>
  <c r="JH38" i="2"/>
  <c r="BK44" i="2"/>
  <c r="AQ40" i="2" a="1"/>
  <c r="AQ40" i="2" s="1"/>
  <c r="AO24" i="7" s="1"/>
  <c r="GK44" i="2"/>
  <c r="IN26" i="2"/>
  <c r="AZ37" i="2"/>
  <c r="AF38" i="2"/>
  <c r="J47" i="2" a="1"/>
  <c r="J47" i="2" s="1"/>
  <c r="AW7" i="7" s="1"/>
  <c r="EX15" i="2"/>
  <c r="KU26" i="2"/>
  <c r="EU31" i="2"/>
  <c r="C423" i="18" s="1"/>
  <c r="BW36" i="2" a="1"/>
  <c r="BW36" i="2" s="1"/>
  <c r="BN38" i="2"/>
  <c r="AZ43" i="2"/>
  <c r="EU36" i="2"/>
  <c r="BC19" i="2"/>
  <c r="JM26" i="2"/>
  <c r="AE38" i="2"/>
  <c r="EM38" i="2"/>
  <c r="EQ20" i="2"/>
  <c r="EX29" i="2"/>
  <c r="FY35" i="2" a="1"/>
  <c r="FY35" i="2" s="1"/>
  <c r="AK53" i="7" s="1"/>
  <c r="JY26" i="2"/>
  <c r="IL32" i="2"/>
  <c r="AR46" i="2" a="1"/>
  <c r="AR46" i="2" s="1"/>
  <c r="AU33" i="7" s="1"/>
  <c r="FY40" i="2" a="1"/>
  <c r="FY40" i="2" s="1"/>
  <c r="AO53" i="7" s="1"/>
  <c r="BF38" i="2"/>
  <c r="AI44" i="2"/>
  <c r="S18" i="2" a="1"/>
  <c r="S18" i="2" s="1"/>
  <c r="U19" i="7" s="1"/>
  <c r="IK20" i="2"/>
  <c r="BM44" i="2"/>
  <c r="AX31" i="2"/>
  <c r="EI44" i="2"/>
  <c r="I44" i="2"/>
  <c r="GH17" i="2" a="1"/>
  <c r="GH17" i="2" s="1"/>
  <c r="S51" i="7" s="1"/>
  <c r="IO42" i="2" a="1"/>
  <c r="IO42" i="2" s="1"/>
  <c r="AS57" i="7" s="1"/>
  <c r="GX29" i="2" a="1"/>
  <c r="GX29" i="2" s="1"/>
  <c r="AE81" i="7" s="1"/>
  <c r="FE35" i="2" a="1"/>
  <c r="FE35" i="2" s="1"/>
  <c r="AK47" i="7" s="1"/>
  <c r="BD19" i="2"/>
  <c r="KS32" i="2"/>
  <c r="IQ17" i="2" a="1"/>
  <c r="IQ17" i="2" s="1"/>
  <c r="S55" i="7" s="1"/>
  <c r="AY31" i="2"/>
  <c r="II26" i="2"/>
  <c r="BA26" i="2"/>
  <c r="GI29" i="2" a="1"/>
  <c r="GI29" i="2" s="1"/>
  <c r="AE49" i="7" s="1"/>
  <c r="AQ34" i="2" a="1"/>
  <c r="AQ34" i="2" s="1"/>
  <c r="AI24" i="7" s="1"/>
  <c r="CJ16" i="2" a="1"/>
  <c r="CJ16" i="2" s="1"/>
  <c r="Q45" i="7" s="1"/>
  <c r="EU15" i="2"/>
  <c r="AQ28" i="2" a="1"/>
  <c r="AQ28" i="2" s="1"/>
  <c r="AC24" i="7" s="1"/>
  <c r="AQ30" i="2" a="1"/>
  <c r="AQ30" i="2" s="1"/>
  <c r="AG24" i="7" s="1"/>
  <c r="S10" i="2" a="1"/>
  <c r="S10" i="2" s="1"/>
  <c r="K19" i="7" s="1"/>
  <c r="AR11" i="2" a="1"/>
  <c r="AR11" i="2" s="1"/>
  <c r="M33" i="7" s="1"/>
  <c r="BT20" i="2"/>
  <c r="BQ20" i="2"/>
  <c r="KI23" i="2" a="1"/>
  <c r="KI23" i="2" s="1"/>
  <c r="AA26" i="2"/>
  <c r="GX23" i="2" a="1"/>
  <c r="GX23" i="2" s="1"/>
  <c r="Y81" i="7" s="1"/>
  <c r="GX34" i="2" a="1"/>
  <c r="GX34" i="2" s="1"/>
  <c r="AI81" i="7" s="1"/>
  <c r="II32" i="2"/>
  <c r="GI24" i="2" a="1"/>
  <c r="GI24" i="2" s="1"/>
  <c r="AA49" i="7" s="1"/>
  <c r="JY30" i="2" a="1"/>
  <c r="JY30" i="2" s="1"/>
  <c r="JI38" i="2"/>
  <c r="JY18" i="2" a="1"/>
  <c r="JY18" i="2" s="1"/>
  <c r="EP38" i="2"/>
  <c r="AZ38" i="2"/>
  <c r="BJ44" i="2"/>
  <c r="IQ42" i="2" a="1"/>
  <c r="IQ42" i="2" s="1"/>
  <c r="AS55" i="7" s="1"/>
  <c r="S22" i="2" a="1"/>
  <c r="S22" i="2" s="1"/>
  <c r="W19" i="7" s="1"/>
  <c r="AF26" i="2"/>
  <c r="JQ38" i="2"/>
  <c r="D37" i="2"/>
  <c r="G6" i="8" s="1"/>
  <c r="G8" i="8" s="1"/>
  <c r="G9" i="8" s="1"/>
  <c r="S48" i="2" a="1"/>
  <c r="S48" i="2" s="1"/>
  <c r="AY19" i="7" s="1"/>
  <c r="GI11" i="2" a="1"/>
  <c r="GI11" i="2" s="1"/>
  <c r="M49" i="7" s="1"/>
  <c r="IC26" i="2"/>
  <c r="AR30" i="2" a="1"/>
  <c r="AR30" i="2" s="1"/>
  <c r="AG33" i="7" s="1"/>
  <c r="IQ34" i="2" a="1"/>
  <c r="IQ34" i="2" s="1"/>
  <c r="AI55" i="7" s="1"/>
  <c r="KR38" i="2"/>
  <c r="JI44" i="2"/>
  <c r="BW46" i="2" a="1"/>
  <c r="BW46" i="2" s="1"/>
  <c r="KN26" i="2"/>
  <c r="J30" i="2" a="1"/>
  <c r="J30" i="2" s="1"/>
  <c r="AG7" i="7" s="1"/>
  <c r="IJ38" i="2"/>
  <c r="KP38" i="2"/>
  <c r="BM38" i="2"/>
  <c r="HQ16" i="2" a="1"/>
  <c r="HQ16" i="2" s="1"/>
  <c r="Q93" i="7" s="1"/>
  <c r="HQ11" i="2" a="1"/>
  <c r="HQ11" i="2" s="1"/>
  <c r="M93" i="7" s="1"/>
  <c r="KV38" i="2"/>
  <c r="EX31" i="2"/>
  <c r="E385" i="18" s="1"/>
  <c r="EX39" i="2"/>
  <c r="G386" i="18" s="1"/>
  <c r="BC26" i="2"/>
  <c r="JY17" i="2" a="1"/>
  <c r="JY17" i="2" s="1"/>
  <c r="IO17" i="2" a="1"/>
  <c r="IO17" i="2" s="1"/>
  <c r="S57" i="7" s="1"/>
  <c r="IQ22" i="2" a="1"/>
  <c r="IQ22" i="2" s="1"/>
  <c r="W55" i="7" s="1"/>
  <c r="IQ24" i="2" a="1"/>
  <c r="IQ24" i="2" s="1"/>
  <c r="AA55" i="7" s="1"/>
  <c r="KO32" i="2"/>
  <c r="AZ32" i="2"/>
  <c r="GH18" i="2" a="1"/>
  <c r="GH18" i="2" s="1"/>
  <c r="U51" i="7" s="1"/>
  <c r="AR22" i="2" a="1"/>
  <c r="AR22" i="2" s="1"/>
  <c r="W33" i="7" s="1"/>
  <c r="JK20" i="2"/>
  <c r="I26" i="2"/>
  <c r="GI22" i="2" a="1"/>
  <c r="GI22" i="2" s="1"/>
  <c r="W49" i="7" s="1"/>
  <c r="S28" i="2" a="1"/>
  <c r="S28" i="2" s="1"/>
  <c r="AC19" i="7" s="1"/>
  <c r="BN32" i="2"/>
  <c r="HQ30" i="2" a="1"/>
  <c r="HQ30" i="2" s="1"/>
  <c r="AG93" i="7" s="1"/>
  <c r="GH34" i="2" a="1"/>
  <c r="GH34" i="2" s="1"/>
  <c r="AI51" i="7" s="1"/>
  <c r="AQ35" i="2" a="1"/>
  <c r="AQ35" i="2" s="1"/>
  <c r="AK24" i="7" s="1"/>
  <c r="JY10" i="2" a="1"/>
  <c r="JY10" i="2" s="1"/>
  <c r="D13" i="2"/>
  <c r="AI20" i="2"/>
  <c r="EP20" i="2"/>
  <c r="AK26" i="2"/>
  <c r="JI26" i="2"/>
  <c r="BB26" i="2"/>
  <c r="EP32" i="2"/>
  <c r="BS44" i="2"/>
  <c r="EX17" i="2"/>
  <c r="KI32" i="2"/>
  <c r="BC44" i="2"/>
  <c r="EO44" i="2"/>
  <c r="S46" i="2" a="1"/>
  <c r="S46" i="2" s="1"/>
  <c r="AU19" i="7" s="1"/>
  <c r="GI46" i="2" a="1"/>
  <c r="GI46" i="2" s="1"/>
  <c r="AU49" i="7" s="1"/>
  <c r="GP26" i="2"/>
  <c r="IP24" i="2" a="1"/>
  <c r="IP24" i="2" s="1"/>
  <c r="KJ38" i="2"/>
  <c r="JY41" i="2" a="1"/>
  <c r="JY41" i="2" s="1"/>
  <c r="IP46" i="2" a="1"/>
  <c r="IP46" i="2" s="1"/>
  <c r="AZ25" i="2"/>
  <c r="BA44" i="2"/>
  <c r="EX35" i="2"/>
  <c r="BB38" i="2"/>
  <c r="CJ48" i="2" a="1"/>
  <c r="CJ48" i="2" s="1"/>
  <c r="AY45" i="7" s="1"/>
  <c r="FY11" i="2" a="1"/>
  <c r="FY11" i="2" s="1"/>
  <c r="M53" i="7" s="1"/>
  <c r="AX26" i="2"/>
  <c r="FE29" i="2" a="1"/>
  <c r="FE29" i="2" s="1"/>
  <c r="AE47" i="7" s="1"/>
  <c r="EG44" i="2"/>
  <c r="BP44" i="2"/>
  <c r="AR42" i="2" a="1"/>
  <c r="AR42" i="2" s="1"/>
  <c r="AS33" i="7" s="1"/>
  <c r="BM20" i="2"/>
  <c r="KN32" i="2"/>
  <c r="S36" i="2" a="1"/>
  <c r="S36" i="2" s="1"/>
  <c r="AM19" i="7" s="1"/>
  <c r="W46" i="2" a="1"/>
  <c r="W46" i="2" s="1"/>
  <c r="AU17" i="7" s="1"/>
  <c r="IP36" i="2" a="1"/>
  <c r="IP36" i="2" s="1"/>
  <c r="AX37" i="2"/>
  <c r="S40" i="2" a="1"/>
  <c r="S40" i="2" s="1"/>
  <c r="AO19" i="7" s="1"/>
  <c r="IQ46" i="2" a="1"/>
  <c r="IQ46" i="2" s="1"/>
  <c r="AU55" i="7" s="1"/>
  <c r="GH16" i="2" a="1"/>
  <c r="GH16" i="2" s="1"/>
  <c r="Q51" i="7" s="1"/>
  <c r="BB31" i="2"/>
  <c r="AX38" i="2"/>
  <c r="IK44" i="2"/>
  <c r="BH32" i="2"/>
  <c r="FE47" i="2" a="1"/>
  <c r="FE47" i="2" s="1"/>
  <c r="AW47" i="7" s="1"/>
  <c r="BW48" i="2" a="1"/>
  <c r="BW48" i="2" s="1"/>
  <c r="FY46" i="2" a="1"/>
  <c r="FY46" i="2" s="1"/>
  <c r="AU53" i="7" s="1"/>
  <c r="FE48" i="2" a="1"/>
  <c r="FE48" i="2" s="1"/>
  <c r="AY47" i="7" s="1"/>
  <c r="W41" i="2" a="1"/>
  <c r="W41" i="2" s="1"/>
  <c r="AQ17" i="7" s="1"/>
  <c r="JQ26" i="2"/>
  <c r="KI38" i="2"/>
  <c r="JY42" i="2" a="1"/>
  <c r="JY42" i="2" s="1"/>
  <c r="KR20" i="2"/>
  <c r="IM20" i="2"/>
  <c r="JO38" i="2"/>
  <c r="GX35" i="2" a="1"/>
  <c r="GX35" i="2" s="1"/>
  <c r="AK81" i="7" s="1"/>
  <c r="KI41" i="2" a="1"/>
  <c r="KI41" i="2" s="1"/>
  <c r="AQ46" i="2" a="1"/>
  <c r="AQ46" i="2" s="1"/>
  <c r="AU24" i="7" s="1"/>
  <c r="EH44" i="2"/>
  <c r="FY42" i="2" a="1"/>
  <c r="FY42" i="2" s="1"/>
  <c r="AS53" i="7" s="1"/>
  <c r="JK44" i="2"/>
  <c r="HQ42" i="2" a="1"/>
  <c r="HQ42" i="2" s="1"/>
  <c r="AS93" i="7" s="1"/>
  <c r="EX24" i="2"/>
  <c r="AR48" i="2" a="1"/>
  <c r="AR48" i="2" s="1"/>
  <c r="AY33" i="7" s="1"/>
  <c r="KW19" i="2"/>
  <c r="BI19" i="2"/>
  <c r="CE19" i="2"/>
  <c r="HP19" i="2"/>
  <c r="CF19" i="2"/>
  <c r="HP26" i="2"/>
  <c r="BQ19" i="2"/>
  <c r="GI40" i="2" a="1"/>
  <c r="GI40" i="2" s="1"/>
  <c r="AO49" i="7" s="1"/>
  <c r="AH44" i="2"/>
  <c r="AX43" i="2"/>
  <c r="JL44" i="2"/>
  <c r="BC20" i="2"/>
  <c r="IK38" i="2"/>
  <c r="EV32" i="2"/>
  <c r="JY36" i="2" a="1"/>
  <c r="JY36" i="2" s="1"/>
  <c r="JO44" i="2"/>
  <c r="EX22" i="2"/>
  <c r="IQ48" i="2" a="1"/>
  <c r="IQ48" i="2" s="1"/>
  <c r="AY55" i="7" s="1"/>
  <c r="EX41" i="2"/>
  <c r="KT38" i="2"/>
  <c r="IJ14" i="2"/>
  <c r="AR41" i="2" a="1"/>
  <c r="AR41" i="2" s="1"/>
  <c r="AQ33" i="7" s="1"/>
  <c r="BR14" i="2"/>
  <c r="HP20" i="2"/>
  <c r="EW19" i="2"/>
  <c r="CZ19" i="2"/>
  <c r="EP19" i="2"/>
  <c r="DB19" i="2"/>
  <c r="BM19" i="2"/>
  <c r="AI19" i="2"/>
  <c r="EQ19" i="2"/>
  <c r="CF25" i="2"/>
  <c r="IJ19" i="2"/>
  <c r="CJ47" i="2" a="1"/>
  <c r="CJ47" i="2" s="1"/>
  <c r="AW45" i="7" s="1"/>
  <c r="FE18" i="2" a="1"/>
  <c r="FE18" i="2" s="1"/>
  <c r="U47" i="7" s="1"/>
  <c r="FE40" i="2" a="1"/>
  <c r="FE40" i="2" s="1"/>
  <c r="AO47" i="7" s="1"/>
  <c r="BA38" i="2"/>
  <c r="FE17" i="2" a="1"/>
  <c r="FE17" i="2" s="1"/>
  <c r="S47" i="7" s="1"/>
  <c r="IP28" i="2" a="1"/>
  <c r="IP28" i="2" s="1"/>
  <c r="S41" i="2" a="1"/>
  <c r="S41" i="2" s="1"/>
  <c r="AQ19" i="7" s="1"/>
  <c r="IO40" i="2" a="1"/>
  <c r="IO40" i="2" s="1"/>
  <c r="AO57" i="7" s="1"/>
  <c r="W48" i="2" a="1"/>
  <c r="W48" i="2" s="1"/>
  <c r="AY17" i="7" s="1"/>
  <c r="EX45" i="2"/>
  <c r="G387" i="18" s="1"/>
  <c r="GI34" i="2" a="1"/>
  <c r="GI34" i="2" s="1"/>
  <c r="AI49" i="7" s="1"/>
  <c r="EX19" i="2"/>
  <c r="E383" i="18" s="1"/>
  <c r="BW41" i="2" a="1"/>
  <c r="BW41" i="2" s="1"/>
  <c r="FY23" i="2" a="1"/>
  <c r="FY23" i="2" s="1"/>
  <c r="Y53" i="7" s="1"/>
  <c r="BW17" i="2" a="1"/>
  <c r="BW17" i="2" s="1"/>
  <c r="EU27" i="2"/>
  <c r="E422" i="18" s="1"/>
  <c r="AZ44" i="2"/>
  <c r="IO41" i="2" a="1"/>
  <c r="IO41" i="2" s="1"/>
  <c r="AQ57" i="7" s="1"/>
  <c r="EL20" i="2"/>
  <c r="JY28" i="2" a="1"/>
  <c r="JY28" i="2" s="1"/>
  <c r="GK38" i="2"/>
  <c r="FY47" i="2" a="1"/>
  <c r="FY47" i="2" s="1"/>
  <c r="AW53" i="7" s="1"/>
  <c r="AX44" i="2"/>
  <c r="BJ32" i="2"/>
  <c r="IQ18" i="2" a="1"/>
  <c r="IQ18" i="2" s="1"/>
  <c r="U55" i="7" s="1"/>
  <c r="FE34" i="2" a="1"/>
  <c r="FE34" i="2" s="1"/>
  <c r="AI47" i="7" s="1"/>
  <c r="FE10" i="2" a="1"/>
  <c r="FE10" i="2" s="1"/>
  <c r="K47" i="7" s="1"/>
  <c r="AY20" i="2"/>
  <c r="EE38" i="2"/>
  <c r="CC19" i="2"/>
  <c r="BE19" i="2"/>
  <c r="BU19" i="2"/>
  <c r="BB20" i="2"/>
  <c r="BI20" i="2"/>
  <c r="EX34" i="2"/>
  <c r="JP44" i="2"/>
  <c r="GH40" i="2" a="1"/>
  <c r="GH40" i="2" s="1"/>
  <c r="AO51" i="7" s="1"/>
  <c r="KK38" i="2"/>
  <c r="EX25" i="2"/>
  <c r="E384" i="18" s="1"/>
  <c r="AI38" i="2"/>
  <c r="IQ30" i="2" a="1"/>
  <c r="IQ30" i="2" s="1"/>
  <c r="AG55" i="7" s="1"/>
  <c r="GX11" i="2" a="1"/>
  <c r="GX11" i="2" s="1"/>
  <c r="M81" i="7" s="1"/>
  <c r="AK44" i="2"/>
  <c r="EK44" i="2"/>
  <c r="JY40" i="2" a="1"/>
  <c r="JY40" i="2" s="1"/>
  <c r="FY30" i="2" a="1"/>
  <c r="FY30" i="2" s="1"/>
  <c r="AG53" i="7" s="1"/>
  <c r="FE41" i="2" a="1"/>
  <c r="FE41" i="2" s="1"/>
  <c r="AQ47" i="7" s="1"/>
  <c r="EW38" i="2"/>
  <c r="IM38" i="2"/>
  <c r="GI47" i="2" a="1"/>
  <c r="GI47" i="2" s="1"/>
  <c r="AW49" i="7" s="1"/>
  <c r="J48" i="2" a="1"/>
  <c r="J48" i="2" s="1"/>
  <c r="AY7" i="7" s="1"/>
  <c r="EU13" i="2"/>
  <c r="JO32" i="2"/>
  <c r="FE42" i="2" a="1"/>
  <c r="FE42" i="2" s="1"/>
  <c r="AS47" i="7" s="1"/>
  <c r="GK32" i="2"/>
  <c r="EN38" i="2"/>
  <c r="GX41" i="2" a="1"/>
  <c r="GX41" i="2" s="1"/>
  <c r="AQ81" i="7" s="1"/>
  <c r="GH22" i="2" a="1"/>
  <c r="GH22" i="2" s="1"/>
  <c r="W51" i="7" s="1"/>
  <c r="JJ32" i="2"/>
  <c r="BH38" i="2"/>
  <c r="IO23" i="2" a="1"/>
  <c r="IO23" i="2" s="1"/>
  <c r="Y57" i="7" s="1"/>
  <c r="EP44" i="2"/>
  <c r="FE36" i="2" a="1"/>
  <c r="FE36" i="2" s="1"/>
  <c r="AM47" i="7" s="1"/>
  <c r="G38" i="2"/>
  <c r="FE46" i="2" a="1"/>
  <c r="FE46" i="2" s="1"/>
  <c r="AU47" i="7" s="1"/>
  <c r="IO46" i="2" a="1"/>
  <c r="IO46" i="2" s="1"/>
  <c r="AU57" i="7" s="1"/>
  <c r="CJ46" i="2" a="1"/>
  <c r="CJ46" i="2" s="1"/>
  <c r="AU45" i="7" s="1"/>
  <c r="CJ20" i="2"/>
  <c r="EY20" i="2"/>
  <c r="GU19" i="2"/>
  <c r="DA25" i="2"/>
  <c r="KW32" i="2"/>
  <c r="JM38" i="2"/>
  <c r="GS19" i="2"/>
  <c r="IM19" i="2"/>
  <c r="AF25" i="2"/>
  <c r="GO19" i="2"/>
  <c r="HP25" i="2"/>
  <c r="IL25" i="2"/>
  <c r="IL27" i="2" s="1"/>
  <c r="HH19" i="2"/>
  <c r="IN19" i="2"/>
  <c r="IN21" i="2" s="1"/>
  <c r="GV19" i="2"/>
  <c r="GI36" i="2" a="1"/>
  <c r="GI36" i="2" s="1"/>
  <c r="AM49" i="7" s="1"/>
  <c r="BV44" i="2"/>
  <c r="GH42" i="2" a="1"/>
  <c r="GH42" i="2" s="1"/>
  <c r="AS51" i="7" s="1"/>
  <c r="BR13" i="2"/>
  <c r="DA19" i="2"/>
  <c r="CH19" i="2"/>
  <c r="IK19" i="2"/>
  <c r="HM19" i="2"/>
  <c r="CB25" i="2"/>
  <c r="CJ32" i="2"/>
  <c r="BV13" i="2"/>
  <c r="IQ47" i="2" a="1"/>
  <c r="IQ47" i="2" s="1"/>
  <c r="AW55" i="7" s="1"/>
  <c r="IQ41" i="2" a="1"/>
  <c r="IQ41" i="2" s="1"/>
  <c r="AQ55" i="7" s="1"/>
  <c r="GR19" i="2"/>
  <c r="ER19" i="2"/>
  <c r="ER21" i="2" s="1"/>
  <c r="D83" i="18" s="1"/>
  <c r="EK19" i="2"/>
  <c r="I25" i="2"/>
  <c r="EL19" i="2"/>
  <c r="BG19" i="2"/>
  <c r="JL19" i="2"/>
  <c r="JL21" i="2" s="1"/>
  <c r="BW47" i="2" a="1"/>
  <c r="BW47" i="2" s="1"/>
  <c r="S20" i="2"/>
  <c r="ED19" i="2"/>
  <c r="HN19" i="2"/>
  <c r="IJ13" i="2"/>
  <c r="AA19" i="2"/>
  <c r="AA21" i="2" s="1"/>
  <c r="GL25" i="2"/>
  <c r="FW19" i="2"/>
  <c r="JP25" i="2"/>
  <c r="KO25" i="2"/>
  <c r="KO27" i="2" s="1"/>
  <c r="BN19" i="2"/>
  <c r="J19" i="2"/>
  <c r="IQ10" i="2" a="1"/>
  <c r="IQ10" i="2" s="1"/>
  <c r="K55" i="7" s="1"/>
  <c r="BR19" i="2"/>
  <c r="JY19" i="2"/>
  <c r="JY21" i="2" s="1"/>
  <c r="IE19" i="2"/>
  <c r="CG19" i="2"/>
  <c r="GR25" i="2"/>
  <c r="EH25" i="2"/>
  <c r="EV19" i="2"/>
  <c r="EV21" i="2" s="1"/>
  <c r="EY32" i="2"/>
  <c r="KR19" i="2"/>
  <c r="KR21" i="2" s="1"/>
  <c r="KI19" i="2"/>
  <c r="IO28" i="2" a="1"/>
  <c r="IO28" i="2" s="1"/>
  <c r="AC57" i="7" s="1"/>
  <c r="IE20" i="2"/>
  <c r="K44" i="2"/>
  <c r="HQ40" i="2" a="1"/>
  <c r="HQ40" i="2" s="1"/>
  <c r="AO93" i="7" s="1"/>
  <c r="EU44" i="2"/>
  <c r="D425" i="18" s="1"/>
  <c r="K19" i="2"/>
  <c r="CA19" i="2"/>
  <c r="GW26" i="2"/>
  <c r="CZ25" i="2"/>
  <c r="AB38" i="2"/>
  <c r="II13" i="2"/>
  <c r="BJ19" i="2"/>
  <c r="BN25" i="2"/>
  <c r="KV25" i="2"/>
  <c r="EO19" i="2"/>
  <c r="IC25" i="2"/>
  <c r="EO25" i="2"/>
  <c r="EP25" i="2"/>
  <c r="IM25" i="2"/>
  <c r="JM19" i="2"/>
  <c r="Q25" i="2"/>
  <c r="R25" i="2"/>
  <c r="KQ19" i="2"/>
  <c r="KK25" i="2"/>
  <c r="GL19" i="2"/>
  <c r="AH25" i="2"/>
  <c r="HN25" i="2"/>
  <c r="DB31" i="2"/>
  <c r="FV31" i="2"/>
  <c r="CJ38" i="2"/>
  <c r="HP38" i="2"/>
  <c r="CZ43" i="2"/>
  <c r="ED37" i="2"/>
  <c r="BT37" i="2"/>
  <c r="H13" i="2"/>
  <c r="CZ37" i="2"/>
  <c r="S32" i="2"/>
  <c r="GM37" i="2"/>
  <c r="FW31" i="2"/>
  <c r="GW20" i="2"/>
  <c r="KJ19" i="2"/>
  <c r="K25" i="2"/>
  <c r="HJ19" i="2"/>
  <c r="HK25" i="2"/>
  <c r="CW19" i="2"/>
  <c r="HK19" i="2"/>
  <c r="BT19" i="2"/>
  <c r="GQ19" i="2"/>
  <c r="KK19" i="2"/>
  <c r="EK25" i="2"/>
  <c r="BS25" i="2"/>
  <c r="H19" i="2"/>
  <c r="CG25" i="2"/>
  <c r="GV25" i="2"/>
  <c r="ER25" i="2"/>
  <c r="IK31" i="2"/>
  <c r="IK33" i="2" s="1"/>
  <c r="F196" i="8" s="1"/>
  <c r="CY19" i="2"/>
  <c r="JI19" i="2"/>
  <c r="IJ25" i="2"/>
  <c r="CY25" i="2"/>
  <c r="F19" i="2"/>
  <c r="F21" i="2" s="1"/>
  <c r="GU31" i="2"/>
  <c r="II19" i="2"/>
  <c r="II31" i="2"/>
  <c r="EY44" i="2"/>
  <c r="Q31" i="2"/>
  <c r="HK31" i="2"/>
  <c r="EN43" i="2"/>
  <c r="Q37" i="2"/>
  <c r="HH25" i="2"/>
  <c r="GR31" i="2"/>
  <c r="GM31" i="2"/>
  <c r="GT25" i="2"/>
  <c r="BH25" i="2"/>
  <c r="GM19" i="2"/>
  <c r="GM21" i="2" s="1"/>
  <c r="IK25" i="2"/>
  <c r="IK27" i="2" s="1"/>
  <c r="E196" i="8" s="1"/>
  <c r="JQ19" i="2"/>
  <c r="GK19" i="2"/>
  <c r="GK21" i="2" s="1"/>
  <c r="IC19" i="2"/>
  <c r="IC21" i="2" s="1"/>
  <c r="D138" i="22" s="1"/>
  <c r="JY25" i="2"/>
  <c r="FV25" i="2"/>
  <c r="BQ25" i="2"/>
  <c r="CW25" i="2"/>
  <c r="KI25" i="2"/>
  <c r="KI27" i="2" s="1"/>
  <c r="GM25" i="2"/>
  <c r="GM27" i="2" s="1"/>
  <c r="JP19" i="2"/>
  <c r="KO31" i="2"/>
  <c r="KO33" i="2" s="1"/>
  <c r="CY31" i="2"/>
  <c r="CA31" i="2"/>
  <c r="EY19" i="2"/>
  <c r="JK25" i="2"/>
  <c r="X25" i="2"/>
  <c r="CC25" i="2"/>
  <c r="BJ31" i="2"/>
  <c r="CW31" i="2"/>
  <c r="GP31" i="2"/>
  <c r="CA37" i="2"/>
  <c r="IM37" i="2"/>
  <c r="EH43" i="2"/>
  <c r="J31" i="2"/>
  <c r="JN25" i="2"/>
  <c r="BB43" i="2"/>
  <c r="GT19" i="2"/>
  <c r="AE25" i="2"/>
  <c r="AE27" i="2" s="1"/>
  <c r="BE25" i="2"/>
  <c r="FV19" i="2"/>
  <c r="BF25" i="2"/>
  <c r="BF27" i="2" s="1"/>
  <c r="E203" i="23" s="1"/>
  <c r="HG19" i="2"/>
  <c r="GO25" i="2"/>
  <c r="JJ19" i="2"/>
  <c r="KP19" i="2"/>
  <c r="KP25" i="2"/>
  <c r="KP27" i="2" s="1"/>
  <c r="KU25" i="2"/>
  <c r="IC31" i="2"/>
  <c r="EY38" i="2"/>
  <c r="BT31" i="2"/>
  <c r="BD14" i="2"/>
  <c r="BU37" i="2"/>
  <c r="KV31" i="2"/>
  <c r="CZ31" i="2"/>
  <c r="F25" i="2"/>
  <c r="IM31" i="2"/>
  <c r="IE31" i="2"/>
  <c r="IE33" i="2" s="1"/>
  <c r="GO31" i="2"/>
  <c r="BR25" i="2"/>
  <c r="EW44" i="2"/>
  <c r="JN19" i="2"/>
  <c r="JN21" i="2" s="1"/>
  <c r="J25" i="2"/>
  <c r="BV19" i="2"/>
  <c r="FT19" i="2"/>
  <c r="GN19" i="2"/>
  <c r="AB25" i="2"/>
  <c r="AB27" i="2" s="1"/>
  <c r="CB19" i="2"/>
  <c r="KW25" i="2"/>
  <c r="KW27" i="2" s="1"/>
  <c r="KT19" i="2"/>
  <c r="CH25" i="2"/>
  <c r="BI25" i="2"/>
  <c r="AF19" i="2"/>
  <c r="EV25" i="2"/>
  <c r="EZ19" i="2"/>
  <c r="BT25" i="2"/>
  <c r="G19" i="2"/>
  <c r="FC25" i="2"/>
  <c r="FC19" i="2"/>
  <c r="CE25" i="2"/>
  <c r="JK19" i="2"/>
  <c r="KL19" i="2"/>
  <c r="BS19" i="2"/>
  <c r="FU25" i="2"/>
  <c r="FR19" i="2"/>
  <c r="AB19" i="2"/>
  <c r="FQ19" i="2"/>
  <c r="KS25" i="2"/>
  <c r="K31" i="2"/>
  <c r="II44" i="2"/>
  <c r="KN25" i="2"/>
  <c r="HJ25" i="2"/>
  <c r="EH19" i="2"/>
  <c r="EL25" i="2"/>
  <c r="FU19" i="2"/>
  <c r="DB25" i="2"/>
  <c r="BJ25" i="2"/>
  <c r="BM25" i="2"/>
  <c r="BM27" i="2" s="1"/>
  <c r="E209" i="23" s="1"/>
  <c r="BF19" i="2"/>
  <c r="HG25" i="2"/>
  <c r="GW32" i="2"/>
  <c r="FS19" i="2"/>
  <c r="R19" i="2"/>
  <c r="JH19" i="2"/>
  <c r="BP19" i="2"/>
  <c r="BP21" i="2" s="1"/>
  <c r="D38" i="23" s="1"/>
  <c r="EM25" i="2"/>
  <c r="FB19" i="2"/>
  <c r="JK31" i="2"/>
  <c r="S44" i="2"/>
  <c r="K37" i="2"/>
  <c r="BU43" i="2"/>
  <c r="KW31" i="2"/>
  <c r="CC31" i="2"/>
  <c r="GP25" i="2"/>
  <c r="EV31" i="2"/>
  <c r="FE23" i="2" a="1"/>
  <c r="FE23" i="2" s="1"/>
  <c r="Y47" i="7" s="1"/>
  <c r="CJ26" i="2"/>
  <c r="BU25" i="2"/>
  <c r="AE19" i="2"/>
  <c r="HO19" i="2"/>
  <c r="DA31" i="2"/>
  <c r="Q19" i="2"/>
  <c r="JQ25" i="2"/>
  <c r="GJ25" i="2"/>
  <c r="GK25" i="2"/>
  <c r="IL19" i="2"/>
  <c r="EZ25" i="2"/>
  <c r="HM25" i="2"/>
  <c r="CA25" i="2"/>
  <c r="EQ25" i="2"/>
  <c r="EQ27" i="2" s="1"/>
  <c r="BV25" i="2"/>
  <c r="HO25" i="2"/>
  <c r="KO19" i="2"/>
  <c r="KN19" i="2"/>
  <c r="HI19" i="2"/>
  <c r="DA37" i="2"/>
  <c r="I19" i="2"/>
  <c r="BF31" i="2"/>
  <c r="BF33" i="2" s="1"/>
  <c r="F203" i="23" s="1"/>
  <c r="GW38" i="2"/>
  <c r="IK37" i="2"/>
  <c r="CJ44" i="2"/>
  <c r="HH37" i="2"/>
  <c r="KS19" i="2"/>
  <c r="EQ31" i="2"/>
  <c r="EQ33" i="2" s="1"/>
  <c r="CF37" i="2"/>
  <c r="BI32" i="2"/>
  <c r="EY26" i="2"/>
  <c r="GP19" i="2"/>
  <c r="HL19" i="2"/>
  <c r="FT25" i="2"/>
  <c r="BK25" i="2"/>
  <c r="GS25" i="2"/>
  <c r="JH25" i="2"/>
  <c r="BK19" i="2"/>
  <c r="EL31" i="2"/>
  <c r="KM19" i="2"/>
  <c r="S26" i="2"/>
  <c r="HP32" i="2"/>
  <c r="EW25" i="2"/>
  <c r="BE31" i="2"/>
  <c r="EN25" i="2"/>
  <c r="EN27" i="2" s="1"/>
  <c r="BU31" i="2"/>
  <c r="KQ31" i="2"/>
  <c r="KQ33" i="2" s="1"/>
  <c r="HK37" i="2"/>
  <c r="BE43" i="2"/>
  <c r="BE45" i="2" s="1"/>
  <c r="H202" i="23" s="1"/>
  <c r="GR37" i="2"/>
  <c r="BP31" i="2"/>
  <c r="AB43" i="2"/>
  <c r="BE37" i="2"/>
  <c r="BE39" i="2" s="1"/>
  <c r="G202" i="23" s="1"/>
  <c r="BH37" i="2"/>
  <c r="BM31" i="2"/>
  <c r="BM33" i="2" s="1"/>
  <c r="F209" i="23" s="1"/>
  <c r="GL31" i="2"/>
  <c r="GN25" i="2"/>
  <c r="GV37" i="2"/>
  <c r="CE37" i="2"/>
  <c r="HO37" i="2"/>
  <c r="HI25" i="2"/>
  <c r="EL37" i="2"/>
  <c r="EH31" i="2"/>
  <c r="BN31" i="2"/>
  <c r="FS31" i="2"/>
  <c r="F31" i="2"/>
  <c r="II25" i="2"/>
  <c r="EW31" i="2"/>
  <c r="EW33" i="2" s="1"/>
  <c r="F356" i="18" s="1"/>
  <c r="R31" i="2"/>
  <c r="KJ25" i="2"/>
  <c r="KK31" i="2"/>
  <c r="KK33" i="2" s="1"/>
  <c r="KL31" i="2"/>
  <c r="HJ31" i="2"/>
  <c r="JI43" i="2"/>
  <c r="EL14" i="2"/>
  <c r="GK31" i="2"/>
  <c r="BH31" i="2"/>
  <c r="EL43" i="2"/>
  <c r="JP31" i="2"/>
  <c r="JP33" i="2" s="1"/>
  <c r="BF37" i="2"/>
  <c r="FC37" i="2"/>
  <c r="EM31" i="2"/>
  <c r="EM33" i="2" s="1"/>
  <c r="F37" i="2"/>
  <c r="F39" i="2" s="1"/>
  <c r="BE14" i="2"/>
  <c r="BD13" i="2"/>
  <c r="EH37" i="2"/>
  <c r="CX25" i="2"/>
  <c r="IN43" i="2"/>
  <c r="IN45" i="2" s="1"/>
  <c r="GN37" i="2"/>
  <c r="AB14" i="2"/>
  <c r="GS13" i="2"/>
  <c r="KJ37" i="2"/>
  <c r="CE31" i="2"/>
  <c r="X19" i="2"/>
  <c r="BM43" i="2"/>
  <c r="HM37" i="2"/>
  <c r="GQ25" i="2"/>
  <c r="EP31" i="2"/>
  <c r="CB37" i="2"/>
  <c r="JM25" i="2"/>
  <c r="JM27" i="2" s="1"/>
  <c r="FT37" i="2"/>
  <c r="JK37" i="2"/>
  <c r="I31" i="2"/>
  <c r="KS37" i="2"/>
  <c r="KS39" i="2" s="1"/>
  <c r="G14" i="2"/>
  <c r="EY25" i="2"/>
  <c r="CE43" i="2"/>
  <c r="BG43" i="2"/>
  <c r="BC13" i="2"/>
  <c r="BP37" i="2"/>
  <c r="IL14" i="2"/>
  <c r="IC43" i="2"/>
  <c r="IC45" i="2" s="1"/>
  <c r="H138" i="22" s="1"/>
  <c r="X37" i="2"/>
  <c r="JO19" i="2"/>
  <c r="EN13" i="2"/>
  <c r="KJ13" i="2"/>
  <c r="BG37" i="2"/>
  <c r="CF43" i="2"/>
  <c r="JM31" i="2"/>
  <c r="AF37" i="2"/>
  <c r="FS37" i="2"/>
  <c r="J13" i="2"/>
  <c r="CB43" i="2"/>
  <c r="HI13" i="2"/>
  <c r="IJ31" i="2"/>
  <c r="JL25" i="2"/>
  <c r="JL27" i="2" s="1"/>
  <c r="GJ37" i="2"/>
  <c r="BJ13" i="2"/>
  <c r="AF43" i="2"/>
  <c r="AF45" i="2" s="1"/>
  <c r="H230" i="22" s="1"/>
  <c r="EY37" i="2"/>
  <c r="BM14" i="2"/>
  <c r="CG37" i="2"/>
  <c r="HM31" i="2"/>
  <c r="S38" i="2"/>
  <c r="JN37" i="2"/>
  <c r="EM19" i="2"/>
  <c r="EM21" i="2" s="1"/>
  <c r="ER31" i="2"/>
  <c r="GN31" i="2"/>
  <c r="ED25" i="2"/>
  <c r="KT25" i="2"/>
  <c r="HO31" i="2"/>
  <c r="HL37" i="2"/>
  <c r="H37" i="2"/>
  <c r="AF31" i="2"/>
  <c r="BR31" i="2"/>
  <c r="BR33" i="2" s="1"/>
  <c r="EQ37" i="2"/>
  <c r="HH31" i="2"/>
  <c r="GU37" i="2"/>
  <c r="AA31" i="2"/>
  <c r="AA33" i="2" s="1"/>
  <c r="CW37" i="2"/>
  <c r="EZ37" i="2"/>
  <c r="BG14" i="2"/>
  <c r="EE14" i="2"/>
  <c r="BN13" i="2"/>
  <c r="JM14" i="2"/>
  <c r="IM43" i="2"/>
  <c r="AI43" i="2"/>
  <c r="JQ31" i="2"/>
  <c r="KK14" i="2"/>
  <c r="BN14" i="2"/>
  <c r="I37" i="2"/>
  <c r="AH31" i="2"/>
  <c r="FU37" i="2"/>
  <c r="GS37" i="2"/>
  <c r="EN14" i="2"/>
  <c r="AA25" i="2"/>
  <c r="HN31" i="2"/>
  <c r="AE37" i="2"/>
  <c r="J37" i="2"/>
  <c r="GS31" i="2"/>
  <c r="H25" i="2"/>
  <c r="BG25" i="2"/>
  <c r="CB31" i="2"/>
  <c r="KW37" i="2"/>
  <c r="KW39" i="2" s="1"/>
  <c r="EP37" i="2"/>
  <c r="AB37" i="2"/>
  <c r="GM14" i="2"/>
  <c r="FS25" i="2"/>
  <c r="EW37" i="2"/>
  <c r="J43" i="2"/>
  <c r="J45" i="2" s="1"/>
  <c r="H4" i="22" s="1"/>
  <c r="KQ37" i="2"/>
  <c r="EK37" i="2"/>
  <c r="KR25" i="2"/>
  <c r="KR27" i="2" s="1"/>
  <c r="IJ37" i="2"/>
  <c r="BJ37" i="2"/>
  <c r="IK43" i="2"/>
  <c r="J14" i="2"/>
  <c r="X31" i="2"/>
  <c r="FR37" i="2"/>
  <c r="Q43" i="2"/>
  <c r="EZ31" i="2"/>
  <c r="ED31" i="2"/>
  <c r="ED33" i="2" s="1"/>
  <c r="BS43" i="2"/>
  <c r="ER43" i="2"/>
  <c r="IE13" i="2"/>
  <c r="EG31" i="2"/>
  <c r="CH43" i="2"/>
  <c r="GK37" i="2"/>
  <c r="FQ37" i="2"/>
  <c r="IN13" i="2"/>
  <c r="EF14" i="2"/>
  <c r="KM13" i="2"/>
  <c r="BE13" i="2"/>
  <c r="FQ25" i="2"/>
  <c r="EO31" i="2"/>
  <c r="KO37" i="2"/>
  <c r="KO39" i="2" s="1"/>
  <c r="GL37" i="2"/>
  <c r="GT37" i="2"/>
  <c r="EP43" i="2"/>
  <c r="HL25" i="2"/>
  <c r="GT31" i="2"/>
  <c r="G31" i="2"/>
  <c r="G33" i="2" s="1"/>
  <c r="G25" i="2"/>
  <c r="G27" i="2" s="1"/>
  <c r="CF31" i="2"/>
  <c r="CH31" i="2"/>
  <c r="HP37" i="2"/>
  <c r="IN31" i="2"/>
  <c r="IN33" i="2" s="1"/>
  <c r="KU31" i="2"/>
  <c r="GP37" i="2"/>
  <c r="CC43" i="2"/>
  <c r="HP31" i="2"/>
  <c r="BG31" i="2"/>
  <c r="JJ37" i="2"/>
  <c r="FV37" i="2"/>
  <c r="AE13" i="2"/>
  <c r="AL14" i="2"/>
  <c r="KL13" i="2"/>
  <c r="JO31" i="2"/>
  <c r="HN37" i="2"/>
  <c r="EN37" i="2"/>
  <c r="W14" i="2"/>
  <c r="JI31" i="2"/>
  <c r="JI33" i="2" s="1"/>
  <c r="F35" i="20" s="1"/>
  <c r="CG31" i="2"/>
  <c r="GQ31" i="2"/>
  <c r="FR31" i="2"/>
  <c r="EV37" i="2"/>
  <c r="JJ31" i="2"/>
  <c r="FQ31" i="2"/>
  <c r="JY37" i="2"/>
  <c r="JY39" i="2" s="1"/>
  <c r="GQ37" i="2"/>
  <c r="GO37" i="2"/>
  <c r="ER37" i="2"/>
  <c r="ER39" i="2" s="1"/>
  <c r="G83" i="18" s="1"/>
  <c r="DB37" i="2"/>
  <c r="JH31" i="2"/>
  <c r="AA43" i="2"/>
  <c r="AA45" i="2" s="1"/>
  <c r="IE43" i="2"/>
  <c r="JO13" i="2"/>
  <c r="KR31" i="2"/>
  <c r="KR33" i="2" s="1"/>
  <c r="JO14" i="2"/>
  <c r="KN14" i="2"/>
  <c r="AL19" i="2"/>
  <c r="JK43" i="2"/>
  <c r="CW43" i="2"/>
  <c r="BT43" i="2"/>
  <c r="R37" i="2"/>
  <c r="BK31" i="2"/>
  <c r="KP37" i="2"/>
  <c r="KN37" i="2"/>
  <c r="KN39" i="2" s="1"/>
  <c r="AX14" i="2"/>
  <c r="EH13" i="2"/>
  <c r="KQ25" i="2"/>
  <c r="KQ27" i="2" s="1"/>
  <c r="HG31" i="2"/>
  <c r="I14" i="2"/>
  <c r="GU25" i="2"/>
  <c r="CA43" i="2"/>
  <c r="HL31" i="2"/>
  <c r="CG43" i="2"/>
  <c r="IL31" i="2"/>
  <c r="KV19" i="2"/>
  <c r="AE31" i="2"/>
  <c r="AE33" i="2" s="1"/>
  <c r="BV31" i="2"/>
  <c r="BI31" i="2"/>
  <c r="KJ31" i="2"/>
  <c r="BV43" i="2"/>
  <c r="KL37" i="2"/>
  <c r="BH19" i="2"/>
  <c r="KM25" i="2"/>
  <c r="DB43" i="2"/>
  <c r="KN31" i="2"/>
  <c r="EW14" i="2"/>
  <c r="H31" i="2"/>
  <c r="JQ37" i="2"/>
  <c r="BF14" i="2"/>
  <c r="BK43" i="2"/>
  <c r="AK14" i="2"/>
  <c r="JQ43" i="2"/>
  <c r="AH43" i="2"/>
  <c r="JH14" i="2"/>
  <c r="KV13" i="2"/>
  <c r="FB25" i="2"/>
  <c r="ED43" i="2"/>
  <c r="ED45" i="2" s="1"/>
  <c r="BI43" i="2"/>
  <c r="EL13" i="2"/>
  <c r="JL43" i="2"/>
  <c r="BQ14" i="2"/>
  <c r="FR43" i="2"/>
  <c r="JI14" i="2"/>
  <c r="JP13" i="2"/>
  <c r="JO25" i="2"/>
  <c r="JO27" i="2" s="1"/>
  <c r="CC37" i="2"/>
  <c r="BI37" i="2"/>
  <c r="DA43" i="2"/>
  <c r="IN37" i="2"/>
  <c r="AA14" i="2"/>
  <c r="KI37" i="2"/>
  <c r="EI43" i="2"/>
  <c r="BJ43" i="2"/>
  <c r="KS31" i="2"/>
  <c r="EO43" i="2"/>
  <c r="HJ37" i="2"/>
  <c r="BQ37" i="2"/>
  <c r="FW43" i="2"/>
  <c r="JN13" i="2"/>
  <c r="AZ14" i="2"/>
  <c r="BQ43" i="2"/>
  <c r="AZ13" i="2"/>
  <c r="F43" i="2"/>
  <c r="F45" i="2" s="1"/>
  <c r="IJ43" i="2"/>
  <c r="EE13" i="2"/>
  <c r="KJ14" i="2"/>
  <c r="KL25" i="2"/>
  <c r="JK13" i="2"/>
  <c r="GJ13" i="2"/>
  <c r="GJ14" i="2"/>
  <c r="AY14" i="2"/>
  <c r="EI37" i="2"/>
  <c r="EI39" i="2" s="1"/>
  <c r="G50" i="15" s="1"/>
  <c r="KO14" i="2"/>
  <c r="BB13" i="2"/>
  <c r="AK19" i="2"/>
  <c r="FC13" i="2"/>
  <c r="CI25" i="2"/>
  <c r="IC13" i="2"/>
  <c r="CY37" i="2"/>
  <c r="BA13" i="2"/>
  <c r="BR43" i="2"/>
  <c r="I43" i="2"/>
  <c r="KK37" i="2"/>
  <c r="FR25" i="2"/>
  <c r="GJ31" i="2"/>
  <c r="GJ33" i="2" s="1"/>
  <c r="EQ13" i="2"/>
  <c r="FS43" i="2"/>
  <c r="BZ37" i="2"/>
  <c r="AK37" i="2"/>
  <c r="FQ13" i="2"/>
  <c r="BT14" i="2"/>
  <c r="BB14" i="2"/>
  <c r="IE37" i="2"/>
  <c r="KO13" i="2"/>
  <c r="EI31" i="2"/>
  <c r="CI13" i="2"/>
  <c r="S37" i="2"/>
  <c r="EI19" i="2"/>
  <c r="EI21" i="2" s="1"/>
  <c r="D50" i="15" s="1"/>
  <c r="BP43" i="2"/>
  <c r="FC31" i="2"/>
  <c r="DA13" i="2"/>
  <c r="EE31" i="2"/>
  <c r="W25" i="2"/>
  <c r="EI25" i="2"/>
  <c r="AE14" i="2"/>
  <c r="EI13" i="2"/>
  <c r="FU13" i="2"/>
  <c r="CX13" i="2"/>
  <c r="CD13" i="2"/>
  <c r="KI13" i="2"/>
  <c r="GM43" i="2"/>
  <c r="KM31" i="2"/>
  <c r="GN13" i="2"/>
  <c r="EN31" i="2"/>
  <c r="EN33" i="2" s="1"/>
  <c r="CX37" i="2"/>
  <c r="X43" i="2"/>
  <c r="AB31" i="2"/>
  <c r="KS14" i="2"/>
  <c r="ED14" i="2"/>
  <c r="H14" i="2"/>
  <c r="GU13" i="2"/>
  <c r="FW13" i="2"/>
  <c r="EP13" i="2"/>
  <c r="K13" i="2"/>
  <c r="EW43" i="2"/>
  <c r="AA13" i="2"/>
  <c r="EM14" i="2"/>
  <c r="EP14" i="2"/>
  <c r="AI37" i="2"/>
  <c r="GL14" i="2"/>
  <c r="KW13" i="2"/>
  <c r="BG13" i="2"/>
  <c r="AL43" i="2"/>
  <c r="R43" i="2"/>
  <c r="II43" i="2"/>
  <c r="JQ13" i="2"/>
  <c r="CY43" i="2"/>
  <c r="BU13" i="2"/>
  <c r="CX31" i="2"/>
  <c r="JY14" i="2"/>
  <c r="JJ13" i="2"/>
  <c r="EF31" i="2"/>
  <c r="EG19" i="2"/>
  <c r="EG21" i="2" s="1"/>
  <c r="D172" i="15" s="1"/>
  <c r="AA37" i="2"/>
  <c r="AA39" i="2" s="1"/>
  <c r="G37" i="2"/>
  <c r="JY31" i="2"/>
  <c r="JY33" i="2" s="1"/>
  <c r="AI25" i="2"/>
  <c r="K14" i="2"/>
  <c r="BR37" i="2"/>
  <c r="BR39" i="2" s="1"/>
  <c r="KM14" i="2"/>
  <c r="BV37" i="2"/>
  <c r="KT13" i="2"/>
  <c r="BI13" i="2"/>
  <c r="EN19" i="2"/>
  <c r="GL13" i="2"/>
  <c r="KR13" i="2"/>
  <c r="AF13" i="2"/>
  <c r="JO43" i="2"/>
  <c r="AH19" i="2"/>
  <c r="AH21" i="2" s="1"/>
  <c r="D41" i="7" s="1"/>
  <c r="FU43" i="2"/>
  <c r="GO13" i="2"/>
  <c r="FC43" i="2"/>
  <c r="GV31" i="2"/>
  <c r="HI31" i="2"/>
  <c r="FW25" i="2"/>
  <c r="IC37" i="2"/>
  <c r="JH13" i="2"/>
  <c r="H43" i="2"/>
  <c r="KT37" i="2"/>
  <c r="IL43" i="2"/>
  <c r="EY31" i="2"/>
  <c r="HI37" i="2"/>
  <c r="KP31" i="2"/>
  <c r="KP33" i="2" s="1"/>
  <c r="AK25" i="2"/>
  <c r="KV37" i="2"/>
  <c r="G43" i="2"/>
  <c r="BN43" i="2"/>
  <c r="JP43" i="2"/>
  <c r="IC14" i="2"/>
  <c r="CI31" i="2"/>
  <c r="CG13" i="2"/>
  <c r="KQ13" i="2"/>
  <c r="JN43" i="2"/>
  <c r="EM13" i="2"/>
  <c r="JJ43" i="2"/>
  <c r="EM37" i="2"/>
  <c r="EM39" i="2" s="1"/>
  <c r="CI43" i="2"/>
  <c r="IE14" i="2"/>
  <c r="CV37" i="2"/>
  <c r="Q13" i="2"/>
  <c r="EF25" i="2"/>
  <c r="BZ19" i="2"/>
  <c r="II37" i="2"/>
  <c r="II39" i="2" s="1"/>
  <c r="G41" i="23" s="1"/>
  <c r="JP37" i="2"/>
  <c r="BQ31" i="2"/>
  <c r="BQ33" i="2" s="1"/>
  <c r="F39" i="23" s="1"/>
  <c r="EE19" i="2"/>
  <c r="KV14" i="2"/>
  <c r="AI31" i="2"/>
  <c r="AI33" i="2" s="1"/>
  <c r="BS31" i="2"/>
  <c r="EK31" i="2"/>
  <c r="KM37" i="2"/>
  <c r="GK43" i="2"/>
  <c r="BN37" i="2"/>
  <c r="BM13" i="2"/>
  <c r="KR14" i="2"/>
  <c r="I13" i="2"/>
  <c r="BI14" i="2"/>
  <c r="JI13" i="2"/>
  <c r="JN31" i="2"/>
  <c r="BS14" i="2"/>
  <c r="AI14" i="2"/>
  <c r="IK13" i="2"/>
  <c r="HG13" i="2"/>
  <c r="FT13" i="2"/>
  <c r="CV25" i="2"/>
  <c r="JN14" i="2"/>
  <c r="CX43" i="2"/>
  <c r="EG37" i="2"/>
  <c r="BP25" i="2"/>
  <c r="IN25" i="2"/>
  <c r="JH37" i="2"/>
  <c r="IL37" i="2"/>
  <c r="FT31" i="2"/>
  <c r="AE43" i="2"/>
  <c r="AE45" i="2" s="1"/>
  <c r="BM37" i="2"/>
  <c r="BK13" i="2"/>
  <c r="BH14" i="2"/>
  <c r="FU31" i="2"/>
  <c r="AL31" i="2"/>
  <c r="FV43" i="2"/>
  <c r="HL13" i="2"/>
  <c r="EQ43" i="2"/>
  <c r="IN14" i="2"/>
  <c r="EY43" i="2"/>
  <c r="BT13" i="2"/>
  <c r="BA14" i="2"/>
  <c r="KU37" i="2"/>
  <c r="KU39" i="2" s="1"/>
  <c r="CV31" i="2"/>
  <c r="CZ13" i="2"/>
  <c r="GJ19" i="2"/>
  <c r="GJ21" i="2" s="1"/>
  <c r="EK13" i="2"/>
  <c r="BZ31" i="2"/>
  <c r="AX13" i="2"/>
  <c r="FB37" i="2"/>
  <c r="S19" i="2"/>
  <c r="IM14" i="2"/>
  <c r="AY13" i="2"/>
  <c r="GP13" i="2"/>
  <c r="BZ43" i="2"/>
  <c r="BQ13" i="2"/>
  <c r="KU14" i="2"/>
  <c r="AI13" i="2"/>
  <c r="CH37" i="2"/>
  <c r="JM37" i="2"/>
  <c r="KT31" i="2"/>
  <c r="BP14" i="2"/>
  <c r="AH37" i="2"/>
  <c r="FW37" i="2"/>
  <c r="GV13" i="2"/>
  <c r="EW13" i="2"/>
  <c r="X14" i="2"/>
  <c r="JI37" i="2"/>
  <c r="AH13" i="2"/>
  <c r="KK13" i="2"/>
  <c r="BK14" i="2"/>
  <c r="EH14" i="2"/>
  <c r="JQ14" i="2"/>
  <c r="EG43" i="2"/>
  <c r="JM13" i="2"/>
  <c r="KN13" i="2"/>
  <c r="KR37" i="2"/>
  <c r="GR13" i="2"/>
  <c r="CE13" i="2"/>
  <c r="GT13" i="2"/>
  <c r="IE25" i="2"/>
  <c r="EZ43" i="2"/>
  <c r="EV13" i="2"/>
  <c r="JO37" i="2"/>
  <c r="EG14" i="2"/>
  <c r="HO13" i="2"/>
  <c r="KI14" i="2"/>
  <c r="JM43" i="2"/>
  <c r="CW13" i="2"/>
  <c r="EV43" i="2"/>
  <c r="BF43" i="2"/>
  <c r="BF45" i="2" s="1"/>
  <c r="H203" i="23" s="1"/>
  <c r="CJ14" i="2"/>
  <c r="CV19" i="2"/>
  <c r="BC14" i="2"/>
  <c r="KP14" i="2"/>
  <c r="E382" i="18"/>
  <c r="EG13" i="2"/>
  <c r="KS13" i="2"/>
  <c r="W13" i="2"/>
  <c r="HM13" i="2"/>
  <c r="ED13" i="2"/>
  <c r="HJ13" i="2"/>
  <c r="EF13" i="2"/>
  <c r="S25" i="2"/>
  <c r="CV13" i="2"/>
  <c r="CY13" i="2"/>
  <c r="R13" i="2"/>
  <c r="BS37" i="2"/>
  <c r="AL25" i="2"/>
  <c r="AL27" i="2" s="1"/>
  <c r="E213" i="22" s="1"/>
  <c r="BH43" i="2"/>
  <c r="ER13" i="2"/>
  <c r="CD43" i="2"/>
  <c r="BF13" i="2"/>
  <c r="W37" i="2"/>
  <c r="CB13" i="2"/>
  <c r="CV43" i="2"/>
  <c r="GK14" i="2"/>
  <c r="HG37" i="2"/>
  <c r="FB13" i="2"/>
  <c r="EE43" i="2"/>
  <c r="EY14" i="2"/>
  <c r="KT14" i="2"/>
  <c r="JL37" i="2"/>
  <c r="JL39" i="2" s="1"/>
  <c r="JL31" i="2"/>
  <c r="ER14" i="2"/>
  <c r="HP13" i="2"/>
  <c r="BZ25" i="2"/>
  <c r="GW14" i="2"/>
  <c r="CC13" i="2"/>
  <c r="DB13" i="2"/>
  <c r="JP14" i="2"/>
  <c r="CD31" i="2"/>
  <c r="BJ14" i="2"/>
  <c r="CX19" i="2"/>
  <c r="CH13" i="2"/>
  <c r="CD25" i="2"/>
  <c r="EO14" i="2"/>
  <c r="EQ14" i="2"/>
  <c r="EF43" i="2"/>
  <c r="FR13" i="2"/>
  <c r="EF37" i="2"/>
  <c r="EF39" i="2" s="1"/>
  <c r="G171" i="15" s="1"/>
  <c r="JY13" i="2"/>
  <c r="IK14" i="2"/>
  <c r="JL14" i="2"/>
  <c r="FT43" i="2"/>
  <c r="BK37" i="2"/>
  <c r="FQ43" i="2"/>
  <c r="EF33" i="2" l="1"/>
  <c r="F171" i="15" s="1"/>
  <c r="CW27" i="2"/>
  <c r="CD39" i="2"/>
  <c r="CZ45" i="2"/>
  <c r="CF21" i="2"/>
  <c r="DQ21" i="2" s="1"/>
  <c r="EK39" i="2"/>
  <c r="H39" i="2"/>
  <c r="EV45" i="2"/>
  <c r="H357" i="18" s="1"/>
  <c r="BP27" i="2"/>
  <c r="E38" i="23" s="1"/>
  <c r="EI45" i="2"/>
  <c r="H50" i="15" s="1"/>
  <c r="BS5" i="2"/>
  <c r="BS4" i="2"/>
  <c r="BS50" i="2" s="1"/>
  <c r="AA27" i="2"/>
  <c r="JK39" i="2"/>
  <c r="IJ27" i="2"/>
  <c r="E42" i="23" s="1"/>
  <c r="KS33" i="2"/>
  <c r="IL33" i="2"/>
  <c r="F201" i="8" s="1"/>
  <c r="F203" i="8" s="1"/>
  <c r="JP27" i="2"/>
  <c r="EF45" i="2"/>
  <c r="H171" i="15" s="1"/>
  <c r="BE33" i="2"/>
  <c r="F202" i="23" s="1"/>
  <c r="BP45" i="2"/>
  <c r="H38" i="23" s="1"/>
  <c r="F33" i="2"/>
  <c r="BR27" i="2"/>
  <c r="BQ39" i="2"/>
  <c r="G39" i="23" s="1"/>
  <c r="BT45" i="2"/>
  <c r="H45" i="23" s="1"/>
  <c r="BK27" i="2"/>
  <c r="AI27" i="2"/>
  <c r="BS33" i="2"/>
  <c r="F4" i="23" s="1"/>
  <c r="W27" i="2"/>
  <c r="E353" i="22" s="1"/>
  <c r="EW21" i="2"/>
  <c r="D356" i="18" s="1"/>
  <c r="BG5" i="2"/>
  <c r="BG51" i="2" s="1"/>
  <c r="AI21" i="2"/>
  <c r="J21" i="2"/>
  <c r="D4" i="22" s="1"/>
  <c r="KO21" i="2"/>
  <c r="AI39" i="2"/>
  <c r="JQ45" i="2"/>
  <c r="JQ27" i="2"/>
  <c r="JM21" i="2"/>
  <c r="AH39" i="2"/>
  <c r="G41" i="7" s="1"/>
  <c r="AK39" i="2"/>
  <c r="G216" i="22" s="1"/>
  <c r="BR45" i="2"/>
  <c r="JJ39" i="2"/>
  <c r="G36" i="20" s="1"/>
  <c r="JN27" i="2"/>
  <c r="BG39" i="2"/>
  <c r="BQ27" i="2"/>
  <c r="E39" i="23" s="1"/>
  <c r="JI21" i="2"/>
  <c r="D35" i="20" s="1"/>
  <c r="AB33" i="2"/>
  <c r="BV21" i="2"/>
  <c r="ED27" i="2"/>
  <c r="E54" i="8" s="1"/>
  <c r="E56" i="8" s="1"/>
  <c r="E57" i="8" s="1"/>
  <c r="II21" i="2"/>
  <c r="D41" i="23" s="1"/>
  <c r="ER27" i="2"/>
  <c r="E83" i="18" s="1"/>
  <c r="AL45" i="2"/>
  <c r="H213" i="22" s="1"/>
  <c r="AL21" i="2"/>
  <c r="D213" i="22" s="1"/>
  <c r="S15" i="2"/>
  <c r="C279" i="22" s="1"/>
  <c r="KM39" i="2"/>
  <c r="KM21" i="2"/>
  <c r="KJ33" i="2"/>
  <c r="KV33" i="2"/>
  <c r="G39" i="2"/>
  <c r="G11" i="7" s="1"/>
  <c r="AH45" i="2"/>
  <c r="H41" i="7" s="1"/>
  <c r="KN33" i="2"/>
  <c r="JL33" i="2"/>
  <c r="S21" i="2"/>
  <c r="D279" i="22" s="1"/>
  <c r="AL33" i="2"/>
  <c r="F213" i="22" s="1"/>
  <c r="H27" i="2"/>
  <c r="II27" i="2"/>
  <c r="E41" i="23" s="1"/>
  <c r="KP39" i="2"/>
  <c r="BS45" i="2"/>
  <c r="H4" i="23" s="1"/>
  <c r="JN45" i="2"/>
  <c r="KN27" i="2"/>
  <c r="KL21" i="2"/>
  <c r="BF39" i="2"/>
  <c r="G203" i="23" s="1"/>
  <c r="JQ33" i="2"/>
  <c r="KT33" i="2"/>
  <c r="BS51" i="2"/>
  <c r="EQ45" i="2"/>
  <c r="H45" i="2"/>
  <c r="KM33" i="2"/>
  <c r="JL45" i="2"/>
  <c r="JJ45" i="2"/>
  <c r="KT39" i="2"/>
  <c r="IN39" i="2"/>
  <c r="BR4" i="2"/>
  <c r="JK33" i="2"/>
  <c r="JQ21" i="2"/>
  <c r="JO39" i="2"/>
  <c r="JH39" i="2"/>
  <c r="G137" i="15" s="1"/>
  <c r="KK39" i="2"/>
  <c r="GL39" i="2"/>
  <c r="AE39" i="2"/>
  <c r="G225" i="22" s="1"/>
  <c r="IJ39" i="2"/>
  <c r="G42" i="23" s="1"/>
  <c r="BT33" i="2"/>
  <c r="F45" i="23" s="1"/>
  <c r="JO45" i="2"/>
  <c r="BK45" i="2"/>
  <c r="GP27" i="2"/>
  <c r="E79" i="7" s="1"/>
  <c r="EV27" i="2"/>
  <c r="E357" i="18" s="1"/>
  <c r="W39" i="2"/>
  <c r="G353" i="22" s="1"/>
  <c r="BG45" i="2"/>
  <c r="KS27" i="2"/>
  <c r="KU27" i="2"/>
  <c r="IE27" i="2"/>
  <c r="E182" i="22" s="1"/>
  <c r="KL27" i="2"/>
  <c r="BP33" i="2"/>
  <c r="F38" i="23" s="1"/>
  <c r="F40" i="23" s="1"/>
  <c r="KS21" i="2"/>
  <c r="EG39" i="2"/>
  <c r="G172" i="15" s="1"/>
  <c r="JP39" i="2"/>
  <c r="EN21" i="2"/>
  <c r="I45" i="2"/>
  <c r="BK33" i="2"/>
  <c r="J39" i="2"/>
  <c r="G4" i="22" s="1"/>
  <c r="EQ39" i="2"/>
  <c r="KP21" i="2"/>
  <c r="KQ21" i="2"/>
  <c r="EK33" i="2"/>
  <c r="F76" i="18" s="1"/>
  <c r="EI27" i="2"/>
  <c r="E50" i="15" s="1"/>
  <c r="IJ45" i="2"/>
  <c r="H42" i="23" s="1"/>
  <c r="EF27" i="2"/>
  <c r="E171" i="15" s="1"/>
  <c r="IE45" i="2"/>
  <c r="H43" i="8" s="1"/>
  <c r="H45" i="8" s="1"/>
  <c r="BG33" i="2"/>
  <c r="JN39" i="2"/>
  <c r="GJ39" i="2"/>
  <c r="I33" i="2"/>
  <c r="BV27" i="2"/>
  <c r="ED21" i="2"/>
  <c r="D13" i="7" s="1"/>
  <c r="JI39" i="2"/>
  <c r="G35" i="20" s="1"/>
  <c r="IL39" i="2"/>
  <c r="G201" i="8" s="1"/>
  <c r="G203" i="8" s="1"/>
  <c r="EE33" i="2"/>
  <c r="F170" i="15" s="1"/>
  <c r="JJ33" i="2"/>
  <c r="F36" i="20" s="1"/>
  <c r="KQ39" i="2"/>
  <c r="EH39" i="2"/>
  <c r="EM27" i="2"/>
  <c r="JK27" i="2"/>
  <c r="IM27" i="2"/>
  <c r="IJ21" i="2"/>
  <c r="D42" i="23" s="1"/>
  <c r="I21" i="2"/>
  <c r="AF21" i="2"/>
  <c r="D230" i="22" s="1"/>
  <c r="BT39" i="2"/>
  <c r="G38" i="23" s="1"/>
  <c r="EW45" i="2"/>
  <c r="H356" i="18" s="1"/>
  <c r="BK39" i="2"/>
  <c r="JQ39" i="2"/>
  <c r="F27" i="2"/>
  <c r="BE27" i="2"/>
  <c r="E202" i="23" s="1"/>
  <c r="KJ21" i="2"/>
  <c r="EO27" i="2"/>
  <c r="E78" i="18" s="1"/>
  <c r="ER45" i="2"/>
  <c r="H83" i="18" s="1"/>
  <c r="KI21" i="2"/>
  <c r="D106" i="20" s="1"/>
  <c r="S27" i="2"/>
  <c r="E279" i="22" s="1"/>
  <c r="JM45" i="2"/>
  <c r="JI45" i="2"/>
  <c r="KN21" i="2"/>
  <c r="AB21" i="2"/>
  <c r="BR21" i="2"/>
  <c r="GK39" i="2"/>
  <c r="EV33" i="2"/>
  <c r="F357" i="18" s="1"/>
  <c r="F358" i="18" s="1"/>
  <c r="JO33" i="2"/>
  <c r="AB39" i="2"/>
  <c r="GK33" i="2"/>
  <c r="IC27" i="2"/>
  <c r="E138" i="22" s="1"/>
  <c r="GM39" i="2"/>
  <c r="J33" i="2"/>
  <c r="F4" i="22" s="1"/>
  <c r="BS27" i="2"/>
  <c r="E4" i="23" s="1"/>
  <c r="IM33" i="2"/>
  <c r="BE21" i="2"/>
  <c r="D202" i="23" s="1"/>
  <c r="KK27" i="2"/>
  <c r="IK21" i="2"/>
  <c r="D196" i="8" s="1"/>
  <c r="BQ21" i="2"/>
  <c r="D39" i="23" s="1"/>
  <c r="D40" i="23" s="1"/>
  <c r="JK21" i="2"/>
  <c r="II33" i="2"/>
  <c r="F41" i="23" s="1"/>
  <c r="IM21" i="2"/>
  <c r="G45" i="2"/>
  <c r="H23" i="8" s="1"/>
  <c r="GL33" i="2"/>
  <c r="BS39" i="2"/>
  <c r="G4" i="23" s="1"/>
  <c r="IC39" i="2"/>
  <c r="G138" i="22" s="1"/>
  <c r="IE39" i="2"/>
  <c r="G182" i="22" s="1"/>
  <c r="JH33" i="2"/>
  <c r="F124" i="8" s="1"/>
  <c r="F126" i="8" s="1"/>
  <c r="F127" i="8" s="1"/>
  <c r="JH27" i="2"/>
  <c r="E124" i="8" s="1"/>
  <c r="E126" i="8" s="1"/>
  <c r="E127" i="8" s="1"/>
  <c r="IM39" i="2"/>
  <c r="EQ21" i="2"/>
  <c r="AK21" i="2"/>
  <c r="D216" i="22" s="1"/>
  <c r="GL27" i="2"/>
  <c r="AH33" i="2"/>
  <c r="F41" i="7" s="1"/>
  <c r="EO21" i="2"/>
  <c r="D185" i="8" s="1"/>
  <c r="D187" i="8" s="1"/>
  <c r="BM39" i="2"/>
  <c r="G209" i="23" s="1"/>
  <c r="EH21" i="2"/>
  <c r="KR39" i="2"/>
  <c r="BV39" i="2"/>
  <c r="II45" i="2"/>
  <c r="H41" i="23" s="1"/>
  <c r="GM45" i="2"/>
  <c r="EN39" i="2"/>
  <c r="BS21" i="2"/>
  <c r="D4" i="23" s="1"/>
  <c r="EN45" i="2"/>
  <c r="EH27" i="2"/>
  <c r="EH45" i="2"/>
  <c r="EG33" i="2"/>
  <c r="F172" i="15" s="1"/>
  <c r="BG27" i="2"/>
  <c r="EK27" i="2"/>
  <c r="E59" i="7" s="1"/>
  <c r="AH27" i="2"/>
  <c r="E41" i="7" s="1"/>
  <c r="IN27" i="2"/>
  <c r="EW39" i="2"/>
  <c r="G356" i="18" s="1"/>
  <c r="AB45" i="2"/>
  <c r="KK21" i="2"/>
  <c r="GL21" i="2"/>
  <c r="KI39" i="2"/>
  <c r="G106" i="20" s="1"/>
  <c r="IK45" i="2"/>
  <c r="H196" i="8" s="1"/>
  <c r="EW27" i="2"/>
  <c r="E356" i="18" s="1"/>
  <c r="AE21" i="2"/>
  <c r="D39" i="7" s="1"/>
  <c r="EO33" i="2"/>
  <c r="F185" i="8" s="1"/>
  <c r="F187" i="8" s="1"/>
  <c r="BK21" i="2"/>
  <c r="IL21" i="2"/>
  <c r="D68" i="7" s="1"/>
  <c r="KT21" i="2"/>
  <c r="S39" i="2"/>
  <c r="G279" i="22" s="1"/>
  <c r="BV33" i="2"/>
  <c r="G21" i="2"/>
  <c r="D23" i="8" s="1"/>
  <c r="AF33" i="2"/>
  <c r="F230" i="22" s="1"/>
  <c r="BT27" i="2"/>
  <c r="E45" i="23" s="1"/>
  <c r="JM39" i="2"/>
  <c r="BP39" i="2"/>
  <c r="KW21" i="2"/>
  <c r="BQ45" i="2"/>
  <c r="H39" i="23" s="1"/>
  <c r="EV39" i="2"/>
  <c r="G357" i="18" s="1"/>
  <c r="AI45" i="2"/>
  <c r="ED39" i="2"/>
  <c r="G54" i="8" s="1"/>
  <c r="G56" i="8" s="1"/>
  <c r="G57" i="8" s="1"/>
  <c r="J27" i="2"/>
  <c r="E4" i="22" s="1"/>
  <c r="GK45" i="2"/>
  <c r="JO21" i="2"/>
  <c r="JN33" i="2"/>
  <c r="I39" i="2"/>
  <c r="GK27" i="2"/>
  <c r="JJ21" i="2"/>
  <c r="D36" i="20" s="1"/>
  <c r="I27" i="2"/>
  <c r="KJ39" i="2"/>
  <c r="KW33" i="2"/>
  <c r="BT21" i="2"/>
  <c r="D45" i="23" s="1"/>
  <c r="AF27" i="2"/>
  <c r="E230" i="22" s="1"/>
  <c r="BM21" i="2"/>
  <c r="D209" i="23" s="1"/>
  <c r="ER33" i="2"/>
  <c r="F83" i="18" s="1"/>
  <c r="JP21" i="2"/>
  <c r="KV27" i="2"/>
  <c r="KV39" i="2"/>
  <c r="EI33" i="2"/>
  <c r="F50" i="15" s="1"/>
  <c r="EO45" i="2"/>
  <c r="H63" i="7" s="1"/>
  <c r="KM27" i="2"/>
  <c r="KV21" i="2"/>
  <c r="AF39" i="2"/>
  <c r="G230" i="22" s="1"/>
  <c r="KL33" i="2"/>
  <c r="IK39" i="2"/>
  <c r="G196" i="8" s="1"/>
  <c r="GJ27" i="2"/>
  <c r="EK21" i="2"/>
  <c r="D172" i="8" s="1"/>
  <c r="D174" i="8" s="1"/>
  <c r="AK27" i="2"/>
  <c r="E216" i="22" s="1"/>
  <c r="JM33" i="2"/>
  <c r="BM45" i="2"/>
  <c r="H209" i="23" s="1"/>
  <c r="EH33" i="2"/>
  <c r="BF21" i="2"/>
  <c r="D203" i="23" s="1"/>
  <c r="H21" i="2"/>
  <c r="EE45" i="2"/>
  <c r="H170" i="15" s="1"/>
  <c r="EX7" i="2"/>
  <c r="E381" i="18" s="1"/>
  <c r="EG45" i="2"/>
  <c r="H172" i="15" s="1"/>
  <c r="EE21" i="2"/>
  <c r="D170" i="15" s="1"/>
  <c r="KL39" i="2"/>
  <c r="KJ27" i="2"/>
  <c r="BV45" i="2"/>
  <c r="JK45" i="2"/>
  <c r="IJ33" i="2"/>
  <c r="F42" i="23" s="1"/>
  <c r="IC33" i="2"/>
  <c r="F138" i="22" s="1"/>
  <c r="AK7" i="2"/>
  <c r="S4" i="2"/>
  <c r="S50" i="2" s="1"/>
  <c r="H33" i="2"/>
  <c r="IM45" i="2"/>
  <c r="KT27" i="2"/>
  <c r="JH21" i="2"/>
  <c r="D137" i="15" s="1"/>
  <c r="IE21" i="2"/>
  <c r="D182" i="22" s="1"/>
  <c r="JP45" i="2"/>
  <c r="IL45" i="2"/>
  <c r="H68" i="7" s="1"/>
  <c r="KU33" i="2"/>
  <c r="JY27" i="2"/>
  <c r="E83" i="7" s="1"/>
  <c r="GM33" i="2"/>
  <c r="BG21" i="2"/>
  <c r="G425" i="18"/>
  <c r="H422" i="18"/>
  <c r="F423" i="18"/>
  <c r="H421" i="18"/>
  <c r="H424" i="18"/>
  <c r="H49" i="18"/>
  <c r="H232" i="8"/>
  <c r="IT43" i="2"/>
  <c r="FX43" i="2"/>
  <c r="BP8" i="2"/>
  <c r="BP5" i="2"/>
  <c r="BP51" i="2" s="1"/>
  <c r="JN8" i="2"/>
  <c r="JN5" i="2"/>
  <c r="JN51" i="2" s="1"/>
  <c r="JI15" i="2"/>
  <c r="C35" i="20" s="1"/>
  <c r="JE19" i="2"/>
  <c r="CJ19" i="2"/>
  <c r="CK19" i="2" s="1"/>
  <c r="DK19" i="2"/>
  <c r="EM15" i="2"/>
  <c r="EM7" i="2"/>
  <c r="EM4" i="2"/>
  <c r="BW43" i="2"/>
  <c r="BN45" i="2"/>
  <c r="GO7" i="2"/>
  <c r="GO4" i="2"/>
  <c r="BI15" i="2"/>
  <c r="IG13" i="2"/>
  <c r="BI7" i="2"/>
  <c r="BI4" i="2"/>
  <c r="DY43" i="2"/>
  <c r="DF43" i="2"/>
  <c r="JV13" i="2"/>
  <c r="GU7" i="2"/>
  <c r="GU4" i="2"/>
  <c r="GN4" i="2"/>
  <c r="GN7" i="2"/>
  <c r="AE8" i="2"/>
  <c r="AE5" i="2"/>
  <c r="KO8" i="2"/>
  <c r="KO5" i="2"/>
  <c r="KO51" i="2" s="1"/>
  <c r="EE15" i="2"/>
  <c r="C170" i="15" s="1"/>
  <c r="EE7" i="2"/>
  <c r="EE4" i="2"/>
  <c r="BQ8" i="2"/>
  <c r="BQ5" i="2"/>
  <c r="BQ51" i="2" s="1"/>
  <c r="I8" i="2"/>
  <c r="I5" i="2"/>
  <c r="I51" i="2" s="1"/>
  <c r="JO8" i="2"/>
  <c r="JO5" i="2"/>
  <c r="JO51" i="2" s="1"/>
  <c r="DR31" i="2"/>
  <c r="AE15" i="2"/>
  <c r="AE7" i="2"/>
  <c r="AE4" i="2"/>
  <c r="EP45" i="2"/>
  <c r="AP43" i="2"/>
  <c r="EF8" i="2"/>
  <c r="EF5" i="2"/>
  <c r="EF51" i="2" s="1"/>
  <c r="BL37" i="2"/>
  <c r="BX37" i="2"/>
  <c r="BJ39" i="2"/>
  <c r="GM8" i="2"/>
  <c r="GM5" i="2"/>
  <c r="GM51" i="2" s="1"/>
  <c r="BW13" i="2"/>
  <c r="BN7" i="2"/>
  <c r="BN15" i="2"/>
  <c r="BN4" i="2"/>
  <c r="FH37" i="2"/>
  <c r="GI37" i="2"/>
  <c r="FE37" i="2"/>
  <c r="GE37" i="2" s="1"/>
  <c r="EY39" i="2"/>
  <c r="FA37" i="2"/>
  <c r="FJ37" i="2" s="1"/>
  <c r="IR37" i="2"/>
  <c r="J15" i="2"/>
  <c r="C4" i="22" s="1"/>
  <c r="J7" i="2"/>
  <c r="J4" i="2"/>
  <c r="IR25" i="2"/>
  <c r="FH25" i="2"/>
  <c r="FE25" i="2"/>
  <c r="GE25" i="2" s="1"/>
  <c r="GI25" i="2"/>
  <c r="FA25" i="2"/>
  <c r="FJ25" i="2" s="1"/>
  <c r="EY27" i="2"/>
  <c r="E120" i="18" s="1"/>
  <c r="EP33" i="2"/>
  <c r="AP31" i="2"/>
  <c r="AB8" i="2"/>
  <c r="AB5" i="2"/>
  <c r="AB51" i="2" s="1"/>
  <c r="JW37" i="2"/>
  <c r="JS37" i="2"/>
  <c r="HH32" i="2"/>
  <c r="HH33" i="2" s="1"/>
  <c r="HO32" i="2"/>
  <c r="HO33" i="2" s="1"/>
  <c r="HI32" i="2"/>
  <c r="HI33" i="2" s="1"/>
  <c r="HJ32" i="2"/>
  <c r="HJ33" i="2" s="1"/>
  <c r="HK32" i="2"/>
  <c r="HK33" i="2" s="1"/>
  <c r="HL32" i="2"/>
  <c r="HL33" i="2" s="1"/>
  <c r="HN32" i="2"/>
  <c r="HN33" i="2" s="1"/>
  <c r="HM32" i="2"/>
  <c r="HM33" i="2" s="1"/>
  <c r="HG32" i="2"/>
  <c r="HG33" i="2" s="1"/>
  <c r="KF19" i="2"/>
  <c r="FI25" i="2"/>
  <c r="FF25" i="2"/>
  <c r="IH43" i="2"/>
  <c r="BU45" i="2"/>
  <c r="DI25" i="2"/>
  <c r="DP25" i="2"/>
  <c r="IG25" i="2"/>
  <c r="BI27" i="2"/>
  <c r="DL37" i="2"/>
  <c r="DL31" i="2"/>
  <c r="JU25" i="2"/>
  <c r="FQ44" i="2"/>
  <c r="FQ45" i="2" s="1"/>
  <c r="FB44" i="2"/>
  <c r="FB45" i="2" s="1"/>
  <c r="X325" i="18" s="1"/>
  <c r="FS44" i="2"/>
  <c r="FS45" i="2" s="1"/>
  <c r="FU44" i="2"/>
  <c r="FU45" i="2" s="1"/>
  <c r="FW44" i="2"/>
  <c r="FW45" i="2" s="1"/>
  <c r="FT44" i="2"/>
  <c r="FT45" i="2" s="1"/>
  <c r="FV44" i="2"/>
  <c r="FV45" i="2" s="1"/>
  <c r="FR44" i="2"/>
  <c r="FR45" i="2" s="1"/>
  <c r="EZ44" i="2"/>
  <c r="EZ45" i="2" s="1"/>
  <c r="FC44" i="2"/>
  <c r="FC45" i="2" s="1"/>
  <c r="DY19" i="2"/>
  <c r="DF19" i="2"/>
  <c r="JG25" i="2"/>
  <c r="DZ25" i="2"/>
  <c r="DG25" i="2"/>
  <c r="BR15" i="2"/>
  <c r="BR7" i="2"/>
  <c r="KH25" i="2"/>
  <c r="HQ25" i="2"/>
  <c r="HP27" i="2"/>
  <c r="HR25" i="2"/>
  <c r="JV19" i="2"/>
  <c r="DN19" i="2"/>
  <c r="BR5" i="2"/>
  <c r="BR8" i="2"/>
  <c r="E128" i="23"/>
  <c r="AY33" i="2"/>
  <c r="G129" i="23"/>
  <c r="BA39" i="2"/>
  <c r="H127" i="23"/>
  <c r="BB27" i="2"/>
  <c r="II5" i="2"/>
  <c r="II8" i="2"/>
  <c r="DO19" i="2"/>
  <c r="JD19" i="2"/>
  <c r="JR13" i="2"/>
  <c r="GW13" i="2"/>
  <c r="GZ13" i="2" s="1"/>
  <c r="GQ7" i="2"/>
  <c r="GQ4" i="2"/>
  <c r="AL4" i="2"/>
  <c r="AL15" i="2"/>
  <c r="C213" i="22" s="1"/>
  <c r="AL7" i="2"/>
  <c r="EF21" i="2"/>
  <c r="D171" i="15" s="1"/>
  <c r="EE39" i="2"/>
  <c r="G170" i="15" s="1"/>
  <c r="W33" i="2"/>
  <c r="F353" i="22" s="1"/>
  <c r="KW8" i="2"/>
  <c r="KW5" i="2"/>
  <c r="KW51" i="2" s="1"/>
  <c r="IS43" i="2"/>
  <c r="FK43" i="2"/>
  <c r="FD43" i="2"/>
  <c r="FM43" i="2" s="1"/>
  <c r="KE13" i="2"/>
  <c r="HX13" i="2"/>
  <c r="HO7" i="2"/>
  <c r="HO4" i="2"/>
  <c r="W15" i="2"/>
  <c r="C353" i="22" s="1"/>
  <c r="W4" i="2"/>
  <c r="W7" i="2"/>
  <c r="DG13" i="2"/>
  <c r="DZ13" i="2"/>
  <c r="JG13" i="2"/>
  <c r="CZ7" i="2"/>
  <c r="CZ4" i="2"/>
  <c r="IW43" i="2"/>
  <c r="EP8" i="2"/>
  <c r="EP5" i="2"/>
  <c r="EP51" i="2" s="1"/>
  <c r="DT13" i="2"/>
  <c r="CI7" i="2"/>
  <c r="CI4" i="2"/>
  <c r="BA15" i="2"/>
  <c r="G125" i="23"/>
  <c r="BA7" i="2"/>
  <c r="BA4" i="2"/>
  <c r="DH43" i="2"/>
  <c r="EA43" i="2"/>
  <c r="F39" i="7"/>
  <c r="F225" i="22"/>
  <c r="F51" i="8"/>
  <c r="BS15" i="2"/>
  <c r="C4" i="23" s="1"/>
  <c r="BS7" i="2"/>
  <c r="GW37" i="2"/>
  <c r="GZ37" i="2" s="1"/>
  <c r="JR37" i="2"/>
  <c r="HR37" i="2"/>
  <c r="KH37" i="2"/>
  <c r="HQ37" i="2"/>
  <c r="HP39" i="2"/>
  <c r="JU37" i="2"/>
  <c r="IN7" i="2"/>
  <c r="IN15" i="2"/>
  <c r="IN4" i="2"/>
  <c r="F13" i="7"/>
  <c r="F54" i="8"/>
  <c r="F56" i="8" s="1"/>
  <c r="F57" i="8" s="1"/>
  <c r="EJ43" i="2"/>
  <c r="K45" i="2"/>
  <c r="H45" i="22" s="1"/>
  <c r="EE8" i="2"/>
  <c r="EE5" i="2"/>
  <c r="EE51" i="2" s="1"/>
  <c r="H222" i="22"/>
  <c r="H48" i="8"/>
  <c r="H50" i="8" s="1"/>
  <c r="IU37" i="2"/>
  <c r="X39" i="2"/>
  <c r="AM37" i="2"/>
  <c r="G8" i="2"/>
  <c r="G5" i="2"/>
  <c r="G51" i="2" s="1"/>
  <c r="JR25" i="2"/>
  <c r="GW25" i="2"/>
  <c r="HC25" i="2" s="1"/>
  <c r="FL37" i="2"/>
  <c r="JZ31" i="2"/>
  <c r="HS31" i="2"/>
  <c r="IU31" i="2"/>
  <c r="R26" i="2"/>
  <c r="R27" i="2" s="1"/>
  <c r="Q26" i="2"/>
  <c r="Q27" i="2" s="1"/>
  <c r="KB19" i="2"/>
  <c r="HU19" i="2"/>
  <c r="KG37" i="2"/>
  <c r="BU27" i="2"/>
  <c r="IH25" i="2"/>
  <c r="EJ37" i="2"/>
  <c r="K39" i="2"/>
  <c r="G45" i="22" s="1"/>
  <c r="IU19" i="2"/>
  <c r="IW19" i="2"/>
  <c r="IT19" i="2"/>
  <c r="FX19" i="2"/>
  <c r="FL19" i="2"/>
  <c r="DS25" i="2"/>
  <c r="DZ31" i="2"/>
  <c r="JG31" i="2"/>
  <c r="DG31" i="2"/>
  <c r="E225" i="22"/>
  <c r="E51" i="8"/>
  <c r="E39" i="7"/>
  <c r="DY31" i="2"/>
  <c r="DF31" i="2"/>
  <c r="JR19" i="2"/>
  <c r="GW19" i="2"/>
  <c r="HD19" i="2" s="1"/>
  <c r="GP20" i="2"/>
  <c r="GP21" i="2" s="1"/>
  <c r="GS20" i="2"/>
  <c r="GS21" i="2" s="1"/>
  <c r="GN20" i="2"/>
  <c r="GN21" i="2" s="1"/>
  <c r="GQ20" i="2"/>
  <c r="GQ21" i="2" s="1"/>
  <c r="GO20" i="2"/>
  <c r="GO21" i="2" s="1"/>
  <c r="GT20" i="2"/>
  <c r="GT21" i="2" s="1"/>
  <c r="GV20" i="2"/>
  <c r="GV21" i="2" s="1"/>
  <c r="GR20" i="2"/>
  <c r="GR21" i="2" s="1"/>
  <c r="GU20" i="2"/>
  <c r="GU21" i="2" s="1"/>
  <c r="DG43" i="2"/>
  <c r="JG43" i="2"/>
  <c r="DZ43" i="2"/>
  <c r="GU26" i="2"/>
  <c r="GU27" i="2" s="1"/>
  <c r="GS26" i="2"/>
  <c r="GS27" i="2" s="1"/>
  <c r="GN26" i="2"/>
  <c r="GN27" i="2" s="1"/>
  <c r="GV26" i="2"/>
  <c r="GV27" i="2" s="1"/>
  <c r="GT26" i="2"/>
  <c r="GT27" i="2" s="1"/>
  <c r="GQ26" i="2"/>
  <c r="GQ27" i="2" s="1"/>
  <c r="GR26" i="2"/>
  <c r="GR27" i="2" s="1"/>
  <c r="GO26" i="2"/>
  <c r="GO27" i="2" s="1"/>
  <c r="D83" i="7"/>
  <c r="D82" i="20"/>
  <c r="BV15" i="2"/>
  <c r="BV4" i="2"/>
  <c r="BV7" i="2"/>
  <c r="FW20" i="2"/>
  <c r="FW21" i="2" s="1"/>
  <c r="FR20" i="2"/>
  <c r="FR21" i="2" s="1"/>
  <c r="EZ20" i="2"/>
  <c r="EZ21" i="2" s="1"/>
  <c r="FB20" i="2"/>
  <c r="FB21" i="2" s="1"/>
  <c r="D121" i="18" s="1"/>
  <c r="FQ20" i="2"/>
  <c r="FQ21" i="2" s="1"/>
  <c r="FV20" i="2"/>
  <c r="FV21" i="2" s="1"/>
  <c r="FS20" i="2"/>
  <c r="FS21" i="2" s="1"/>
  <c r="FC20" i="2"/>
  <c r="FC21" i="2" s="1"/>
  <c r="FU20" i="2"/>
  <c r="FU21" i="2" s="1"/>
  <c r="FT20" i="2"/>
  <c r="FT21" i="2" s="1"/>
  <c r="HH26" i="2"/>
  <c r="HH27" i="2" s="1"/>
  <c r="HI26" i="2"/>
  <c r="HI27" i="2" s="1"/>
  <c r="HM26" i="2"/>
  <c r="HM27" i="2" s="1"/>
  <c r="HO26" i="2"/>
  <c r="HO27" i="2" s="1"/>
  <c r="HJ26" i="2"/>
  <c r="HJ27" i="2" s="1"/>
  <c r="HL26" i="2"/>
  <c r="HL27" i="2" s="1"/>
  <c r="HG26" i="2"/>
  <c r="HG27" i="2" s="1"/>
  <c r="HN26" i="2"/>
  <c r="HN27" i="2" s="1"/>
  <c r="HK26" i="2"/>
  <c r="HK27" i="2" s="1"/>
  <c r="EX9" i="2"/>
  <c r="G381" i="18" s="1"/>
  <c r="EX6" i="2"/>
  <c r="G382" i="18"/>
  <c r="G126" i="23"/>
  <c r="BA21" i="2"/>
  <c r="BD39" i="2"/>
  <c r="J129" i="23"/>
  <c r="X7" i="2"/>
  <c r="X15" i="2"/>
  <c r="AM13" i="2"/>
  <c r="X4" i="2"/>
  <c r="FK31" i="2"/>
  <c r="IS31" i="2"/>
  <c r="FD31" i="2"/>
  <c r="FM31" i="2" s="1"/>
  <c r="JL15" i="2"/>
  <c r="JL7" i="2"/>
  <c r="JL4" i="2"/>
  <c r="AH8" i="2"/>
  <c r="AH5" i="2"/>
  <c r="AH51" i="2" s="1"/>
  <c r="S45" i="2"/>
  <c r="H279" i="22" s="1"/>
  <c r="KD13" i="2"/>
  <c r="HW13" i="2"/>
  <c r="HN7" i="2"/>
  <c r="HN4" i="2"/>
  <c r="KG13" i="2"/>
  <c r="HH7" i="2"/>
  <c r="HH4" i="2"/>
  <c r="EO39" i="2"/>
  <c r="KK15" i="2"/>
  <c r="KK7" i="2"/>
  <c r="KK4" i="2"/>
  <c r="EQ8" i="2"/>
  <c r="EQ5" i="2"/>
  <c r="EQ51" i="2" s="1"/>
  <c r="EG8" i="2"/>
  <c r="EG5" i="2"/>
  <c r="EG51" i="2" s="1"/>
  <c r="KT15" i="2"/>
  <c r="KT7" i="2"/>
  <c r="KT4" i="2"/>
  <c r="JQ15" i="2"/>
  <c r="JQ7" i="2"/>
  <c r="JQ4" i="2"/>
  <c r="H8" i="2"/>
  <c r="H5" i="2"/>
  <c r="H51" i="2" s="1"/>
  <c r="CJ37" i="2"/>
  <c r="JE37" i="2"/>
  <c r="DK37" i="2"/>
  <c r="HS37" i="2"/>
  <c r="JZ37" i="2"/>
  <c r="DI43" i="2"/>
  <c r="EO8" i="2"/>
  <c r="EO5" i="2"/>
  <c r="EO51" i="2" s="1"/>
  <c r="DI13" i="2"/>
  <c r="DB7" i="2"/>
  <c r="DB4" i="2"/>
  <c r="KT8" i="2"/>
  <c r="KT5" i="2"/>
  <c r="KT51" i="2" s="1"/>
  <c r="DY13" i="2"/>
  <c r="DF13" i="2"/>
  <c r="CY7" i="2"/>
  <c r="CY4" i="2"/>
  <c r="KS15" i="2"/>
  <c r="KS7" i="2"/>
  <c r="KS4" i="2"/>
  <c r="KN15" i="2"/>
  <c r="KN7" i="2"/>
  <c r="KN4" i="2"/>
  <c r="IM8" i="2"/>
  <c r="IM5" i="2"/>
  <c r="IM51" i="2" s="1"/>
  <c r="DV31" i="2"/>
  <c r="DC31" i="2"/>
  <c r="FT7" i="2"/>
  <c r="FT4" i="2"/>
  <c r="I15" i="2"/>
  <c r="I7" i="2"/>
  <c r="I4" i="2"/>
  <c r="IA13" i="2"/>
  <c r="Q7" i="2"/>
  <c r="Q4" i="2"/>
  <c r="JJ54" i="2"/>
  <c r="JJ53" i="2"/>
  <c r="JH15" i="2"/>
  <c r="JH7" i="2"/>
  <c r="JH4" i="2"/>
  <c r="EM8" i="2"/>
  <c r="EM5" i="2"/>
  <c r="EM51" i="2" s="1"/>
  <c r="ED8" i="2"/>
  <c r="ED5" i="2"/>
  <c r="ED51" i="2" s="1"/>
  <c r="IU43" i="2"/>
  <c r="DY37" i="2"/>
  <c r="DF37" i="2"/>
  <c r="AY8" i="2"/>
  <c r="AY5" i="2"/>
  <c r="AY51" i="2" s="1"/>
  <c r="BI39" i="2"/>
  <c r="IG37" i="2"/>
  <c r="EL15" i="2"/>
  <c r="AO13" i="2"/>
  <c r="EL7" i="2"/>
  <c r="EL4" i="2"/>
  <c r="AK8" i="2"/>
  <c r="AK5" i="2"/>
  <c r="AK51" i="2" s="1"/>
  <c r="JO7" i="2"/>
  <c r="JO15" i="2"/>
  <c r="JO4" i="2"/>
  <c r="G82" i="20"/>
  <c r="G83" i="7"/>
  <c r="W8" i="2"/>
  <c r="W5" i="2"/>
  <c r="W51" i="2" s="1"/>
  <c r="DS31" i="2"/>
  <c r="FX37" i="2"/>
  <c r="IT37" i="2"/>
  <c r="FI31" i="2"/>
  <c r="FF31" i="2"/>
  <c r="EP39" i="2"/>
  <c r="AP37" i="2"/>
  <c r="BN8" i="2"/>
  <c r="BN5" i="2"/>
  <c r="BN51" i="2" s="1"/>
  <c r="BG8" i="2"/>
  <c r="BX13" i="2"/>
  <c r="BL13" i="2"/>
  <c r="BJ7" i="2"/>
  <c r="BJ15" i="2"/>
  <c r="BJ4" i="2"/>
  <c r="H38" i="8"/>
  <c r="H40" i="8" s="1"/>
  <c r="H26" i="7"/>
  <c r="HV37" i="2"/>
  <c r="KC37" i="2"/>
  <c r="BN33" i="2"/>
  <c r="BW31" i="2"/>
  <c r="KA37" i="2"/>
  <c r="HT37" i="2"/>
  <c r="DB44" i="2"/>
  <c r="DB45" i="2" s="1"/>
  <c r="BZ44" i="2"/>
  <c r="BZ45" i="2" s="1"/>
  <c r="DK45" i="2" s="1"/>
  <c r="CZ44" i="2"/>
  <c r="CA44" i="2"/>
  <c r="CA45" i="2" s="1"/>
  <c r="CD44" i="2"/>
  <c r="CD45" i="2" s="1"/>
  <c r="DA44" i="2"/>
  <c r="DA45" i="2" s="1"/>
  <c r="CE44" i="2"/>
  <c r="CE45" i="2" s="1"/>
  <c r="CH44" i="2"/>
  <c r="CH45" i="2" s="1"/>
  <c r="CB44" i="2"/>
  <c r="CB45" i="2" s="1"/>
  <c r="CF44" i="2"/>
  <c r="CF45" i="2" s="1"/>
  <c r="DQ45" i="2" s="1"/>
  <c r="CV44" i="2"/>
  <c r="CV45" i="2" s="1"/>
  <c r="CC44" i="2"/>
  <c r="CC45" i="2" s="1"/>
  <c r="DN45" i="2" s="1"/>
  <c r="CG44" i="2"/>
  <c r="CG45" i="2" s="1"/>
  <c r="CW44" i="2"/>
  <c r="CW45" i="2" s="1"/>
  <c r="DW45" i="2" s="1"/>
  <c r="CY44" i="2"/>
  <c r="CY45" i="2" s="1"/>
  <c r="CX44" i="2"/>
  <c r="CX45" i="2" s="1"/>
  <c r="CK44" i="2"/>
  <c r="CI44" i="2"/>
  <c r="CI45" i="2" s="1"/>
  <c r="DT45" i="2" s="1"/>
  <c r="CB26" i="2"/>
  <c r="CB27" i="2" s="1"/>
  <c r="CH26" i="2"/>
  <c r="CH27" i="2" s="1"/>
  <c r="CD26" i="2"/>
  <c r="CD27" i="2" s="1"/>
  <c r="DO27" i="2" s="1"/>
  <c r="CZ26" i="2"/>
  <c r="CZ27" i="2" s="1"/>
  <c r="CX26" i="2"/>
  <c r="CX27" i="2" s="1"/>
  <c r="CE26" i="2"/>
  <c r="CE27" i="2" s="1"/>
  <c r="DP27" i="2" s="1"/>
  <c r="CG26" i="2"/>
  <c r="CG27" i="2" s="1"/>
  <c r="DR27" i="2" s="1"/>
  <c r="CA26" i="2"/>
  <c r="CA27" i="2" s="1"/>
  <c r="CY26" i="2"/>
  <c r="CY27" i="2" s="1"/>
  <c r="DB26" i="2"/>
  <c r="DB27" i="2" s="1"/>
  <c r="CK26" i="2"/>
  <c r="CF26" i="2"/>
  <c r="CF27" i="2" s="1"/>
  <c r="CW26" i="2"/>
  <c r="CI26" i="2"/>
  <c r="CI27" i="2" s="1"/>
  <c r="BZ26" i="2"/>
  <c r="BZ27" i="2" s="1"/>
  <c r="DK27" i="2" s="1"/>
  <c r="CV26" i="2"/>
  <c r="CV27" i="2" s="1"/>
  <c r="DV27" i="2" s="1"/>
  <c r="DA26" i="2"/>
  <c r="DA27" i="2" s="1"/>
  <c r="CC26" i="2"/>
  <c r="CC27" i="2" s="1"/>
  <c r="R44" i="2"/>
  <c r="R45" i="2" s="1"/>
  <c r="Q44" i="2"/>
  <c r="Q45" i="2" s="1"/>
  <c r="GR32" i="2"/>
  <c r="GR33" i="2" s="1"/>
  <c r="GT32" i="2"/>
  <c r="GT33" i="2" s="1"/>
  <c r="GU32" i="2"/>
  <c r="GU33" i="2" s="1"/>
  <c r="GP32" i="2"/>
  <c r="GP33" i="2" s="1"/>
  <c r="GN32" i="2"/>
  <c r="GN33" i="2" s="1"/>
  <c r="GQ32" i="2"/>
  <c r="GQ33" i="2" s="1"/>
  <c r="GS32" i="2"/>
  <c r="GS33" i="2" s="1"/>
  <c r="GV32" i="2"/>
  <c r="GV33" i="2" s="1"/>
  <c r="GO32" i="2"/>
  <c r="GO33" i="2" s="1"/>
  <c r="EL27" i="2"/>
  <c r="AO25" i="2"/>
  <c r="FL25" i="2"/>
  <c r="JU19" i="2"/>
  <c r="DW31" i="2"/>
  <c r="DD31" i="2"/>
  <c r="D38" i="8"/>
  <c r="D40" i="8" s="1"/>
  <c r="D26" i="7"/>
  <c r="JS31" i="2"/>
  <c r="HI38" i="2"/>
  <c r="HI39" i="2" s="1"/>
  <c r="HN38" i="2"/>
  <c r="HN39" i="2" s="1"/>
  <c r="HO38" i="2"/>
  <c r="HO39" i="2" s="1"/>
  <c r="HJ38" i="2"/>
  <c r="HJ39" i="2" s="1"/>
  <c r="HK38" i="2"/>
  <c r="HK39" i="2" s="1"/>
  <c r="HH38" i="2"/>
  <c r="HH39" i="2" s="1"/>
  <c r="HL38" i="2"/>
  <c r="HL39" i="2" s="1"/>
  <c r="HG38" i="2"/>
  <c r="HG39" i="2" s="1"/>
  <c r="HM38" i="2"/>
  <c r="HM39" i="2" s="1"/>
  <c r="DL19" i="2"/>
  <c r="AO19" i="2"/>
  <c r="EL21" i="2"/>
  <c r="CC32" i="2"/>
  <c r="CC33" i="2" s="1"/>
  <c r="CI32" i="2"/>
  <c r="CI33" i="2" s="1"/>
  <c r="CZ32" i="2"/>
  <c r="CZ33" i="2" s="1"/>
  <c r="CK32" i="2"/>
  <c r="CW32" i="2"/>
  <c r="CW33" i="2" s="1"/>
  <c r="DW33" i="2" s="1"/>
  <c r="BZ32" i="2"/>
  <c r="BZ33" i="2" s="1"/>
  <c r="DK33" i="2" s="1"/>
  <c r="DA32" i="2"/>
  <c r="DA33" i="2" s="1"/>
  <c r="CV32" i="2"/>
  <c r="CV33" i="2" s="1"/>
  <c r="CE32" i="2"/>
  <c r="CE33" i="2" s="1"/>
  <c r="DP33" i="2" s="1"/>
  <c r="CB32" i="2"/>
  <c r="CB33" i="2" s="1"/>
  <c r="CH32" i="2"/>
  <c r="CH33" i="2" s="1"/>
  <c r="DB32" i="2"/>
  <c r="DB33" i="2" s="1"/>
  <c r="CD32" i="2"/>
  <c r="CD33" i="2" s="1"/>
  <c r="DO33" i="2" s="1"/>
  <c r="CA32" i="2"/>
  <c r="CA33" i="2" s="1"/>
  <c r="DL33" i="2" s="1"/>
  <c r="CF32" i="2"/>
  <c r="CF33" i="2" s="1"/>
  <c r="DQ33" i="2" s="1"/>
  <c r="CY32" i="2"/>
  <c r="CY33" i="2" s="1"/>
  <c r="CX32" i="2"/>
  <c r="CX33" i="2" s="1"/>
  <c r="CG32" i="2"/>
  <c r="CG33" i="2" s="1"/>
  <c r="DB20" i="2"/>
  <c r="DB21" i="2" s="1"/>
  <c r="CA20" i="2"/>
  <c r="CA21" i="2" s="1"/>
  <c r="CG20" i="2"/>
  <c r="CG21" i="2" s="1"/>
  <c r="DR21" i="2" s="1"/>
  <c r="CI20" i="2"/>
  <c r="CI21" i="2" s="1"/>
  <c r="DT21" i="2" s="1"/>
  <c r="CY20" i="2"/>
  <c r="CY21" i="2" s="1"/>
  <c r="CC20" i="2"/>
  <c r="CC21" i="2" s="1"/>
  <c r="CZ20" i="2"/>
  <c r="CZ21" i="2" s="1"/>
  <c r="DZ21" i="2" s="1"/>
  <c r="CH20" i="2"/>
  <c r="CH21" i="2" s="1"/>
  <c r="BZ20" i="2"/>
  <c r="BZ21" i="2" s="1"/>
  <c r="CB20" i="2"/>
  <c r="CB21" i="2" s="1"/>
  <c r="DM21" i="2" s="1"/>
  <c r="CX20" i="2"/>
  <c r="CX21" i="2" s="1"/>
  <c r="DX21" i="2" s="1"/>
  <c r="CW20" i="2"/>
  <c r="CW21" i="2" s="1"/>
  <c r="DW21" i="2" s="1"/>
  <c r="CD20" i="2"/>
  <c r="CD21" i="2" s="1"/>
  <c r="CV20" i="2"/>
  <c r="CV21" i="2" s="1"/>
  <c r="DA20" i="2"/>
  <c r="DA21" i="2" s="1"/>
  <c r="EA21" i="2" s="1"/>
  <c r="CK20" i="2"/>
  <c r="CF20" i="2"/>
  <c r="CE20" i="2"/>
  <c r="CE21" i="2" s="1"/>
  <c r="C420" i="18"/>
  <c r="EU4" i="2"/>
  <c r="EU7" i="2"/>
  <c r="C419" i="18" s="1"/>
  <c r="IJ5" i="2"/>
  <c r="IJ8" i="2"/>
  <c r="DQ19" i="2"/>
  <c r="C129" i="23"/>
  <c r="AX39" i="2"/>
  <c r="D129" i="23" s="1"/>
  <c r="L129" i="23" s="1"/>
  <c r="JJ26" i="2"/>
  <c r="JJ8" i="2" s="1"/>
  <c r="EU9" i="2"/>
  <c r="E419" i="18" s="1"/>
  <c r="EU6" i="2"/>
  <c r="E420" i="18"/>
  <c r="C128" i="23"/>
  <c r="AX33" i="2"/>
  <c r="D128" i="23" s="1"/>
  <c r="L128" i="23" s="1"/>
  <c r="BC21" i="2"/>
  <c r="I126" i="23"/>
  <c r="BA27" i="2"/>
  <c r="G127" i="23"/>
  <c r="C127" i="23"/>
  <c r="AX27" i="2"/>
  <c r="D127" i="23" s="1"/>
  <c r="L127" i="23" s="1"/>
  <c r="BB21" i="2"/>
  <c r="H126" i="23"/>
  <c r="BC27" i="2"/>
  <c r="I127" i="23"/>
  <c r="F128" i="23"/>
  <c r="AZ33" i="2"/>
  <c r="G422" i="18"/>
  <c r="I129" i="23"/>
  <c r="BC39" i="2"/>
  <c r="G128" i="23"/>
  <c r="BA33" i="2"/>
  <c r="F15" i="2"/>
  <c r="F7" i="2"/>
  <c r="F4" i="2"/>
  <c r="F50" i="2" s="1"/>
  <c r="AL39" i="2"/>
  <c r="G213" i="22" s="1"/>
  <c r="KQ8" i="2"/>
  <c r="KQ5" i="2"/>
  <c r="KQ51" i="2" s="1"/>
  <c r="EM45" i="2"/>
  <c r="R14" i="2"/>
  <c r="R15" i="2" s="1"/>
  <c r="S8" i="2"/>
  <c r="Q14" i="2"/>
  <c r="Q15" i="2" s="1"/>
  <c r="S5" i="2"/>
  <c r="BP15" i="2"/>
  <c r="C38" i="23" s="1"/>
  <c r="BP7" i="2"/>
  <c r="BP4" i="2"/>
  <c r="W21" i="2"/>
  <c r="D353" i="22" s="1"/>
  <c r="AB15" i="2"/>
  <c r="AB7" i="2"/>
  <c r="AB4" i="2"/>
  <c r="AK45" i="2"/>
  <c r="H216" i="22" s="1"/>
  <c r="KC13" i="2"/>
  <c r="HV13" i="2"/>
  <c r="HM7" i="2"/>
  <c r="HM4" i="2"/>
  <c r="D232" i="8"/>
  <c r="D49" i="18"/>
  <c r="R7" i="2"/>
  <c r="R4" i="2"/>
  <c r="E125" i="23"/>
  <c r="AY15" i="2"/>
  <c r="AY7" i="2"/>
  <c r="AY4" i="2"/>
  <c r="FS14" i="2"/>
  <c r="FS15" i="2" s="1"/>
  <c r="EZ14" i="2"/>
  <c r="EZ15" i="2" s="1"/>
  <c r="FT14" i="2"/>
  <c r="FT15" i="2" s="1"/>
  <c r="FU14" i="2"/>
  <c r="FU15" i="2" s="1"/>
  <c r="FV14" i="2"/>
  <c r="FV15" i="2" s="1"/>
  <c r="FW14" i="2"/>
  <c r="FW15" i="2" s="1"/>
  <c r="FB14" i="2"/>
  <c r="FB15" i="2" s="1"/>
  <c r="EY8" i="2"/>
  <c r="FR14" i="2"/>
  <c r="FR15" i="2" s="1"/>
  <c r="FC14" i="2"/>
  <c r="FC15" i="2" s="1"/>
  <c r="FQ14" i="2"/>
  <c r="FQ15" i="2" s="1"/>
  <c r="EY5" i="2"/>
  <c r="EG15" i="2"/>
  <c r="C172" i="15" s="1"/>
  <c r="EG4" i="2"/>
  <c r="EG7" i="2"/>
  <c r="JM15" i="2"/>
  <c r="JM7" i="2"/>
  <c r="JM4" i="2"/>
  <c r="KV8" i="2"/>
  <c r="KV5" i="2"/>
  <c r="KV51" i="2" s="1"/>
  <c r="KQ15" i="2"/>
  <c r="KQ7" i="2"/>
  <c r="KQ4" i="2"/>
  <c r="KM8" i="2"/>
  <c r="KM5" i="2"/>
  <c r="KM51" i="2" s="1"/>
  <c r="AA15" i="2"/>
  <c r="AA7" i="2"/>
  <c r="AA4" i="2"/>
  <c r="KS8" i="2"/>
  <c r="KS5" i="2"/>
  <c r="KS51" i="2" s="1"/>
  <c r="KI15" i="2"/>
  <c r="KI7" i="2"/>
  <c r="KI4" i="2"/>
  <c r="KO15" i="2"/>
  <c r="KO7" i="2"/>
  <c r="KO4" i="2"/>
  <c r="EQ15" i="2"/>
  <c r="EQ7" i="2"/>
  <c r="EQ4" i="2"/>
  <c r="IC15" i="2"/>
  <c r="C138" i="22" s="1"/>
  <c r="IC7" i="2"/>
  <c r="IC4" i="2"/>
  <c r="GJ8" i="2"/>
  <c r="GJ5" i="2"/>
  <c r="GJ51" i="2" s="1"/>
  <c r="AZ15" i="2"/>
  <c r="F125" i="23"/>
  <c r="AZ7" i="2"/>
  <c r="AZ4" i="2"/>
  <c r="DN37" i="2"/>
  <c r="BI45" i="2"/>
  <c r="IG43" i="2"/>
  <c r="BY19" i="2"/>
  <c r="BH21" i="2"/>
  <c r="EH15" i="2"/>
  <c r="EH7" i="2"/>
  <c r="EH4" i="2"/>
  <c r="JI54" i="2"/>
  <c r="JI53" i="2"/>
  <c r="FX31" i="2"/>
  <c r="IT31" i="2"/>
  <c r="DQ31" i="2"/>
  <c r="IA43" i="2"/>
  <c r="G76" i="18"/>
  <c r="G59" i="7"/>
  <c r="G172" i="8"/>
  <c r="G174" i="8" s="1"/>
  <c r="KD31" i="2"/>
  <c r="HW31" i="2"/>
  <c r="KK8" i="2"/>
  <c r="KK5" i="2"/>
  <c r="KK51" i="2" s="1"/>
  <c r="FF37" i="2"/>
  <c r="FI37" i="2"/>
  <c r="IL8" i="2"/>
  <c r="IL5" i="2"/>
  <c r="IL51" i="2" s="1"/>
  <c r="DE25" i="2"/>
  <c r="DX25" i="2"/>
  <c r="EL33" i="2"/>
  <c r="AO31" i="2"/>
  <c r="JI25" i="2"/>
  <c r="JI27" i="2" s="1"/>
  <c r="E35" i="20" s="1"/>
  <c r="KE25" i="2"/>
  <c r="HX25" i="2"/>
  <c r="IH37" i="2"/>
  <c r="BU39" i="2"/>
  <c r="BB45" i="2"/>
  <c r="H130" i="23"/>
  <c r="BX31" i="2"/>
  <c r="BL31" i="2"/>
  <c r="BJ33" i="2"/>
  <c r="D233" i="8"/>
  <c r="D50" i="18"/>
  <c r="KG25" i="2"/>
  <c r="JV31" i="2"/>
  <c r="JW25" i="2"/>
  <c r="KA19" i="2"/>
  <c r="HT19" i="2"/>
  <c r="DA38" i="2"/>
  <c r="DA39" i="2" s="1"/>
  <c r="CX38" i="2"/>
  <c r="CX39" i="2" s="1"/>
  <c r="CD38" i="2"/>
  <c r="CY38" i="2"/>
  <c r="CY39" i="2" s="1"/>
  <c r="CK38" i="2"/>
  <c r="CA38" i="2"/>
  <c r="CA39" i="2" s="1"/>
  <c r="DL39" i="2" s="1"/>
  <c r="CC38" i="2"/>
  <c r="CC39" i="2" s="1"/>
  <c r="CW38" i="2"/>
  <c r="CW39" i="2" s="1"/>
  <c r="CH38" i="2"/>
  <c r="CH39" i="2" s="1"/>
  <c r="CF38" i="2"/>
  <c r="CF39" i="2" s="1"/>
  <c r="CZ38" i="2"/>
  <c r="CZ39" i="2" s="1"/>
  <c r="CE38" i="2"/>
  <c r="CE39" i="2" s="1"/>
  <c r="DB38" i="2"/>
  <c r="DB39" i="2" s="1"/>
  <c r="CV38" i="2"/>
  <c r="CV39" i="2" s="1"/>
  <c r="DV39" i="2" s="1"/>
  <c r="CI38" i="2"/>
  <c r="CI39" i="2" s="1"/>
  <c r="CB38" i="2"/>
  <c r="CB39" i="2" s="1"/>
  <c r="BZ38" i="2"/>
  <c r="BZ39" i="2" s="1"/>
  <c r="CG38" i="2"/>
  <c r="CG39" i="2" s="1"/>
  <c r="K21" i="2"/>
  <c r="D45" i="22" s="1"/>
  <c r="EJ19" i="2"/>
  <c r="FW32" i="2"/>
  <c r="FW33" i="2" s="1"/>
  <c r="FQ32" i="2"/>
  <c r="FQ33" i="2" s="1"/>
  <c r="FV32" i="2"/>
  <c r="FV33" i="2" s="1"/>
  <c r="FC32" i="2"/>
  <c r="FC33" i="2" s="1"/>
  <c r="FR32" i="2"/>
  <c r="FR33" i="2" s="1"/>
  <c r="FU32" i="2"/>
  <c r="FU33" i="2" s="1"/>
  <c r="FB32" i="2"/>
  <c r="FB33" i="2" s="1"/>
  <c r="F121" i="18" s="1"/>
  <c r="FS32" i="2"/>
  <c r="FS33" i="2" s="1"/>
  <c r="FT32" i="2"/>
  <c r="FT33" i="2" s="1"/>
  <c r="EZ32" i="2"/>
  <c r="EZ33" i="2" s="1"/>
  <c r="IJ4" i="2"/>
  <c r="IJ15" i="2"/>
  <c r="C42" i="23" s="1"/>
  <c r="IJ7" i="2"/>
  <c r="DM25" i="2"/>
  <c r="DI19" i="2"/>
  <c r="HQ19" i="2"/>
  <c r="HR19" i="2"/>
  <c r="HP21" i="2"/>
  <c r="KH19" i="2"/>
  <c r="F127" i="23"/>
  <c r="AZ27" i="2"/>
  <c r="J126" i="23"/>
  <c r="BD21" i="2"/>
  <c r="BD27" i="2"/>
  <c r="J127" i="23"/>
  <c r="AY39" i="2"/>
  <c r="E129" i="23"/>
  <c r="H423" i="18"/>
  <c r="F422" i="18"/>
  <c r="F424" i="18"/>
  <c r="E126" i="23"/>
  <c r="AY21" i="2"/>
  <c r="F126" i="23"/>
  <c r="AZ21" i="2"/>
  <c r="DL13" i="2"/>
  <c r="CA7" i="2"/>
  <c r="CA4" i="2"/>
  <c r="BY13" i="2"/>
  <c r="BH15" i="2"/>
  <c r="BH7" i="2"/>
  <c r="BH4" i="2"/>
  <c r="KA13" i="2"/>
  <c r="HT13" i="2"/>
  <c r="HK7" i="2"/>
  <c r="HK4" i="2"/>
  <c r="BU8" i="2"/>
  <c r="BU5" i="2"/>
  <c r="BU51" i="2" s="1"/>
  <c r="KU15" i="2"/>
  <c r="KU7" i="2"/>
  <c r="KU4" i="2"/>
  <c r="FI13" i="2"/>
  <c r="FF13" i="2"/>
  <c r="EZ7" i="2"/>
  <c r="EZ4" i="2"/>
  <c r="AK15" i="2"/>
  <c r="C216" i="22" s="1"/>
  <c r="HN14" i="2"/>
  <c r="HN15" i="2" s="1"/>
  <c r="HP8" i="2"/>
  <c r="HG14" i="2"/>
  <c r="HG15" i="2" s="1"/>
  <c r="HJ14" i="2"/>
  <c r="HJ15" i="2" s="1"/>
  <c r="HM14" i="2"/>
  <c r="HM15" i="2" s="1"/>
  <c r="HL14" i="2"/>
  <c r="HL15" i="2" s="1"/>
  <c r="HH14" i="2"/>
  <c r="HH15" i="2" s="1"/>
  <c r="HI14" i="2"/>
  <c r="HI15" i="2" s="1"/>
  <c r="HK14" i="2"/>
  <c r="HK15" i="2" s="1"/>
  <c r="HO14" i="2"/>
  <c r="HO15" i="2" s="1"/>
  <c r="HP5" i="2"/>
  <c r="DO37" i="2"/>
  <c r="JD37" i="2"/>
  <c r="DC43" i="2"/>
  <c r="DV43" i="2"/>
  <c r="GP7" i="2"/>
  <c r="JL8" i="2"/>
  <c r="JL5" i="2"/>
  <c r="JL51" i="2" s="1"/>
  <c r="CC7" i="2"/>
  <c r="DN13" i="2"/>
  <c r="CC4" i="2"/>
  <c r="DC13" i="2"/>
  <c r="DV13" i="2"/>
  <c r="CV4" i="2"/>
  <c r="CV7" i="2"/>
  <c r="EV15" i="2"/>
  <c r="EV7" i="2"/>
  <c r="EV4" i="2"/>
  <c r="DS37" i="2"/>
  <c r="KR8" i="2"/>
  <c r="KR5" i="2"/>
  <c r="KR51" i="2" s="1"/>
  <c r="IK8" i="2"/>
  <c r="IK5" i="2"/>
  <c r="IK51" i="2" s="1"/>
  <c r="GV14" i="2"/>
  <c r="GV15" i="2" s="1"/>
  <c r="GU14" i="2"/>
  <c r="GU15" i="2" s="1"/>
  <c r="GP14" i="2"/>
  <c r="GP15" i="2" s="1"/>
  <c r="GO14" i="2"/>
  <c r="GO15" i="2" s="1"/>
  <c r="GW8" i="2"/>
  <c r="GN14" i="2"/>
  <c r="GN15" i="2" s="1"/>
  <c r="GS14" i="2"/>
  <c r="GS15" i="2" s="1"/>
  <c r="GR14" i="2"/>
  <c r="GR15" i="2" s="1"/>
  <c r="GT14" i="2"/>
  <c r="GT15" i="2" s="1"/>
  <c r="GQ14" i="2"/>
  <c r="GQ15" i="2" s="1"/>
  <c r="GW5" i="2"/>
  <c r="JD43" i="2"/>
  <c r="DO43" i="2"/>
  <c r="DD13" i="2"/>
  <c r="DW13" i="2"/>
  <c r="CW7" i="2"/>
  <c r="CW4" i="2"/>
  <c r="FI43" i="2"/>
  <c r="FF43" i="2"/>
  <c r="EW15" i="2"/>
  <c r="C356" i="18" s="1"/>
  <c r="EW7" i="2"/>
  <c r="EW4" i="2"/>
  <c r="AI7" i="2"/>
  <c r="AI4" i="2"/>
  <c r="FK37" i="2"/>
  <c r="IS37" i="2"/>
  <c r="FD37" i="2"/>
  <c r="FM37" i="2" s="1"/>
  <c r="BA8" i="2"/>
  <c r="BA5" i="2"/>
  <c r="BA51" i="2" s="1"/>
  <c r="IW31" i="2"/>
  <c r="IK15" i="2"/>
  <c r="C196" i="8" s="1"/>
  <c r="IK7" i="2"/>
  <c r="IK4" i="2"/>
  <c r="BM15" i="2"/>
  <c r="C209" i="23" s="1"/>
  <c r="BM7" i="2"/>
  <c r="BM4" i="2"/>
  <c r="IE8" i="2"/>
  <c r="IE5" i="2"/>
  <c r="IE51" i="2" s="1"/>
  <c r="DR13" i="2"/>
  <c r="CG7" i="2"/>
  <c r="CG4" i="2"/>
  <c r="AF15" i="2"/>
  <c r="C230" i="22" s="1"/>
  <c r="AF7" i="2"/>
  <c r="AF4" i="2"/>
  <c r="JJ15" i="2"/>
  <c r="C36" i="20" s="1"/>
  <c r="DO13" i="2"/>
  <c r="JD13" i="2"/>
  <c r="CD7" i="2"/>
  <c r="CD4" i="2"/>
  <c r="DH13" i="2"/>
  <c r="EA13" i="2"/>
  <c r="DA7" i="2"/>
  <c r="DA4" i="2"/>
  <c r="F49" i="18"/>
  <c r="F232" i="8"/>
  <c r="DT25" i="2"/>
  <c r="GJ15" i="2"/>
  <c r="GJ7" i="2"/>
  <c r="GJ4" i="2"/>
  <c r="BX43" i="2"/>
  <c r="BL43" i="2"/>
  <c r="BJ45" i="2"/>
  <c r="H54" i="8"/>
  <c r="H56" i="8" s="1"/>
  <c r="H57" i="8" s="1"/>
  <c r="H13" i="7"/>
  <c r="BF8" i="2"/>
  <c r="BF5" i="2"/>
  <c r="BF51" i="2" s="1"/>
  <c r="DR43" i="2"/>
  <c r="AX8" i="2"/>
  <c r="AX5" i="2"/>
  <c r="AX51" i="2" s="1"/>
  <c r="DD43" i="2"/>
  <c r="DW43" i="2"/>
  <c r="KD37" i="2"/>
  <c r="HW37" i="2"/>
  <c r="HR31" i="2"/>
  <c r="HQ31" i="2"/>
  <c r="KH31" i="2"/>
  <c r="HP33" i="2"/>
  <c r="E23" i="8"/>
  <c r="E11" i="7"/>
  <c r="DS43" i="2"/>
  <c r="DM31" i="2"/>
  <c r="DD37" i="2"/>
  <c r="DW37" i="2"/>
  <c r="HU37" i="2"/>
  <c r="KB37" i="2"/>
  <c r="R38" i="2"/>
  <c r="R39" i="2" s="1"/>
  <c r="Q38" i="2"/>
  <c r="Q39" i="2" s="1"/>
  <c r="DQ43" i="2"/>
  <c r="AM19" i="2"/>
  <c r="X21" i="2"/>
  <c r="AO43" i="2"/>
  <c r="EL45" i="2"/>
  <c r="EL39" i="2"/>
  <c r="AO37" i="2"/>
  <c r="BH39" i="2"/>
  <c r="BY37" i="2"/>
  <c r="BU33" i="2"/>
  <c r="IH31" i="2"/>
  <c r="EZ26" i="2"/>
  <c r="EZ27" i="2" s="1"/>
  <c r="FU26" i="2"/>
  <c r="FU27" i="2" s="1"/>
  <c r="FQ26" i="2"/>
  <c r="FQ27" i="2" s="1"/>
  <c r="FW26" i="2"/>
  <c r="FW27" i="2" s="1"/>
  <c r="FR26" i="2"/>
  <c r="FR27" i="2" s="1"/>
  <c r="FS26" i="2"/>
  <c r="FS27" i="2" s="1"/>
  <c r="FT26" i="2"/>
  <c r="FT27" i="2" s="1"/>
  <c r="FV26" i="2"/>
  <c r="FV27" i="2" s="1"/>
  <c r="FB26" i="2"/>
  <c r="FB27" i="2" s="1"/>
  <c r="FC26" i="2"/>
  <c r="FC27" i="2" s="1"/>
  <c r="GN38" i="2"/>
  <c r="GN39" i="2" s="1"/>
  <c r="GP38" i="2"/>
  <c r="GP39" i="2" s="1"/>
  <c r="GS38" i="2"/>
  <c r="GS39" i="2" s="1"/>
  <c r="GQ38" i="2"/>
  <c r="GQ39" i="2" s="1"/>
  <c r="GV38" i="2"/>
  <c r="GV39" i="2" s="1"/>
  <c r="GT38" i="2"/>
  <c r="GT39" i="2" s="1"/>
  <c r="GU38" i="2"/>
  <c r="GU39" i="2" s="1"/>
  <c r="GO38" i="2"/>
  <c r="GO39" i="2" s="1"/>
  <c r="GR38" i="2"/>
  <c r="GR39" i="2" s="1"/>
  <c r="FK19" i="2"/>
  <c r="IS19" i="2"/>
  <c r="FD19" i="2"/>
  <c r="FM19" i="2" s="1"/>
  <c r="HS25" i="2"/>
  <c r="JZ25" i="2"/>
  <c r="IW25" i="2"/>
  <c r="DM19" i="2"/>
  <c r="BD8" i="2"/>
  <c r="BD5" i="2"/>
  <c r="BD51" i="2" s="1"/>
  <c r="DN25" i="2"/>
  <c r="E235" i="8"/>
  <c r="E52" i="18"/>
  <c r="IA37" i="2"/>
  <c r="DR25" i="2"/>
  <c r="DD19" i="2"/>
  <c r="DW19" i="2"/>
  <c r="R32" i="2"/>
  <c r="R33" i="2" s="1"/>
  <c r="Q32" i="2"/>
  <c r="Q33" i="2" s="1"/>
  <c r="IA25" i="2"/>
  <c r="BW25" i="2"/>
  <c r="BN27" i="2"/>
  <c r="D357" i="18"/>
  <c r="HW19" i="2"/>
  <c r="KD19" i="2"/>
  <c r="HV19" i="2"/>
  <c r="KC19" i="2"/>
  <c r="JW19" i="2"/>
  <c r="JT19" i="2"/>
  <c r="AP19" i="2"/>
  <c r="EP21" i="2"/>
  <c r="DP19" i="2"/>
  <c r="AZ45" i="2"/>
  <c r="F130" i="23"/>
  <c r="AZ39" i="2"/>
  <c r="F129" i="23"/>
  <c r="G424" i="18"/>
  <c r="AY27" i="2"/>
  <c r="E127" i="23"/>
  <c r="F382" i="18"/>
  <c r="EX5" i="2"/>
  <c r="EX8" i="2"/>
  <c r="F381" i="18" s="1"/>
  <c r="G421" i="18"/>
  <c r="AF8" i="2"/>
  <c r="AF5" i="2"/>
  <c r="AF51" i="2" s="1"/>
  <c r="FV7" i="2"/>
  <c r="FV4" i="2"/>
  <c r="DT37" i="2"/>
  <c r="GL45" i="2"/>
  <c r="AK33" i="2"/>
  <c r="F216" i="22" s="1"/>
  <c r="GI13" i="2"/>
  <c r="FH13" i="2"/>
  <c r="FA13" i="2"/>
  <c r="FJ13" i="2" s="1"/>
  <c r="EY7" i="2"/>
  <c r="IR13" i="2"/>
  <c r="FE13" i="2"/>
  <c r="GB13" i="2" s="1"/>
  <c r="EY15" i="2"/>
  <c r="EY4" i="2"/>
  <c r="AK4" i="2"/>
  <c r="JH45" i="2"/>
  <c r="JE13" i="2"/>
  <c r="CJ13" i="2"/>
  <c r="CL13" i="2" s="1"/>
  <c r="DK13" i="2"/>
  <c r="BZ7" i="2"/>
  <c r="BZ4" i="2"/>
  <c r="DO31" i="2"/>
  <c r="JD31" i="2"/>
  <c r="JS13" i="2"/>
  <c r="GR7" i="2"/>
  <c r="GR4" i="2"/>
  <c r="JP8" i="2"/>
  <c r="JP5" i="2"/>
  <c r="JP51" i="2" s="1"/>
  <c r="KB13" i="2"/>
  <c r="HU13" i="2"/>
  <c r="HL7" i="2"/>
  <c r="HL4" i="2"/>
  <c r="DO25" i="2"/>
  <c r="JD25" i="2"/>
  <c r="BF15" i="2"/>
  <c r="C203" i="23" s="1"/>
  <c r="BF7" i="2"/>
  <c r="BF4" i="2"/>
  <c r="X8" i="2"/>
  <c r="X5" i="2"/>
  <c r="X51" i="2" s="1"/>
  <c r="HG7" i="2"/>
  <c r="HG4" i="2"/>
  <c r="DC37" i="2"/>
  <c r="DV37" i="2"/>
  <c r="DS13" i="2"/>
  <c r="CH7" i="2"/>
  <c r="CH4" i="2"/>
  <c r="JY15" i="2"/>
  <c r="JY7" i="2"/>
  <c r="JY4" i="2"/>
  <c r="JY50" i="2" s="1"/>
  <c r="DX19" i="2"/>
  <c r="DE19" i="2"/>
  <c r="JE25" i="2"/>
  <c r="CJ25" i="2"/>
  <c r="DK25" i="2"/>
  <c r="FK13" i="2"/>
  <c r="FB7" i="2"/>
  <c r="FD13" i="2"/>
  <c r="FM13" i="2" s="1"/>
  <c r="IS13" i="2"/>
  <c r="FB4" i="2"/>
  <c r="ER15" i="2"/>
  <c r="C83" i="18" s="1"/>
  <c r="ER7" i="2"/>
  <c r="ER4" i="2"/>
  <c r="EF15" i="2"/>
  <c r="C171" i="15" s="1"/>
  <c r="EF4" i="2"/>
  <c r="EF7" i="2"/>
  <c r="JQ8" i="2"/>
  <c r="JQ5" i="2"/>
  <c r="JQ51" i="2" s="1"/>
  <c r="JW13" i="2"/>
  <c r="GV7" i="2"/>
  <c r="GV4" i="2"/>
  <c r="KU8" i="2"/>
  <c r="KU5" i="2"/>
  <c r="KU51" i="2" s="1"/>
  <c r="C125" i="23"/>
  <c r="AX7" i="2"/>
  <c r="AX15" i="2"/>
  <c r="D125" i="23" s="1"/>
  <c r="L125" i="23" s="1"/>
  <c r="AX4" i="2"/>
  <c r="BT15" i="2"/>
  <c r="C45" i="23" s="1"/>
  <c r="BT7" i="2"/>
  <c r="BT4" i="2"/>
  <c r="BH8" i="2"/>
  <c r="BH5" i="2"/>
  <c r="BH51" i="2" s="1"/>
  <c r="AI8" i="2"/>
  <c r="AI5" i="2"/>
  <c r="AI51" i="2" s="1"/>
  <c r="BW37" i="2"/>
  <c r="BN39" i="2"/>
  <c r="DT43" i="2"/>
  <c r="DT31" i="2"/>
  <c r="KF37" i="2"/>
  <c r="KF31" i="2"/>
  <c r="KR15" i="2"/>
  <c r="KR7" i="2"/>
  <c r="KR4" i="2"/>
  <c r="K8" i="2"/>
  <c r="K5" i="2"/>
  <c r="K51" i="2" s="1"/>
  <c r="JY8" i="2"/>
  <c r="JY5" i="2"/>
  <c r="JY51" i="2" s="1"/>
  <c r="BG15" i="2"/>
  <c r="BG7" i="2"/>
  <c r="BG4" i="2"/>
  <c r="EJ13" i="2"/>
  <c r="K15" i="2"/>
  <c r="C45" i="22" s="1"/>
  <c r="K7" i="2"/>
  <c r="K4" i="2"/>
  <c r="AM43" i="2"/>
  <c r="X45" i="2"/>
  <c r="DE13" i="2"/>
  <c r="DX13" i="2"/>
  <c r="CX7" i="2"/>
  <c r="CX4" i="2"/>
  <c r="FL31" i="2"/>
  <c r="BB8" i="2"/>
  <c r="BB5" i="2"/>
  <c r="BB51" i="2" s="1"/>
  <c r="FL13" i="2"/>
  <c r="FC7" i="2"/>
  <c r="FC4" i="2"/>
  <c r="JK15" i="2"/>
  <c r="JK7" i="2"/>
  <c r="JK4" i="2"/>
  <c r="AZ8" i="2"/>
  <c r="AZ5" i="2"/>
  <c r="AZ51" i="2" s="1"/>
  <c r="JP15" i="2"/>
  <c r="JP7" i="2"/>
  <c r="JP4" i="2"/>
  <c r="FK25" i="2"/>
  <c r="IS25" i="2"/>
  <c r="FD25" i="2"/>
  <c r="FM25" i="2" s="1"/>
  <c r="KB31" i="2"/>
  <c r="HU31" i="2"/>
  <c r="DN43" i="2"/>
  <c r="F23" i="8"/>
  <c r="F11" i="7"/>
  <c r="BD11" i="7" s="1"/>
  <c r="IT25" i="2"/>
  <c r="FX25" i="2"/>
  <c r="AM31" i="2"/>
  <c r="X33" i="2"/>
  <c r="H7" i="7"/>
  <c r="H12" i="8"/>
  <c r="H14" i="8" s="1"/>
  <c r="H15" i="8" s="1"/>
  <c r="EN8" i="2"/>
  <c r="EN5" i="2"/>
  <c r="EN51" i="2" s="1"/>
  <c r="KE31" i="2"/>
  <c r="HX31" i="2"/>
  <c r="HV31" i="2"/>
  <c r="KC31" i="2"/>
  <c r="BC15" i="2"/>
  <c r="BC7" i="2"/>
  <c r="I125" i="23"/>
  <c r="BC4" i="2"/>
  <c r="DP31" i="2"/>
  <c r="BD15" i="2"/>
  <c r="J125" i="23"/>
  <c r="BD7" i="2"/>
  <c r="BD4" i="2"/>
  <c r="BH33" i="2"/>
  <c r="BY31" i="2"/>
  <c r="KF25" i="2"/>
  <c r="IA19" i="2"/>
  <c r="FI19" i="2"/>
  <c r="FF19" i="2"/>
  <c r="AM25" i="2"/>
  <c r="X27" i="2"/>
  <c r="E106" i="20"/>
  <c r="E95" i="7"/>
  <c r="DF25" i="2"/>
  <c r="DY25" i="2"/>
  <c r="HT25" i="2"/>
  <c r="KA25" i="2"/>
  <c r="DZ37" i="2"/>
  <c r="DG37" i="2"/>
  <c r="JG37" i="2"/>
  <c r="DI31" i="2"/>
  <c r="BJ21" i="2"/>
  <c r="BX19" i="2"/>
  <c r="BL19" i="2"/>
  <c r="BW19" i="2"/>
  <c r="BN21" i="2"/>
  <c r="JG19" i="2"/>
  <c r="DG19" i="2"/>
  <c r="DZ19" i="2"/>
  <c r="AX45" i="2"/>
  <c r="D130" i="23" s="1"/>
  <c r="L130" i="23" s="1"/>
  <c r="C130" i="23"/>
  <c r="IG19" i="2"/>
  <c r="BI21" i="2"/>
  <c r="BA45" i="2"/>
  <c r="G130" i="23"/>
  <c r="BC33" i="2"/>
  <c r="I128" i="23"/>
  <c r="G423" i="18"/>
  <c r="EG27" i="2"/>
  <c r="E172" i="15" s="1"/>
  <c r="JK8" i="2"/>
  <c r="JK5" i="2"/>
  <c r="JK51" i="2" s="1"/>
  <c r="EI8" i="2"/>
  <c r="EI5" i="2"/>
  <c r="EI51" i="2" s="1"/>
  <c r="DQ13" i="2"/>
  <c r="CF7" i="2"/>
  <c r="CF4" i="2"/>
  <c r="IM15" i="2"/>
  <c r="IM7" i="2"/>
  <c r="IM4" i="2"/>
  <c r="KI33" i="2"/>
  <c r="W45" i="2"/>
  <c r="H353" i="22" s="1"/>
  <c r="DC19" i="2"/>
  <c r="DV19" i="2"/>
  <c r="H225" i="22"/>
  <c r="H51" i="8"/>
  <c r="H39" i="7"/>
  <c r="CJ8" i="2"/>
  <c r="CB14" i="2"/>
  <c r="CB15" i="2" s="1"/>
  <c r="CG14" i="2"/>
  <c r="CG15" i="2" s="1"/>
  <c r="DR15" i="2" s="1"/>
  <c r="CA14" i="2"/>
  <c r="CA15" i="2" s="1"/>
  <c r="DL15" i="2" s="1"/>
  <c r="CF14" i="2"/>
  <c r="CF15" i="2" s="1"/>
  <c r="DQ15" i="2" s="1"/>
  <c r="CH14" i="2"/>
  <c r="CH15" i="2" s="1"/>
  <c r="BZ14" i="2"/>
  <c r="BZ15" i="2" s="1"/>
  <c r="DK15" i="2" s="1"/>
  <c r="DB14" i="2"/>
  <c r="DB15" i="2" s="1"/>
  <c r="CD14" i="2"/>
  <c r="CD15" i="2" s="1"/>
  <c r="CI14" i="2"/>
  <c r="CI15" i="2" s="1"/>
  <c r="CK14" i="2"/>
  <c r="CC14" i="2"/>
  <c r="CC15" i="2" s="1"/>
  <c r="DN15" i="2" s="1"/>
  <c r="DA14" i="2"/>
  <c r="DA15" i="2" s="1"/>
  <c r="EA15" i="2" s="1"/>
  <c r="CX14" i="2"/>
  <c r="CX15" i="2" s="1"/>
  <c r="CY14" i="2"/>
  <c r="CY15" i="2" s="1"/>
  <c r="DY15" i="2" s="1"/>
  <c r="CW14" i="2"/>
  <c r="CW15" i="2" s="1"/>
  <c r="DW15" i="2" s="1"/>
  <c r="CV14" i="2"/>
  <c r="CV15" i="2" s="1"/>
  <c r="CZ14" i="2"/>
  <c r="CZ15" i="2" s="1"/>
  <c r="DZ15" i="2" s="1"/>
  <c r="CE14" i="2"/>
  <c r="CE15" i="2" s="1"/>
  <c r="DP15" i="2" s="1"/>
  <c r="CJ5" i="2"/>
  <c r="DC25" i="2"/>
  <c r="DV25" i="2"/>
  <c r="JZ13" i="2"/>
  <c r="HJ7" i="2"/>
  <c r="HS13" i="2"/>
  <c r="HJ4" i="2"/>
  <c r="JU13" i="2"/>
  <c r="GT7" i="2"/>
  <c r="GT4" i="2"/>
  <c r="EH8" i="2"/>
  <c r="EH5" i="2"/>
  <c r="EH51" i="2" s="1"/>
  <c r="BQ15" i="2"/>
  <c r="C39" i="23" s="1"/>
  <c r="BQ7" i="2"/>
  <c r="BQ4" i="2"/>
  <c r="CJ31" i="2"/>
  <c r="CR31" i="2" s="1"/>
  <c r="JE31" i="2"/>
  <c r="DK31" i="2"/>
  <c r="FH43" i="2"/>
  <c r="FA43" i="2"/>
  <c r="FJ43" i="2" s="1"/>
  <c r="FE43" i="2"/>
  <c r="FZ43" i="2" s="1"/>
  <c r="GI43" i="2"/>
  <c r="IR43" i="2"/>
  <c r="EY45" i="2"/>
  <c r="BK7" i="2"/>
  <c r="BK15" i="2"/>
  <c r="BK4" i="2"/>
  <c r="BS8" i="2"/>
  <c r="IC8" i="2"/>
  <c r="IC5" i="2"/>
  <c r="IC51" i="2" s="1"/>
  <c r="GI31" i="2"/>
  <c r="FH31" i="2"/>
  <c r="FA31" i="2"/>
  <c r="FJ31" i="2" s="1"/>
  <c r="FE31" i="2"/>
  <c r="GF31" i="2" s="1"/>
  <c r="EY33" i="2"/>
  <c r="F120" i="18" s="1"/>
  <c r="IR31" i="2"/>
  <c r="JW31" i="2"/>
  <c r="GL15" i="2"/>
  <c r="GL7" i="2"/>
  <c r="GL4" i="2"/>
  <c r="DE31" i="2"/>
  <c r="DX31" i="2"/>
  <c r="KW15" i="2"/>
  <c r="KW7" i="2"/>
  <c r="KW4" i="2"/>
  <c r="EP15" i="2"/>
  <c r="AP13" i="2"/>
  <c r="EP7" i="2"/>
  <c r="EP4" i="2"/>
  <c r="DX37" i="2"/>
  <c r="DE37" i="2"/>
  <c r="IW13" i="2"/>
  <c r="FU7" i="2"/>
  <c r="FU4" i="2"/>
  <c r="BT8" i="2"/>
  <c r="BT5" i="2"/>
  <c r="BT51" i="2" s="1"/>
  <c r="JN15" i="2"/>
  <c r="JN7" i="2"/>
  <c r="JN4" i="2"/>
  <c r="JI8" i="2"/>
  <c r="JI5" i="2"/>
  <c r="KV15" i="2"/>
  <c r="KV7" i="2"/>
  <c r="KV4" i="2"/>
  <c r="DL43" i="2"/>
  <c r="DI37" i="2"/>
  <c r="KL15" i="2"/>
  <c r="KL7" i="2"/>
  <c r="KL4" i="2"/>
  <c r="JU31" i="2"/>
  <c r="BE15" i="2"/>
  <c r="C202" i="23" s="1"/>
  <c r="BE7" i="2"/>
  <c r="BE4" i="2"/>
  <c r="IE15" i="2"/>
  <c r="IE7" i="2"/>
  <c r="IE4" i="2"/>
  <c r="J8" i="2"/>
  <c r="J5" i="2"/>
  <c r="J51" i="2" s="1"/>
  <c r="JT37" i="2"/>
  <c r="JV37" i="2"/>
  <c r="DR37" i="2"/>
  <c r="KF13" i="2"/>
  <c r="HI7" i="2"/>
  <c r="HI4" i="2"/>
  <c r="KJ15" i="2"/>
  <c r="KJ7" i="2"/>
  <c r="KJ4" i="2"/>
  <c r="BE8" i="2"/>
  <c r="BE5" i="2"/>
  <c r="BE51" i="2" s="1"/>
  <c r="HX37" i="2"/>
  <c r="KE37" i="2"/>
  <c r="JT25" i="2"/>
  <c r="DQ37" i="2"/>
  <c r="DL25" i="2"/>
  <c r="DH31" i="2"/>
  <c r="EA31" i="2"/>
  <c r="DN31" i="2"/>
  <c r="BX25" i="2"/>
  <c r="BL25" i="2"/>
  <c r="BJ27" i="2"/>
  <c r="F182" i="22"/>
  <c r="F43" i="8"/>
  <c r="F45" i="8" s="1"/>
  <c r="FB38" i="2"/>
  <c r="FB39" i="2" s="1"/>
  <c r="EZ38" i="2"/>
  <c r="EZ39" i="2" s="1"/>
  <c r="FW38" i="2"/>
  <c r="FW39" i="2" s="1"/>
  <c r="FT38" i="2"/>
  <c r="FT39" i="2" s="1"/>
  <c r="FU38" i="2"/>
  <c r="FU39" i="2" s="1"/>
  <c r="FQ38" i="2"/>
  <c r="FQ39" i="2" s="1"/>
  <c r="FR38" i="2"/>
  <c r="FR39" i="2" s="1"/>
  <c r="FS38" i="2"/>
  <c r="FS39" i="2" s="1"/>
  <c r="FC38" i="2"/>
  <c r="FC39" i="2" s="1"/>
  <c r="FV38" i="2"/>
  <c r="FV39" i="2" s="1"/>
  <c r="DD25" i="2"/>
  <c r="DW25" i="2"/>
  <c r="D52" i="18"/>
  <c r="D235" i="8"/>
  <c r="KA31" i="2"/>
  <c r="HT31" i="2"/>
  <c r="JZ19" i="2"/>
  <c r="HS19" i="2"/>
  <c r="H15" i="2"/>
  <c r="H7" i="2"/>
  <c r="H4" i="2"/>
  <c r="KD25" i="2"/>
  <c r="HW25" i="2"/>
  <c r="II4" i="2"/>
  <c r="II7" i="2"/>
  <c r="II15" i="2"/>
  <c r="C41" i="23" s="1"/>
  <c r="JS25" i="2"/>
  <c r="R20" i="2"/>
  <c r="R21" i="2" s="1"/>
  <c r="Q20" i="2"/>
  <c r="Q21" i="2" s="1"/>
  <c r="JS19" i="2"/>
  <c r="DS19" i="2"/>
  <c r="KG19" i="2"/>
  <c r="BU21" i="2"/>
  <c r="IH19" i="2"/>
  <c r="BB33" i="2"/>
  <c r="H128" i="23"/>
  <c r="D4" i="2"/>
  <c r="D7" i="2"/>
  <c r="B6" i="8" s="1"/>
  <c r="C6" i="8"/>
  <c r="C8" i="8" s="1"/>
  <c r="C9" i="8" s="1"/>
  <c r="BV5" i="2"/>
  <c r="BV8" i="2"/>
  <c r="J130" i="23"/>
  <c r="BD45" i="2"/>
  <c r="C126" i="23"/>
  <c r="AX21" i="2"/>
  <c r="D126" i="23" s="1"/>
  <c r="L126" i="23" s="1"/>
  <c r="E130" i="23"/>
  <c r="AY45" i="2"/>
  <c r="FS7" i="2"/>
  <c r="IU13" i="2"/>
  <c r="FS4" i="2"/>
  <c r="DT19" i="2"/>
  <c r="G15" i="2"/>
  <c r="G7" i="2"/>
  <c r="G4" i="2"/>
  <c r="S33" i="2"/>
  <c r="F279" i="22" s="1"/>
  <c r="EV8" i="2"/>
  <c r="EV5" i="2"/>
  <c r="EV51" i="2" s="1"/>
  <c r="EK45" i="2"/>
  <c r="KP7" i="2"/>
  <c r="KP15" i="2"/>
  <c r="KP4" i="2"/>
  <c r="IL15" i="2"/>
  <c r="IL7" i="2"/>
  <c r="IL4" i="2"/>
  <c r="EX4" i="2"/>
  <c r="DM13" i="2"/>
  <c r="CB7" i="2"/>
  <c r="CB4" i="2"/>
  <c r="AH15" i="2"/>
  <c r="C41" i="7" s="1"/>
  <c r="AH7" i="2"/>
  <c r="AH4" i="2"/>
  <c r="BI8" i="2"/>
  <c r="BI5" i="2"/>
  <c r="BI51" i="2" s="1"/>
  <c r="KH13" i="2"/>
  <c r="HR13" i="2"/>
  <c r="HQ13" i="2"/>
  <c r="HP7" i="2"/>
  <c r="HP15" i="2"/>
  <c r="HP4" i="2"/>
  <c r="BY43" i="2"/>
  <c r="BH45" i="2"/>
  <c r="KP8" i="2"/>
  <c r="KP5" i="2"/>
  <c r="KP51" i="2" s="1"/>
  <c r="FR7" i="2"/>
  <c r="FR4" i="2"/>
  <c r="BJ8" i="2"/>
  <c r="BJ5" i="2"/>
  <c r="BJ51" i="2" s="1"/>
  <c r="ER8" i="2"/>
  <c r="ER5" i="2"/>
  <c r="ER51" i="2" s="1"/>
  <c r="GK8" i="2"/>
  <c r="GK5" i="2"/>
  <c r="GK51" i="2" s="1"/>
  <c r="ED15" i="2"/>
  <c r="ED7" i="2"/>
  <c r="ED4" i="2"/>
  <c r="BC8" i="2"/>
  <c r="BC5" i="2"/>
  <c r="BC51" i="2" s="1"/>
  <c r="KI8" i="2"/>
  <c r="KI5" i="2"/>
  <c r="KI51" i="2" s="1"/>
  <c r="CE7" i="2"/>
  <c r="DP13" i="2"/>
  <c r="CE4" i="2"/>
  <c r="BK8" i="2"/>
  <c r="BK5" i="2"/>
  <c r="BK51" i="2" s="1"/>
  <c r="JE43" i="2"/>
  <c r="CJ43" i="2"/>
  <c r="CS43" i="2" s="1"/>
  <c r="DK43" i="2"/>
  <c r="EK15" i="2"/>
  <c r="EK7" i="2"/>
  <c r="EK4" i="2"/>
  <c r="IN8" i="2"/>
  <c r="IN5" i="2"/>
  <c r="IN51" i="2" s="1"/>
  <c r="DX43" i="2"/>
  <c r="DE43" i="2"/>
  <c r="FL43" i="2"/>
  <c r="F83" i="7"/>
  <c r="F82" i="20"/>
  <c r="BU15" i="2"/>
  <c r="IH13" i="2"/>
  <c r="BU7" i="2"/>
  <c r="BU4" i="2"/>
  <c r="GL8" i="2"/>
  <c r="GL5" i="2"/>
  <c r="GL51" i="2" s="1"/>
  <c r="FW7" i="2"/>
  <c r="FW4" i="2"/>
  <c r="EI4" i="2"/>
  <c r="EI7" i="2"/>
  <c r="EI15" i="2"/>
  <c r="C50" i="15" s="1"/>
  <c r="IT13" i="2"/>
  <c r="FQ7" i="2"/>
  <c r="FX13" i="2"/>
  <c r="FQ4" i="2"/>
  <c r="BB7" i="2"/>
  <c r="H125" i="23"/>
  <c r="BB15" i="2"/>
  <c r="BB4" i="2"/>
  <c r="KJ8" i="2"/>
  <c r="KJ5" i="2"/>
  <c r="KJ51" i="2" s="1"/>
  <c r="AA8" i="2"/>
  <c r="AA5" i="2"/>
  <c r="AA51" i="2" s="1"/>
  <c r="JH8" i="2"/>
  <c r="JH5" i="2"/>
  <c r="JH51" i="2" s="1"/>
  <c r="EW8" i="2"/>
  <c r="EW5" i="2"/>
  <c r="EW51" i="2" s="1"/>
  <c r="IG31" i="2"/>
  <c r="BI33" i="2"/>
  <c r="JV25" i="2"/>
  <c r="KN8" i="2"/>
  <c r="KN5" i="2"/>
  <c r="KN51" i="2" s="1"/>
  <c r="JR31" i="2"/>
  <c r="GW31" i="2"/>
  <c r="HA31" i="2" s="1"/>
  <c r="AL8" i="2"/>
  <c r="AL5" i="2"/>
  <c r="AL51" i="2" s="1"/>
  <c r="KB25" i="2"/>
  <c r="HU25" i="2"/>
  <c r="KM15" i="2"/>
  <c r="KM7" i="2"/>
  <c r="KM4" i="2"/>
  <c r="IU25" i="2"/>
  <c r="JT31" i="2"/>
  <c r="IW37" i="2"/>
  <c r="JM8" i="2"/>
  <c r="JM5" i="2"/>
  <c r="JM51" i="2" s="1"/>
  <c r="KG31" i="2"/>
  <c r="BM8" i="2"/>
  <c r="BM5" i="2"/>
  <c r="BM51" i="2" s="1"/>
  <c r="DM43" i="2"/>
  <c r="EN15" i="2"/>
  <c r="EN7" i="2"/>
  <c r="EN4" i="2"/>
  <c r="DP43" i="2"/>
  <c r="DM37" i="2"/>
  <c r="GS7" i="2"/>
  <c r="JT13" i="2"/>
  <c r="GS4" i="2"/>
  <c r="EL8" i="2"/>
  <c r="EL5" i="2"/>
  <c r="EL51" i="2" s="1"/>
  <c r="DP37" i="2"/>
  <c r="EA37" i="2"/>
  <c r="DH37" i="2"/>
  <c r="KC25" i="2"/>
  <c r="HV25" i="2"/>
  <c r="KE19" i="2"/>
  <c r="HX19" i="2"/>
  <c r="JJ25" i="2"/>
  <c r="K33" i="2"/>
  <c r="F45" i="22" s="1"/>
  <c r="EJ31" i="2"/>
  <c r="GI19" i="2"/>
  <c r="FH19" i="2"/>
  <c r="FE19" i="2"/>
  <c r="GD19" i="2" s="1"/>
  <c r="EY21" i="2"/>
  <c r="D120" i="18" s="1"/>
  <c r="IR19" i="2"/>
  <c r="FA19" i="2"/>
  <c r="FJ19" i="2" s="1"/>
  <c r="BY25" i="2"/>
  <c r="BH27" i="2"/>
  <c r="IA31" i="2"/>
  <c r="EJ25" i="2"/>
  <c r="K27" i="2"/>
  <c r="E45" i="22" s="1"/>
  <c r="AP25" i="2"/>
  <c r="EP27" i="2"/>
  <c r="DR19" i="2"/>
  <c r="DH19" i="2"/>
  <c r="EA19" i="2"/>
  <c r="E68" i="7"/>
  <c r="E81" i="18"/>
  <c r="E201" i="8"/>
  <c r="E203" i="8" s="1"/>
  <c r="DH25" i="2"/>
  <c r="EA25" i="2"/>
  <c r="DQ25" i="2"/>
  <c r="HM20" i="2"/>
  <c r="HM21" i="2" s="1"/>
  <c r="HI20" i="2"/>
  <c r="HI21" i="2" s="1"/>
  <c r="HN20" i="2"/>
  <c r="HN21" i="2" s="1"/>
  <c r="HL20" i="2"/>
  <c r="HL21" i="2" s="1"/>
  <c r="HK20" i="2"/>
  <c r="HK21" i="2" s="1"/>
  <c r="HO20" i="2"/>
  <c r="HO21" i="2" s="1"/>
  <c r="HH20" i="2"/>
  <c r="HH21" i="2" s="1"/>
  <c r="HG20" i="2"/>
  <c r="HG21" i="2" s="1"/>
  <c r="HJ20" i="2"/>
  <c r="HJ21" i="2" s="1"/>
  <c r="H425" i="18"/>
  <c r="F421" i="18"/>
  <c r="F425" i="18"/>
  <c r="BD33" i="2"/>
  <c r="J128" i="23"/>
  <c r="BC45" i="2"/>
  <c r="I130" i="23"/>
  <c r="BB39" i="2"/>
  <c r="H129" i="23"/>
  <c r="EU5" i="2"/>
  <c r="EU8" i="2"/>
  <c r="D419" i="18" s="1"/>
  <c r="D420" i="18"/>
  <c r="KL8" i="2"/>
  <c r="KL5" i="2"/>
  <c r="KL51" i="2" s="1"/>
  <c r="F8" i="2"/>
  <c r="F5" i="2"/>
  <c r="F51" i="2" s="1"/>
  <c r="EO15" i="2"/>
  <c r="EO7" i="2"/>
  <c r="EO4" i="2"/>
  <c r="GM15" i="2"/>
  <c r="GM7" i="2"/>
  <c r="GM4" i="2"/>
  <c r="EE27" i="2"/>
  <c r="E170" i="15" s="1"/>
  <c r="EK8" i="2"/>
  <c r="EK5" i="2"/>
  <c r="EK51" i="2" s="1"/>
  <c r="KU21" i="2"/>
  <c r="GK15" i="2"/>
  <c r="GK7" i="2"/>
  <c r="GK4" i="2"/>
  <c r="GK50" i="2" s="1"/>
  <c r="S7" i="2"/>
  <c r="DZ45" i="2" l="1"/>
  <c r="DT15" i="2"/>
  <c r="DM15" i="2"/>
  <c r="DP39" i="2"/>
  <c r="DY39" i="2"/>
  <c r="DP21" i="2"/>
  <c r="DL21" i="2"/>
  <c r="DT27" i="2"/>
  <c r="DX45" i="2"/>
  <c r="DS45" i="2"/>
  <c r="DV15" i="2"/>
  <c r="DO15" i="2"/>
  <c r="DZ39" i="2"/>
  <c r="DK21" i="2"/>
  <c r="DS33" i="2"/>
  <c r="DZ33" i="2"/>
  <c r="DX27" i="2"/>
  <c r="DY45" i="2"/>
  <c r="DP45" i="2"/>
  <c r="DR39" i="2"/>
  <c r="DQ39" i="2"/>
  <c r="DX39" i="2"/>
  <c r="DS21" i="2"/>
  <c r="DR33" i="2"/>
  <c r="DM33" i="2"/>
  <c r="DT33" i="2"/>
  <c r="DQ27" i="2"/>
  <c r="EA45" i="2"/>
  <c r="DO39" i="2"/>
  <c r="DM45" i="2"/>
  <c r="DS39" i="2"/>
  <c r="DN33" i="2"/>
  <c r="DR45" i="2"/>
  <c r="DO45" i="2"/>
  <c r="EA39" i="2"/>
  <c r="DX15" i="2"/>
  <c r="DS15" i="2"/>
  <c r="DM39" i="2"/>
  <c r="DW39" i="2"/>
  <c r="DV21" i="2"/>
  <c r="D57" i="15" s="1"/>
  <c r="DN21" i="2"/>
  <c r="DY33" i="2"/>
  <c r="DV33" i="2"/>
  <c r="DN27" i="2"/>
  <c r="DS27" i="2"/>
  <c r="DL45" i="2"/>
  <c r="DK39" i="2"/>
  <c r="DX33" i="2"/>
  <c r="DT39" i="2"/>
  <c r="DN39" i="2"/>
  <c r="DO21" i="2"/>
  <c r="DY21" i="2"/>
  <c r="EA33" i="2"/>
  <c r="DV45" i="2"/>
  <c r="EB15" i="2"/>
  <c r="CB6" i="2"/>
  <c r="DZ27" i="2"/>
  <c r="DL27" i="2"/>
  <c r="DM27" i="2"/>
  <c r="EA27" i="2"/>
  <c r="DW27" i="2"/>
  <c r="DY27" i="2"/>
  <c r="E40" i="23"/>
  <c r="L120" i="23"/>
  <c r="L122" i="23"/>
  <c r="E122" i="23" s="1"/>
  <c r="L118" i="23"/>
  <c r="L121" i="23"/>
  <c r="L117" i="23"/>
  <c r="X324" i="18"/>
  <c r="H120" i="18"/>
  <c r="H40" i="23"/>
  <c r="F81" i="18"/>
  <c r="F68" i="7"/>
  <c r="F51" i="18"/>
  <c r="D234" i="8"/>
  <c r="G50" i="18"/>
  <c r="G49" i="18"/>
  <c r="G234" i="8"/>
  <c r="H50" i="18"/>
  <c r="E232" i="8"/>
  <c r="G235" i="8"/>
  <c r="F50" i="18"/>
  <c r="F235" i="8"/>
  <c r="E50" i="18"/>
  <c r="H235" i="8"/>
  <c r="E234" i="8"/>
  <c r="G40" i="23"/>
  <c r="D358" i="18"/>
  <c r="E111" i="22"/>
  <c r="E113" i="22" s="1"/>
  <c r="E114" i="22" s="1"/>
  <c r="E17" i="7"/>
  <c r="E32" i="8"/>
  <c r="E34" i="8" s="1"/>
  <c r="E35" i="8" s="1"/>
  <c r="D355" i="18"/>
  <c r="HQ15" i="2"/>
  <c r="C210" i="20" s="1"/>
  <c r="CK8" i="2"/>
  <c r="AM15" i="2"/>
  <c r="IH39" i="2"/>
  <c r="D19" i="7"/>
  <c r="IA21" i="2"/>
  <c r="D427" i="22" s="1"/>
  <c r="D273" i="22"/>
  <c r="D275" i="22" s="1"/>
  <c r="D276" i="22" s="1"/>
  <c r="D26" i="8"/>
  <c r="D28" i="8" s="1"/>
  <c r="D29" i="8" s="1"/>
  <c r="D89" i="22"/>
  <c r="E13" i="7"/>
  <c r="IA15" i="2"/>
  <c r="C427" i="22" s="1"/>
  <c r="C19" i="7"/>
  <c r="C26" i="8"/>
  <c r="C28" i="8" s="1"/>
  <c r="C29" i="8" s="1"/>
  <c r="C273" i="22"/>
  <c r="C275" i="22" s="1"/>
  <c r="C276" i="22" s="1"/>
  <c r="C89" i="22"/>
  <c r="G7" i="7"/>
  <c r="G23" i="8"/>
  <c r="AK9" i="2"/>
  <c r="B216" i="22" s="1"/>
  <c r="G39" i="7"/>
  <c r="M121" i="23"/>
  <c r="F121" i="23" s="1"/>
  <c r="N118" i="23"/>
  <c r="G118" i="23" s="1"/>
  <c r="L119" i="23"/>
  <c r="H185" i="8"/>
  <c r="H187" i="8" s="1"/>
  <c r="JN9" i="2"/>
  <c r="D201" i="8"/>
  <c r="D203" i="8" s="1"/>
  <c r="G51" i="8"/>
  <c r="D12" i="8"/>
  <c r="D14" i="8" s="1"/>
  <c r="D15" i="8" s="1"/>
  <c r="G124" i="8"/>
  <c r="G126" i="8" s="1"/>
  <c r="G127" i="8" s="1"/>
  <c r="G111" i="22"/>
  <c r="G113" i="22" s="1"/>
  <c r="G114" i="22" s="1"/>
  <c r="BS6" i="2"/>
  <c r="BS52" i="2" s="1"/>
  <c r="D54" i="8"/>
  <c r="D56" i="8" s="1"/>
  <c r="D57" i="8" s="1"/>
  <c r="D7" i="7"/>
  <c r="G51" i="18"/>
  <c r="G32" i="8"/>
  <c r="G34" i="8" s="1"/>
  <c r="G35" i="8" s="1"/>
  <c r="G17" i="7"/>
  <c r="D95" i="7"/>
  <c r="AH9" i="2"/>
  <c r="B41" i="7" s="1"/>
  <c r="F355" i="18"/>
  <c r="G233" i="8"/>
  <c r="H358" i="18"/>
  <c r="G232" i="8"/>
  <c r="D81" i="18"/>
  <c r="H355" i="18"/>
  <c r="H201" i="8"/>
  <c r="H203" i="8" s="1"/>
  <c r="G45" i="23"/>
  <c r="E89" i="22"/>
  <c r="E43" i="8"/>
  <c r="E45" i="8" s="1"/>
  <c r="F233" i="8"/>
  <c r="G12" i="8"/>
  <c r="G14" i="8" s="1"/>
  <c r="G15" i="8" s="1"/>
  <c r="E273" i="22"/>
  <c r="E275" i="22" s="1"/>
  <c r="E276" i="22" s="1"/>
  <c r="E26" i="8"/>
  <c r="E28" i="8" s="1"/>
  <c r="E29" i="8" s="1"/>
  <c r="IA39" i="2"/>
  <c r="G427" i="22" s="1"/>
  <c r="E3" i="20"/>
  <c r="E5" i="20" s="1"/>
  <c r="E6" i="20" s="1"/>
  <c r="E32" i="20" s="1"/>
  <c r="D63" i="7"/>
  <c r="G68" i="7"/>
  <c r="E31" i="20"/>
  <c r="G81" i="18"/>
  <c r="E243" i="8"/>
  <c r="E245" i="8" s="1"/>
  <c r="E246" i="8" s="1"/>
  <c r="E19" i="7"/>
  <c r="E26" i="7"/>
  <c r="IA27" i="2"/>
  <c r="E427" i="22" s="1"/>
  <c r="E38" i="8"/>
  <c r="E40" i="8" s="1"/>
  <c r="G43" i="8"/>
  <c r="G45" i="8" s="1"/>
  <c r="H182" i="22"/>
  <c r="IX31" i="2"/>
  <c r="D78" i="18"/>
  <c r="D222" i="22"/>
  <c r="F172" i="8"/>
  <c r="F174" i="8" s="1"/>
  <c r="F59" i="7"/>
  <c r="G52" i="18"/>
  <c r="E63" i="7"/>
  <c r="D48" i="8"/>
  <c r="D50" i="8" s="1"/>
  <c r="E185" i="8"/>
  <c r="E187" i="8" s="1"/>
  <c r="BQ9" i="2"/>
  <c r="B39" i="23" s="1"/>
  <c r="D11" i="7"/>
  <c r="HB13" i="2"/>
  <c r="GF37" i="2"/>
  <c r="F12" i="8"/>
  <c r="F14" i="8" s="1"/>
  <c r="F15" i="8" s="1"/>
  <c r="F7" i="7"/>
  <c r="E48" i="8"/>
  <c r="E50" i="8" s="1"/>
  <c r="H9" i="2"/>
  <c r="G26" i="7"/>
  <c r="E358" i="18"/>
  <c r="HB19" i="2"/>
  <c r="G38" i="8"/>
  <c r="G40" i="8" s="1"/>
  <c r="E355" i="18"/>
  <c r="HB25" i="2"/>
  <c r="GF25" i="2"/>
  <c r="E222" i="22"/>
  <c r="E82" i="20"/>
  <c r="G273" i="22"/>
  <c r="G275" i="22" s="1"/>
  <c r="G276" i="22" s="1"/>
  <c r="GA25" i="2"/>
  <c r="HE19" i="2"/>
  <c r="H11" i="7"/>
  <c r="D51" i="18"/>
  <c r="HA19" i="2"/>
  <c r="E172" i="8"/>
  <c r="E174" i="8" s="1"/>
  <c r="HD37" i="2"/>
  <c r="G95" i="7"/>
  <c r="H52" i="18"/>
  <c r="E76" i="18"/>
  <c r="HB37" i="2"/>
  <c r="EQ9" i="2"/>
  <c r="E51" i="18"/>
  <c r="G89" i="22"/>
  <c r="G26" i="8"/>
  <c r="G28" i="8" s="1"/>
  <c r="G29" i="8" s="1"/>
  <c r="F234" i="8"/>
  <c r="G19" i="7"/>
  <c r="GB37" i="2"/>
  <c r="JJ27" i="2"/>
  <c r="E36" i="20" s="1"/>
  <c r="CO19" i="2"/>
  <c r="GA43" i="2"/>
  <c r="HC19" i="2"/>
  <c r="EG9" i="2"/>
  <c r="B172" i="15" s="1"/>
  <c r="ED9" i="2"/>
  <c r="B13" i="7" s="1"/>
  <c r="II6" i="2"/>
  <c r="D51" i="8"/>
  <c r="F137" i="15"/>
  <c r="G13" i="7"/>
  <c r="D225" i="22"/>
  <c r="F48" i="8"/>
  <c r="F50" i="8" s="1"/>
  <c r="F222" i="22"/>
  <c r="IY37" i="2"/>
  <c r="BY45" i="2"/>
  <c r="H19" i="27" s="1"/>
  <c r="BP9" i="2"/>
  <c r="B38" i="23" s="1"/>
  <c r="F63" i="7"/>
  <c r="F78" i="18"/>
  <c r="F38" i="8"/>
  <c r="F40" i="8" s="1"/>
  <c r="H233" i="8"/>
  <c r="E137" i="15"/>
  <c r="D76" i="18"/>
  <c r="KG33" i="2"/>
  <c r="F89" i="7" s="1"/>
  <c r="IL9" i="2"/>
  <c r="B81" i="18" s="1"/>
  <c r="CS19" i="2"/>
  <c r="II9" i="2"/>
  <c r="B41" i="23" s="1"/>
  <c r="CP19" i="2"/>
  <c r="G9" i="2"/>
  <c r="B11" i="7" s="1"/>
  <c r="G358" i="18"/>
  <c r="FL39" i="2"/>
  <c r="G210" i="8" s="1"/>
  <c r="G211" i="8" s="1"/>
  <c r="D59" i="7"/>
  <c r="IA45" i="2"/>
  <c r="H427" i="22" s="1"/>
  <c r="E12" i="8"/>
  <c r="E14" i="8" s="1"/>
  <c r="E15" i="8" s="1"/>
  <c r="E7" i="7"/>
  <c r="KF33" i="2"/>
  <c r="F26" i="7"/>
  <c r="HA25" i="2"/>
  <c r="E233" i="8"/>
  <c r="GG37" i="2"/>
  <c r="GD37" i="2"/>
  <c r="HD25" i="2"/>
  <c r="HA13" i="2"/>
  <c r="FZ37" i="2"/>
  <c r="HE13" i="2"/>
  <c r="GA37" i="2"/>
  <c r="KO9" i="2"/>
  <c r="GC37" i="2"/>
  <c r="BG9" i="2"/>
  <c r="JA25" i="2"/>
  <c r="GF13" i="2"/>
  <c r="HC13" i="2"/>
  <c r="G355" i="18"/>
  <c r="AB9" i="2"/>
  <c r="EF9" i="2"/>
  <c r="B171" i="15" s="1"/>
  <c r="D124" i="8"/>
  <c r="D126" i="8" s="1"/>
  <c r="D127" i="8" s="1"/>
  <c r="GB25" i="2"/>
  <c r="IM9" i="2"/>
  <c r="FZ25" i="2"/>
  <c r="D43" i="8"/>
  <c r="D45" i="8" s="1"/>
  <c r="KW9" i="2"/>
  <c r="E49" i="18"/>
  <c r="GD25" i="2"/>
  <c r="CP43" i="2"/>
  <c r="HE25" i="2"/>
  <c r="GG25" i="2"/>
  <c r="JJ5" i="2"/>
  <c r="JJ51" i="2" s="1"/>
  <c r="JC37" i="2"/>
  <c r="GE19" i="2"/>
  <c r="BR6" i="2"/>
  <c r="GJ9" i="2"/>
  <c r="JI55" i="2"/>
  <c r="FZ13" i="2"/>
  <c r="EO9" i="2"/>
  <c r="B63" i="7" s="1"/>
  <c r="H81" i="18"/>
  <c r="CQ19" i="2"/>
  <c r="CN19" i="2"/>
  <c r="IE9" i="2"/>
  <c r="B182" i="22" s="1"/>
  <c r="G222" i="22"/>
  <c r="F52" i="18"/>
  <c r="S9" i="2"/>
  <c r="CR19" i="2"/>
  <c r="CT19" i="2"/>
  <c r="IY25" i="2"/>
  <c r="G48" i="8"/>
  <c r="G50" i="8" s="1"/>
  <c r="H78" i="18"/>
  <c r="HC37" i="2"/>
  <c r="CM19" i="2"/>
  <c r="GK9" i="2"/>
  <c r="EI9" i="2"/>
  <c r="B50" i="15" s="1"/>
  <c r="CL19" i="2"/>
  <c r="I9" i="2"/>
  <c r="G420" i="18"/>
  <c r="KL9" i="2"/>
  <c r="KR9" i="2"/>
  <c r="AI9" i="2"/>
  <c r="P120" i="23"/>
  <c r="I120" i="23" s="1"/>
  <c r="CM31" i="2"/>
  <c r="EV9" i="2"/>
  <c r="B357" i="18" s="1"/>
  <c r="CK31" i="2"/>
  <c r="FL27" i="2"/>
  <c r="E210" i="8" s="1"/>
  <c r="E211" i="8" s="1"/>
  <c r="HD31" i="2"/>
  <c r="GA19" i="2"/>
  <c r="IX19" i="2"/>
  <c r="JP9" i="2"/>
  <c r="EN9" i="2"/>
  <c r="IA33" i="2"/>
  <c r="F427" i="22" s="1"/>
  <c r="IZ13" i="2"/>
  <c r="GD13" i="2"/>
  <c r="CQ13" i="2"/>
  <c r="IZ25" i="2"/>
  <c r="FL33" i="2"/>
  <c r="F210" i="8" s="1"/>
  <c r="F211" i="8" s="1"/>
  <c r="AQ43" i="2"/>
  <c r="BT9" i="2"/>
  <c r="B45" i="23" s="1"/>
  <c r="IY13" i="2"/>
  <c r="KS9" i="2"/>
  <c r="JF19" i="2"/>
  <c r="AE9" i="2"/>
  <c r="B51" i="8" s="1"/>
  <c r="CS13" i="2"/>
  <c r="JC25" i="2"/>
  <c r="JJ4" i="2"/>
  <c r="JJ50" i="2" s="1"/>
  <c r="CQ31" i="2"/>
  <c r="FL15" i="2"/>
  <c r="C210" i="8" s="1"/>
  <c r="C211" i="8" s="1"/>
  <c r="GZ25" i="2"/>
  <c r="HD13" i="2"/>
  <c r="FZ19" i="2"/>
  <c r="HA37" i="2"/>
  <c r="GZ31" i="2"/>
  <c r="CK13" i="2"/>
  <c r="JJ7" i="2"/>
  <c r="JJ9" i="2" s="1"/>
  <c r="B36" i="20" s="1"/>
  <c r="KI9" i="2"/>
  <c r="B106" i="20" s="1"/>
  <c r="GB43" i="2"/>
  <c r="JL9" i="2"/>
  <c r="FL21" i="2"/>
  <c r="D94" i="18" s="1"/>
  <c r="D95" i="18" s="1"/>
  <c r="JA31" i="2"/>
  <c r="IY43" i="2"/>
  <c r="KP9" i="2"/>
  <c r="CM13" i="2"/>
  <c r="CN31" i="2"/>
  <c r="CP31" i="2"/>
  <c r="CT31" i="2"/>
  <c r="BF9" i="2"/>
  <c r="B203" i="23" s="1"/>
  <c r="KK9" i="2"/>
  <c r="GZ19" i="2"/>
  <c r="HE37" i="2"/>
  <c r="CP13" i="2"/>
  <c r="EX51" i="2"/>
  <c r="BY33" i="2"/>
  <c r="F19" i="27" s="1"/>
  <c r="GE13" i="2"/>
  <c r="BW33" i="2"/>
  <c r="F245" i="23" s="1"/>
  <c r="IN9" i="2"/>
  <c r="DU43" i="2"/>
  <c r="BY21" i="2"/>
  <c r="D19" i="27" s="1"/>
  <c r="JC13" i="2"/>
  <c r="GL9" i="2"/>
  <c r="CT43" i="2"/>
  <c r="BM9" i="2"/>
  <c r="B209" i="23" s="1"/>
  <c r="EW9" i="2"/>
  <c r="B356" i="18" s="1"/>
  <c r="EM9" i="2"/>
  <c r="Q118" i="23"/>
  <c r="J118" i="23" s="1"/>
  <c r="M117" i="23"/>
  <c r="F117" i="23" s="1"/>
  <c r="N121" i="23"/>
  <c r="G121" i="23" s="1"/>
  <c r="N119" i="23"/>
  <c r="G119" i="23" s="1"/>
  <c r="G419" i="18"/>
  <c r="JD15" i="2"/>
  <c r="C77" i="7"/>
  <c r="C46" i="20"/>
  <c r="C249" i="8"/>
  <c r="C251" i="8" s="1"/>
  <c r="C252" i="8" s="1"/>
  <c r="F31" i="20"/>
  <c r="F79" i="7"/>
  <c r="F243" i="8"/>
  <c r="F245" i="8" s="1"/>
  <c r="F246" i="8" s="1"/>
  <c r="F3" i="20"/>
  <c r="F5" i="20" s="1"/>
  <c r="C118" i="8"/>
  <c r="DI15" i="2"/>
  <c r="C20" i="15"/>
  <c r="JR39" i="2"/>
  <c r="GW39" i="2"/>
  <c r="HD39" i="2" s="1"/>
  <c r="HX15" i="2"/>
  <c r="KE15" i="2"/>
  <c r="JE21" i="2"/>
  <c r="CJ21" i="2"/>
  <c r="CK21" i="2" s="1"/>
  <c r="IT21" i="2"/>
  <c r="FX21" i="2"/>
  <c r="IU39" i="2"/>
  <c r="C71" i="7"/>
  <c r="C57" i="15"/>
  <c r="DC15" i="2"/>
  <c r="JW39" i="2"/>
  <c r="KF21" i="2"/>
  <c r="FX39" i="2"/>
  <c r="IT39" i="2"/>
  <c r="DF15" i="2"/>
  <c r="JR15" i="2"/>
  <c r="GW15" i="2"/>
  <c r="GZ15" i="2" s="1"/>
  <c r="JV15" i="2"/>
  <c r="KA15" i="2"/>
  <c r="C89" i="20" s="1"/>
  <c r="HT15" i="2"/>
  <c r="C98" i="20" s="1"/>
  <c r="JE39" i="2"/>
  <c r="CJ39" i="2"/>
  <c r="CK39" i="2" s="1"/>
  <c r="DD33" i="2"/>
  <c r="HT39" i="2"/>
  <c r="G98" i="20" s="1"/>
  <c r="KA39" i="2"/>
  <c r="G89" i="20" s="1"/>
  <c r="JZ21" i="2"/>
  <c r="HS21" i="2"/>
  <c r="H118" i="8"/>
  <c r="DI45" i="2"/>
  <c r="H20" i="15"/>
  <c r="C75" i="7"/>
  <c r="DH15" i="2"/>
  <c r="JS39" i="2"/>
  <c r="G64" i="20" s="1"/>
  <c r="JS15" i="2"/>
  <c r="C64" i="20" s="1"/>
  <c r="KG15" i="2"/>
  <c r="FF33" i="2"/>
  <c r="FI33" i="2"/>
  <c r="FX33" i="2"/>
  <c r="IT33" i="2"/>
  <c r="FF15" i="2"/>
  <c r="FI15" i="2"/>
  <c r="D71" i="7"/>
  <c r="DC21" i="2"/>
  <c r="JG33" i="2"/>
  <c r="DG33" i="2"/>
  <c r="JW33" i="2"/>
  <c r="DG27" i="2"/>
  <c r="JG27" i="2"/>
  <c r="E73" i="7"/>
  <c r="DE45" i="2"/>
  <c r="FK45" i="2"/>
  <c r="H121" i="18"/>
  <c r="FD45" i="2"/>
  <c r="FM45" i="2" s="1"/>
  <c r="IS45" i="2"/>
  <c r="DD39" i="2"/>
  <c r="HS39" i="2"/>
  <c r="JZ39" i="2"/>
  <c r="DE27" i="2"/>
  <c r="G249" i="8"/>
  <c r="G251" i="8" s="1"/>
  <c r="G252" i="8" s="1"/>
  <c r="G46" i="20"/>
  <c r="G77" i="7"/>
  <c r="IW27" i="2"/>
  <c r="G71" i="7"/>
  <c r="DC39" i="2"/>
  <c r="G57" i="15"/>
  <c r="JD21" i="2"/>
  <c r="DF21" i="2"/>
  <c r="JD27" i="2"/>
  <c r="DF45" i="2"/>
  <c r="IW21" i="2"/>
  <c r="FX45" i="2"/>
  <c r="IT45" i="2"/>
  <c r="JS33" i="2"/>
  <c r="F64" i="20" s="1"/>
  <c r="JU27" i="2"/>
  <c r="E67" i="20" s="1"/>
  <c r="FI39" i="2"/>
  <c r="FF39" i="2"/>
  <c r="JV39" i="2"/>
  <c r="FK27" i="2"/>
  <c r="E121" i="18"/>
  <c r="FD27" i="2"/>
  <c r="FM27" i="2" s="1"/>
  <c r="IS27" i="2"/>
  <c r="FF27" i="2"/>
  <c r="FI27" i="2"/>
  <c r="IU33" i="2"/>
  <c r="G118" i="8"/>
  <c r="DI39" i="2"/>
  <c r="G20" i="15"/>
  <c r="HV39" i="2"/>
  <c r="G101" i="20" s="1"/>
  <c r="KC39" i="2"/>
  <c r="G92" i="20" s="1"/>
  <c r="E118" i="8"/>
  <c r="E20" i="15"/>
  <c r="DI27" i="2"/>
  <c r="H75" i="7"/>
  <c r="DH45" i="2"/>
  <c r="KB21" i="2"/>
  <c r="D343" i="20" s="1"/>
  <c r="HU21" i="2"/>
  <c r="D99" i="20" s="1"/>
  <c r="HV21" i="2"/>
  <c r="D101" i="20" s="1"/>
  <c r="KC21" i="2"/>
  <c r="D92" i="20" s="1"/>
  <c r="FX15" i="2"/>
  <c r="IT15" i="2"/>
  <c r="F20" i="15"/>
  <c r="DI33" i="2"/>
  <c r="F118" i="8"/>
  <c r="DD27" i="2"/>
  <c r="KA21" i="2"/>
  <c r="D89" i="20" s="1"/>
  <c r="HT21" i="2"/>
  <c r="D98" i="20" s="1"/>
  <c r="G121" i="18"/>
  <c r="FK39" i="2"/>
  <c r="FD39" i="2"/>
  <c r="FM39" i="2" s="1"/>
  <c r="IS39" i="2"/>
  <c r="C73" i="7"/>
  <c r="JG15" i="2"/>
  <c r="DG15" i="2"/>
  <c r="JU39" i="2"/>
  <c r="G67" i="20" s="1"/>
  <c r="HS15" i="2"/>
  <c r="JZ15" i="2"/>
  <c r="DF39" i="2"/>
  <c r="DF33" i="2"/>
  <c r="IU21" i="2"/>
  <c r="BY27" i="2"/>
  <c r="E19" i="27" s="1"/>
  <c r="GS50" i="2"/>
  <c r="JT4" i="2"/>
  <c r="JT50" i="2" s="1"/>
  <c r="IU27" i="2"/>
  <c r="FX7" i="2"/>
  <c r="IT7" i="2"/>
  <c r="KG21" i="2"/>
  <c r="JT27" i="2"/>
  <c r="E253" i="20" s="1"/>
  <c r="JN50" i="2"/>
  <c r="JN6" i="2"/>
  <c r="JN52" i="2" s="1"/>
  <c r="CG8" i="2"/>
  <c r="CG9" i="2" s="1"/>
  <c r="CC8" i="2"/>
  <c r="CC9" i="2" s="1"/>
  <c r="CI8" i="2"/>
  <c r="CI9" i="2" s="1"/>
  <c r="CX8" i="2"/>
  <c r="CX9" i="2" s="1"/>
  <c r="BZ8" i="2"/>
  <c r="BZ9" i="2" s="1"/>
  <c r="CZ8" i="2"/>
  <c r="CZ9" i="2" s="1"/>
  <c r="CF8" i="2"/>
  <c r="CF9" i="2" s="1"/>
  <c r="CY8" i="2"/>
  <c r="CY9" i="2" s="1"/>
  <c r="CE8" i="2"/>
  <c r="CE9" i="2" s="1"/>
  <c r="DA8" i="2"/>
  <c r="DA9" i="2" s="1"/>
  <c r="CB8" i="2"/>
  <c r="CB9" i="2" s="1"/>
  <c r="CD8" i="2"/>
  <c r="CD9" i="2" s="1"/>
  <c r="CH8" i="2"/>
  <c r="CH9" i="2" s="1"/>
  <c r="CW8" i="2"/>
  <c r="CW9" i="2" s="1"/>
  <c r="CV8" i="2"/>
  <c r="CV9" i="2" s="1"/>
  <c r="CA8" i="2"/>
  <c r="CA9" i="2" s="1"/>
  <c r="DB8" i="2"/>
  <c r="DB9" i="2" s="1"/>
  <c r="BT50" i="2"/>
  <c r="BT6" i="2"/>
  <c r="BT52" i="2" s="1"/>
  <c r="CU25" i="2"/>
  <c r="DJ25" i="2"/>
  <c r="HU15" i="2"/>
  <c r="C99" i="20" s="1"/>
  <c r="KB15" i="2"/>
  <c r="C343" i="20" s="1"/>
  <c r="EY50" i="2"/>
  <c r="IR4" i="2"/>
  <c r="FA4" i="2"/>
  <c r="FE4" i="2"/>
  <c r="FZ4" i="2" s="1"/>
  <c r="FZ50" i="2" s="1"/>
  <c r="FH4" i="2"/>
  <c r="FH50" i="2" s="1"/>
  <c r="GI4" i="2"/>
  <c r="GI50" i="2" s="1"/>
  <c r="EY6" i="2"/>
  <c r="JT15" i="2"/>
  <c r="C253" i="20" s="1"/>
  <c r="C54" i="8"/>
  <c r="C56" i="8" s="1"/>
  <c r="C57" i="8" s="1"/>
  <c r="C13" i="7"/>
  <c r="J6" i="8"/>
  <c r="J8" i="8" s="1"/>
  <c r="B8" i="8"/>
  <c r="B9" i="8" s="1"/>
  <c r="C234" i="8"/>
  <c r="C51" i="18"/>
  <c r="F249" i="8"/>
  <c r="F251" i="8" s="1"/>
  <c r="F252" i="8" s="1"/>
  <c r="F77" i="7"/>
  <c r="F46" i="20"/>
  <c r="FL7" i="2"/>
  <c r="D191" i="8"/>
  <c r="D193" i="8" s="1"/>
  <c r="D194" i="8" s="1"/>
  <c r="D65" i="7"/>
  <c r="AP21" i="2"/>
  <c r="D79" i="18" s="1"/>
  <c r="DR7" i="2"/>
  <c r="DW7" i="2"/>
  <c r="DD7" i="2"/>
  <c r="HI8" i="2"/>
  <c r="HI9" i="2" s="1"/>
  <c r="HJ8" i="2"/>
  <c r="HJ9" i="2" s="1"/>
  <c r="HM8" i="2"/>
  <c r="HM9" i="2" s="1"/>
  <c r="HO8" i="2"/>
  <c r="HO9" i="2" s="1"/>
  <c r="HK8" i="2"/>
  <c r="HK9" i="2" s="1"/>
  <c r="HL8" i="2"/>
  <c r="HL9" i="2" s="1"/>
  <c r="HN8" i="2"/>
  <c r="HN9" i="2" s="1"/>
  <c r="HH8" i="2"/>
  <c r="HH9" i="2" s="1"/>
  <c r="HG8" i="2"/>
  <c r="HG9" i="2" s="1"/>
  <c r="JV33" i="2"/>
  <c r="F178" i="8"/>
  <c r="F180" i="8" s="1"/>
  <c r="F181" i="8" s="1"/>
  <c r="F61" i="7"/>
  <c r="F77" i="18"/>
  <c r="AO33" i="2"/>
  <c r="AZ9" i="2"/>
  <c r="F124" i="23"/>
  <c r="F6" i="2"/>
  <c r="F52" i="2" s="1"/>
  <c r="Q50" i="2"/>
  <c r="IA4" i="2"/>
  <c r="IA50" i="2" s="1"/>
  <c r="BI9" i="2"/>
  <c r="B92" i="23" s="1"/>
  <c r="IG7" i="2"/>
  <c r="AH50" i="2"/>
  <c r="AH6" i="2"/>
  <c r="AH52" i="2" s="1"/>
  <c r="JS27" i="2"/>
  <c r="E64" i="20" s="1"/>
  <c r="JM9" i="2"/>
  <c r="AB50" i="2"/>
  <c r="AB6" i="2"/>
  <c r="AB52" i="2" s="1"/>
  <c r="F9" i="2"/>
  <c r="M120" i="23"/>
  <c r="F120" i="23" s="1"/>
  <c r="F419" i="18"/>
  <c r="BJ50" i="2"/>
  <c r="BX4" i="2"/>
  <c r="BX50" i="2" s="1"/>
  <c r="BJ6" i="2"/>
  <c r="BL4" i="2"/>
  <c r="BL50" i="2" s="1"/>
  <c r="G65" i="7"/>
  <c r="AP39" i="2"/>
  <c r="G79" i="18" s="1"/>
  <c r="G191" i="8"/>
  <c r="G193" i="8" s="1"/>
  <c r="G194" i="8" s="1"/>
  <c r="AO7" i="2"/>
  <c r="EL9" i="2"/>
  <c r="IA7" i="2"/>
  <c r="GC31" i="2"/>
  <c r="KD7" i="2"/>
  <c r="HW7" i="2"/>
  <c r="IY31" i="2"/>
  <c r="D46" i="20"/>
  <c r="D77" i="7"/>
  <c r="D249" i="8"/>
  <c r="D251" i="8" s="1"/>
  <c r="D252" i="8" s="1"/>
  <c r="H73" i="7"/>
  <c r="DG45" i="2"/>
  <c r="JG45" i="2"/>
  <c r="CS25" i="2"/>
  <c r="IZ19" i="2"/>
  <c r="KG39" i="2"/>
  <c r="H109" i="18"/>
  <c r="H9" i="7"/>
  <c r="EJ45" i="2"/>
  <c r="H94" i="15" s="1"/>
  <c r="H18" i="8"/>
  <c r="N117" i="23"/>
  <c r="G117" i="23" s="1"/>
  <c r="GQ50" i="2"/>
  <c r="JR4" i="2"/>
  <c r="JR50" i="2" s="1"/>
  <c r="GW4" i="2"/>
  <c r="HB4" i="2" s="1"/>
  <c r="HB50" i="2" s="1"/>
  <c r="IG27" i="2"/>
  <c r="E93" i="23" s="1"/>
  <c r="E92" i="23"/>
  <c r="H46" i="23"/>
  <c r="H47" i="23" s="1"/>
  <c r="IH45" i="2"/>
  <c r="H48" i="23" s="1"/>
  <c r="IX37" i="2"/>
  <c r="BW15" i="2"/>
  <c r="C245" i="23" s="1"/>
  <c r="BL39" i="2"/>
  <c r="G54" i="23" s="1"/>
  <c r="G53" i="23" s="1"/>
  <c r="BX39" i="2"/>
  <c r="P79" i="23" s="1"/>
  <c r="P94" i="23" s="1"/>
  <c r="DD15" i="2"/>
  <c r="EO50" i="2"/>
  <c r="EO6" i="2"/>
  <c r="EO52" i="2" s="1"/>
  <c r="H59" i="7"/>
  <c r="H76" i="18"/>
  <c r="H172" i="8"/>
  <c r="H174" i="8" s="1"/>
  <c r="KV50" i="2"/>
  <c r="KV6" i="2"/>
  <c r="KV52" i="2" s="1"/>
  <c r="KW50" i="2"/>
  <c r="KW6" i="2"/>
  <c r="KW52" i="2" s="1"/>
  <c r="BK50" i="2"/>
  <c r="BK6" i="2"/>
  <c r="BK52" i="2" s="1"/>
  <c r="KB33" i="2"/>
  <c r="HU33" i="2"/>
  <c r="K50" i="2"/>
  <c r="K6" i="2"/>
  <c r="EJ4" i="2"/>
  <c r="EJ50" i="2" s="1"/>
  <c r="C120" i="18"/>
  <c r="FH15" i="2"/>
  <c r="GI15" i="2"/>
  <c r="FE15" i="2"/>
  <c r="FZ15" i="2" s="1"/>
  <c r="IR15" i="2"/>
  <c r="FA15" i="2"/>
  <c r="FJ15" i="2" s="1"/>
  <c r="HU39" i="2"/>
  <c r="G99" i="20" s="1"/>
  <c r="KB39" i="2"/>
  <c r="G343" i="20" s="1"/>
  <c r="CD50" i="2"/>
  <c r="JD4" i="2"/>
  <c r="DO4" i="2"/>
  <c r="DO50" i="2" s="1"/>
  <c r="O122" i="23"/>
  <c r="H122" i="23" s="1"/>
  <c r="EQ50" i="2"/>
  <c r="EQ6" i="2"/>
  <c r="EQ52" i="2" s="1"/>
  <c r="H419" i="18"/>
  <c r="D79" i="7"/>
  <c r="D31" i="20"/>
  <c r="D243" i="8"/>
  <c r="D245" i="8" s="1"/>
  <c r="D246" i="8" s="1"/>
  <c r="D3" i="20"/>
  <c r="D5" i="20" s="1"/>
  <c r="F71" i="7"/>
  <c r="F57" i="15"/>
  <c r="DC33" i="2"/>
  <c r="CU37" i="2"/>
  <c r="DJ37" i="2"/>
  <c r="HW15" i="2"/>
  <c r="KD15" i="2"/>
  <c r="HO50" i="2"/>
  <c r="KE4" i="2"/>
  <c r="KE50" i="2" s="1"/>
  <c r="HX4" i="2"/>
  <c r="HX50" i="2" s="1"/>
  <c r="E75" i="7"/>
  <c r="DH27" i="2"/>
  <c r="DP7" i="2"/>
  <c r="HP50" i="2"/>
  <c r="HR4" i="2"/>
  <c r="HR50" i="2" s="1"/>
  <c r="HP6" i="2"/>
  <c r="KH4" i="2"/>
  <c r="KH50" i="2" s="1"/>
  <c r="HQ4" i="2"/>
  <c r="HQ50" i="2" s="1"/>
  <c r="DE39" i="2"/>
  <c r="FI21" i="2"/>
  <c r="FF21" i="2"/>
  <c r="N92" i="22"/>
  <c r="AM33" i="2"/>
  <c r="CX50" i="2"/>
  <c r="DE4" i="2"/>
  <c r="DE50" i="2" s="1"/>
  <c r="DX4" i="2"/>
  <c r="DX50" i="2" s="1"/>
  <c r="KF39" i="2"/>
  <c r="FK15" i="2"/>
  <c r="IS15" i="2"/>
  <c r="C121" i="18"/>
  <c r="FD15" i="2"/>
  <c r="FM15" i="2" s="1"/>
  <c r="DC7" i="2"/>
  <c r="DV7" i="2"/>
  <c r="DN7" i="2"/>
  <c r="EB43" i="2"/>
  <c r="KU9" i="2"/>
  <c r="M119" i="23"/>
  <c r="F119" i="23" s="1"/>
  <c r="CM25" i="2"/>
  <c r="D9" i="7"/>
  <c r="D109" i="18"/>
  <c r="D18" i="8"/>
  <c r="EJ21" i="2"/>
  <c r="D94" i="15" s="1"/>
  <c r="KG27" i="2"/>
  <c r="C63" i="7"/>
  <c r="C78" i="18"/>
  <c r="C185" i="8"/>
  <c r="C187" i="8" s="1"/>
  <c r="O121" i="23"/>
  <c r="H121" i="23" s="1"/>
  <c r="KC27" i="2"/>
  <c r="E92" i="20" s="1"/>
  <c r="HV27" i="2"/>
  <c r="E101" i="20" s="1"/>
  <c r="EN50" i="2"/>
  <c r="EN6" i="2"/>
  <c r="EN52" i="2" s="1"/>
  <c r="KM9" i="2"/>
  <c r="GW33" i="2"/>
  <c r="HE33" i="2" s="1"/>
  <c r="JR33" i="2"/>
  <c r="F297" i="20" s="1"/>
  <c r="F92" i="23"/>
  <c r="IG33" i="2"/>
  <c r="F93" i="23" s="1"/>
  <c r="O117" i="23"/>
  <c r="H117" i="23" s="1"/>
  <c r="CK43" i="2"/>
  <c r="GA13" i="2"/>
  <c r="KH15" i="2"/>
  <c r="HR15" i="2"/>
  <c r="IL50" i="2"/>
  <c r="IL6" i="2"/>
  <c r="IL52" i="2" s="1"/>
  <c r="FS50" i="2"/>
  <c r="IU4" i="2"/>
  <c r="O120" i="23"/>
  <c r="H120" i="23" s="1"/>
  <c r="H6" i="2"/>
  <c r="H52" i="2" s="1"/>
  <c r="H50" i="2"/>
  <c r="KA33" i="2"/>
  <c r="HT33" i="2"/>
  <c r="CL25" i="2"/>
  <c r="KJ9" i="2"/>
  <c r="CR37" i="2"/>
  <c r="JU33" i="2"/>
  <c r="F67" i="20" s="1"/>
  <c r="GA31" i="2"/>
  <c r="BK9" i="2"/>
  <c r="DU31" i="2"/>
  <c r="HJ50" i="2"/>
  <c r="JZ4" i="2"/>
  <c r="JZ50" i="2" s="1"/>
  <c r="HS4" i="2"/>
  <c r="EB25" i="2"/>
  <c r="N122" i="23"/>
  <c r="G122" i="23" s="1"/>
  <c r="BX21" i="2"/>
  <c r="M79" i="23" s="1"/>
  <c r="M94" i="23" s="1"/>
  <c r="BL21" i="2"/>
  <c r="D54" i="23" s="1"/>
  <c r="D53" i="23" s="1"/>
  <c r="KA27" i="2"/>
  <c r="E89" i="20" s="1"/>
  <c r="HT27" i="2"/>
  <c r="E98" i="20" s="1"/>
  <c r="AQ25" i="2"/>
  <c r="FO19" i="2"/>
  <c r="IV19" i="2"/>
  <c r="JB19" i="2" s="1"/>
  <c r="BD9" i="2"/>
  <c r="J124" i="23"/>
  <c r="BC50" i="2"/>
  <c r="BC6" i="2"/>
  <c r="BC52" i="2" s="1"/>
  <c r="AQ31" i="2"/>
  <c r="DE7" i="2"/>
  <c r="DX7" i="2"/>
  <c r="C9" i="7"/>
  <c r="C109" i="18"/>
  <c r="C18" i="8"/>
  <c r="EJ15" i="2"/>
  <c r="C94" i="15" s="1"/>
  <c r="AX50" i="2"/>
  <c r="AX6" i="2"/>
  <c r="AX52" i="2" s="1"/>
  <c r="JW7" i="2"/>
  <c r="EF50" i="2"/>
  <c r="EF6" i="2"/>
  <c r="EF52" i="2" s="1"/>
  <c r="DE21" i="2"/>
  <c r="JD33" i="2"/>
  <c r="CU13" i="2"/>
  <c r="DJ13" i="2"/>
  <c r="IX13" i="2"/>
  <c r="CT37" i="2"/>
  <c r="IY19" i="2"/>
  <c r="IH33" i="2"/>
  <c r="F48" i="23" s="1"/>
  <c r="F46" i="23"/>
  <c r="F47" i="23" s="1"/>
  <c r="AQ19" i="2"/>
  <c r="DD45" i="2"/>
  <c r="AF50" i="2"/>
  <c r="AF6" i="2"/>
  <c r="AF52" i="2" s="1"/>
  <c r="IK9" i="2"/>
  <c r="B196" i="8" s="1"/>
  <c r="CO43" i="2"/>
  <c r="GT8" i="2"/>
  <c r="GT9" i="2" s="1"/>
  <c r="GN8" i="2"/>
  <c r="GN9" i="2" s="1"/>
  <c r="GU8" i="2"/>
  <c r="GU9" i="2" s="1"/>
  <c r="GO8" i="2"/>
  <c r="GO9" i="2" s="1"/>
  <c r="GR8" i="2"/>
  <c r="GR9" i="2" s="1"/>
  <c r="GQ8" i="2"/>
  <c r="GQ9" i="2" s="1"/>
  <c r="GV8" i="2"/>
  <c r="GV9" i="2" s="1"/>
  <c r="GP8" i="2"/>
  <c r="GP9" i="2" s="1"/>
  <c r="GS8" i="2"/>
  <c r="GS9" i="2" s="1"/>
  <c r="CV50" i="2"/>
  <c r="DC4" i="2"/>
  <c r="DC50" i="2" s="1"/>
  <c r="DV4" i="2"/>
  <c r="CN13" i="2"/>
  <c r="BH50" i="2"/>
  <c r="BY4" i="2"/>
  <c r="BY50" i="2" s="1"/>
  <c r="BH6" i="2"/>
  <c r="G46" i="23"/>
  <c r="FO37" i="2"/>
  <c r="IV37" i="2"/>
  <c r="JB37" i="2" s="1"/>
  <c r="FZ31" i="2"/>
  <c r="EH50" i="2"/>
  <c r="EH6" i="2"/>
  <c r="EH52" i="2" s="1"/>
  <c r="FB8" i="2"/>
  <c r="FB9" i="2" s="1"/>
  <c r="FT8" i="2"/>
  <c r="FT9" i="2" s="1"/>
  <c r="FR8" i="2"/>
  <c r="FR9" i="2" s="1"/>
  <c r="FW8" i="2"/>
  <c r="FW9" i="2" s="1"/>
  <c r="FS8" i="2"/>
  <c r="FS9" i="2" s="1"/>
  <c r="FQ8" i="2"/>
  <c r="FQ9" i="2" s="1"/>
  <c r="EZ8" i="2"/>
  <c r="EZ9" i="2" s="1"/>
  <c r="FV8" i="2"/>
  <c r="FV9" i="2" s="1"/>
  <c r="FC8" i="2"/>
  <c r="FC9" i="2" s="1"/>
  <c r="FU8" i="2"/>
  <c r="FU9" i="2" s="1"/>
  <c r="AY50" i="2"/>
  <c r="AY6" i="2"/>
  <c r="AY52" i="2" s="1"/>
  <c r="R8" i="2"/>
  <c r="R9" i="2" s="1"/>
  <c r="Q8" i="2"/>
  <c r="Q9" i="2" s="1"/>
  <c r="P119" i="23"/>
  <c r="I119" i="23" s="1"/>
  <c r="P118" i="23"/>
  <c r="I118" i="23" s="1"/>
  <c r="BL15" i="2"/>
  <c r="C54" i="23" s="1"/>
  <c r="C53" i="23" s="1"/>
  <c r="BX15" i="2"/>
  <c r="L79" i="23" s="1"/>
  <c r="L94" i="23" s="1"/>
  <c r="JO50" i="2"/>
  <c r="JO6" i="2"/>
  <c r="JO52" i="2" s="1"/>
  <c r="GC13" i="2"/>
  <c r="EB31" i="2"/>
  <c r="G63" i="7"/>
  <c r="G78" i="18"/>
  <c r="G185" i="8"/>
  <c r="G187" i="8" s="1"/>
  <c r="BV9" i="2"/>
  <c r="JC19" i="2"/>
  <c r="GB31" i="2"/>
  <c r="GY25" i="2"/>
  <c r="GX25" i="2"/>
  <c r="JX25" i="2"/>
  <c r="JA37" i="2"/>
  <c r="IW45" i="2"/>
  <c r="HX7" i="2"/>
  <c r="KE7" i="2"/>
  <c r="BW7" i="2"/>
  <c r="BN9" i="2"/>
  <c r="C225" i="22"/>
  <c r="C51" i="8"/>
  <c r="C39" i="7"/>
  <c r="C92" i="23"/>
  <c r="IG15" i="2"/>
  <c r="C93" i="23" s="1"/>
  <c r="C235" i="8"/>
  <c r="C52" i="18"/>
  <c r="D75" i="7"/>
  <c r="DH21" i="2"/>
  <c r="G75" i="7"/>
  <c r="DH39" i="2"/>
  <c r="FR50" i="2"/>
  <c r="BL27" i="2"/>
  <c r="E54" i="23" s="1"/>
  <c r="E53" i="23" s="1"/>
  <c r="BX27" i="2"/>
  <c r="N79" i="23" s="1"/>
  <c r="N94" i="23" s="1"/>
  <c r="C83" i="7"/>
  <c r="C82" i="20"/>
  <c r="JE15" i="2"/>
  <c r="CJ15" i="2"/>
  <c r="CT15" i="2" s="1"/>
  <c r="C10" i="15" s="1"/>
  <c r="BB50" i="2"/>
  <c r="BB6" i="2"/>
  <c r="BB52" i="2" s="1"/>
  <c r="JD45" i="2"/>
  <c r="JM50" i="2"/>
  <c r="JM6" i="2"/>
  <c r="JM52" i="2" s="1"/>
  <c r="S51" i="2"/>
  <c r="Q5" i="2"/>
  <c r="Q51" i="2" s="1"/>
  <c r="R5" i="2"/>
  <c r="R51" i="2" s="1"/>
  <c r="DI7" i="2"/>
  <c r="AM39" i="2"/>
  <c r="O92" i="22"/>
  <c r="AL50" i="2"/>
  <c r="AL6" i="2"/>
  <c r="AL52" i="2" s="1"/>
  <c r="IW39" i="2"/>
  <c r="FL45" i="2"/>
  <c r="B300" i="18" s="1"/>
  <c r="B301" i="18" s="1"/>
  <c r="HW27" i="2"/>
  <c r="KD27" i="2"/>
  <c r="KE39" i="2"/>
  <c r="HX39" i="2"/>
  <c r="KE33" i="2"/>
  <c r="HX33" i="2"/>
  <c r="DU13" i="2"/>
  <c r="GJ50" i="2"/>
  <c r="GJ6" i="2"/>
  <c r="GJ52" i="2" s="1"/>
  <c r="F18" i="8"/>
  <c r="F9" i="7"/>
  <c r="F109" i="18"/>
  <c r="EJ33" i="2"/>
  <c r="F94" i="15" s="1"/>
  <c r="CP37" i="2"/>
  <c r="JT7" i="2"/>
  <c r="JT33" i="2"/>
  <c r="F253" i="20" s="1"/>
  <c r="JX31" i="2"/>
  <c r="GX31" i="2"/>
  <c r="GY31" i="2"/>
  <c r="BU50" i="2"/>
  <c r="BU6" i="2"/>
  <c r="IH4" i="2"/>
  <c r="IH50" i="2" s="1"/>
  <c r="EK50" i="2"/>
  <c r="EK6" i="2"/>
  <c r="EK52" i="2" s="1"/>
  <c r="S6" i="2"/>
  <c r="S52" i="2" s="1"/>
  <c r="HR7" i="2"/>
  <c r="HQ7" i="2"/>
  <c r="KH7" i="2"/>
  <c r="HP9" i="2"/>
  <c r="F89" i="22"/>
  <c r="F19" i="7"/>
  <c r="F26" i="8"/>
  <c r="F28" i="8" s="1"/>
  <c r="F29" i="8" s="1"/>
  <c r="F273" i="22"/>
  <c r="F275" i="22" s="1"/>
  <c r="F276" i="22" s="1"/>
  <c r="JA13" i="2"/>
  <c r="HC31" i="2"/>
  <c r="JI51" i="2"/>
  <c r="DE33" i="2"/>
  <c r="HE31" i="2"/>
  <c r="FH45" i="2"/>
  <c r="GI45" i="2"/>
  <c r="B314" i="18" s="1"/>
  <c r="IR45" i="2"/>
  <c r="FE45" i="2"/>
  <c r="X326" i="18" s="1"/>
  <c r="FA45" i="2"/>
  <c r="FJ45" i="2" s="1"/>
  <c r="HY13" i="2"/>
  <c r="CF50" i="2"/>
  <c r="DQ4" i="2"/>
  <c r="DQ50" i="2" s="1"/>
  <c r="Q117" i="23"/>
  <c r="J117" i="23" s="1"/>
  <c r="P117" i="23"/>
  <c r="I117" i="23" s="1"/>
  <c r="CN43" i="2"/>
  <c r="DE15" i="2"/>
  <c r="FD7" i="2"/>
  <c r="FM7" i="2" s="1"/>
  <c r="IS7" i="2"/>
  <c r="FK7" i="2"/>
  <c r="JF25" i="2"/>
  <c r="JF31" i="2"/>
  <c r="FE7" i="2"/>
  <c r="GC7" i="2" s="1"/>
  <c r="GI7" i="2"/>
  <c r="FH7" i="2"/>
  <c r="IR7" i="2"/>
  <c r="FA7" i="2"/>
  <c r="FJ7" i="2" s="1"/>
  <c r="EY9" i="2"/>
  <c r="M122" i="23"/>
  <c r="F122" i="23" s="1"/>
  <c r="JT21" i="2"/>
  <c r="D253" i="20" s="1"/>
  <c r="GE31" i="2"/>
  <c r="CR25" i="2"/>
  <c r="E77" i="7"/>
  <c r="E46" i="20"/>
  <c r="E249" i="8"/>
  <c r="E251" i="8" s="1"/>
  <c r="E252" i="8" s="1"/>
  <c r="CQ43" i="2"/>
  <c r="KH33" i="2"/>
  <c r="F99" i="7" s="1"/>
  <c r="HQ33" i="2"/>
  <c r="HR33" i="2"/>
  <c r="F97" i="7" s="1"/>
  <c r="C232" i="8"/>
  <c r="C49" i="18"/>
  <c r="DA50" i="2"/>
  <c r="EA4" i="2"/>
  <c r="EA50" i="2" s="1"/>
  <c r="DH4" i="2"/>
  <c r="DH50" i="2" s="1"/>
  <c r="JF13" i="2"/>
  <c r="AF9" i="2"/>
  <c r="B230" i="22" s="1"/>
  <c r="CR13" i="2"/>
  <c r="FI45" i="2"/>
  <c r="B296" i="18" s="1"/>
  <c r="B297" i="18" s="1"/>
  <c r="FF45" i="2"/>
  <c r="JF43" i="2"/>
  <c r="JD39" i="2"/>
  <c r="EZ50" i="2"/>
  <c r="FF4" i="2"/>
  <c r="FI4" i="2"/>
  <c r="FI50" i="2" s="1"/>
  <c r="BY7" i="2"/>
  <c r="BH9" i="2"/>
  <c r="KH21" i="2"/>
  <c r="HQ21" i="2"/>
  <c r="D210" i="20" s="1"/>
  <c r="HR21" i="2"/>
  <c r="IJ9" i="2"/>
  <c r="B42" i="23" s="1"/>
  <c r="JW27" i="2"/>
  <c r="HX27" i="2"/>
  <c r="KE27" i="2"/>
  <c r="EH9" i="2"/>
  <c r="H92" i="23"/>
  <c r="IG45" i="2"/>
  <c r="H93" i="23" s="1"/>
  <c r="KO50" i="2"/>
  <c r="KO6" i="2"/>
  <c r="KO52" i="2" s="1"/>
  <c r="AA50" i="2"/>
  <c r="AA6" i="2"/>
  <c r="AA52" i="2" s="1"/>
  <c r="AY9" i="2"/>
  <c r="E124" i="23"/>
  <c r="HM50" i="2"/>
  <c r="KC4" i="2"/>
  <c r="KC50" i="2" s="1"/>
  <c r="HV4" i="2"/>
  <c r="HV50" i="2" s="1"/>
  <c r="F420" i="18"/>
  <c r="D77" i="18"/>
  <c r="D61" i="7"/>
  <c r="AO21" i="2"/>
  <c r="D178" i="8"/>
  <c r="D180" i="8" s="1"/>
  <c r="D181" i="8" s="1"/>
  <c r="BX7" i="2"/>
  <c r="BJ9" i="2"/>
  <c r="BL7" i="2"/>
  <c r="FO31" i="2"/>
  <c r="IV31" i="2"/>
  <c r="JB31" i="2" s="1"/>
  <c r="C61" i="7"/>
  <c r="AO15" i="2"/>
  <c r="C77" i="18"/>
  <c r="C178" i="8"/>
  <c r="C180" i="8" s="1"/>
  <c r="C181" i="8" s="1"/>
  <c r="JH50" i="2"/>
  <c r="JH6" i="2"/>
  <c r="JH52" i="2" s="1"/>
  <c r="CY50" i="2"/>
  <c r="DY4" i="2"/>
  <c r="DY50" i="2" s="1"/>
  <c r="DF4" i="2"/>
  <c r="DF50" i="2" s="1"/>
  <c r="HY37" i="2"/>
  <c r="JQ50" i="2"/>
  <c r="JQ6" i="2"/>
  <c r="JQ52" i="2" s="1"/>
  <c r="HH50" i="2"/>
  <c r="KG4" i="2"/>
  <c r="KG50" i="2" s="1"/>
  <c r="X50" i="2"/>
  <c r="X6" i="2"/>
  <c r="AM4" i="2"/>
  <c r="BV6" i="2"/>
  <c r="HY31" i="2"/>
  <c r="CI50" i="2"/>
  <c r="DT4" i="2"/>
  <c r="DT50" i="2" s="1"/>
  <c r="JC43" i="2"/>
  <c r="F17" i="7"/>
  <c r="F32" i="8"/>
  <c r="F34" i="8" s="1"/>
  <c r="F35" i="8" s="1"/>
  <c r="F111" i="22"/>
  <c r="F113" i="22" s="1"/>
  <c r="F114" i="22" s="1"/>
  <c r="JR7" i="2"/>
  <c r="GW7" i="2"/>
  <c r="HE7" i="2" s="1"/>
  <c r="GF19" i="2"/>
  <c r="FN25" i="2"/>
  <c r="ES25" i="2"/>
  <c r="FG25" i="2"/>
  <c r="GI39" i="2"/>
  <c r="FH39" i="2"/>
  <c r="G120" i="18"/>
  <c r="FE39" i="2"/>
  <c r="GD39" i="2" s="1"/>
  <c r="FA39" i="2"/>
  <c r="FJ39" i="2" s="1"/>
  <c r="IR39" i="2"/>
  <c r="GN50" i="2"/>
  <c r="GO50" i="2"/>
  <c r="JI4" i="2"/>
  <c r="GG43" i="2"/>
  <c r="KE21" i="2"/>
  <c r="HX21" i="2"/>
  <c r="FK33" i="2"/>
  <c r="FD33" i="2"/>
  <c r="FM33" i="2" s="1"/>
  <c r="IS33" i="2"/>
  <c r="JV21" i="2"/>
  <c r="JW15" i="2"/>
  <c r="HU27" i="2"/>
  <c r="E99" i="20" s="1"/>
  <c r="KB27" i="2"/>
  <c r="E343" i="20" s="1"/>
  <c r="FQ50" i="2"/>
  <c r="IT4" i="2"/>
  <c r="FX4" i="2"/>
  <c r="C68" i="7"/>
  <c r="C81" i="18"/>
  <c r="C201" i="8"/>
  <c r="C203" i="8" s="1"/>
  <c r="JS21" i="2"/>
  <c r="D64" i="20" s="1"/>
  <c r="HI50" i="2"/>
  <c r="KF4" i="2"/>
  <c r="KF50" i="2" s="1"/>
  <c r="IE50" i="2"/>
  <c r="IE6" i="2"/>
  <c r="IE52" i="2" s="1"/>
  <c r="FU50" i="2"/>
  <c r="IW4" i="2"/>
  <c r="EP50" i="2"/>
  <c r="EP6" i="2"/>
  <c r="AP4" i="2"/>
  <c r="AP50" i="2" s="1"/>
  <c r="IX43" i="2"/>
  <c r="HS7" i="2"/>
  <c r="JZ7" i="2"/>
  <c r="CJ51" i="2"/>
  <c r="CI5" i="2"/>
  <c r="CI51" i="2" s="1"/>
  <c r="DB5" i="2"/>
  <c r="DB51" i="2" s="1"/>
  <c r="CW5" i="2"/>
  <c r="CW51" i="2" s="1"/>
  <c r="CA5" i="2"/>
  <c r="CA51" i="2" s="1"/>
  <c r="CY5" i="2"/>
  <c r="CY51" i="2" s="1"/>
  <c r="CF5" i="2"/>
  <c r="CF51" i="2" s="1"/>
  <c r="CB5" i="2"/>
  <c r="CB51" i="2" s="1"/>
  <c r="CX5" i="2"/>
  <c r="CX51" i="2" s="1"/>
  <c r="CV5" i="2"/>
  <c r="CV51" i="2" s="1"/>
  <c r="CC5" i="2"/>
  <c r="CC51" i="2" s="1"/>
  <c r="BZ5" i="2"/>
  <c r="BZ51" i="2" s="1"/>
  <c r="CE5" i="2"/>
  <c r="CE51" i="2" s="1"/>
  <c r="CD5" i="2"/>
  <c r="CD51" i="2" s="1"/>
  <c r="CG5" i="2"/>
  <c r="CG51" i="2" s="1"/>
  <c r="CZ5" i="2"/>
  <c r="CZ51" i="2" s="1"/>
  <c r="DA5" i="2"/>
  <c r="DA51" i="2" s="1"/>
  <c r="CH5" i="2"/>
  <c r="CH51" i="2" s="1"/>
  <c r="EB19" i="2"/>
  <c r="DQ7" i="2"/>
  <c r="IG21" i="2"/>
  <c r="D93" i="23" s="1"/>
  <c r="D92" i="23"/>
  <c r="KF27" i="2"/>
  <c r="I124" i="23"/>
  <c r="BC9" i="2"/>
  <c r="JK50" i="2"/>
  <c r="JK6" i="2"/>
  <c r="JK52" i="2" s="1"/>
  <c r="KR50" i="2"/>
  <c r="KR6" i="2"/>
  <c r="KR52" i="2" s="1"/>
  <c r="AX9" i="2"/>
  <c r="D124" i="23" s="1"/>
  <c r="C124" i="23"/>
  <c r="ER50" i="2"/>
  <c r="ER6" i="2"/>
  <c r="ER52" i="2" s="1"/>
  <c r="FV50" i="2"/>
  <c r="BY39" i="2"/>
  <c r="G19" i="27" s="1"/>
  <c r="EA7" i="2"/>
  <c r="DH7" i="2"/>
  <c r="C48" i="8"/>
  <c r="C50" i="8" s="1"/>
  <c r="C222" i="22"/>
  <c r="IW33" i="2"/>
  <c r="IV43" i="2"/>
  <c r="JB43" i="2" s="1"/>
  <c r="FO43" i="2"/>
  <c r="GW51" i="2"/>
  <c r="GP5" i="2"/>
  <c r="GP51" i="2" s="1"/>
  <c r="GO5" i="2"/>
  <c r="GO51" i="2" s="1"/>
  <c r="GS5" i="2"/>
  <c r="GS51" i="2" s="1"/>
  <c r="GQ5" i="2"/>
  <c r="GQ51" i="2" s="1"/>
  <c r="GT5" i="2"/>
  <c r="GT51" i="2" s="1"/>
  <c r="GV5" i="2"/>
  <c r="GV51" i="2" s="1"/>
  <c r="GN5" i="2"/>
  <c r="GN51" i="2" s="1"/>
  <c r="GU5" i="2"/>
  <c r="GU51" i="2" s="1"/>
  <c r="GR5" i="2"/>
  <c r="GR51" i="2" s="1"/>
  <c r="EB13" i="2"/>
  <c r="JF37" i="2"/>
  <c r="FI7" i="2"/>
  <c r="FF7" i="2"/>
  <c r="BY15" i="2"/>
  <c r="C19" i="27" s="1"/>
  <c r="M118" i="23"/>
  <c r="F118" i="23" s="1"/>
  <c r="Q119" i="23"/>
  <c r="J119" i="23" s="1"/>
  <c r="IZ31" i="2"/>
  <c r="AA9" i="2"/>
  <c r="KQ50" i="2"/>
  <c r="KQ6" i="2"/>
  <c r="KQ52" i="2" s="1"/>
  <c r="EG50" i="2"/>
  <c r="EG6" i="2"/>
  <c r="EG52" i="2" s="1"/>
  <c r="HV15" i="2"/>
  <c r="C101" i="20" s="1"/>
  <c r="KC15" i="2"/>
  <c r="C92" i="20" s="1"/>
  <c r="D17" i="7"/>
  <c r="D32" i="8"/>
  <c r="D34" i="8" s="1"/>
  <c r="D35" i="8" s="1"/>
  <c r="D111" i="22"/>
  <c r="D113" i="22" s="1"/>
  <c r="D114" i="22" s="1"/>
  <c r="N120" i="23"/>
  <c r="G120" i="23" s="1"/>
  <c r="O118" i="23"/>
  <c r="H118" i="23" s="1"/>
  <c r="JO9" i="2"/>
  <c r="JH9" i="2"/>
  <c r="I50" i="2"/>
  <c r="I6" i="2"/>
  <c r="I52" i="2" s="1"/>
  <c r="JQ9" i="2"/>
  <c r="H19" i="7"/>
  <c r="H26" i="8"/>
  <c r="H28" i="8" s="1"/>
  <c r="H29" i="8" s="1"/>
  <c r="H89" i="22"/>
  <c r="H273" i="22"/>
  <c r="H275" i="22" s="1"/>
  <c r="H276" i="22" s="1"/>
  <c r="AQ13" i="2"/>
  <c r="JX19" i="2"/>
  <c r="GY19" i="2"/>
  <c r="GX19" i="2"/>
  <c r="IH27" i="2"/>
  <c r="E48" i="23" s="1"/>
  <c r="E46" i="23"/>
  <c r="E47" i="23" s="1"/>
  <c r="GW27" i="2"/>
  <c r="GZ27" i="2" s="1"/>
  <c r="JR27" i="2"/>
  <c r="E297" i="20" s="1"/>
  <c r="HR39" i="2"/>
  <c r="HQ39" i="2"/>
  <c r="G210" i="20" s="1"/>
  <c r="KH39" i="2"/>
  <c r="DT7" i="2"/>
  <c r="GD43" i="2"/>
  <c r="JX13" i="2"/>
  <c r="GX13" i="2"/>
  <c r="GY13" i="2"/>
  <c r="HR27" i="2"/>
  <c r="KH27" i="2"/>
  <c r="HQ27" i="2"/>
  <c r="E210" i="20" s="1"/>
  <c r="CP25" i="2"/>
  <c r="GC25" i="2"/>
  <c r="FN37" i="2"/>
  <c r="ES37" i="2"/>
  <c r="FG37" i="2"/>
  <c r="DU19" i="2"/>
  <c r="JI7" i="2"/>
  <c r="JI9" i="2" s="1"/>
  <c r="B35" i="20" s="1"/>
  <c r="IZ43" i="2"/>
  <c r="EJ27" i="2"/>
  <c r="E94" i="15" s="1"/>
  <c r="E9" i="7"/>
  <c r="E109" i="18"/>
  <c r="E18" i="8"/>
  <c r="KC33" i="2"/>
  <c r="HV33" i="2"/>
  <c r="JP50" i="2"/>
  <c r="JP6" i="2"/>
  <c r="JP52" i="2" s="1"/>
  <c r="HS27" i="2"/>
  <c r="JZ27" i="2"/>
  <c r="KA7" i="2"/>
  <c r="HT7" i="2"/>
  <c r="C233" i="8"/>
  <c r="C50" i="18"/>
  <c r="D73" i="7"/>
  <c r="JG21" i="2"/>
  <c r="DG21" i="2"/>
  <c r="HG50" i="2"/>
  <c r="JE7" i="2"/>
  <c r="CJ7" i="2"/>
  <c r="CN7" i="2" s="1"/>
  <c r="DK7" i="2"/>
  <c r="KD21" i="2"/>
  <c r="HW21" i="2"/>
  <c r="FD21" i="2"/>
  <c r="FM21" i="2" s="1"/>
  <c r="FK21" i="2"/>
  <c r="IS21" i="2"/>
  <c r="EW50" i="2"/>
  <c r="EW6" i="2"/>
  <c r="EW52" i="2" s="1"/>
  <c r="H71" i="7"/>
  <c r="H57" i="15"/>
  <c r="DC45" i="2"/>
  <c r="KU50" i="2"/>
  <c r="KU6" i="2"/>
  <c r="KU52" i="2" s="1"/>
  <c r="DL7" i="2"/>
  <c r="C95" i="7"/>
  <c r="C106" i="20"/>
  <c r="JU21" i="2"/>
  <c r="D67" i="20" s="1"/>
  <c r="IU45" i="2"/>
  <c r="KS50" i="2"/>
  <c r="KS6" i="2"/>
  <c r="KS52" i="2" s="1"/>
  <c r="G9" i="7"/>
  <c r="G18" i="8"/>
  <c r="G109" i="18"/>
  <c r="EJ39" i="2"/>
  <c r="G94" i="15" s="1"/>
  <c r="GI27" i="2"/>
  <c r="FH27" i="2"/>
  <c r="FA27" i="2"/>
  <c r="FJ27" i="2" s="1"/>
  <c r="FE27" i="2"/>
  <c r="GD27" i="2" s="1"/>
  <c r="IR27" i="2"/>
  <c r="BN50" i="2"/>
  <c r="BN6" i="2"/>
  <c r="BW4" i="2"/>
  <c r="BW50" i="2" s="1"/>
  <c r="EM50" i="2"/>
  <c r="EM6" i="2"/>
  <c r="EM52" i="2" s="1"/>
  <c r="KM50" i="2"/>
  <c r="KM6" i="2"/>
  <c r="KM52" i="2" s="1"/>
  <c r="KJ50" i="2"/>
  <c r="KJ6" i="2"/>
  <c r="KJ52" i="2" s="1"/>
  <c r="KV9" i="2"/>
  <c r="JE33" i="2"/>
  <c r="CJ33" i="2"/>
  <c r="CK33" i="2" s="1"/>
  <c r="BW39" i="2"/>
  <c r="G245" i="23" s="1"/>
  <c r="FN13" i="2"/>
  <c r="ES13" i="2"/>
  <c r="FG13" i="2"/>
  <c r="CN25" i="2"/>
  <c r="DO7" i="2"/>
  <c r="JD7" i="2"/>
  <c r="IK50" i="2"/>
  <c r="IK6" i="2"/>
  <c r="IK52" i="2" s="1"/>
  <c r="E65" i="7"/>
  <c r="E191" i="8"/>
  <c r="E193" i="8" s="1"/>
  <c r="E194" i="8" s="1"/>
  <c r="AP27" i="2"/>
  <c r="E79" i="18" s="1"/>
  <c r="GI21" i="2"/>
  <c r="FH21" i="2"/>
  <c r="FA21" i="2"/>
  <c r="FJ21" i="2" s="1"/>
  <c r="IR21" i="2"/>
  <c r="FE21" i="2"/>
  <c r="BB9" i="2"/>
  <c r="H124" i="23"/>
  <c r="P122" i="23"/>
  <c r="I122" i="23" s="1"/>
  <c r="FN19" i="2"/>
  <c r="ES19" i="2"/>
  <c r="FG19" i="2"/>
  <c r="HB31" i="2"/>
  <c r="EI50" i="2"/>
  <c r="EI6" i="2"/>
  <c r="EI52" i="2" s="1"/>
  <c r="BU9" i="2"/>
  <c r="IH7" i="2"/>
  <c r="EK9" i="2"/>
  <c r="CB50" i="2"/>
  <c r="DM4" i="2"/>
  <c r="DM50" i="2" s="1"/>
  <c r="G50" i="2"/>
  <c r="G6" i="2"/>
  <c r="G52" i="2" s="1"/>
  <c r="Q122" i="23"/>
  <c r="J122" i="23" s="1"/>
  <c r="K290" i="22"/>
  <c r="GM50" i="2"/>
  <c r="GM6" i="2"/>
  <c r="GM52" i="2" s="1"/>
  <c r="CQ25" i="2"/>
  <c r="GC19" i="2"/>
  <c r="CM43" i="2"/>
  <c r="GF43" i="2"/>
  <c r="GG13" i="2"/>
  <c r="FW50" i="2"/>
  <c r="C172" i="8"/>
  <c r="C174" i="8" s="1"/>
  <c r="C76" i="18"/>
  <c r="C59" i="7"/>
  <c r="CE50" i="2"/>
  <c r="DP4" i="2"/>
  <c r="DP50" i="2" s="1"/>
  <c r="DM7" i="2"/>
  <c r="KP50" i="2"/>
  <c r="KP6" i="2"/>
  <c r="KP52" i="2" s="1"/>
  <c r="IU7" i="2"/>
  <c r="HY19" i="2"/>
  <c r="F75" i="7"/>
  <c r="DH33" i="2"/>
  <c r="CQ37" i="2"/>
  <c r="KF15" i="2"/>
  <c r="G79" i="7"/>
  <c r="G243" i="8"/>
  <c r="G245" i="8" s="1"/>
  <c r="G246" i="8" s="1"/>
  <c r="G31" i="20"/>
  <c r="G3" i="20"/>
  <c r="G5" i="20" s="1"/>
  <c r="CL43" i="2"/>
  <c r="IW15" i="2"/>
  <c r="EP9" i="2"/>
  <c r="AP7" i="2"/>
  <c r="GI33" i="2"/>
  <c r="FH33" i="2"/>
  <c r="IR33" i="2"/>
  <c r="FA33" i="2"/>
  <c r="FJ33" i="2" s="1"/>
  <c r="FE33" i="2"/>
  <c r="DJ31" i="2"/>
  <c r="CU31" i="2"/>
  <c r="GT50" i="2"/>
  <c r="JU4" i="2"/>
  <c r="JU50" i="2" s="1"/>
  <c r="DF27" i="2"/>
  <c r="JK9" i="2"/>
  <c r="BG50" i="2"/>
  <c r="BG6" i="2"/>
  <c r="BG52" i="2" s="1"/>
  <c r="ER9" i="2"/>
  <c r="B83" i="18" s="1"/>
  <c r="JE27" i="2"/>
  <c r="CJ27" i="2"/>
  <c r="CP27" i="2" s="1"/>
  <c r="JY6" i="2"/>
  <c r="JY52" i="2" s="1"/>
  <c r="EB37" i="2"/>
  <c r="CO25" i="2"/>
  <c r="GR50" i="2"/>
  <c r="JS4" i="2"/>
  <c r="JS50" i="2" s="1"/>
  <c r="CO31" i="2"/>
  <c r="H137" i="15"/>
  <c r="H124" i="8"/>
  <c r="H126" i="8" s="1"/>
  <c r="H127" i="8" s="1"/>
  <c r="CT25" i="2"/>
  <c r="CO13" i="2"/>
  <c r="JC31" i="2"/>
  <c r="AI50" i="2"/>
  <c r="AI6" i="2"/>
  <c r="AI52" i="2" s="1"/>
  <c r="CS37" i="2"/>
  <c r="GP50" i="2"/>
  <c r="CO37" i="2"/>
  <c r="HK50" i="2"/>
  <c r="HT4" i="2"/>
  <c r="HT50" i="2" s="1"/>
  <c r="KA4" i="2"/>
  <c r="KA50" i="2" s="1"/>
  <c r="IJ6" i="2"/>
  <c r="BL33" i="2"/>
  <c r="F54" i="23" s="1"/>
  <c r="F53" i="23" s="1"/>
  <c r="BX33" i="2"/>
  <c r="O79" i="23" s="1"/>
  <c r="O94" i="23" s="1"/>
  <c r="GG31" i="2"/>
  <c r="IC50" i="2"/>
  <c r="IC6" i="2"/>
  <c r="IC52" i="2" s="1"/>
  <c r="KQ9" i="2"/>
  <c r="HV7" i="2"/>
  <c r="KC7" i="2"/>
  <c r="BP50" i="2"/>
  <c r="BP6" i="2"/>
  <c r="BP52" i="2" s="1"/>
  <c r="CS31" i="2"/>
  <c r="G92" i="23"/>
  <c r="IG39" i="2"/>
  <c r="G93" i="23" s="1"/>
  <c r="C137" i="15"/>
  <c r="C124" i="8"/>
  <c r="C126" i="8" s="1"/>
  <c r="C127" i="8" s="1"/>
  <c r="KN50" i="2"/>
  <c r="KN6" i="2"/>
  <c r="KN52" i="2" s="1"/>
  <c r="DF7" i="2"/>
  <c r="DY7" i="2"/>
  <c r="GC43" i="2"/>
  <c r="DU37" i="2"/>
  <c r="KG7" i="2"/>
  <c r="K92" i="22"/>
  <c r="GW21" i="2"/>
  <c r="GX21" i="2" s="1"/>
  <c r="D190" i="20" s="1"/>
  <c r="JR21" i="2"/>
  <c r="JZ33" i="2"/>
  <c r="HS33" i="2"/>
  <c r="JX37" i="2"/>
  <c r="GY37" i="2"/>
  <c r="GX37" i="2"/>
  <c r="W9" i="2"/>
  <c r="B353" i="22" s="1"/>
  <c r="K370" i="22" s="1"/>
  <c r="CL31" i="2"/>
  <c r="IX25" i="2"/>
  <c r="GU50" i="2"/>
  <c r="JV4" i="2"/>
  <c r="JV50" i="2" s="1"/>
  <c r="BE50" i="2"/>
  <c r="BE6" i="2"/>
  <c r="BE52" i="2" s="1"/>
  <c r="C65" i="7"/>
  <c r="C191" i="8"/>
  <c r="C193" i="8" s="1"/>
  <c r="C194" i="8" s="1"/>
  <c r="AP15" i="2"/>
  <c r="C79" i="18" s="1"/>
  <c r="FC50" i="2"/>
  <c r="FL4" i="2"/>
  <c r="FL50" i="2" s="1"/>
  <c r="FB50" i="2"/>
  <c r="IS4" i="2"/>
  <c r="FD4" i="2"/>
  <c r="FK4" i="2"/>
  <c r="FK50" i="2" s="1"/>
  <c r="BF50" i="2"/>
  <c r="BF6" i="2"/>
  <c r="BF52" i="2" s="1"/>
  <c r="H178" i="8"/>
  <c r="H180" i="8" s="1"/>
  <c r="H181" i="8" s="1"/>
  <c r="H61" i="7"/>
  <c r="H77" i="18"/>
  <c r="AO45" i="2"/>
  <c r="HW39" i="2"/>
  <c r="KD39" i="2"/>
  <c r="CG50" i="2"/>
  <c r="DR4" i="2"/>
  <c r="DR50" i="2" s="1"/>
  <c r="CU43" i="2"/>
  <c r="DJ43" i="2"/>
  <c r="BE9" i="2"/>
  <c r="B202" i="23" s="1"/>
  <c r="IM50" i="2"/>
  <c r="IM6" i="2"/>
  <c r="IM52" i="2" s="1"/>
  <c r="DG39" i="2"/>
  <c r="G73" i="7"/>
  <c r="JG39" i="2"/>
  <c r="GV50" i="2"/>
  <c r="JW4" i="2"/>
  <c r="JW50" i="2" s="1"/>
  <c r="CH50" i="2"/>
  <c r="DS4" i="2"/>
  <c r="DS50" i="2" s="1"/>
  <c r="KB7" i="2"/>
  <c r="HU7" i="2"/>
  <c r="H234" i="8"/>
  <c r="H51" i="18"/>
  <c r="C357" i="18"/>
  <c r="C358" i="18" s="1"/>
  <c r="C355" i="18"/>
  <c r="EL50" i="2"/>
  <c r="EL6" i="2"/>
  <c r="AO4" i="2"/>
  <c r="AO50" i="2" s="1"/>
  <c r="BA9" i="2"/>
  <c r="G124" i="23"/>
  <c r="DZ7" i="2"/>
  <c r="DG7" i="2"/>
  <c r="JG7" i="2"/>
  <c r="CL37" i="2"/>
  <c r="C7" i="7"/>
  <c r="C12" i="8"/>
  <c r="C14" i="8" s="1"/>
  <c r="C15" i="8" s="1"/>
  <c r="AE50" i="2"/>
  <c r="AE6" i="2"/>
  <c r="AE52" i="2" s="1"/>
  <c r="E71" i="7"/>
  <c r="E57" i="15"/>
  <c r="DC27" i="2"/>
  <c r="AM27" i="2"/>
  <c r="M92" i="22"/>
  <c r="BD50" i="2"/>
  <c r="BD6" i="2"/>
  <c r="BD52" i="2" s="1"/>
  <c r="K9" i="2"/>
  <c r="B45" i="22" s="1"/>
  <c r="EJ7" i="2"/>
  <c r="CK25" i="2"/>
  <c r="DS7" i="2"/>
  <c r="AM21" i="2"/>
  <c r="L92" i="22"/>
  <c r="CR43" i="2"/>
  <c r="GK6" i="2"/>
  <c r="GK52" i="2" s="1"/>
  <c r="GM9" i="2"/>
  <c r="Q120" i="23"/>
  <c r="J120" i="23" s="1"/>
  <c r="CM37" i="2"/>
  <c r="C46" i="23"/>
  <c r="C47" i="23" s="1"/>
  <c r="IH15" i="2"/>
  <c r="C48" i="23" s="1"/>
  <c r="JE45" i="2"/>
  <c r="CJ45" i="2"/>
  <c r="CS45" i="2" s="1"/>
  <c r="ED50" i="2"/>
  <c r="ED6" i="2"/>
  <c r="ED52" i="2" s="1"/>
  <c r="C11" i="7"/>
  <c r="C23" i="8"/>
  <c r="IU15" i="2"/>
  <c r="D46" i="23"/>
  <c r="D47" i="23" s="1"/>
  <c r="IH21" i="2"/>
  <c r="D48" i="23" s="1"/>
  <c r="KF7" i="2"/>
  <c r="JT39" i="2"/>
  <c r="G253" i="20" s="1"/>
  <c r="C182" i="22"/>
  <c r="C43" i="8"/>
  <c r="C45" i="8" s="1"/>
  <c r="KL50" i="2"/>
  <c r="KL6" i="2"/>
  <c r="KL52" i="2" s="1"/>
  <c r="IW7" i="2"/>
  <c r="GL50" i="2"/>
  <c r="GL6" i="2"/>
  <c r="GL52" i="2" s="1"/>
  <c r="ES31" i="2"/>
  <c r="FG31" i="2"/>
  <c r="FN31" i="2"/>
  <c r="FN43" i="2"/>
  <c r="ES43" i="2"/>
  <c r="FG43" i="2"/>
  <c r="BQ50" i="2"/>
  <c r="BQ6" i="2"/>
  <c r="BQ52" i="2" s="1"/>
  <c r="JU15" i="2"/>
  <c r="C67" i="20" s="1"/>
  <c r="H17" i="7"/>
  <c r="H32" i="8"/>
  <c r="H34" i="8" s="1"/>
  <c r="H35" i="8" s="1"/>
  <c r="H111" i="22"/>
  <c r="H113" i="22" s="1"/>
  <c r="H114" i="22" s="1"/>
  <c r="BW21" i="2"/>
  <c r="D245" i="23" s="1"/>
  <c r="FX27" i="2"/>
  <c r="IT27" i="2"/>
  <c r="P92" i="22"/>
  <c r="AM45" i="2"/>
  <c r="DU25" i="2"/>
  <c r="JY9" i="2"/>
  <c r="HL50" i="2"/>
  <c r="HU4" i="2"/>
  <c r="HU50" i="2" s="1"/>
  <c r="KB4" i="2"/>
  <c r="KB50" i="2" s="1"/>
  <c r="BZ50" i="2"/>
  <c r="JE4" i="2"/>
  <c r="JE50" i="2" s="1"/>
  <c r="DK4" i="2"/>
  <c r="CJ4" i="2"/>
  <c r="CT4" i="2" s="1"/>
  <c r="CT50" i="2" s="1"/>
  <c r="AK50" i="2"/>
  <c r="AK6" i="2"/>
  <c r="AK52" i="2" s="1"/>
  <c r="JW21" i="2"/>
  <c r="BW27" i="2"/>
  <c r="E245" i="23" s="1"/>
  <c r="DD21" i="2"/>
  <c r="HY25" i="2"/>
  <c r="G77" i="18"/>
  <c r="G178" i="8"/>
  <c r="G180" i="8" s="1"/>
  <c r="G181" i="8" s="1"/>
  <c r="AO39" i="2"/>
  <c r="G61" i="7"/>
  <c r="BL45" i="2"/>
  <c r="H54" i="23" s="1"/>
  <c r="H53" i="23" s="1"/>
  <c r="BX45" i="2"/>
  <c r="Q79" i="23" s="1"/>
  <c r="Q94" i="23" s="1"/>
  <c r="BM50" i="2"/>
  <c r="BM6" i="2"/>
  <c r="BM52" i="2" s="1"/>
  <c r="GD31" i="2"/>
  <c r="CW50" i="2"/>
  <c r="DD4" i="2"/>
  <c r="DD50" i="2" s="1"/>
  <c r="DW4" i="2"/>
  <c r="DW50" i="2" s="1"/>
  <c r="EV50" i="2"/>
  <c r="EV6" i="2"/>
  <c r="EV52" i="2" s="1"/>
  <c r="CC50" i="2"/>
  <c r="DN4" i="2"/>
  <c r="DN50" i="2" s="1"/>
  <c r="FO13" i="2"/>
  <c r="IV13" i="2"/>
  <c r="JB13" i="2" s="1"/>
  <c r="CA50" i="2"/>
  <c r="DL4" i="2"/>
  <c r="DL50" i="2" s="1"/>
  <c r="CN37" i="2"/>
  <c r="IC9" i="2"/>
  <c r="B138" i="22" s="1"/>
  <c r="KI50" i="2"/>
  <c r="KI6" i="2"/>
  <c r="KI52" i="2" s="1"/>
  <c r="EY51" i="2"/>
  <c r="EZ5" i="2"/>
  <c r="EZ51" i="2" s="1"/>
  <c r="FS5" i="2"/>
  <c r="FS51" i="2" s="1"/>
  <c r="FB5" i="2"/>
  <c r="FB51" i="2" s="1"/>
  <c r="FV5" i="2"/>
  <c r="FV51" i="2" s="1"/>
  <c r="FW5" i="2"/>
  <c r="FW51" i="2" s="1"/>
  <c r="FC5" i="2"/>
  <c r="FC51" i="2" s="1"/>
  <c r="FT5" i="2"/>
  <c r="FT51" i="2" s="1"/>
  <c r="FR5" i="2"/>
  <c r="FR51" i="2" s="1"/>
  <c r="FU5" i="2"/>
  <c r="FU51" i="2" s="1"/>
  <c r="FQ5" i="2"/>
  <c r="FQ51" i="2" s="1"/>
  <c r="R50" i="2"/>
  <c r="P121" i="23"/>
  <c r="I121" i="23" s="1"/>
  <c r="H420" i="18"/>
  <c r="AO27" i="2"/>
  <c r="E77" i="18"/>
  <c r="E61" i="7"/>
  <c r="E178" i="8"/>
  <c r="E180" i="8" s="1"/>
  <c r="E181" i="8" s="1"/>
  <c r="IZ37" i="2"/>
  <c r="JA43" i="2"/>
  <c r="JJ55" i="2"/>
  <c r="KN9" i="2"/>
  <c r="DB50" i="2"/>
  <c r="DI4" i="2"/>
  <c r="DI50" i="2" s="1"/>
  <c r="CK37" i="2"/>
  <c r="KT50" i="2"/>
  <c r="KT6" i="2"/>
  <c r="KT52" i="2" s="1"/>
  <c r="AM7" i="2"/>
  <c r="X9" i="2"/>
  <c r="GG19" i="2"/>
  <c r="GB19" i="2"/>
  <c r="IN50" i="2"/>
  <c r="IN6" i="2"/>
  <c r="IN52" i="2" s="1"/>
  <c r="CT13" i="2"/>
  <c r="W50" i="2"/>
  <c r="W6" i="2"/>
  <c r="W52" i="2" s="1"/>
  <c r="AL9" i="2"/>
  <c r="B213" i="22" s="1"/>
  <c r="O119" i="23"/>
  <c r="H119" i="23" s="1"/>
  <c r="J50" i="2"/>
  <c r="J6" i="2"/>
  <c r="J52" i="2" s="1"/>
  <c r="EE50" i="2"/>
  <c r="EE6" i="2"/>
  <c r="EE52" i="2" s="1"/>
  <c r="JV7" i="2"/>
  <c r="BW45" i="2"/>
  <c r="H245" i="23" s="1"/>
  <c r="CU19" i="2"/>
  <c r="DJ19" i="2"/>
  <c r="JV27" i="2"/>
  <c r="JU7" i="2"/>
  <c r="JS7" i="2"/>
  <c r="C31" i="20"/>
  <c r="C79" i="7"/>
  <c r="C3" i="20"/>
  <c r="C5" i="20" s="1"/>
  <c r="C243" i="8"/>
  <c r="C245" i="8" s="1"/>
  <c r="C246" i="8" s="1"/>
  <c r="HP51" i="2"/>
  <c r="HL5" i="2"/>
  <c r="HL51" i="2" s="1"/>
  <c r="HO5" i="2"/>
  <c r="HO51" i="2" s="1"/>
  <c r="HN5" i="2"/>
  <c r="HN51" i="2" s="1"/>
  <c r="HI5" i="2"/>
  <c r="HI51" i="2" s="1"/>
  <c r="HG5" i="2"/>
  <c r="HG51" i="2" s="1"/>
  <c r="HM5" i="2"/>
  <c r="HM51" i="2" s="1"/>
  <c r="HK5" i="2"/>
  <c r="HK51" i="2" s="1"/>
  <c r="HJ5" i="2"/>
  <c r="HJ51" i="2" s="1"/>
  <c r="HH5" i="2"/>
  <c r="HH51" i="2" s="1"/>
  <c r="D118" i="8"/>
  <c r="DI21" i="2"/>
  <c r="D20" i="15"/>
  <c r="HW33" i="2"/>
  <c r="KD33" i="2"/>
  <c r="AZ50" i="2"/>
  <c r="AZ6" i="2"/>
  <c r="AZ52" i="2" s="1"/>
  <c r="C38" i="8"/>
  <c r="C40" i="8" s="1"/>
  <c r="C26" i="7"/>
  <c r="C40" i="23"/>
  <c r="FT50" i="2"/>
  <c r="GE43" i="2"/>
  <c r="KT9" i="2"/>
  <c r="KK50" i="2"/>
  <c r="KK6" i="2"/>
  <c r="KK52" i="2" s="1"/>
  <c r="HN50" i="2"/>
  <c r="KD4" i="2"/>
  <c r="KD50" i="2" s="1"/>
  <c r="HW4" i="2"/>
  <c r="HW50" i="2" s="1"/>
  <c r="JL50" i="2"/>
  <c r="JL6" i="2"/>
  <c r="JL52" i="2" s="1"/>
  <c r="Q121" i="23"/>
  <c r="J121" i="23" s="1"/>
  <c r="JA19" i="2"/>
  <c r="AQ37" i="2"/>
  <c r="BS9" i="2"/>
  <c r="B4" i="23" s="1"/>
  <c r="BA50" i="2"/>
  <c r="BA6" i="2"/>
  <c r="BA52" i="2" s="1"/>
  <c r="CZ50" i="2"/>
  <c r="JG4" i="2"/>
  <c r="JG50" i="2" s="1"/>
  <c r="DZ4" i="2"/>
  <c r="DZ50" i="2" s="1"/>
  <c r="DG4" i="2"/>
  <c r="DG50" i="2" s="1"/>
  <c r="C17" i="7"/>
  <c r="C32" i="8"/>
  <c r="C34" i="8" s="1"/>
  <c r="C35" i="8" s="1"/>
  <c r="C111" i="22"/>
  <c r="C113" i="22" s="1"/>
  <c r="C114" i="22" s="1"/>
  <c r="BR9" i="2"/>
  <c r="IV25" i="2"/>
  <c r="JB25" i="2" s="1"/>
  <c r="FO25" i="2"/>
  <c r="F65" i="7"/>
  <c r="F191" i="8"/>
  <c r="F193" i="8" s="1"/>
  <c r="F194" i="8" s="1"/>
  <c r="AP33" i="2"/>
  <c r="F79" i="18" s="1"/>
  <c r="J9" i="2"/>
  <c r="B4" i="22" s="1"/>
  <c r="H65" i="7"/>
  <c r="H191" i="8"/>
  <c r="H193" i="8" s="1"/>
  <c r="H194" i="8" s="1"/>
  <c r="AP45" i="2"/>
  <c r="H79" i="18" s="1"/>
  <c r="EE9" i="2"/>
  <c r="B170" i="15" s="1"/>
  <c r="BI50" i="2"/>
  <c r="IG4" i="2"/>
  <c r="IG50" i="2" s="1"/>
  <c r="BI6" i="2"/>
  <c r="DM6" i="2" l="1"/>
  <c r="DM9" i="2"/>
  <c r="DT9" i="2"/>
  <c r="DA6" i="2"/>
  <c r="EA6" i="2" s="1"/>
  <c r="EA9" i="2"/>
  <c r="DN9" i="2"/>
  <c r="DP9" i="2"/>
  <c r="DR9" i="2"/>
  <c r="DL9" i="2"/>
  <c r="DY9" i="2"/>
  <c r="DV9" i="2"/>
  <c r="DQ9" i="2"/>
  <c r="DX9" i="2"/>
  <c r="DW9" i="2"/>
  <c r="DZ9" i="2"/>
  <c r="DS9" i="2"/>
  <c r="DK9" i="2"/>
  <c r="CJ9" i="2"/>
  <c r="DO9" i="2"/>
  <c r="CC6" i="2"/>
  <c r="DN6" i="2" s="1"/>
  <c r="BZ6" i="2"/>
  <c r="DK6" i="2" s="1"/>
  <c r="DK52" i="2" s="1"/>
  <c r="DB6" i="2"/>
  <c r="CI6" i="2"/>
  <c r="DT6" i="2" s="1"/>
  <c r="CY6" i="2"/>
  <c r="DY6" i="2" s="1"/>
  <c r="CF6" i="2"/>
  <c r="DQ6" i="2" s="1"/>
  <c r="CX6" i="2"/>
  <c r="DX6" i="2" s="1"/>
  <c r="CW6" i="2"/>
  <c r="DW6" i="2" s="1"/>
  <c r="CE6" i="2"/>
  <c r="DP6" i="2" s="1"/>
  <c r="CG6" i="2"/>
  <c r="DR6" i="2" s="1"/>
  <c r="CZ6" i="2"/>
  <c r="DZ6" i="2" s="1"/>
  <c r="DZ52" i="2" s="1"/>
  <c r="CV6" i="2"/>
  <c r="DV6" i="2" s="1"/>
  <c r="CD6" i="2"/>
  <c r="DO6" i="2" s="1"/>
  <c r="CA6" i="2"/>
  <c r="DL6" i="2" s="1"/>
  <c r="CH6" i="2"/>
  <c r="DS6" i="2" s="1"/>
  <c r="E18" i="15"/>
  <c r="G79" i="27"/>
  <c r="G34" i="15"/>
  <c r="F18" i="15"/>
  <c r="X327" i="18"/>
  <c r="L116" i="23"/>
  <c r="D297" i="20"/>
  <c r="E389" i="20"/>
  <c r="C389" i="20"/>
  <c r="G297" i="20"/>
  <c r="D389" i="20"/>
  <c r="B51" i="18"/>
  <c r="X262" i="18"/>
  <c r="B50" i="18"/>
  <c r="K292" i="22"/>
  <c r="B279" i="22"/>
  <c r="K293" i="22" s="1"/>
  <c r="X263" i="18"/>
  <c r="G389" i="20"/>
  <c r="B49" i="18"/>
  <c r="X328" i="18"/>
  <c r="C297" i="20"/>
  <c r="GA33" i="2"/>
  <c r="F122" i="18"/>
  <c r="R121" i="18" s="1"/>
  <c r="H122" i="18"/>
  <c r="T121" i="18" s="1"/>
  <c r="FZ21" i="2"/>
  <c r="D122" i="18"/>
  <c r="P121" i="18" s="1"/>
  <c r="HD21" i="2"/>
  <c r="D78" i="20" s="1"/>
  <c r="R117" i="23"/>
  <c r="D21" i="7"/>
  <c r="D90" i="22"/>
  <c r="AQ15" i="2"/>
  <c r="H18" i="15"/>
  <c r="GB45" i="2"/>
  <c r="K368" i="22"/>
  <c r="K369" i="22"/>
  <c r="C17" i="15"/>
  <c r="C114" i="8" s="1"/>
  <c r="D18" i="15"/>
  <c r="G18" i="15"/>
  <c r="C21" i="7"/>
  <c r="C18" i="15"/>
  <c r="C90" i="22"/>
  <c r="H90" i="22"/>
  <c r="C106" i="8"/>
  <c r="G90" i="22"/>
  <c r="G47" i="23"/>
  <c r="G21" i="7"/>
  <c r="B232" i="8"/>
  <c r="E90" i="22"/>
  <c r="E21" i="7"/>
  <c r="B185" i="8"/>
  <c r="B187" i="8" s="1"/>
  <c r="CR21" i="2"/>
  <c r="D104" i="8" s="1"/>
  <c r="B54" i="8"/>
  <c r="B56" i="8" s="1"/>
  <c r="B57" i="8" s="1"/>
  <c r="F94" i="18"/>
  <c r="F95" i="18" s="1"/>
  <c r="CS21" i="2"/>
  <c r="D105" i="8" s="1"/>
  <c r="G94" i="18"/>
  <c r="G95" i="18" s="1"/>
  <c r="CP21" i="2"/>
  <c r="CM21" i="2"/>
  <c r="CQ21" i="2"/>
  <c r="CT21" i="2"/>
  <c r="D10" i="15" s="1"/>
  <c r="EC43" i="2"/>
  <c r="GF4" i="2"/>
  <c r="GF50" i="2" s="1"/>
  <c r="DB52" i="2"/>
  <c r="B40" i="23"/>
  <c r="GC4" i="2"/>
  <c r="GC50" i="2" s="1"/>
  <c r="H21" i="7"/>
  <c r="F44" i="27"/>
  <c r="CA52" i="2"/>
  <c r="R6" i="2"/>
  <c r="R52" i="2" s="1"/>
  <c r="HF19" i="2"/>
  <c r="B68" i="7"/>
  <c r="B201" i="8"/>
  <c r="B203" i="8" s="1"/>
  <c r="B95" i="7"/>
  <c r="B234" i="8"/>
  <c r="IX33" i="2"/>
  <c r="GV6" i="2"/>
  <c r="GV52" i="2" s="1"/>
  <c r="GA15" i="2"/>
  <c r="C102" i="18" s="1"/>
  <c r="B23" i="8"/>
  <c r="GD15" i="2"/>
  <c r="GE15" i="2"/>
  <c r="GB15" i="2"/>
  <c r="GF15" i="2"/>
  <c r="D210" i="8"/>
  <c r="D211" i="8" s="1"/>
  <c r="AQ7" i="2"/>
  <c r="GE45" i="2"/>
  <c r="JA45" i="2"/>
  <c r="IZ27" i="2"/>
  <c r="CR39" i="2"/>
  <c r="G8" i="15" s="1"/>
  <c r="IX45" i="2"/>
  <c r="B355" i="18"/>
  <c r="B43" i="8"/>
  <c r="B45" i="8" s="1"/>
  <c r="HF31" i="2"/>
  <c r="GA7" i="2"/>
  <c r="IX27" i="2"/>
  <c r="B225" i="22"/>
  <c r="F6" i="27"/>
  <c r="GD7" i="2"/>
  <c r="GB7" i="2"/>
  <c r="CM39" i="2"/>
  <c r="B39" i="7"/>
  <c r="HD27" i="2"/>
  <c r="F43" i="7"/>
  <c r="F90" i="22"/>
  <c r="HD7" i="2"/>
  <c r="JC15" i="2"/>
  <c r="B78" i="18"/>
  <c r="HF25" i="2"/>
  <c r="HF13" i="2"/>
  <c r="GG27" i="2"/>
  <c r="HB39" i="2"/>
  <c r="G75" i="20" s="1"/>
  <c r="EC25" i="2"/>
  <c r="HA7" i="2"/>
  <c r="CB52" i="2"/>
  <c r="HB33" i="2"/>
  <c r="F75" i="20" s="1"/>
  <c r="HC7" i="2"/>
  <c r="GU6" i="2"/>
  <c r="GU52" i="2" s="1"/>
  <c r="D17" i="15"/>
  <c r="D114" i="8" s="1"/>
  <c r="HN6" i="2"/>
  <c r="HW6" i="2" s="1"/>
  <c r="HW52" i="2" s="1"/>
  <c r="CN15" i="2"/>
  <c r="CM15" i="2"/>
  <c r="JF21" i="2"/>
  <c r="E94" i="18"/>
  <c r="E95" i="18" s="1"/>
  <c r="CR15" i="2"/>
  <c r="C104" i="8" s="1"/>
  <c r="IX7" i="2"/>
  <c r="G17" i="15"/>
  <c r="G114" i="8" s="1"/>
  <c r="CP15" i="2"/>
  <c r="B358" i="18"/>
  <c r="FZ27" i="2"/>
  <c r="F21" i="7"/>
  <c r="BD21" i="7" s="1"/>
  <c r="EC37" i="2"/>
  <c r="HA4" i="2"/>
  <c r="HA50" i="2" s="1"/>
  <c r="HC4" i="2"/>
  <c r="HC50" i="2" s="1"/>
  <c r="HF37" i="2"/>
  <c r="HE4" i="2"/>
  <c r="HE50" i="2" s="1"/>
  <c r="CS7" i="2"/>
  <c r="GC39" i="2"/>
  <c r="GP6" i="2"/>
  <c r="GP52" i="2" s="1"/>
  <c r="HD4" i="2"/>
  <c r="HD50" i="2" s="1"/>
  <c r="GF45" i="2"/>
  <c r="C94" i="18"/>
  <c r="C95" i="18" s="1"/>
  <c r="IY15" i="2"/>
  <c r="B26" i="8"/>
  <c r="B28" i="8" s="1"/>
  <c r="B29" i="8" s="1"/>
  <c r="GC21" i="2"/>
  <c r="HC33" i="2"/>
  <c r="F77" i="20" s="1"/>
  <c r="B89" i="22"/>
  <c r="GA21" i="2"/>
  <c r="B19" i="7"/>
  <c r="B233" i="8"/>
  <c r="BZ52" i="2"/>
  <c r="JC7" i="2"/>
  <c r="AQ21" i="2"/>
  <c r="D24" i="7" s="1"/>
  <c r="IA9" i="2"/>
  <c r="B427" i="22" s="1"/>
  <c r="JJ6" i="2"/>
  <c r="JJ52" i="2" s="1"/>
  <c r="DW52" i="2"/>
  <c r="JA7" i="2"/>
  <c r="B273" i="22"/>
  <c r="B275" i="22" s="1"/>
  <c r="B276" i="22" s="1"/>
  <c r="FB6" i="2"/>
  <c r="GI6" i="2" s="1"/>
  <c r="GI52" i="2" s="1"/>
  <c r="GZ7" i="2"/>
  <c r="AQ27" i="2"/>
  <c r="E24" i="7" s="1"/>
  <c r="HI6" i="2"/>
  <c r="KH6" i="2" s="1"/>
  <c r="KH52" i="2" s="1"/>
  <c r="GB27" i="2"/>
  <c r="CM45" i="2"/>
  <c r="GZ21" i="2"/>
  <c r="D73" i="20" s="1"/>
  <c r="JC33" i="2"/>
  <c r="FL9" i="2"/>
  <c r="B209" i="18" s="1"/>
  <c r="B210" i="18" s="1"/>
  <c r="HB27" i="2"/>
  <c r="E75" i="20" s="1"/>
  <c r="CO21" i="2"/>
  <c r="JC27" i="2"/>
  <c r="CL21" i="2"/>
  <c r="GA27" i="2"/>
  <c r="HJ6" i="2"/>
  <c r="HJ52" i="2" s="1"/>
  <c r="CM7" i="2"/>
  <c r="CO7" i="2"/>
  <c r="CL7" i="2"/>
  <c r="IY21" i="2"/>
  <c r="GO6" i="2"/>
  <c r="GO52" i="2" s="1"/>
  <c r="GC45" i="2"/>
  <c r="GZ33" i="2"/>
  <c r="F73" i="20" s="1"/>
  <c r="IY39" i="2"/>
  <c r="GG15" i="2"/>
  <c r="CN21" i="2"/>
  <c r="HE39" i="2"/>
  <c r="CK45" i="2"/>
  <c r="CN45" i="2"/>
  <c r="CK7" i="2"/>
  <c r="HA39" i="2"/>
  <c r="G74" i="20" s="1"/>
  <c r="CT45" i="2"/>
  <c r="H10" i="15" s="1"/>
  <c r="HY33" i="2"/>
  <c r="GZ4" i="2"/>
  <c r="GZ50" i="2" s="1"/>
  <c r="GB21" i="2"/>
  <c r="HC39" i="2"/>
  <c r="G77" i="20" s="1"/>
  <c r="GE21" i="2"/>
  <c r="CT33" i="2"/>
  <c r="F10" i="15" s="1"/>
  <c r="JA27" i="2"/>
  <c r="GB39" i="2"/>
  <c r="P116" i="23"/>
  <c r="I116" i="23" s="1"/>
  <c r="D51" i="2"/>
  <c r="C73" i="20"/>
  <c r="JT9" i="2"/>
  <c r="JU9" i="2"/>
  <c r="Y118" i="20" s="1"/>
  <c r="KF9" i="2"/>
  <c r="B31" i="20"/>
  <c r="B243" i="8"/>
  <c r="B245" i="8" s="1"/>
  <c r="B246" i="8" s="1"/>
  <c r="B79" i="7"/>
  <c r="B3" i="20"/>
  <c r="B5" i="20" s="1"/>
  <c r="IT9" i="2"/>
  <c r="FX9" i="2"/>
  <c r="JE9" i="2"/>
  <c r="CS9" i="2"/>
  <c r="DE9" i="2"/>
  <c r="H105" i="8"/>
  <c r="H9" i="15"/>
  <c r="E73" i="20"/>
  <c r="B48" i="8"/>
  <c r="B50" i="8" s="1"/>
  <c r="B222" i="22"/>
  <c r="GE33" i="2"/>
  <c r="JD50" i="2"/>
  <c r="JF4" i="2"/>
  <c r="JF50" i="2" s="1"/>
  <c r="IZ15" i="2"/>
  <c r="F77" i="27"/>
  <c r="F32" i="15"/>
  <c r="F136" i="8"/>
  <c r="F138" i="8" s="1"/>
  <c r="F139" i="8" s="1"/>
  <c r="E17" i="15"/>
  <c r="E114" i="8" s="1"/>
  <c r="E86" i="27"/>
  <c r="E41" i="15"/>
  <c r="F206" i="8"/>
  <c r="F207" i="8" s="1"/>
  <c r="F90" i="18"/>
  <c r="F91" i="18" s="1"/>
  <c r="D91" i="7"/>
  <c r="D33" i="20"/>
  <c r="D9" i="20"/>
  <c r="D11" i="20" s="1"/>
  <c r="D276" i="8"/>
  <c r="D278" i="8" s="1"/>
  <c r="D279" i="8" s="1"/>
  <c r="D31" i="15"/>
  <c r="D76" i="27"/>
  <c r="DU21" i="2"/>
  <c r="G49" i="7"/>
  <c r="G107" i="18"/>
  <c r="G142" i="8"/>
  <c r="CO39" i="2"/>
  <c r="D65" i="20"/>
  <c r="D85" i="27"/>
  <c r="D40" i="15"/>
  <c r="HS50" i="2"/>
  <c r="HY4" i="2"/>
  <c r="HY50" i="2" s="1"/>
  <c r="B71" i="7"/>
  <c r="DC9" i="2"/>
  <c r="FO21" i="2"/>
  <c r="IV21" i="2"/>
  <c r="JB21" i="2" s="1"/>
  <c r="G89" i="7"/>
  <c r="G52" i="20"/>
  <c r="G282" i="8"/>
  <c r="G284" i="8" s="1"/>
  <c r="G285" i="8" s="1"/>
  <c r="Q6" i="2"/>
  <c r="CQ33" i="2"/>
  <c r="DD9" i="2"/>
  <c r="HB15" i="2"/>
  <c r="C75" i="20" s="1"/>
  <c r="FE50" i="2"/>
  <c r="FN4" i="2"/>
  <c r="FN50" i="2" s="1"/>
  <c r="ES4" i="2"/>
  <c r="ES50" i="2" s="1"/>
  <c r="FG4" i="2"/>
  <c r="D89" i="7"/>
  <c r="D52" i="20"/>
  <c r="D282" i="8"/>
  <c r="D284" i="8" s="1"/>
  <c r="D285" i="8" s="1"/>
  <c r="FO27" i="2"/>
  <c r="IV27" i="2"/>
  <c r="JB27" i="2" s="1"/>
  <c r="G206" i="8"/>
  <c r="G207" i="8" s="1"/>
  <c r="G90" i="18"/>
  <c r="G91" i="18" s="1"/>
  <c r="CL39" i="2"/>
  <c r="E40" i="15"/>
  <c r="E85" i="27"/>
  <c r="CN39" i="2"/>
  <c r="FO33" i="2"/>
  <c r="IV33" i="2"/>
  <c r="JB33" i="2" s="1"/>
  <c r="D88" i="20"/>
  <c r="C63" i="20"/>
  <c r="JA39" i="2"/>
  <c r="H43" i="7"/>
  <c r="H6" i="27"/>
  <c r="H44" i="27"/>
  <c r="CJ50" i="2"/>
  <c r="DJ4" i="2"/>
  <c r="DJ50" i="2" s="1"/>
  <c r="CU4" i="2"/>
  <c r="CU50" i="2" s="1"/>
  <c r="H76" i="27"/>
  <c r="H31" i="15"/>
  <c r="DU45" i="2"/>
  <c r="B17" i="7"/>
  <c r="B32" i="8"/>
  <c r="B34" i="8" s="1"/>
  <c r="B35" i="8" s="1"/>
  <c r="K367" i="22"/>
  <c r="B111" i="22"/>
  <c r="B113" i="22" s="1"/>
  <c r="B114" i="22" s="1"/>
  <c r="IU9" i="2"/>
  <c r="F5" i="27"/>
  <c r="F125" i="27"/>
  <c r="F15" i="7"/>
  <c r="F60" i="8"/>
  <c r="F62" i="8" s="1"/>
  <c r="F63" i="8" s="1"/>
  <c r="D90" i="20"/>
  <c r="G93" i="20"/>
  <c r="G94" i="20" s="1"/>
  <c r="E76" i="27"/>
  <c r="E31" i="15"/>
  <c r="DU27" i="2"/>
  <c r="C33" i="20"/>
  <c r="C91" i="7"/>
  <c r="C276" i="8"/>
  <c r="C278" i="8" s="1"/>
  <c r="C279" i="8" s="1"/>
  <c r="C9" i="20"/>
  <c r="C11" i="20" s="1"/>
  <c r="CP4" i="2"/>
  <c r="CP50" i="2" s="1"/>
  <c r="JF7" i="2"/>
  <c r="E63" i="20"/>
  <c r="FX50" i="2"/>
  <c r="GG4" i="2"/>
  <c r="GG50" i="2" s="1"/>
  <c r="AM50" i="2"/>
  <c r="AQ4" i="2"/>
  <c r="AQ50" i="2" s="1"/>
  <c r="D93" i="7"/>
  <c r="D50" i="20"/>
  <c r="D95" i="20"/>
  <c r="D288" i="8"/>
  <c r="D290" i="8" s="1"/>
  <c r="D291" i="8" s="1"/>
  <c r="D21" i="20"/>
  <c r="D23" i="20" s="1"/>
  <c r="ES7" i="2"/>
  <c r="FN7" i="2"/>
  <c r="FG7" i="2"/>
  <c r="F79" i="27"/>
  <c r="F34" i="15"/>
  <c r="H49" i="7"/>
  <c r="H142" i="8"/>
  <c r="H107" i="18"/>
  <c r="CQ39" i="2"/>
  <c r="F65" i="20"/>
  <c r="E93" i="20"/>
  <c r="E94" i="20" s="1"/>
  <c r="H84" i="27"/>
  <c r="H39" i="15"/>
  <c r="IG55" i="2"/>
  <c r="BI52" i="2"/>
  <c r="IG6" i="2"/>
  <c r="FT6" i="2"/>
  <c r="E68" i="20"/>
  <c r="E69" i="20" s="1"/>
  <c r="HE21" i="2"/>
  <c r="DK50" i="2"/>
  <c r="DU4" i="2"/>
  <c r="B82" i="20"/>
  <c r="B83" i="7"/>
  <c r="FP31" i="2"/>
  <c r="FY31" i="2"/>
  <c r="CL45" i="2"/>
  <c r="E97" i="27"/>
  <c r="EB27" i="2"/>
  <c r="E83" i="27"/>
  <c r="E38" i="15"/>
  <c r="G102" i="20"/>
  <c r="G103" i="20" s="1"/>
  <c r="FD50" i="2"/>
  <c r="FM4" i="2"/>
  <c r="FM50" i="2" s="1"/>
  <c r="GR6" i="2"/>
  <c r="CK27" i="2"/>
  <c r="GT6" i="2"/>
  <c r="D49" i="7"/>
  <c r="D107" i="18"/>
  <c r="D142" i="8"/>
  <c r="F76" i="27"/>
  <c r="F31" i="15"/>
  <c r="DU33" i="2"/>
  <c r="E47" i="7"/>
  <c r="E108" i="18"/>
  <c r="E122" i="18"/>
  <c r="Q121" i="18" s="1"/>
  <c r="FN27" i="2"/>
  <c r="E130" i="8"/>
  <c r="ES27" i="2"/>
  <c r="E5" i="18" s="1"/>
  <c r="FG27" i="2"/>
  <c r="G20" i="8"/>
  <c r="G21" i="8" s="1"/>
  <c r="G228" i="8"/>
  <c r="HC21" i="2"/>
  <c r="D77" i="20" s="1"/>
  <c r="H112" i="8"/>
  <c r="H15" i="15"/>
  <c r="HG6" i="2"/>
  <c r="HG52" i="2" s="1"/>
  <c r="KA9" i="2"/>
  <c r="Y154" i="20" s="1"/>
  <c r="HT9" i="2"/>
  <c r="B98" i="20" s="1"/>
  <c r="E60" i="8"/>
  <c r="E62" i="8" s="1"/>
  <c r="E63" i="8" s="1"/>
  <c r="E5" i="27"/>
  <c r="E125" i="27"/>
  <c r="E15" i="7"/>
  <c r="B137" i="15"/>
  <c r="B124" i="8"/>
  <c r="B126" i="8" s="1"/>
  <c r="B127" i="8" s="1"/>
  <c r="CS39" i="2"/>
  <c r="CQ45" i="2"/>
  <c r="E33" i="20"/>
  <c r="E91" i="7"/>
  <c r="E276" i="8"/>
  <c r="E278" i="8" s="1"/>
  <c r="E279" i="8" s="1"/>
  <c r="E9" i="20"/>
  <c r="E11" i="20" s="1"/>
  <c r="FU6" i="2"/>
  <c r="FQ6" i="2"/>
  <c r="GN6" i="2"/>
  <c r="GN52" i="2" s="1"/>
  <c r="FP25" i="2"/>
  <c r="FY25" i="2"/>
  <c r="X52" i="2"/>
  <c r="AM6" i="2"/>
  <c r="D54" i="20"/>
  <c r="D99" i="7"/>
  <c r="D300" i="8"/>
  <c r="D302" i="8" s="1"/>
  <c r="D303" i="8" s="1"/>
  <c r="G75" i="27"/>
  <c r="G30" i="15"/>
  <c r="HB21" i="2"/>
  <c r="D75" i="20" s="1"/>
  <c r="CQ4" i="2"/>
  <c r="CQ50" i="2" s="1"/>
  <c r="E102" i="20"/>
  <c r="E103" i="20" s="1"/>
  <c r="E91" i="23"/>
  <c r="E88" i="23"/>
  <c r="E17" i="27"/>
  <c r="M20" i="27"/>
  <c r="M25" i="27" s="1"/>
  <c r="E20" i="27" s="1"/>
  <c r="HX9" i="2"/>
  <c r="KE9" i="2"/>
  <c r="C60" i="8"/>
  <c r="C62" i="8" s="1"/>
  <c r="C63" i="8" s="1"/>
  <c r="C15" i="7"/>
  <c r="C5" i="27"/>
  <c r="C125" i="27"/>
  <c r="D78" i="27"/>
  <c r="D33" i="15"/>
  <c r="CP39" i="2"/>
  <c r="EB7" i="2"/>
  <c r="G91" i="7"/>
  <c r="G33" i="20"/>
  <c r="G276" i="8"/>
  <c r="G278" i="8" s="1"/>
  <c r="G279" i="8" s="1"/>
  <c r="G9" i="20"/>
  <c r="G11" i="20" s="1"/>
  <c r="D206" i="8"/>
  <c r="D207" i="8" s="1"/>
  <c r="D90" i="18"/>
  <c r="D91" i="18" s="1"/>
  <c r="HO6" i="2"/>
  <c r="F112" i="8"/>
  <c r="F15" i="15"/>
  <c r="G90" i="20"/>
  <c r="H20" i="8"/>
  <c r="H21" i="8" s="1"/>
  <c r="H228" i="8"/>
  <c r="BJ52" i="2"/>
  <c r="BL6" i="2"/>
  <c r="BL52" i="2" s="1"/>
  <c r="BX6" i="2"/>
  <c r="BX52" i="2" s="1"/>
  <c r="FA50" i="2"/>
  <c r="FJ4" i="2"/>
  <c r="FJ50" i="2" s="1"/>
  <c r="IY27" i="2"/>
  <c r="GE39" i="2"/>
  <c r="IZ45" i="2"/>
  <c r="CO27" i="2"/>
  <c r="G88" i="20"/>
  <c r="D112" i="8"/>
  <c r="D15" i="15"/>
  <c r="C89" i="7"/>
  <c r="C52" i="20"/>
  <c r="C282" i="8"/>
  <c r="C284" i="8" s="1"/>
  <c r="C285" i="8" s="1"/>
  <c r="G76" i="27"/>
  <c r="G31" i="15"/>
  <c r="DU39" i="2"/>
  <c r="GG21" i="2"/>
  <c r="G15" i="7"/>
  <c r="G5" i="27"/>
  <c r="G125" i="27"/>
  <c r="G60" i="8"/>
  <c r="G62" i="8" s="1"/>
  <c r="G63" i="8" s="1"/>
  <c r="BH52" i="2"/>
  <c r="BY6" i="2"/>
  <c r="BY52" i="2" s="1"/>
  <c r="FO39" i="2"/>
  <c r="IV39" i="2"/>
  <c r="JB39" i="2" s="1"/>
  <c r="GX15" i="2"/>
  <c r="C190" i="20" s="1"/>
  <c r="GY15" i="2"/>
  <c r="JX15" i="2"/>
  <c r="C32" i="20"/>
  <c r="C6" i="20"/>
  <c r="GD33" i="2"/>
  <c r="J92" i="22"/>
  <c r="AM9" i="2"/>
  <c r="E118" i="23"/>
  <c r="R118" i="23"/>
  <c r="CK4" i="2"/>
  <c r="CK50" i="2" s="1"/>
  <c r="HC15" i="2"/>
  <c r="C77" i="20" s="1"/>
  <c r="B235" i="8"/>
  <c r="B52" i="18"/>
  <c r="B73" i="7"/>
  <c r="JG9" i="2"/>
  <c r="DG9" i="2"/>
  <c r="G86" i="27"/>
  <c r="G41" i="15"/>
  <c r="IS50" i="2"/>
  <c r="IY4" i="2"/>
  <c r="IY50" i="2" s="1"/>
  <c r="KG9" i="2"/>
  <c r="HV9" i="2"/>
  <c r="B101" i="20" s="1"/>
  <c r="KC9" i="2"/>
  <c r="Y156" i="20" s="1"/>
  <c r="F88" i="23"/>
  <c r="F91" i="23"/>
  <c r="F17" i="27"/>
  <c r="N20" i="27"/>
  <c r="N25" i="27" s="1"/>
  <c r="F20" i="27" s="1"/>
  <c r="GE7" i="2"/>
  <c r="G6" i="20"/>
  <c r="G32" i="20"/>
  <c r="O116" i="23"/>
  <c r="H116" i="23" s="1"/>
  <c r="H97" i="27"/>
  <c r="EB45" i="2"/>
  <c r="H83" i="27"/>
  <c r="H38" i="15"/>
  <c r="D102" i="20"/>
  <c r="D103" i="20" s="1"/>
  <c r="R122" i="23"/>
  <c r="JX27" i="2"/>
  <c r="GY27" i="2"/>
  <c r="GX27" i="2"/>
  <c r="E190" i="20" s="1"/>
  <c r="G33" i="15"/>
  <c r="G78" i="27"/>
  <c r="IW50" i="2"/>
  <c r="JC4" i="2"/>
  <c r="JC50" i="2" s="1"/>
  <c r="IT50" i="2"/>
  <c r="IZ4" i="2"/>
  <c r="IZ50" i="2" s="1"/>
  <c r="HE15" i="2"/>
  <c r="D79" i="27"/>
  <c r="D34" i="15"/>
  <c r="BY9" i="2"/>
  <c r="B19" i="27" s="1"/>
  <c r="JF39" i="2"/>
  <c r="C85" i="27"/>
  <c r="C40" i="15"/>
  <c r="F228" i="8"/>
  <c r="F93" i="8"/>
  <c r="F20" i="8"/>
  <c r="F21" i="8" s="1"/>
  <c r="EC13" i="2"/>
  <c r="H210" i="8"/>
  <c r="H211" i="8" s="1"/>
  <c r="H94" i="18"/>
  <c r="H95" i="18" s="1"/>
  <c r="GD45" i="2"/>
  <c r="G48" i="23"/>
  <c r="AG251" i="34"/>
  <c r="T126" i="35"/>
  <c r="C228" i="8"/>
  <c r="C20" i="8"/>
  <c r="C21" i="8" s="1"/>
  <c r="C97" i="7"/>
  <c r="C294" i="8"/>
  <c r="C296" i="8" s="1"/>
  <c r="C297" i="8" s="1"/>
  <c r="C53" i="20"/>
  <c r="F63" i="20"/>
  <c r="E282" i="8"/>
  <c r="E284" i="8" s="1"/>
  <c r="E285" i="8" s="1"/>
  <c r="E89" i="7"/>
  <c r="E52" i="20"/>
  <c r="G85" i="27"/>
  <c r="G40" i="15"/>
  <c r="EB33" i="2"/>
  <c r="F97" i="27"/>
  <c r="F83" i="27"/>
  <c r="F38" i="15"/>
  <c r="IR50" i="2"/>
  <c r="IX4" i="2"/>
  <c r="IX50" i="2" s="1"/>
  <c r="C79" i="27"/>
  <c r="C34" i="15"/>
  <c r="E113" i="8"/>
  <c r="E16" i="15"/>
  <c r="C78" i="27"/>
  <c r="C33" i="15"/>
  <c r="HC27" i="2"/>
  <c r="E77" i="20" s="1"/>
  <c r="GG45" i="2"/>
  <c r="E75" i="27"/>
  <c r="E30" i="15"/>
  <c r="D75" i="27"/>
  <c r="D30" i="15"/>
  <c r="EB39" i="2"/>
  <c r="G83" i="27"/>
  <c r="G97" i="27"/>
  <c r="G38" i="15"/>
  <c r="HY39" i="2"/>
  <c r="G97" i="20"/>
  <c r="E115" i="8"/>
  <c r="F86" i="27"/>
  <c r="F41" i="15"/>
  <c r="D97" i="27"/>
  <c r="EB21" i="2"/>
  <c r="D83" i="27"/>
  <c r="D38" i="15"/>
  <c r="CT39" i="2"/>
  <c r="G10" i="15" s="1"/>
  <c r="GA39" i="2"/>
  <c r="HP52" i="2"/>
  <c r="C113" i="8"/>
  <c r="C16" i="15"/>
  <c r="IG9" i="2"/>
  <c r="B93" i="23" s="1"/>
  <c r="JS9" i="2"/>
  <c r="Y116" i="20" s="1"/>
  <c r="E43" i="7"/>
  <c r="E6" i="27"/>
  <c r="E44" i="27"/>
  <c r="E112" i="8"/>
  <c r="E15" i="15"/>
  <c r="D86" i="27"/>
  <c r="D41" i="15"/>
  <c r="CP45" i="2"/>
  <c r="E88" i="20"/>
  <c r="E95" i="20"/>
  <c r="E93" i="7"/>
  <c r="E50" i="20"/>
  <c r="E21" i="20"/>
  <c r="E23" i="20" s="1"/>
  <c r="E288" i="8"/>
  <c r="E290" i="8" s="1"/>
  <c r="E291" i="8" s="1"/>
  <c r="HY7" i="2"/>
  <c r="GD4" i="2"/>
  <c r="GD50" i="2" s="1"/>
  <c r="HA21" i="2"/>
  <c r="D74" i="20" s="1"/>
  <c r="IX39" i="2"/>
  <c r="GI9" i="2"/>
  <c r="B223" i="18" s="1"/>
  <c r="FH9" i="2"/>
  <c r="B120" i="18"/>
  <c r="FE9" i="2"/>
  <c r="IR9" i="2"/>
  <c r="FA9" i="2"/>
  <c r="FJ9" i="2" s="1"/>
  <c r="KH9" i="2"/>
  <c r="HR9" i="2"/>
  <c r="HQ9" i="2"/>
  <c r="B210" i="20" s="1"/>
  <c r="BU52" i="2"/>
  <c r="IH6" i="2"/>
  <c r="IH52" i="2" s="1"/>
  <c r="HB7" i="2"/>
  <c r="AQ39" i="2"/>
  <c r="CO45" i="2"/>
  <c r="CU15" i="2"/>
  <c r="DJ15" i="2"/>
  <c r="C109" i="8"/>
  <c r="C12" i="15"/>
  <c r="FR6" i="2"/>
  <c r="JC45" i="2"/>
  <c r="C91" i="23"/>
  <c r="C17" i="27"/>
  <c r="C88" i="23"/>
  <c r="K20" i="27"/>
  <c r="K25" i="27" s="1"/>
  <c r="C20" i="27" s="1"/>
  <c r="DV50" i="2"/>
  <c r="EB4" i="2"/>
  <c r="EB50" i="2" s="1"/>
  <c r="JW9" i="2"/>
  <c r="EC31" i="2"/>
  <c r="C54" i="20"/>
  <c r="C300" i="8"/>
  <c r="C302" i="8" s="1"/>
  <c r="C303" i="8" s="1"/>
  <c r="C99" i="7"/>
  <c r="K52" i="2"/>
  <c r="EJ6" i="2"/>
  <c r="EJ52" i="2" s="1"/>
  <c r="G17" i="27"/>
  <c r="G88" i="23"/>
  <c r="G91" i="23"/>
  <c r="O20" i="27"/>
  <c r="O25" i="27" s="1"/>
  <c r="G20" i="27" s="1"/>
  <c r="GW50" i="2"/>
  <c r="JX4" i="2"/>
  <c r="JX50" i="2" s="1"/>
  <c r="GX4" i="2"/>
  <c r="GX50" i="2" s="1"/>
  <c r="GY4" i="2"/>
  <c r="GY50" i="2" s="1"/>
  <c r="H5" i="27"/>
  <c r="H15" i="7"/>
  <c r="H125" i="27"/>
  <c r="H60" i="8"/>
  <c r="H62" i="8" s="1"/>
  <c r="H63" i="8" s="1"/>
  <c r="HW9" i="2"/>
  <c r="KD9" i="2"/>
  <c r="Y157" i="20" s="1"/>
  <c r="Y158" i="20" s="1"/>
  <c r="B77" i="18"/>
  <c r="AO9" i="2"/>
  <c r="B61" i="7"/>
  <c r="B178" i="8"/>
  <c r="B180" i="8" s="1"/>
  <c r="B181" i="8" s="1"/>
  <c r="HA27" i="2"/>
  <c r="E74" i="20" s="1"/>
  <c r="CR45" i="2"/>
  <c r="GS6" i="2"/>
  <c r="C86" i="27"/>
  <c r="C41" i="15"/>
  <c r="E84" i="27"/>
  <c r="E39" i="15"/>
  <c r="CS15" i="2"/>
  <c r="FZ45" i="2"/>
  <c r="JF27" i="2"/>
  <c r="G112" i="8"/>
  <c r="G15" i="15"/>
  <c r="G84" i="27"/>
  <c r="G39" i="15"/>
  <c r="H78" i="27"/>
  <c r="H33" i="15"/>
  <c r="F115" i="8"/>
  <c r="HA15" i="2"/>
  <c r="C74" i="20" s="1"/>
  <c r="IZ21" i="2"/>
  <c r="GC27" i="2"/>
  <c r="D113" i="8"/>
  <c r="D16" i="15"/>
  <c r="DJ27" i="2"/>
  <c r="CU27" i="2"/>
  <c r="E45" i="7"/>
  <c r="E109" i="8"/>
  <c r="E12" i="15"/>
  <c r="G43" i="7"/>
  <c r="G6" i="27"/>
  <c r="G44" i="27"/>
  <c r="EP52" i="2"/>
  <c r="AP6" i="2"/>
  <c r="AP52" i="2" s="1"/>
  <c r="C65" i="20"/>
  <c r="HY21" i="2"/>
  <c r="D97" i="20"/>
  <c r="B7" i="7"/>
  <c r="B12" i="8"/>
  <c r="B14" i="8" s="1"/>
  <c r="B15" i="8" s="1"/>
  <c r="B18" i="8"/>
  <c r="B9" i="7"/>
  <c r="B109" i="18"/>
  <c r="EJ9" i="2"/>
  <c r="B94" i="15" s="1"/>
  <c r="B46" i="23"/>
  <c r="B47" i="23" s="1"/>
  <c r="IH9" i="2"/>
  <c r="B48" i="23" s="1"/>
  <c r="F45" i="7"/>
  <c r="DJ33" i="2"/>
  <c r="CU33" i="2"/>
  <c r="F109" i="8"/>
  <c r="F12" i="15"/>
  <c r="E79" i="27"/>
  <c r="E34" i="15"/>
  <c r="CL4" i="2"/>
  <c r="CL50" i="2" s="1"/>
  <c r="R119" i="23"/>
  <c r="E119" i="23"/>
  <c r="CP33" i="2"/>
  <c r="CS4" i="2"/>
  <c r="CS50" i="2" s="1"/>
  <c r="D93" i="20"/>
  <c r="D94" i="20" s="1"/>
  <c r="CN4" i="2"/>
  <c r="CN50" i="2" s="1"/>
  <c r="H34" i="15"/>
  <c r="H79" i="27"/>
  <c r="D43" i="7"/>
  <c r="D6" i="27"/>
  <c r="D44" i="27"/>
  <c r="JA15" i="2"/>
  <c r="F107" i="18"/>
  <c r="F49" i="7"/>
  <c r="F142" i="8"/>
  <c r="CM4" i="2"/>
  <c r="CM50" i="2" s="1"/>
  <c r="D108" i="18"/>
  <c r="FN21" i="2"/>
  <c r="D47" i="7"/>
  <c r="D130" i="8"/>
  <c r="ES21" i="2"/>
  <c r="D5" i="18" s="1"/>
  <c r="FG21" i="2"/>
  <c r="FY13" i="2"/>
  <c r="FP13" i="2"/>
  <c r="D115" i="8"/>
  <c r="HY27" i="2"/>
  <c r="E97" i="20"/>
  <c r="EC19" i="2"/>
  <c r="E54" i="20"/>
  <c r="E99" i="7"/>
  <c r="E300" i="8"/>
  <c r="E302" i="8" s="1"/>
  <c r="E303" i="8" s="1"/>
  <c r="CT7" i="2"/>
  <c r="FO7" i="2"/>
  <c r="IV7" i="2"/>
  <c r="JB7" i="2" s="1"/>
  <c r="B75" i="7"/>
  <c r="DH9" i="2"/>
  <c r="FV6" i="2"/>
  <c r="HS9" i="2"/>
  <c r="JZ9" i="2"/>
  <c r="E90" i="20"/>
  <c r="D68" i="20"/>
  <c r="D69" i="20" s="1"/>
  <c r="E78" i="27"/>
  <c r="E33" i="15"/>
  <c r="HH6" i="2"/>
  <c r="EZ6" i="2"/>
  <c r="FA6" i="2" s="1"/>
  <c r="IV45" i="2"/>
  <c r="JB45" i="2" s="1"/>
  <c r="FO45" i="2"/>
  <c r="B304" i="18" s="1"/>
  <c r="B305" i="18" s="1"/>
  <c r="B121" i="18"/>
  <c r="FK9" i="2"/>
  <c r="FD9" i="2"/>
  <c r="FM9" i="2" s="1"/>
  <c r="IS9" i="2"/>
  <c r="F17" i="15"/>
  <c r="F114" i="8" s="1"/>
  <c r="JC39" i="2"/>
  <c r="H75" i="27"/>
  <c r="H30" i="15"/>
  <c r="CK15" i="2"/>
  <c r="GA4" i="2"/>
  <c r="GA50" i="2" s="1"/>
  <c r="BW9" i="2"/>
  <c r="B245" i="23" s="1"/>
  <c r="CM27" i="2"/>
  <c r="CO33" i="2"/>
  <c r="Q116" i="23"/>
  <c r="J116" i="23" s="1"/>
  <c r="D91" i="23"/>
  <c r="D17" i="27"/>
  <c r="D88" i="23"/>
  <c r="L20" i="27"/>
  <c r="L25" i="27" s="1"/>
  <c r="D20" i="27" s="1"/>
  <c r="CN33" i="2"/>
  <c r="FS6" i="2"/>
  <c r="C50" i="20"/>
  <c r="C95" i="20"/>
  <c r="C288" i="8"/>
  <c r="C290" i="8" s="1"/>
  <c r="C291" i="8" s="1"/>
  <c r="C93" i="7"/>
  <c r="C21" i="20"/>
  <c r="C23" i="20" s="1"/>
  <c r="GY33" i="2"/>
  <c r="JX33" i="2"/>
  <c r="GX33" i="2"/>
  <c r="F190" i="20" s="1"/>
  <c r="D77" i="27"/>
  <c r="D32" i="15"/>
  <c r="D136" i="8"/>
  <c r="D138" i="8" s="1"/>
  <c r="D139" i="8" s="1"/>
  <c r="D15" i="7"/>
  <c r="D5" i="27"/>
  <c r="D125" i="27"/>
  <c r="D60" i="8"/>
  <c r="D62" i="8" s="1"/>
  <c r="D63" i="8" s="1"/>
  <c r="CP7" i="2"/>
  <c r="D32" i="20"/>
  <c r="D6" i="20"/>
  <c r="CO4" i="2"/>
  <c r="CO50" i="2" s="1"/>
  <c r="IX15" i="2"/>
  <c r="CL15" i="2"/>
  <c r="GQ6" i="2"/>
  <c r="H86" i="27"/>
  <c r="H41" i="15"/>
  <c r="CR7" i="2"/>
  <c r="H77" i="27"/>
  <c r="H32" i="15"/>
  <c r="C90" i="20"/>
  <c r="IZ7" i="2"/>
  <c r="C88" i="20"/>
  <c r="C115" i="8"/>
  <c r="GF21" i="2"/>
  <c r="G16" i="15"/>
  <c r="G113" i="8"/>
  <c r="CQ27" i="2"/>
  <c r="C206" i="8"/>
  <c r="C207" i="8" s="1"/>
  <c r="C90" i="18"/>
  <c r="C91" i="18" s="1"/>
  <c r="IZ33" i="2"/>
  <c r="IZ39" i="2"/>
  <c r="C112" i="8"/>
  <c r="C15" i="15"/>
  <c r="CL33" i="2"/>
  <c r="JX39" i="2"/>
  <c r="GY39" i="2"/>
  <c r="GX39" i="2"/>
  <c r="G190" i="20" s="1"/>
  <c r="F6" i="20"/>
  <c r="F32" i="20"/>
  <c r="C75" i="27"/>
  <c r="C30" i="15"/>
  <c r="B26" i="7"/>
  <c r="B38" i="8"/>
  <c r="B40" i="8" s="1"/>
  <c r="F47" i="7"/>
  <c r="F108" i="18"/>
  <c r="FN33" i="2"/>
  <c r="ES33" i="2"/>
  <c r="F5" i="18" s="1"/>
  <c r="F130" i="8"/>
  <c r="FG33" i="2"/>
  <c r="HL6" i="2"/>
  <c r="AQ45" i="2"/>
  <c r="FY43" i="2"/>
  <c r="FP43" i="2"/>
  <c r="IW9" i="2"/>
  <c r="C77" i="27"/>
  <c r="C32" i="15"/>
  <c r="C136" i="8"/>
  <c r="C138" i="8" s="1"/>
  <c r="C139" i="8" s="1"/>
  <c r="N116" i="23"/>
  <c r="G116" i="23" s="1"/>
  <c r="G115" i="8"/>
  <c r="FC6" i="2"/>
  <c r="GF7" i="2"/>
  <c r="D63" i="20"/>
  <c r="E117" i="23"/>
  <c r="HK6" i="2"/>
  <c r="IX21" i="2"/>
  <c r="E107" i="18"/>
  <c r="E49" i="7"/>
  <c r="E142" i="8"/>
  <c r="DU7" i="2"/>
  <c r="E228" i="8"/>
  <c r="E20" i="8"/>
  <c r="E21" i="8" s="1"/>
  <c r="B77" i="7"/>
  <c r="B46" i="20"/>
  <c r="B249" i="8"/>
  <c r="B251" i="8" s="1"/>
  <c r="B252" i="8" s="1"/>
  <c r="E53" i="20"/>
  <c r="E97" i="7"/>
  <c r="E294" i="8"/>
  <c r="E296" i="8" s="1"/>
  <c r="E297" i="8" s="1"/>
  <c r="G99" i="7"/>
  <c r="G54" i="20"/>
  <c r="G300" i="8"/>
  <c r="G302" i="8" s="1"/>
  <c r="G303" i="8" s="1"/>
  <c r="FI9" i="2"/>
  <c r="B205" i="18" s="1"/>
  <c r="B206" i="18" s="1"/>
  <c r="FF9" i="2"/>
  <c r="GE4" i="2"/>
  <c r="GE50" i="2" s="1"/>
  <c r="CQ7" i="2"/>
  <c r="IY33" i="2"/>
  <c r="G108" i="18"/>
  <c r="G122" i="18"/>
  <c r="G124" i="18" s="1"/>
  <c r="FN39" i="2"/>
  <c r="G130" i="8"/>
  <c r="G47" i="7"/>
  <c r="ES39" i="2"/>
  <c r="G5" i="18" s="1"/>
  <c r="FG39" i="2"/>
  <c r="GW9" i="2"/>
  <c r="HB9" i="2" s="1"/>
  <c r="B75" i="20" s="1"/>
  <c r="JR9" i="2"/>
  <c r="CS27" i="2"/>
  <c r="HE27" i="2"/>
  <c r="H206" i="8"/>
  <c r="H207" i="8" s="1"/>
  <c r="H90" i="18"/>
  <c r="H91" i="18" s="1"/>
  <c r="IY7" i="2"/>
  <c r="FN45" i="2"/>
  <c r="H47" i="7"/>
  <c r="H108" i="18"/>
  <c r="H130" i="8"/>
  <c r="ES45" i="2"/>
  <c r="H5" i="18" s="1"/>
  <c r="FG45" i="2"/>
  <c r="F85" i="27"/>
  <c r="F40" i="15"/>
  <c r="DI9" i="2"/>
  <c r="B20" i="15"/>
  <c r="B118" i="8"/>
  <c r="JF45" i="2"/>
  <c r="C76" i="27"/>
  <c r="C31" i="15"/>
  <c r="DU15" i="2"/>
  <c r="E136" i="8"/>
  <c r="E138" i="8" s="1"/>
  <c r="E139" i="8" s="1"/>
  <c r="E77" i="27"/>
  <c r="E32" i="15"/>
  <c r="F75" i="27"/>
  <c r="F30" i="15"/>
  <c r="GB4" i="2"/>
  <c r="GB50" i="2" s="1"/>
  <c r="D228" i="8"/>
  <c r="D20" i="8"/>
  <c r="D21" i="8" s="1"/>
  <c r="C93" i="20"/>
  <c r="C94" i="20" s="1"/>
  <c r="C47" i="7"/>
  <c r="C108" i="18"/>
  <c r="C122" i="18"/>
  <c r="C123" i="18" s="1"/>
  <c r="FN15" i="2"/>
  <c r="C130" i="8"/>
  <c r="ES15" i="2"/>
  <c r="C5" i="18" s="1"/>
  <c r="FG15" i="2"/>
  <c r="CL27" i="2"/>
  <c r="C43" i="7"/>
  <c r="C6" i="27"/>
  <c r="C44" i="27"/>
  <c r="H115" i="8"/>
  <c r="M116" i="23"/>
  <c r="F116" i="23" s="1"/>
  <c r="HD33" i="2"/>
  <c r="EY52" i="2"/>
  <c r="IR6" i="2"/>
  <c r="FH6" i="2"/>
  <c r="FH52" i="2" s="1"/>
  <c r="GG7" i="2"/>
  <c r="HY15" i="2"/>
  <c r="C97" i="20"/>
  <c r="JA33" i="2"/>
  <c r="G68" i="20"/>
  <c r="G69" i="20" s="1"/>
  <c r="HA33" i="2"/>
  <c r="F74" i="20" s="1"/>
  <c r="JC21" i="2"/>
  <c r="CM33" i="2"/>
  <c r="GF33" i="2"/>
  <c r="GF27" i="2"/>
  <c r="H17" i="15"/>
  <c r="H114" i="8" s="1"/>
  <c r="F78" i="27"/>
  <c r="F33" i="15"/>
  <c r="FO15" i="2"/>
  <c r="IV15" i="2"/>
  <c r="JB15" i="2" s="1"/>
  <c r="FZ33" i="2"/>
  <c r="F113" i="8"/>
  <c r="F16" i="15"/>
  <c r="C68" i="20"/>
  <c r="C69" i="20" s="1"/>
  <c r="GG39" i="2"/>
  <c r="C97" i="27"/>
  <c r="C83" i="27"/>
  <c r="C38" i="15"/>
  <c r="GZ39" i="2"/>
  <c r="CO15" i="2"/>
  <c r="H88" i="23"/>
  <c r="H17" i="27"/>
  <c r="H91" i="23"/>
  <c r="P20" i="27"/>
  <c r="P25" i="27" s="1"/>
  <c r="H20" i="27" s="1"/>
  <c r="DF9" i="2"/>
  <c r="FW6" i="2"/>
  <c r="JD9" i="2"/>
  <c r="G53" i="20"/>
  <c r="G97" i="7"/>
  <c r="G294" i="8"/>
  <c r="G296" i="8" s="1"/>
  <c r="G297" i="8" s="1"/>
  <c r="CT27" i="2"/>
  <c r="E10" i="15" s="1"/>
  <c r="D53" i="20"/>
  <c r="D97" i="7"/>
  <c r="D294" i="8"/>
  <c r="D296" i="8" s="1"/>
  <c r="D297" i="8" s="1"/>
  <c r="H113" i="8"/>
  <c r="H16" i="15"/>
  <c r="E206" i="8"/>
  <c r="E207" i="8" s="1"/>
  <c r="E90" i="18"/>
  <c r="E91" i="18" s="1"/>
  <c r="DJ39" i="2"/>
  <c r="CU39" i="2"/>
  <c r="G45" i="7"/>
  <c r="G109" i="8"/>
  <c r="G12" i="15"/>
  <c r="JV9" i="2"/>
  <c r="EL52" i="2"/>
  <c r="AO6" i="2"/>
  <c r="AO52" i="2" s="1"/>
  <c r="G77" i="27"/>
  <c r="G32" i="15"/>
  <c r="D84" i="27"/>
  <c r="D39" i="15"/>
  <c r="G65" i="20"/>
  <c r="DJ45" i="2"/>
  <c r="CU45" i="2"/>
  <c r="H45" i="7"/>
  <c r="H109" i="8"/>
  <c r="H12" i="15"/>
  <c r="KB9" i="2"/>
  <c r="HU9" i="2"/>
  <c r="B99" i="20" s="1"/>
  <c r="CR4" i="2"/>
  <c r="CR50" i="2" s="1"/>
  <c r="GY21" i="2"/>
  <c r="JX21" i="2"/>
  <c r="B65" i="7"/>
  <c r="B191" i="8"/>
  <c r="B193" i="8" s="1"/>
  <c r="B194" i="8" s="1"/>
  <c r="AP9" i="2"/>
  <c r="B79" i="18" s="1"/>
  <c r="B59" i="7"/>
  <c r="B76" i="18"/>
  <c r="B172" i="8"/>
  <c r="B174" i="8" s="1"/>
  <c r="FY19" i="2"/>
  <c r="FP19" i="2"/>
  <c r="BN52" i="2"/>
  <c r="BW6" i="2"/>
  <c r="BW52" i="2" s="1"/>
  <c r="CU7" i="2"/>
  <c r="DJ7" i="2"/>
  <c r="FP37" i="2"/>
  <c r="FY37" i="2"/>
  <c r="G95" i="20"/>
  <c r="G93" i="7"/>
  <c r="G50" i="20"/>
  <c r="G21" i="20"/>
  <c r="G23" i="20" s="1"/>
  <c r="G288" i="8"/>
  <c r="G290" i="8" s="1"/>
  <c r="G291" i="8" s="1"/>
  <c r="JI50" i="2"/>
  <c r="JI6" i="2"/>
  <c r="JI52" i="2" s="1"/>
  <c r="GY7" i="2"/>
  <c r="JX7" i="2"/>
  <c r="GX7" i="2"/>
  <c r="BL9" i="2"/>
  <c r="B54" i="23" s="1"/>
  <c r="B53" i="23" s="1"/>
  <c r="BX9" i="2"/>
  <c r="K79" i="23" s="1"/>
  <c r="K94" i="23" s="1"/>
  <c r="B91" i="23" s="1"/>
  <c r="HM6" i="2"/>
  <c r="FF50" i="2"/>
  <c r="FO4" i="2"/>
  <c r="FO50" i="2" s="1"/>
  <c r="IV4" i="2"/>
  <c r="E120" i="23"/>
  <c r="R120" i="23"/>
  <c r="E121" i="23"/>
  <c r="R121" i="23"/>
  <c r="CR27" i="2"/>
  <c r="JF33" i="2"/>
  <c r="IU50" i="2"/>
  <c r="JA4" i="2"/>
  <c r="JA50" i="2" s="1"/>
  <c r="AQ33" i="2"/>
  <c r="C102" i="20"/>
  <c r="C103" i="20" s="1"/>
  <c r="C142" i="8"/>
  <c r="C49" i="7"/>
  <c r="C107" i="18"/>
  <c r="C84" i="27"/>
  <c r="C39" i="15"/>
  <c r="F68" i="20"/>
  <c r="F69" i="20" s="1"/>
  <c r="CN27" i="2"/>
  <c r="GA45" i="2"/>
  <c r="E65" i="20"/>
  <c r="FZ7" i="2"/>
  <c r="JA21" i="2"/>
  <c r="GE27" i="2"/>
  <c r="GB33" i="2"/>
  <c r="G78" i="20"/>
  <c r="GD21" i="2"/>
  <c r="D104" i="18" s="1"/>
  <c r="CR33" i="2"/>
  <c r="GC33" i="2"/>
  <c r="GF39" i="2"/>
  <c r="IY45" i="2"/>
  <c r="H40" i="15"/>
  <c r="H85" i="27"/>
  <c r="CS33" i="2"/>
  <c r="GG33" i="2"/>
  <c r="CQ15" i="2"/>
  <c r="GC15" i="2"/>
  <c r="F84" i="27"/>
  <c r="F39" i="15"/>
  <c r="HD15" i="2"/>
  <c r="FZ39" i="2"/>
  <c r="DJ21" i="2"/>
  <c r="CU21" i="2"/>
  <c r="D45" i="7"/>
  <c r="D109" i="8"/>
  <c r="D12" i="15"/>
  <c r="G63" i="20"/>
  <c r="JF15" i="2"/>
  <c r="E104" i="18" l="1"/>
  <c r="CF52" i="2"/>
  <c r="B18" i="15"/>
  <c r="B57" i="15"/>
  <c r="EB9" i="2"/>
  <c r="F22" i="15"/>
  <c r="H22" i="15"/>
  <c r="D22" i="15"/>
  <c r="C22" i="15"/>
  <c r="G22" i="15"/>
  <c r="E22" i="15"/>
  <c r="C104" i="18"/>
  <c r="G104" i="18"/>
  <c r="F104" i="18"/>
  <c r="G79" i="20"/>
  <c r="H104" i="18"/>
  <c r="G158" i="18"/>
  <c r="F158" i="18"/>
  <c r="C158" i="18"/>
  <c r="D102" i="18"/>
  <c r="Y119" i="20"/>
  <c r="Y120" i="20" s="1"/>
  <c r="B389" i="20"/>
  <c r="Y153" i="20"/>
  <c r="X264" i="18"/>
  <c r="X265" i="18" s="1"/>
  <c r="B253" i="20"/>
  <c r="Y117" i="20"/>
  <c r="E158" i="18"/>
  <c r="B309" i="18"/>
  <c r="D158" i="18"/>
  <c r="Y155" i="20"/>
  <c r="B343" i="20"/>
  <c r="B297" i="20"/>
  <c r="Y115" i="20"/>
  <c r="B308" i="18"/>
  <c r="H158" i="18"/>
  <c r="B310" i="18"/>
  <c r="GE9" i="2"/>
  <c r="D79" i="20"/>
  <c r="D80" i="20" s="1"/>
  <c r="E78" i="20"/>
  <c r="E79" i="20" s="1"/>
  <c r="G106" i="8"/>
  <c r="H106" i="8"/>
  <c r="F106" i="8"/>
  <c r="D106" i="8"/>
  <c r="E106" i="8"/>
  <c r="R116" i="23"/>
  <c r="HS6" i="2"/>
  <c r="HS52" i="2" s="1"/>
  <c r="DL52" i="2"/>
  <c r="DI6" i="2"/>
  <c r="DI52" i="2" s="1"/>
  <c r="D8" i="15"/>
  <c r="D9" i="15"/>
  <c r="E219" i="8"/>
  <c r="H103" i="18"/>
  <c r="D102" i="8"/>
  <c r="C8" i="15"/>
  <c r="C220" i="8"/>
  <c r="EC7" i="2"/>
  <c r="JZ6" i="2"/>
  <c r="JZ52" i="2" s="1"/>
  <c r="D93" i="22"/>
  <c r="HQ6" i="2"/>
  <c r="HQ52" i="2" s="1"/>
  <c r="C218" i="8"/>
  <c r="DQ52" i="2"/>
  <c r="HF7" i="2"/>
  <c r="DM52" i="2"/>
  <c r="HN52" i="2"/>
  <c r="G104" i="8"/>
  <c r="E218" i="8"/>
  <c r="H219" i="8"/>
  <c r="CZ52" i="2"/>
  <c r="G103" i="18"/>
  <c r="D6" i="15"/>
  <c r="DG6" i="2"/>
  <c r="DG52" i="2" s="1"/>
  <c r="E93" i="22"/>
  <c r="E220" i="8"/>
  <c r="CM9" i="2"/>
  <c r="HF4" i="2"/>
  <c r="HF50" i="2" s="1"/>
  <c r="CO9" i="2"/>
  <c r="CL9" i="2"/>
  <c r="JW6" i="2"/>
  <c r="JW52" i="2" s="1"/>
  <c r="CP9" i="2"/>
  <c r="CR9" i="2"/>
  <c r="B8" i="15" s="1"/>
  <c r="CQ9" i="2"/>
  <c r="JF9" i="2"/>
  <c r="KF6" i="2"/>
  <c r="KF52" i="2" s="1"/>
  <c r="HI52" i="2"/>
  <c r="E102" i="18"/>
  <c r="G219" i="8"/>
  <c r="IY9" i="2"/>
  <c r="DD6" i="2"/>
  <c r="DD52" i="2" s="1"/>
  <c r="D218" i="8"/>
  <c r="CT9" i="2"/>
  <c r="B10" i="15" s="1"/>
  <c r="CW52" i="2"/>
  <c r="CN9" i="2"/>
  <c r="H7" i="15"/>
  <c r="B90" i="22"/>
  <c r="JC9" i="2"/>
  <c r="G103" i="8"/>
  <c r="B21" i="7"/>
  <c r="JV6" i="2"/>
  <c r="JV52" i="2" s="1"/>
  <c r="KD6" i="2"/>
  <c r="KD52" i="2" s="1"/>
  <c r="FD6" i="2"/>
  <c r="FM6" i="2" s="1"/>
  <c r="FM52" i="2" s="1"/>
  <c r="FK6" i="2"/>
  <c r="FK52" i="2" s="1"/>
  <c r="B210" i="8"/>
  <c r="B211" i="8" s="1"/>
  <c r="IS6" i="2"/>
  <c r="IS52" i="2" s="1"/>
  <c r="FE6" i="2"/>
  <c r="FN6" i="2" s="1"/>
  <c r="FN52" i="2" s="1"/>
  <c r="FB52" i="2"/>
  <c r="JE6" i="2"/>
  <c r="JE52" i="2" s="1"/>
  <c r="B94" i="18"/>
  <c r="B95" i="18" s="1"/>
  <c r="GF9" i="2"/>
  <c r="E116" i="8"/>
  <c r="F80" i="27"/>
  <c r="D103" i="8"/>
  <c r="F103" i="8"/>
  <c r="D103" i="18"/>
  <c r="H35" i="15"/>
  <c r="D219" i="8"/>
  <c r="G220" i="8"/>
  <c r="E80" i="27"/>
  <c r="C87" i="27"/>
  <c r="GD9" i="2"/>
  <c r="B104" i="18" s="1"/>
  <c r="D7" i="15"/>
  <c r="HF21" i="2"/>
  <c r="H103" i="8"/>
  <c r="FZ9" i="2"/>
  <c r="E19" i="15"/>
  <c r="G42" i="15"/>
  <c r="H19" i="15"/>
  <c r="F35" i="15"/>
  <c r="C19" i="15"/>
  <c r="G123" i="18"/>
  <c r="S121" i="18"/>
  <c r="C124" i="18"/>
  <c r="E124" i="18"/>
  <c r="E123" i="18"/>
  <c r="D123" i="18"/>
  <c r="K95" i="20"/>
  <c r="HA9" i="2"/>
  <c r="B74" i="20" s="1"/>
  <c r="DA52" i="2"/>
  <c r="DH6" i="2"/>
  <c r="DH52" i="2" s="1"/>
  <c r="EA52" i="2"/>
  <c r="AM52" i="2"/>
  <c r="AQ6" i="2"/>
  <c r="AQ52" i="2" s="1"/>
  <c r="B39" i="15"/>
  <c r="B84" i="27"/>
  <c r="B9" i="15"/>
  <c r="B105" i="8"/>
  <c r="G7" i="15"/>
  <c r="HC9" i="2"/>
  <c r="B77" i="20" s="1"/>
  <c r="C81" i="7"/>
  <c r="C44" i="20"/>
  <c r="C255" i="8"/>
  <c r="C257" i="8" s="1"/>
  <c r="C258" i="8" s="1"/>
  <c r="C70" i="20"/>
  <c r="K70" i="20" s="1"/>
  <c r="C15" i="20"/>
  <c r="C17" i="20" s="1"/>
  <c r="F9" i="15"/>
  <c r="F105" i="8"/>
  <c r="C225" i="8"/>
  <c r="C148" i="8"/>
  <c r="C149" i="8" s="1"/>
  <c r="C144" i="8"/>
  <c r="C145" i="8" s="1"/>
  <c r="E104" i="8"/>
  <c r="E8" i="15"/>
  <c r="HM52" i="2"/>
  <c r="KC6" i="2"/>
  <c r="KC52" i="2" s="1"/>
  <c r="HV6" i="2"/>
  <c r="HV52" i="2" s="1"/>
  <c r="B90" i="20"/>
  <c r="F218" i="8"/>
  <c r="F102" i="18"/>
  <c r="H158" i="27"/>
  <c r="FY39" i="2"/>
  <c r="FP39" i="2"/>
  <c r="HK52" i="2"/>
  <c r="HT6" i="2"/>
  <c r="HT52" i="2" s="1"/>
  <c r="KA6" i="2"/>
  <c r="KA52" i="2" s="1"/>
  <c r="C103" i="18"/>
  <c r="G85" i="7"/>
  <c r="G47" i="20"/>
  <c r="G261" i="8"/>
  <c r="G263" i="8" s="1"/>
  <c r="G264" i="8" s="1"/>
  <c r="H80" i="27"/>
  <c r="H214" i="8"/>
  <c r="H215" i="8" s="1"/>
  <c r="H98" i="18"/>
  <c r="H99" i="18" s="1"/>
  <c r="D158" i="27"/>
  <c r="C93" i="22"/>
  <c r="C24" i="7"/>
  <c r="C96" i="8"/>
  <c r="C98" i="8" s="1"/>
  <c r="C99" i="8" s="1"/>
  <c r="C120" i="8"/>
  <c r="E51" i="20"/>
  <c r="E24" i="20"/>
  <c r="CC52" i="2"/>
  <c r="DN52" i="2"/>
  <c r="B64" i="20"/>
  <c r="G34" i="20"/>
  <c r="G12" i="20"/>
  <c r="G35" i="15"/>
  <c r="H116" i="8"/>
  <c r="GH31" i="2"/>
  <c r="ET31" i="2"/>
  <c r="IO31" i="2"/>
  <c r="IQ31" i="2"/>
  <c r="IP31" i="2"/>
  <c r="D51" i="20"/>
  <c r="D24" i="20"/>
  <c r="GC9" i="2"/>
  <c r="JA9" i="2"/>
  <c r="F98" i="18"/>
  <c r="F99" i="18" s="1"/>
  <c r="F214" i="8"/>
  <c r="F215" i="8" s="1"/>
  <c r="D214" i="8"/>
  <c r="D215" i="8" s="1"/>
  <c r="D98" i="18"/>
  <c r="D99" i="18" s="1"/>
  <c r="B78" i="27"/>
  <c r="B33" i="15"/>
  <c r="B65" i="20"/>
  <c r="F78" i="20"/>
  <c r="F79" i="20" s="1"/>
  <c r="FP45" i="2"/>
  <c r="FY45" i="2"/>
  <c r="F225" i="8"/>
  <c r="F144" i="8"/>
  <c r="F145" i="8" s="1"/>
  <c r="F148" i="8"/>
  <c r="F149" i="8" s="1"/>
  <c r="HF33" i="2"/>
  <c r="IQ37" i="2"/>
  <c r="ET37" i="2"/>
  <c r="IO37" i="2"/>
  <c r="GH37" i="2"/>
  <c r="IP37" i="2"/>
  <c r="CD52" i="2"/>
  <c r="JD6" i="2"/>
  <c r="DO52" i="2"/>
  <c r="H132" i="8"/>
  <c r="H133" i="8" s="1"/>
  <c r="H227" i="8"/>
  <c r="G158" i="27"/>
  <c r="C219" i="8"/>
  <c r="FY33" i="2"/>
  <c r="FP33" i="2"/>
  <c r="G87" i="7"/>
  <c r="G48" i="20"/>
  <c r="G267" i="8"/>
  <c r="G269" i="8" s="1"/>
  <c r="G270" i="8" s="1"/>
  <c r="F44" i="20"/>
  <c r="F81" i="7"/>
  <c r="F255" i="8"/>
  <c r="F257" i="8" s="1"/>
  <c r="F258" i="8" s="1"/>
  <c r="F70" i="20"/>
  <c r="N70" i="20" s="1"/>
  <c r="F15" i="20"/>
  <c r="F17" i="20" s="1"/>
  <c r="F102" i="8"/>
  <c r="F6" i="15"/>
  <c r="E104" i="20"/>
  <c r="D227" i="8"/>
  <c r="L136" i="8"/>
  <c r="D132" i="8"/>
  <c r="D133" i="8" s="1"/>
  <c r="GS52" i="2"/>
  <c r="JT6" i="2"/>
  <c r="JT52" i="2" s="1"/>
  <c r="B93" i="7"/>
  <c r="B288" i="8"/>
  <c r="B290" i="8" s="1"/>
  <c r="B291" i="8" s="1"/>
  <c r="B50" i="20"/>
  <c r="B21" i="20"/>
  <c r="B23" i="20" s="1"/>
  <c r="B95" i="20"/>
  <c r="E81" i="7"/>
  <c r="E255" i="8"/>
  <c r="E257" i="8" s="1"/>
  <c r="E258" i="8" s="1"/>
  <c r="E44" i="20"/>
  <c r="E15" i="20"/>
  <c r="E17" i="20" s="1"/>
  <c r="E70" i="20"/>
  <c r="M70" i="20" s="1"/>
  <c r="H42" i="15"/>
  <c r="AQ9" i="2"/>
  <c r="G214" i="8"/>
  <c r="G215" i="8" s="1"/>
  <c r="G98" i="18"/>
  <c r="G99" i="18" s="1"/>
  <c r="D19" i="15"/>
  <c r="G80" i="27"/>
  <c r="ET25" i="2"/>
  <c r="GH25" i="2"/>
  <c r="IQ25" i="2"/>
  <c r="IO25" i="2"/>
  <c r="IP25" i="2"/>
  <c r="CE52" i="2"/>
  <c r="DP52" i="2"/>
  <c r="CH52" i="2"/>
  <c r="DS52" i="2"/>
  <c r="H225" i="8"/>
  <c r="H144" i="8"/>
  <c r="H145" i="8" s="1"/>
  <c r="H148" i="8"/>
  <c r="H149" i="8" s="1"/>
  <c r="GB9" i="2"/>
  <c r="FG50" i="2"/>
  <c r="FP4" i="2"/>
  <c r="FP50" i="2" s="1"/>
  <c r="FY4" i="2"/>
  <c r="Q52" i="2"/>
  <c r="IA6" i="2"/>
  <c r="IA52" i="2" s="1"/>
  <c r="B112" i="8"/>
  <c r="B15" i="15"/>
  <c r="B17" i="15"/>
  <c r="B114" i="8" s="1"/>
  <c r="GG9" i="2"/>
  <c r="GY9" i="2"/>
  <c r="JX9" i="2"/>
  <c r="GX9" i="2"/>
  <c r="B88" i="23"/>
  <c r="B17" i="27"/>
  <c r="J20" i="27"/>
  <c r="J25" i="27" s="1"/>
  <c r="B20" i="27" s="1"/>
  <c r="C214" i="8"/>
  <c r="C215" i="8" s="1"/>
  <c r="C98" i="18"/>
  <c r="C99" i="18" s="1"/>
  <c r="E225" i="8"/>
  <c r="E148" i="8"/>
  <c r="E149" i="8" s="1"/>
  <c r="E144" i="8"/>
  <c r="E145" i="8" s="1"/>
  <c r="F227" i="8"/>
  <c r="N136" i="8"/>
  <c r="F132" i="8"/>
  <c r="F133" i="8" s="1"/>
  <c r="GQ52" i="2"/>
  <c r="JR6" i="2"/>
  <c r="JR52" i="2" s="1"/>
  <c r="GW6" i="2"/>
  <c r="HB6" i="2" s="1"/>
  <c r="HB52" i="2" s="1"/>
  <c r="F87" i="7"/>
  <c r="F48" i="20"/>
  <c r="F267" i="8"/>
  <c r="F269" i="8" s="1"/>
  <c r="F270" i="8" s="1"/>
  <c r="FS52" i="2"/>
  <c r="IU6" i="2"/>
  <c r="CV52" i="2"/>
  <c r="DC6" i="2"/>
  <c r="DC52" i="2" s="1"/>
  <c r="EZ52" i="2"/>
  <c r="FI6" i="2"/>
  <c r="FI52" i="2" s="1"/>
  <c r="FF6" i="2"/>
  <c r="B88" i="20"/>
  <c r="CG52" i="2"/>
  <c r="DR52" i="2"/>
  <c r="F120" i="8"/>
  <c r="F96" i="8"/>
  <c r="F98" i="8" s="1"/>
  <c r="F99" i="8" s="1"/>
  <c r="B125" i="27"/>
  <c r="B15" i="7"/>
  <c r="B60" i="8"/>
  <c r="B62" i="8" s="1"/>
  <c r="B63" i="8" s="1"/>
  <c r="B5" i="27"/>
  <c r="E96" i="8"/>
  <c r="E98" i="8" s="1"/>
  <c r="E99" i="8" s="1"/>
  <c r="E120" i="8"/>
  <c r="H218" i="8"/>
  <c r="H102" i="18"/>
  <c r="H104" i="8"/>
  <c r="H8" i="15"/>
  <c r="B97" i="7"/>
  <c r="B53" i="20"/>
  <c r="B294" i="8"/>
  <c r="B296" i="8" s="1"/>
  <c r="B297" i="8" s="1"/>
  <c r="B142" i="8"/>
  <c r="B107" i="18"/>
  <c r="B49" i="7"/>
  <c r="G87" i="27"/>
  <c r="CX52" i="2"/>
  <c r="DX52" i="2"/>
  <c r="DE6" i="2"/>
  <c r="DE52" i="2" s="1"/>
  <c r="H220" i="8"/>
  <c r="H123" i="18"/>
  <c r="E47" i="20"/>
  <c r="E85" i="7"/>
  <c r="E261" i="8"/>
  <c r="E263" i="8" s="1"/>
  <c r="E264" i="8" s="1"/>
  <c r="H87" i="27"/>
  <c r="D116" i="8"/>
  <c r="GT52" i="2"/>
  <c r="JU6" i="2"/>
  <c r="JU52" i="2" s="1"/>
  <c r="E42" i="15"/>
  <c r="EC27" i="2"/>
  <c r="CJ6" i="2"/>
  <c r="CN6" i="2" s="1"/>
  <c r="CN52" i="2" s="1"/>
  <c r="H124" i="18"/>
  <c r="B97" i="27"/>
  <c r="B83" i="27"/>
  <c r="B38" i="15"/>
  <c r="G102" i="8"/>
  <c r="G6" i="15"/>
  <c r="HF27" i="2"/>
  <c r="B40" i="15"/>
  <c r="B85" i="27"/>
  <c r="IZ9" i="2"/>
  <c r="HF15" i="2"/>
  <c r="D220" i="8"/>
  <c r="C78" i="20"/>
  <c r="C79" i="20" s="1"/>
  <c r="D255" i="8"/>
  <c r="D257" i="8" s="1"/>
  <c r="D258" i="8" s="1"/>
  <c r="D44" i="20"/>
  <c r="D81" i="7"/>
  <c r="D15" i="20"/>
  <c r="D17" i="20" s="1"/>
  <c r="D70" i="20"/>
  <c r="L70" i="20" s="1"/>
  <c r="CI52" i="2"/>
  <c r="DT52" i="2"/>
  <c r="IO19" i="2"/>
  <c r="IQ19" i="2"/>
  <c r="GH19" i="2"/>
  <c r="ET19" i="2"/>
  <c r="IP19" i="2"/>
  <c r="D87" i="7"/>
  <c r="D48" i="20"/>
  <c r="D267" i="8"/>
  <c r="D269" i="8" s="1"/>
  <c r="D270" i="8" s="1"/>
  <c r="B68" i="20"/>
  <c r="B69" i="20" s="1"/>
  <c r="C158" i="27"/>
  <c r="G227" i="8"/>
  <c r="G132" i="8"/>
  <c r="G133" i="8" s="1"/>
  <c r="B206" i="8"/>
  <c r="B207" i="8" s="1"/>
  <c r="B90" i="18"/>
  <c r="B91" i="18" s="1"/>
  <c r="F158" i="27"/>
  <c r="C35" i="15"/>
  <c r="F85" i="7"/>
  <c r="F47" i="20"/>
  <c r="F261" i="8"/>
  <c r="F263" i="8" s="1"/>
  <c r="F264" i="8" s="1"/>
  <c r="HH52" i="2"/>
  <c r="KG6" i="2"/>
  <c r="KG52" i="2" s="1"/>
  <c r="HY9" i="2"/>
  <c r="B97" i="20"/>
  <c r="B93" i="20"/>
  <c r="B94" i="20" s="1"/>
  <c r="B99" i="7"/>
  <c r="B54" i="20"/>
  <c r="B300" i="8"/>
  <c r="B302" i="8" s="1"/>
  <c r="B303" i="8" s="1"/>
  <c r="D42" i="15"/>
  <c r="F42" i="15"/>
  <c r="E87" i="7"/>
  <c r="E267" i="8"/>
  <c r="E269" i="8" s="1"/>
  <c r="E270" i="8" s="1"/>
  <c r="E48" i="20"/>
  <c r="B92" i="20"/>
  <c r="EC39" i="2"/>
  <c r="O95" i="20"/>
  <c r="F19" i="15"/>
  <c r="G105" i="8"/>
  <c r="G9" i="15"/>
  <c r="EC33" i="2"/>
  <c r="E7" i="15"/>
  <c r="E103" i="8"/>
  <c r="E87" i="27"/>
  <c r="E98" i="18"/>
  <c r="E99" i="18" s="1"/>
  <c r="E214" i="8"/>
  <c r="E215" i="8" s="1"/>
  <c r="G225" i="8"/>
  <c r="G148" i="8"/>
  <c r="G149" i="8" s="1"/>
  <c r="G144" i="8"/>
  <c r="G145" i="8" s="1"/>
  <c r="F7" i="15"/>
  <c r="DJ9" i="2"/>
  <c r="B45" i="7"/>
  <c r="CU9" i="2"/>
  <c r="B109" i="8"/>
  <c r="B12" i="15"/>
  <c r="HD9" i="2"/>
  <c r="FY15" i="2"/>
  <c r="IQ15" i="2" s="1"/>
  <c r="C55" i="7" s="1"/>
  <c r="FP15" i="2"/>
  <c r="IV9" i="2"/>
  <c r="JB9" i="2" s="1"/>
  <c r="FO9" i="2"/>
  <c r="F93" i="22"/>
  <c r="F24" i="7"/>
  <c r="D47" i="20"/>
  <c r="D85" i="7"/>
  <c r="D261" i="8"/>
  <c r="D263" i="8" s="1"/>
  <c r="D264" i="8" s="1"/>
  <c r="H120" i="8"/>
  <c r="H96" i="8"/>
  <c r="H98" i="8" s="1"/>
  <c r="H99" i="8" s="1"/>
  <c r="C102" i="8"/>
  <c r="C6" i="15"/>
  <c r="C227" i="8"/>
  <c r="K136" i="8"/>
  <c r="C132" i="8"/>
  <c r="C133" i="8" s="1"/>
  <c r="E105" i="8"/>
  <c r="E9" i="15"/>
  <c r="C80" i="27"/>
  <c r="C116" i="8"/>
  <c r="C24" i="20"/>
  <c r="C51" i="20"/>
  <c r="B6" i="27"/>
  <c r="B44" i="27"/>
  <c r="B43" i="7"/>
  <c r="JG6" i="2"/>
  <c r="JG52" i="2" s="1"/>
  <c r="C9" i="15"/>
  <c r="C105" i="8"/>
  <c r="B77" i="27"/>
  <c r="B32" i="15"/>
  <c r="B136" i="8"/>
  <c r="B138" i="8" s="1"/>
  <c r="B139" i="8" s="1"/>
  <c r="G136" i="8"/>
  <c r="G138" i="8" s="1"/>
  <c r="G139" i="8" s="1"/>
  <c r="H136" i="8"/>
  <c r="H138" i="8" s="1"/>
  <c r="H139" i="8" s="1"/>
  <c r="B102" i="20"/>
  <c r="B103" i="20" s="1"/>
  <c r="H102" i="8"/>
  <c r="H6" i="15"/>
  <c r="D87" i="27"/>
  <c r="D35" i="15"/>
  <c r="F87" i="27"/>
  <c r="F123" i="18"/>
  <c r="F124" i="18"/>
  <c r="F116" i="8"/>
  <c r="FQ52" i="2"/>
  <c r="FX6" i="2"/>
  <c r="IT6" i="2"/>
  <c r="B89" i="20"/>
  <c r="FY27" i="2"/>
  <c r="FP27" i="2"/>
  <c r="GR52" i="2"/>
  <c r="JS6" i="2"/>
  <c r="JS52" i="2" s="1"/>
  <c r="DU50" i="2"/>
  <c r="EC4" i="2"/>
  <c r="EC50" i="2" s="1"/>
  <c r="FT52" i="2"/>
  <c r="E103" i="18"/>
  <c r="D12" i="20"/>
  <c r="D34" i="20"/>
  <c r="B31" i="15"/>
  <c r="B76" i="27"/>
  <c r="DU9" i="2"/>
  <c r="EC9" i="2" s="1"/>
  <c r="B32" i="20"/>
  <c r="B6" i="20"/>
  <c r="G255" i="8"/>
  <c r="G257" i="8" s="1"/>
  <c r="G258" i="8" s="1"/>
  <c r="G44" i="20"/>
  <c r="G81" i="7"/>
  <c r="G70" i="20"/>
  <c r="O70" i="20" s="1"/>
  <c r="G15" i="20"/>
  <c r="G17" i="20" s="1"/>
  <c r="FA52" i="2"/>
  <c r="FJ6" i="2"/>
  <c r="FJ52" i="2" s="1"/>
  <c r="G24" i="20"/>
  <c r="G51" i="20"/>
  <c r="D120" i="8"/>
  <c r="D96" i="8"/>
  <c r="D98" i="8" s="1"/>
  <c r="D99" i="8" s="1"/>
  <c r="IV50" i="2"/>
  <c r="JB4" i="2"/>
  <c r="JB50" i="2" s="1"/>
  <c r="G120" i="8"/>
  <c r="G96" i="8"/>
  <c r="G98" i="8" s="1"/>
  <c r="G99" i="8" s="1"/>
  <c r="FW52" i="2"/>
  <c r="G73" i="20"/>
  <c r="HF39" i="2"/>
  <c r="IR52" i="2"/>
  <c r="GZ9" i="2"/>
  <c r="GH43" i="2"/>
  <c r="IO43" i="2"/>
  <c r="ET43" i="2"/>
  <c r="IQ43" i="2"/>
  <c r="IP43" i="2"/>
  <c r="B228" i="8"/>
  <c r="B20" i="8"/>
  <c r="B21" i="8" s="1"/>
  <c r="D104" i="20"/>
  <c r="G19" i="15"/>
  <c r="G24" i="7"/>
  <c r="G93" i="22"/>
  <c r="IX9" i="2"/>
  <c r="HR6" i="2"/>
  <c r="HR52" i="2" s="1"/>
  <c r="G104" i="20"/>
  <c r="D80" i="27"/>
  <c r="B79" i="27"/>
  <c r="B34" i="15"/>
  <c r="B282" i="8"/>
  <c r="B284" i="8" s="1"/>
  <c r="B285" i="8" s="1"/>
  <c r="B52" i="20"/>
  <c r="B89" i="7"/>
  <c r="B86" i="27"/>
  <c r="B41" i="15"/>
  <c r="F220" i="8"/>
  <c r="C87" i="7"/>
  <c r="C48" i="20"/>
  <c r="C267" i="8"/>
  <c r="C269" i="8" s="1"/>
  <c r="C270" i="8" s="1"/>
  <c r="E102" i="8"/>
  <c r="E6" i="15"/>
  <c r="HO52" i="2"/>
  <c r="KE6" i="2"/>
  <c r="KE52" i="2" s="1"/>
  <c r="HX6" i="2"/>
  <c r="HX52" i="2" s="1"/>
  <c r="E116" i="23"/>
  <c r="FU52" i="2"/>
  <c r="IW6" i="2"/>
  <c r="E158" i="27"/>
  <c r="IG52" i="2"/>
  <c r="FY7" i="2"/>
  <c r="FP7" i="2"/>
  <c r="L95" i="20"/>
  <c r="O121" i="18"/>
  <c r="B33" i="20"/>
  <c r="B91" i="7"/>
  <c r="B276" i="8"/>
  <c r="B278" i="8" s="1"/>
  <c r="B279" i="8" s="1"/>
  <c r="B9" i="20"/>
  <c r="B11" i="20" s="1"/>
  <c r="HL52" i="2"/>
  <c r="HU6" i="2"/>
  <c r="HU52" i="2" s="1"/>
  <c r="KB6" i="2"/>
  <c r="KB52" i="2" s="1"/>
  <c r="FP21" i="2"/>
  <c r="FY21" i="2"/>
  <c r="G218" i="8"/>
  <c r="G102" i="18"/>
  <c r="F219" i="8"/>
  <c r="F103" i="18"/>
  <c r="B75" i="27"/>
  <c r="B30" i="15"/>
  <c r="F104" i="8"/>
  <c r="F8" i="15"/>
  <c r="C42" i="15"/>
  <c r="C104" i="20"/>
  <c r="EC15" i="2"/>
  <c r="B63" i="20"/>
  <c r="FC52" i="2"/>
  <c r="FL6" i="2"/>
  <c r="FL52" i="2" s="1"/>
  <c r="H24" i="7"/>
  <c r="H93" i="22"/>
  <c r="C103" i="8"/>
  <c r="C7" i="15"/>
  <c r="FV52" i="2"/>
  <c r="GH13" i="2"/>
  <c r="IQ13" i="2"/>
  <c r="IO13" i="2"/>
  <c r="ET13" i="2"/>
  <c r="IP13" i="2"/>
  <c r="G116" i="8"/>
  <c r="HE9" i="2"/>
  <c r="FR52" i="2"/>
  <c r="B108" i="18"/>
  <c r="B122" i="18"/>
  <c r="B124" i="18" s="1"/>
  <c r="FN9" i="2"/>
  <c r="B47" i="7"/>
  <c r="B130" i="8"/>
  <c r="ES9" i="2"/>
  <c r="B5" i="18" s="1"/>
  <c r="FG9" i="2"/>
  <c r="M95" i="20"/>
  <c r="E35" i="15"/>
  <c r="B115" i="8"/>
  <c r="C261" i="8"/>
  <c r="C263" i="8" s="1"/>
  <c r="C264" i="8" s="1"/>
  <c r="C85" i="7"/>
  <c r="C47" i="20"/>
  <c r="CY52" i="2"/>
  <c r="DF6" i="2"/>
  <c r="DF52" i="2" s="1"/>
  <c r="DY52" i="2"/>
  <c r="E34" i="20"/>
  <c r="E12" i="20"/>
  <c r="D124" i="18"/>
  <c r="E227" i="8"/>
  <c r="M136" i="8"/>
  <c r="E132" i="8"/>
  <c r="E133" i="8" s="1"/>
  <c r="D225" i="8"/>
  <c r="D148" i="8"/>
  <c r="D149" i="8" s="1"/>
  <c r="D144" i="8"/>
  <c r="D145" i="8" s="1"/>
  <c r="C34" i="20"/>
  <c r="C12" i="20"/>
  <c r="EC45" i="2"/>
  <c r="B16" i="15"/>
  <c r="B113" i="8"/>
  <c r="EC21" i="2"/>
  <c r="GA9" i="2"/>
  <c r="CK9" i="2"/>
  <c r="B67" i="20"/>
  <c r="B22" i="15" l="1"/>
  <c r="B219" i="18"/>
  <c r="Y121" i="20"/>
  <c r="X266" i="18"/>
  <c r="B213" i="18"/>
  <c r="B214" i="18" s="1"/>
  <c r="X230" i="18"/>
  <c r="B217" i="18"/>
  <c r="X231" i="18"/>
  <c r="B158" i="18"/>
  <c r="B218" i="18"/>
  <c r="X232" i="18"/>
  <c r="B311" i="18"/>
  <c r="B312" i="18" s="1"/>
  <c r="Y159" i="20"/>
  <c r="X233" i="18"/>
  <c r="B190" i="20"/>
  <c r="H11" i="15"/>
  <c r="W122" i="20"/>
  <c r="B106" i="8"/>
  <c r="J95" i="20"/>
  <c r="E80" i="20"/>
  <c r="F80" i="20"/>
  <c r="B220" i="8"/>
  <c r="IY6" i="2"/>
  <c r="IY52" i="2" s="1"/>
  <c r="E221" i="8"/>
  <c r="M221" i="8" s="1"/>
  <c r="GA6" i="2"/>
  <c r="GA52" i="2" s="1"/>
  <c r="C105" i="18"/>
  <c r="C106" i="18" s="1"/>
  <c r="D107" i="8"/>
  <c r="IX6" i="2"/>
  <c r="IX52" i="2" s="1"/>
  <c r="C221" i="8"/>
  <c r="K221" i="8" s="1"/>
  <c r="FE52" i="2"/>
  <c r="G80" i="20"/>
  <c r="GF6" i="2"/>
  <c r="GF52" i="2" s="1"/>
  <c r="E105" i="18"/>
  <c r="E106" i="18" s="1"/>
  <c r="D11" i="15"/>
  <c r="GE6" i="2"/>
  <c r="GE52" i="2" s="1"/>
  <c r="GC6" i="2"/>
  <c r="GC52" i="2" s="1"/>
  <c r="GB6" i="2"/>
  <c r="GB52" i="2" s="1"/>
  <c r="F44" i="15"/>
  <c r="FZ6" i="2"/>
  <c r="FZ52" i="2" s="1"/>
  <c r="FG6" i="2"/>
  <c r="FG52" i="2" s="1"/>
  <c r="GD6" i="2"/>
  <c r="GD52" i="2" s="1"/>
  <c r="E89" i="27"/>
  <c r="B6" i="15"/>
  <c r="B102" i="8"/>
  <c r="D105" i="18"/>
  <c r="D106" i="18" s="1"/>
  <c r="F89" i="27"/>
  <c r="C89" i="27"/>
  <c r="D221" i="8"/>
  <c r="L221" i="8" s="1"/>
  <c r="B104" i="8"/>
  <c r="FD52" i="2"/>
  <c r="H44" i="15"/>
  <c r="ES6" i="2"/>
  <c r="ES52" i="2" s="1"/>
  <c r="HA6" i="2"/>
  <c r="HA52" i="2" s="1"/>
  <c r="CT6" i="2"/>
  <c r="CT52" i="2" s="1"/>
  <c r="HC6" i="2"/>
  <c r="HC52" i="2" s="1"/>
  <c r="H107" i="8"/>
  <c r="CR6" i="2"/>
  <c r="CR52" i="2" s="1"/>
  <c r="G44" i="15"/>
  <c r="D89" i="27"/>
  <c r="B35" i="15"/>
  <c r="E44" i="15"/>
  <c r="E11" i="15"/>
  <c r="D44" i="15"/>
  <c r="G105" i="18"/>
  <c r="G106" i="18" s="1"/>
  <c r="C80" i="20"/>
  <c r="G71" i="20"/>
  <c r="O71" i="20" s="1"/>
  <c r="E53" i="7"/>
  <c r="M106" i="18" s="1"/>
  <c r="E110" i="18"/>
  <c r="GH27" i="2"/>
  <c r="ET27" i="2"/>
  <c r="IQ27" i="2"/>
  <c r="IO27" i="2"/>
  <c r="E11" i="27" s="1"/>
  <c r="E158" i="8"/>
  <c r="IP27" i="2"/>
  <c r="HY6" i="2"/>
  <c r="HY52" i="2" s="1"/>
  <c r="B42" i="15"/>
  <c r="B103" i="18"/>
  <c r="B219" i="8"/>
  <c r="F11" i="15"/>
  <c r="H89" i="27"/>
  <c r="B102" i="18"/>
  <c r="O136" i="8"/>
  <c r="B87" i="27"/>
  <c r="DV52" i="2"/>
  <c r="EB6" i="2"/>
  <c r="EB52" i="2" s="1"/>
  <c r="B19" i="15"/>
  <c r="L19" i="15" s="1"/>
  <c r="F107" i="8"/>
  <c r="B123" i="18"/>
  <c r="G158" i="8"/>
  <c r="G53" i="7"/>
  <c r="O106" i="18" s="1"/>
  <c r="G110" i="18"/>
  <c r="ET39" i="2"/>
  <c r="GH39" i="2"/>
  <c r="IQ39" i="2"/>
  <c r="IO39" i="2"/>
  <c r="G11" i="27" s="1"/>
  <c r="IP39" i="2"/>
  <c r="FY9" i="2"/>
  <c r="FP9" i="2"/>
  <c r="G221" i="8"/>
  <c r="G222" i="8" s="1"/>
  <c r="G153" i="8" s="1"/>
  <c r="G155" i="8" s="1"/>
  <c r="B34" i="20"/>
  <c r="B12" i="20"/>
  <c r="IO7" i="2"/>
  <c r="ET7" i="2"/>
  <c r="GH7" i="2"/>
  <c r="IQ7" i="2"/>
  <c r="IP7" i="2"/>
  <c r="B98" i="18"/>
  <c r="B99" i="18" s="1"/>
  <c r="B214" i="8"/>
  <c r="B215" i="8" s="1"/>
  <c r="GZ6" i="2"/>
  <c r="B81" i="7"/>
  <c r="B44" i="20"/>
  <c r="B255" i="8"/>
  <c r="B257" i="8" s="1"/>
  <c r="B258" i="8" s="1"/>
  <c r="B70" i="20"/>
  <c r="B15" i="20"/>
  <c r="B17" i="20" s="1"/>
  <c r="B116" i="8"/>
  <c r="H117" i="8" s="1"/>
  <c r="F45" i="20"/>
  <c r="F18" i="20"/>
  <c r="P136" i="8"/>
  <c r="N121" i="18"/>
  <c r="B218" i="8"/>
  <c r="IT52" i="2"/>
  <c r="IZ6" i="2"/>
  <c r="IZ52" i="2" s="1"/>
  <c r="B120" i="8"/>
  <c r="B96" i="8"/>
  <c r="B98" i="8" s="1"/>
  <c r="B99" i="8" s="1"/>
  <c r="H105" i="18"/>
  <c r="H106" i="18" s="1"/>
  <c r="GW52" i="2"/>
  <c r="GX6" i="2"/>
  <c r="GX52" i="2" s="1"/>
  <c r="JX6" i="2"/>
  <c r="JX52" i="2" s="1"/>
  <c r="GY6" i="2"/>
  <c r="GY52" i="2" s="1"/>
  <c r="HE6" i="2"/>
  <c r="HE52" i="2" s="1"/>
  <c r="HD6" i="2"/>
  <c r="HD52" i="2" s="1"/>
  <c r="B267" i="8"/>
  <c r="B269" i="8" s="1"/>
  <c r="B270" i="8" s="1"/>
  <c r="B48" i="20"/>
  <c r="B87" i="7"/>
  <c r="B93" i="22"/>
  <c r="B24" i="7"/>
  <c r="F71" i="20"/>
  <c r="N71" i="20" s="1"/>
  <c r="FX52" i="2"/>
  <c r="GG6" i="2"/>
  <c r="GG52" i="2" s="1"/>
  <c r="B47" i="20"/>
  <c r="B85" i="7"/>
  <c r="B261" i="8"/>
  <c r="B263" i="8" s="1"/>
  <c r="B264" i="8" s="1"/>
  <c r="CS6" i="2"/>
  <c r="CS52" i="2" s="1"/>
  <c r="B24" i="20"/>
  <c r="B51" i="20"/>
  <c r="F110" i="18"/>
  <c r="ET33" i="2"/>
  <c r="GH33" i="2"/>
  <c r="F53" i="7"/>
  <c r="N106" i="18" s="1"/>
  <c r="F158" i="8"/>
  <c r="IQ33" i="2"/>
  <c r="IO33" i="2"/>
  <c r="F11" i="27" s="1"/>
  <c r="IP33" i="2"/>
  <c r="F105" i="18"/>
  <c r="F106" i="18" s="1"/>
  <c r="C45" i="20"/>
  <c r="C18" i="20"/>
  <c r="HF9" i="2"/>
  <c r="B73" i="20"/>
  <c r="C53" i="7"/>
  <c r="K106" i="18" s="1"/>
  <c r="C110" i="18"/>
  <c r="ET15" i="2"/>
  <c r="GH15" i="2"/>
  <c r="C158" i="8"/>
  <c r="IO15" i="2"/>
  <c r="C11" i="27" s="1"/>
  <c r="IP15" i="2"/>
  <c r="C44" i="15"/>
  <c r="B225" i="8"/>
  <c r="B148" i="8"/>
  <c r="B149" i="8" s="1"/>
  <c r="B144" i="8"/>
  <c r="B145" i="8" s="1"/>
  <c r="H221" i="8"/>
  <c r="P221" i="8" s="1"/>
  <c r="IU52" i="2"/>
  <c r="JA6" i="2"/>
  <c r="JA52" i="2" s="1"/>
  <c r="FY50" i="2"/>
  <c r="GH4" i="2"/>
  <c r="GH50" i="2" s="1"/>
  <c r="IQ4" i="2"/>
  <c r="IQ50" i="2" s="1"/>
  <c r="IO4" i="2"/>
  <c r="IO50" i="2" s="1"/>
  <c r="ET4" i="2"/>
  <c r="ET50" i="2" s="1"/>
  <c r="IP4" i="2"/>
  <c r="IP50" i="2" s="1"/>
  <c r="E71" i="20"/>
  <c r="M71" i="20" s="1"/>
  <c r="CO6" i="2"/>
  <c r="CO52" i="2" s="1"/>
  <c r="H53" i="7"/>
  <c r="H110" i="18"/>
  <c r="GH45" i="2"/>
  <c r="ET45" i="2"/>
  <c r="H158" i="8"/>
  <c r="IQ45" i="2"/>
  <c r="IO45" i="2"/>
  <c r="H11" i="27" s="1"/>
  <c r="IP45" i="2"/>
  <c r="DU6" i="2"/>
  <c r="F221" i="8"/>
  <c r="F222" i="8" s="1"/>
  <c r="F153" i="8" s="1"/>
  <c r="F155" i="8" s="1"/>
  <c r="C71" i="20"/>
  <c r="K71" i="20" s="1"/>
  <c r="B103" i="8"/>
  <c r="B7" i="15"/>
  <c r="J136" i="8"/>
  <c r="B132" i="8"/>
  <c r="B133" i="8" s="1"/>
  <c r="B227" i="8"/>
  <c r="GH21" i="2"/>
  <c r="D53" i="7"/>
  <c r="L106" i="18" s="1"/>
  <c r="D110" i="18"/>
  <c r="ET21" i="2"/>
  <c r="IQ21" i="2"/>
  <c r="D158" i="8"/>
  <c r="IO21" i="2"/>
  <c r="D11" i="27" s="1"/>
  <c r="IP21" i="2"/>
  <c r="IW52" i="2"/>
  <c r="JC6" i="2"/>
  <c r="JC52" i="2" s="1"/>
  <c r="C11" i="15"/>
  <c r="B78" i="20"/>
  <c r="B79" i="20" s="1"/>
  <c r="B104" i="20"/>
  <c r="H104" i="20" s="1"/>
  <c r="D71" i="20"/>
  <c r="L71" i="20" s="1"/>
  <c r="G11" i="15"/>
  <c r="CJ52" i="2"/>
  <c r="DJ6" i="2"/>
  <c r="DJ52" i="2" s="1"/>
  <c r="CU6" i="2"/>
  <c r="CU52" i="2" s="1"/>
  <c r="CQ6" i="2"/>
  <c r="CQ52" i="2" s="1"/>
  <c r="CK6" i="2"/>
  <c r="CK52" i="2" s="1"/>
  <c r="CL6" i="2"/>
  <c r="CL52" i="2" s="1"/>
  <c r="CM6" i="2"/>
  <c r="CM52" i="2" s="1"/>
  <c r="FF52" i="2"/>
  <c r="IV6" i="2"/>
  <c r="FO6" i="2"/>
  <c r="FO52" i="2" s="1"/>
  <c r="E45" i="20"/>
  <c r="E18" i="20"/>
  <c r="JD52" i="2"/>
  <c r="JF6" i="2"/>
  <c r="JF52" i="2" s="1"/>
  <c r="B158" i="27"/>
  <c r="B80" i="27"/>
  <c r="E107" i="8"/>
  <c r="G18" i="20"/>
  <c r="G45" i="20"/>
  <c r="C107" i="8"/>
  <c r="D18" i="20"/>
  <c r="D45" i="20"/>
  <c r="G107" i="8"/>
  <c r="CP6" i="2"/>
  <c r="CP52" i="2" s="1"/>
  <c r="G89" i="27"/>
  <c r="B44" i="15" l="1"/>
  <c r="J69" i="20"/>
  <c r="M107" i="18"/>
  <c r="J70" i="20"/>
  <c r="Y160" i="20"/>
  <c r="K94" i="20"/>
  <c r="B96" i="20" s="1"/>
  <c r="Y122" i="20"/>
  <c r="B220" i="18"/>
  <c r="B221" i="18" s="1"/>
  <c r="X234" i="18"/>
  <c r="P106" i="18"/>
  <c r="P107" i="18" s="1"/>
  <c r="H51" i="7"/>
  <c r="G51" i="7"/>
  <c r="O107" i="18"/>
  <c r="F51" i="7"/>
  <c r="N107" i="18"/>
  <c r="E51" i="7"/>
  <c r="D51" i="7"/>
  <c r="L107" i="18"/>
  <c r="C51" i="7"/>
  <c r="K107" i="18"/>
  <c r="X160" i="20"/>
  <c r="E222" i="8"/>
  <c r="E153" i="8" s="1"/>
  <c r="E155" i="8" s="1"/>
  <c r="C222" i="8"/>
  <c r="C153" i="8" s="1"/>
  <c r="C155" i="8" s="1"/>
  <c r="B11" i="15"/>
  <c r="L11" i="15" s="1"/>
  <c r="B107" i="8"/>
  <c r="H108" i="8" s="1"/>
  <c r="FY6" i="2"/>
  <c r="IO6" i="2" s="1"/>
  <c r="IO52" i="2" s="1"/>
  <c r="FP6" i="2"/>
  <c r="FP52" i="2" s="1"/>
  <c r="H222" i="8"/>
  <c r="H153" i="8" s="1"/>
  <c r="H155" i="8" s="1"/>
  <c r="B89" i="27"/>
  <c r="D222" i="8"/>
  <c r="D153" i="8" s="1"/>
  <c r="D155" i="8" s="1"/>
  <c r="N221" i="8"/>
  <c r="D50" i="2"/>
  <c r="B105" i="18"/>
  <c r="B106" i="18" s="1"/>
  <c r="H229" i="8"/>
  <c r="H230" i="8" s="1"/>
  <c r="H160" i="8"/>
  <c r="H161" i="8" s="1"/>
  <c r="O221" i="8"/>
  <c r="C7" i="27"/>
  <c r="C57" i="7"/>
  <c r="C165" i="8"/>
  <c r="C167" i="8" s="1"/>
  <c r="C168" i="8" s="1"/>
  <c r="C112" i="18"/>
  <c r="F111" i="18"/>
  <c r="F55" i="7"/>
  <c r="E57" i="7"/>
  <c r="E112" i="18"/>
  <c r="E7" i="27"/>
  <c r="E165" i="8"/>
  <c r="E167" i="8" s="1"/>
  <c r="E168" i="8" s="1"/>
  <c r="G111" i="18"/>
  <c r="G55" i="7"/>
  <c r="D7" i="27"/>
  <c r="D57" i="7"/>
  <c r="D165" i="8"/>
  <c r="D167" i="8" s="1"/>
  <c r="D168" i="8" s="1"/>
  <c r="D112" i="18"/>
  <c r="B80" i="20"/>
  <c r="H80" i="20" s="1"/>
  <c r="F160" i="8"/>
  <c r="F161" i="8" s="1"/>
  <c r="F229" i="8"/>
  <c r="F230" i="8" s="1"/>
  <c r="E160" i="8"/>
  <c r="E161" i="8" s="1"/>
  <c r="E229" i="8"/>
  <c r="E230" i="8" s="1"/>
  <c r="H55" i="7"/>
  <c r="H111" i="18"/>
  <c r="C111" i="18"/>
  <c r="B110" i="18"/>
  <c r="GH9" i="2"/>
  <c r="ET9" i="2"/>
  <c r="B158" i="8"/>
  <c r="B53" i="7"/>
  <c r="J106" i="18" s="1"/>
  <c r="IQ9" i="2"/>
  <c r="IO9" i="2"/>
  <c r="B11" i="27" s="1"/>
  <c r="IP9" i="2"/>
  <c r="D160" i="8"/>
  <c r="D161" i="8" s="1"/>
  <c r="D229" i="8"/>
  <c r="D230" i="8" s="1"/>
  <c r="DU52" i="2"/>
  <c r="EC6" i="2"/>
  <c r="EC52" i="2" s="1"/>
  <c r="C229" i="8"/>
  <c r="C230" i="8" s="1"/>
  <c r="C160" i="8"/>
  <c r="C161" i="8" s="1"/>
  <c r="GZ52" i="2"/>
  <c r="HF6" i="2"/>
  <c r="HF52" i="2" s="1"/>
  <c r="G160" i="8"/>
  <c r="G161" i="8" s="1"/>
  <c r="G229" i="8"/>
  <c r="G230" i="8" s="1"/>
  <c r="E111" i="18"/>
  <c r="E55" i="7"/>
  <c r="F57" i="7"/>
  <c r="F112" i="18"/>
  <c r="F7" i="27"/>
  <c r="F165" i="8"/>
  <c r="F167" i="8" s="1"/>
  <c r="F168" i="8" s="1"/>
  <c r="B71" i="20"/>
  <c r="J71" i="20" s="1"/>
  <c r="H7" i="27"/>
  <c r="H57" i="7"/>
  <c r="H112" i="18"/>
  <c r="H165" i="8"/>
  <c r="H167" i="8" s="1"/>
  <c r="H168" i="8" s="1"/>
  <c r="G112" i="18"/>
  <c r="G7" i="27"/>
  <c r="G57" i="7"/>
  <c r="G165" i="8"/>
  <c r="G167" i="8" s="1"/>
  <c r="G168" i="8" s="1"/>
  <c r="D55" i="7"/>
  <c r="D111" i="18"/>
  <c r="IV52" i="2"/>
  <c r="JB6" i="2"/>
  <c r="JB52" i="2" s="1"/>
  <c r="B221" i="8"/>
  <c r="J221" i="8" s="1"/>
  <c r="B45" i="20"/>
  <c r="B18" i="20"/>
  <c r="J107" i="18" l="1"/>
  <c r="IQ6" i="2"/>
  <c r="IQ52" i="2" s="1"/>
  <c r="GH6" i="2"/>
  <c r="GH52" i="2" s="1"/>
  <c r="FY52" i="2"/>
  <c r="IP6" i="2"/>
  <c r="IP52" i="2" s="1"/>
  <c r="ET6" i="2"/>
  <c r="ET52" i="2" s="1"/>
  <c r="B55" i="7"/>
  <c r="B111" i="18"/>
  <c r="B57" i="7"/>
  <c r="B112" i="18"/>
  <c r="B7" i="27"/>
  <c r="B165" i="8"/>
  <c r="B167" i="8" s="1"/>
  <c r="B168" i="8" s="1"/>
  <c r="B160" i="8"/>
  <c r="B161" i="8" s="1"/>
  <c r="B229" i="8"/>
  <c r="B230" i="8" s="1"/>
  <c r="B222" i="8"/>
  <c r="B153" i="8" s="1"/>
  <c r="B155" i="8" s="1"/>
  <c r="B51" i="7" l="1"/>
  <c r="D5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Bronach</author>
    <author>enduser</author>
    <author>E048070</author>
    <author>Todd Branan</author>
  </authors>
  <commentList>
    <comment ref="T1" authorId="0" shapeId="0" xr:uid="{00000000-0006-0000-0400-000001000000}">
      <text>
        <r>
          <rPr>
            <b/>
            <sz val="14"/>
            <color indexed="81"/>
            <rFont val="Tahoma"/>
            <family val="2"/>
          </rPr>
          <t>State Totals do NOT include SW CIRA for joining fees or dues.  SW CIRA removed from the State Cost of M/ship Section</t>
        </r>
      </text>
    </comment>
    <comment ref="AM2" authorId="0" shapeId="0" xr:uid="{00000000-0006-0000-0400-000002000000}">
      <text>
        <r>
          <rPr>
            <b/>
            <sz val="12"/>
            <color indexed="81"/>
            <rFont val="Tahoma"/>
            <family val="2"/>
          </rPr>
          <t>Subtotals at AJ, AK, AN, AO use the Dues for the AY and not the CY (as per the InColumns tab) to be consistent with the rest of the info.  Formula changed here and also changed the Club data too.</t>
        </r>
      </text>
    </comment>
    <comment ref="CZ2" authorId="0" shapeId="0" xr:uid="{00000000-0006-0000-0400-000003000000}">
      <text>
        <r>
          <rPr>
            <b/>
            <sz val="12"/>
            <color indexed="81"/>
            <rFont val="Tahoma"/>
            <family val="2"/>
          </rPr>
          <t>State excludes SWCIRA</t>
        </r>
      </text>
    </comment>
    <comment ref="EU2" authorId="1" shapeId="0" xr:uid="{00000000-0006-0000-0400-000004000000}">
      <text>
        <r>
          <rPr>
            <b/>
            <sz val="9"/>
            <color indexed="81"/>
            <rFont val="Tahoma"/>
            <family val="2"/>
          </rPr>
          <t>DIFFERENT FORMULA - COUNTS THE 0, 1, 2 FOR EACH REGION</t>
        </r>
      </text>
    </comment>
    <comment ref="EX2" authorId="1" shapeId="0" xr:uid="{00000000-0006-0000-0400-000005000000}">
      <text>
        <r>
          <rPr>
            <b/>
            <sz val="11"/>
            <color indexed="81"/>
            <rFont val="Tahoma"/>
            <family val="2"/>
          </rPr>
          <t>DIFFERENT FORMULA - COUNTS THE 0, 1, 2 FOR EACH REGION</t>
        </r>
        <r>
          <rPr>
            <sz val="9"/>
            <color indexed="81"/>
            <rFont val="Tahoma"/>
            <family val="2"/>
          </rPr>
          <t xml:space="preserve">
</t>
        </r>
      </text>
    </comment>
    <comment ref="JK2" authorId="2" shapeId="0" xr:uid="{00000000-0006-0000-0400-000006000000}">
      <text>
        <r>
          <rPr>
            <sz val="12"/>
            <color indexed="81"/>
            <rFont val="Tahoma"/>
            <family val="2"/>
          </rPr>
          <t>I never added the rounding to formula</t>
        </r>
      </text>
    </comment>
    <comment ref="AM11" authorId="3" shapeId="0" xr:uid="{00000000-0006-0000-0400-000007000000}">
      <text>
        <r>
          <rPr>
            <b/>
            <sz val="14"/>
            <color indexed="81"/>
            <rFont val="Tahoma"/>
            <family val="2"/>
          </rPr>
          <t xml:space="preserve">CALC FROM THE ARRAY (IE COL AJ) OR SUM ACROSS (IE ROW 9 CELLS =W10+AE10+AH10
</t>
        </r>
      </text>
    </comment>
    <comment ref="AI15" authorId="1" shapeId="0" xr:uid="{00000000-0006-0000-0400-000008000000}">
      <text>
        <r>
          <rPr>
            <sz val="18"/>
            <color indexed="81"/>
            <rFont val="Tahoma"/>
            <family val="2"/>
          </rPr>
          <t xml:space="preserve">
HARD CODED FY22</t>
        </r>
      </text>
    </comment>
    <comment ref="CT15" authorId="0" shapeId="0" xr:uid="{00000000-0006-0000-0400-000009000000}">
      <text>
        <r>
          <rPr>
            <sz val="12"/>
            <color indexed="81"/>
            <rFont val="Tahoma"/>
            <family val="2"/>
          </rPr>
          <t>rounding added</t>
        </r>
      </text>
    </comment>
    <comment ref="HC15" authorId="0" shapeId="0" xr:uid="{00000000-0006-0000-0400-00000A000000}">
      <text>
        <r>
          <rPr>
            <sz val="12"/>
            <color indexed="81"/>
            <rFont val="Tahoma"/>
            <family val="2"/>
          </rPr>
          <t xml:space="preserve">rounding added
</t>
        </r>
      </text>
    </comment>
    <comment ref="AM17" authorId="3" shapeId="0" xr:uid="{00000000-0006-0000-0400-00000B000000}">
      <text>
        <r>
          <rPr>
            <b/>
            <sz val="14"/>
            <color indexed="81"/>
            <rFont val="Tahoma"/>
            <family val="2"/>
          </rPr>
          <t xml:space="preserve">CALC FROM THE ARRAY (IE COL AJ) OR SUM ACROSS (IE ROW 9 CELLS =W10+AE10+AH10
</t>
        </r>
      </text>
    </comment>
    <comment ref="HC21" authorId="0" shapeId="0" xr:uid="{00000000-0006-0000-0400-00000C000000}">
      <text>
        <r>
          <rPr>
            <sz val="12"/>
            <color indexed="81"/>
            <rFont val="Tahoma"/>
            <family val="2"/>
          </rPr>
          <t xml:space="preserve">rounding added
</t>
        </r>
      </text>
    </comment>
    <comment ref="HX21" authorId="0" shapeId="0" xr:uid="{00000000-0006-0000-0400-00000D000000}">
      <text>
        <r>
          <rPr>
            <sz val="12"/>
            <color indexed="81"/>
            <rFont val="Tahoma"/>
            <family val="2"/>
          </rPr>
          <t>rounding added</t>
        </r>
      </text>
    </comment>
    <comment ref="AM23" authorId="3" shapeId="0" xr:uid="{00000000-0006-0000-0400-00000E000000}">
      <text>
        <r>
          <rPr>
            <b/>
            <sz val="14"/>
            <color indexed="81"/>
            <rFont val="Tahoma"/>
            <family val="2"/>
          </rPr>
          <t xml:space="preserve">CALC FROM THE ARRAY (IE COL AJ) OR SUM ACROSS (IE ROW 9 CELLS =W10+AE10+AH10
</t>
        </r>
      </text>
    </comment>
    <comment ref="JH26" authorId="0" shapeId="0" xr:uid="{00000000-0006-0000-0400-00000F000000}">
      <text>
        <r>
          <rPr>
            <sz val="12"/>
            <color indexed="81"/>
            <rFont val="Tahoma"/>
            <family val="2"/>
          </rPr>
          <t>manually adjusted for Hillsboro and Club at Mediterranean</t>
        </r>
      </text>
    </comment>
    <comment ref="JI26" authorId="0" shapeId="0" xr:uid="{00000000-0006-0000-0400-000010000000}">
      <text>
        <r>
          <rPr>
            <sz val="12"/>
            <color indexed="81"/>
            <rFont val="Tahoma"/>
            <family val="2"/>
          </rPr>
          <t>manually adjusted for Club at Mediterranean.
Hillsboro sorted by formula</t>
        </r>
      </text>
    </comment>
    <comment ref="HC27" authorId="0" shapeId="0" xr:uid="{00000000-0006-0000-0400-000011000000}">
      <text>
        <r>
          <rPr>
            <sz val="12"/>
            <color indexed="81"/>
            <rFont val="Tahoma"/>
            <family val="2"/>
          </rPr>
          <t xml:space="preserve">rounding added
</t>
        </r>
      </text>
    </comment>
    <comment ref="HX27" authorId="0" shapeId="0" xr:uid="{00000000-0006-0000-0400-000012000000}">
      <text>
        <r>
          <rPr>
            <sz val="12"/>
            <color indexed="81"/>
            <rFont val="Tahoma"/>
            <family val="2"/>
          </rPr>
          <t>rounding added</t>
        </r>
      </text>
    </comment>
    <comment ref="AM29" authorId="3" shapeId="0" xr:uid="{00000000-0006-0000-0400-000013000000}">
      <text>
        <r>
          <rPr>
            <b/>
            <sz val="14"/>
            <color indexed="81"/>
            <rFont val="Tahoma"/>
            <family val="2"/>
          </rPr>
          <t xml:space="preserve">CALC FROM THE ARRAY (IE COL AJ) OR SUM ACROSS (IE ROW 9 CELLS =W10+AE10+AH10
</t>
        </r>
      </text>
    </comment>
    <comment ref="JO32" authorId="4" shapeId="0" xr:uid="{00000000-0006-0000-0400-000014000000}">
      <text>
        <r>
          <rPr>
            <b/>
            <sz val="14"/>
            <color indexed="81"/>
            <rFont val="Tahoma"/>
            <family val="2"/>
          </rPr>
          <t>Added 1 as formula doesn't pick up -ive amounts
NCN for T2016</t>
        </r>
        <r>
          <rPr>
            <sz val="9"/>
            <color indexed="81"/>
            <rFont val="Tahoma"/>
            <family val="2"/>
          </rPr>
          <t xml:space="preserve">
</t>
        </r>
      </text>
    </comment>
    <comment ref="FB33" authorId="0" shapeId="0" xr:uid="{00000000-0006-0000-0400-000015000000}">
      <text>
        <r>
          <rPr>
            <sz val="10"/>
            <color indexed="81"/>
            <rFont val="Tahoma"/>
            <family val="2"/>
          </rPr>
          <t>ROUNDING ADDED</t>
        </r>
      </text>
    </comment>
    <comment ref="HC33" authorId="0" shapeId="0" xr:uid="{00000000-0006-0000-0400-000016000000}">
      <text>
        <r>
          <rPr>
            <sz val="12"/>
            <color indexed="81"/>
            <rFont val="Tahoma"/>
            <family val="2"/>
          </rPr>
          <t xml:space="preserve">rounding added
</t>
        </r>
      </text>
    </comment>
    <comment ref="HX33" authorId="0" shapeId="0" xr:uid="{00000000-0006-0000-0400-000017000000}">
      <text>
        <r>
          <rPr>
            <sz val="12"/>
            <color indexed="81"/>
            <rFont val="Tahoma"/>
            <family val="2"/>
          </rPr>
          <t>rounding added</t>
        </r>
      </text>
    </comment>
    <comment ref="AM35" authorId="3" shapeId="0" xr:uid="{00000000-0006-0000-0400-000018000000}">
      <text>
        <r>
          <rPr>
            <b/>
            <sz val="14"/>
            <color indexed="81"/>
            <rFont val="Tahoma"/>
            <family val="2"/>
          </rPr>
          <t xml:space="preserve">CALC FROM THE ARRAY (IE COL AJ) OR SUM ACROSS (IE ROW 9 CELLS =W10+AE10+AH10
</t>
        </r>
      </text>
    </comment>
    <comment ref="FB39" authorId="0" shapeId="0" xr:uid="{00000000-0006-0000-0400-000019000000}">
      <text>
        <r>
          <rPr>
            <sz val="10"/>
            <color indexed="81"/>
            <rFont val="Tahoma"/>
            <family val="2"/>
          </rPr>
          <t>ROUNDING ADDED</t>
        </r>
      </text>
    </comment>
    <comment ref="HX39" authorId="0" shapeId="0" xr:uid="{00000000-0006-0000-0400-00001A000000}">
      <text>
        <r>
          <rPr>
            <sz val="12"/>
            <color indexed="81"/>
            <rFont val="Tahoma"/>
            <family val="2"/>
          </rPr>
          <t>rounding added</t>
        </r>
      </text>
    </comment>
    <comment ref="AM41" authorId="3" shapeId="0" xr:uid="{00000000-0006-0000-0400-00001B000000}">
      <text>
        <r>
          <rPr>
            <b/>
            <sz val="14"/>
            <color indexed="81"/>
            <rFont val="Tahoma"/>
            <family val="2"/>
          </rPr>
          <t xml:space="preserve">CALC FROM THE ARRAY (IE COL AJ) OR SUM ACROSS (IE ROW 9 CELLS =W10+AE10+AH10
</t>
        </r>
      </text>
    </comment>
    <comment ref="AM47" authorId="3" shapeId="0" xr:uid="{00000000-0006-0000-0400-00001C000000}">
      <text>
        <r>
          <rPr>
            <b/>
            <sz val="14"/>
            <color indexed="81"/>
            <rFont val="Tahoma"/>
            <family val="2"/>
          </rPr>
          <t xml:space="preserve">CALC FROM THE ARRAY (IE COL AJ) OR SUM ACROSS (IE ROW 9 CELLS =W10+AE10+AH10
</t>
        </r>
      </text>
    </comment>
    <comment ref="JK56" authorId="2" shapeId="0" xr:uid="{00000000-0006-0000-0400-00001D000000}">
      <text>
        <r>
          <rPr>
            <sz val="12"/>
            <color indexed="81"/>
            <rFont val="Tahoma"/>
            <family val="2"/>
          </rPr>
          <t>I never added the rounding to formula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Bronach</author>
  </authors>
  <commentList>
    <comment ref="AM206" authorId="0" shapeId="0" xr:uid="{00000000-0006-0000-0700-000001000000}">
      <text>
        <r>
          <rPr>
            <b/>
            <sz val="12"/>
            <color indexed="81"/>
            <rFont val="Tahoma"/>
            <family val="2"/>
          </rPr>
          <t>Subtotals at AJ, AK, AN, AO use the Dues for the AY and not the CY (as per the InColumns tab) to be consistent with the rest of the info.  Formula changed here and also changed the Club data too.</t>
        </r>
      </text>
    </comment>
    <comment ref="EU206" authorId="1" shapeId="0" xr:uid="{00000000-0006-0000-0700-000002000000}">
      <text>
        <r>
          <rPr>
            <b/>
            <sz val="9"/>
            <color indexed="81"/>
            <rFont val="Tahoma"/>
            <family val="2"/>
          </rPr>
          <t>DIFFERENT FORMULA - COUNTS THE 0, 1, 2 FOR EACH REGION</t>
        </r>
      </text>
    </comment>
    <comment ref="EX206" authorId="1" shapeId="0" xr:uid="{00000000-0006-0000-0700-000003000000}">
      <text>
        <r>
          <rPr>
            <b/>
            <sz val="11"/>
            <color indexed="81"/>
            <rFont val="Tahoma"/>
            <family val="2"/>
          </rPr>
          <t>DIFFERENT FORMULA - COUNTS THE 0, 1, 2 FOR EACH REGION</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M249" authorId="0" shapeId="0" xr:uid="{00000000-0006-0000-0D00-000001000000}">
      <text>
        <r>
          <rPr>
            <sz val="12"/>
            <color indexed="81"/>
            <rFont val="Tahoma"/>
            <family val="2"/>
          </rPr>
          <t>2010 published was 136 - but should have been 118</t>
        </r>
      </text>
    </comment>
    <comment ref="N249" authorId="0" shapeId="0" xr:uid="{00000000-0006-0000-0D00-000002000000}">
      <text>
        <r>
          <rPr>
            <sz val="12"/>
            <color indexed="81"/>
            <rFont val="Tahoma"/>
            <family val="2"/>
          </rPr>
          <t>2010 published was 105 - but should have been 101</t>
        </r>
      </text>
    </comment>
  </commentList>
</comments>
</file>

<file path=xl/sharedStrings.xml><?xml version="1.0" encoding="utf-8"?>
<sst xmlns="http://schemas.openxmlformats.org/spreadsheetml/2006/main" count="13012" uniqueCount="2445">
  <si>
    <t>Club name:</t>
  </si>
  <si>
    <t>***GENERAL***</t>
  </si>
  <si>
    <t>Refundable</t>
  </si>
  <si>
    <t>Non-refundable</t>
  </si>
  <si>
    <t>Total</t>
  </si>
  <si>
    <t>Revenues:</t>
  </si>
  <si>
    <t xml:space="preserve">Sports activities:  </t>
  </si>
  <si>
    <t xml:space="preserve">    Golf</t>
  </si>
  <si>
    <t xml:space="preserve">    Tennis</t>
  </si>
  <si>
    <t xml:space="preserve">    Pro shop sales</t>
  </si>
  <si>
    <t xml:space="preserve">    Other (include fitness, locker rooms)</t>
  </si>
  <si>
    <t>Food sales (do NOT  include minimum spending requirements)</t>
  </si>
  <si>
    <t>Beverage sales</t>
  </si>
  <si>
    <t>All other  (includes F&amp;B minimum)</t>
  </si>
  <si>
    <t>Total Revenues (amount should agree to financial statement)</t>
  </si>
  <si>
    <t>Expenses (excluding depreciation):</t>
  </si>
  <si>
    <t>Payroll and related</t>
  </si>
  <si>
    <t>Cost of sales- F&amp;B</t>
  </si>
  <si>
    <t>Cost of sales- Pro shop</t>
  </si>
  <si>
    <t>Operating expenses</t>
  </si>
  <si>
    <t>Insurance</t>
  </si>
  <si>
    <t>Operating excess/(deficiency) per financial statement</t>
  </si>
  <si>
    <t>Cost of food sold</t>
  </si>
  <si>
    <t>Food gross profit</t>
  </si>
  <si>
    <t>Cost of beverage sales</t>
  </si>
  <si>
    <t>Beverage gross profit</t>
  </si>
  <si>
    <t>Combined sales (does Not include minimum spending requirement)</t>
  </si>
  <si>
    <t>Cost of sales</t>
  </si>
  <si>
    <t>Gross Profit</t>
  </si>
  <si>
    <t>Departmental expenses:</t>
  </si>
  <si>
    <t>Salaries and wages</t>
  </si>
  <si>
    <t>Payroll taxes and benefits</t>
  </si>
  <si>
    <t>Employees' meals</t>
  </si>
  <si>
    <t xml:space="preserve">  Total departmental</t>
  </si>
  <si>
    <t>Net profit (loss)</t>
  </si>
  <si>
    <t>Food to beverage ratio</t>
  </si>
  <si>
    <t>18-HOLE COURSES ONLY (MULTIPLE HOLE SEE BELOW):</t>
  </si>
  <si>
    <t>Course supplies and contracts (includes gasoline, sand, sod)</t>
  </si>
  <si>
    <t>Repairs and maintenance (includes tree trimming, lake maintenance)</t>
  </si>
  <si>
    <t>All other expenses (including utilities)</t>
  </si>
  <si>
    <t>MULTIPLE HOLE COURSES ONLY:</t>
  </si>
  <si>
    <t>Property taxes</t>
  </si>
  <si>
    <t>Other expenses (excluding entertainment, valet, decorations)</t>
  </si>
  <si>
    <t>Operating assessments</t>
  </si>
  <si>
    <t>Initiation fees ("above the line" only)</t>
  </si>
  <si>
    <t>Dues</t>
  </si>
  <si>
    <t>Leased equipment expense</t>
  </si>
  <si>
    <t xml:space="preserve">Year end: </t>
  </si>
  <si>
    <t xml:space="preserve">Laundry </t>
  </si>
  <si>
    <t>Total Depreciation expense</t>
  </si>
  <si>
    <t>Restaurant Sales per Member</t>
  </si>
  <si>
    <t>Restaurant Subsidy per Member</t>
  </si>
  <si>
    <t>What is the Club's AR aging profile (%)</t>
  </si>
  <si>
    <t>0 - 30 days</t>
  </si>
  <si>
    <t>31 - 60 days</t>
  </si>
  <si>
    <t>61 - 90 days</t>
  </si>
  <si>
    <t>91 +</t>
  </si>
  <si>
    <t>Number of Members:</t>
  </si>
  <si>
    <t>Total Revenues</t>
  </si>
  <si>
    <t>Total Expenses</t>
  </si>
  <si>
    <t>Operating excess/(deficiency)</t>
  </si>
  <si>
    <t>ANNUAL FIXED F&amp;B SERVICE CHARGE</t>
  </si>
  <si>
    <t>***MEMBERSHIP ACTIVITY***</t>
  </si>
  <si>
    <t>***COST OF MEMBERSHIP***</t>
  </si>
  <si>
    <t>***FINANCING, INVESTING, AND WORKING CAPITAL MANAGEMENT***</t>
  </si>
  <si>
    <t>***BUSINESS LEVEL OPERATIONAL PERFORMANCE***</t>
  </si>
  <si>
    <t>***MEMBER LEVEL OPERATIONAL METRICS***</t>
  </si>
  <si>
    <t>***DEPARTMENTAL OPERATIONS - RESTAURANT***</t>
  </si>
  <si>
    <t>***DEPARTMENTAL OPERATIONS - GOLF OPERATIONS/GOLF COURSE MAINTAINANCE***</t>
  </si>
  <si>
    <t>Total Expenses (amount should agree to financial statement)</t>
  </si>
  <si>
    <t>Linen, china, glass, silver</t>
  </si>
  <si>
    <t xml:space="preserve">All other Members </t>
  </si>
  <si>
    <t>TOTAL HIGHEST DUES AND ALL ASSESSMENTS</t>
  </si>
  <si>
    <t>TOTAL LOWEST DUES AND ALL ASSESSMENTS</t>
  </si>
  <si>
    <t>TOTAL HIGHEST FIXED COST OF MEMBERSHIP</t>
  </si>
  <si>
    <t>TOTAL LOWEST FIXED COST OF MEMBERSHIP</t>
  </si>
  <si>
    <t>% of capital improvements to depreciation expense</t>
  </si>
  <si>
    <t>Cost per hole</t>
  </si>
  <si>
    <t>Cost per maintained acre</t>
  </si>
  <si>
    <t>Number of holes</t>
  </si>
  <si>
    <t>Is it a Club or an Association? (1 = Club /  0 = Association (CIRA))</t>
  </si>
  <si>
    <t>Full Members (HIGHEST level)</t>
  </si>
  <si>
    <t>TOTAL joining fee rate for HIGHEST level of membership (include amount for membership certificate):</t>
  </si>
  <si>
    <t>TOTAL joining fee rate for LOWEST level of membership (include amount for membership certificate):</t>
  </si>
  <si>
    <t xml:space="preserve">HIGHEST level dollar increase in dues rate </t>
  </si>
  <si>
    <t>HIGHEST level percentage increase in dues rate</t>
  </si>
  <si>
    <t xml:space="preserve">LOWEST level dollar increase in dues rate </t>
  </si>
  <si>
    <t xml:space="preserve">LOWEST level percentage increase in dues rate </t>
  </si>
  <si>
    <t>Does the club have a major capital improvement project planned in the next twelve months? (1 = yes  / 0 = no)</t>
  </si>
  <si>
    <t>Does the Club have Third Party Debt? (1 = yes / 0 = no)</t>
  </si>
  <si>
    <t>Does the Club have positive working capital (excess of current assets over current liabilities)? (1 = yes / 0 = no)</t>
  </si>
  <si>
    <t>Does the club utilize the services of an organized Foreign Labor company?   (1 = yes / 0 = no)</t>
  </si>
  <si>
    <t>Does the club have a food &amp; beverage minimum spending requirement?  (1 = yes / 0 = no)</t>
  </si>
  <si>
    <t>Did the Club have an operating assessment ? (1 = yes / 0 = no)</t>
  </si>
  <si>
    <t>Does the club have an interest rate swap agreement? (1 = yes / 0 = no)</t>
  </si>
  <si>
    <t>Annual OPERATING dues rate:</t>
  </si>
  <si>
    <t>Does the club have a MANDATORY fixed service charge? (1 = yes / 0 = no)</t>
  </si>
  <si>
    <t>Did you increase menu prices this year?  (1 = YES / 0 = NO)</t>
  </si>
  <si>
    <t>Did you increase drink prices this year?  (1 = YES / 0 = NO)</t>
  </si>
  <si>
    <t>Club or Association? (1 = Club /  0 = Assn (CIRA))</t>
  </si>
  <si>
    <t>Is the Club a mand mship club? (1 = yes / 0 = no)</t>
  </si>
  <si>
    <t>resigned members waiting list to exit? (1 = yes / 0 = no)</t>
  </si>
  <si>
    <t># of resigned members waiting</t>
  </si>
  <si>
    <t xml:space="preserve"> length of wait list in years</t>
  </si>
  <si>
    <t># of members paid out off of the resigned list</t>
  </si>
  <si>
    <t># members resigned in year under audit</t>
  </si>
  <si>
    <t>Highest Refundable</t>
  </si>
  <si>
    <t>Highest Non-refundable</t>
  </si>
  <si>
    <t>Highest Total</t>
  </si>
  <si>
    <t>Lowest Refundable</t>
  </si>
  <si>
    <t>Lowest Non-refundable</t>
  </si>
  <si>
    <t>Lowest Total</t>
  </si>
  <si>
    <t>Lowest % inc in dues</t>
  </si>
  <si>
    <t>Lowest $ inc in dues</t>
  </si>
  <si>
    <t>Highest % inc in dues</t>
  </si>
  <si>
    <t>Highest $ inc in Dues</t>
  </si>
  <si>
    <t>Cap Impv'mt/Debt Ass'mt ? (1 = yes / 0 = no)</t>
  </si>
  <si>
    <t>Op'g Ass'mt? (1 = yes / 0 = no)</t>
  </si>
  <si>
    <t>Highest - Total Dues &amp; Ass'mt</t>
  </si>
  <si>
    <t>Lowest - Total Dues &amp; Ass'mt</t>
  </si>
  <si>
    <t>Highest Dues (CY)</t>
  </si>
  <si>
    <t>Highest Dues (AY)</t>
  </si>
  <si>
    <t>Lowest Dues (CY)</t>
  </si>
  <si>
    <t>Lowest Dues (AY)</t>
  </si>
  <si>
    <t>Highest - Cap Ass'mt member billed</t>
  </si>
  <si>
    <t>Lowest - Cap Ass'mt member billed</t>
  </si>
  <si>
    <t>Lowest - Op Ass'mt member billed</t>
  </si>
  <si>
    <t>Highest - Op Ass'mt member billed</t>
  </si>
  <si>
    <t>F&amp;B Min</t>
  </si>
  <si>
    <t>Highest - TOTAL FIXED COST OF MEMBERSHIP</t>
  </si>
  <si>
    <t>Lowest - TOTAL FIXED COST OF MEMBERSHIP</t>
  </si>
  <si>
    <t>Chksum</t>
  </si>
  <si>
    <t>Major Capital Impv'mt project next 12mths (1 = yes  / 0 = no)</t>
  </si>
  <si>
    <t>Amount bud for Major Cap Impv'mt</t>
  </si>
  <si>
    <t>PP&amp;E additions per C/F S'ment</t>
  </si>
  <si>
    <t>Depn exp</t>
  </si>
  <si>
    <t>% of cap impv'mts to depn</t>
  </si>
  <si>
    <t>Third Party Debt? (1 = yes / 0 = no)</t>
  </si>
  <si>
    <t>IRS Agmt?</t>
  </si>
  <si>
    <t>+ wk'g cap (CA&gt;CL)</t>
  </si>
  <si>
    <t>Tl Third Party Debt (ST &amp; LT, inc LOC &amp; cap leases)</t>
  </si>
  <si>
    <t xml:space="preserve">    Other (inc fitness, locker rooms)</t>
  </si>
  <si>
    <t>Op'g Ass'mt</t>
  </si>
  <si>
    <t>Initiation fees</t>
  </si>
  <si>
    <t>Food sales (exc mins)</t>
  </si>
  <si>
    <t>All other (inc F&amp;B minimum)</t>
  </si>
  <si>
    <t xml:space="preserve">Operating excess/(deficiency) </t>
  </si>
  <si>
    <t xml:space="preserve">    Golf/member</t>
  </si>
  <si>
    <t xml:space="preserve">    Tennis/member</t>
  </si>
  <si>
    <t xml:space="preserve">    Pro shop sales/member</t>
  </si>
  <si>
    <t xml:space="preserve">    Other (include fitness, locker rooms)/member</t>
  </si>
  <si>
    <t>Dues/member</t>
  </si>
  <si>
    <t>Op'g Ass'mt/member</t>
  </si>
  <si>
    <t>Initiation fees/member</t>
  </si>
  <si>
    <t>Food sales (exc mins)/member</t>
  </si>
  <si>
    <t>Beverage sales/member</t>
  </si>
  <si>
    <t>All other (inc F&amp;B minimum)/member</t>
  </si>
  <si>
    <t>Total Revenues/member</t>
  </si>
  <si>
    <t>Payroll and related/member</t>
  </si>
  <si>
    <t>Cost of sales- F&amp;B/member</t>
  </si>
  <si>
    <t>Cost of sales- Pro shop/member</t>
  </si>
  <si>
    <t>Operating expenses/member</t>
  </si>
  <si>
    <t>Property taxes/member</t>
  </si>
  <si>
    <t>Insurance/member</t>
  </si>
  <si>
    <t>Total Expenses/member</t>
  </si>
  <si>
    <t>Operating excess/(deficiency)/member</t>
  </si>
  <si>
    <t>Total employees in season</t>
  </si>
  <si>
    <t>organized Foreign Labor</t>
  </si>
  <si>
    <t># Foreign Staff hired in yr</t>
  </si>
  <si>
    <t>F&amp;B Min?</t>
  </si>
  <si>
    <t>Highest - Ann Amt</t>
  </si>
  <si>
    <t>Automatic F&amp;B gratuity</t>
  </si>
  <si>
    <t>% amt of F&amp;B gratuity</t>
  </si>
  <si>
    <t>Highest - mthly fixed serv chge</t>
  </si>
  <si>
    <t>Fixed gratuity/service charge &amp; Min</t>
  </si>
  <si>
    <t># covers (include function / banquet)</t>
  </si>
  <si>
    <t>#  function / banquet covers</t>
  </si>
  <si>
    <t>Food sales (exc Mins)</t>
  </si>
  <si>
    <t>Combined sales (exc Mins)</t>
  </si>
  <si>
    <t>inc bev prices this yr?</t>
  </si>
  <si>
    <t xml:space="preserve">inc menu prices this yr? </t>
  </si>
  <si>
    <t>Av % inc Menu Price</t>
  </si>
  <si>
    <t>Av % inc Bev Price</t>
  </si>
  <si>
    <t>MAND'Y fixed service charge?</t>
  </si>
  <si>
    <t xml:space="preserve">    Golf%</t>
  </si>
  <si>
    <t xml:space="preserve">    Tennis%</t>
  </si>
  <si>
    <t xml:space="preserve">    Pro shop sales%</t>
  </si>
  <si>
    <t xml:space="preserve">    Other (inc fitness, locker rooms)%</t>
  </si>
  <si>
    <t>Dues%</t>
  </si>
  <si>
    <t>Op'g Ass'mt%</t>
  </si>
  <si>
    <t>Initiation fees%</t>
  </si>
  <si>
    <t>Food sales (exc mins)%</t>
  </si>
  <si>
    <t>Beverage sales%</t>
  </si>
  <si>
    <t>All other (inc F&amp;B minimum)%</t>
  </si>
  <si>
    <t>Total Revenues%</t>
  </si>
  <si>
    <t>Payroll and related%</t>
  </si>
  <si>
    <t>Cost of sales- F&amp;B%</t>
  </si>
  <si>
    <t>Cost of sales- Pro shop%</t>
  </si>
  <si>
    <t>Operating expenses%</t>
  </si>
  <si>
    <t>Property taxes%</t>
  </si>
  <si>
    <t>Insurance%</t>
  </si>
  <si>
    <t>Total Expenses%</t>
  </si>
  <si>
    <t>Food sales (exc Mins)%</t>
  </si>
  <si>
    <t>Cost of food sold%</t>
  </si>
  <si>
    <t>Food gross profit%</t>
  </si>
  <si>
    <t>Cost of beverage sales%</t>
  </si>
  <si>
    <t>Beverage gross profit%</t>
  </si>
  <si>
    <t>Combined sales (exc Mins)%</t>
  </si>
  <si>
    <t>Cost of sales%</t>
  </si>
  <si>
    <t>Gross Profit%</t>
  </si>
  <si>
    <t xml:space="preserve">  Salaries and wages (EXC credit for MAND'Y FIXED SERVICE CHARGES)%</t>
  </si>
  <si>
    <t>Less credit = 20% of F&amp;B sales (only applies for club's with MAND'Y FIXED SERVICE CHARGES)%</t>
  </si>
  <si>
    <t>Payroll taxes and benefits%</t>
  </si>
  <si>
    <t>Employees' meals%</t>
  </si>
  <si>
    <t>Laundry %</t>
  </si>
  <si>
    <t>Linen, china, glass, silver%</t>
  </si>
  <si>
    <t>Other expenses (excluding entertainment, valet, decorations)%</t>
  </si>
  <si>
    <t xml:space="preserve">  Total departmental%</t>
  </si>
  <si>
    <t>Net profit (loss)%</t>
  </si>
  <si>
    <t>18-Maintained course acreage</t>
  </si>
  <si>
    <t xml:space="preserve">18-# of rounds per year </t>
  </si>
  <si>
    <t>18-Salaries and wages</t>
  </si>
  <si>
    <t>18-Payroll taxes and benefits</t>
  </si>
  <si>
    <t>18-Course supplies and contracts (includes gasoline, sand, sod)</t>
  </si>
  <si>
    <t>18-Repairs &amp; mtce (includes tree trimming, lake mtce)</t>
  </si>
  <si>
    <t>18-Leased eqpt exp</t>
  </si>
  <si>
    <t>18-All other expenses (including utilities)</t>
  </si>
  <si>
    <t>18-Total Golf Exp</t>
  </si>
  <si>
    <t>18-Cost per hole</t>
  </si>
  <si>
    <t>18-Cost per maintained acre</t>
  </si>
  <si>
    <t>18-Salaries and wages%</t>
  </si>
  <si>
    <t>18-Payroll taxes and benefits%</t>
  </si>
  <si>
    <t>18-Course supplies and contracts (includes gasoline, sand, sod)%</t>
  </si>
  <si>
    <t>18-Repairs &amp; mtce (includes tree trimming, lake mtce)%</t>
  </si>
  <si>
    <t>18-Leased eqpt exp%</t>
  </si>
  <si>
    <t>18-All other expenses (including utilities)%</t>
  </si>
  <si>
    <t>18-Total Golf Exp%</t>
  </si>
  <si>
    <t>18-# of holes</t>
  </si>
  <si>
    <t>Multi-# of holes</t>
  </si>
  <si>
    <t>Multi-Maintained course acreage</t>
  </si>
  <si>
    <t xml:space="preserve">Multi-# of rounds per year </t>
  </si>
  <si>
    <t>Multi-Salaries and wages</t>
  </si>
  <si>
    <t>Multi-Payroll taxes and benefits</t>
  </si>
  <si>
    <t>Multi-Course supplies and contracts (includes gasoline, sand, sod)</t>
  </si>
  <si>
    <t>Multi-Repairs &amp; mtce (includes tree trimming, lake mtce)</t>
  </si>
  <si>
    <t>Multi-Leased eqpt exp</t>
  </si>
  <si>
    <t>Multi-All other expenses (including utilities)</t>
  </si>
  <si>
    <t>Multi-Total Golf Exp</t>
  </si>
  <si>
    <t>Multi-Cost per hole</t>
  </si>
  <si>
    <t>Multi-Cost per maintained acre</t>
  </si>
  <si>
    <t>Multi-Salaries and wages%</t>
  </si>
  <si>
    <t>Multi-Payroll taxes and benefits%</t>
  </si>
  <si>
    <t>Multi-Course supplies and contracts (includes gasoline, sand, sod)%</t>
  </si>
  <si>
    <t>Multi-Repairs &amp; mtce (includes tree trimming, lake mtce)%</t>
  </si>
  <si>
    <t>Multi-Leased eqpt exp%</t>
  </si>
  <si>
    <t>Multi-All other expenses (including utilities)%</t>
  </si>
  <si>
    <t>Multi-Total Golf Exp%</t>
  </si>
  <si>
    <t>Area</t>
  </si>
  <si>
    <t>BOCA</t>
  </si>
  <si>
    <t>Delaire</t>
  </si>
  <si>
    <t>Boca</t>
  </si>
  <si>
    <t>Frenchman's Creek</t>
  </si>
  <si>
    <t>Seminole Golf Club</t>
  </si>
  <si>
    <t>Orchid Island</t>
  </si>
  <si>
    <t>SW CIRA</t>
  </si>
  <si>
    <t>Stonebridge CCCA</t>
  </si>
  <si>
    <t>Bear's Paw CC</t>
  </si>
  <si>
    <t>EXECUTIVE SUMMARY HIGHLIGHTS</t>
  </si>
  <si>
    <t>Statewide</t>
  </si>
  <si>
    <t>Southeast</t>
  </si>
  <si>
    <t>Boca Raton</t>
  </si>
  <si>
    <t>Southwest</t>
  </si>
  <si>
    <t>North &amp;</t>
  </si>
  <si>
    <t>Yacht &amp;</t>
  </si>
  <si>
    <t>Florida</t>
  </si>
  <si>
    <t>without Boca</t>
  </si>
  <si>
    <t>without CIRAs</t>
  </si>
  <si>
    <t>CIRAs</t>
  </si>
  <si>
    <t>Central</t>
  </si>
  <si>
    <t>Beach Clubs</t>
  </si>
  <si>
    <t>Employees - in season</t>
  </si>
  <si>
    <t>% that have a F&amp;B Spending Minimum</t>
  </si>
  <si>
    <t xml:space="preserve">Annual F&amp;B Spending Minimum </t>
  </si>
  <si>
    <t>% that have a Mandatory Service Charge</t>
  </si>
  <si>
    <t>Monthly Mandatory Service Charge</t>
  </si>
  <si>
    <t xml:space="preserve">% that have both a F&amp;B Annual Spending </t>
  </si>
  <si>
    <t>Minimum AND a Mandatory Service Charge</t>
  </si>
  <si>
    <t>Total Payroll and Related Expenes, net</t>
  </si>
  <si>
    <t>n/a</t>
  </si>
  <si>
    <t>Property Taxes Paid</t>
  </si>
  <si>
    <t>General Insurance Paid</t>
  </si>
  <si>
    <t>GCM 18 Holes - Maintained Acres</t>
  </si>
  <si>
    <t>GCM 18 Holes - Cost Per Acre</t>
  </si>
  <si>
    <t>GCM 18 Holes - Cost Per Round</t>
  </si>
  <si>
    <t>Country Clubs</t>
  </si>
  <si>
    <t>w/o Boca</t>
  </si>
  <si>
    <t>w/o CIRAs</t>
  </si>
  <si>
    <t>Beach</t>
  </si>
  <si>
    <t>Number of participating clubs</t>
  </si>
  <si>
    <t>2010</t>
  </si>
  <si>
    <t>2009</t>
  </si>
  <si>
    <t>Change</t>
  </si>
  <si>
    <t>Percent</t>
  </si>
  <si>
    <t>% Mandatory membership</t>
  </si>
  <si>
    <t>Number of employees in-season</t>
  </si>
  <si>
    <t>Memberships to employees ratio</t>
  </si>
  <si>
    <t xml:space="preserve">Average payroll costs </t>
  </si>
  <si>
    <t>Total property taxes paid</t>
  </si>
  <si>
    <t>Property taxes paid per membership</t>
  </si>
  <si>
    <t>Total general insurance paid</t>
  </si>
  <si>
    <t>General insurance paid per membership</t>
  </si>
  <si>
    <t>Sports</t>
  </si>
  <si>
    <t>Food</t>
  </si>
  <si>
    <t>Beverage</t>
  </si>
  <si>
    <t>Other</t>
  </si>
  <si>
    <t xml:space="preserve">Average operating revenues </t>
  </si>
  <si>
    <t>Expenses:</t>
  </si>
  <si>
    <t>Cost of sales - food and beverage</t>
  </si>
  <si>
    <t>Operating</t>
  </si>
  <si>
    <t>Taxes and insurance</t>
  </si>
  <si>
    <t>Average operating expenses</t>
  </si>
  <si>
    <t>Average surplus (loss)</t>
  </si>
  <si>
    <t>% of Clubs with surpluses</t>
  </si>
  <si>
    <t>Combined food &amp; beverage revenues</t>
  </si>
  <si>
    <t>F&amp;B sales per membership</t>
  </si>
  <si>
    <t>Food to beverage sales ratio</t>
  </si>
  <si>
    <t>F&amp;B revenue mix</t>
  </si>
  <si>
    <t>Food sales</t>
  </si>
  <si>
    <t>F&amp;B loss to combined sales</t>
  </si>
  <si>
    <t>Average F&amp;B loss in dollars</t>
  </si>
  <si>
    <t>Average F&amp;B loss dues</t>
  </si>
  <si>
    <t>% that have a minimum</t>
  </si>
  <si>
    <t>spending requirement</t>
  </si>
  <si>
    <t>Annual minimum F&amp;B</t>
  </si>
  <si>
    <t>% that use a mandatory</t>
  </si>
  <si>
    <t>service charge method</t>
  </si>
  <si>
    <t>Monthly service charge for</t>
  </si>
  <si>
    <t>those that use this method</t>
  </si>
  <si>
    <t>% that don't have either service charge or gratuity</t>
  </si>
  <si>
    <t>% that use both a minimum</t>
  </si>
  <si>
    <t>spending requirement AND</t>
  </si>
  <si>
    <t>a mandatory service charge</t>
  </si>
  <si>
    <t>Cost of food sold (net of employee meals)</t>
  </si>
  <si>
    <t>Gross profit, food</t>
  </si>
  <si>
    <t>Cost of beverages sold</t>
  </si>
  <si>
    <t>Gross profit, beverage</t>
  </si>
  <si>
    <t>Combined F&amp;B sales</t>
  </si>
  <si>
    <t>Combined cost of sales</t>
  </si>
  <si>
    <t>Gross profit, combined</t>
  </si>
  <si>
    <t>Salaries and wages, net of gratuities</t>
  </si>
  <si>
    <t>Payroll taxes and employee benefits</t>
  </si>
  <si>
    <t>All other expenses</t>
  </si>
  <si>
    <t>Total departmental expenses</t>
  </si>
  <si>
    <t>Departmental (loss)</t>
  </si>
  <si>
    <t>Dollars of Food Sales to $1.00 of</t>
  </si>
  <si>
    <t>Beverage Sales</t>
  </si>
  <si>
    <t>Average volume (thousands)</t>
  </si>
  <si>
    <t>Average subsidized departmental loss</t>
  </si>
  <si>
    <t>% of clubs that increased menu prices</t>
  </si>
  <si>
    <t>Average % increase of those reporting increases</t>
  </si>
  <si>
    <t>% of clubs that increased drink prices</t>
  </si>
  <si>
    <t>2008</t>
  </si>
  <si>
    <t>2007</t>
  </si>
  <si>
    <t>2006</t>
  </si>
  <si>
    <t>2005</t>
  </si>
  <si>
    <t>2004</t>
  </si>
  <si>
    <t>2003</t>
  </si>
  <si>
    <t>2002</t>
  </si>
  <si>
    <t>2001</t>
  </si>
  <si>
    <t xml:space="preserve">Other departmental expenses </t>
  </si>
  <si>
    <t>GOLF OPERATIONS</t>
  </si>
  <si>
    <t>GOLF COURSE MAINTENANCE</t>
  </si>
  <si>
    <t>18-HOLE COURSES</t>
  </si>
  <si>
    <t>Golf rounds</t>
  </si>
  <si>
    <t>Maintained acres</t>
  </si>
  <si>
    <t>Cost per acre</t>
  </si>
  <si>
    <t>Cost per round</t>
  </si>
  <si>
    <t>Course supplies, fertilizers, chemicals, etc.</t>
  </si>
  <si>
    <t>Repairs to equipment, course buildings,</t>
  </si>
  <si>
    <t>water drainage system, etc.</t>
  </si>
  <si>
    <t>MULTIPLE HOLE COURSES</t>
  </si>
  <si>
    <t>Golf rounds (based on 18-holes)</t>
  </si>
  <si>
    <t>Maintained acres (based on 36 holes)</t>
  </si>
  <si>
    <t>AVERAGE</t>
  </si>
  <si>
    <t># RESPONSES</t>
  </si>
  <si>
    <t>STATE</t>
  </si>
  <si>
    <t>TOTAL</t>
  </si>
  <si>
    <t>CHK SUM</t>
  </si>
  <si>
    <t>2011</t>
  </si>
  <si>
    <t>Combined Revenues</t>
  </si>
  <si>
    <t>% FB min AND serv chg</t>
  </si>
  <si>
    <t>#REPONSES</t>
  </si>
  <si>
    <t>18-Salaries and wages PER HOLE</t>
  </si>
  <si>
    <t>18-Payroll taxes and benefitsPER HOLE</t>
  </si>
  <si>
    <t>18-Course supplies and contracts (includes gasoline, sand, sod)PER HOLE</t>
  </si>
  <si>
    <t>18-Repairs &amp; mtce (includes tree trimming, lake mtce)PER HOLE</t>
  </si>
  <si>
    <t>18-Leased eqpt expPER HOLE</t>
  </si>
  <si>
    <t>18-All other expenses (including utilities)PER HOLE</t>
  </si>
  <si>
    <t>Multi-Salaries and wagesPER HOLE</t>
  </si>
  <si>
    <t>Multi-Payroll taxes and benefitsPER HOLE</t>
  </si>
  <si>
    <t>Multi-Course supplies and contracts (includes gasoline, sand, sod)PER HOLE</t>
  </si>
  <si>
    <t>Multi-Repairs &amp; mtce (includes tree trimming, lake mtce)PER HOLE</t>
  </si>
  <si>
    <t>Multi-Leased eqpt expPER HOLE</t>
  </si>
  <si>
    <t>Multi-All other expenses (including utilities)PER HOLE</t>
  </si>
  <si>
    <t>MEMBERSHIP</t>
  </si>
  <si>
    <t>%ref equity HIGH</t>
  </si>
  <si>
    <t>%ref equity LOW</t>
  </si>
  <si>
    <t>Fiddlesticks C.C.</t>
  </si>
  <si>
    <t>of gratuities</t>
  </si>
  <si>
    <t>Multi-# of rounds per year (@18HOLE)</t>
  </si>
  <si>
    <t>Multi-acres per hole (@36HOLES)</t>
  </si>
  <si>
    <t>Operating excess=1/(deficiency)=0</t>
  </si>
  <si>
    <t>Yacht &amp; Beach</t>
  </si>
  <si>
    <t>Florida Statewide</t>
  </si>
  <si>
    <t>North &amp; Central</t>
  </si>
  <si>
    <t>LEGEND</t>
  </si>
  <si>
    <t>info used in publication</t>
  </si>
  <si>
    <t>info used to produce charts for publication</t>
  </si>
  <si>
    <t>Southwest CIRAs</t>
  </si>
  <si>
    <t xml:space="preserve">Southeast </t>
  </si>
  <si>
    <t xml:space="preserve">Boca </t>
  </si>
  <si>
    <t xml:space="preserve">Southwest </t>
  </si>
  <si>
    <t xml:space="preserve">Yacht </t>
  </si>
  <si>
    <t>Cost of food and beverage</t>
  </si>
  <si>
    <t>Salaries Net of Gratuities</t>
  </si>
  <si>
    <t>PTEB</t>
  </si>
  <si>
    <t>Other departmental expenses</t>
  </si>
  <si>
    <t>F&amp;B Net profit (loss)% per MEMBER</t>
  </si>
  <si>
    <t>Dollars of Food Sales to $1.00 of Beverage Sales</t>
  </si>
  <si>
    <t>(Thousands)</t>
  </si>
  <si>
    <t>Note: Does not incude capital equipment replacement costs.</t>
  </si>
  <si>
    <t>Note: Does not include entertainment, decorations, or valet costs.</t>
  </si>
  <si>
    <t>Rounds (Multi, based on 18)</t>
  </si>
  <si>
    <t>Rounds (18 holes)</t>
  </si>
  <si>
    <t>Cost per hole:</t>
  </si>
  <si>
    <t>ADDNL</t>
  </si>
  <si>
    <t>F&amp;B</t>
  </si>
  <si>
    <t>Ops</t>
  </si>
  <si>
    <t>Golf</t>
  </si>
  <si>
    <t>CALCS REQD &gt;&gt;&gt;</t>
  </si>
  <si>
    <t>Golf rounds Multi (based on 18-holes)</t>
  </si>
  <si>
    <t>18-Cost per Round</t>
  </si>
  <si>
    <t>Multi-Cost per Round</t>
  </si>
  <si>
    <t xml:space="preserve"> (ALL for #chks)</t>
  </si>
  <si>
    <t>(exc YB)</t>
  </si>
  <si>
    <t>Delray Dunes</t>
  </si>
  <si>
    <t>% Clubs w/in house proshop</t>
  </si>
  <si>
    <t>% proshop COS of inhouse owners only</t>
  </si>
  <si>
    <t>Salaries &amp; wages</t>
  </si>
  <si>
    <t>Course supplies</t>
  </si>
  <si>
    <t xml:space="preserve">Repairs </t>
  </si>
  <si>
    <t>Total G.C.M. Costs Per Hole</t>
  </si>
  <si>
    <t>Food and Beverage Revenue</t>
  </si>
  <si>
    <t>Food and Beverage Revenue ($'000s)</t>
  </si>
  <si>
    <t>Food Revenue %</t>
  </si>
  <si>
    <t>Beverage Revenue %</t>
  </si>
  <si>
    <t>91 + days</t>
  </si>
  <si>
    <t>% inc'g Dues HIGH</t>
  </si>
  <si>
    <t>% inc'g Dues LOW</t>
  </si>
  <si>
    <t>Region/Type</t>
  </si>
  <si>
    <t>Cost per hole (18-holes)</t>
  </si>
  <si>
    <t>Cost per hole (Multi-holes)</t>
  </si>
  <si>
    <t>Addison Reserve</t>
  </si>
  <si>
    <t>Yacht &amp;           Beach</t>
  </si>
  <si>
    <t>North &amp;          Central</t>
  </si>
  <si>
    <t>Quail Ridge CC</t>
  </si>
  <si>
    <t>Interlachen Country Club</t>
  </si>
  <si>
    <t>Yacht &amp;             Beach</t>
  </si>
  <si>
    <t>North &amp;            Central</t>
  </si>
  <si>
    <t>CTRL, SHIFT, ENTER</t>
  </si>
  <si>
    <t>Dues &amp; Fees</t>
  </si>
  <si>
    <t>Sum Check</t>
  </si>
  <si>
    <t>Tax &amp; Insurance</t>
  </si>
  <si>
    <t xml:space="preserve">% NO FB min OR serv chg </t>
  </si>
  <si>
    <t xml:space="preserve">% FB min AND FB Gratuity AND serv chg </t>
  </si>
  <si>
    <t>% FB Min AND FB gratuity</t>
  </si>
  <si>
    <t>FOR PEER REPORT</t>
  </si>
  <si>
    <t># holes (peer)</t>
  </si>
  <si>
    <t>Rounds (peer)</t>
  </si>
  <si>
    <t>Mtn'd Acres (peer)</t>
  </si>
  <si>
    <t>Cost per Hole (peer)</t>
  </si>
  <si>
    <t>Cost per Round (peer)</t>
  </si>
  <si>
    <t>Cost per Mtn'd Acre (peer)</t>
  </si>
  <si>
    <t>Salaries and wages (peer)</t>
  </si>
  <si>
    <t>Payroll taxes and benefits (peer)</t>
  </si>
  <si>
    <t>Supplies and contracts (peer)</t>
  </si>
  <si>
    <t>Repairs &amp; mtce (peer)</t>
  </si>
  <si>
    <t>Highest Init Fee</t>
  </si>
  <si>
    <t>Highest Dues Change %</t>
  </si>
  <si>
    <t>Highest Dues Change $</t>
  </si>
  <si>
    <t>Highest Due+Assmt</t>
  </si>
  <si>
    <t>Food Min</t>
  </si>
  <si>
    <t>F&amp;B Serv Chg</t>
  </si>
  <si>
    <t>Highest Fixed Cost</t>
  </si>
  <si>
    <t>Ann Fixed Serv Chge</t>
  </si>
  <si>
    <t>CHK</t>
  </si>
  <si>
    <t>Cost of Membership</t>
  </si>
  <si>
    <t>Bal Sht</t>
  </si>
  <si>
    <t>Business Level Operations</t>
  </si>
  <si>
    <t>Member Level Operations</t>
  </si>
  <si>
    <t>TOTAL REV PER MEM</t>
  </si>
  <si>
    <t>Mem per Emp'e</t>
  </si>
  <si>
    <t>F&amp;B Operations</t>
  </si>
  <si>
    <t>Food GP</t>
  </si>
  <si>
    <t>Bev GP</t>
  </si>
  <si>
    <t>F&amp;B Sales</t>
  </si>
  <si>
    <t>F&amp;B COS</t>
  </si>
  <si>
    <t>F&amp;B GP</t>
  </si>
  <si>
    <t>Combined Cost of sales</t>
  </si>
  <si>
    <t>Combined Gross Profit</t>
  </si>
  <si>
    <t>Net P&amp;L</t>
  </si>
  <si>
    <t>Total Dept Cost</t>
  </si>
  <si>
    <t>Golf Operations</t>
  </si>
  <si>
    <t>F&amp;B = F&amp;B</t>
  </si>
  <si>
    <t>NOTE THE FOLLOWING **********************</t>
  </si>
  <si>
    <t>RSM CORPORATE BLUE</t>
  </si>
  <si>
    <t>Shading Order (left to right)</t>
  </si>
  <si>
    <t>Corporate Blue (Primary)</t>
  </si>
  <si>
    <t>Tint (Secondary)</t>
  </si>
  <si>
    <t>McGladrey Blue</t>
  </si>
  <si>
    <t>0,127,177</t>
  </si>
  <si>
    <t>Neutral (Cool Gray 4)</t>
  </si>
  <si>
    <t>0,150,215</t>
  </si>
  <si>
    <t>Delray Beach Club</t>
  </si>
  <si>
    <t>Club Pelican Bay</t>
  </si>
  <si>
    <t>Food Rev</t>
  </si>
  <si>
    <t>Bev Rev</t>
  </si>
  <si>
    <t>Rest-Sal</t>
  </si>
  <si>
    <t>Rest-PTEB</t>
  </si>
  <si>
    <t>Rest-COS</t>
  </si>
  <si>
    <t>Rest-Other</t>
  </si>
  <si>
    <t>Food%</t>
  </si>
  <si>
    <t>Bev%</t>
  </si>
  <si>
    <t>Sal%</t>
  </si>
  <si>
    <t>PTEB%</t>
  </si>
  <si>
    <t>COS%</t>
  </si>
  <si>
    <t>Other%</t>
  </si>
  <si>
    <t xml:space="preserve">LEGEND: </t>
  </si>
  <si>
    <t>-The Denominator is fixed based on another criteria</t>
  </si>
  <si>
    <t>-Answer is based on a formula</t>
  </si>
  <si>
    <t># Clubs</t>
  </si>
  <si>
    <t>Hideaway Beach Association</t>
  </si>
  <si>
    <t>Non-ref: Hi=Low</t>
  </si>
  <si>
    <t>Q/AIRE</t>
  </si>
  <si>
    <t>INFO &gt;&gt;&gt;</t>
  </si>
  <si>
    <t>SUMS &gt;&gt;&gt;</t>
  </si>
  <si>
    <t>SE exc BOCA</t>
  </si>
  <si>
    <t>SW exc CIRA</t>
  </si>
  <si>
    <t>YACHT &amp; BEACH</t>
  </si>
  <si>
    <t xml:space="preserve"> </t>
  </si>
  <si>
    <t>Gleneagles Country Club</t>
  </si>
  <si>
    <t>Loblolly, Inc.</t>
  </si>
  <si>
    <t>Ocean Club of FL</t>
  </si>
  <si>
    <t>Sawgrass Country Club</t>
  </si>
  <si>
    <t>Golf rounds (18-holes)</t>
  </si>
  <si>
    <t>inc menu price chk</t>
  </si>
  <si>
    <t>inc bev price chk</t>
  </si>
  <si>
    <t>Piper's Landing</t>
  </si>
  <si>
    <t>St. Andrews Delray</t>
  </si>
  <si>
    <t>SEE FORMULA: I'M MAKING SURE THE #'S MAKE SENSE IF YOU MULTIPLY THEM OUT EG: COMBINED F&amp;B REV SHOULD = F&amp;B/MEMBER X # MEMBERS</t>
  </si>
  <si>
    <t>TOTAL EXP PER MEM</t>
  </si>
  <si>
    <t xml:space="preserve">  Salaries and wages (EXC credit for MAND'Y FIXED SERVICE CHARGES)</t>
  </si>
  <si>
    <t>Less credit = 20% of F&amp;B sales (only applies for club's with MAND'Y FIXED SERVICE CHARGES)</t>
  </si>
  <si>
    <t>% dec'g Dues HIGH</t>
  </si>
  <si>
    <t>% dec'g Dues LOW</t>
  </si>
  <si>
    <t>Joining fees</t>
  </si>
  <si>
    <t>Annual Capital Assessment</t>
  </si>
  <si>
    <t>% that have an annual capital assessment</t>
  </si>
  <si>
    <t>% that had a dues rate decrease</t>
  </si>
  <si>
    <t>% that had a dues rate increase</t>
  </si>
  <si>
    <t>Southwest                w/o CIRAs</t>
  </si>
  <si>
    <t>Southwest            CIRAs</t>
  </si>
  <si>
    <t>North &amp;                 Central</t>
  </si>
  <si>
    <t>Florida                      Statewide</t>
  </si>
  <si>
    <t>Full Membership Dues by Region</t>
  </si>
  <si>
    <t xml:space="preserve">Yacht &amp; </t>
  </si>
  <si>
    <t>Average number employed</t>
  </si>
  <si>
    <t>Florida         Statewide</t>
  </si>
  <si>
    <t>Southeast                     w/o Boca</t>
  </si>
  <si>
    <t>Southwest            w/o CIRAs</t>
  </si>
  <si>
    <t>Refundable Equity Percentage (Full Membership) by Region</t>
  </si>
  <si>
    <t>North &amp;                           Central</t>
  </si>
  <si>
    <t>Southwest                                w/o CIRAs</t>
  </si>
  <si>
    <t>Southeast                                    w/o Boca</t>
  </si>
  <si>
    <t>GOLF INFO</t>
  </si>
  <si>
    <t>Average surplus</t>
  </si>
  <si>
    <t>EXPLAIN "ARRAY"</t>
  </si>
  <si>
    <t xml:space="preserve"> - CURLY BRACKETS</t>
  </si>
  <si>
    <t>STATEWIDE FLORIDA</t>
  </si>
  <si>
    <t>Full Membership Dues Statewide</t>
  </si>
  <si>
    <t>Yacht &amp;                   Beach</t>
  </si>
  <si>
    <t>Southwest               CIRAs</t>
  </si>
  <si>
    <t>Full Membership Joining Fees Statewide</t>
  </si>
  <si>
    <t>North &amp;                              Central</t>
  </si>
  <si>
    <t>Yacht &amp;                     Beach</t>
  </si>
  <si>
    <t>Southwest                   CIRAs</t>
  </si>
  <si>
    <t>North &amp;                  Central</t>
  </si>
  <si>
    <t>Southwest             CIRAs</t>
  </si>
  <si>
    <t>Florida           Statewide</t>
  </si>
  <si>
    <t>Southwest              w/o CIRAs</t>
  </si>
  <si>
    <t>North &amp;               Central</t>
  </si>
  <si>
    <t>Payroll and related% Op Rev</t>
  </si>
  <si>
    <t>Cost of sales- F&amp;B%Op Rev</t>
  </si>
  <si>
    <t>Cost of sales- Pro shop%Op Rev</t>
  </si>
  <si>
    <t>Operating expenses%Op Rev</t>
  </si>
  <si>
    <t>Property taxes%Op Rev</t>
  </si>
  <si>
    <t>Insurance%Op Rev</t>
  </si>
  <si>
    <t>Total Expenses%Op Rev</t>
  </si>
  <si>
    <t>2012</t>
  </si>
  <si>
    <t>Southeast                           w/o Boca</t>
  </si>
  <si>
    <t>Southwest                       w/o CIRAs</t>
  </si>
  <si>
    <t>Geographic Area (From dropdown choose: Boca, East, North&amp;Central, West, West Cira, Yacht)</t>
  </si>
  <si>
    <t xml:space="preserve">Does the Club have a resigned members waiting list to exit? (1 = yes / 0 = no) </t>
  </si>
  <si>
    <t>(Does not apply to CIRAs and Mandatory membership Clubs)</t>
  </si>
  <si>
    <t>Does the Club have both a Mandatory fixed service charge &amp; Minimum spending requirement? 1 for yes 0 for no</t>
  </si>
  <si>
    <t xml:space="preserve">Food sales (does Not include minimum spending requirement)  </t>
  </si>
  <si>
    <t>Leased equipment expense (operating lease)</t>
  </si>
  <si>
    <t>Bocaire Country Club</t>
  </si>
  <si>
    <t>North&amp;Central</t>
  </si>
  <si>
    <t>Bay Colony Golf Club</t>
  </si>
  <si>
    <t>Timber Pines Community Association</t>
  </si>
  <si>
    <t>Hillsboro Club, Inc.</t>
  </si>
  <si>
    <t>Imperial Golf Club</t>
  </si>
  <si>
    <t>Boca Lago</t>
  </si>
  <si>
    <t>Bonita Bay Club</t>
  </si>
  <si>
    <t>Boca Pointe</t>
  </si>
  <si>
    <t>Royal Wood M.A.</t>
  </si>
  <si>
    <t>Royal Palm Yacht &amp; CC</t>
  </si>
  <si>
    <t>NORTH&amp;CENTRAL</t>
  </si>
  <si>
    <t>Harbour Ridge Yatch And Country Club</t>
  </si>
  <si>
    <t>Gulf Stream Golf Club</t>
  </si>
  <si>
    <t>Falls CC</t>
  </si>
  <si>
    <t>Mariner Sands</t>
  </si>
  <si>
    <t>Cedar Hammock</t>
  </si>
  <si>
    <t>Old Marsh Golf Club</t>
  </si>
  <si>
    <t>Glen Eagle G &amp; CC</t>
  </si>
  <si>
    <t>CHK SUM - USING TO SHOW DIFF IN DENOM BET'N F&amp;B BUSINESS LEVEL V'S  DEPT LEVEL</t>
  </si>
  <si>
    <t>Boca Woods CC</t>
  </si>
  <si>
    <t>St Andrews CC</t>
  </si>
  <si>
    <t>Jupiter Island Club</t>
  </si>
  <si>
    <t>Loxahatchee Club</t>
  </si>
  <si>
    <t>The Club at Admiral's Cove</t>
  </si>
  <si>
    <t>Jonathan's Landing</t>
  </si>
  <si>
    <t>Pelican Bay Foundation</t>
  </si>
  <si>
    <t>Winter Park Racquet Club</t>
  </si>
  <si>
    <t>F&amp;B Profit(loss): Total Dues Rev</t>
  </si>
  <si>
    <t>CURLY BRACKETS!!!</t>
  </si>
  <si>
    <t>PERCENTILES</t>
  </si>
  <si>
    <t>Median</t>
  </si>
  <si>
    <t>25th percentile</t>
  </si>
  <si>
    <t>75th percentile</t>
  </si>
  <si>
    <t>Southeast without Boca</t>
  </si>
  <si>
    <t>Southwest without CIRAs</t>
  </si>
  <si>
    <t>NEW</t>
  </si>
  <si>
    <t>GCM Multiple Course - Cost Per Acre</t>
  </si>
  <si>
    <t>GCM Multiple Course - Cost Per Round</t>
  </si>
  <si>
    <t>GCM Multiple Course - Maintained Acres per 36 holes</t>
  </si>
  <si>
    <t>Southwest                                   CIRAs</t>
  </si>
  <si>
    <t>Southeast                        w/o Boca</t>
  </si>
  <si>
    <t>Southwest                         w/o CIRAs</t>
  </si>
  <si>
    <t>Southwest                      CIRAs</t>
  </si>
  <si>
    <t>Florida              Statewide</t>
  </si>
  <si>
    <t>Florida               Statewide</t>
  </si>
  <si>
    <t>Ibis Golf &amp; CC</t>
  </si>
  <si>
    <r>
      <rPr>
        <b/>
        <sz val="16"/>
        <color rgb="FFFF0000"/>
        <rFont val="Arial MT"/>
      </rPr>
      <t xml:space="preserve">VVV </t>
    </r>
    <r>
      <rPr>
        <b/>
        <sz val="14"/>
        <color rgb="FFFF0000"/>
        <rFont val="Arial MT"/>
      </rPr>
      <t>IMPORTANT</t>
    </r>
  </si>
  <si>
    <t>North &amp;                         Central</t>
  </si>
  <si>
    <t>Southeast                                 w/o Boca</t>
  </si>
  <si>
    <t>Florida                        Statewide</t>
  </si>
  <si>
    <t>Southwest                                   w/o CIRAs</t>
  </si>
  <si>
    <t>Southwest                               CIRAs</t>
  </si>
  <si>
    <t xml:space="preserve">MAX </t>
  </si>
  <si>
    <t>2013</t>
  </si>
  <si>
    <t>Florida                Statewide</t>
  </si>
  <si>
    <t>Southeast                  w/o Boca</t>
  </si>
  <si>
    <t>Southwest                     CIRAs</t>
  </si>
  <si>
    <t>North &amp;                     Central</t>
  </si>
  <si>
    <t>Yacht &amp;                  Beach</t>
  </si>
  <si>
    <t>Boca Rio GC</t>
  </si>
  <si>
    <t>Everglades</t>
  </si>
  <si>
    <t>Loblolly</t>
  </si>
  <si>
    <t>Pelican's Nest Golf Club</t>
  </si>
  <si>
    <t>Atlantis Golf Club</t>
  </si>
  <si>
    <t>Club at Mediterra</t>
  </si>
  <si>
    <t>Country Club of Naples</t>
  </si>
  <si>
    <t>Countryside Golf &amp; Country Club</t>
  </si>
  <si>
    <t>Estero Country Club</t>
  </si>
  <si>
    <t>Forest C.C.</t>
  </si>
  <si>
    <t>Foxfire Community Assn.</t>
  </si>
  <si>
    <t>Gulf Harbour Golf &amp; C.C.</t>
  </si>
  <si>
    <t>Hole In The Wall Golf Club</t>
  </si>
  <si>
    <t>Hunter's Run</t>
  </si>
  <si>
    <t>Island Country Club</t>
  </si>
  <si>
    <t>Kensington Golf &amp; C.C.</t>
  </si>
  <si>
    <t>Landings Y,G &amp; T C</t>
  </si>
  <si>
    <t>Naples National G.C.</t>
  </si>
  <si>
    <t>Olde Hickory Golf &amp; CC</t>
  </si>
  <si>
    <t>Quail Creek CC</t>
  </si>
  <si>
    <t>Wyndemere CC</t>
  </si>
  <si>
    <t>Aberdeen Golf &amp; CC</t>
  </si>
  <si>
    <t>Banyan GC of Palm Beach</t>
  </si>
  <si>
    <t>The Beach Club, Inc</t>
  </si>
  <si>
    <t>Bear Lakes Country Club</t>
  </si>
  <si>
    <t>Boca West CC</t>
  </si>
  <si>
    <t xml:space="preserve">John's Island Club, Inc. </t>
  </si>
  <si>
    <t>Jupiter Hills</t>
  </si>
  <si>
    <t>Spring Run Golf Club</t>
  </si>
  <si>
    <t>Stonebridge Golf &amp; CC</t>
  </si>
  <si>
    <t>The Plantation at Ponte Vedra, Inc.</t>
  </si>
  <si>
    <t>Vero Beach Country Club</t>
  </si>
  <si>
    <t>FOOD AND BEVERAGE MINIMUM</t>
  </si>
  <si>
    <t>***END OF QUESTIONNAIRE - THANK YOU FOR YOUR RESPONSES***</t>
  </si>
  <si>
    <t>The Bear's Club</t>
  </si>
  <si>
    <t>Broken Sound</t>
  </si>
  <si>
    <t>Country Club of Florida</t>
  </si>
  <si>
    <t>Colonial CC</t>
  </si>
  <si>
    <t>Commons Club at the Brooks</t>
  </si>
  <si>
    <t>Indian Creek Country Club</t>
  </si>
  <si>
    <t>Indian River Colony Club, Inc.</t>
  </si>
  <si>
    <t>Moorings Club</t>
  </si>
  <si>
    <t>Tampa Y &amp; CC</t>
  </si>
  <si>
    <t>Isla Del Sol Yacht &amp; CC</t>
  </si>
  <si>
    <t>Vanderbilt C.A.</t>
  </si>
  <si>
    <t>Wycliffe Golf and Country Club</t>
  </si>
  <si>
    <t/>
  </si>
  <si>
    <t>Key Largo Anglers Club</t>
  </si>
  <si>
    <t>Grey Oaks C.C.</t>
  </si>
  <si>
    <t>High Ridge Country Club</t>
  </si>
  <si>
    <t>La Gorce</t>
  </si>
  <si>
    <t>Pelican Sound G &amp; CC</t>
  </si>
  <si>
    <t>Naples Lakes CCHA</t>
  </si>
  <si>
    <t>GCM Exp: Tot op exp MULT</t>
  </si>
  <si>
    <t>GCM Exp: Tot op exp 18-HOLE</t>
  </si>
  <si>
    <t>Percent change</t>
  </si>
  <si>
    <t>Boca Raton          area</t>
  </si>
  <si>
    <t>area</t>
  </si>
  <si>
    <t>Percentage of clubs with significant planned projects in year ahead</t>
  </si>
  <si>
    <t>Budgeted project amount (in thousands)</t>
  </si>
  <si>
    <t>Southeast             w/o Boca</t>
  </si>
  <si>
    <t>Florida            Statewide</t>
  </si>
  <si>
    <t>Southwest                  CIRAs</t>
  </si>
  <si>
    <t>North &amp;                Central</t>
  </si>
  <si>
    <t>Yacht &amp;                    Beach</t>
  </si>
  <si>
    <t>Southwest                  w/o CIRAs</t>
  </si>
  <si>
    <t>Southeast                      w/o Boca</t>
  </si>
  <si>
    <t>Southwest               w/o CIRAs</t>
  </si>
  <si>
    <t>Southwest                    w/o CIRAs</t>
  </si>
  <si>
    <t>Southeast                 w/o Boca</t>
  </si>
  <si>
    <t>Florida                 Statewide</t>
  </si>
  <si>
    <t>Yacht &amp;                        Beach</t>
  </si>
  <si>
    <t>Southwest                            CIRAs</t>
  </si>
  <si>
    <t>Southeast                          w/o Boca</t>
  </si>
  <si>
    <t>Clubs with resigned member waiting lists</t>
  </si>
  <si>
    <t>Boca Raton                        area</t>
  </si>
  <si>
    <t>Southwest              CIRAs</t>
  </si>
  <si>
    <t>Percentage of clubs utilizing foreign labor</t>
  </si>
  <si>
    <t>Full membership</t>
  </si>
  <si>
    <t>Entry membership</t>
  </si>
  <si>
    <t xml:space="preserve">Boca Raton </t>
  </si>
  <si>
    <t>Boca Raton                             Area</t>
  </si>
  <si>
    <t>Southeast               w/o Boca</t>
  </si>
  <si>
    <t>Southwest           CIRAs</t>
  </si>
  <si>
    <t>Annual capital assessment</t>
  </si>
  <si>
    <t>Annual capital assessment (full membership)</t>
  </si>
  <si>
    <t>Joining fee (full membership)</t>
  </si>
  <si>
    <t>Operating revenues and expenses</t>
  </si>
  <si>
    <t>Percentage of clubs with operating surplus</t>
  </si>
  <si>
    <t>Boca  Raton                       Area</t>
  </si>
  <si>
    <t>Restaurant operations</t>
  </si>
  <si>
    <t>Menu price increases</t>
  </si>
  <si>
    <t>Average food &amp; beverage sales volume</t>
  </si>
  <si>
    <t>Restaurant salaries &amp; benefits compared to revenue</t>
  </si>
  <si>
    <t>Percentage of Clubs with surpluses</t>
  </si>
  <si>
    <t>Percentage clubs utilizing foreign labor</t>
  </si>
  <si>
    <t>Average increase</t>
  </si>
  <si>
    <t>Increased menu prices</t>
  </si>
  <si>
    <t>Increased drink prices</t>
  </si>
  <si>
    <t>Clubs with minimums</t>
  </si>
  <si>
    <t>Clubs with mandatory service charge</t>
  </si>
  <si>
    <t>Annual amount</t>
  </si>
  <si>
    <t>Annual minimum</t>
  </si>
  <si>
    <t>Clubs with minimum and a mandatory</t>
  </si>
  <si>
    <t>service charge</t>
  </si>
  <si>
    <t>Boca Raton                        Area</t>
  </si>
  <si>
    <t>Dollars of food sales to $1.00 of beverage sales</t>
  </si>
  <si>
    <t>Five year trend restaurant operations</t>
  </si>
  <si>
    <t>Statewide country clubs</t>
  </si>
  <si>
    <t>Average covers by region</t>
  </si>
  <si>
    <t>Boca Raton                                  Area</t>
  </si>
  <si>
    <t>Golf pro shop operations</t>
  </si>
  <si>
    <t>Pro shop cost of sales</t>
  </si>
  <si>
    <t>Golf course maintenance costs per hole</t>
  </si>
  <si>
    <t>Cost per hole (18)</t>
  </si>
  <si>
    <t>Maintained acres (18)</t>
  </si>
  <si>
    <t>Cost per acre (18)</t>
  </si>
  <si>
    <t>Cost per round (18)</t>
  </si>
  <si>
    <t>Cost per hole (multi course)</t>
  </si>
  <si>
    <t>Maintained acres (36)</t>
  </si>
  <si>
    <t>Cost per acre (multi)</t>
  </si>
  <si>
    <t>Cost per round (multi)</t>
  </si>
  <si>
    <t>Golf course maintenance costs - 18 holes</t>
  </si>
  <si>
    <t>Golf course maintenance costs - multiple courses</t>
  </si>
  <si>
    <t>Cost per hole by region</t>
  </si>
  <si>
    <t>18 hole courses</t>
  </si>
  <si>
    <t>Multiple courses</t>
  </si>
  <si>
    <t>Course supplies per hole: multiple courses</t>
  </si>
  <si>
    <t>Payroll costs per hole: 18 hole courses</t>
  </si>
  <si>
    <t>Significant costs per hole</t>
  </si>
  <si>
    <t>Course supplies per hole: 18 hole courses</t>
  </si>
  <si>
    <t>Payroll costs per hole: multiple courses</t>
  </si>
  <si>
    <t>Southeast                                  w/o Boca</t>
  </si>
  <si>
    <t xml:space="preserve">Total golf course maintenance costs as a </t>
  </si>
  <si>
    <t>percentage of total club operating expenses</t>
  </si>
  <si>
    <t>Clubs with an annual capital assessment</t>
  </si>
  <si>
    <t>Clubs with an operating assessment</t>
  </si>
  <si>
    <t>Third party debt per member</t>
  </si>
  <si>
    <t>(inc dues and assessments)</t>
  </si>
  <si>
    <t>Mandatory membership</t>
  </si>
  <si>
    <t>Ratio of memberships to employees</t>
  </si>
  <si>
    <t>Full membership - joining fees</t>
  </si>
  <si>
    <t>Full membership - refundable equity percentages</t>
  </si>
  <si>
    <t xml:space="preserve">Full membership - total annual cost </t>
  </si>
  <si>
    <t>Entry membership - joining fees</t>
  </si>
  <si>
    <t xml:space="preserve">Entry membership - total annual cost </t>
  </si>
  <si>
    <t>Entry membership - % that had a dues rate increase</t>
  </si>
  <si>
    <t>Clubs with a resigned members waiting list</t>
  </si>
  <si>
    <t>Combined revenues</t>
  </si>
  <si>
    <t>Food and beverage revenues</t>
  </si>
  <si>
    <t>Food sales to $1.00 of beverage sales</t>
  </si>
  <si>
    <t>GCM 18 holes - rounds</t>
  </si>
  <si>
    <t>GCM 18 holes - cost per hole</t>
  </si>
  <si>
    <t>GCM multiple course - rounds per 18 holes</t>
  </si>
  <si>
    <t>GCM multiple course - cost per hole</t>
  </si>
  <si>
    <t>GCM 18 holes - GCM cost: total club operating expense</t>
  </si>
  <si>
    <t>GCM multiple course - GCM cost: total club operating expense</t>
  </si>
  <si>
    <t>Averages per club</t>
  </si>
  <si>
    <t>OCEAN CLUB COMMUNITY ASSOC.</t>
  </si>
  <si>
    <t>Quail West</t>
  </si>
  <si>
    <t>Coral Reef Yacht Club</t>
  </si>
  <si>
    <t>Fountains CC</t>
  </si>
  <si>
    <t>Hammock Dunes Club</t>
  </si>
  <si>
    <t>Lauderdale YC</t>
  </si>
  <si>
    <t>Eau Gallie Yacht Club</t>
  </si>
  <si>
    <t>Lost Tree</t>
  </si>
  <si>
    <t>Mirasol</t>
  </si>
  <si>
    <t>Vasari C.C.M.A</t>
  </si>
  <si>
    <t>Williams Island POA</t>
  </si>
  <si>
    <t>Hawk's Nest</t>
  </si>
  <si>
    <t>CHANGED</t>
  </si>
  <si>
    <t>Percentage of clubs increasing dues</t>
  </si>
  <si>
    <t>Percentage of clubs decreasing dues</t>
  </si>
  <si>
    <t>Percentage of clubs with positive working capital</t>
  </si>
  <si>
    <t>Significant planned projects</t>
  </si>
  <si>
    <t>Percentage of clubs with third party debt</t>
  </si>
  <si>
    <t>Departmental (subsidy)</t>
  </si>
  <si>
    <t>Food &amp; beverage subsidy trend statewide country clubs</t>
  </si>
  <si>
    <t>Total departmental subsidy</t>
  </si>
  <si>
    <t>F&amp;B subsidy to combined F&amp;B sales</t>
  </si>
  <si>
    <t>F&amp;B departmental subsidy</t>
  </si>
  <si>
    <t>F&amp;B departmental subsidy: total dues revenue</t>
  </si>
  <si>
    <t>F&amp;B departmental subsidy per member</t>
  </si>
  <si>
    <t>Florida             Statewide</t>
  </si>
  <si>
    <t>Southeast                                w/o Boca</t>
  </si>
  <si>
    <t>Florida                          Statewide</t>
  </si>
  <si>
    <t>Southwest                                  w/o CIRAs</t>
  </si>
  <si>
    <t>Southwest                              CIRAs</t>
  </si>
  <si>
    <t>North &amp;                             Central</t>
  </si>
  <si>
    <t>Yacht &amp;                             Beach</t>
  </si>
  <si>
    <t>North &amp;              Central</t>
  </si>
  <si>
    <t>Yacht &amp;                      Beach</t>
  </si>
  <si>
    <t>Southwest                CIRAs</t>
  </si>
  <si>
    <t>Boca Raton                   area</t>
  </si>
  <si>
    <t>Average departmental subsidy</t>
  </si>
  <si>
    <t>Number of total memberships</t>
  </si>
  <si>
    <t>Florida                            Statewide</t>
  </si>
  <si>
    <t>NEW 2012</t>
  </si>
  <si>
    <t>Net Maintenance Dues Subsidy as a % of Dues</t>
  </si>
  <si>
    <t>GCM Exp: Tot op exp (peer)</t>
  </si>
  <si>
    <t>Percentage of clubs with resigned member waiting list</t>
  </si>
  <si>
    <t>Average length of wait list (years)</t>
  </si>
  <si>
    <t>Refundable equity percentages</t>
  </si>
  <si>
    <t>Total annual membership cost</t>
  </si>
  <si>
    <t>Dues (full membership)</t>
  </si>
  <si>
    <t>Full membership 2013</t>
  </si>
  <si>
    <t>Full membership 2012</t>
  </si>
  <si>
    <t>Full membership 2011</t>
  </si>
  <si>
    <t>Entry membership 2013</t>
  </si>
  <si>
    <t>Entry membership 2012</t>
  </si>
  <si>
    <t>Entry membership 2011</t>
  </si>
  <si>
    <t>Combined food &amp; beverage sales</t>
  </si>
  <si>
    <t>Restaurant covers</t>
  </si>
  <si>
    <t>Banquet/function covers</t>
  </si>
  <si>
    <t>Total covers</t>
  </si>
  <si>
    <t>Clubs owning in-house pro shop</t>
  </si>
  <si>
    <t>GCM costs statewide trend</t>
  </si>
  <si>
    <t>Total G.C.M. costs per hole</t>
  </si>
  <si>
    <t>Totals for 18 holes</t>
  </si>
  <si>
    <t xml:space="preserve">Amount budgeted for regular/other capital expenditure </t>
  </si>
  <si>
    <t xml:space="preserve">TOTAL capital improvements </t>
  </si>
  <si>
    <t>Cap Bud Chksum</t>
  </si>
  <si>
    <t>2014</t>
  </si>
  <si>
    <t>Budgeted PP&amp;E per member 2014</t>
  </si>
  <si>
    <t>Full membership 2014</t>
  </si>
  <si>
    <t>Entry membership 2014</t>
  </si>
  <si>
    <t>Yacht &amp;                         Beach</t>
  </si>
  <si>
    <t>&lt;&lt;&lt;&lt; DO NOT REMOVE THIS LINE - USED IN GRAPH AXIS BELOW</t>
  </si>
  <si>
    <t>&lt;&lt; ADD ROUNDINGS TO OTHER IN ORDER TO GET TOTAL = 100.0%.  THE EXEC PAGE WILL BE CORRECT AS IT PICKS UP THIS INFO FROM THIS ROW AND NOT FROM THE DATA SHEET.  THE "FIX TOTALS" NOTE WILL GO AWAY ONCE ALL TOTALS = 100.0%</t>
  </si>
  <si>
    <t>CHECKS</t>
  </si>
  <si>
    <t>CHECK</t>
  </si>
  <si>
    <t>&lt;&lt; ADD ROUNDINGS TO OTHER IN ORDER TO GET CHECK TOTAL TO = 0</t>
  </si>
  <si>
    <t>&lt;&lt; ADD ROUNDINGS TO OTHER IN ORDER TO GET TOTAL = 100.0%.  THE SUMMARY PAGE WILL BE CORRECT AS IT PICKS UP THIS INFO FROM THIS ROW AND NOT FROM THE DATA SHEET.  THE "FIX TOTALS" NOTE WILL GO AWAY ONCE ALL TOTALS = 100.0%</t>
  </si>
  <si>
    <t>&lt;&lt; ROUNDINGS SHOULD BE ADDED TO OP REV &amp; EXP TAB OTHER IN ORDER TO GET TOTAL = 100.0%.  THIS SUMMARY PAGE LINKS TO IT.  THE "FIX TOTALS ON OP REV &amp; EXP TAB" NOTE WILL GO AWAY ONCE ALL TOTALS = 100.0%</t>
  </si>
  <si>
    <t>&lt;&lt; ADD ROUNDINGS TO OPERATING IN ORDER TO GET TOTAL = 100.0%.  THE SUMMARY PAGE WILL BE CORRECT AS IT PICKS UP THIS INFO FROM THIS ROW AND NOT FROM THE DATA SHEET.  THE "FIX TOTALS" NOTE WILL GO AWAY ONCE ALL TOTALS = 100.0%</t>
  </si>
  <si>
    <t>&lt;&lt; ROUNDINGS SHOULD BE ADDED TO OP REV &amp; EXP TAB OPERATING IN ORDER TO GET TOTAL = 100.0%.  THIS SUMMARY PAGE LINKS TO IT.  THE "FIX TOTALS ON OP REV &amp; EXP TAB" NOTE WILL GO AWAY ONCE ALL TOTALS = 100.0%</t>
  </si>
  <si>
    <t>** NOT TO BE PUBLISHED IN TRENDS BOOK AT THIS TIME**</t>
  </si>
  <si>
    <t>Delinquent accounts receivable balances</t>
  </si>
  <si>
    <t>Percent of covers that are banquet/function</t>
  </si>
  <si>
    <t>Fort Lauderdale Country Club</t>
  </si>
  <si>
    <t>Gulf Stream Bath &amp; Tennis Club, Inc.</t>
  </si>
  <si>
    <t>The Little Club Inc.</t>
  </si>
  <si>
    <t>Seminole Golf  Club</t>
  </si>
  <si>
    <t>Turtle Creek Club</t>
  </si>
  <si>
    <t>Colliers Reserve Country Club</t>
  </si>
  <si>
    <t>Cypress Lake Country Club, Inc.</t>
  </si>
  <si>
    <t>Lexington M.A.</t>
  </si>
  <si>
    <t>Royal Poinciana Golf Club, Inc.</t>
  </si>
  <si>
    <t>Stoneybrook Golf &amp; Country Club</t>
  </si>
  <si>
    <t>Woodfield Country Club</t>
  </si>
  <si>
    <t>Eagle Creek G &amp; CC</t>
  </si>
  <si>
    <t>Ibis Golf and Country Club</t>
  </si>
  <si>
    <t>Shadow Wood Country Club</t>
  </si>
  <si>
    <t>Palma Ceia Golf &amp; Country Club</t>
  </si>
  <si>
    <t>Timuquana Country Club</t>
  </si>
  <si>
    <t>Wildcat Run G.C.A.</t>
  </si>
  <si>
    <t>FME</t>
  </si>
  <si>
    <t>FME (Dues $/Dues rate Full member)</t>
  </si>
  <si>
    <t>***MEMBER LEVEL BAL SHEET***</t>
  </si>
  <si>
    <t>** MEMBER - F&amp;B</t>
  </si>
  <si>
    <t>Capital improvements per full member equivalent (FME)</t>
  </si>
  <si>
    <t>PP&amp;E additions per FME 2013</t>
  </si>
  <si>
    <t>Budgeted PP&amp;E per FME 2014</t>
  </si>
  <si>
    <t>Payroll and related per full member equivalent (FME)</t>
  </si>
  <si>
    <t>Operating revenues and expenses per full member equivalent (FME)</t>
  </si>
  <si>
    <t>Total operating revenues per FME</t>
  </si>
  <si>
    <t>Total operating expenses per FME</t>
  </si>
  <si>
    <t>Average surplus / (deficit) per FME</t>
  </si>
  <si>
    <t>Third party debt  per full member equivalent (FME)</t>
  </si>
  <si>
    <t>Memberships (full member equivalent (FME)) to employees</t>
  </si>
  <si>
    <t>Restaurant sales per full member equivalent (FME)</t>
  </si>
  <si>
    <t>The Polo Club of Boca Raton POA</t>
  </si>
  <si>
    <t>F&amp;B departmental subsidy per full member equivalent (FME)</t>
  </si>
  <si>
    <t>Ratio of memberships (full member equivalent (FME)) to employees</t>
  </si>
  <si>
    <t>Third party debt per full member equivalent (FME)</t>
  </si>
  <si>
    <t>Total operating revenues per member</t>
  </si>
  <si>
    <t>Total operating expenses per member</t>
  </si>
  <si>
    <t>HX for extra/LS for chksums</t>
  </si>
  <si>
    <t>Delaire Country Club, Inc</t>
  </si>
  <si>
    <t>Naples Sailing &amp; YC</t>
  </si>
  <si>
    <t>Boca Grove Golf &amp; Tennis Club, Inc.</t>
  </si>
  <si>
    <t>BallenIsles</t>
  </si>
  <si>
    <t>Boca Pointe Country Club</t>
  </si>
  <si>
    <t>Gateway Golf &amp; CC</t>
  </si>
  <si>
    <t>Sailfish Point Golf Club</t>
  </si>
  <si>
    <t>y</t>
  </si>
  <si>
    <t>Audubon C.C.A.</t>
  </si>
  <si>
    <t>Deering Bay Yacht &amp; Country Club</t>
  </si>
  <si>
    <t>Forest Glen G&amp;CCMA</t>
  </si>
  <si>
    <t>Glen Eagle G. &amp; C.C.</t>
  </si>
  <si>
    <t>Legends G.&amp;C.C.M.A.</t>
  </si>
  <si>
    <t>Old Marsh</t>
  </si>
  <si>
    <t>Worthington M.A.</t>
  </si>
  <si>
    <t>Departmental subsidy: total dues revenue</t>
  </si>
  <si>
    <t>Key Biscayne Yacht Club</t>
  </si>
  <si>
    <t>DO NOT SHOW FOR NOW</t>
  </si>
  <si>
    <t>Yacht &amp; Beach clubs</t>
  </si>
  <si>
    <t>(inc dues, assessments, minimums and service charges)</t>
  </si>
  <si>
    <t>** Includes capital assessment, operating assessment, food and beverage minimum and mandatory service charge if applicable</t>
  </si>
  <si>
    <t>** Includes capital and operating assessment if applicable</t>
  </si>
  <si>
    <t>Cumulative 3 year total (2012-2014)</t>
  </si>
  <si>
    <t>2015</t>
  </si>
  <si>
    <t>Full membership 2015</t>
  </si>
  <si>
    <t>Entry membership 2015</t>
  </si>
  <si>
    <t>PP&amp;E additions per FME 2014</t>
  </si>
  <si>
    <t>Yacht &amp;                                                    Beach</t>
  </si>
  <si>
    <t>Lease (peer)</t>
  </si>
  <si>
    <t>All Other (inc Utility) peer</t>
  </si>
  <si>
    <t>Everglades Club</t>
  </si>
  <si>
    <t>Lauderdale Yacht Club</t>
  </si>
  <si>
    <t>The Polo Club of Boca Raton POA, Inc.</t>
  </si>
  <si>
    <t>Yacht</t>
  </si>
  <si>
    <t>to</t>
  </si>
  <si>
    <t>$1.00</t>
  </si>
  <si>
    <t>Timber Pines CA</t>
  </si>
  <si>
    <t xml:space="preserve">Atlantis Golf Club, Inc. </t>
  </si>
  <si>
    <t>Boca Woods</t>
  </si>
  <si>
    <t>Harbour Ridge Yacht &amp; CC</t>
  </si>
  <si>
    <t>Hunters Run</t>
  </si>
  <si>
    <t>Interlachen Country Club, Inc.</t>
  </si>
  <si>
    <t xml:space="preserve">Jupiter Hills Club </t>
  </si>
  <si>
    <t>The Little Club</t>
  </si>
  <si>
    <t>Lost Tree Club</t>
  </si>
  <si>
    <t>Ocean Club of Florida</t>
  </si>
  <si>
    <t>St. Andrews CC</t>
  </si>
  <si>
    <t>Tampa Yacht &amp; CC</t>
  </si>
  <si>
    <t>Vero Beach CC</t>
  </si>
  <si>
    <t>Woodfield</t>
  </si>
  <si>
    <t>Banyan Golf Club</t>
  </si>
  <si>
    <t>Broken Sound Club</t>
  </si>
  <si>
    <t>Countryside M.A.</t>
  </si>
  <si>
    <t>Mizner</t>
  </si>
  <si>
    <t>PALMA CEIA G &amp; CC</t>
  </si>
  <si>
    <t>Pelican Marsh GC</t>
  </si>
  <si>
    <t>Spring Run G.C.C.A.</t>
  </si>
  <si>
    <t>Stonebridge</t>
  </si>
  <si>
    <t>THE CLUB PELICAN BAY</t>
  </si>
  <si>
    <t xml:space="preserve">see cell bt7 inrows tab. </t>
  </si>
  <si>
    <t>Quail West Foundation</t>
  </si>
  <si>
    <t>Cedar Hammock G&amp;CC</t>
  </si>
  <si>
    <t>Audubon CC</t>
  </si>
  <si>
    <t>Bay Colony C.A.</t>
  </si>
  <si>
    <t>Bear Lakes CC</t>
  </si>
  <si>
    <t>Boca Grove Golf and Tennis</t>
  </si>
  <si>
    <t xml:space="preserve">Colonial CCMA </t>
  </si>
  <si>
    <t>Gateway</t>
  </si>
  <si>
    <t>Grey Oaks CC</t>
  </si>
  <si>
    <t>Hammock Dunes Club, Inc.</t>
  </si>
  <si>
    <t xml:space="preserve">Indian River Colony Club, Inc. </t>
  </si>
  <si>
    <t>Isla del Sol Y &amp; CC</t>
  </si>
  <si>
    <t>John's Island Club</t>
  </si>
  <si>
    <t>Jonathan's Landing GC</t>
  </si>
  <si>
    <t>Legends G &amp; CCMA</t>
  </si>
  <si>
    <t xml:space="preserve">Mirasol </t>
  </si>
  <si>
    <t xml:space="preserve">Moorings Club </t>
  </si>
  <si>
    <t xml:space="preserve">The Plantation at Ponte Vedra, Inc. </t>
  </si>
  <si>
    <t xml:space="preserve">Sawgrass Country Club </t>
  </si>
  <si>
    <t>Wilderness CC</t>
  </si>
  <si>
    <t>Worthington MA</t>
  </si>
  <si>
    <t>Wycliffe Country Club</t>
  </si>
  <si>
    <t>Membership</t>
  </si>
  <si>
    <t>Memberships (FME) to employees ratio</t>
  </si>
  <si>
    <t>Payroll and related per (full member equivalent) FME</t>
  </si>
  <si>
    <t>Operating revenues and expenses per (full member equivalent) FME</t>
  </si>
  <si>
    <t>Full Member Equivalent (FME)</t>
  </si>
  <si>
    <t>Full Member Equivalent (FME) to employees ratio</t>
  </si>
  <si>
    <t>F&amp;B sales per full member equivalent (FME)</t>
  </si>
  <si>
    <t>subsidy per full member equivalent (FME)</t>
  </si>
  <si>
    <t>Average full member equivalent (FME)</t>
  </si>
  <si>
    <t>Average subsidized loss permfull member equivalent (FME)</t>
  </si>
  <si>
    <t>Average subsidy per full member equivalent (FME)</t>
  </si>
  <si>
    <t xml:space="preserve">Winter Park Racquet Club </t>
  </si>
  <si>
    <t>High Ref Diff</t>
  </si>
  <si>
    <t>High Non-Ref Diff</t>
  </si>
  <si>
    <t>18 acres diff</t>
  </si>
  <si>
    <t>18 rounds diff %</t>
  </si>
  <si>
    <t>27 acres diff</t>
  </si>
  <si>
    <t>27 rounds diff %</t>
  </si>
  <si>
    <t>info was removed in 2014 -SALY?</t>
  </si>
  <si>
    <t>Comments</t>
  </si>
  <si>
    <t>what did we do in 2014 and why?</t>
  </si>
  <si>
    <t>change to 200</t>
  </si>
  <si>
    <t>which is right</t>
  </si>
  <si>
    <t>which is right - 14 or 15</t>
  </si>
  <si>
    <t>SALY?</t>
  </si>
  <si>
    <t>2014 typo. 2015 ok?</t>
  </si>
  <si>
    <t>18 holes</t>
  </si>
  <si>
    <t>no golf - ok</t>
  </si>
  <si>
    <t>no comparative year - ok</t>
  </si>
  <si>
    <t>rounds check</t>
  </si>
  <si>
    <t>which is right? Rounds?</t>
  </si>
  <si>
    <t>which is right - 14 or 15, rounds?</t>
  </si>
  <si>
    <t>SALY? Rounds?</t>
  </si>
  <si>
    <t>acres / rounds</t>
  </si>
  <si>
    <t>multi holes</t>
  </si>
  <si>
    <t>what did we do in 2014 and why? Multi?</t>
  </si>
  <si>
    <t>rounds?</t>
  </si>
  <si>
    <t>typo - use 2014</t>
  </si>
  <si>
    <t>2015 missing for multi</t>
  </si>
  <si>
    <t>2014 typo. 2015 ok? Rounds?</t>
  </si>
  <si>
    <t>GOLF ACRES &amp; ROUNDS - 2015 v 2014 DATA:  HIGHLIGHTED ANY WHERE ACRES &lt;&gt; AND ROUNDS +/- 15% CHANGE FROM PY</t>
  </si>
  <si>
    <t>2015 needs removed - saly</t>
  </si>
  <si>
    <t>F&amp;B sales per FME</t>
  </si>
  <si>
    <t>Vasari CCMA</t>
  </si>
  <si>
    <t>PY should not have multi information</t>
  </si>
  <si>
    <t>should be 334</t>
  </si>
  <si>
    <t>should be 200</t>
  </si>
  <si>
    <t>acres should be 300 and rounds are correct</t>
  </si>
  <si>
    <t>should be 235</t>
  </si>
  <si>
    <t>Gateway had GC renovation last year - we probably used rounds of golf from PY because leaving them out was scewing th numbers</t>
  </si>
  <si>
    <t>2015 OK</t>
  </si>
  <si>
    <t>use 2014 acres</t>
  </si>
  <si>
    <t>CY should be 36,332</t>
  </si>
  <si>
    <t>GC renovation in CY, amounts correct per Ryan</t>
  </si>
  <si>
    <t>OK per Stephen, GC renovation</t>
  </si>
  <si>
    <t>correct per Stephen confirmation with controller</t>
  </si>
  <si>
    <t>OK per Phil</t>
  </si>
  <si>
    <t>OK per Jeff</t>
  </si>
  <si>
    <t>CY rounds should be 16,257</t>
  </si>
  <si>
    <t>should be 150 acres</t>
  </si>
  <si>
    <t>PY had a GC renovation, but we had to use the rounds from previous year because using Zero was messing up the result</t>
  </si>
  <si>
    <t>acres should be 211 and rounds are correct</t>
  </si>
  <si>
    <t>CY rounds should be 31,844 and the PY should have been 29,855 for a 7% increase</t>
  </si>
  <si>
    <t>correct per Stephen</t>
  </si>
  <si>
    <t>PY number was incorrect, should have been 17,500</t>
  </si>
  <si>
    <t>acres should be 83 and rounds are correct</t>
  </si>
  <si>
    <t>acres should be 122 and rounds down is correct (renovation)</t>
  </si>
  <si>
    <t>acres SALY and rounds should be 31,000</t>
  </si>
  <si>
    <t>SALY</t>
  </si>
  <si>
    <t>correct, had GC renovation and was closed for 5 months</t>
  </si>
  <si>
    <t>acres should be 97 and rounds are correct</t>
  </si>
  <si>
    <t>correct, had a GC renovation in CY</t>
  </si>
  <si>
    <t>remove 2015 SALY</t>
  </si>
  <si>
    <t>correct, clubhouse renovation caused decreased rounds</t>
  </si>
  <si>
    <t xml:space="preserve">acres should be 125 </t>
  </si>
  <si>
    <t>acres should be 100</t>
  </si>
  <si>
    <t>acres should be 127 and the rounds are correct</t>
  </si>
  <si>
    <t>rounds should be 21,670</t>
  </si>
  <si>
    <t>to do :  LOOK AT aFFECT ON PY</t>
  </si>
  <si>
    <t>Leased equipment</t>
  </si>
  <si>
    <t>Other (incl. utilities)</t>
  </si>
  <si>
    <t>correct</t>
  </si>
  <si>
    <t>TT sent corrected Trends template---- change rounds to 17485 per GM email</t>
  </si>
  <si>
    <t>Average surplus per member</t>
  </si>
  <si>
    <t>Total membership level</t>
  </si>
  <si>
    <t>Full member equivalent (FME)</t>
  </si>
  <si>
    <t>done</t>
  </si>
  <si>
    <t>2016</t>
  </si>
  <si>
    <t>Full membership 2016</t>
  </si>
  <si>
    <t>Entry membership 2016</t>
  </si>
  <si>
    <t>Bay Colony GC</t>
  </si>
  <si>
    <t>Coral Reef YC</t>
  </si>
  <si>
    <t>LA GORCE COUNTRY CLUB</t>
  </si>
  <si>
    <t>Little Club</t>
  </si>
  <si>
    <t>The Polo Club of Boca Raton POA, Inc</t>
  </si>
  <si>
    <t>Estero CC</t>
  </si>
  <si>
    <t>Fort Lauderdale CC</t>
  </si>
  <si>
    <t>Imperial GC</t>
  </si>
  <si>
    <t>Mariner Sands Country Club, Inc.</t>
  </si>
  <si>
    <t>Sailfish Point Golf Club, Inc</t>
  </si>
  <si>
    <t>Spring Run GC</t>
  </si>
  <si>
    <t>Harbour Ridge</t>
  </si>
  <si>
    <t>The Club at Ibis</t>
  </si>
  <si>
    <t>Landings YGT</t>
  </si>
  <si>
    <t>Wildcat Run GC</t>
  </si>
  <si>
    <t>The Country Club at Woodfield, Inc.</t>
  </si>
  <si>
    <t>Palma Ceia G&amp;CC</t>
  </si>
  <si>
    <t>Colonial CCMA</t>
  </si>
  <si>
    <t>Mizner CC</t>
  </si>
  <si>
    <t>St. Andrews - Delray</t>
  </si>
  <si>
    <t>Wilderness</t>
  </si>
  <si>
    <t>Heritage Bay</t>
  </si>
  <si>
    <t>Full membership - % that had a dues rate increase</t>
  </si>
  <si>
    <t>[1]</t>
  </si>
  <si>
    <t>Note:  [1] The Southwest CIRA region has insufficient data for multiple courses</t>
  </si>
  <si>
    <t>[1] The Southwest CIRA region has insufficient data for multiple courses</t>
  </si>
  <si>
    <t>NOTE: PROPERTY TAXES &amp; INSURANCE WILL NOT BE PRESENTED IN THE TRENDSBOOKLET</t>
  </si>
  <si>
    <t>Clubs with resigned member waiting lists hidden</t>
  </si>
  <si>
    <t>Entry membership - dues (2017)</t>
  </si>
  <si>
    <t>2017</t>
  </si>
  <si>
    <t>Full membership 2017</t>
  </si>
  <si>
    <t>Entry membership 2017</t>
  </si>
  <si>
    <t>Hole in The Wall GC</t>
  </si>
  <si>
    <t>Frenchman's Reserve</t>
  </si>
  <si>
    <t>Old Palm Golf Club, Inc.</t>
  </si>
  <si>
    <t>inc Y&amp;B - ties to FY16vFY17 tab</t>
  </si>
  <si>
    <t>Average payroll costs  (per member not per FME)</t>
  </si>
  <si>
    <t>chm sum - shd be 0%</t>
  </si>
  <si>
    <t>removed from Trends FY18+</t>
  </si>
  <si>
    <t>added to Trends FY18+</t>
  </si>
  <si>
    <t>Other cap/ reno/ debt ass'mt billed?</t>
  </si>
  <si>
    <t>Clubhouse</t>
  </si>
  <si>
    <t>Golf Course</t>
  </si>
  <si>
    <t>Fitness/Wellness/Spa</t>
  </si>
  <si>
    <t>Marina</t>
  </si>
  <si>
    <t>Tennis/ Racquet</t>
  </si>
  <si>
    <t>Pool</t>
  </si>
  <si>
    <t>Did the Club have a major renovation this year?  (1 = yes/0 = no)</t>
  </si>
  <si>
    <t>Ending PPE, net (after accu depn)</t>
  </si>
  <si>
    <t>Current Assets</t>
  </si>
  <si>
    <t>Current Liab</t>
  </si>
  <si>
    <t>Working Cap Ratio</t>
  </si>
  <si>
    <t>Ending Net Assets</t>
  </si>
  <si>
    <t>Total ancilliary costs (non-payroll) ie housing, travel, visas?</t>
  </si>
  <si>
    <t>Did Health Insurance costs increase? (1 = yes/0 = no)</t>
  </si>
  <si>
    <t>% inc. in Health Costs</t>
  </si>
  <si>
    <r>
      <rPr>
        <b/>
        <sz val="12"/>
        <color rgb="FF0000FF"/>
        <rFont val="Calibri"/>
        <family val="2"/>
      </rPr>
      <t>NEITHER</t>
    </r>
    <r>
      <rPr>
        <sz val="12"/>
        <color rgb="FF0000FF"/>
        <rFont val="Calibri"/>
        <family val="2"/>
        <scheme val="minor"/>
      </rPr>
      <t xml:space="preserve"> a gratuity on the chit or a Mandatory fixed service charge?</t>
    </r>
  </si>
  <si>
    <t># full service kitchens</t>
  </si>
  <si>
    <t>How are hourly staff compensated?  (0 - flat hrly / 1 - gratuity + per hr/ 2 - gratuity + guar rate)</t>
  </si>
  <si>
    <t>Joining fees 2018</t>
  </si>
  <si>
    <t>Dues 2017</t>
  </si>
  <si>
    <t>Total cost in 2017 **</t>
  </si>
  <si>
    <t>2018</t>
  </si>
  <si>
    <t>Full membership 2018</t>
  </si>
  <si>
    <t>The Country Club of Florida</t>
  </si>
  <si>
    <t>Cedar Hammock Golf &amp; Country Club</t>
  </si>
  <si>
    <t>Cypress Lake</t>
  </si>
  <si>
    <t>Foxfire Community Association</t>
  </si>
  <si>
    <t>Gulf Harbour Golf and Country Club</t>
  </si>
  <si>
    <t>ISLAND CC</t>
  </si>
  <si>
    <t>Key Biscayne Yacht Club, Inc.</t>
  </si>
  <si>
    <t>Kensington Golf &amp; Country Club</t>
  </si>
  <si>
    <t>Lexington Community Association</t>
  </si>
  <si>
    <t>Olde Hickory G &amp; CC MA</t>
  </si>
  <si>
    <t>Pine Tree Golf Club</t>
  </si>
  <si>
    <t>Mediterra</t>
  </si>
  <si>
    <t>West</t>
  </si>
  <si>
    <t>East</t>
  </si>
  <si>
    <t>West Cira</t>
  </si>
  <si>
    <r>
      <t xml:space="preserve">Is the Club a mandatory membership club? (1 = yes / 0 = no)  </t>
    </r>
    <r>
      <rPr>
        <sz val="12"/>
        <color indexed="10"/>
        <rFont val="Calibri"/>
        <family val="2"/>
        <scheme val="minor"/>
      </rPr>
      <t>NOTE: if answered 0 above answer is 1</t>
    </r>
  </si>
  <si>
    <r>
      <t>Full Members (</t>
    </r>
    <r>
      <rPr>
        <b/>
        <sz val="12"/>
        <rFont val="Calibri"/>
        <family val="2"/>
      </rPr>
      <t>HIGHEST level/paying FULL DUES rate</t>
    </r>
    <r>
      <rPr>
        <sz val="12"/>
        <rFont val="Calibri"/>
        <family val="2"/>
        <scheme val="minor"/>
      </rPr>
      <t>)</t>
    </r>
  </si>
  <si>
    <t>OUT</t>
  </si>
  <si>
    <r>
      <t xml:space="preserve">If </t>
    </r>
    <r>
      <rPr>
        <b/>
        <sz val="12"/>
        <rFont val="Calibri"/>
        <family val="2"/>
        <scheme val="minor"/>
      </rPr>
      <t>YES</t>
    </r>
    <r>
      <rPr>
        <sz val="12"/>
        <rFont val="Calibri"/>
        <family val="2"/>
        <scheme val="minor"/>
      </rPr>
      <t xml:space="preserve">, number of resigned members awaiting exit </t>
    </r>
    <r>
      <rPr>
        <sz val="12"/>
        <color indexed="10"/>
        <rFont val="Calibri"/>
        <family val="2"/>
        <scheme val="minor"/>
      </rPr>
      <t>(Leave blank if not applicable)</t>
    </r>
  </si>
  <si>
    <r>
      <t xml:space="preserve">If </t>
    </r>
    <r>
      <rPr>
        <b/>
        <sz val="12"/>
        <rFont val="Calibri"/>
        <family val="2"/>
        <scheme val="minor"/>
      </rPr>
      <t>YES</t>
    </r>
    <r>
      <rPr>
        <sz val="12"/>
        <rFont val="Calibri"/>
        <family val="2"/>
        <scheme val="minor"/>
      </rPr>
      <t xml:space="preserve">, length of wait list in years </t>
    </r>
    <r>
      <rPr>
        <sz val="12"/>
        <color indexed="10"/>
        <rFont val="Calibri"/>
        <family val="2"/>
        <scheme val="minor"/>
      </rPr>
      <t>(Leave blank if not applicable)</t>
    </r>
  </si>
  <si>
    <r>
      <t xml:space="preserve">If </t>
    </r>
    <r>
      <rPr>
        <b/>
        <sz val="12"/>
        <rFont val="Calibri"/>
        <family val="2"/>
        <scheme val="minor"/>
      </rPr>
      <t>YES</t>
    </r>
    <r>
      <rPr>
        <sz val="12"/>
        <rFont val="Calibri"/>
        <family val="2"/>
        <scheme val="minor"/>
      </rPr>
      <t xml:space="preserve">, number of members paid out off of the resigned list in year under audit </t>
    </r>
    <r>
      <rPr>
        <sz val="12"/>
        <color indexed="10"/>
        <rFont val="Calibri"/>
        <family val="2"/>
        <scheme val="minor"/>
      </rPr>
      <t>(Leave blank if not applicable)</t>
    </r>
  </si>
  <si>
    <r>
      <t xml:space="preserve">If </t>
    </r>
    <r>
      <rPr>
        <b/>
        <sz val="12"/>
        <rFont val="Calibri"/>
        <family val="2"/>
        <scheme val="minor"/>
      </rPr>
      <t>YES</t>
    </r>
    <r>
      <rPr>
        <sz val="12"/>
        <rFont val="Calibri"/>
        <family val="2"/>
        <scheme val="minor"/>
      </rPr>
      <t xml:space="preserve">, number of members resigned in year under audit (does </t>
    </r>
    <r>
      <rPr>
        <b/>
        <sz val="12"/>
        <rFont val="Calibri"/>
        <family val="2"/>
        <scheme val="minor"/>
      </rPr>
      <t>NOT</t>
    </r>
    <r>
      <rPr>
        <sz val="12"/>
        <rFont val="Calibri"/>
        <family val="2"/>
        <scheme val="minor"/>
      </rPr>
      <t xml:space="preserve"> include members paid out from the resigned list)</t>
    </r>
  </si>
  <si>
    <r>
      <t xml:space="preserve">Dues amount for </t>
    </r>
    <r>
      <rPr>
        <b/>
        <sz val="12"/>
        <rFont val="Calibri"/>
        <family val="2"/>
        <scheme val="minor"/>
      </rPr>
      <t>HIGHEST</t>
    </r>
    <r>
      <rPr>
        <sz val="12"/>
        <rFont val="Calibri"/>
        <family val="2"/>
        <scheme val="minor"/>
      </rPr>
      <t xml:space="preserve"> level of membership </t>
    </r>
    <r>
      <rPr>
        <sz val="12"/>
        <color indexed="10"/>
        <rFont val="Calibri"/>
        <family val="2"/>
        <scheme val="minor"/>
      </rPr>
      <t>(CURRENT YEAR, NOT YEAR WE ARE AUDITING)</t>
    </r>
  </si>
  <si>
    <r>
      <t xml:space="preserve">Dues amount for </t>
    </r>
    <r>
      <rPr>
        <b/>
        <sz val="12"/>
        <rFont val="Calibri"/>
        <family val="2"/>
        <scheme val="minor"/>
      </rPr>
      <t>HIGHEST</t>
    </r>
    <r>
      <rPr>
        <sz val="12"/>
        <rFont val="Calibri"/>
        <family val="2"/>
        <scheme val="minor"/>
      </rPr>
      <t xml:space="preserve"> level of membership </t>
    </r>
    <r>
      <rPr>
        <sz val="12"/>
        <color indexed="10"/>
        <rFont val="Calibri"/>
        <family val="2"/>
        <scheme val="minor"/>
      </rPr>
      <t>(FOR THE YEAR WE ARE AUDITING)</t>
    </r>
  </si>
  <si>
    <r>
      <t xml:space="preserve">Dues amount for </t>
    </r>
    <r>
      <rPr>
        <b/>
        <sz val="12"/>
        <rFont val="Calibri"/>
        <family val="2"/>
        <scheme val="minor"/>
      </rPr>
      <t xml:space="preserve">LOWEST </t>
    </r>
    <r>
      <rPr>
        <sz val="12"/>
        <rFont val="Calibri"/>
        <family val="2"/>
        <scheme val="minor"/>
      </rPr>
      <t xml:space="preserve">level of membership </t>
    </r>
    <r>
      <rPr>
        <sz val="12"/>
        <color indexed="10"/>
        <rFont val="Calibri"/>
        <family val="2"/>
        <scheme val="minor"/>
      </rPr>
      <t>(CURRENT YEAR, NOT YEAR WE ARE AUDITING)</t>
    </r>
  </si>
  <si>
    <r>
      <t>Dues amount for</t>
    </r>
    <r>
      <rPr>
        <b/>
        <sz val="12"/>
        <rFont val="Calibri"/>
        <family val="2"/>
        <scheme val="minor"/>
      </rPr>
      <t xml:space="preserve"> LOWEST</t>
    </r>
    <r>
      <rPr>
        <sz val="12"/>
        <rFont val="Calibri"/>
        <family val="2"/>
        <scheme val="minor"/>
      </rPr>
      <t xml:space="preserve"> level of membership </t>
    </r>
    <r>
      <rPr>
        <sz val="12"/>
        <color indexed="10"/>
        <rFont val="Calibri"/>
        <family val="2"/>
        <scheme val="minor"/>
      </rPr>
      <t>(FOR THE YEAR WE ARE AUDITING)</t>
    </r>
  </si>
  <si>
    <r>
      <t>Does the Club  bill an annual recurring capital improvement (</t>
    </r>
    <r>
      <rPr>
        <b/>
        <sz val="12"/>
        <rFont val="Calibri"/>
        <family val="2"/>
      </rPr>
      <t>NOT PRJECT OR DEBT SPECIFIC</t>
    </r>
    <r>
      <rPr>
        <sz val="12"/>
        <rFont val="Calibri"/>
        <family val="2"/>
      </rPr>
      <t>)</t>
    </r>
  </si>
  <si>
    <r>
      <t xml:space="preserve">  assessment ? (1 = yes / 0 = no) </t>
    </r>
    <r>
      <rPr>
        <sz val="12"/>
        <color rgb="FFFF0000"/>
        <rFont val="Calibri"/>
        <family val="2"/>
        <scheme val="minor"/>
      </rPr>
      <t>(CIRAs - use reserve fund assessment amount)</t>
    </r>
  </si>
  <si>
    <r>
      <t xml:space="preserve">If Yes, </t>
    </r>
    <r>
      <rPr>
        <b/>
        <sz val="12"/>
        <rFont val="Calibri"/>
        <family val="2"/>
        <scheme val="minor"/>
      </rPr>
      <t>HIGHEST ANNUAL PER MEMBER</t>
    </r>
    <r>
      <rPr>
        <sz val="12"/>
        <rFont val="Calibri"/>
        <family val="2"/>
        <scheme val="minor"/>
      </rPr>
      <t xml:space="preserve"> amount billed;  </t>
    </r>
    <r>
      <rPr>
        <sz val="12"/>
        <color indexed="10"/>
        <rFont val="Calibri"/>
        <family val="2"/>
        <scheme val="minor"/>
      </rPr>
      <t>If no, leave blank</t>
    </r>
  </si>
  <si>
    <r>
      <t xml:space="preserve">If Yes, LOWEST ANNUAL PER MEMBER amount billed;  </t>
    </r>
    <r>
      <rPr>
        <sz val="12"/>
        <color indexed="10"/>
        <rFont val="Calibri"/>
        <family val="2"/>
        <scheme val="minor"/>
      </rPr>
      <t>If no, leave blank</t>
    </r>
  </si>
  <si>
    <t>Does the Club bill another capital/renovation/debt assessment? (1 = yes/0 = no)</t>
  </si>
  <si>
    <r>
      <t xml:space="preserve">If </t>
    </r>
    <r>
      <rPr>
        <b/>
        <sz val="12"/>
        <rFont val="Calibri"/>
        <family val="2"/>
      </rPr>
      <t>YES</t>
    </r>
    <r>
      <rPr>
        <sz val="12"/>
        <rFont val="Calibri"/>
        <family val="2"/>
        <scheme val="minor"/>
      </rPr>
      <t>, what area(s) were renovated (1 = yes/0 = no)</t>
    </r>
  </si>
  <si>
    <t>Tennis/Racquet</t>
  </si>
  <si>
    <r>
      <t xml:space="preserve">If </t>
    </r>
    <r>
      <rPr>
        <b/>
        <sz val="12"/>
        <rFont val="Calibri"/>
        <family val="2"/>
        <scheme val="minor"/>
      </rPr>
      <t>YES</t>
    </r>
    <r>
      <rPr>
        <sz val="12"/>
        <rFont val="Calibri"/>
        <family val="2"/>
        <scheme val="minor"/>
      </rPr>
      <t xml:space="preserve">, amount budgeted for major capital improvement </t>
    </r>
    <r>
      <rPr>
        <sz val="12"/>
        <color indexed="10"/>
        <rFont val="Calibri"/>
        <family val="2"/>
        <scheme val="minor"/>
      </rPr>
      <t>(leave blank if no)</t>
    </r>
  </si>
  <si>
    <r>
      <rPr>
        <b/>
        <sz val="12"/>
        <rFont val="Calibri"/>
        <family val="2"/>
        <scheme val="minor"/>
      </rPr>
      <t>TOTAL</t>
    </r>
    <r>
      <rPr>
        <sz val="12"/>
        <rFont val="Calibri"/>
        <family val="2"/>
        <scheme val="minor"/>
      </rPr>
      <t xml:space="preserve"> capital improvements </t>
    </r>
  </si>
  <si>
    <t>Ending net property, plant and equipment (after accumulated depreciation)</t>
  </si>
  <si>
    <r>
      <t xml:space="preserve">Property, plant and equipment additions per cash flow statement plus noncash </t>
    </r>
    <r>
      <rPr>
        <b/>
        <sz val="12"/>
        <rFont val="Calibri"/>
        <family val="2"/>
      </rPr>
      <t>(Capital Lease/Debt items only)</t>
    </r>
  </si>
  <si>
    <r>
      <t xml:space="preserve">If </t>
    </r>
    <r>
      <rPr>
        <b/>
        <sz val="12"/>
        <rFont val="Calibri"/>
        <family val="2"/>
        <scheme val="minor"/>
      </rPr>
      <t>YES</t>
    </r>
    <r>
      <rPr>
        <sz val="12"/>
        <rFont val="Calibri"/>
        <family val="2"/>
        <scheme val="minor"/>
      </rPr>
      <t>, total Third Party Debt (current and long-term, including lines of credit and capital leases) Leave blank if no</t>
    </r>
  </si>
  <si>
    <t>Current Liabilities</t>
  </si>
  <si>
    <t>Working Capital</t>
  </si>
  <si>
    <t>Total liabilities</t>
  </si>
  <si>
    <t>Ending net assets/net property owner's equity/new member's equity</t>
  </si>
  <si>
    <t>Debt to Equity Ratio</t>
  </si>
  <si>
    <t>Debt per FME</t>
  </si>
  <si>
    <t>Capital expenditures per FME (year under audit)</t>
  </si>
  <si>
    <t>Capital expenditures per FME budgeted</t>
  </si>
  <si>
    <t xml:space="preserve">    GOLF Pro shop sales</t>
  </si>
  <si>
    <t xml:space="preserve">    Other (ie: fitness, wellness, spa, locker rooms)</t>
  </si>
  <si>
    <t>Cost of sales- GOLF Pro shop</t>
  </si>
  <si>
    <t>Per FME</t>
  </si>
  <si>
    <t>Revenues</t>
  </si>
  <si>
    <r>
      <t xml:space="preserve">Total # of </t>
    </r>
    <r>
      <rPr>
        <b/>
        <sz val="12"/>
        <rFont val="Calibri"/>
        <family val="2"/>
      </rPr>
      <t>Full Time Equivalent</t>
    </r>
    <r>
      <rPr>
        <sz val="12"/>
        <rFont val="Calibri"/>
        <family val="2"/>
        <scheme val="minor"/>
      </rPr>
      <t xml:space="preserve"> employees in season</t>
    </r>
  </si>
  <si>
    <r>
      <t xml:space="preserve">If </t>
    </r>
    <r>
      <rPr>
        <b/>
        <sz val="12"/>
        <rFont val="Calibri"/>
        <family val="2"/>
        <scheme val="minor"/>
      </rPr>
      <t>YES</t>
    </r>
    <r>
      <rPr>
        <sz val="12"/>
        <rFont val="Calibri"/>
        <family val="2"/>
        <scheme val="minor"/>
      </rPr>
      <t xml:space="preserve">, approximately how many people are hired each year? </t>
    </r>
    <r>
      <rPr>
        <sz val="12"/>
        <color indexed="10"/>
        <rFont val="Calibri"/>
        <family val="2"/>
        <scheme val="minor"/>
      </rPr>
      <t>(Leave blank if not applicable)</t>
    </r>
  </si>
  <si>
    <r>
      <rPr>
        <sz val="12"/>
        <rFont val="Calibri"/>
        <family val="2"/>
        <scheme val="minor"/>
      </rPr>
      <t xml:space="preserve">If </t>
    </r>
    <r>
      <rPr>
        <b/>
        <sz val="12"/>
        <rFont val="Calibri"/>
        <family val="2"/>
        <scheme val="minor"/>
      </rPr>
      <t>YES</t>
    </r>
    <r>
      <rPr>
        <sz val="12"/>
        <rFont val="Calibri"/>
        <family val="2"/>
        <scheme val="minor"/>
      </rPr>
      <t>, what are the total ancilliary costs (non-payroll) ie housing, travel, visas?</t>
    </r>
    <r>
      <rPr>
        <sz val="12"/>
        <color rgb="FFFF0000"/>
        <rFont val="Calibri"/>
        <family val="2"/>
        <scheme val="minor"/>
      </rPr>
      <t xml:space="preserve"> (Leave blank if not applicable)</t>
    </r>
  </si>
  <si>
    <r>
      <t xml:space="preserve">If </t>
    </r>
    <r>
      <rPr>
        <b/>
        <sz val="12"/>
        <rFont val="Calibri"/>
        <family val="2"/>
      </rPr>
      <t>YES</t>
    </r>
    <r>
      <rPr>
        <sz val="12"/>
        <rFont val="Calibri"/>
        <family val="2"/>
        <scheme val="minor"/>
      </rPr>
      <t>, what was the % increase</t>
    </r>
  </si>
  <si>
    <t>FME per employee</t>
  </si>
  <si>
    <r>
      <t xml:space="preserve">  If </t>
    </r>
    <r>
      <rPr>
        <b/>
        <sz val="12"/>
        <rFont val="Calibri"/>
        <family val="2"/>
        <scheme val="minor"/>
      </rPr>
      <t>YES</t>
    </r>
    <r>
      <rPr>
        <sz val="12"/>
        <rFont val="Calibri"/>
        <family val="2"/>
        <scheme val="minor"/>
      </rPr>
      <t xml:space="preserve">, amount </t>
    </r>
    <r>
      <rPr>
        <u/>
        <sz val="12"/>
        <rFont val="Calibri"/>
        <family val="2"/>
        <scheme val="minor"/>
      </rPr>
      <t>ANNUALLY</t>
    </r>
    <r>
      <rPr>
        <sz val="12"/>
        <rFont val="Calibri"/>
        <family val="2"/>
        <scheme val="minor"/>
      </rPr>
      <t xml:space="preserve"> - HIGHEST LEVEL </t>
    </r>
    <r>
      <rPr>
        <sz val="12"/>
        <color indexed="10"/>
        <rFont val="Calibri"/>
        <family val="2"/>
        <scheme val="minor"/>
      </rPr>
      <t>(Leave blank if not applicable)</t>
    </r>
  </si>
  <si>
    <r>
      <t xml:space="preserve">Does the club have an automatic F&amp;B gratuity added to the chit?  (1 = yes / 0 = no) </t>
    </r>
    <r>
      <rPr>
        <sz val="12"/>
        <color rgb="FFFF0000"/>
        <rFont val="Calibri"/>
        <family val="2"/>
        <scheme val="minor"/>
      </rPr>
      <t>(Do not include banquet gratuity)</t>
    </r>
  </si>
  <si>
    <r>
      <t xml:space="preserve"> If </t>
    </r>
    <r>
      <rPr>
        <b/>
        <sz val="12"/>
        <rFont val="Calibri"/>
        <family val="2"/>
        <scheme val="minor"/>
      </rPr>
      <t>YES</t>
    </r>
    <r>
      <rPr>
        <sz val="12"/>
        <rFont val="Calibri"/>
        <family val="2"/>
        <scheme val="minor"/>
      </rPr>
      <t xml:space="preserve">, Percentage amount (%) </t>
    </r>
    <r>
      <rPr>
        <sz val="12"/>
        <color indexed="10"/>
        <rFont val="Calibri"/>
        <family val="2"/>
        <scheme val="minor"/>
      </rPr>
      <t>Leave blank if not applicable</t>
    </r>
  </si>
  <si>
    <r>
      <t xml:space="preserve">If </t>
    </r>
    <r>
      <rPr>
        <b/>
        <sz val="12"/>
        <rFont val="Calibri"/>
        <family val="2"/>
        <scheme val="minor"/>
      </rPr>
      <t>YES</t>
    </r>
    <r>
      <rPr>
        <sz val="12"/>
        <rFont val="Calibri"/>
        <family val="2"/>
        <scheme val="minor"/>
      </rPr>
      <t xml:space="preserve">, monthly amount  - HIGHEST LEVEL </t>
    </r>
    <r>
      <rPr>
        <sz val="12"/>
        <color indexed="10"/>
        <rFont val="Calibri"/>
        <family val="2"/>
        <scheme val="minor"/>
      </rPr>
      <t>(Leave blank if not applicable)</t>
    </r>
  </si>
  <si>
    <r>
      <t xml:space="preserve">Does the Club have </t>
    </r>
    <r>
      <rPr>
        <b/>
        <sz val="12"/>
        <rFont val="Calibri"/>
        <family val="2"/>
      </rPr>
      <t>NEITHER</t>
    </r>
    <r>
      <rPr>
        <sz val="12"/>
        <rFont val="Calibri"/>
        <family val="2"/>
        <scheme val="minor"/>
      </rPr>
      <t xml:space="preserve"> a gratuity on the chit or a Mandatory fixed service charge? (1 = yes / 0 = no)</t>
    </r>
  </si>
  <si>
    <t>Restaurant Sales per FME</t>
  </si>
  <si>
    <t>Restaurant Subsidy per FME</t>
  </si>
  <si>
    <t>Number of full service kitchens</t>
  </si>
  <si>
    <t>Total number of covers (include function / banquet) (estimate if necessary)</t>
  </si>
  <si>
    <t>Total number of function / banquet covers (estimate if necessary)</t>
  </si>
  <si>
    <t>How are hourly staff compensated?  (0 - flat hourly rate / 1 - gratuity plus hourly rate / 2 - gratuity with guaranteed rate)</t>
  </si>
  <si>
    <r>
      <t>Salaries and wages (</t>
    </r>
    <r>
      <rPr>
        <sz val="12"/>
        <color indexed="10"/>
        <rFont val="Calibri"/>
        <family val="2"/>
        <scheme val="minor"/>
      </rPr>
      <t>EXC credit for MANDATORY FIXED SERVICE CHARGES)</t>
    </r>
  </si>
  <si>
    <r>
      <rPr>
        <b/>
        <sz val="12"/>
        <color indexed="10"/>
        <rFont val="Calibri"/>
        <family val="2"/>
        <scheme val="minor"/>
      </rPr>
      <t>Less</t>
    </r>
    <r>
      <rPr>
        <sz val="12"/>
        <rFont val="Calibri"/>
        <family val="2"/>
        <scheme val="minor"/>
      </rPr>
      <t xml:space="preserve"> credit = 20% of F&amp;B sales </t>
    </r>
    <r>
      <rPr>
        <sz val="12"/>
        <color indexed="10"/>
        <rFont val="Calibri"/>
        <family val="2"/>
        <scheme val="minor"/>
      </rPr>
      <t>(only applies for club's</t>
    </r>
    <r>
      <rPr>
        <sz val="12"/>
        <rFont val="Calibri"/>
        <family val="2"/>
        <scheme val="minor"/>
      </rPr>
      <t xml:space="preserve"> </t>
    </r>
  </si>
  <si>
    <r>
      <t xml:space="preserve"> </t>
    </r>
    <r>
      <rPr>
        <sz val="12"/>
        <color indexed="10"/>
        <rFont val="Calibri"/>
        <family val="2"/>
        <scheme val="minor"/>
      </rPr>
      <t>with MANDATORY FIXED SERVICE CHARGES)</t>
    </r>
  </si>
  <si>
    <t>Other expenses (excluding entertainment, valet, decorations and foreign labor ancilliary costs)</t>
  </si>
  <si>
    <r>
      <t>If</t>
    </r>
    <r>
      <rPr>
        <b/>
        <sz val="12"/>
        <rFont val="Calibri"/>
        <family val="2"/>
        <scheme val="minor"/>
      </rPr>
      <t xml:space="preserve"> YES</t>
    </r>
    <r>
      <rPr>
        <sz val="12"/>
        <rFont val="Calibri"/>
        <family val="2"/>
        <scheme val="minor"/>
      </rPr>
      <t xml:space="preserve">, what percent on average? </t>
    </r>
    <r>
      <rPr>
        <b/>
        <u/>
        <sz val="12"/>
        <rFont val="Calibri"/>
        <family val="2"/>
        <scheme val="minor"/>
      </rPr>
      <t>ESTIMATE - NOT A "RANGE"</t>
    </r>
    <r>
      <rPr>
        <sz val="12"/>
        <rFont val="Calibri"/>
        <family val="2"/>
        <scheme val="minor"/>
      </rPr>
      <t xml:space="preserve">.  </t>
    </r>
    <r>
      <rPr>
        <sz val="12"/>
        <color indexed="10"/>
        <rFont val="Calibri"/>
        <family val="2"/>
        <scheme val="minor"/>
      </rPr>
      <t>Leave blank if no</t>
    </r>
  </si>
  <si>
    <r>
      <t>Maintained course acreage</t>
    </r>
    <r>
      <rPr>
        <sz val="12"/>
        <color rgb="FFFF0000"/>
        <rFont val="Calibri"/>
        <family val="2"/>
        <scheme val="minor"/>
      </rPr>
      <t xml:space="preserve"> (please try to be as accurate as possible)</t>
    </r>
  </si>
  <si>
    <r>
      <t># of rounds per year</t>
    </r>
    <r>
      <rPr>
        <sz val="12"/>
        <color rgb="FFFF0000"/>
        <rFont val="Calibri"/>
        <family val="2"/>
        <scheme val="minor"/>
      </rPr>
      <t xml:space="preserve"> (estimate if necessary)</t>
    </r>
  </si>
  <si>
    <r>
      <t>Salaries and wages (</t>
    </r>
    <r>
      <rPr>
        <b/>
        <sz val="12"/>
        <rFont val="Calibri"/>
        <family val="2"/>
      </rPr>
      <t>INCLUDE CONTRACT LABOR</t>
    </r>
    <r>
      <rPr>
        <sz val="12"/>
        <rFont val="Calibri"/>
        <family val="2"/>
        <scheme val="minor"/>
      </rPr>
      <t>)</t>
    </r>
  </si>
  <si>
    <r>
      <t xml:space="preserve">Total of all courses - maintained course acreage </t>
    </r>
    <r>
      <rPr>
        <sz val="12"/>
        <color rgb="FFFF0000"/>
        <rFont val="Calibri"/>
        <family val="2"/>
        <scheme val="minor"/>
      </rPr>
      <t>(please be accurate)</t>
    </r>
  </si>
  <si>
    <t>Debt/Equity Ratio</t>
  </si>
  <si>
    <t>Capex per FME (AY)</t>
  </si>
  <si>
    <t>Capex per FME bud'd (AY)</t>
  </si>
  <si>
    <t xml:space="preserve">    Golf/FME</t>
  </si>
  <si>
    <t xml:space="preserve">    Tennis/FME</t>
  </si>
  <si>
    <t xml:space="preserve">    Pro shop sales/FME</t>
  </si>
  <si>
    <t xml:space="preserve">    Other (include fitness, locker rooms)/FME</t>
  </si>
  <si>
    <t>Dues/FME</t>
  </si>
  <si>
    <t>Op'g Ass'mt/FME</t>
  </si>
  <si>
    <t>Initiation fees/FME</t>
  </si>
  <si>
    <t>Food sales (exc mins)/FME</t>
  </si>
  <si>
    <t>Beverage sales/FME</t>
  </si>
  <si>
    <t>All other (inc F&amp;B minimum)/FME</t>
  </si>
  <si>
    <t>Total Revenues/FME</t>
  </si>
  <si>
    <t>Payroll and related/FME</t>
  </si>
  <si>
    <t>Cost of sales- F&amp;B/FME</t>
  </si>
  <si>
    <t>Cost of sales- Pro shop/FME</t>
  </si>
  <si>
    <t>Operating expenses/FME</t>
  </si>
  <si>
    <t>Property taxes/FME</t>
  </si>
  <si>
    <t>Insurance/FME</t>
  </si>
  <si>
    <t>Total Expenses/FME</t>
  </si>
  <si>
    <t>Operating excess/(deficiency)/FME</t>
  </si>
  <si>
    <r>
      <t xml:space="preserve">  Salaries and wages (EXC credit for MAND'Y FIXED </t>
    </r>
    <r>
      <rPr>
        <sz val="12"/>
        <color indexed="10"/>
        <rFont val="Arial"/>
        <family val="2"/>
      </rPr>
      <t>SERVICE CHARGES)</t>
    </r>
  </si>
  <si>
    <r>
      <t xml:space="preserve">Less credit = 20% of F&amp;B sales (only applies for club's </t>
    </r>
    <r>
      <rPr>
        <sz val="12"/>
        <color indexed="10"/>
        <rFont val="Arial"/>
        <family val="2"/>
      </rPr>
      <t>with MAND'Y FIXED SERVICE CHARGES)</t>
    </r>
  </si>
  <si>
    <t>Must = 100.00%: RE-ENTER</t>
  </si>
  <si>
    <t>new</t>
  </si>
  <si>
    <t>Mand FxdChg and 20%</t>
  </si>
  <si>
    <t>pro shop ok</t>
  </si>
  <si>
    <t>SWCIRA Mand chk</t>
  </si>
  <si>
    <t>Other cap/ reno/ debt ass'mt? (Yes/No)</t>
  </si>
  <si>
    <t>How hourly staff are compensated</t>
  </si>
  <si>
    <t>Southeast  w/o Boca</t>
  </si>
  <si>
    <t>Boca Raton Area</t>
  </si>
  <si>
    <t>Southwest w/o CIRAs</t>
  </si>
  <si>
    <t>Flat Hourly</t>
  </si>
  <si>
    <t>Addison Reserve CC</t>
  </si>
  <si>
    <t>Collier's Reserve Country Club</t>
  </si>
  <si>
    <t>Fiddlesticks CC</t>
  </si>
  <si>
    <t>Interlachen CC</t>
  </si>
  <si>
    <t>La Gorce Country Club</t>
  </si>
  <si>
    <t>PALMA CEIA GOLF AND COUNTRY CLUB, INC</t>
  </si>
  <si>
    <t>Plantation Golf &amp; Country Club, Inc.</t>
  </si>
  <si>
    <t>Royal Poinciana Golf Club</t>
  </si>
  <si>
    <t>Stoneybrook Golf &amp; CC</t>
  </si>
  <si>
    <t xml:space="preserve">                    -  </t>
  </si>
  <si>
    <t>Frenchman's Creek, Inc.</t>
  </si>
  <si>
    <t>Jupiter Hills Club</t>
  </si>
  <si>
    <t xml:space="preserve">Jupiter Island </t>
  </si>
  <si>
    <t>Naples National Golf Club</t>
  </si>
  <si>
    <t>Bocaire CC</t>
  </si>
  <si>
    <t>The Country Club of Naples, Inc.</t>
  </si>
  <si>
    <t>Eagle Creek</t>
  </si>
  <si>
    <t>Gateway Golf &amp; Country Club</t>
  </si>
  <si>
    <t>Hole-In-The-Wall</t>
  </si>
  <si>
    <t>Orchid Island Golf &amp; Beach Club, Inc.</t>
  </si>
  <si>
    <t>Royal Wood Golf &amp; CC</t>
  </si>
  <si>
    <t>Country Club at Woodfield</t>
  </si>
  <si>
    <t>Naples Sailing &amp; Yacht Club</t>
  </si>
  <si>
    <t>Boca West Country Club</t>
  </si>
  <si>
    <t xml:space="preserve">Delaire </t>
  </si>
  <si>
    <t>Hillsboro Club</t>
  </si>
  <si>
    <t>Isla del Sol Yacht &amp; CC</t>
  </si>
  <si>
    <t>Jonathan's Landing Golf Club</t>
  </si>
  <si>
    <t>Pelican Marsh G.C.</t>
  </si>
  <si>
    <t>St. Andrews Country Club</t>
  </si>
  <si>
    <t xml:space="preserve">                     -  </t>
  </si>
  <si>
    <t xml:space="preserve">Winter Park Racquet Club, Inc. </t>
  </si>
  <si>
    <t>Worthington Country Club</t>
  </si>
  <si>
    <t>The Beach Club</t>
  </si>
  <si>
    <t xml:space="preserve">Piper's Landing </t>
  </si>
  <si>
    <t>Boca Grove</t>
  </si>
  <si>
    <t>Turnberry Ocean Colony MA</t>
  </si>
  <si>
    <t>QUESTIONS</t>
  </si>
  <si>
    <t>FY18</t>
  </si>
  <si>
    <t>CLUB LIST</t>
  </si>
  <si>
    <t>x2 Y&amp;B</t>
  </si>
  <si>
    <t># Questionnaires</t>
  </si>
  <si>
    <t>changed to = PY</t>
  </si>
  <si>
    <t xml:space="preserve"> check PY - these were member - update PY for FME</t>
  </si>
  <si>
    <t>2018 (FULL)</t>
  </si>
  <si>
    <t>Operating Ass=Yes, but $0 chk</t>
  </si>
  <si>
    <t>Cap Ass=Yes, but $0 chk</t>
  </si>
  <si>
    <t>debt yes/no|$ chk</t>
  </si>
  <si>
    <t>Other Ass=Yes, but $0 chk</t>
  </si>
  <si>
    <t>18-check Rd</t>
  </si>
  <si>
    <t>Multi-check Rd</t>
  </si>
  <si>
    <r>
      <rPr>
        <b/>
        <sz val="10"/>
        <color rgb="FFFF0000"/>
        <rFont val="Arial"/>
        <family val="2"/>
      </rPr>
      <t>READ COMMENT</t>
    </r>
    <r>
      <rPr>
        <sz val="12"/>
        <color rgb="FF0000FF"/>
        <rFont val="Arial"/>
        <family val="2"/>
      </rPr>
      <t xml:space="preserve"> How are hourly staff compensated?  (0 - flat hrly / 1 - gratuity + per hr/ 2 - gratuity + guar rate)</t>
    </r>
  </si>
  <si>
    <t>State (exc YB)</t>
  </si>
  <si>
    <t>Gratuity + per hr</t>
  </si>
  <si>
    <t>Gratuity + guaranteed rate</t>
  </si>
  <si>
    <t>% Reno'g</t>
  </si>
  <si>
    <t>Southeast w/o Boca</t>
  </si>
  <si>
    <t>Total Liabilities</t>
  </si>
  <si>
    <t>Debt / Equity Ratio</t>
  </si>
  <si>
    <t>Boca Raton                                    Area</t>
  </si>
  <si>
    <t>Boca Raton                         Area</t>
  </si>
  <si>
    <t>Boca Raton               Area</t>
  </si>
  <si>
    <t>Boca Raton                Area</t>
  </si>
  <si>
    <t>Boca Raton            Area</t>
  </si>
  <si>
    <t>Boca Raton                       Area</t>
  </si>
  <si>
    <t>Boca Raton                   Area</t>
  </si>
  <si>
    <t>Boca Raton          Area</t>
  </si>
  <si>
    <t>Financial ratios</t>
  </si>
  <si>
    <t>Southwest                   w/o CIRAs</t>
  </si>
  <si>
    <t>Yacht &amp;                                          Beach</t>
  </si>
  <si>
    <t>Southeast                                      w/o Boca</t>
  </si>
  <si>
    <t>Florida                              Statewide</t>
  </si>
  <si>
    <t>Clubs with neither a gratuity or mandatory</t>
  </si>
  <si>
    <t>fixed service charge?</t>
  </si>
  <si>
    <t>Other capital/renovation/debt assessment?</t>
  </si>
  <si>
    <t>% of clubs incurring</t>
  </si>
  <si>
    <t>PPE(NBV) per FME</t>
  </si>
  <si>
    <t>Total ancilliary costs (non-payroll) ie housing, travel, visas</t>
  </si>
  <si>
    <t>Healthcare Costs</t>
  </si>
  <si>
    <t>% increase in health insurance costs</t>
  </si>
  <si>
    <r>
      <rPr>
        <b/>
        <sz val="10"/>
        <color rgb="FFFF0000"/>
        <rFont val="Arial"/>
        <family val="2"/>
      </rPr>
      <t>READ COMMENT</t>
    </r>
    <r>
      <rPr>
        <sz val="10"/>
        <color rgb="FF0000FF"/>
        <rFont val="Arial"/>
        <family val="2"/>
      </rPr>
      <t xml:space="preserve"> </t>
    </r>
    <r>
      <rPr>
        <sz val="12"/>
        <color rgb="FF0000FF"/>
        <rFont val="Arial"/>
        <family val="2"/>
      </rPr>
      <t># full service kitchens</t>
    </r>
  </si>
  <si>
    <t>1 kitchen</t>
  </si>
  <si>
    <t>2 kitchens</t>
  </si>
  <si>
    <t>3+ kitchens</t>
  </si>
  <si>
    <t>Number of kitchens</t>
  </si>
  <si>
    <t>TRENDS 2018 QUESTIONS &amp; NOTES</t>
  </si>
  <si>
    <t>+ WkCaps</t>
  </si>
  <si>
    <t>- WkCaps</t>
  </si>
  <si>
    <t>Working Capital Ratio (average of Clubs with positive ratio)</t>
  </si>
  <si>
    <t>Working Capital Ratio (average of Clubs with negative ratio)</t>
  </si>
  <si>
    <t>Working Capital Ratio (average of all Clubs)</t>
  </si>
  <si>
    <t>End N/A per FME</t>
  </si>
  <si>
    <t>Ending Net Assets per FME</t>
  </si>
  <si>
    <t>Boca Raton                          Area</t>
  </si>
  <si>
    <t>CHKSUM</t>
  </si>
  <si>
    <t>Club</t>
  </si>
  <si>
    <t>Fitness</t>
  </si>
  <si>
    <t>Tennis</t>
  </si>
  <si>
    <t>2019</t>
  </si>
  <si>
    <t>Full membership 2019</t>
  </si>
  <si>
    <t>The Polo Club of Boca Raton</t>
  </si>
  <si>
    <t>Admirals Cove</t>
  </si>
  <si>
    <t>The St. Andrews Club, Inc</t>
  </si>
  <si>
    <t xml:space="preserve">ADDISON RESERVE </t>
  </si>
  <si>
    <t>Banyan Golf Club of Palm Beach</t>
  </si>
  <si>
    <t>Cedar hammock</t>
  </si>
  <si>
    <t>Deering Bay Yacht and Country Club</t>
  </si>
  <si>
    <t xml:space="preserve">Old Marsh </t>
  </si>
  <si>
    <t>River Strand Golf and CC</t>
  </si>
  <si>
    <t xml:space="preserve">Tampa Yacht &amp; Country Club, Inc. </t>
  </si>
  <si>
    <t xml:space="preserve">                      -  </t>
  </si>
  <si>
    <t xml:space="preserve">                                 -  </t>
  </si>
  <si>
    <t xml:space="preserve">                                    -  </t>
  </si>
  <si>
    <t>FY19</t>
  </si>
  <si>
    <t>The Club Pelican Bay</t>
  </si>
  <si>
    <t>NEW 2019</t>
  </si>
  <si>
    <t>Boca West</t>
  </si>
  <si>
    <t>provide # of rounds of golf</t>
  </si>
  <si>
    <t>Bocaire</t>
  </si>
  <si>
    <t>THIS YEAR</t>
  </si>
  <si>
    <t>LAST YR</t>
  </si>
  <si>
    <t>HOLES</t>
  </si>
  <si>
    <t>ACRE</t>
  </si>
  <si>
    <t>ROUND</t>
  </si>
  <si>
    <t>Foxfire CA</t>
  </si>
  <si>
    <t>Grey Oaks Country Club</t>
  </si>
  <si>
    <t>Pelican's Nest GC</t>
  </si>
  <si>
    <t>Royal Poinciana GC</t>
  </si>
  <si>
    <t>The Club at Admirals cove</t>
  </si>
  <si>
    <t>Wycliffe Golf &amp; Country Club</t>
  </si>
  <si>
    <t>YEAR BEFORE LAST</t>
  </si>
  <si>
    <t>Countryside MA</t>
  </si>
  <si>
    <t>Cypress Lake C.C.</t>
  </si>
  <si>
    <t>Gulf Harbour G&amp;CC</t>
  </si>
  <si>
    <t>Gulf Stream GC</t>
  </si>
  <si>
    <t>Jupiter Island</t>
  </si>
  <si>
    <t>Kensington G&amp;CC</t>
  </si>
  <si>
    <t>Lexington CA</t>
  </si>
  <si>
    <t>Collier's Reserve CC</t>
  </si>
  <si>
    <t>Naples National GC</t>
  </si>
  <si>
    <t>Olde Hickory G &amp; CCMA</t>
  </si>
  <si>
    <t>Pine Tree</t>
  </si>
  <si>
    <t>Stoneybrook G&amp;CC</t>
  </si>
  <si>
    <t>Royal Wood M.A</t>
  </si>
  <si>
    <t>Deering Bay Yatch and Country Club</t>
  </si>
  <si>
    <t>PY RENO</t>
  </si>
  <si>
    <t>BK WLIL MAKE THESE SALY</t>
  </si>
  <si>
    <t>CY DIFFS TO YEAR BEFORE LAST</t>
  </si>
  <si>
    <t>CY DIFFS TO LAST YR</t>
  </si>
  <si>
    <t>GOLF</t>
  </si>
  <si>
    <t>x2 YB</t>
  </si>
  <si>
    <t>X2 YB</t>
  </si>
  <si>
    <t>doesn't track covers</t>
  </si>
  <si>
    <t>doesn't track covers/functions</t>
  </si>
  <si>
    <t>no proshop</t>
  </si>
  <si>
    <t>2017 GOLF RENO</t>
  </si>
  <si>
    <t>saly - no Ops $</t>
  </si>
  <si>
    <t>doesn't dep PP&amp;E</t>
  </si>
  <si>
    <t>remove golf, too small, skews #</t>
  </si>
  <si>
    <t>Rest &amp; Golf Out</t>
  </si>
  <si>
    <t>New 2019</t>
  </si>
  <si>
    <t>Gulf Stream</t>
  </si>
  <si>
    <t>Provide Total employees in season</t>
  </si>
  <si>
    <t>Operating Assessment = Yes and Amt per Member listed, but Total Operating Assessment for the year = $0</t>
  </si>
  <si>
    <t>Operating Assessment = No and Amt per Member = $0, but Total Operating Assessment for the year = $474k</t>
  </si>
  <si>
    <t>Other cap/ reno/ debt ass'mt? = Yes, but Amt per member = $0</t>
  </si>
  <si>
    <t>Pro-shop Sales $0 but has Pro Shop COS</t>
  </si>
  <si>
    <t>Pro-shop Sales $$ but has Pro Shop COS =$0</t>
  </si>
  <si>
    <t>Debt = Yes, but Debt Amt = $0</t>
  </si>
  <si>
    <t>Av % inc Menu Price - answer given was "base on mkt" - need an answer in %</t>
  </si>
  <si>
    <t>check acres and rounds (see included info)</t>
  </si>
  <si>
    <t>Loblolly – no menu price increases.</t>
  </si>
  <si>
    <t>Gulf Stream Golf Club – 70 employees</t>
  </si>
  <si>
    <t>Key Biscayne YC – should be no for debt</t>
  </si>
  <si>
    <t>Key Largo Anglers Club should be No for operating assessment.</t>
  </si>
  <si>
    <t>Boca West golf rounds = 102,999 Bocaire: Ending net assets = 13,735,536</t>
  </si>
  <si>
    <t>Jonathan’s Landing   - there was no operating assessment please change to no and remove the amount.</t>
  </si>
  <si>
    <t>Old Marsh – no operating assessment. Please change to no and remove the amount.</t>
  </si>
  <si>
    <t>Sailfish Point Golf Club – both COS and sales should be $0</t>
  </si>
  <si>
    <t>The Ocean Club Key Biscayne  – dues rates should be AY $9,744 and CY $10,220</t>
  </si>
  <si>
    <t>Gleneagles Boca – joining fee should be $40,000 (all non-refundable), instead of 67,500</t>
  </si>
  <si>
    <t>Colonial CC – SW CIRA – member count should be 711 full and 988 other for a total of 1,699</t>
  </si>
  <si>
    <t>River Strand – can we exclude their joining fee from the calculations – its so low its pulling down the average.</t>
  </si>
  <si>
    <t>River Strand – they have 27 holes, not 18.</t>
  </si>
  <si>
    <t>As per earlier email – use same golf course acreage at prior year for all clubs.</t>
  </si>
  <si>
    <t>Lost Tree joining fees should be $35,000 refundable and $173,800 non-refundable.</t>
  </si>
  <si>
    <t>Bay Colony Golf Club – no operating assessment and no other/cap/reno assessment.</t>
  </si>
  <si>
    <t>Bears Paw – no operating assessment</t>
  </si>
  <si>
    <t>Club at Mediterra – no operating assessment</t>
  </si>
  <si>
    <t>Naples National Golf Club – no operating assessment</t>
  </si>
  <si>
    <t>Please change these all to zero and remove amounts shown as an operating assessment amount. I think they were all hurricane related – we exclude all hurricane stuff from operating revenue and expenses as its not (hopefully!!) a recurring charge.</t>
  </si>
  <si>
    <t>Naples Sailing and Yacht Club – please move $16,936 out of other and into Pro Shop Sales.</t>
  </si>
  <si>
    <t>Bay Colony CA – please move $1,118,178 out of pro shop sales and into operating expenses.</t>
  </si>
  <si>
    <t>St. Andrews – Delray – joining fees should be 35k refundable and 25k nonrefundable (we have them the other way around at present).</t>
  </si>
  <si>
    <t>Ocean Club Key Biscayne – doesn’t have a regular capital assessment. The amount shown in that cell (3,472) should be moved to the other cap/reno/debt assessment cell.</t>
  </si>
  <si>
    <t>The Club at Ibis – should have an ongoing capital assessment amount of $1,908.</t>
  </si>
  <si>
    <t>Sailfish Point Golf Club – please change the amount listed as cost of sales pre shop to $0 and add $480,279 to operating expenses.</t>
  </si>
  <si>
    <t>Pipers Landing – please remove the operating assessment amount of $474,297 as well as the initiation fee amount of $270,000. Both these are not operating revenue.</t>
  </si>
  <si>
    <t>High Ridge – please change regular capital assessment to $4,800; change other/cap/reno/debt assessment to $2,400.</t>
  </si>
  <si>
    <t>PHIL RESPONSES 4/1</t>
  </si>
  <si>
    <t>Provide Ending liabilites</t>
  </si>
  <si>
    <t>Provide Ending EQUITY</t>
  </si>
  <si>
    <t>TRENDS QUESTIONS 4/2/19</t>
  </si>
  <si>
    <t xml:space="preserve">The Club at Ibis </t>
  </si>
  <si>
    <t>should have an ongoing capital assessment amount of $1,908.  OK = $0 FOR OTHER? (WAS $309 IN PY)</t>
  </si>
  <si>
    <t>The following clubs should all be marked as mandatory membership:</t>
  </si>
  <si>
    <t>SW Non-CIRA</t>
  </si>
  <si>
    <t>Bears Paw</t>
  </si>
  <si>
    <t>Estero</t>
  </si>
  <si>
    <t>Grey Oaks</t>
  </si>
  <si>
    <t>Wildcat Run</t>
  </si>
  <si>
    <t>In Y&amp;B, The Beach Club should NOT be mandatory membership.</t>
  </si>
  <si>
    <t>SE without Boca – Admirals Cove: regular annual assessment should be $2,076; Other cap/reno/debt assessment should be $3,528</t>
  </si>
  <si>
    <t>SW CIRA – Stonebridge operating assessment per member should be $30, not $5,986.</t>
  </si>
  <si>
    <t>SW non-CIRA  - Quail Creek; regular annual assessment should be $2,280. Other cap/reno should be $1,560.</t>
  </si>
  <si>
    <t>SW CIRA – please make Heritage Bay dues CY = $4,284. Dues AY = $4,146</t>
  </si>
  <si>
    <t>SW CIRA – Hideaway Beach: there is no other/cap/reno debt assessment – please remove the $2,000.</t>
  </si>
  <si>
    <t>Please check the Pro Shop Cost of Sales table in Golf Shop Operations – some items are not calculating.</t>
  </si>
  <si>
    <t>FROM PHIL 4/2</t>
  </si>
  <si>
    <t>IT WON'T UNTIL I GET REST OF ANSWERS RE PRO SHOP SALES/COS</t>
  </si>
  <si>
    <t>On the table below – the 2018 dues amounts aren’t the same in the top line as they are in the bottom</t>
  </si>
  <si>
    <t>Y&amp;B Clubs: Tampa Y&amp;CC – ending net assets should be $11,742,847.</t>
  </si>
  <si>
    <t>Y&amp;B – Hillsboro Club – we don’t use their data beyond column BY – Capex Per FME (looking at the In Rows tab) – their operations are way different. Please remove the additional data.</t>
  </si>
  <si>
    <t>GCM – Costs Statewide Trend Chart – 18 hole courses – the graph from 2013 – 2018 – last year shown says 2017, should be 2018 and it should total to $95,200, not $95,000</t>
  </si>
  <si>
    <t>North and Central – River Strand – AY dues should be $2,605; CY dues should be $2,718. Regular annual capital assessment should be $515.</t>
  </si>
  <si>
    <t>Some of the changes above may well help correct. Last year we reported $8,280 and this year its currently $14,380…the members in those communities would never stand for that!</t>
  </si>
  <si>
    <t xml:space="preserve">can you also please check how the total cost is calculating for the SW CIRA’s? Its much higher than last year or than it should be. </t>
  </si>
  <si>
    <t>REMOVE OPS</t>
  </si>
  <si>
    <t>FIXED - HADN'T RENAMED THE LAST COL 2018 - DATA WAS ACCURATE THOUGH… FIXED TOTAL - HAD MISSED ONE OF MY SPOT CHECKS THIS AM :)</t>
  </si>
  <si>
    <t xml:space="preserve">LOOKS LIKE THE CHANGES RESOLVED IT FOR MOST PART - 8230 NOW, INFO BELOW IT TAKES THE TOTAL OF VARIOUS AVERAGES AND REMEMBER NOT ALL AVERAGES HAVE THE SAME DENOMINATOR </t>
  </si>
  <si>
    <t xml:space="preserve">THANK YOU. GOT IT.  THIS WAS PY DATA.  WE HARD CODED IT PY TO MATCH, I HAD NOT UPDATED.  I JUST MADE IT MATCH - SEE FORMULA TO LEFT TO SEE WHAT THE Q'AIRES SAID.  </t>
  </si>
  <si>
    <t>THIS HAPPENS WHEN THE Q/AIRE FROM PY &amp; CY AREN'T CONSISTENT IE TRENDS 2018 CY DUES SHOULD MATCH TRENDS 2019 AY DUES, BUT IT DOESN'T, THOUGH THIS YR IS V CLOSE</t>
  </si>
  <si>
    <t>OUTSTANDING Q</t>
  </si>
  <si>
    <t>FROM PHIL APR 3</t>
  </si>
  <si>
    <t>Broken Sound: Pro Shop Sales should be $580,012.  Please remove that amount from golf revenues. Pro Ship expenses should be $485,950. Please remove that amount from other operating expenses</t>
  </si>
  <si>
    <t>St. Andrews Delray – looks like we usually exclude all their operational data – nothing used after column ED.</t>
  </si>
  <si>
    <t>Ibis – Salaries and Wages in F&amp;B should be 5,861,297. This leads to a net loss of -65.3%</t>
  </si>
  <si>
    <t>Quail Creek Country Club – please make F&amp;B Salaries and Wages $1,791,898 – it was excluded totally.</t>
  </si>
  <si>
    <t>Please remove all F&amp;B data for Royal Wood (SW CIRA).</t>
  </si>
  <si>
    <t>Legends - -SW CIRA. There is 0.18 in the service charge cell AP 147. I think this is causing it to report that 5% of CIRA’s have both Min and Svc. Chg – I lined them all up and it should be 0%.</t>
  </si>
  <si>
    <t>Alexa has sent the Vero Beach template to you – sorry, it fell down the back of a couch in the West Palm office…</t>
  </si>
  <si>
    <t xml:space="preserve">Deering Bay </t>
  </si>
  <si>
    <t>yes! I made my notes, then forgot to remove!</t>
  </si>
  <si>
    <r>
      <t>Provide Ending liabilities </t>
    </r>
    <r>
      <rPr>
        <strike/>
        <sz val="10"/>
        <color rgb="FFFF0000"/>
        <rFont val="Calibri"/>
        <family val="2"/>
        <scheme val="minor"/>
      </rPr>
      <t>$6,820,397</t>
    </r>
  </si>
  <si>
    <t>FIXED THAT, WHICH THEN NEEDS TO FIX WHERE IT /12 TO GET MTH WHICH DRIVES THE 5% R - Fixed (NOTE: THE 18% AUTO GRATUITY STAYS)</t>
  </si>
  <si>
    <t>NOTE THE Q BELOW IT IN THE CHART HAS BIG SWING PY 3/16 (CEDAR, GLEN EAGLE AND ROYAL - YES REMOVED INFO, BUT IT'S STILL REPRESENTING HERE)… THIS YEAR ONLY 1/19 - Glen eagle</t>
  </si>
  <si>
    <r>
      <t>Operating Assessment = Yes and Amt per Member listed, but Total Operating Assessment for the year = $0 </t>
    </r>
    <r>
      <rPr>
        <strike/>
        <sz val="10"/>
        <color rgb="FFFF0000"/>
        <rFont val="Calibri"/>
        <family val="2"/>
        <scheme val="minor"/>
      </rPr>
      <t>There was no operating assessment. Please remove the amount.</t>
    </r>
  </si>
  <si>
    <r>
      <t>Operating Assessment = Yes and Amt per Member listed, but Total Operating Assessment for the year = $0 </t>
    </r>
    <r>
      <rPr>
        <strike/>
        <sz val="10"/>
        <color rgb="FFFF0000"/>
        <rFont val="Calibri"/>
        <family val="2"/>
        <scheme val="minor"/>
      </rPr>
      <t>The amount is included in dues revenue as that is how it was billed.</t>
    </r>
  </si>
  <si>
    <t xml:space="preserve">  REMOVED THEN</t>
  </si>
  <si>
    <r>
      <t>Operating Assessment = Yes and Amt per Member listed, but Total Operating Assessment for the year = $0 </t>
    </r>
    <r>
      <rPr>
        <strike/>
        <sz val="10"/>
        <color rgb="FFFF0000"/>
        <rFont val="Calibri"/>
        <family val="2"/>
        <scheme val="minor"/>
      </rPr>
      <t>The amount is included in dues revenue as that’s how it was billed.</t>
    </r>
  </si>
  <si>
    <r>
      <t>Pro-shop Sales $$ but has Pro Shop COS =$0 </t>
    </r>
    <r>
      <rPr>
        <strike/>
        <sz val="10"/>
        <color rgb="FFFF0000"/>
        <rFont val="Calibri"/>
        <family val="2"/>
        <scheme val="minor"/>
      </rPr>
      <t>please remove the pro shop sales amount and add it to golf revenues.</t>
    </r>
  </si>
  <si>
    <r>
      <t>Pro-shop Sales $0 but has Pro Shop COS </t>
    </r>
    <r>
      <rPr>
        <strike/>
        <sz val="10"/>
        <color rgb="FFFF0000"/>
        <rFont val="Calibri"/>
        <family val="2"/>
        <scheme val="minor"/>
      </rPr>
      <t>Pro Shop Sales should be $1,196,504. Tennis revenue should be 101,457. All other should be $6,174,029.</t>
    </r>
  </si>
  <si>
    <r>
      <t>Pro-shop Sales $0 but has Pro Shop COS </t>
    </r>
    <r>
      <rPr>
        <strike/>
        <sz val="10"/>
        <color rgb="FFFF0000"/>
        <rFont val="Calibri"/>
        <family val="2"/>
        <scheme val="minor"/>
      </rPr>
      <t>This was my response - </t>
    </r>
    <r>
      <rPr>
        <strike/>
        <sz val="10"/>
        <color rgb="FF212121"/>
        <rFont val="Calibri"/>
        <family val="2"/>
        <scheme val="minor"/>
      </rPr>
      <t>Bay Colony CA – please move $1,118,178 out of pro shop sales </t>
    </r>
    <r>
      <rPr>
        <strike/>
        <sz val="10"/>
        <color rgb="FFFF0000"/>
        <rFont val="Calibri"/>
        <family val="2"/>
        <scheme val="minor"/>
      </rPr>
      <t>(I should have said Pro Shop COS)</t>
    </r>
    <r>
      <rPr>
        <strike/>
        <sz val="10"/>
        <color rgb="FF212121"/>
        <rFont val="Calibri"/>
        <family val="2"/>
        <scheme val="minor"/>
      </rPr>
      <t> and into operating expenses.</t>
    </r>
  </si>
  <si>
    <t>I didn't get answer… I just took out salys</t>
  </si>
  <si>
    <t>I've assumed SALY 1/$309</t>
  </si>
  <si>
    <t>SW CIRA  - RE RED ABOVE - Clubs with neither a gratuity or mandatory fixed serv charge  CY=5% v PY 16%</t>
  </si>
  <si>
    <t>UPDATED LIST OF FOLLOW UP Q/COMMENTS   APR 4</t>
  </si>
  <si>
    <t>PHIL COMMENTS APR 4</t>
  </si>
  <si>
    <t>Vero Beach Country Club – maintained acres should be 95 (not 24,647)</t>
  </si>
  <si>
    <t>North and Central – let’s omit Isla Del Sol and Stoneybrook from the entrance fee calculations please.</t>
  </si>
  <si>
    <t>Fiddlesticks – does not have an annual fixed service charge amount. Salaries and wages should be $1,198,491 and there should be 0 in the 20% credit column.</t>
  </si>
  <si>
    <t>Naples national – does not have an annual fixed service charge amount. S&amp;W should be 505,576 and there should be 0 in the 20% credit column.</t>
  </si>
  <si>
    <t>Fiddlesticks – joining fee should be $50,000 with $1 refundable.</t>
  </si>
  <si>
    <t>OK - Q - AQ = 0</t>
  </si>
  <si>
    <r>
      <t>Hammock Dunes - </t>
    </r>
    <r>
      <rPr>
        <strike/>
        <sz val="11"/>
        <color rgb="FF212121"/>
        <rFont val="Calibri"/>
        <family val="2"/>
      </rPr>
      <t>The joining fee should be $37,500</t>
    </r>
    <r>
      <rPr>
        <strike/>
        <sz val="11"/>
        <color rgb="FF1F497D"/>
        <rFont val="Calibri"/>
        <family val="2"/>
      </rPr>
      <t>.</t>
    </r>
    <r>
      <rPr>
        <strike/>
        <sz val="11"/>
        <color rgb="FF212121"/>
        <rFont val="Calibri"/>
        <family val="2"/>
      </rPr>
      <t> 100% nonrefundable (not $30,000</t>
    </r>
    <r>
      <rPr>
        <strike/>
        <sz val="11"/>
        <color rgb="FF1F497D"/>
        <rFont val="Calibri"/>
        <family val="2"/>
      </rPr>
      <t>).</t>
    </r>
  </si>
  <si>
    <t>f&amp;b Min Highest - Ann Amt</t>
  </si>
  <si>
    <t>LAST YEAR</t>
  </si>
  <si>
    <r>
      <t xml:space="preserve">Can you please review total cost of membership in Boca?    </t>
    </r>
    <r>
      <rPr>
        <b/>
        <sz val="11"/>
        <color rgb="FFFF0000"/>
        <rFont val="Times New Roman"/>
        <family val="1"/>
      </rPr>
      <t>NO DELAIRE OP ASSESSMENT IN CY - SEE BELOW/EMAIL</t>
    </r>
  </si>
  <si>
    <t>MADE DUES SALY</t>
  </si>
  <si>
    <t>On the Boca total cost number, we will leave it as is.</t>
  </si>
  <si>
    <t>Yacht and Beach Clubs  - Beach Club – other/reno assessment, should be $4,000, not $10,750.</t>
  </si>
  <si>
    <t>North and Central – can we exclude River Strand from the ending net assets per FME calculation please?</t>
  </si>
  <si>
    <t>Ocean Club of Key Biscayne – ending net assets should be 14,604,754.</t>
  </si>
  <si>
    <t>SW CIRA – Glen Eagle – Cost of beverage sales should be $134,906 (not $0).</t>
  </si>
  <si>
    <t>Winter Park Racquet Club –</t>
  </si>
  <si>
    <t>Food COS $501,573</t>
  </si>
  <si>
    <t>Bev COS $152,250</t>
  </si>
  <si>
    <t>Combined COS $653,823</t>
  </si>
  <si>
    <t>Plantation golf and CC – north and central – cost of food sold should be 644,108; cost of bev sold should be 180,762</t>
  </si>
  <si>
    <t>Johns Island – Beverage Cost of Sales should be $856,763</t>
  </si>
  <si>
    <t>PHIL COMMENTS APR 8</t>
  </si>
  <si>
    <t>LEGENDS - CHANGE ABOVE CREATES ISSUE, SINCE THERE IS A 20% s&amp;w CREDIT.  Netted against S&amp;W cost</t>
  </si>
  <si>
    <t>TRENDS 2019 - END N/A /FME</t>
  </si>
  <si>
    <t>LINKED THIS CELL TO IH ROW… IN ROWS TAB</t>
  </si>
  <si>
    <t xml:space="preserve">&lt;&lt;DOUBLE CLICK HERE TO TAKE YOU THERE </t>
  </si>
  <si>
    <t>&lt;&lt;&lt; -----------------</t>
  </si>
  <si>
    <t>DONE - DEDUCTED FROM FOOD COS TO KEEP MGNS CONSISTENT WITH PY</t>
  </si>
  <si>
    <t>Some tidy up comments from the cold reads today:</t>
  </si>
  <si>
    <t>Executive Summary –</t>
  </si>
  <si>
    <t>Full membership % that had a dues increase – doesn’t agree with the chart in the back. I think the chart is wrong.</t>
  </si>
  <si>
    <t>Capital Expenditure Pie Graphs – N&amp;C and Y&amp;B don’t add up to 100%</t>
  </si>
  <si>
    <t>GCM costs Statewide Trend: 18 hole courses starts with 2013 year; multiple courses starts with 2014. Can we make them 2014 so it’s a 5 year Trend?</t>
  </si>
  <si>
    <t>PHIL  TUES APR 9TH</t>
  </si>
  <si>
    <t>FIXED - REMOVED FROM CLUB (LARGEST %)</t>
  </si>
  <si>
    <t>FIXED</t>
  </si>
  <si>
    <t>lease also input the following covers information for Delray Dunes:</t>
  </si>
  <si>
    <t>47,592 total, 463 function</t>
  </si>
  <si>
    <t>added</t>
  </si>
  <si>
    <t>FIXED - ROW IN CHART WAS PASTE VALUE PY INSTEAD OF FORMULA</t>
  </si>
  <si>
    <t>PHIL  WED APR 10TH</t>
  </si>
  <si>
    <t>SW CIRA:</t>
  </si>
  <si>
    <r>
      <t>Glen Eagle</t>
    </r>
    <r>
      <rPr>
        <b/>
        <sz val="11"/>
        <color rgb="FF212121"/>
        <rFont val="Calibri"/>
        <family val="2"/>
      </rPr>
      <t> </t>
    </r>
    <r>
      <rPr>
        <sz val="11"/>
        <color rgb="FF212121"/>
        <rFont val="Calibri"/>
        <family val="2"/>
      </rPr>
      <t>– covers in the prior year was 76,398. They don’t track by function</t>
    </r>
  </si>
  <si>
    <r>
      <t>Cedar Hammock</t>
    </r>
    <r>
      <rPr>
        <sz val="11"/>
        <color rgb="FF212121"/>
        <rFont val="Calibri"/>
        <family val="2"/>
      </rPr>
      <t> – current year covers should be 24,804; PY should be 23,400</t>
    </r>
  </si>
  <si>
    <t>SE Non Boca:</t>
  </si>
  <si>
    <t>Admirals Cove:</t>
  </si>
  <si>
    <t>Of the total covers they reported, the following were function covers:</t>
  </si>
  <si>
    <t>2018 – 39,200; 2017 – 34,420</t>
  </si>
  <si>
    <t>Frenchmans Crek</t>
  </si>
  <si>
    <t>py done</t>
  </si>
  <si>
    <t>PY was</t>
  </si>
  <si>
    <t>PY new</t>
  </si>
  <si>
    <t>SE Exc BOCA</t>
  </si>
  <si>
    <t>Functions</t>
  </si>
  <si>
    <t>Total Covers</t>
  </si>
  <si>
    <t>Restaurant</t>
  </si>
  <si>
    <t>Trends 2018</t>
  </si>
  <si>
    <t>cy done</t>
  </si>
  <si>
    <t>done in both</t>
  </si>
  <si>
    <t>2020</t>
  </si>
  <si>
    <t>Full membership 2020</t>
  </si>
  <si>
    <t>Ibis Golf  &amp;CC</t>
  </si>
  <si>
    <t>Jupiter Island Club Inc.</t>
  </si>
  <si>
    <t>Lost Tree Club, Inc.</t>
  </si>
  <si>
    <t>Mirasol Club &amp; Association, Inc.</t>
  </si>
  <si>
    <t>Orchid Island Golf and Beach Club</t>
  </si>
  <si>
    <t xml:space="preserve">Pipers Landing </t>
  </si>
  <si>
    <t>ROYAL PALM YACHT &amp;CC</t>
  </si>
  <si>
    <t>Ocean Club Key Biscayne</t>
  </si>
  <si>
    <t>Wildcat Run CCA</t>
  </si>
  <si>
    <t>0</t>
  </si>
  <si>
    <t>Club does not track</t>
  </si>
  <si>
    <t xml:space="preserve">No Banquet activity </t>
  </si>
  <si>
    <t>Little Club Inc.</t>
  </si>
  <si>
    <t>FY20</t>
  </si>
  <si>
    <t>Debt = Yes but Amount = $0</t>
  </si>
  <si>
    <t>fix</t>
  </si>
  <si>
    <t>Y</t>
  </si>
  <si>
    <t>Fort Lauderdale Country Club, Inc.</t>
  </si>
  <si>
    <t>OVERWRITTEN DUE TO CHANGE IN CLUBS IN REGION (USING ROW 106 INSTEAD)</t>
  </si>
  <si>
    <t>PLEASE CONFIRM I NEED TO FOLLOW SALY FOR THE LIST BELOW</t>
  </si>
  <si>
    <t>MISSING DATA</t>
  </si>
  <si>
    <t>INCONSISTENT DATA</t>
  </si>
  <si>
    <t>PER PHIL 4/2</t>
  </si>
  <si>
    <t>Worthington - cost of membership is all nonrefundable. SW CIRA should all be 0% refundable</t>
  </si>
  <si>
    <t>Is routine capital improvements/depreciation expense cumulative from 2011 0r 2013? It should be from 2011 please.</t>
  </si>
  <si>
    <t>BOCA: Royal Palm is currently in there twice. I think is is affecting a number of the calculations such as total membership level.</t>
  </si>
  <si>
    <t>North and central: Tampa YC is in there twice as is Isla.</t>
  </si>
  <si>
    <t>N&amp;C: Since we don't have River Strand or Turtle Club this year, is that what is driving the drop in total members? If so, we need to look at changing PY numbers to remove them.</t>
  </si>
  <si>
    <t>SW CIRA and Y&amp;B: Hideaway Beach and Landings YGT missing from Y&amp;B and in CIRA twice</t>
  </si>
  <si>
    <t>FIXED - WHEN I DUPLICATED AND REMOVED GOLF I FORGOT TO CHANGE AREA TO Y&amp;B !!!</t>
  </si>
  <si>
    <t>CHANGED TO 2011</t>
  </si>
  <si>
    <t>CHANGED BOTH AND ADDED ANOTHER CHECK SUM TO THE EXEC SUMMARY SHEET</t>
  </si>
  <si>
    <t>AS ISSUED</t>
  </si>
  <si>
    <t xml:space="preserve">WITH </t>
  </si>
  <si>
    <t>MISSING CLUBS</t>
  </si>
  <si>
    <t>REMOVED</t>
  </si>
  <si>
    <t>&lt;&lt; DUPLICATE ENTRY FIXED</t>
  </si>
  <si>
    <t>SEE BELOW</t>
  </si>
  <si>
    <t>Move to operating costs - DONE</t>
  </si>
  <si>
    <t>SHOULD BE NO - FIXED</t>
  </si>
  <si>
    <t>SHOULD BE 1 NOT ZERO - FIXED</t>
  </si>
  <si>
    <t>TRENDS 2020 QUESTIONS &amp; NOTES</t>
  </si>
  <si>
    <t>FIXED - MOVED TO OP'G</t>
  </si>
  <si>
    <t>fixed</t>
  </si>
  <si>
    <t>VERO _ updated</t>
  </si>
  <si>
    <t>Bay Colony Golf Club is a mandatory membership club</t>
  </si>
  <si>
    <t>Bears Paw is a mandatory membership club</t>
  </si>
  <si>
    <t>Estero is a mandatory membership club</t>
  </si>
  <si>
    <t>Grey Oaks is a mandatory membership club</t>
  </si>
  <si>
    <t>Wildcat Run is a mandatory membership club</t>
  </si>
  <si>
    <t>Can we please rename Mediterra to Club at Mediterra, as in PY?</t>
  </si>
  <si>
    <t>Forest Glen: CY dues should be 5,590; AY 5,802; Capital assessment should be 661</t>
  </si>
  <si>
    <t>SW CIRA - Stonebridge did NOT have an operating assessment so it should be zero and $0.</t>
  </si>
  <si>
    <t>PER PHIL 4/6</t>
  </si>
  <si>
    <t>landings YGT: COS pro shop should be 132,029. Operating expenses should be 3,986,808. Insurance should be 394,054. Total expenses should be 9,238,639.</t>
  </si>
  <si>
    <t>Can we rename Club Pelican Bay to The Club Pelican Bay as in PY?</t>
  </si>
  <si>
    <t xml:space="preserve">PY REQUEST - LET ME KNOW IF NEED SIMILAR IN CY - I HAVE RESET TO INCLUDE ALL </t>
  </si>
  <si>
    <t>NO QAIRE FOR RIVER STRAND THIS YEAR</t>
  </si>
  <si>
    <t xml:space="preserve">Vero Beach - </t>
  </si>
  <si>
    <t>updated</t>
  </si>
  <si>
    <t>Fiddlesticks should be $1 refundable and $49,999 non-refundable for cost of membership.</t>
  </si>
  <si>
    <t>Stonebridge (SW CIRA) dues CY should be $6,598. Operating assessment? Should be 0 and 5,986 should be 0.</t>
  </si>
  <si>
    <t>Bay Colony CA – please move 5,961 from COS pro shop cost of sales to operating expenses.</t>
  </si>
  <si>
    <t>Royal Wood – please make golf revenue 959,764 and make golf pro shop sales 12,418.</t>
  </si>
  <si>
    <t>Broken Sound – Golf pro shop sales should be $546,479 and golf revenue should be $2,272,020.  The Club did not have an operating assessment.</t>
  </si>
  <si>
    <t>Sailfish Point Golf Club – the Pro Shop COS should be added to operating expenses as its not pro shop costs.</t>
  </si>
  <si>
    <t>Key Largo Anglers Club – let’s not include their other cap/reno assessment of $35k as it really skews the rest of those results.</t>
  </si>
  <si>
    <t>Lexington capital assessment – should be 0 and not 1.</t>
  </si>
  <si>
    <t>Forest Glen – CY dues should be 5,463. AY dues should be 5,590</t>
  </si>
  <si>
    <t>Bay Colony GC should be mandatory membership (MM)</t>
  </si>
  <si>
    <t>Bears Paw should be MM</t>
  </si>
  <si>
    <t>Estero should be MM</t>
  </si>
  <si>
    <t>Grey Oaks should be MM</t>
  </si>
  <si>
    <t>Mediterra should be MM</t>
  </si>
  <si>
    <t>Wildcat Run should be MM</t>
  </si>
  <si>
    <t>Fort Lauderdale CC is not MM</t>
  </si>
  <si>
    <t>Colonial CC Full members  = 711, other 998</t>
  </si>
  <si>
    <t>Landings YGT full members =  1157; other = 0</t>
  </si>
  <si>
    <t>Heritage Bay other/cap/reno should be $860.</t>
  </si>
  <si>
    <t>NORTH &amp; CENTRAL</t>
  </si>
  <si>
    <t>ISLA - It looks like last year we omitted entrance fees and all dues data – its included this year so should be removed.</t>
  </si>
  <si>
    <t>Stoneybrook – same as ISLA</t>
  </si>
  <si>
    <t>Timber Pines – looks like we excluded joining fees data. It should also be removed again this year please.</t>
  </si>
  <si>
    <t>Hammock Dunes – joining fees should be 37,500, all non-refundable.</t>
  </si>
  <si>
    <t>St. Andrews Del Ray : Joining fees should be 40 ref and 40 non ref.</t>
  </si>
  <si>
    <t>Key Largo anglers club should be 70k ref and 40 non ref.</t>
  </si>
  <si>
    <t>Golf course acres – please make them all the same as last year for everyone. I think I made that executive decision last year rather than chase a number that no one really knows! Thanks.</t>
  </si>
  <si>
    <t>Delray Dunes – joining fees should be 0 ref. and 35 non-ref.</t>
  </si>
  <si>
    <t>Fort Lauderdale CC – joining fees should be 5,100 ref and 9,900 non.</t>
  </si>
  <si>
    <t>St. Andrews CC (Boca) – joining fees should be 20k ref. and 130k non.</t>
  </si>
  <si>
    <t>Banyan joining fees should be 0 ref. 25k non.</t>
  </si>
  <si>
    <t>Lost Tree joining fees should be 72,600 refundable and 136,200 non</t>
  </si>
  <si>
    <t>Lexington – capital assessment should be $52. Other cap/reno assessment should be $464.</t>
  </si>
  <si>
    <t>John’s Island: Third party debt = $1,318,000</t>
  </si>
  <si>
    <t>Royal Palm – joining fee should be $125k, all non-refundable.</t>
  </si>
  <si>
    <t>SEMINOLE missing data:</t>
  </si>
  <si>
    <t>Johns Island expenses should be like this:</t>
  </si>
  <si>
    <t>PER PHIL 4/6… THE ONE I MISSED</t>
  </si>
  <si>
    <t>ABOVE  -DONE</t>
  </si>
  <si>
    <t>due fixed / op ass - above DONE</t>
  </si>
  <si>
    <t>above - done</t>
  </si>
  <si>
    <t>fixed both</t>
  </si>
  <si>
    <t>DONE - REMOVED FROM NC &amp; YB</t>
  </si>
  <si>
    <t>Remove Cost of m/ship</t>
  </si>
  <si>
    <t>Remove Cost of m/ship  X2 YB</t>
  </si>
  <si>
    <t xml:space="preserve">DONE </t>
  </si>
  <si>
    <t>DONE</t>
  </si>
  <si>
    <t>DONE - BUT WHERE IS GREEN COMING FROM… I'M SHOWING LOWER (490) - CAPEX AMT $157K (SEE ABOVE)</t>
  </si>
  <si>
    <r>
      <t>If </t>
    </r>
    <r>
      <rPr>
        <b/>
        <strike/>
        <sz val="9"/>
        <rFont val="Calibri"/>
        <family val="2"/>
        <scheme val="minor"/>
      </rPr>
      <t>YES</t>
    </r>
    <r>
      <rPr>
        <strike/>
        <sz val="9"/>
        <rFont val="Calibri"/>
        <family val="2"/>
        <scheme val="minor"/>
      </rPr>
      <t>, total Third Party Debt (current and long-term, including lines of credit and capital leases) Leave blank if no</t>
    </r>
  </si>
  <si>
    <r>
      <t>Capital additions budgeted for </t>
    </r>
    <r>
      <rPr>
        <b/>
        <strike/>
        <sz val="10"/>
        <color rgb="FFFF0000"/>
        <rFont val="Calibri"/>
        <family val="2"/>
        <scheme val="minor"/>
      </rPr>
      <t>Seminole</t>
    </r>
    <r>
      <rPr>
        <strike/>
        <sz val="10"/>
        <color rgb="FF1F497D"/>
        <rFont val="Calibri"/>
        <family val="2"/>
        <scheme val="minor"/>
      </rPr>
      <t> golf club for 2020 is </t>
    </r>
    <r>
      <rPr>
        <strike/>
        <sz val="10"/>
        <color rgb="FF201F1E"/>
        <rFont val="Calibri"/>
        <family val="2"/>
        <scheme val="minor"/>
      </rPr>
      <t>$157,173</t>
    </r>
  </si>
  <si>
    <t>GulfStream Bath &amp; Tennis Club Inc.</t>
  </si>
  <si>
    <t>The Ocean Club Key Biscayne</t>
  </si>
  <si>
    <t>18-Maintained course acreage  VLOOKUP TO PY</t>
  </si>
  <si>
    <t>Multi-Maintained course acreage  VLOOKUP TO PY</t>
  </si>
  <si>
    <t>z</t>
  </si>
  <si>
    <t>Southwest                                      w/o CIRAs</t>
  </si>
  <si>
    <t>PHIL COMMENTS TUE 4/14</t>
  </si>
  <si>
    <t>Royal Palm  = in both Boca and YB joining fee should be 125k all non-refundable.</t>
  </si>
  <si>
    <t>Bocaire CC joining fees should be $48k ref.; $42k non.</t>
  </si>
  <si>
    <t>Quail West is attached. The F&amp;B data changed.</t>
  </si>
  <si>
    <t>Orchid Island Golf Course Data should be as follows:</t>
  </si>
  <si>
    <t>S&amp;W</t>
  </si>
  <si>
    <t>        765,828  </t>
  </si>
  <si>
    <t>        134,930  </t>
  </si>
  <si>
    <t>Supplies</t>
  </si>
  <si>
    <t>        415,878  </t>
  </si>
  <si>
    <t>R&amp;M</t>
  </si>
  <si>
    <t>        132,591  </t>
  </si>
  <si>
    <t>        51,201  </t>
  </si>
  <si>
    <t>     1,500,428  </t>
  </si>
  <si>
    <t>The capital improvement per FME table – it looks like we made that a cumulative total since 2011. I had been referring to the table above when I made that comment (which says 2013-19). The Cap. Improvements table should be five years please.</t>
  </si>
  <si>
    <t>Your Q’s:</t>
  </si>
  <si>
    <t>I BELIEVE THIS HAS BEEN CORRECTED – THERE ARE SALES AND COS SHOWING</t>
  </si>
  <si>
    <t>Y and remove F&amp;B</t>
  </si>
  <si>
    <t>Reno is done</t>
  </si>
  <si>
    <t>n</t>
  </si>
  <si>
    <t>Correct</t>
  </si>
  <si>
    <t>Lost client</t>
  </si>
  <si>
    <t>INC THIS YR</t>
  </si>
  <si>
    <t>SALY + f&amp;b TOO</t>
  </si>
  <si>
    <t>meant rest ops (py) - done</t>
  </si>
  <si>
    <t>UPDATED</t>
  </si>
  <si>
    <r>
      <t>MIZNER: </t>
    </r>
    <r>
      <rPr>
        <sz val="12"/>
        <color rgb="FF201F1E"/>
        <rFont val="Calibri"/>
        <family val="2"/>
        <scheme val="minor"/>
      </rPr>
      <t>At the beginning of the questionnaire the dollar amount is answered as 1 and it should be 0 (they no longer have a service charge, it is built into dues).</t>
    </r>
  </si>
  <si>
    <t>FIXED CORRECTLY THIS TIME</t>
  </si>
  <si>
    <t>done  only reflected F&amp;B change  (ie golf is at PY acres)</t>
  </si>
  <si>
    <t>fixed and updated axis</t>
  </si>
  <si>
    <t>UPDATED V TOP OF PAGE and the in rows tab</t>
  </si>
  <si>
    <t>DONE but  MAND'Y SERVICE CHARGE =1 IN RESTAURANT SECTION and kept 20% credit</t>
  </si>
  <si>
    <t>Orchid Island  - F&amp;B minimum should be yes and $1,200.</t>
  </si>
  <si>
    <t>Johns Island capital section updated with real numbers!</t>
  </si>
  <si>
    <t>Stoneybrook – regular capital budgeted for $508,415</t>
  </si>
  <si>
    <t>ha. Yes.  I only used the capital section  ie all changes noted above are still showing in the results</t>
  </si>
  <si>
    <t>FIXED HERE AND ADDED TO MEMBERSHIP SECTION AS WELL</t>
  </si>
  <si>
    <t>Old Palm – we included it in PY in 18 hole clubs. They have 22, which is odd. Please move it this year into the 18 hole clubs in SE ex Boca.</t>
  </si>
  <si>
    <t>PHIL COMMENTS wed 4/15 10:42</t>
  </si>
  <si>
    <t>PHIL COMMENTS wed 4/15 10:48</t>
  </si>
  <si>
    <t>PHIL COMMENTS wed 4/15 1:29 PM</t>
  </si>
  <si>
    <r>
      <t>Bocaire – ending net assets - </t>
    </r>
    <r>
      <rPr>
        <sz val="11"/>
        <color rgb="FF00B0F0"/>
        <rFont val="Calibri"/>
        <family val="2"/>
      </rPr>
      <t>$11,717,898.</t>
    </r>
  </si>
  <si>
    <t>Seminole attached – update for various balance sheet items.</t>
  </si>
  <si>
    <t>Graph – Full Membership dues statewide – can we show that for 2010 – 2020? Also, the numbers in the graph for 2016 don’t agree to what we published last year – the book at $13,900 not 14,800</t>
  </si>
  <si>
    <t>SW CIRA – Legends and Landings – should both be 0 for neither a grat on chit or fixed svc. Chg. Landings will also need changed in Y&amp;B.</t>
  </si>
  <si>
    <t>Florida                                 Statewide</t>
  </si>
  <si>
    <t>North &amp;                               Central</t>
  </si>
  <si>
    <t>THIS had prev been reomved as well - reinstated</t>
  </si>
  <si>
    <t>done x 3</t>
  </si>
  <si>
    <t>BELOW - WHICH REMOVES THE BUMP IN THE CURVE…. I HAVE MADE IT WHAT IT SHOULD HAVE BEEN (OPENED 2016).. LET ME KNOW IF OK LIKE THIS</t>
  </si>
  <si>
    <t>SO THIS IS WRONG  AND HAS BEEN WRONG - MY APOLOGIES NOT PASTE VALUED - USING FORMULA LOOKING UP AUDIT YEAR $$ - SHOULD HAVE BEEN</t>
  </si>
  <si>
    <t>Pine Tree regular budgeted capital is $800,000</t>
  </si>
  <si>
    <t>Delray Dunes capital budget is $750K</t>
  </si>
  <si>
    <t>Lost Tree 858,390 regular budgeted capital</t>
  </si>
  <si>
    <t>Stonebridge Boca Regular Capital Budget  $897,000</t>
  </si>
  <si>
    <t>Royal Wood - $1,035,075 regular budgeted purchases</t>
  </si>
  <si>
    <t>Legends regular capital budget 173,590</t>
  </si>
  <si>
    <t>All regions – Clubs Owning Pro Shops – can you please check that calculation? Some of the numbers have moved a lot from the PY (Boca is way down and I compared both years and 16/17 own their shop = 94% which is last year’s number, not 71%, this years).</t>
  </si>
  <si>
    <t>Delaire – number of employees in season should be 133.</t>
  </si>
  <si>
    <t>Routine capital improvements to depreciation expense (average 2013 - 2019) – this should be cumulative from the first year we have data – 2011? I can’t tell how if its computing from 2011 or 2013?</t>
  </si>
  <si>
    <r>
      <t>Aberdeen F&amp;B – updated </t>
    </r>
    <r>
      <rPr>
        <u/>
        <sz val="11"/>
        <color rgb="FF1F497D"/>
        <rFont val="Calibri"/>
        <family val="2"/>
      </rPr>
      <t>attached</t>
    </r>
    <r>
      <rPr>
        <sz val="11"/>
        <color rgb="FF1F497D"/>
        <rFont val="Calibri"/>
        <family val="2"/>
      </rPr>
      <t> for F&amp;B</t>
    </r>
  </si>
  <si>
    <r>
      <t>Ocean Club of Florida – sorry apparently there were a lot of errors in the spreadsheet. New one is </t>
    </r>
    <r>
      <rPr>
        <u/>
        <sz val="11"/>
        <color rgb="FF1F497D"/>
        <rFont val="Calibri"/>
        <family val="2"/>
      </rPr>
      <t>attached</t>
    </r>
    <r>
      <rPr>
        <sz val="11"/>
        <color rgb="FF1F497D"/>
        <rFont val="Calibri"/>
        <family val="2"/>
      </rPr>
      <t>.</t>
    </r>
  </si>
  <si>
    <t>Bears Paw = please remove operations and F&amp;B</t>
  </si>
  <si>
    <t>Can you please check the kitchen count graphs? It doesn’t look like its pulling in the data properly?</t>
  </si>
  <si>
    <t>Quail Ridge Country Club:</t>
  </si>
  <si>
    <t>PHIL COMMENTS THU 4/17 - 1 email</t>
  </si>
  <si>
    <t>done - 1st time corrected</t>
  </si>
  <si>
    <t>this is the 2nd time you've had to make this comment.  Very sorry.  I'm not sure what I did. IT IS FIXED NOW.  Its only 9pm and I'm not falling asleep yet.</t>
  </si>
  <si>
    <t>Sports activities: </t>
  </si>
  <si>
    <t>    Golf</t>
  </si>
  <si>
    <t>    Tennis</t>
  </si>
  <si>
    <t>    GOLF Pro shop sales</t>
  </si>
  <si>
    <t>    Other (ie: fitness, wellness, spa, locker rooms)</t>
  </si>
  <si>
    <t>Food sales (do NOT  include minimum spending requirements)</t>
  </si>
  <si>
    <t>All other  (includes F&amp;B minimum)</t>
  </si>
  <si>
    <t>oes Not include minimum spending requirement) </t>
  </si>
  <si>
    <t>Laundry</t>
  </si>
  <si>
    <t>  Total departmental</t>
  </si>
  <si>
    <r>
      <t>Salaries and wages (</t>
    </r>
    <r>
      <rPr>
        <sz val="10"/>
        <color rgb="FFFF0000"/>
        <rFont val="Inherit"/>
      </rPr>
      <t>EXC credit for MANDATORY FIXED SERVICE CHARGES)</t>
    </r>
  </si>
  <si>
    <r>
      <t>Less</t>
    </r>
    <r>
      <rPr>
        <sz val="10"/>
        <color rgb="FF201F1E"/>
        <rFont val="Inherit"/>
      </rPr>
      <t> credit = 20% of F&amp;B sales </t>
    </r>
    <r>
      <rPr>
        <sz val="10"/>
        <color rgb="FFFF0000"/>
        <rFont val="Inherit"/>
      </rPr>
      <t>(only applies for club's</t>
    </r>
  </si>
  <si>
    <r>
      <t> </t>
    </r>
    <r>
      <rPr>
        <sz val="10"/>
        <color rgb="FFFF0000"/>
        <rFont val="Inherit"/>
      </rPr>
      <t>with MANDATORY FIXED SERVICE CHARGES)</t>
    </r>
  </si>
  <si>
    <t xml:space="preserve">My Col JI calc …. All cells in column didn't have a formula.  Fixed and I recheck all the "extra" cols were calcs… %s now back in line </t>
  </si>
  <si>
    <t>Per cell EV in row tab, there are 3 count formulas for each region top one is count if 1.next is count if 2 and last count if 1</t>
  </si>
  <si>
    <t>denominator</t>
  </si>
  <si>
    <t>numerator</t>
  </si>
  <si>
    <t>total count clubs in region with all the  kitchens</t>
  </si>
  <si>
    <t># clubs with # 1 kitchen for eg</t>
  </si>
  <si>
    <t>Each # 1, 2 or 3 kitchens represents a sample of 1…  NOT total kitchens, if that makes sense</t>
  </si>
  <si>
    <t>2021</t>
  </si>
  <si>
    <t>Full membership 2021</t>
  </si>
  <si>
    <t>% of Capital Improvements to Depreciation (average over 10 years)</t>
  </si>
  <si>
    <t>Delray Club</t>
  </si>
  <si>
    <t>Grey Oaks Golf &amp; Country Club</t>
  </si>
  <si>
    <t>HIGH RIDGE COUNTRY CLUB</t>
  </si>
  <si>
    <t>The Club at QR</t>
  </si>
  <si>
    <t>Wilderness Country Club</t>
  </si>
  <si>
    <t>Addison</t>
  </si>
  <si>
    <t>DATA CAPTURE FOR CLUB TRENDS  (SIGNIFICANT UPDATE For 2018 Florida Trends in Private Clubs) V10</t>
  </si>
  <si>
    <t>PY old palm = 22</t>
  </si>
  <si>
    <t>debt yes/no$ chk</t>
  </si>
  <si>
    <t>rounding added to CLUB</t>
  </si>
  <si>
    <t>MTH</t>
  </si>
  <si>
    <t>SUM</t>
  </si>
  <si>
    <t>set up bkb 4/18</t>
  </si>
  <si>
    <t>FY19 golf</t>
  </si>
  <si>
    <t>PP&amp;E additions per FME 2021</t>
  </si>
  <si>
    <t>2022</t>
  </si>
  <si>
    <t>Full membership 2022</t>
  </si>
  <si>
    <t>Esplanade Golf &amp; Country Club at Lakewood Ranch, Inc.</t>
  </si>
  <si>
    <t>Frenchman's Creek, Inc</t>
  </si>
  <si>
    <t>Naples Yacht Club</t>
  </si>
  <si>
    <t>Oaks Club</t>
  </si>
  <si>
    <t>Orchid Island Golf &amp; Beach Club</t>
  </si>
  <si>
    <t>Frenchman's Reserve Country Club Inc</t>
  </si>
  <si>
    <t>Sarasota Yacht Club</t>
  </si>
  <si>
    <t>Johns Island Club</t>
  </si>
  <si>
    <t>N/A</t>
  </si>
  <si>
    <t xml:space="preserve"> -   </t>
  </si>
  <si>
    <t xml:space="preserve">                                         -</t>
  </si>
  <si>
    <t xml:space="preserve">               -  </t>
  </si>
  <si>
    <t>no depn ok</t>
  </si>
  <si>
    <t>TRENDS 2022 QUESTIONS &amp; NOTES</t>
  </si>
  <si>
    <t>V1 Questions</t>
  </si>
  <si>
    <t>Pro shop sales  = 0 but Pro shop COS &gt;0</t>
  </si>
  <si>
    <t>move to operating (SALY)</t>
  </si>
  <si>
    <t>General</t>
  </si>
  <si>
    <t>Hillsboro -  very little info (SALY).  Please confirm correct.</t>
  </si>
  <si>
    <t>Sailfish Point Golf Club - no ops (SALY) please confirm correct</t>
  </si>
  <si>
    <t>Debt = Yes but no$</t>
  </si>
  <si>
    <t>Boca Raton                                            Area</t>
  </si>
  <si>
    <t>Boca Raton                                     Area</t>
  </si>
  <si>
    <t xml:space="preserve">SE exc Boca… multi cost per hole went way up from PY  - last year the Old Palm costs were removed but acres/rounds stayed. Can't recall why? </t>
  </si>
  <si>
    <t>BOCA … 18 cost per hole up way as well from PY. Last year all golf at Country Club at Woodfield was removed</t>
  </si>
  <si>
    <t>SE exc Boca… 18 cost per hole went way up from PY  - see analysis below</t>
  </si>
  <si>
    <t>SE exc Boca Multi</t>
  </si>
  <si>
    <t>N&amp;C - multi</t>
  </si>
  <si>
    <t>N&amp;C… multi due to change I added the analysis below as well</t>
  </si>
  <si>
    <t>CY</t>
  </si>
  <si>
    <t>PY</t>
  </si>
  <si>
    <t>CY - PY</t>
  </si>
  <si>
    <t>Pine Tree Golf Club - missing rounds</t>
  </si>
  <si>
    <t>Golf - various</t>
  </si>
  <si>
    <t>Initiation Fees - large change from PY - see below</t>
  </si>
  <si>
    <t>NEITHER a gratuity on the chit or a Mandatory fixed service charge?</t>
  </si>
  <si>
    <t>READ COMMENT # full service kitchens</t>
  </si>
  <si>
    <t>READ COMMENT How are hourly staff compensated?  (0 - flat hrly / 1 - gratuity + per hr/ 2 - gratuity + guar rate)</t>
  </si>
  <si>
    <t>MAX AMOUNT FROM CY</t>
  </si>
  <si>
    <t>MAX AMOUNT FROM PY</t>
  </si>
  <si>
    <t>High level check for reference.  I have a line for max amount to any question.  Below is 2022 max v 2021 max</t>
  </si>
  <si>
    <t>Bocaire - used a Q'aire w/missing Q - missing Ending Net Assets.  I can calc the Debt/Equity once have tha</t>
  </si>
  <si>
    <t>N&amp;C:</t>
  </si>
  <si>
    <t>Stoneybrook – remove cost of membership</t>
  </si>
  <si>
    <t>Timber Pines – remove initiation fees</t>
  </si>
  <si>
    <t>Isla – remove cost of membership section</t>
  </si>
  <si>
    <t>V 1 questions:</t>
  </si>
  <si>
    <t>Bay colony CA  - yes, move pro shop COST to operating.</t>
  </si>
  <si>
    <t>Pipers Landing – pro shop sales should be 216,388. Remove from golf revenue.</t>
  </si>
  <si>
    <t>Sailfish Point – move pro shop cost of sales in operating expenses</t>
  </si>
  <si>
    <t>La Gorce, Mirasol and Quail Ridge – none had operating assessments</t>
  </si>
  <si>
    <t>Legends – did not have another assessment.</t>
  </si>
  <si>
    <t>Sailfish Point – no ops is correct.</t>
  </si>
  <si>
    <t>Indian River has no third party debt</t>
  </si>
  <si>
    <t>Bay Colony CA initiation fee should be $7,500 all non-refundable.</t>
  </si>
  <si>
    <t>Orchid Island joining fee should be $150,000, all non refundable</t>
  </si>
  <si>
    <t>Wilderness country club joining fee should be $65k all non refundable</t>
  </si>
  <si>
    <t>phil 4/22</t>
  </si>
  <si>
    <t>Action</t>
  </si>
  <si>
    <t>where should $ go</t>
  </si>
  <si>
    <t>op assm't</t>
  </si>
  <si>
    <t>biz level</t>
  </si>
  <si>
    <t>changed the 1 = yes to 0 = no</t>
  </si>
  <si>
    <t>ok</t>
  </si>
  <si>
    <t>Legends – should have $4,000 non-refundable  joining fee.</t>
  </si>
  <si>
    <t>Stonebridge F&amp;B % aren’t showing up?</t>
  </si>
  <si>
    <t>Y&amp;B</t>
  </si>
  <si>
    <t>Naples Sailing and Yacht is no longer a client so you shouldn’t have received data for them but they are listed in Y&amp;B. Naples Yacht Club is a new client this year. Perhaps just a name issue? Anyway, their initiation fee is $65k all non-refundable.</t>
  </si>
  <si>
    <t>Ocean Club of FL should be $50k non-refundable initiation fee.</t>
  </si>
  <si>
    <t>St. Andrews Country club ref/non-ref initiation fee should be the other way around.</t>
  </si>
  <si>
    <t>Bocaire Net assets = 13,270,016</t>
  </si>
  <si>
    <t>N&amp;C</t>
  </si>
  <si>
    <t>Pipers Landing dues, audit year should be 25,380. CY is correct.</t>
  </si>
  <si>
    <t>Sailfish point audit year should be 10,400. CY is correct.</t>
  </si>
  <si>
    <t>phil 4/23</t>
  </si>
  <si>
    <t>yes -my mistake. Fixed</t>
  </si>
  <si>
    <t>updated various changes due to FME change</t>
  </si>
  <si>
    <t>sorry - can't see it… Where specifically?</t>
  </si>
  <si>
    <t>follow up Q</t>
  </si>
  <si>
    <t>still open</t>
  </si>
  <si>
    <t>BK 4/23</t>
  </si>
  <si>
    <t>see original 4/21 Qs at top of sheet - open/follow up</t>
  </si>
  <si>
    <t>all fields now 0….  I did not change FME</t>
  </si>
  <si>
    <t>phil 4/30</t>
  </si>
  <si>
    <t>La Gorce operating assessment – add to dues.</t>
  </si>
  <si>
    <t>Mirasol – please remove the amount showing as operating assessment and also remove $3,512,630 from operating expenses for Mirasol.</t>
  </si>
  <si>
    <t>Quail Ridge – add the operating assessment amount to dues please.</t>
  </si>
  <si>
    <t>Seminole -Current year dues = $16,500; audit year dues = $13,850</t>
  </si>
  <si>
    <t>Ocean Club of Florida – move the amount showing as pro shop COS to operating expenses.</t>
  </si>
  <si>
    <t>SW CIRA – I said Stonebridge but I meant Spring Run FZ to GH columns aren’t showing as %.</t>
  </si>
  <si>
    <t>SW CIRA – Hideaway – Other capital assessment should be No and $0.</t>
  </si>
  <si>
    <t>SW CIRA – Stonebridge doesn’t have F&amp;B minimum. Remove $1 showing for them. Their F&amp;B payroll should be $1,579,053.</t>
  </si>
  <si>
    <t>SW CIRA  - Countryside has an F&amp;B minimum. $600</t>
  </si>
  <si>
    <t>SW CIRA – Hideaway S&amp;W for Payroll should be F&amp;B S&amp;W 2,888,724</t>
  </si>
  <si>
    <t>SW ex CIRA</t>
  </si>
  <si>
    <t>These clubs are all mandatory membership:</t>
  </si>
  <si>
    <t>Quail Creek F&amp;B –</t>
  </si>
  <si>
    <t>Food COS should be $624,626; Bev COS should be $414,131; F&amp;B S&amp;W should be $2,045,140</t>
  </si>
  <si>
    <t>Kensington F&amp;B –</t>
  </si>
  <si>
    <t>Food COS should be $273,740; Bev COS should be $147,636</t>
  </si>
  <si>
    <t>Island F&amp;B –</t>
  </si>
  <si>
    <t>Cost of sales food should be 602,671; cost of sales beverage should be 338,018; EE meals should be 34,400; other F&amp;B costs s/be 220,295</t>
  </si>
  <si>
    <t>SE Non-BOCA</t>
  </si>
  <si>
    <t>Lost Tree joining fee should be $1,000 refundable; $259,000 non-refundable.</t>
  </si>
  <si>
    <t>Seminole joining fee should be $200,000 all non-refundable.</t>
  </si>
  <si>
    <t>Old Palm should be 52,500 refundable and 122,500 refundable.</t>
  </si>
  <si>
    <t>Gulf Stream Golf Club should be $2k refundable, $170k non refundable.</t>
  </si>
  <si>
    <t>Ibis should be $20k refundable and $70k non-refundable</t>
  </si>
  <si>
    <t>Hillsboro Club – remove all data.</t>
  </si>
  <si>
    <t>Boca 18 hole cost is correct.</t>
  </si>
  <si>
    <t>Lauderdale YC – CY and AY dues should be $4,893. Move the amount showing as operating assessment revenue of $1,064,810 and add to dues revenue.</t>
  </si>
  <si>
    <t>Delray Beach Club – major capital improvement should be no and remove $$$ amount.</t>
  </si>
  <si>
    <t>Can you confirm that when we removed cost of membership section (eg. Isla), it doesn’t affect FME calculation?</t>
  </si>
  <si>
    <t>Removing membership does NOT affect other FME calcs (Everything was paste value prior to removing that section of data from the in rows line)</t>
  </si>
  <si>
    <t>'tis gone</t>
  </si>
  <si>
    <t>VG</t>
  </si>
  <si>
    <t>resolved 4/30</t>
  </si>
  <si>
    <t>fixed.. Took longer than should have as got distracted at the INSANE initiation fee, then saw LaGorce and went looking for pics !!!!</t>
  </si>
  <si>
    <t>fixed - I have a note to check this info next year</t>
  </si>
  <si>
    <t>done…  so I also removed the op ass = yes and the $1,620  PLEASE CONFIRM OK</t>
  </si>
  <si>
    <t>resolved</t>
  </si>
  <si>
    <t>fixed…. I hadn't paid attention to the Club before…. $1,953…. Did someone drop their loose change on the golf course ;-)</t>
  </si>
  <si>
    <t>just a formatting thing…. Fixed for all</t>
  </si>
  <si>
    <t xml:space="preserve">fixed… but FYI - that increased the FME from 800 to 1500, which in turn affected all FME #s  </t>
  </si>
  <si>
    <t>phil 5/2</t>
  </si>
  <si>
    <t>SE Non-boca</t>
  </si>
  <si>
    <t>Everglades Club – cost of food should be $1,753,690; cost of beverage should be 584,335</t>
  </si>
  <si>
    <t>Quail Ridge – Food revenue should be $1,865,858; Beverage revenue should be 960,078; Svc. Charge 20% = 565,187</t>
  </si>
  <si>
    <t>St. Andrews Delray – remove golf as in PY</t>
  </si>
  <si>
    <t>Pine Tree – 27,701 is golf rounds</t>
  </si>
  <si>
    <t>High ridge – annual capital assessment should be yes and 7,200. Other capital assessment should be no and zero.</t>
  </si>
  <si>
    <t>Y&amp;B Clubs</t>
  </si>
  <si>
    <t>The Beach Club is not mandatory membership</t>
  </si>
  <si>
    <t>SW excl CIRA</t>
  </si>
  <si>
    <t>Naples National golf rounds should be 21,500</t>
  </si>
  <si>
    <t>not mand m'ship</t>
  </si>
  <si>
    <t>resolved 5/2</t>
  </si>
  <si>
    <t>bkb 5/2</t>
  </si>
  <si>
    <t>see Q on row 311 re lauderdale yc</t>
  </si>
  <si>
    <t>phil 5/5</t>
  </si>
  <si>
    <t>Indian River Colony</t>
  </si>
  <si>
    <t>Dues revenue - $6,606,676 (includes residential and G&amp;A revenue in order to make comparable to prior year trends)</t>
  </si>
  <si>
    <t>All other rev - $1,590,179</t>
  </si>
  <si>
    <t>Golf proshop sales $155,130</t>
  </si>
  <si>
    <t>Ending PPE $2,817,272</t>
  </si>
  <si>
    <t>PPE additions $378,960</t>
  </si>
  <si>
    <t>Depreciation expense $496,476</t>
  </si>
  <si>
    <t>F&amp;B COS $407,739</t>
  </si>
  <si>
    <t>Food COS $357,874</t>
  </si>
  <si>
    <t>Beverage COS $49,865</t>
  </si>
  <si>
    <t>Golf COS $130,564</t>
  </si>
  <si>
    <t>Property taxes $40,960</t>
  </si>
  <si>
    <t>Insurance $318,779</t>
  </si>
  <si>
    <t>Laundry $11,868</t>
  </si>
  <si>
    <t>Linen, china, glass, silver $1,114</t>
  </si>
  <si>
    <r>
      <t>Interlachen </t>
    </r>
    <r>
      <rPr>
        <sz val="11"/>
        <color rgb="FF1F3864"/>
        <rFont val="Calibri"/>
        <family val="2"/>
      </rPr>
      <t>– below rates are if a full member pays on monthly installments (rate is lower if full member pays in a lump sum, lump sum dues shown on this y/e trends, monthly in the p/y)</t>
    </r>
  </si>
  <si>
    <t>Audit year dues rate $14,442</t>
  </si>
  <si>
    <t>Current year dues rate $15,092</t>
  </si>
  <si>
    <r>
      <t>Oaks Club</t>
    </r>
    <r>
      <rPr>
        <sz val="11"/>
        <color rgb="FF1F3864"/>
        <rFont val="Calibri"/>
        <family val="2"/>
      </rPr>
      <t> – F&amp;B minimum $1,000</t>
    </r>
  </si>
  <si>
    <t>Sawgrass</t>
  </si>
  <si>
    <t>CY all other memberships – should be 780</t>
  </si>
  <si>
    <t>Audit year dues rate is $9,972</t>
  </si>
  <si>
    <t>Current year dues rate is  $11,316</t>
  </si>
  <si>
    <t>2021 Golf rounds 72,951</t>
  </si>
  <si>
    <t>2021 golf rounds 18,778</t>
  </si>
  <si>
    <t>2021 Food revenue $1,574,772</t>
  </si>
  <si>
    <t>2021 Food COS $793,755</t>
  </si>
  <si>
    <t>2021 Bev COS $222,745</t>
  </si>
  <si>
    <t>Full memberships – 277</t>
  </si>
  <si>
    <t>All other memberships 561</t>
  </si>
  <si>
    <t>Audit year dues rate $15,253</t>
  </si>
  <si>
    <t>Current year dues rate $19,645</t>
  </si>
  <si>
    <t>2021 capital assessment - $1,572</t>
  </si>
  <si>
    <t>2021 F&amp;B S&amp;W $1,577,491</t>
  </si>
  <si>
    <t>2021 Other capital assessment is $6,600</t>
  </si>
  <si>
    <t>Food COS $564,847</t>
  </si>
  <si>
    <t>Beverage COS $235,228</t>
  </si>
  <si>
    <t>Pipers Landing –</t>
  </si>
  <si>
    <t>2021 other capital/renovation assessment $2,440; 2020 should have been the same amount</t>
  </si>
  <si>
    <t>Budgeted  amount for regular capital expenditures $1,760,000</t>
  </si>
  <si>
    <t>Palma Ceia</t>
  </si>
  <si>
    <t>Budgeted amount for regular capital expenditures $1,727,700</t>
  </si>
  <si>
    <t>2021 Golf rounds 37,503</t>
  </si>
  <si>
    <t>Stoneybrook </t>
  </si>
  <si>
    <t>Budgeted  amount for regular capital expenditures $415,943</t>
  </si>
  <si>
    <t>2021 Golf rounds 36,172</t>
  </si>
  <si>
    <t>Tampa Yacht Club</t>
  </si>
  <si>
    <t>Budgeted  amount for regular capital expenditures $640,000</t>
  </si>
  <si>
    <t>John’s Island</t>
  </si>
  <si>
    <t>2021 Food COS $3,058,180</t>
  </si>
  <si>
    <t>2021 Bev COS $677,363</t>
  </si>
  <si>
    <t>2021 F&amp;B COS $3,735,543</t>
  </si>
  <si>
    <t>2021 golf rounds 60,233</t>
  </si>
  <si>
    <t>no change needed</t>
  </si>
  <si>
    <t>all fixed</t>
  </si>
  <si>
    <t>fyi - the cost of memebership info was in the template as I updated for the capex change below…. So, the original FME denominator was still used</t>
  </si>
  <si>
    <t>I added to the $1.3m…. I didn't factor the 20% at all - please confirm correct</t>
  </si>
  <si>
    <t>fixed - I hadn't seen this yet when I sent you the text</t>
  </si>
  <si>
    <t>wasn't sure if meant annual recurring capital improvement OR other capital/reno/debt assessment.   I picked the the former based on how orchid island changes were noted. Correct?</t>
  </si>
  <si>
    <t>please see TAB in cols - Col tab</t>
  </si>
  <si>
    <t>North and Central</t>
  </si>
  <si>
    <t>Jupiter Island – please make dues revenue $8,449,908 and add the difference to other income.</t>
  </si>
  <si>
    <t>% Clubs with positive WC</t>
  </si>
  <si>
    <t>2021 should be 52% not 24%. It was correct in a previous version.</t>
  </si>
  <si>
    <t>Orchid Island – Food Cos and Bev COS numbers are switched, should be</t>
  </si>
  <si>
    <t>Bev COS $235,228</t>
  </si>
  <si>
    <t>SW non-CIRA</t>
  </si>
  <si>
    <t>Colliers reserve -golf rounds should be 30,305</t>
  </si>
  <si>
    <t>Bonita Bay Club golf rounds should be 130,118</t>
  </si>
  <si>
    <t>Quail West golf rounds should be 53,803</t>
  </si>
  <si>
    <t>BOCA – Aberdeen - 2021 full members – 286</t>
  </si>
  <si>
    <t>2021 all other – 799</t>
  </si>
  <si>
    <t>PHIL 5/9</t>
  </si>
  <si>
    <t>Stoneybrook missing Budgeted  amount for regular capital expenditures $415,943</t>
  </si>
  <si>
    <t>FIXED (ALL THE RECOPYING INTO THE Q/AIRE TO MAKE THE CHANGES, I HADN'T NOTICED THAT THE 0 AND 1s  I'D PREVIOUSLY FIXED WERE IN TEXT FORMAT NOT $ FORMAT</t>
  </si>
  <si>
    <t>fixed (correctly this time)</t>
  </si>
  <si>
    <t>I had the reports footed etc. and here are the comments from that.</t>
  </si>
  <si>
    <t>Membership Tab – Full membership due statewide graph: 2005 does not have a number</t>
  </si>
  <si>
    <t>Oper Rev Tab - Yacht &amp; Beach Revenue Percentages only add up to 99.9%</t>
  </si>
  <si>
    <t>F&amp;B Tab – Average Food &amp; Beverage Sales Chart</t>
  </si>
  <si>
    <t>Boca Raton Area adds up to $2,889 not $2,888</t>
  </si>
  <si>
    <t>Southwest CIRAs adds up to $1,513 not $1,514</t>
  </si>
  <si>
    <t>Yacht &amp; beach adds up to $2,349 not $2,348</t>
  </si>
  <si>
    <t>F&amp;B Tab – Statewide Average Food &amp; Beverage Sales Volume Chart</t>
  </si>
  <si>
    <t>2017 adds up to $2,297 not $2,296</t>
  </si>
  <si>
    <t>2019 adds up to $2,672 not $2,671</t>
  </si>
  <si>
    <t>2020 adds up to $2,174 not $2,173</t>
  </si>
  <si>
    <t>F&amp;B Tab – Yacht &amp; Beach Club Average Food &amp; Beverage Sales Volume Chart</t>
  </si>
  <si>
    <t>2017 adds up to $2,269 not $2,268</t>
  </si>
  <si>
    <t>2021 adds up to $2,349 not $2,348</t>
  </si>
  <si>
    <t>Golf Tab – GCM Statewide Trend for 18 holes chart</t>
  </si>
  <si>
    <t>Other numbers on chart are not lined up with the purple properly. They are showing up in the light gray area</t>
  </si>
  <si>
    <t>Total for 2021 overlaps another number</t>
  </si>
  <si>
    <t>weird.. Box a smidge to "wee" so didn't show anything!</t>
  </si>
  <si>
    <t>prevously added the rounding to the total line instead of row above by mistake</t>
  </si>
  <si>
    <t>added roundings to $ in data to get graph to foot (since in thousands)</t>
  </si>
  <si>
    <t>2021 - roundings added to get graph below to foot</t>
  </si>
  <si>
    <t>made same change here as the 1st chart (row 489 in this Q tab)</t>
  </si>
  <si>
    <t>so this one is a pain due to the data this year….  Shall I just put totals at bottom? LMK what you think</t>
  </si>
  <si>
    <t>PHIL 5/10</t>
  </si>
  <si>
    <t>Executive Summary Tab</t>
  </si>
  <si>
    <t>F&amp;B subsidy to combined F&amp;B Sales percentage is slightly off. For example for Florida Statewide, if you do $1,757,500/$2,178,100 it equals 80.689% which would be rounded to 80.7% not 80.6%. Below are more percentages that are off.</t>
  </si>
  <si>
    <t>Southeast without Boca equals 89.448%</t>
  </si>
  <si>
    <t>Boca Raton equals 150.647%</t>
  </si>
  <si>
    <t>Southwest without CIRAs equals 48.367%</t>
  </si>
  <si>
    <t>Southwest CIRAs equals 58.221%</t>
  </si>
  <si>
    <t>North &amp; Central equals 49.072%</t>
  </si>
  <si>
    <t>Balance Sheet Tab</t>
  </si>
  <si>
    <t>Percentage of clubs with positive working capital chart – are the 2021 numbers supposed to be italicized?</t>
  </si>
  <si>
    <t>Membership Tab</t>
  </si>
  <si>
    <t>Full Membership Joining Fees Statewide Chart – 2022 Amount is not sized to the same width of the bar</t>
  </si>
  <si>
    <t>Refundable equity percentage (full membership) by region chart – Florida Statewide, Boca Raton, and Yacht &amp; Beach 2020 numbers are not in line with other years</t>
  </si>
  <si>
    <t>F&amp;B Tab</t>
  </si>
  <si>
    <t>Average food &amp; beverage sales volume chart – numbers for food do not line up with one another and it looks a bit off</t>
  </si>
  <si>
    <t>Statewide Country Clubs: Average food &amp; beverage sales volume chart – numbers for food do not line up with one another and it looks a bit off</t>
  </si>
  <si>
    <t>Golf Tab</t>
  </si>
  <si>
    <t>GCM Costs statewide trend for both 18 and multiple hole courses: the green behind the numbers is not the same shade as the chart</t>
  </si>
  <si>
    <t>GCM Costs statewide trend for multiple hole courses: the total for 2021 looks like it is hanging off the chart</t>
  </si>
  <si>
    <t>For the multiple courses charts (Costs per hole by region, course supplies per hole, and payroll costs per hole) where Southwest CIRAs are mentioned, the [1] is not in each box. Not sure if we are presenting it differently this year or if it needs to go in each box</t>
  </si>
  <si>
    <t>from exec summary   - using $$... Add rounding to All other</t>
  </si>
  <si>
    <t xml:space="preserve">blame the Clubs for putting fees up so much :) … I made ALL cols wider and applied that size to the same chart for dues </t>
  </si>
  <si>
    <t>yes.. It does.. Tried fiddling with this the other night and gave up … fixed now - hopefully you're ok with the top box - they are centered - I think it "looks good", to coin a phrase</t>
  </si>
  <si>
    <t>fixed same as above</t>
  </si>
  <si>
    <t xml:space="preserve">I tidied the Y&amp;B Av sales vol too </t>
  </si>
  <si>
    <t>removed data label "fill" ie colour</t>
  </si>
  <si>
    <t>fixed, but also as haven't been happy with it, I lined these up better for each year in both chartts</t>
  </si>
  <si>
    <t>does the printer to this?  The graphs are consistent with Pys in the excel version</t>
  </si>
  <si>
    <t>also = payroll per hole… I adjusted the axis so  SW Cira shows (was starting at $50k)</t>
  </si>
  <si>
    <t>see F&amp;B tab.. The % chart - I added the diff to All other (row 103)…. Then made the Statewide trend  subsidy match for 2021</t>
  </si>
  <si>
    <t>no!  Removed… AND I also made all numbers bold and I checked all other white data labels and made sure they were ALL bold - fixed a few</t>
  </si>
  <si>
    <t>Exec Summary Tab</t>
  </si>
  <si>
    <t>F&amp;B Revenues do not agree to F&amp;B tab where the numbers are listed in the average food &amp; beverage sales volume section: Boca Raton, Southwest CIRAs, and Yacht &amp; Beach do not match</t>
  </si>
  <si>
    <t>On the full membership joining fees statewide bar chart, 2022’s number is a little wider than the bar itself</t>
  </si>
  <si>
    <t>Departmental Subsidy: total dues revenue percentage – Southeast w/o Boca is 18.5% but does not round to 19% on the executive summary tab. Should this be 19% instead of 18% on the executive summary tab?</t>
  </si>
  <si>
    <t>Statewide Country Clubs: 5 year trend – For 2021, is the other departmental expenses supposed to be a negative percentage? Right now it is (80.7%) but no other year is negative. I think the subsidy and other expenses numbers may be mixed up.</t>
  </si>
  <si>
    <t>Statewide country clubs: Average food &amp; beverage sales volume chart, 2021 beverage percentage says “29…” Should say 29.1%</t>
  </si>
  <si>
    <t>GCM costs statewide trend: Multiple Courses chart, 2020 is missing the number for PTEB. It should read $8,700</t>
  </si>
  <si>
    <t>PHIL 5/13</t>
  </si>
  <si>
    <t>this was to fix the chart roundings (a prev comment).  I had added to the totals and I did check the F&amp;B page to make sure it didn't throw something off, I did NOT check the Exec Summary page.  I updated the F&amp;B chart again to put the AJE to either F or B instead of the total</t>
  </si>
  <si>
    <t>2021 - $ roundings added either F or B to get graph below to foot.  Do NOT put AJE to total as will throw off the Exec Summary tab</t>
  </si>
  <si>
    <t>I don't see this (fixed the other night).  But I have adjusted the cols for this and the similar chart to be even wider</t>
  </si>
  <si>
    <t>I made all these bold the other night, which made it bigger and didn't fit the data label cell</t>
  </si>
  <si>
    <t>fixed - data label was a smidge too wee  (odd that the % box cuts off when too small, but the $ just won't show if too small, but anyway!</t>
  </si>
  <si>
    <t>my mistake - I updated the wrong cell the other night!  Fixed</t>
  </si>
  <si>
    <t>I say 18%... If 0.5 round  to the even number….     BUT it's not my report so 19 it is :-)</t>
  </si>
  <si>
    <t>2013-2022 average</t>
  </si>
  <si>
    <t>Routine capital improvements to depreciation expense (10 year average 2013 - 2022)</t>
  </si>
  <si>
    <t>PP&amp;E additions per FME 2022</t>
  </si>
  <si>
    <t>Cumulative 5 year total (2018-2022)</t>
  </si>
  <si>
    <t>Ending PP&amp;E (NBV) 2022</t>
  </si>
  <si>
    <t>Ending PP&amp;E (NBV) per FME 2022</t>
  </si>
  <si>
    <t>Capital Expenditure: Who is spending and on what in 2022</t>
  </si>
  <si>
    <t>BK updated 4/9</t>
  </si>
  <si>
    <t>Joining fees 2023</t>
  </si>
  <si>
    <t>Dues 2022</t>
  </si>
  <si>
    <t>Total cost in 2022 **</t>
  </si>
  <si>
    <t>2023</t>
  </si>
  <si>
    <t>Full membership 2023</t>
  </si>
  <si>
    <t>bk updated 4/9</t>
  </si>
  <si>
    <t>Full membership - dues (2023)</t>
  </si>
  <si>
    <t>Copperleaf Golf Club</t>
  </si>
  <si>
    <t>Pipers Landing</t>
  </si>
  <si>
    <t>Esplanade Naples</t>
  </si>
  <si>
    <t>Lemon Bay</t>
  </si>
  <si>
    <t>PALM-AIRE Country Club</t>
  </si>
  <si>
    <t>The Club at Ibis G&amp;CC, Inc.</t>
  </si>
  <si>
    <t>Quarry Golf Club, Inc.</t>
  </si>
  <si>
    <t>1</t>
  </si>
  <si>
    <t xml:space="preserve">                  -  </t>
  </si>
  <si>
    <t>mand m/ship</t>
  </si>
  <si>
    <t>golf out saly</t>
  </si>
  <si>
    <t>mand m/ship… need function covers</t>
  </si>
  <si>
    <t>GOLF ares v llookup needed</t>
  </si>
  <si>
    <t>used PY roudns 32000 / missing Ees used PY 256</t>
  </si>
  <si>
    <t>missing Ees ues PY74</t>
  </si>
  <si>
    <t>pro sales 0 cost+ .. Moved to Op costs SALY</t>
  </si>
  <si>
    <t>pro rev 0 + cost 395,722 move to op exp saly/also SALY no ops</t>
  </si>
  <si>
    <t>moved to operating (SALY)</t>
  </si>
  <si>
    <t>moved to operating (SALY).. $395k</t>
  </si>
  <si>
    <t>confirm OK</t>
  </si>
  <si>
    <t>need to split out proshop sales</t>
  </si>
  <si>
    <t>Operating Ass=Yes, but $0</t>
  </si>
  <si>
    <t>added to dues in PY</t>
  </si>
  <si>
    <t>do same again?</t>
  </si>
  <si>
    <t>Other Ass=Yes, but $0</t>
  </si>
  <si>
    <t>Inc menu price = Yes but 0%</t>
  </si>
  <si>
    <t>Missing # Employees</t>
  </si>
  <si>
    <t>PY = 74 (used for now)</t>
  </si>
  <si>
    <t>please provide correct #</t>
  </si>
  <si>
    <t>Function Covers - mising separate banquet covers</t>
  </si>
  <si>
    <t>typically remove</t>
  </si>
  <si>
    <t>please confirm if remove in 2023</t>
  </si>
  <si>
    <t>Covers</t>
  </si>
  <si>
    <t>missing all info</t>
  </si>
  <si>
    <t>pro sales 0 cost + / no covers SALY</t>
  </si>
  <si>
    <t>PY 256  used for now</t>
  </si>
  <si>
    <t>Rounds</t>
  </si>
  <si>
    <t>PY =  32000 used for now</t>
  </si>
  <si>
    <t xml:space="preserve">had 24,647 in acres col and 30,703 in CY rounds col. </t>
  </si>
  <si>
    <t xml:space="preserve">  I corrected for acres please confirm if 2022 rounds # is correct</t>
  </si>
  <si>
    <t>Golf Acres</t>
  </si>
  <si>
    <t>Used the Lookup from PY. Please confirm the acres for the new clubs</t>
  </si>
  <si>
    <t xml:space="preserve">1 and 259 init fee backwards? </t>
  </si>
  <si>
    <t>initiiation fee</t>
  </si>
  <si>
    <t>lost tree</t>
  </si>
  <si>
    <t>259 refundable 1 not -  backwards?</t>
  </si>
  <si>
    <t>updated so SALY - pls confirm</t>
  </si>
  <si>
    <t>old palm</t>
  </si>
  <si>
    <t>outlier  - need correct info</t>
  </si>
  <si>
    <t>180 / 20 - backwards</t>
  </si>
  <si>
    <t>st andrews</t>
  </si>
  <si>
    <t>several others need checked</t>
  </si>
  <si>
    <t>I stopped loooking</t>
  </si>
  <si>
    <t>Trends 2023 - questions</t>
  </si>
  <si>
    <t>v1 040923</t>
  </si>
  <si>
    <t>yes</t>
  </si>
  <si>
    <t>PY was more involved..  Need to give me a $ to remove from expenses to offset (currently have the consolidated)</t>
  </si>
  <si>
    <t>FIXED 4/12</t>
  </si>
  <si>
    <t>SHOULD BE NO</t>
  </si>
  <si>
    <t>REMOVED  4/12</t>
  </si>
  <si>
    <t>ok - 4/12</t>
  </si>
  <si>
    <t>Total fee is $285k of which 228k is refundable</t>
  </si>
  <si>
    <t>fixed 4/12</t>
  </si>
  <si>
    <t>correct as is 4/12</t>
  </si>
  <si>
    <t>shd be 100</t>
  </si>
  <si>
    <t>Vanderbilt Community Association</t>
  </si>
  <si>
    <t>phil comments 4/14/ 340 PM</t>
  </si>
  <si>
    <t>SW CIRAS</t>
  </si>
  <si>
    <t>Vanderbilt joining fee should be all non-refundable.</t>
  </si>
  <si>
    <t>Legends joining fee should be $4k all non-refundable.</t>
  </si>
  <si>
    <t>Bay Colony CA joining fee should be $7,500 all non-refundable.</t>
  </si>
  <si>
    <t>Heritage Bay should have a other cap/reno assessment of $860</t>
  </si>
  <si>
    <t>Stonebridge has a major capital project of $16m</t>
  </si>
  <si>
    <t>Royal Wood Pro Shop Sales is 132,668 and Cost of sales is 62,522</t>
  </si>
  <si>
    <t>Stonebridge F&amp;B salaries and wages should be 1,697,304</t>
  </si>
  <si>
    <t>Bay Colony is mandatory</t>
  </si>
  <si>
    <t>Bears Paw is mandatory</t>
  </si>
  <si>
    <t>Wilderness joining fee should be 90k all non-refundable.</t>
  </si>
  <si>
    <t>Wildcat function covers is 6,199</t>
  </si>
  <si>
    <t>Grey Oaks did not have an operating assessment.</t>
  </si>
  <si>
    <t>Bay colony: food revenue should be 1294558; beverage should be 1271627; other income should be 529307. Total rev. stays the same.</t>
  </si>
  <si>
    <t>Island CC F&amp;B: food cost of sales should be 644505; beverage COS should be 297905; payroll should be 1271938; taxes and benefits should be 123266; employee meals should be 39558; all other F&amp;B should be 570824.</t>
  </si>
  <si>
    <t>Kensington F&amp;B: cost of food should be 485642; cost of beverage should be 187961</t>
  </si>
  <si>
    <t>Pelicans Nest F&amp;B: cost of food should be 631186; cost of bev should be220803;</t>
  </si>
  <si>
    <t>Wildcat Run F&amp;B: cost of food should be 598159; cost of bev should be 158924</t>
  </si>
  <si>
    <t>Shadow wood f&amp;B: cost of food should be1474112; cost of bev should be 568539</t>
  </si>
  <si>
    <t>Naples National – service charge is 75 a month. The amount is less than 20% of F&amp;B revenue so please remove the amount showing as a payroll credit please.</t>
  </si>
  <si>
    <t>Wilderness – no longer have a service charge. Food salaries should just be 929561 and no payroll credit.</t>
  </si>
  <si>
    <t>SE Non Boca</t>
  </si>
  <si>
    <t>Frenchmans Creek:</t>
  </si>
  <si>
    <t>FTE – 255</t>
  </si>
  <si>
    <t>Covers – 194,711</t>
  </si>
  <si>
    <t>Functions – 639</t>
  </si>
  <si>
    <t>Rounds  -  39,707</t>
  </si>
  <si>
    <t>F&amp;B 2021 menu price and related information is actually pulling 2022 information. </t>
  </si>
  <si>
    <t xml:space="preserve">tammy comments 4/15 </t>
  </si>
  <si>
    <t> remove Hillsboro, they were not included in the PY because they are not comparable? Thank you!</t>
  </si>
  <si>
    <t>Remove cost of membership data for Stoneybrook and Palm Aire.</t>
  </si>
  <si>
    <t>Orchid Island joining fee should be 200k all non-refundable.</t>
  </si>
  <si>
    <t>Palma Ceia CY dues should be 6096</t>
  </si>
  <si>
    <t xml:space="preserve">phil comments 4/15 </t>
  </si>
  <si>
    <t>remove cost of m'ship</t>
  </si>
  <si>
    <t>Old Palm joining fees should be $85,500 refundable and $199,500 refundable for a total of $285k.</t>
  </si>
  <si>
    <t xml:space="preserve">phil comments 4/17 </t>
  </si>
  <si>
    <t>mirsol - new</t>
  </si>
  <si>
    <t>ibis - new</t>
  </si>
  <si>
    <t>bkb comments 4/17</t>
  </si>
  <si>
    <t>please see highlights above for open items</t>
  </si>
  <si>
    <t>phil comments 4/29</t>
  </si>
  <si>
    <t>Attached are revised sheets and one new one – Isla. Please include only the same data we used for Isla in prior years.</t>
  </si>
  <si>
    <t>Below are other changes:</t>
  </si>
  <si>
    <t>Naples YC joining fee should be $75k.</t>
  </si>
  <si>
    <t>Acres for Esplanade Naples and Palm Aire are correct.</t>
  </si>
  <si>
    <t>All other members – 584</t>
  </si>
  <si>
    <t>Regular capital assessment – should be $890 both PY and CY</t>
  </si>
  <si>
    <r>
      <t>Orchid Island</t>
    </r>
    <r>
      <rPr>
        <sz val="11"/>
        <color rgb="FF1F3864"/>
        <rFont val="Calibri"/>
        <family val="2"/>
      </rPr>
      <t> – PY all other members should have been 81 not 421</t>
    </r>
  </si>
  <si>
    <t>No to major capital renovation this year</t>
  </si>
  <si>
    <t>Food COS $788,374</t>
  </si>
  <si>
    <t>Beverage COS $282,779</t>
  </si>
  <si>
    <t>F&amp;B S&amp;W - $1,212,973 (adjusted down for 20% credit, no gratuity or service charge)</t>
  </si>
  <si>
    <t>Sailfish Point</t>
  </si>
  <si>
    <t># of foreign labor – 3</t>
  </si>
  <si>
    <r>
      <t>Loblolly</t>
    </r>
    <r>
      <rPr>
        <sz val="11"/>
        <color rgb="FF1F3864"/>
        <rFont val="Calibri"/>
        <family val="2"/>
      </rPr>
      <t> – use prior year number of covers</t>
    </r>
  </si>
  <si>
    <t>Payroll taxes and benefits – $229,369</t>
  </si>
  <si>
    <r>
      <t>Banyan</t>
    </r>
    <r>
      <rPr>
        <sz val="11"/>
        <color rgb="FF1F3864"/>
        <rFont val="Calibri"/>
        <family val="2"/>
      </rPr>
      <t> –</t>
    </r>
  </si>
  <si>
    <t>Golf revenue–$1,088,289</t>
  </si>
  <si>
    <t>Other revenue  $96,710</t>
  </si>
  <si>
    <r>
      <t>Bear Lakes </t>
    </r>
    <r>
      <rPr>
        <sz val="11"/>
        <color rgb="FF1F3864"/>
        <rFont val="Calibri"/>
        <family val="2"/>
      </rPr>
      <t>– refundable equity should be $0</t>
    </r>
  </si>
  <si>
    <t>Other cap assessment $6,500</t>
  </si>
  <si>
    <t>Food revenue $1,119,803</t>
  </si>
  <si>
    <t>Food COS 55.5%</t>
  </si>
  <si>
    <t>Bev COS 30.4%</t>
  </si>
  <si>
    <t>Beverage Revenue $681,930</t>
  </si>
  <si>
    <t>All other revenue $389,178</t>
  </si>
  <si>
    <t>I have emailed the client for the number of employees in season but haven’t heard back yet.</t>
  </si>
  <si>
    <r>
      <t>Delray Dunes </t>
    </r>
    <r>
      <rPr>
        <sz val="11"/>
        <color rgb="FF1F3864"/>
        <rFont val="Calibri"/>
        <family val="2"/>
      </rPr>
      <t>– Dues (AY) $13,990</t>
    </r>
  </si>
  <si>
    <r>
      <t>Mirasol – </t>
    </r>
    <r>
      <rPr>
        <sz val="11"/>
        <color rgb="FF1F3864"/>
        <rFont val="Calibri"/>
        <family val="2"/>
      </rPr>
      <t>all other revenue $669,035,</t>
    </r>
  </si>
  <si>
    <t>Other revenue (locker, spa, fitness) - $2,703,840</t>
  </si>
  <si>
    <t>Total ancillary costs - $959,000</t>
  </si>
  <si>
    <t>Old Palm</t>
  </si>
  <si>
    <t>Property taxes - $476,087</t>
  </si>
  <si>
    <t>Insurance - $365,579</t>
  </si>
  <si>
    <t>Operating expenses $5,351,276</t>
  </si>
  <si>
    <t>The Club switched to a service charge this year. The 20% credit that the trends spreadsheet is calculating is actually higher than the actual service charge which is causing the net F&amp;B S&amp;W % to be much lower than in the prior year (that was one of your comments on Old Palm). F&amp;B S&amp;W need to be grossed up to $2,152,790 in order for the credit to equate to the actual amount.</t>
  </si>
  <si>
    <t>Ibis</t>
  </si>
  <si>
    <t>F&amp;B S&amp;W $5,252,241 (adjusted down for 20% credit, no gratuity or service charge)</t>
  </si>
  <si>
    <t>Capital budget $1,480,000</t>
  </si>
  <si>
    <t>Beverage COS $699,729</t>
  </si>
  <si>
    <t>Bev COS 43.7%</t>
  </si>
  <si>
    <t>Total covers should be 376k</t>
  </si>
  <si>
    <t>Other F&amp;B expenses $1,285,057</t>
  </si>
  <si>
    <t>PY Other F&amp;B expenses $1,064,914</t>
  </si>
  <si>
    <t>F&amp;B S&amp;W $5,928,234 (adjusted down for 20% credit)</t>
  </si>
  <si>
    <t>Aberdeen</t>
  </si>
  <si>
    <t>Number of full members 341</t>
  </si>
  <si>
    <t>All other 796</t>
  </si>
  <si>
    <t>F&amp;B S&amp;W $2,990,770 (adjusted for 20% credit, no service charge or gratuity)</t>
  </si>
  <si>
    <t>Refundable IF $50,000</t>
  </si>
  <si>
    <t>Non-refundable IF $103,600</t>
  </si>
  <si>
    <t>Food COS $2,060,831</t>
  </si>
  <si>
    <t>Food COS 58.8%</t>
  </si>
  <si>
    <t>Beverage COS $243,758</t>
  </si>
  <si>
    <t>Beverage COS 36%</t>
  </si>
  <si>
    <t>Dues AY - $27,234</t>
  </si>
  <si>
    <t>Dues revenue $13,701,018</t>
  </si>
  <si>
    <t>Operating assessment $419,955</t>
  </si>
  <si>
    <t>Operating assessment per full member $900</t>
  </si>
  <si>
    <t>Broken Sound -</t>
  </si>
  <si>
    <t>Annual service charge $1,990</t>
  </si>
  <si>
    <t>GCM S&amp;W $1,718,325</t>
  </si>
  <si>
    <t>GCM Other $493,640</t>
  </si>
  <si>
    <t>Everglades Club – GCM s/b:</t>
  </si>
  <si>
    <t>S&amp;W = $1,627,027</t>
  </si>
  <si>
    <t>PTEB = $121,666</t>
  </si>
  <si>
    <t>Supplies = $429,229</t>
  </si>
  <si>
    <t>Other = $291,499</t>
  </si>
  <si>
    <t>Frenchman’s Creek</t>
  </si>
  <si>
    <t>Foreign labor s/b “yes” (1)</t>
  </si>
  <si>
    <t>F&amp;B Dept:</t>
  </si>
  <si>
    <t>Food sales 4377473</t>
  </si>
  <si>
    <t>F&amp;B salaries 3653143</t>
  </si>
  <si>
    <t>PTEB 995859</t>
  </si>
  <si>
    <t>Linen 43728</t>
  </si>
  <si>
    <t>Other 679177</t>
  </si>
  <si>
    <t>Pipers Landing – FY 2022</t>
  </si>
  <si>
    <t>F&amp;B min s/b $1,200</t>
  </si>
  <si>
    <t>Other cap/reno billed S/B $2,440</t>
  </si>
  <si>
    <t>Regular capital assessment = 1968</t>
  </si>
  <si>
    <t>Club at Quail Ridge</t>
  </si>
  <si>
    <t>Remove 598083 from food sales. Reduce S&amp;W by that amount. There should be no 20% credit reduction as their svc. Charge revenue is less than 20% of F&amp;B revenue. This should give us S&amp;S % of about 55.4%</t>
  </si>
  <si>
    <r>
      <t>Gleneagles BOCA </t>
    </r>
    <r>
      <rPr>
        <sz val="11"/>
        <color rgb="FF242424"/>
        <rFont val="Calibri"/>
        <family val="2"/>
      </rPr>
      <t>– FY 2022</t>
    </r>
  </si>
  <si>
    <t>nonrefundable s/b $95k (not $85k)</t>
  </si>
  <si>
    <t>F&amp;B PTEB s/b $508,980 to be consistent with PY (including taxes and WC)</t>
  </si>
  <si>
    <t>isla - no cost of m'ship section</t>
  </si>
  <si>
    <t>oaks put increase in menu/drinks prices back to NO</t>
  </si>
  <si>
    <t>I assumed 100% non-refundable  (SALY)</t>
  </si>
  <si>
    <t>&lt;</t>
  </si>
  <si>
    <t>updated CY.. I didn't do anything with PY</t>
  </si>
  <si>
    <t>no changes made to PY data</t>
  </si>
  <si>
    <t>in 2022 this shows $43k… is $127, 500 the correct amount?</t>
  </si>
  <si>
    <t>it was 74 in py. 16 foreign (saly)- used that for now</t>
  </si>
  <si>
    <t>updated figures get this result</t>
  </si>
  <si>
    <t>already had this</t>
  </si>
  <si>
    <t>used PY for now 123 and PY ancillary costs 590,359</t>
  </si>
  <si>
    <t>noted - o/s</t>
  </si>
  <si>
    <t>I just removed the credit but left the MANDATORY fixed service charge as yes w $50</t>
  </si>
  <si>
    <t>I don't have the formula in te Q'iare working properly for this… it takes 20% of al regardless of &lt; or &gt;</t>
  </si>
  <si>
    <t>note</t>
  </si>
  <si>
    <t>I only changed this number</t>
  </si>
  <si>
    <t xml:space="preserve">i put this in…... Amount budgeted for regular/other capital expenditure </t>
  </si>
  <si>
    <t>I changed Food COS to achieve this $</t>
  </si>
  <si>
    <t>I changed Food COS to achieve this %</t>
  </si>
  <si>
    <t>other comment:   total anciallary costs of $1.2m for foreign labour caught my eye…. Bit high… corect?</t>
  </si>
  <si>
    <t>total is</t>
  </si>
  <si>
    <t>bev needs to be</t>
  </si>
  <si>
    <t xml:space="preserve">so food must = </t>
  </si>
  <si>
    <t>updated  and see note</t>
  </si>
  <si>
    <t>ok as is 4/29</t>
  </si>
  <si>
    <t>used PY - 4/29</t>
  </si>
  <si>
    <t>cleared 4/29</t>
  </si>
  <si>
    <t>doesn't track banquet/ok re 20%</t>
  </si>
  <si>
    <t>ok re 20%</t>
  </si>
  <si>
    <t>since this is so big… I updated in 2022 final… I added pics to the F&amp;B tab to the mulpitple years/trends charts affected. Let me know if you want to update 2021</t>
  </si>
  <si>
    <t>Bear Lakes non-refundable IF is $100K</t>
  </si>
  <si>
    <t>Bear Lakes – number of employees in season 79 and additional 39 contract labor</t>
  </si>
  <si>
    <t>Ibis – COS F&amp;B  $3,507,096; Food COS $2,807,367; Other operating expenses $11,781,433</t>
  </si>
  <si>
    <t>Ibis – total ancillary costs for foreign labor is correct. Confirmed with Mark.</t>
  </si>
  <si>
    <t>Addison – Refundable IF $50,000; non-refundable IF $103,600. This change was missed.</t>
  </si>
  <si>
    <t>Broken Sound beverage sales $497,752</t>
  </si>
  <si>
    <t>Broken Sound food sales $3,463,666</t>
  </si>
  <si>
    <t>Bay Colony Golf Club Beverage cost of sales should be 819046</t>
  </si>
  <si>
    <t>I think we need to change the PY member numbers for Orchid Island as I think the correct numbers this year are leading to the implied membership decrease in that region, which is hard to rationalize. Use the same numbers last year as this year please.</t>
  </si>
  <si>
    <t>Orchid Island joining fee should be 200k non-refundable. That’s what we had on V4 so not sure why its 125k on V5. Sorry if I asked for that by mistake!</t>
  </si>
  <si>
    <t>Timber Pines – I don’t think we use their joining fee as its so low.</t>
  </si>
  <si>
    <t>Johns Island foreign labor number should be 150.</t>
  </si>
  <si>
    <t>Comments on the template:</t>
  </si>
  <si>
    <t>Tab Op Rev &amp; Exp</t>
  </si>
  <si>
    <t>Operating Revenue and expenses per (full member equivalent) FME</t>
  </si>
  <si>
    <t>Cell G34: not linked liked the other and it is the same number as last year</t>
  </si>
  <si>
    <t>Table below -  can’t have a surplus in one place and deficit in another – see items in yellow.</t>
  </si>
  <si>
    <t>Food and beverage subsidy trend statewide country clubs chart</t>
  </si>
  <si>
    <t>2021 other department expenses was 25.4% not 25.3% and the total was 180.7% not 180.6% per the PY Trends book.</t>
  </si>
  <si>
    <t>Do we want these to match PY?</t>
  </si>
  <si>
    <t>Statewide country Clubs Food &amp; Beverage Sales Volume</t>
  </si>
  <si>
    <t>2019: Beverage should be $700 not 701 and food should be 1,971 not 1,970 to match PY book</t>
  </si>
  <si>
    <t>2020: Beverage should be $543 not 544 and food should be 1,630 not 1,629 to match PY book</t>
  </si>
  <si>
    <t>2021 and 2022 have the same numbers</t>
  </si>
  <si>
    <t>GCM cost statewide trend 18-hole courses chart</t>
  </si>
  <si>
    <t>2020 numbers do not agree to PY book</t>
  </si>
  <si>
    <t>phil comments 5/3</t>
  </si>
  <si>
    <t>initiation out too low</t>
  </si>
  <si>
    <t>removed IF only</t>
  </si>
  <si>
    <t>PER TEXT</t>
  </si>
  <si>
    <t>TL  F&amp;B COS =1,411,764 updated  Op Exp to keep same net loss 241851</t>
  </si>
  <si>
    <t>udpated - see note</t>
  </si>
  <si>
    <t>extra cost related to for. Labour?</t>
  </si>
  <si>
    <t>I missed checking on this one to see what other changes were made prior to all the changes for V5.. It got overwritten.  When there is a minor change - ie doesn't affect any other numbers or only a couple, I fix in IN ROW,  not the IN COL. Larger changes need to go through the IN COL... so the 200 was not captured there</t>
  </si>
  <si>
    <t>&lt;&lt;&lt; changed orchid lsland</t>
  </si>
  <si>
    <t>NO CHANGE PER PHIL 5/6</t>
  </si>
  <si>
    <t>YES CORRECT</t>
  </si>
  <si>
    <t>NO M'SHIP</t>
  </si>
  <si>
    <t>MOVED TO END 5/6</t>
  </si>
  <si>
    <t>OPEN</t>
  </si>
  <si>
    <t>bkb comments 5/6 - open items</t>
  </si>
  <si>
    <t xml:space="preserve">Frenchmans Creek  - foreign labour  used PY for now  123 and anciallary  </t>
  </si>
  <si>
    <t>Johns Island  - need extra cost related to for. Labour</t>
  </si>
  <si>
    <t>changed from 950 to 930.  Diff is due to inc. in denominator N&amp;C clubs from 23 to 21</t>
  </si>
  <si>
    <t>good catch</t>
  </si>
  <si>
    <t>this is due to roundings -  I changed the roudning on the FME table from -2 to -1…. Makes sense now.  OK with fix ???</t>
  </si>
  <si>
    <t>OK in table, not graph.  Perhaps updated in book not here… it's roundings again..  I updated in this workbook</t>
  </si>
  <si>
    <t>yes - fixed</t>
  </si>
  <si>
    <t>Frenchmans Creek and Johns Island both should have yes for foreign labor. Checking on what the headcounts were.</t>
  </si>
  <si>
    <t>used French = PY 123 for now and py anciallary cost - confirm ok to use</t>
  </si>
  <si>
    <t>per issued 2021 trends</t>
  </si>
  <si>
    <t>NOTE</t>
  </si>
  <si>
    <t>updated to PYs acres   ibis 664 (had 400) and f/creek 210 (had 240) and isla del sol 82 (had 80)</t>
  </si>
  <si>
    <t>phil comments 5/9</t>
  </si>
  <si>
    <t>Vero Beach:</t>
  </si>
  <si>
    <t>Rounds in 2022                  29,840</t>
  </si>
  <si>
    <t>Acres                                     121.13 Acres  (all maintained)</t>
  </si>
  <si>
    <t>F Creek – cost of foreign labor is $805,000.</t>
  </si>
  <si>
    <t>IBIS is correct at 664 acres.</t>
  </si>
  <si>
    <t>Legends joining fee is $7,000.</t>
  </si>
  <si>
    <t>Colonial joining fee is $5,200</t>
  </si>
  <si>
    <t>Copperleaf joining fee is $7,500</t>
  </si>
  <si>
    <t>Countryside fee is $4,250</t>
  </si>
  <si>
    <t>Forest Glen is $$6,934</t>
  </si>
  <si>
    <t>Foxfire – fee is 6250</t>
  </si>
  <si>
    <t xml:space="preserve">Golf Tab: </t>
  </si>
  <si>
    <r>
      <t>·</t>
    </r>
    <r>
      <rPr>
        <sz val="7"/>
        <rFont val="Times New Roman"/>
        <family val="1"/>
      </rPr>
      <t xml:space="preserve">         </t>
    </r>
    <r>
      <rPr>
        <sz val="11"/>
        <rFont val="Calibri"/>
        <family val="2"/>
      </rPr>
      <t>GCM cost statewide trend 18-hole course: 2020 total should be 101,300 not $100,300 (Cell W121), the chart has the wrong number as well</t>
    </r>
  </si>
  <si>
    <r>
      <t>·</t>
    </r>
    <r>
      <rPr>
        <sz val="7"/>
        <rFont val="Times New Roman"/>
        <family val="1"/>
      </rPr>
      <t xml:space="preserve">         </t>
    </r>
    <r>
      <rPr>
        <sz val="11"/>
        <rFont val="Calibri"/>
        <family val="2"/>
      </rPr>
      <t>B192 should be $100,200 not $100,300 to match the PY book</t>
    </r>
  </si>
  <si>
    <t>F&amp;B Tab:</t>
  </si>
  <si>
    <r>
      <t>·</t>
    </r>
    <r>
      <rPr>
        <sz val="7"/>
        <rFont val="Times New Roman"/>
        <family val="1"/>
      </rPr>
      <t xml:space="preserve">         </t>
    </r>
    <r>
      <rPr>
        <sz val="11"/>
        <rFont val="Calibri"/>
        <family val="2"/>
      </rPr>
      <t>Average cost by region graph: Southwest w/o CIRAs percentage is not showing in full.</t>
    </r>
  </si>
  <si>
    <t>was ok on mine - I widened all with 2 digits</t>
  </si>
  <si>
    <t>typo from my change at weekend</t>
  </si>
  <si>
    <t>CHECKS _ DO NOT REMOVE</t>
  </si>
  <si>
    <t>updated - see comment</t>
  </si>
  <si>
    <t>trend chart and this chart need to match - discussed briefly Sunday.  Fixed for typo - now = 101,300</t>
  </si>
  <si>
    <t>last change 5/0 - johns island for lab cost = 880 and heacount = 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</si>
</sst>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5" formatCode="&quot;$&quot;#,##0_);\(&quot;$&quot;#,##0\)"/>
    <numFmt numFmtId="7" formatCode="&quot;$&quot;#,##0.00_);\(&quot;$&quot;#,##0.00\)"/>
    <numFmt numFmtId="43" formatCode="_(* #,##0.00_);_(* \(#,##0.00\);_(* &quot;-&quot;??_);_(@_)"/>
    <numFmt numFmtId="164" formatCode="_-&quot;£&quot;* #,##0.00_-;\-&quot;£&quot;* #,##0.00_-;_-&quot;£&quot;* &quot;-&quot;??_-;_-@_-"/>
    <numFmt numFmtId="165" formatCode="_-* #,##0.00_-;\-* #,##0.00_-;_-* &quot;-&quot;??_-;_-@_-"/>
    <numFmt numFmtId="166" formatCode="mm/dd/yy_)"/>
    <numFmt numFmtId="167" formatCode="0.0%"/>
    <numFmt numFmtId="168" formatCode="0.0%;\(0.0\)%"/>
    <numFmt numFmtId="169" formatCode="#,##0.0;\-#,##0.0"/>
    <numFmt numFmtId="170" formatCode="_-* #,##0.0_-;\-* #,##0.0_-;_-* &quot;-&quot;??_-;_-@_-"/>
    <numFmt numFmtId="171" formatCode="_-* #,##0_-;\-* #,##0_-;_-* &quot;-&quot;??_-;_-@_-"/>
    <numFmt numFmtId="172" formatCode="_(* #,##0\ \ _);_(* \(#,##0\)\ \ ;_(* &quot;-&quot;??_);_(@_)"/>
    <numFmt numFmtId="173" formatCode="_(* #,##0.0\ \ _);_(* \(#,##0.0\)\ \ ;_(* &quot;-&quot;??_);_(@_)"/>
    <numFmt numFmtId="174" formatCode="_(&quot;$&quot;* #,##0\ \ _);_(&quot;$&quot;* \(#,##0\)\ \ ;_(&quot;$&quot;* &quot;-&quot;??_);_(@_)"/>
    <numFmt numFmtId="175" formatCode="0%;\(0\)%"/>
    <numFmt numFmtId="176" formatCode="_(&quot;$&quot;* #,##0.00\ \ _);_(&quot;$&quot;* \(#,##0.00\)\ \ ;_(&quot;$&quot;* &quot;-&quot;??_);_(@__\)"/>
    <numFmt numFmtId="177" formatCode="_(&quot;$&quot;* #,##0.00\ \ _);_(&quot;$&quot;* \(#,##0.00\)\ \ ;_(&quot;$&quot;* &quot;-&quot;??_);_(@_)"/>
    <numFmt numFmtId="178" formatCode="_(* #,##0.00\ \ _);_(* \(#,##0.00\)\ \ ;_(* &quot;-&quot;??_);_(@_)"/>
    <numFmt numFmtId="179" formatCode="#,##0.0_);\(#,##0.0\)"/>
    <numFmt numFmtId="180" formatCode="_(&quot;$&quot;* #,##0_);_(&quot;$&quot;* \(#,##0\);_(&quot;$&quot;* &quot;-&quot;??_);_(@_)"/>
    <numFmt numFmtId="181" formatCode="\$#,##0;\-&quot;£&quot;#,##0"/>
    <numFmt numFmtId="182" formatCode="\$#,##0;\$\(#,##0\)"/>
    <numFmt numFmtId="183" formatCode="\$#,##0.00;\-&quot;£&quot;#,##0.00"/>
    <numFmt numFmtId="184" formatCode="#,##0;\(#,##0\)"/>
    <numFmt numFmtId="185" formatCode="#,##0.0;\(#,##0.0\)"/>
    <numFmt numFmtId="186" formatCode="0.0_);\(0.0\)"/>
    <numFmt numFmtId="187" formatCode="_(&quot;$&quot;#,##0_);_(&quot;$&quot;\(#,##0\);_(&quot;$&quot;&quot;-&quot;_);_(@_)"/>
    <numFmt numFmtId="188" formatCode="_(&quot;$&quot;#,##0.00_);_(&quot;$&quot;\(#,##0.00\);_(&quot;$&quot;&quot;-&quot;_);_(@_)"/>
    <numFmt numFmtId="189" formatCode="_0.0%;\(0.0\)%"/>
    <numFmt numFmtId="190" formatCode="#,##0.0"/>
    <numFmt numFmtId="191" formatCode="_(* #,##0_);_(* \(#,##0\);_(* &quot;-&quot;??_);_(@_)"/>
    <numFmt numFmtId="192" formatCode="_([$$-409]* #,##0_);_([$$-409]* \(#,##0\);_([$$-409]* &quot;-&quot;??_);_(@_)"/>
    <numFmt numFmtId="193" formatCode="0.0"/>
    <numFmt numFmtId="194" formatCode="_(* #,##0_)\ \ ;_(* \(#,##0\)\ \ ;_(* &quot;-&quot;???_);_(@_)"/>
  </numFmts>
  <fonts count="316">
    <font>
      <sz val="12"/>
      <name val="Arial MT"/>
    </font>
    <font>
      <sz val="11"/>
      <color theme="1"/>
      <name val="Calibri"/>
      <family val="2"/>
      <scheme val="minor"/>
    </font>
    <font>
      <sz val="11"/>
      <color theme="1"/>
      <name val="Calibri"/>
      <family val="2"/>
      <scheme val="minor"/>
    </font>
    <font>
      <sz val="11"/>
      <color theme="1"/>
      <name val="Calibri"/>
      <family val="2"/>
      <scheme val="minor"/>
    </font>
    <font>
      <sz val="8"/>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b/>
      <sz val="12"/>
      <name val="Arial"/>
      <family val="2"/>
    </font>
    <font>
      <sz val="12"/>
      <name val="Arial MT"/>
    </font>
    <font>
      <sz val="8"/>
      <name val="Arial MT"/>
    </font>
    <font>
      <sz val="11"/>
      <name val="Arial Narrow"/>
      <family val="2"/>
    </font>
    <font>
      <sz val="12"/>
      <color theme="5"/>
      <name val="Arial MT"/>
    </font>
    <font>
      <sz val="12"/>
      <color rgb="FF0070C0"/>
      <name val="Arial MT"/>
    </font>
    <font>
      <sz val="12"/>
      <color rgb="FF0070C0"/>
      <name val="Arial"/>
      <family val="2"/>
    </font>
    <font>
      <sz val="12"/>
      <color theme="4"/>
      <name val="Arial MT"/>
    </font>
    <font>
      <sz val="12"/>
      <color theme="4"/>
      <name val="Arial"/>
      <family val="2"/>
    </font>
    <font>
      <b/>
      <sz val="16"/>
      <name val="Arial"/>
      <family val="2"/>
    </font>
    <font>
      <b/>
      <sz val="16"/>
      <name val="Arial MT"/>
    </font>
    <font>
      <b/>
      <sz val="16"/>
      <color rgb="FFC00000"/>
      <name val="Arial MT"/>
    </font>
    <font>
      <b/>
      <sz val="16"/>
      <color rgb="FFC00000"/>
      <name val="Arial"/>
      <family val="2"/>
    </font>
    <font>
      <sz val="22"/>
      <color rgb="FFFF0000"/>
      <name val="Arial"/>
      <family val="2"/>
    </font>
    <font>
      <sz val="10"/>
      <color indexed="81"/>
      <name val="Tahoma"/>
      <family val="2"/>
    </font>
    <font>
      <b/>
      <sz val="14"/>
      <color rgb="FFFF0000"/>
      <name val="Arial MT"/>
    </font>
    <font>
      <b/>
      <sz val="12"/>
      <color indexed="81"/>
      <name val="Tahoma"/>
      <family val="2"/>
    </font>
    <font>
      <b/>
      <sz val="16"/>
      <color theme="0" tint="-0.499984740745262"/>
      <name val="Arial MT"/>
    </font>
    <font>
      <sz val="12"/>
      <color theme="0" tint="-0.499984740745262"/>
      <name val="Arial MT"/>
    </font>
    <font>
      <b/>
      <sz val="16"/>
      <color theme="7"/>
      <name val="Arial MT"/>
    </font>
    <font>
      <sz val="12"/>
      <color theme="7"/>
      <name val="Arial"/>
      <family val="2"/>
    </font>
    <font>
      <sz val="12"/>
      <color theme="7"/>
      <name val="Arial MT"/>
    </font>
    <font>
      <b/>
      <sz val="12"/>
      <color theme="7"/>
      <name val="Arial MT"/>
    </font>
    <font>
      <b/>
      <sz val="16"/>
      <color theme="1" tint="0.499984740745262"/>
      <name val="Arial MT"/>
    </font>
    <font>
      <sz val="12"/>
      <color theme="1" tint="0.34998626667073579"/>
      <name val="Arial MT"/>
    </font>
    <font>
      <sz val="12"/>
      <color theme="1" tint="0.34998626667073579"/>
      <name val="Arial"/>
      <family val="2"/>
    </font>
    <font>
      <sz val="12"/>
      <color theme="0" tint="-0.499984740745262"/>
      <name val="Arial"/>
      <family val="2"/>
    </font>
    <font>
      <sz val="11"/>
      <name val="Myriad Web"/>
      <family val="2"/>
    </font>
    <font>
      <b/>
      <sz val="11"/>
      <name val="Myriad Web"/>
      <family val="2"/>
    </font>
    <font>
      <b/>
      <sz val="14"/>
      <color theme="4" tint="-0.249977111117893"/>
      <name val="Myriad Web"/>
      <family val="2"/>
    </font>
    <font>
      <sz val="12"/>
      <name val="Myriad Web"/>
      <family val="2"/>
    </font>
    <font>
      <sz val="11"/>
      <color theme="1" tint="0.499984740745262"/>
      <name val="Myriad Web"/>
      <family val="2"/>
    </font>
    <font>
      <b/>
      <sz val="16"/>
      <name val="Myriad Web"/>
      <family val="2"/>
    </font>
    <font>
      <b/>
      <sz val="12"/>
      <color theme="4" tint="-0.249977111117893"/>
      <name val="Myriad Web"/>
      <family val="2"/>
    </font>
    <font>
      <sz val="12"/>
      <color theme="1" tint="0.499984740745262"/>
      <name val="Myriad Web"/>
      <family val="2"/>
    </font>
    <font>
      <b/>
      <sz val="11"/>
      <color theme="1" tint="0.499984740745262"/>
      <name val="Myriad Web"/>
      <family val="2"/>
    </font>
    <font>
      <b/>
      <sz val="12"/>
      <name val="Myriad Web"/>
      <family val="2"/>
    </font>
    <font>
      <b/>
      <sz val="16"/>
      <color theme="4" tint="-0.249977111117893"/>
      <name val="Myriad Web"/>
      <family val="2"/>
    </font>
    <font>
      <b/>
      <sz val="12"/>
      <color theme="4"/>
      <name val="Myriad Web"/>
      <family val="2"/>
    </font>
    <font>
      <b/>
      <sz val="11"/>
      <color theme="4" tint="-0.249977111117893"/>
      <name val="Myriad Web"/>
      <family val="2"/>
    </font>
    <font>
      <sz val="11"/>
      <color theme="1"/>
      <name val="Myriad Web"/>
      <family val="2"/>
    </font>
    <font>
      <sz val="11"/>
      <color rgb="FF0070C0"/>
      <name val="Myriad Web"/>
      <family val="2"/>
    </font>
    <font>
      <b/>
      <sz val="11"/>
      <color rgb="FF0070C0"/>
      <name val="Myriad Web"/>
      <family val="2"/>
    </font>
    <font>
      <sz val="12"/>
      <color rgb="FF0070C0"/>
      <name val="Myriad Web"/>
      <family val="2"/>
    </font>
    <font>
      <b/>
      <sz val="16"/>
      <color rgb="FF0070C0"/>
      <name val="Myriad Web"/>
      <family val="2"/>
    </font>
    <font>
      <b/>
      <sz val="12"/>
      <color rgb="FF0070C0"/>
      <name val="Myriad Web"/>
      <family val="2"/>
    </font>
    <font>
      <sz val="14"/>
      <name val="Myriad Web"/>
      <family val="2"/>
    </font>
    <font>
      <sz val="14"/>
      <color rgb="FF0070C0"/>
      <name val="Myriad Web"/>
      <family val="2"/>
    </font>
    <font>
      <sz val="16"/>
      <name val="Myriad Web"/>
      <family val="2"/>
    </font>
    <font>
      <sz val="12"/>
      <color rgb="FF007FB1"/>
      <name val="Myriad Web"/>
      <family val="2"/>
    </font>
    <font>
      <b/>
      <sz val="12"/>
      <color theme="7"/>
      <name val="Arial"/>
      <family val="2"/>
    </font>
    <font>
      <sz val="12"/>
      <color indexed="81"/>
      <name val="Tahoma"/>
      <family val="2"/>
    </font>
    <font>
      <sz val="11"/>
      <color theme="1" tint="0.499984740745262"/>
      <name val="Calibri"/>
      <family val="2"/>
      <scheme val="minor"/>
    </font>
    <font>
      <b/>
      <sz val="11"/>
      <color theme="1" tint="0.499984740745262"/>
      <name val="Calibri"/>
      <family val="2"/>
      <scheme val="minor"/>
    </font>
    <font>
      <sz val="14"/>
      <color theme="4"/>
      <name val="Arial MT"/>
    </font>
    <font>
      <sz val="12"/>
      <color rgb="FF007FB1"/>
      <name val="Arial MT"/>
    </font>
    <font>
      <sz val="12"/>
      <color rgb="FF007FB1"/>
      <name val="Arial"/>
      <family val="2"/>
    </font>
    <font>
      <b/>
      <sz val="12"/>
      <color rgb="FF007FB1"/>
      <name val="Arial MT"/>
    </font>
    <font>
      <sz val="11"/>
      <color indexed="17"/>
      <name val="Myriad Web"/>
      <family val="2"/>
    </font>
    <font>
      <b/>
      <sz val="11"/>
      <color rgb="FFFF0000"/>
      <name val="Myriad Web"/>
      <family val="2"/>
    </font>
    <font>
      <sz val="11"/>
      <color indexed="12"/>
      <name val="Myriad Web"/>
      <family val="2"/>
    </font>
    <font>
      <b/>
      <sz val="11"/>
      <color indexed="10"/>
      <name val="Myriad Web"/>
      <family val="2"/>
    </font>
    <font>
      <b/>
      <sz val="16"/>
      <color theme="5"/>
      <name val="Myriad Web"/>
      <family val="2"/>
    </font>
    <font>
      <strike/>
      <sz val="11"/>
      <name val="Myriad Web"/>
      <family val="2"/>
    </font>
    <font>
      <sz val="11"/>
      <color theme="0"/>
      <name val="Myriad Web"/>
      <family val="2"/>
    </font>
    <font>
      <b/>
      <u/>
      <sz val="11"/>
      <name val="Myriad Web"/>
      <family val="2"/>
    </font>
    <font>
      <b/>
      <sz val="12"/>
      <name val="Arial MT"/>
    </font>
    <font>
      <sz val="12"/>
      <color theme="7" tint="0.39997558519241921"/>
      <name val="Arial MT"/>
    </font>
    <font>
      <sz val="16"/>
      <color theme="0" tint="-0.499984740745262"/>
      <name val="Arial MT"/>
    </font>
    <font>
      <b/>
      <u/>
      <sz val="11"/>
      <name val="Arial Black"/>
      <family val="2"/>
    </font>
    <font>
      <b/>
      <sz val="12"/>
      <color theme="7" tint="0.39997558519241921"/>
      <name val="Arial MT"/>
    </font>
    <font>
      <b/>
      <sz val="14"/>
      <name val="Arial Narrow"/>
      <family val="2"/>
    </font>
    <font>
      <sz val="11"/>
      <name val="Myriad Web"/>
    </font>
    <font>
      <b/>
      <sz val="12"/>
      <color rgb="FFFF0000"/>
      <name val="Arial"/>
      <family val="2"/>
    </font>
    <font>
      <sz val="8"/>
      <name val="Arial"/>
      <family val="2"/>
    </font>
    <font>
      <b/>
      <sz val="12"/>
      <color rgb="FF0032D7"/>
      <name val="Arial MT"/>
    </font>
    <font>
      <b/>
      <sz val="14"/>
      <color indexed="81"/>
      <name val="Tahoma"/>
      <family val="2"/>
    </font>
    <font>
      <sz val="10"/>
      <color theme="1"/>
      <name val="Calibri"/>
      <family val="2"/>
      <scheme val="minor"/>
    </font>
    <font>
      <b/>
      <sz val="10"/>
      <color rgb="FFFF0000"/>
      <name val="Calibri"/>
      <family val="2"/>
      <scheme val="minor"/>
    </font>
    <font>
      <b/>
      <sz val="16"/>
      <color rgb="FF0032D7"/>
      <name val="Arial"/>
      <family val="2"/>
    </font>
    <font>
      <b/>
      <sz val="11"/>
      <color rgb="FF0032D7"/>
      <name val="Arial"/>
      <family val="2"/>
    </font>
    <font>
      <sz val="12"/>
      <color rgb="FF0032D7"/>
      <name val="Arial"/>
      <family val="2"/>
    </font>
    <font>
      <b/>
      <sz val="11"/>
      <name val="Myriad Web"/>
    </font>
    <font>
      <b/>
      <sz val="16"/>
      <color rgb="FFFF0000"/>
      <name val="Arial MT"/>
    </font>
    <font>
      <b/>
      <sz val="12"/>
      <color rgb="FFFF0000"/>
      <name val="Arial MT"/>
    </font>
    <font>
      <sz val="12"/>
      <name val="Calibri"/>
      <family val="2"/>
      <scheme val="minor"/>
    </font>
    <font>
      <sz val="16"/>
      <name val="Arial"/>
      <family val="2"/>
    </font>
    <font>
      <u/>
      <sz val="12"/>
      <name val="Myriad Web"/>
      <family val="2"/>
    </font>
    <font>
      <sz val="14"/>
      <color theme="1" tint="0.499984740745262"/>
      <name val="Arial"/>
      <family val="2"/>
    </font>
    <font>
      <sz val="11"/>
      <color theme="1" tint="0.499984740745262"/>
      <name val="Arial"/>
      <family val="2"/>
    </font>
    <font>
      <sz val="11"/>
      <name val="Arial"/>
      <family val="2"/>
    </font>
    <font>
      <sz val="12"/>
      <color theme="1" tint="0.499984740745262"/>
      <name val="Arial"/>
      <family val="2"/>
    </font>
    <font>
      <b/>
      <sz val="16"/>
      <color rgb="FF0070C0"/>
      <name val="Arial"/>
      <family val="2"/>
    </font>
    <font>
      <b/>
      <sz val="16"/>
      <color theme="4" tint="-0.249977111117893"/>
      <name val="Arial"/>
      <family val="2"/>
    </font>
    <font>
      <b/>
      <sz val="14"/>
      <color theme="4" tint="-0.249977111117893"/>
      <name val="Arial"/>
      <family val="2"/>
    </font>
    <font>
      <b/>
      <sz val="11"/>
      <name val="Arial"/>
      <family val="2"/>
    </font>
    <font>
      <sz val="14"/>
      <name val="Arial"/>
      <family val="2"/>
    </font>
    <font>
      <b/>
      <sz val="11"/>
      <color rgb="FFFF0000"/>
      <name val="Myriad Web"/>
    </font>
    <font>
      <b/>
      <sz val="12"/>
      <color rgb="FFFF0000"/>
      <name val="Myriad Web"/>
    </font>
    <font>
      <sz val="11"/>
      <color theme="1" tint="0.499984740745262"/>
      <name val="Myriad Web"/>
    </font>
    <font>
      <sz val="12"/>
      <color rgb="FFFF0000"/>
      <name val="Myriad Web"/>
      <family val="2"/>
    </font>
    <font>
      <sz val="10"/>
      <color rgb="FF000000"/>
      <name val="Segoe UI"/>
      <family val="2"/>
    </font>
    <font>
      <b/>
      <sz val="11"/>
      <color theme="0" tint="-0.499984740745262"/>
      <name val="Myriad Web"/>
      <family val="2"/>
    </font>
    <font>
      <b/>
      <sz val="10"/>
      <color rgb="FF0032D7"/>
      <name val="Arial"/>
      <family val="2"/>
    </font>
    <font>
      <sz val="12"/>
      <color theme="0" tint="-0.34998626667073579"/>
      <name val="Myriad Web"/>
      <family val="2"/>
    </font>
    <font>
      <b/>
      <sz val="11"/>
      <color rgb="FF0000FF"/>
      <name val="Myriad Web"/>
    </font>
    <font>
      <sz val="11"/>
      <color rgb="FF0032D7"/>
      <name val="Arial"/>
      <family val="2"/>
    </font>
    <font>
      <b/>
      <sz val="11"/>
      <color rgb="FF0032D7"/>
      <name val="Myriad Web"/>
    </font>
    <font>
      <b/>
      <sz val="11"/>
      <color rgb="FF0000FF"/>
      <name val="Arial"/>
      <family val="2"/>
    </font>
    <font>
      <sz val="10"/>
      <name val="Arial"/>
      <family val="2"/>
    </font>
    <font>
      <sz val="12"/>
      <color rgb="FF0065A5"/>
      <name val="Arial MT"/>
    </font>
    <font>
      <b/>
      <sz val="12"/>
      <color rgb="FF0065A5"/>
      <name val="Arial MT"/>
    </font>
    <font>
      <sz val="10"/>
      <color rgb="FF0000FF"/>
      <name val="Arial"/>
      <family val="2"/>
    </font>
    <font>
      <sz val="10"/>
      <color rgb="FFFF0000"/>
      <name val="Arial"/>
      <family val="2"/>
    </font>
    <font>
      <sz val="12"/>
      <color rgb="FF0096D7"/>
      <name val="Arial MT"/>
    </font>
    <font>
      <b/>
      <sz val="12"/>
      <name val="Myriad Web"/>
    </font>
    <font>
      <sz val="18"/>
      <name val="Myriad Web"/>
      <family val="2"/>
    </font>
    <font>
      <b/>
      <sz val="14"/>
      <color rgb="FFFF0000"/>
      <name val="Myriad Web"/>
    </font>
    <font>
      <sz val="10"/>
      <name val="Arial MT"/>
    </font>
    <font>
      <sz val="10"/>
      <name val="Calibri"/>
      <family val="2"/>
      <scheme val="minor"/>
    </font>
    <font>
      <sz val="9"/>
      <color indexed="81"/>
      <name val="Tahoma"/>
      <family val="2"/>
    </font>
    <font>
      <b/>
      <sz val="10"/>
      <name val="Arial"/>
      <family val="2"/>
    </font>
    <font>
      <b/>
      <sz val="10"/>
      <name val="Arial MT"/>
    </font>
    <font>
      <b/>
      <sz val="10"/>
      <color rgb="FFFF0000"/>
      <name val="Arial"/>
      <family val="2"/>
    </font>
    <font>
      <strike/>
      <sz val="10"/>
      <color rgb="FFFF0000"/>
      <name val="Arial"/>
      <family val="2"/>
    </font>
    <font>
      <strike/>
      <sz val="10"/>
      <name val="Arial MT"/>
    </font>
    <font>
      <b/>
      <sz val="11"/>
      <color theme="1" tint="0.499984740745262"/>
      <name val="Myriad Web"/>
    </font>
    <font>
      <b/>
      <sz val="12"/>
      <color indexed="10"/>
      <name val="Arial"/>
      <family val="2"/>
    </font>
    <font>
      <sz val="12"/>
      <color rgb="FF0033CC"/>
      <name val="Arial MT"/>
    </font>
    <font>
      <sz val="11"/>
      <name val="Arial MT"/>
    </font>
    <font>
      <sz val="11"/>
      <color theme="4"/>
      <name val="Arial MT"/>
    </font>
    <font>
      <b/>
      <sz val="12"/>
      <color indexed="12"/>
      <name val="Calibri"/>
      <family val="2"/>
      <scheme val="minor"/>
    </font>
    <font>
      <sz val="12"/>
      <color indexed="12"/>
      <name val="Calibri"/>
      <family val="2"/>
      <scheme val="minor"/>
    </font>
    <font>
      <sz val="12"/>
      <color rgb="FF0000FF"/>
      <name val="Calibri"/>
      <family val="2"/>
      <scheme val="minor"/>
    </font>
    <font>
      <sz val="12"/>
      <color rgb="FF4572A7"/>
      <name val="Arial MT"/>
    </font>
    <font>
      <b/>
      <sz val="14"/>
      <color rgb="FFFF0000"/>
      <name val="Arial"/>
      <family val="2"/>
    </font>
    <font>
      <sz val="10"/>
      <color rgb="FF002060"/>
      <name val="Calibri"/>
      <family val="2"/>
      <scheme val="minor"/>
    </font>
    <font>
      <sz val="12"/>
      <color rgb="FF0000FF"/>
      <name val="Arial"/>
      <family val="2"/>
    </font>
    <font>
      <strike/>
      <sz val="11"/>
      <color theme="1"/>
      <name val="Calibri"/>
      <family val="2"/>
      <scheme val="minor"/>
    </font>
    <font>
      <b/>
      <sz val="16"/>
      <color rgb="FFFFFF00"/>
      <name val="Calibri"/>
      <family val="2"/>
      <scheme val="minor"/>
    </font>
    <font>
      <sz val="12"/>
      <color rgb="FFFFFF00"/>
      <name val="Arial"/>
      <family val="2"/>
    </font>
    <font>
      <b/>
      <sz val="12"/>
      <color rgb="FFFFFF00"/>
      <name val="Arial"/>
      <family val="2"/>
    </font>
    <font>
      <b/>
      <sz val="12"/>
      <color rgb="FF0000FF"/>
      <name val="Arial"/>
      <family val="2"/>
    </font>
    <font>
      <sz val="12"/>
      <color rgb="FFFF0000"/>
      <name val="Arial"/>
      <family val="2"/>
    </font>
    <font>
      <strike/>
      <sz val="12"/>
      <color theme="1"/>
      <name val="Calibri"/>
      <family val="2"/>
      <scheme val="minor"/>
    </font>
    <font>
      <sz val="12"/>
      <color rgb="FFFF0000"/>
      <name val="Arial MT"/>
    </font>
    <font>
      <b/>
      <sz val="12"/>
      <color theme="0" tint="-0.499984740745262"/>
      <name val="Arial MT"/>
    </font>
    <font>
      <b/>
      <sz val="16"/>
      <color theme="0" tint="-0.34998626667073579"/>
      <name val="Arial"/>
      <family val="2"/>
    </font>
    <font>
      <sz val="12"/>
      <color theme="0" tint="-0.34998626667073579"/>
      <name val="Arial"/>
      <family val="2"/>
    </font>
    <font>
      <b/>
      <sz val="12"/>
      <color theme="0" tint="-0.34998626667073579"/>
      <name val="Arial MT"/>
    </font>
    <font>
      <sz val="12"/>
      <color theme="0" tint="-0.34998626667073579"/>
      <name val="Arial MT"/>
    </font>
    <font>
      <sz val="14"/>
      <color rgb="FF0000FF"/>
      <name val="Arial"/>
      <family val="2"/>
    </font>
    <font>
      <sz val="14"/>
      <color theme="0" tint="-0.34998626667073579"/>
      <name val="Arial"/>
      <family val="2"/>
    </font>
    <font>
      <b/>
      <sz val="12"/>
      <color rgb="FF0000FF"/>
      <name val="Calibri"/>
      <family val="2"/>
    </font>
    <font>
      <b/>
      <sz val="9"/>
      <color indexed="81"/>
      <name val="Tahoma"/>
      <family val="2"/>
    </font>
    <font>
      <sz val="11"/>
      <color theme="0" tint="-0.499984740745262"/>
      <name val="Myriad Web"/>
    </font>
    <font>
      <b/>
      <sz val="20"/>
      <color rgb="FFFFFF00"/>
      <name val="Calibri"/>
      <family val="2"/>
      <scheme val="minor"/>
    </font>
    <font>
      <b/>
      <sz val="12"/>
      <color theme="1"/>
      <name val="Calibri"/>
      <family val="2"/>
      <scheme val="minor"/>
    </font>
    <font>
      <b/>
      <sz val="16"/>
      <color rgb="FFFF0000"/>
      <name val="Calibri"/>
      <family val="2"/>
      <scheme val="minor"/>
    </font>
    <font>
      <sz val="12"/>
      <color indexed="10"/>
      <name val="Calibri"/>
      <family val="2"/>
      <scheme val="minor"/>
    </font>
    <font>
      <b/>
      <sz val="12"/>
      <name val="Calibri"/>
      <family val="2"/>
    </font>
    <font>
      <b/>
      <sz val="12"/>
      <name val="Calibri"/>
      <family val="2"/>
      <scheme val="minor"/>
    </font>
    <font>
      <sz val="12"/>
      <color rgb="FFFF0000"/>
      <name val="Calibri"/>
      <family val="2"/>
      <scheme val="minor"/>
    </font>
    <font>
      <sz val="12"/>
      <name val="Calibri"/>
      <family val="2"/>
    </font>
    <font>
      <sz val="12"/>
      <color rgb="FF000099"/>
      <name val="Calibri"/>
      <family val="2"/>
      <scheme val="minor"/>
    </font>
    <font>
      <b/>
      <sz val="12"/>
      <color rgb="FFFF0000"/>
      <name val="Calibri"/>
      <family val="2"/>
      <scheme val="minor"/>
    </font>
    <font>
      <i/>
      <sz val="12"/>
      <name val="Calibri"/>
      <family val="2"/>
      <scheme val="minor"/>
    </font>
    <font>
      <b/>
      <sz val="12"/>
      <color indexed="10"/>
      <name val="Calibri"/>
      <family val="2"/>
      <scheme val="minor"/>
    </font>
    <font>
      <u/>
      <sz val="12"/>
      <name val="Calibri"/>
      <family val="2"/>
      <scheme val="minor"/>
    </font>
    <font>
      <b/>
      <u/>
      <sz val="12"/>
      <name val="Calibri"/>
      <family val="2"/>
      <scheme val="minor"/>
    </font>
    <font>
      <b/>
      <sz val="16"/>
      <name val="Calibri"/>
      <family val="2"/>
      <scheme val="minor"/>
    </font>
    <font>
      <u/>
      <sz val="10.45"/>
      <color indexed="12"/>
      <name val="Arial MT"/>
    </font>
    <font>
      <u/>
      <sz val="12"/>
      <color indexed="12"/>
      <name val="Calibri"/>
      <family val="2"/>
      <scheme val="minor"/>
    </font>
    <font>
      <sz val="12"/>
      <color indexed="10"/>
      <name val="Arial"/>
      <family val="2"/>
    </font>
    <font>
      <sz val="12"/>
      <color rgb="FF0000FF"/>
      <name val="Arial MT"/>
    </font>
    <font>
      <strike/>
      <sz val="12"/>
      <color theme="0" tint="-0.34998626667073579"/>
      <name val="Arial MT"/>
    </font>
    <font>
      <sz val="10"/>
      <name val="Arial"/>
      <family val="2"/>
    </font>
    <font>
      <b/>
      <sz val="11"/>
      <color indexed="81"/>
      <name val="Tahoma"/>
      <family val="2"/>
    </font>
    <font>
      <sz val="12"/>
      <color theme="0" tint="-0.499984740745262"/>
      <name val="Myriad Web"/>
      <family val="2"/>
    </font>
    <font>
      <sz val="11"/>
      <color theme="0" tint="-0.499984740745262"/>
      <name val="Myriad Web"/>
      <family val="2"/>
    </font>
    <font>
      <sz val="10"/>
      <color theme="0" tint="-0.499984740745262"/>
      <name val="Arial"/>
      <family val="2"/>
    </font>
    <font>
      <sz val="10"/>
      <color theme="0" tint="-0.499984740745262"/>
      <name val="Myriad Web"/>
      <family val="2"/>
    </font>
    <font>
      <sz val="10"/>
      <color rgb="FF0000FF"/>
      <name val="Calibri"/>
      <family val="2"/>
      <scheme val="minor"/>
    </font>
    <font>
      <b/>
      <u/>
      <sz val="10"/>
      <color rgb="FFFF0000"/>
      <name val="Calibri"/>
      <family val="2"/>
      <scheme val="minor"/>
    </font>
    <font>
      <b/>
      <u/>
      <sz val="10"/>
      <name val="Calibri"/>
      <family val="2"/>
      <scheme val="minor"/>
    </font>
    <font>
      <b/>
      <sz val="10"/>
      <name val="Calibri"/>
      <family val="2"/>
      <scheme val="minor"/>
    </font>
    <font>
      <strike/>
      <sz val="10"/>
      <name val="Calibri"/>
      <family val="2"/>
      <scheme val="minor"/>
    </font>
    <font>
      <sz val="10"/>
      <color rgb="FFFF0000"/>
      <name val="Calibri"/>
      <family val="2"/>
      <scheme val="minor"/>
    </font>
    <font>
      <strike/>
      <sz val="10"/>
      <color rgb="FF212121"/>
      <name val="Calibri"/>
      <family val="2"/>
      <scheme val="minor"/>
    </font>
    <font>
      <sz val="10"/>
      <color rgb="FF212121"/>
      <name val="Calibri"/>
      <family val="2"/>
      <scheme val="minor"/>
    </font>
    <font>
      <sz val="10"/>
      <color rgb="FF007FB1"/>
      <name val="Calibri"/>
      <family val="2"/>
      <scheme val="minor"/>
    </font>
    <font>
      <sz val="10"/>
      <color rgb="FF1F497D"/>
      <name val="Calibri"/>
      <family val="2"/>
      <scheme val="minor"/>
    </font>
    <font>
      <strike/>
      <sz val="10"/>
      <color rgb="FFFF0000"/>
      <name val="Calibri"/>
      <family val="2"/>
      <scheme val="minor"/>
    </font>
    <font>
      <strike/>
      <sz val="10"/>
      <color rgb="FF1F497D"/>
      <name val="Calibri"/>
      <family val="2"/>
      <scheme val="minor"/>
    </font>
    <font>
      <b/>
      <sz val="11"/>
      <color theme="0"/>
      <name val="Calibri"/>
      <family val="2"/>
      <scheme val="minor"/>
    </font>
    <font>
      <sz val="11"/>
      <color rgb="FF1F497D"/>
      <name val="Times New Roman"/>
      <family val="1"/>
    </font>
    <font>
      <strike/>
      <sz val="11"/>
      <color rgb="FF1F497D"/>
      <name val="Times New Roman"/>
      <family val="1"/>
    </font>
    <font>
      <strike/>
      <sz val="11"/>
      <color rgb="FF1F497D"/>
      <name val="Calibri"/>
      <family val="2"/>
    </font>
    <font>
      <strike/>
      <sz val="11"/>
      <color rgb="FF212121"/>
      <name val="Calibri"/>
      <family val="2"/>
    </font>
    <font>
      <b/>
      <sz val="11"/>
      <name val="Calibri"/>
      <family val="2"/>
      <scheme val="minor"/>
    </font>
    <font>
      <sz val="10"/>
      <color theme="1" tint="0.34998626667073579"/>
      <name val="Calibri"/>
      <family val="2"/>
      <scheme val="minor"/>
    </font>
    <font>
      <b/>
      <sz val="11"/>
      <color rgb="FFFF0000"/>
      <name val="Times New Roman"/>
      <family val="1"/>
    </font>
    <font>
      <sz val="12"/>
      <color rgb="FF212121"/>
      <name val="Times New Roman"/>
      <family val="1"/>
    </font>
    <font>
      <sz val="10"/>
      <color rgb="FF0000FF"/>
      <name val="Arial MT"/>
    </font>
    <font>
      <b/>
      <sz val="12"/>
      <color rgb="FF000099"/>
      <name val="Arial MT"/>
    </font>
    <font>
      <strike/>
      <sz val="12"/>
      <color rgb="FF212121"/>
      <name val="Times New Roman"/>
      <family val="1"/>
    </font>
    <font>
      <b/>
      <sz val="14"/>
      <name val="Calibri"/>
      <family val="2"/>
      <scheme val="minor"/>
    </font>
    <font>
      <sz val="12"/>
      <color rgb="FF1F497D"/>
      <name val="Times New Roman"/>
      <family val="1"/>
    </font>
    <font>
      <sz val="11"/>
      <color rgb="FF212121"/>
      <name val="Calibri"/>
      <family val="2"/>
    </font>
    <font>
      <b/>
      <sz val="11"/>
      <color rgb="FF212121"/>
      <name val="Calibri"/>
      <family val="2"/>
    </font>
    <font>
      <b/>
      <u/>
      <sz val="11"/>
      <color rgb="FF212121"/>
      <name val="Calibri"/>
      <family val="2"/>
    </font>
    <font>
      <sz val="16"/>
      <name val="Arial MT"/>
    </font>
    <font>
      <sz val="18"/>
      <color theme="7"/>
      <name val="Arial MT"/>
    </font>
    <font>
      <sz val="10"/>
      <color rgb="FF0033CC"/>
      <name val="Calibri"/>
      <family val="2"/>
      <scheme val="minor"/>
    </font>
    <font>
      <sz val="10"/>
      <color theme="0" tint="-0.499984740745262"/>
      <name val="Calibri"/>
      <family val="2"/>
      <scheme val="minor"/>
    </font>
    <font>
      <strike/>
      <sz val="10"/>
      <color theme="0" tint="-0.499984740745262"/>
      <name val="Calibri"/>
      <family val="2"/>
      <scheme val="minor"/>
    </font>
    <font>
      <b/>
      <strike/>
      <sz val="10"/>
      <color rgb="FFFF0000"/>
      <name val="Calibri"/>
      <family val="2"/>
      <scheme val="minor"/>
    </font>
    <font>
      <b/>
      <strike/>
      <sz val="10"/>
      <name val="Calibri"/>
      <family val="2"/>
      <scheme val="minor"/>
    </font>
    <font>
      <strike/>
      <sz val="10"/>
      <color rgb="FF0000FF"/>
      <name val="Calibri"/>
      <family val="2"/>
      <scheme val="minor"/>
    </font>
    <font>
      <sz val="10"/>
      <color rgb="FF201F1E"/>
      <name val="Calibri"/>
      <family val="2"/>
      <scheme val="minor"/>
    </font>
    <font>
      <strike/>
      <sz val="10"/>
      <color rgb="FF201F1E"/>
      <name val="Calibri"/>
      <family val="2"/>
      <scheme val="minor"/>
    </font>
    <font>
      <sz val="10"/>
      <color rgb="FF0065A5"/>
      <name val="Calibri"/>
      <family val="2"/>
      <scheme val="minor"/>
    </font>
    <font>
      <b/>
      <sz val="10"/>
      <color rgb="FF201F1E"/>
      <name val="Calibri"/>
      <family val="2"/>
      <scheme val="minor"/>
    </font>
    <font>
      <sz val="9"/>
      <name val="Calibri"/>
      <family val="2"/>
      <scheme val="minor"/>
    </font>
    <font>
      <sz val="9"/>
      <color rgb="FF0000FF"/>
      <name val="Calibri"/>
      <family val="2"/>
      <scheme val="minor"/>
    </font>
    <font>
      <strike/>
      <sz val="9"/>
      <name val="Calibri"/>
      <family val="2"/>
      <scheme val="minor"/>
    </font>
    <font>
      <b/>
      <strike/>
      <sz val="9"/>
      <name val="Calibri"/>
      <family val="2"/>
      <scheme val="minor"/>
    </font>
    <font>
      <sz val="12"/>
      <color rgb="FF0066FF"/>
      <name val="Arial MT"/>
    </font>
    <font>
      <sz val="14"/>
      <name val="Calibri"/>
      <family val="2"/>
      <scheme val="minor"/>
    </font>
    <font>
      <sz val="11"/>
      <color rgb="FF1F497D"/>
      <name val="Calibri"/>
      <family val="2"/>
    </font>
    <font>
      <b/>
      <sz val="10"/>
      <color rgb="FF0000FF"/>
      <name val="Calibri"/>
      <family val="2"/>
      <scheme val="minor"/>
    </font>
    <font>
      <b/>
      <sz val="10"/>
      <color rgb="FF0066FF"/>
      <name val="Calibri"/>
      <family val="2"/>
      <scheme val="minor"/>
    </font>
    <font>
      <strike/>
      <sz val="12"/>
      <name val="Calibri"/>
      <family val="2"/>
      <scheme val="minor"/>
    </font>
    <font>
      <sz val="11"/>
      <color rgb="FF1F497D"/>
      <name val="Calibri"/>
      <family val="2"/>
      <scheme val="minor"/>
    </font>
    <font>
      <sz val="12"/>
      <color rgb="FF201F1E"/>
      <name val="Calibri"/>
      <family val="2"/>
      <scheme val="minor"/>
    </font>
    <font>
      <sz val="11"/>
      <color rgb="FF201F1E"/>
      <name val="Calibri"/>
      <family val="2"/>
      <scheme val="minor"/>
    </font>
    <font>
      <sz val="11"/>
      <color rgb="FF201F1E"/>
      <name val="Calibri"/>
      <family val="2"/>
    </font>
    <font>
      <sz val="11"/>
      <color rgb="FF00B0F0"/>
      <name val="Calibri"/>
      <family val="2"/>
    </font>
    <font>
      <sz val="11"/>
      <color rgb="FFFF0000"/>
      <name val="Calibri"/>
      <family val="2"/>
    </font>
    <font>
      <b/>
      <sz val="11"/>
      <color rgb="FF1F497D"/>
      <name val="Calibri"/>
      <family val="2"/>
    </font>
    <font>
      <u/>
      <sz val="11"/>
      <color rgb="FF1F497D"/>
      <name val="Calibri"/>
      <family val="2"/>
    </font>
    <font>
      <sz val="10"/>
      <name val="Inherit"/>
    </font>
    <font>
      <sz val="10"/>
      <color rgb="FF0000FF"/>
      <name val="Inherit"/>
    </font>
    <font>
      <i/>
      <sz val="10"/>
      <name val="Inherit"/>
    </font>
    <font>
      <sz val="10"/>
      <color rgb="FF201F1E"/>
      <name val="Inherit"/>
    </font>
    <font>
      <sz val="10"/>
      <color rgb="FF201F1E"/>
      <name val="Segoe UI"/>
      <family val="2"/>
    </font>
    <font>
      <sz val="10"/>
      <color rgb="FFFF0000"/>
      <name val="Inherit"/>
    </font>
    <font>
      <b/>
      <sz val="10"/>
      <color rgb="FFFF0000"/>
      <name val="Inherit"/>
    </font>
    <font>
      <sz val="11"/>
      <color rgb="FFFF0000"/>
      <name val="Arial"/>
      <family val="2"/>
    </font>
    <font>
      <sz val="12"/>
      <color rgb="FF3333FF"/>
      <name val="Arial MT"/>
    </font>
    <font>
      <b/>
      <sz val="12"/>
      <color rgb="FF3333FF"/>
      <name val="Arial MT"/>
    </font>
    <font>
      <sz val="11"/>
      <color rgb="FFFF0000"/>
      <name val="Calibri"/>
      <family val="2"/>
      <scheme val="minor"/>
    </font>
    <font>
      <sz val="11"/>
      <name val="Calibri"/>
      <family val="2"/>
      <scheme val="minor"/>
    </font>
    <font>
      <sz val="11"/>
      <color rgb="FF0000FF"/>
      <name val="Calibri"/>
      <family val="2"/>
      <scheme val="minor"/>
    </font>
    <font>
      <b/>
      <strike/>
      <sz val="11"/>
      <name val="Calibri"/>
      <family val="2"/>
      <scheme val="minor"/>
    </font>
    <font>
      <sz val="11"/>
      <color rgb="FF0033CC"/>
      <name val="Calibri"/>
      <family val="2"/>
      <scheme val="minor"/>
    </font>
    <font>
      <sz val="11"/>
      <color rgb="FF3333FF"/>
      <name val="Calibri"/>
      <family val="2"/>
      <scheme val="minor"/>
    </font>
    <font>
      <b/>
      <sz val="11"/>
      <color rgb="FFFF0000"/>
      <name val="Calibri"/>
      <family val="2"/>
      <scheme val="minor"/>
    </font>
    <font>
      <sz val="12"/>
      <name val="Myriad Web"/>
    </font>
    <font>
      <sz val="12"/>
      <color rgb="FF0066FF"/>
      <name val="Arial"/>
      <family val="2"/>
    </font>
    <font>
      <sz val="18"/>
      <name val="Arial MT"/>
    </font>
    <font>
      <sz val="18"/>
      <color indexed="81"/>
      <name val="Tahoma"/>
      <family val="2"/>
    </font>
    <font>
      <b/>
      <sz val="16"/>
      <color rgb="FF007FB1"/>
      <name val="Arial MT"/>
    </font>
    <font>
      <b/>
      <sz val="11"/>
      <name val="Arial MT"/>
    </font>
    <font>
      <sz val="10"/>
      <color rgb="FF3333FF"/>
      <name val="Arial"/>
      <family val="2"/>
    </font>
    <font>
      <sz val="10"/>
      <color rgb="FF3333FF"/>
      <name val="Arial MT"/>
    </font>
    <font>
      <b/>
      <sz val="12"/>
      <color rgb="FF0066FF"/>
      <name val="Arial MT"/>
    </font>
    <font>
      <b/>
      <sz val="10"/>
      <color rgb="FFFF0000"/>
      <name val="Arial MT"/>
    </font>
    <font>
      <sz val="10"/>
      <color theme="0" tint="-0.34998626667073579"/>
      <name val="Arial"/>
      <family val="2"/>
    </font>
    <font>
      <b/>
      <sz val="10"/>
      <color theme="0" tint="-0.34998626667073579"/>
      <name val="Arial MT"/>
    </font>
    <font>
      <b/>
      <sz val="10"/>
      <color theme="0" tint="-0.499984740745262"/>
      <name val="Arial MT"/>
    </font>
    <font>
      <b/>
      <sz val="14"/>
      <name val="Arial MT"/>
    </font>
    <font>
      <strike/>
      <sz val="11"/>
      <name val="Arial MT"/>
    </font>
    <font>
      <strike/>
      <sz val="11"/>
      <name val="Arial"/>
      <family val="2"/>
    </font>
    <font>
      <b/>
      <strike/>
      <sz val="12"/>
      <color rgb="FF0066FF"/>
      <name val="Arial MT"/>
    </font>
    <font>
      <sz val="11"/>
      <color rgb="FF3333FF"/>
      <name val="Arial MT"/>
    </font>
    <font>
      <b/>
      <sz val="11"/>
      <color rgb="FF3333FF"/>
      <name val="Arial MT"/>
    </font>
    <font>
      <u/>
      <sz val="11"/>
      <color rgb="FF201F1E"/>
      <name val="Calibri"/>
      <family val="2"/>
    </font>
    <font>
      <strike/>
      <sz val="11"/>
      <color rgb="FF201F1E"/>
      <name val="Calibri"/>
      <family val="2"/>
    </font>
    <font>
      <strike/>
      <sz val="11"/>
      <color rgb="FF3333FF"/>
      <name val="Arial MT"/>
    </font>
    <font>
      <b/>
      <sz val="11"/>
      <color rgb="FF201F1E"/>
      <name val="Calibri"/>
      <family val="2"/>
    </font>
    <font>
      <b/>
      <sz val="11"/>
      <color rgb="FF1F3864"/>
      <name val="Calibri"/>
      <family val="2"/>
    </font>
    <font>
      <sz val="11"/>
      <color rgb="FF1F3864"/>
      <name val="Calibri"/>
      <family val="2"/>
    </font>
    <font>
      <b/>
      <sz val="11"/>
      <color rgb="FFFF0000"/>
      <name val="Calibri"/>
      <family val="2"/>
    </font>
    <font>
      <b/>
      <sz val="10"/>
      <color rgb="FF0096D7"/>
      <name val="Arial"/>
      <family val="2"/>
    </font>
    <font>
      <sz val="11"/>
      <color rgb="FFFF0000"/>
      <name val="Myriad Web"/>
      <family val="2"/>
    </font>
    <font>
      <sz val="12"/>
      <color rgb="FF3333FF"/>
      <name val="Arial"/>
      <family val="2"/>
    </font>
    <font>
      <strike/>
      <sz val="12"/>
      <color rgb="FF3333FF"/>
      <name val="Arial MT"/>
    </font>
    <font>
      <strike/>
      <sz val="11"/>
      <name val="Calibri"/>
      <family val="2"/>
      <scheme val="minor"/>
    </font>
    <font>
      <sz val="11"/>
      <color rgb="FF0066FF"/>
      <name val="Calibri"/>
      <family val="2"/>
      <scheme val="minor"/>
    </font>
    <font>
      <b/>
      <sz val="11"/>
      <color rgb="FF0066FF"/>
      <name val="Calibri"/>
      <family val="2"/>
      <scheme val="minor"/>
    </font>
    <font>
      <sz val="16"/>
      <name val="Calibri"/>
      <family val="2"/>
      <scheme val="minor"/>
    </font>
    <font>
      <sz val="11"/>
      <color rgb="FF242424"/>
      <name val="Calibri"/>
      <family val="2"/>
    </font>
    <font>
      <u/>
      <sz val="11"/>
      <color rgb="FF242424"/>
      <name val="Calibri"/>
      <family val="2"/>
    </font>
    <font>
      <strike/>
      <sz val="12"/>
      <name val="Arial MT"/>
    </font>
    <font>
      <sz val="12"/>
      <color rgb="FF242424"/>
      <name val="Calibri"/>
      <family val="2"/>
    </font>
    <font>
      <sz val="12"/>
      <color rgb="FF1F497D"/>
      <name val="Calibri"/>
      <family val="2"/>
    </font>
    <font>
      <b/>
      <sz val="12"/>
      <color rgb="FF242424"/>
      <name val="Arial"/>
      <family val="2"/>
    </font>
    <font>
      <sz val="12"/>
      <color rgb="FF242424"/>
      <name val="Arial"/>
      <family val="2"/>
    </font>
    <font>
      <sz val="11"/>
      <name val="Calibri"/>
      <family val="2"/>
    </font>
    <font>
      <strike/>
      <sz val="11"/>
      <color rgb="FF3333FF"/>
      <name val="Calibri"/>
      <family val="2"/>
      <scheme val="minor"/>
    </font>
    <font>
      <sz val="12"/>
      <color rgb="FF3333FF"/>
      <name val="Calibri"/>
      <family val="2"/>
      <scheme val="minor"/>
    </font>
    <font>
      <b/>
      <sz val="11"/>
      <name val="Calibri"/>
      <family val="2"/>
    </font>
    <font>
      <sz val="11"/>
      <name val="Symbol"/>
      <family val="1"/>
      <charset val="2"/>
    </font>
    <font>
      <sz val="7"/>
      <name val="Times New Roman"/>
      <family val="1"/>
    </font>
  </fonts>
  <fills count="42">
    <fill>
      <patternFill patternType="none"/>
    </fill>
    <fill>
      <patternFill patternType="gray125"/>
    </fill>
    <fill>
      <patternFill patternType="solid">
        <fgColor theme="3"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2DBDA"/>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0096D7"/>
        <bgColor indexed="64"/>
      </patternFill>
    </fill>
    <fill>
      <patternFill patternType="solid">
        <fgColor rgb="FFFFC000"/>
        <bgColor indexed="64"/>
      </patternFill>
    </fill>
    <fill>
      <patternFill patternType="solid">
        <fgColor rgb="FFCCE5EF"/>
        <bgColor indexed="64"/>
      </patternFill>
    </fill>
    <fill>
      <patternFill patternType="solid">
        <fgColor rgb="FF007FB1"/>
        <bgColor indexed="64"/>
      </patternFill>
    </fill>
    <fill>
      <patternFill patternType="solid">
        <fgColor rgb="FF0065A4"/>
        <bgColor indexed="64"/>
      </patternFill>
    </fill>
    <fill>
      <patternFill patternType="solid">
        <fgColor rgb="FFC9CBCC"/>
        <bgColor indexed="64"/>
      </patternFill>
    </fill>
    <fill>
      <patternFill patternType="solid">
        <fgColor rgb="FFC5D9F1"/>
        <bgColor indexed="64"/>
      </patternFill>
    </fill>
    <fill>
      <patternFill patternType="solid">
        <fgColor theme="3" tint="-0.249977111117893"/>
        <bgColor indexed="64"/>
      </patternFill>
    </fill>
    <fill>
      <patternFill patternType="solid">
        <fgColor theme="8" tint="0.59999389629810485"/>
        <bgColor indexed="64"/>
      </patternFill>
    </fill>
    <fill>
      <patternFill patternType="solid">
        <fgColor rgb="FFFF0000"/>
        <bgColor indexed="64"/>
      </patternFill>
    </fill>
    <fill>
      <patternFill patternType="solid">
        <fgColor rgb="FF66FF66"/>
        <bgColor indexed="64"/>
      </patternFill>
    </fill>
    <fill>
      <patternFill patternType="solid">
        <fgColor rgb="FFDBEEF3"/>
        <bgColor indexed="64"/>
      </patternFill>
    </fill>
    <fill>
      <patternFill patternType="solid">
        <fgColor rgb="FF000099"/>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indexed="43"/>
        <bgColor indexed="64"/>
      </patternFill>
    </fill>
    <fill>
      <patternFill patternType="solid">
        <fgColor indexed="9"/>
        <bgColor indexed="64"/>
      </patternFill>
    </fill>
    <fill>
      <patternFill patternType="solid">
        <fgColor rgb="FF00B0F0"/>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indexed="42"/>
        <bgColor indexed="64"/>
      </patternFill>
    </fill>
    <fill>
      <patternFill patternType="solid">
        <fgColor theme="7" tint="0.39997558519241921"/>
        <bgColor indexed="64"/>
      </patternFill>
    </fill>
    <fill>
      <patternFill patternType="solid">
        <fgColor rgb="FF0000FF"/>
        <bgColor indexed="64"/>
      </patternFill>
    </fill>
    <fill>
      <patternFill patternType="solid">
        <fgColor rgb="FF3333FF"/>
        <bgColor indexed="64"/>
      </patternFill>
    </fill>
    <fill>
      <patternFill patternType="solid">
        <fgColor rgb="FF99FF33"/>
        <bgColor indexed="64"/>
      </patternFill>
    </fill>
    <fill>
      <patternFill patternType="solid">
        <fgColor rgb="FFFFFFFF"/>
        <bgColor indexed="64"/>
      </patternFill>
    </fill>
    <fill>
      <patternFill patternType="solid">
        <fgColor rgb="FF00FF00"/>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bottom style="medium">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bottom/>
      <diagonal/>
    </border>
    <border>
      <left style="thin">
        <color indexed="64"/>
      </left>
      <right/>
      <top/>
      <bottom style="thin">
        <color indexed="64"/>
      </bottom>
      <diagonal/>
    </border>
    <border>
      <left style="dashed">
        <color indexed="64"/>
      </left>
      <right/>
      <top style="dashed">
        <color indexed="64"/>
      </top>
      <bottom/>
      <diagonal/>
    </border>
    <border>
      <left/>
      <right/>
      <top style="dashed">
        <color indexed="64"/>
      </top>
      <bottom/>
      <diagonal/>
    </border>
    <border>
      <left style="dashed">
        <color indexed="64"/>
      </left>
      <right/>
      <top/>
      <bottom/>
      <diagonal/>
    </border>
    <border>
      <left style="dashed">
        <color indexed="64"/>
      </left>
      <right/>
      <top/>
      <bottom style="dashed">
        <color indexed="64"/>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double">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0" tint="-0.34998626667073579"/>
      </bottom>
      <diagonal/>
    </border>
    <border>
      <left/>
      <right/>
      <top/>
      <bottom style="thin">
        <color indexed="8"/>
      </bottom>
      <diagonal/>
    </border>
    <border>
      <left style="thin">
        <color indexed="8"/>
      </left>
      <right style="thin">
        <color indexed="8"/>
      </right>
      <top/>
      <bottom style="thin">
        <color indexed="8"/>
      </bottom>
      <diagonal/>
    </border>
    <border>
      <left/>
      <right/>
      <top/>
      <bottom style="thin">
        <color theme="1"/>
      </bottom>
      <diagonal/>
    </border>
    <border>
      <left/>
      <right/>
      <top/>
      <bottom style="double">
        <color indexed="8"/>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diagonal/>
    </border>
    <border>
      <left/>
      <right/>
      <top/>
      <bottom style="medium">
        <color rgb="FF000000"/>
      </bottom>
      <diagonal/>
    </border>
    <border>
      <left/>
      <right/>
      <top/>
      <bottom style="double">
        <color rgb="FF000000"/>
      </bottom>
      <diagonal/>
    </border>
    <border>
      <left/>
      <right style="medium">
        <color theme="1"/>
      </right>
      <top style="medium">
        <color theme="1"/>
      </top>
      <bottom style="medium">
        <color theme="1"/>
      </bottom>
      <diagonal/>
    </border>
  </borders>
  <cellStyleXfs count="41">
    <xf numFmtId="37" fontId="0" fillId="0" borderId="0"/>
    <xf numFmtId="165" fontId="12" fillId="0" borderId="0" applyFont="0" applyFill="0" applyBorder="0" applyAlignment="0" applyProtection="0"/>
    <xf numFmtId="9" fontId="9" fillId="0" borderId="0" applyFont="0" applyFill="0" applyBorder="0" applyAlignment="0" applyProtection="0"/>
    <xf numFmtId="169" fontId="9" fillId="0" borderId="0" applyFont="0" applyFill="0" applyBorder="0" applyAlignment="0" applyProtection="0"/>
    <xf numFmtId="43" fontId="9" fillId="0" borderId="0" applyFont="0" applyFill="0" applyBorder="0" applyAlignment="0" applyProtection="0"/>
    <xf numFmtId="3" fontId="9" fillId="0" borderId="0"/>
    <xf numFmtId="0" fontId="8" fillId="0" borderId="0"/>
    <xf numFmtId="9" fontId="9" fillId="0" borderId="0" applyFont="0" applyFill="0" applyBorder="0" applyAlignment="0" applyProtection="0"/>
    <xf numFmtId="169" fontId="9" fillId="0" borderId="0" applyFont="0" applyFill="0" applyBorder="0" applyAlignment="0" applyProtection="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4" fontId="12" fillId="0" borderId="0" applyFont="0" applyFill="0" applyBorder="0" applyAlignment="0" applyProtection="0"/>
    <xf numFmtId="0" fontId="6" fillId="0" borderId="0"/>
    <xf numFmtId="169" fontId="6" fillId="0" borderId="0" applyFont="0" applyFill="0" applyBorder="0" applyAlignment="0" applyProtection="0"/>
    <xf numFmtId="169" fontId="6" fillId="0" borderId="0" applyFont="0" applyFill="0" applyBorder="0" applyAlignment="0" applyProtection="0"/>
    <xf numFmtId="9" fontId="6" fillId="0" borderId="0" applyFont="0" applyFill="0" applyBorder="0" applyAlignment="0" applyProtection="0"/>
    <xf numFmtId="0" fontId="4" fillId="0" borderId="0"/>
    <xf numFmtId="0" fontId="5" fillId="0" borderId="0"/>
    <xf numFmtId="43" fontId="120" fillId="0" borderId="0" applyFont="0" applyFill="0" applyBorder="0" applyAlignment="0" applyProtection="0"/>
    <xf numFmtId="0" fontId="3" fillId="0" borderId="0"/>
    <xf numFmtId="0" fontId="2" fillId="0" borderId="0"/>
    <xf numFmtId="0" fontId="9" fillId="0" borderId="0"/>
    <xf numFmtId="0" fontId="182" fillId="0" borderId="0" applyNumberFormat="0" applyFill="0" applyBorder="0" applyAlignment="0" applyProtection="0">
      <alignment vertical="top"/>
      <protection locked="0"/>
    </xf>
    <xf numFmtId="0" fontId="187" fillId="0" borderId="0"/>
    <xf numFmtId="0" fontId="1" fillId="0" borderId="0"/>
    <xf numFmtId="0" fontId="1" fillId="0" borderId="0"/>
    <xf numFmtId="169" fontId="1" fillId="0" borderId="0" applyFont="0" applyFill="0" applyBorder="0" applyAlignment="0" applyProtection="0"/>
    <xf numFmtId="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9" fontId="1" fillId="0" borderId="0" applyFont="0" applyFill="0" applyBorder="0" applyAlignment="0" applyProtection="0"/>
    <xf numFmtId="169" fontId="1" fillId="0" borderId="0" applyFont="0" applyFill="0" applyBorder="0" applyAlignment="0" applyProtection="0"/>
    <xf numFmtId="9" fontId="1" fillId="0" borderId="0" applyFont="0" applyFill="0" applyBorder="0" applyAlignment="0" applyProtection="0"/>
    <xf numFmtId="0" fontId="1" fillId="0" borderId="0"/>
    <xf numFmtId="43" fontId="9" fillId="0" borderId="0" applyFont="0" applyFill="0" applyBorder="0" applyAlignment="0" applyProtection="0"/>
    <xf numFmtId="0" fontId="1" fillId="0" borderId="0"/>
    <xf numFmtId="0" fontId="1" fillId="0" borderId="0"/>
  </cellStyleXfs>
  <cellXfs count="2135">
    <xf numFmtId="37" fontId="0" fillId="0" borderId="0" xfId="0"/>
    <xf numFmtId="37" fontId="14" fillId="0" borderId="0" xfId="0" applyFont="1"/>
    <xf numFmtId="171" fontId="18" fillId="0" borderId="3" xfId="1" applyNumberFormat="1" applyFont="1" applyBorder="1" applyAlignment="1"/>
    <xf numFmtId="3" fontId="18" fillId="0" borderId="0" xfId="0" applyNumberFormat="1" applyFont="1" applyBorder="1" applyAlignment="1"/>
    <xf numFmtId="3" fontId="18" fillId="0" borderId="3" xfId="1" applyNumberFormat="1" applyFont="1" applyBorder="1" applyAlignment="1"/>
    <xf numFmtId="3" fontId="18" fillId="0" borderId="0" xfId="1" applyNumberFormat="1" applyFont="1" applyBorder="1" applyAlignment="1"/>
    <xf numFmtId="3" fontId="18" fillId="0" borderId="0" xfId="0" applyNumberFormat="1" applyFont="1" applyFill="1" applyBorder="1" applyAlignment="1"/>
    <xf numFmtId="171" fontId="18" fillId="0" borderId="0" xfId="1" applyNumberFormat="1" applyFont="1" applyBorder="1" applyAlignment="1"/>
    <xf numFmtId="9" fontId="18" fillId="0" borderId="0" xfId="2" applyFont="1" applyBorder="1" applyAlignment="1"/>
    <xf numFmtId="171" fontId="18" fillId="0" borderId="0" xfId="0" applyNumberFormat="1" applyFont="1" applyBorder="1" applyAlignment="1"/>
    <xf numFmtId="0" fontId="0" fillId="0" borderId="0" xfId="0" applyNumberFormat="1"/>
    <xf numFmtId="167" fontId="18" fillId="0" borderId="3" xfId="2" applyNumberFormat="1" applyFont="1" applyBorder="1" applyAlignment="1"/>
    <xf numFmtId="37" fontId="20" fillId="8" borderId="0" xfId="0" applyFont="1" applyFill="1" applyBorder="1" applyAlignment="1" applyProtection="1">
      <alignment horizontal="left"/>
    </xf>
    <xf numFmtId="37" fontId="20" fillId="9" borderId="0" xfId="0" applyFont="1" applyFill="1" applyBorder="1" applyAlignment="1" applyProtection="1"/>
    <xf numFmtId="37" fontId="20" fillId="7" borderId="0" xfId="0" applyFont="1" applyFill="1" applyBorder="1" applyAlignment="1" applyProtection="1"/>
    <xf numFmtId="37" fontId="20" fillId="11" borderId="0" xfId="0" applyFont="1" applyFill="1" applyBorder="1" applyAlignment="1" applyProtection="1"/>
    <xf numFmtId="37" fontId="20" fillId="8" borderId="0" xfId="0" applyFont="1" applyFill="1" applyBorder="1" applyAlignment="1" applyProtection="1"/>
    <xf numFmtId="37" fontId="21" fillId="3" borderId="0" xfId="0" applyFont="1" applyFill="1" applyBorder="1" applyAlignment="1"/>
    <xf numFmtId="37" fontId="21" fillId="0" borderId="0" xfId="0" applyFont="1" applyBorder="1" applyAlignment="1"/>
    <xf numFmtId="37" fontId="23" fillId="8" borderId="0" xfId="0" applyFont="1" applyFill="1" applyBorder="1" applyAlignment="1" applyProtection="1"/>
    <xf numFmtId="167" fontId="18" fillId="0" borderId="0" xfId="2" applyNumberFormat="1" applyFont="1" applyBorder="1" applyAlignment="1"/>
    <xf numFmtId="171" fontId="20" fillId="10" borderId="0" xfId="1" applyNumberFormat="1" applyFont="1" applyFill="1" applyBorder="1" applyAlignment="1" applyProtection="1"/>
    <xf numFmtId="171" fontId="20" fillId="9" borderId="0" xfId="0" applyNumberFormat="1" applyFont="1" applyFill="1" applyBorder="1" applyAlignment="1" applyProtection="1"/>
    <xf numFmtId="171" fontId="20" fillId="7" borderId="0" xfId="0" applyNumberFormat="1" applyFont="1" applyFill="1" applyBorder="1" applyAlignment="1" applyProtection="1"/>
    <xf numFmtId="171" fontId="20" fillId="11" borderId="0" xfId="0" applyNumberFormat="1" applyFont="1" applyFill="1" applyBorder="1" applyAlignment="1" applyProtection="1"/>
    <xf numFmtId="171" fontId="20" fillId="11" borderId="0" xfId="1" applyNumberFormat="1" applyFont="1" applyFill="1" applyBorder="1" applyAlignment="1" applyProtection="1"/>
    <xf numFmtId="171" fontId="20" fillId="8" borderId="0" xfId="0" applyNumberFormat="1" applyFont="1" applyFill="1" applyBorder="1" applyAlignment="1" applyProtection="1"/>
    <xf numFmtId="171" fontId="21" fillId="3" borderId="0" xfId="1" applyNumberFormat="1" applyFont="1" applyFill="1" applyBorder="1" applyAlignment="1"/>
    <xf numFmtId="171" fontId="21" fillId="3" borderId="0" xfId="0" applyNumberFormat="1" applyFont="1" applyFill="1" applyBorder="1" applyAlignment="1"/>
    <xf numFmtId="171" fontId="22" fillId="3" borderId="0" xfId="0" applyNumberFormat="1" applyFont="1" applyFill="1" applyBorder="1" applyAlignment="1"/>
    <xf numFmtId="167" fontId="12" fillId="0" borderId="0" xfId="2" applyNumberFormat="1" applyFont="1" applyBorder="1" applyAlignment="1">
      <alignment horizontal="right"/>
    </xf>
    <xf numFmtId="37" fontId="10" fillId="8" borderId="0" xfId="0" applyFont="1" applyFill="1" applyBorder="1" applyAlignment="1" applyProtection="1">
      <alignment horizontal="left" vertical="top" wrapText="1"/>
    </xf>
    <xf numFmtId="37" fontId="10" fillId="8" borderId="0" xfId="0" applyFont="1" applyFill="1" applyBorder="1" applyAlignment="1" applyProtection="1">
      <alignment vertical="top" wrapText="1"/>
    </xf>
    <xf numFmtId="171" fontId="10" fillId="10" borderId="0" xfId="1" applyNumberFormat="1" applyFont="1" applyFill="1" applyBorder="1" applyAlignment="1" applyProtection="1">
      <alignment vertical="top" wrapText="1"/>
    </xf>
    <xf numFmtId="37" fontId="10" fillId="10" borderId="0" xfId="0" applyFont="1" applyFill="1" applyBorder="1" applyAlignment="1" applyProtection="1">
      <alignment vertical="top" wrapText="1"/>
    </xf>
    <xf numFmtId="171" fontId="10" fillId="10" borderId="0" xfId="0" applyNumberFormat="1" applyFont="1" applyFill="1" applyBorder="1" applyAlignment="1" applyProtection="1">
      <alignment vertical="top" wrapText="1"/>
    </xf>
    <xf numFmtId="171" fontId="10" fillId="9" borderId="0" xfId="0" applyNumberFormat="1" applyFont="1" applyFill="1" applyBorder="1" applyAlignment="1" applyProtection="1">
      <alignment vertical="top" wrapText="1"/>
    </xf>
    <xf numFmtId="37" fontId="10" fillId="9" borderId="0" xfId="0" applyFont="1" applyFill="1" applyBorder="1" applyAlignment="1" applyProtection="1">
      <alignment vertical="top" wrapText="1"/>
    </xf>
    <xf numFmtId="37" fontId="10" fillId="7" borderId="0" xfId="0" applyFont="1" applyFill="1" applyBorder="1" applyAlignment="1" applyProtection="1">
      <alignment vertical="top" wrapText="1"/>
    </xf>
    <xf numFmtId="171" fontId="10" fillId="7" borderId="0" xfId="0" applyNumberFormat="1" applyFont="1" applyFill="1" applyBorder="1" applyAlignment="1" applyProtection="1">
      <alignment vertical="top" wrapText="1"/>
    </xf>
    <xf numFmtId="37" fontId="10" fillId="7" borderId="0" xfId="0" quotePrefix="1" applyFont="1" applyFill="1" applyBorder="1" applyAlignment="1" applyProtection="1">
      <alignment vertical="top" wrapText="1"/>
    </xf>
    <xf numFmtId="171" fontId="10" fillId="11" borderId="0" xfId="1" applyNumberFormat="1" applyFont="1" applyFill="1" applyBorder="1" applyAlignment="1" applyProtection="1">
      <alignment vertical="top" wrapText="1"/>
    </xf>
    <xf numFmtId="171" fontId="10" fillId="11" borderId="0" xfId="0" applyNumberFormat="1" applyFont="1" applyFill="1" applyBorder="1" applyAlignment="1" applyProtection="1">
      <alignment vertical="top" wrapText="1"/>
    </xf>
    <xf numFmtId="171" fontId="10" fillId="11" borderId="0" xfId="0" applyNumberFormat="1" applyFont="1" applyFill="1" applyBorder="1" applyAlignment="1" applyProtection="1">
      <alignment vertical="top" wrapText="1"/>
      <protection locked="0"/>
    </xf>
    <xf numFmtId="171" fontId="10" fillId="6" borderId="0" xfId="0" applyNumberFormat="1" applyFont="1" applyFill="1" applyBorder="1" applyAlignment="1" applyProtection="1">
      <alignment vertical="top" wrapText="1"/>
    </xf>
    <xf numFmtId="171" fontId="10" fillId="6" borderId="0" xfId="0" applyNumberFormat="1" applyFont="1" applyFill="1" applyBorder="1" applyAlignment="1" applyProtection="1">
      <alignment vertical="top" wrapText="1"/>
      <protection locked="0"/>
    </xf>
    <xf numFmtId="37" fontId="10" fillId="6" borderId="0" xfId="0" applyFont="1" applyFill="1" applyBorder="1" applyAlignment="1">
      <alignment vertical="top" wrapText="1"/>
    </xf>
    <xf numFmtId="171" fontId="10" fillId="6" borderId="0" xfId="0" applyNumberFormat="1" applyFont="1" applyFill="1" applyBorder="1" applyAlignment="1">
      <alignment vertical="top" wrapText="1"/>
    </xf>
    <xf numFmtId="171" fontId="10" fillId="8" borderId="0" xfId="0" applyNumberFormat="1" applyFont="1" applyFill="1" applyBorder="1" applyAlignment="1" applyProtection="1">
      <alignment vertical="top" wrapText="1"/>
    </xf>
    <xf numFmtId="171" fontId="18" fillId="0" borderId="0" xfId="1" applyNumberFormat="1" applyFont="1" applyFill="1" applyBorder="1" applyAlignment="1"/>
    <xf numFmtId="171" fontId="18" fillId="0" borderId="3" xfId="1" applyNumberFormat="1" applyFont="1" applyFill="1" applyBorder="1" applyAlignment="1"/>
    <xf numFmtId="167" fontId="18" fillId="13" borderId="14" xfId="2" applyNumberFormat="1" applyFont="1" applyFill="1" applyBorder="1" applyAlignment="1"/>
    <xf numFmtId="37" fontId="11" fillId="11" borderId="0" xfId="0" applyFont="1" applyFill="1" applyBorder="1" applyAlignment="1" applyProtection="1"/>
    <xf numFmtId="37" fontId="28" fillId="0" borderId="0" xfId="0" applyFont="1" applyBorder="1" applyAlignment="1"/>
    <xf numFmtId="37" fontId="30" fillId="0" borderId="0" xfId="0" applyFont="1" applyBorder="1" applyAlignment="1"/>
    <xf numFmtId="171" fontId="31" fillId="9" borderId="0" xfId="0" applyNumberFormat="1" applyFont="1" applyFill="1" applyBorder="1" applyAlignment="1" applyProtection="1">
      <alignment vertical="top" wrapText="1"/>
    </xf>
    <xf numFmtId="37" fontId="31" fillId="8" borderId="0" xfId="0" applyFont="1" applyFill="1" applyBorder="1" applyAlignment="1" applyProtection="1">
      <alignment vertical="top" wrapText="1"/>
    </xf>
    <xf numFmtId="171" fontId="32" fillId="3" borderId="0" xfId="1" applyNumberFormat="1" applyFont="1" applyFill="1" applyBorder="1" applyAlignment="1">
      <alignment vertical="top" wrapText="1"/>
    </xf>
    <xf numFmtId="171" fontId="33" fillId="3" borderId="0" xfId="1" applyNumberFormat="1" applyFont="1" applyFill="1" applyBorder="1" applyAlignment="1">
      <alignment vertical="top" wrapText="1"/>
    </xf>
    <xf numFmtId="9" fontId="32" fillId="0" borderId="0" xfId="2" applyNumberFormat="1" applyFont="1" applyBorder="1" applyAlignment="1"/>
    <xf numFmtId="37" fontId="32" fillId="0" borderId="0" xfId="0" applyNumberFormat="1" applyFont="1" applyFill="1" applyBorder="1" applyAlignment="1">
      <alignment horizontal="right"/>
    </xf>
    <xf numFmtId="171" fontId="32" fillId="0" borderId="0" xfId="1" applyNumberFormat="1" applyFont="1" applyBorder="1" applyAlignment="1"/>
    <xf numFmtId="171" fontId="32" fillId="0" borderId="3" xfId="1" applyNumberFormat="1" applyFont="1" applyBorder="1" applyAlignment="1"/>
    <xf numFmtId="37" fontId="30" fillId="13" borderId="13" xfId="0" applyFont="1" applyFill="1" applyBorder="1" applyAlignment="1"/>
    <xf numFmtId="37" fontId="34" fillId="13" borderId="13" xfId="0" applyFont="1" applyFill="1" applyBorder="1" applyAlignment="1"/>
    <xf numFmtId="172" fontId="20" fillId="8" borderId="0" xfId="1" applyNumberFormat="1" applyFont="1" applyFill="1" applyBorder="1" applyAlignment="1" applyProtection="1"/>
    <xf numFmtId="172" fontId="10" fillId="8" borderId="0" xfId="1" applyNumberFormat="1" applyFont="1" applyFill="1" applyBorder="1" applyAlignment="1" applyProtection="1">
      <alignment vertical="top" wrapText="1"/>
    </xf>
    <xf numFmtId="37" fontId="20" fillId="8" borderId="0" xfId="0" applyNumberFormat="1" applyFont="1" applyFill="1" applyBorder="1" applyAlignment="1" applyProtection="1"/>
    <xf numFmtId="37" fontId="10" fillId="8" borderId="0" xfId="0" applyNumberFormat="1" applyFont="1" applyFill="1" applyBorder="1" applyAlignment="1" applyProtection="1">
      <alignment vertical="top" wrapText="1"/>
    </xf>
    <xf numFmtId="37" fontId="18" fillId="0" borderId="3" xfId="1" applyNumberFormat="1" applyFont="1" applyBorder="1" applyAlignment="1"/>
    <xf numFmtId="37" fontId="18" fillId="0" borderId="0" xfId="1" applyNumberFormat="1" applyFont="1" applyBorder="1" applyAlignment="1"/>
    <xf numFmtId="171" fontId="18" fillId="3" borderId="0" xfId="1" applyNumberFormat="1" applyFont="1" applyFill="1" applyBorder="1" applyAlignment="1"/>
    <xf numFmtId="171" fontId="18" fillId="3" borderId="1" xfId="1" applyNumberFormat="1" applyFont="1" applyFill="1" applyBorder="1" applyAlignment="1"/>
    <xf numFmtId="167" fontId="18" fillId="3" borderId="0" xfId="2" applyNumberFormat="1" applyFont="1" applyFill="1" applyBorder="1" applyAlignment="1"/>
    <xf numFmtId="167" fontId="18" fillId="3" borderId="1" xfId="2" applyNumberFormat="1" applyFont="1" applyFill="1" applyBorder="1" applyAlignment="1"/>
    <xf numFmtId="167" fontId="0" fillId="3" borderId="0" xfId="0" applyNumberFormat="1" applyFont="1" applyFill="1" applyBorder="1" applyAlignment="1"/>
    <xf numFmtId="167" fontId="18" fillId="8" borderId="0" xfId="2" applyNumberFormat="1" applyFont="1" applyFill="1" applyBorder="1" applyAlignment="1"/>
    <xf numFmtId="37" fontId="18" fillId="0" borderId="0" xfId="0" applyNumberFormat="1" applyFont="1" applyFill="1" applyBorder="1" applyAlignment="1"/>
    <xf numFmtId="3" fontId="18" fillId="8" borderId="1" xfId="1" applyNumberFormat="1" applyFont="1" applyFill="1" applyBorder="1" applyAlignment="1"/>
    <xf numFmtId="37" fontId="18" fillId="8" borderId="1" xfId="1" applyNumberFormat="1" applyFont="1" applyFill="1" applyBorder="1" applyAlignment="1"/>
    <xf numFmtId="3" fontId="18" fillId="8" borderId="0" xfId="0" applyNumberFormat="1" applyFont="1" applyFill="1" applyBorder="1" applyAlignment="1"/>
    <xf numFmtId="3" fontId="0" fillId="8" borderId="0" xfId="0" applyNumberFormat="1" applyFont="1" applyFill="1" applyBorder="1" applyAlignment="1"/>
    <xf numFmtId="167" fontId="20" fillId="11" borderId="0" xfId="2" applyNumberFormat="1" applyFont="1" applyFill="1" applyBorder="1" applyAlignment="1" applyProtection="1"/>
    <xf numFmtId="171" fontId="28" fillId="0" borderId="0" xfId="1" applyNumberFormat="1" applyFont="1" applyBorder="1" applyAlignment="1"/>
    <xf numFmtId="37" fontId="0" fillId="11" borderId="0" xfId="0" applyFont="1" applyFill="1" applyBorder="1" applyAlignment="1">
      <alignment vertical="top" wrapText="1"/>
    </xf>
    <xf numFmtId="167" fontId="12" fillId="11" borderId="0" xfId="2" applyNumberFormat="1" applyFont="1" applyFill="1" applyBorder="1" applyAlignment="1">
      <alignment vertical="top" wrapText="1"/>
    </xf>
    <xf numFmtId="37" fontId="0" fillId="8" borderId="0" xfId="0" applyFont="1" applyFill="1" applyBorder="1" applyAlignment="1">
      <alignment vertical="top" wrapText="1"/>
    </xf>
    <xf numFmtId="171" fontId="12" fillId="3" borderId="0" xfId="1" applyNumberFormat="1" applyFont="1" applyFill="1" applyBorder="1" applyAlignment="1">
      <alignment vertical="top" wrapText="1"/>
    </xf>
    <xf numFmtId="37" fontId="0" fillId="3" borderId="0" xfId="0" applyFont="1" applyFill="1" applyBorder="1" applyAlignment="1">
      <alignment vertical="top" wrapText="1"/>
    </xf>
    <xf numFmtId="171" fontId="0" fillId="3" borderId="0" xfId="0" applyNumberFormat="1" applyFont="1" applyFill="1" applyBorder="1" applyAlignment="1">
      <alignment vertical="top" wrapText="1"/>
    </xf>
    <xf numFmtId="171" fontId="31" fillId="11" borderId="0" xfId="0" applyNumberFormat="1" applyFont="1" applyFill="1" applyBorder="1" applyAlignment="1" applyProtection="1">
      <alignment vertical="top" wrapText="1"/>
    </xf>
    <xf numFmtId="171" fontId="37" fillId="9" borderId="0" xfId="0" applyNumberFormat="1" applyFont="1" applyFill="1" applyBorder="1" applyAlignment="1" applyProtection="1">
      <alignment vertical="top" wrapText="1"/>
    </xf>
    <xf numFmtId="37" fontId="37" fillId="7" borderId="0" xfId="0" applyFont="1" applyFill="1" applyBorder="1" applyAlignment="1" applyProtection="1">
      <alignment vertical="top" wrapText="1"/>
    </xf>
    <xf numFmtId="37" fontId="29" fillId="11" borderId="0" xfId="0" applyFont="1" applyFill="1" applyBorder="1" applyAlignment="1">
      <alignment vertical="top" wrapText="1"/>
    </xf>
    <xf numFmtId="171" fontId="37" fillId="6" borderId="0" xfId="1" applyNumberFormat="1" applyFont="1" applyFill="1" applyBorder="1" applyAlignment="1" applyProtection="1">
      <alignment vertical="top" wrapText="1"/>
    </xf>
    <xf numFmtId="171" fontId="37" fillId="8" borderId="0" xfId="0" applyNumberFormat="1" applyFont="1" applyFill="1" applyBorder="1" applyAlignment="1" applyProtection="1">
      <alignment vertical="top" wrapText="1"/>
    </xf>
    <xf numFmtId="37" fontId="29" fillId="8" borderId="0" xfId="0" applyFont="1" applyFill="1" applyBorder="1" applyAlignment="1">
      <alignment vertical="top" wrapText="1"/>
    </xf>
    <xf numFmtId="37" fontId="37" fillId="8" borderId="0" xfId="0" applyFont="1" applyFill="1" applyBorder="1" applyAlignment="1" applyProtection="1">
      <alignment vertical="top" wrapText="1"/>
    </xf>
    <xf numFmtId="171" fontId="29" fillId="3" borderId="0" xfId="1" applyNumberFormat="1" applyFont="1" applyFill="1" applyBorder="1" applyAlignment="1">
      <alignment vertical="top" wrapText="1"/>
    </xf>
    <xf numFmtId="37" fontId="29" fillId="3" borderId="0" xfId="0" applyFont="1" applyFill="1" applyBorder="1" applyAlignment="1">
      <alignment vertical="top" wrapText="1"/>
    </xf>
    <xf numFmtId="171" fontId="29" fillId="3" borderId="0" xfId="0" applyNumberFormat="1" applyFont="1" applyFill="1" applyBorder="1" applyAlignment="1">
      <alignment vertical="top" wrapText="1"/>
    </xf>
    <xf numFmtId="37" fontId="0" fillId="0" borderId="0" xfId="0" applyFont="1" applyBorder="1" applyAlignment="1"/>
    <xf numFmtId="3" fontId="0" fillId="0" borderId="0" xfId="0" applyNumberFormat="1" applyFont="1" applyBorder="1" applyAlignment="1"/>
    <xf numFmtId="171" fontId="12" fillId="0" borderId="0" xfId="1" applyNumberFormat="1" applyFont="1" applyBorder="1" applyAlignment="1"/>
    <xf numFmtId="171" fontId="12" fillId="0" borderId="0" xfId="1" applyNumberFormat="1" applyFont="1" applyFill="1" applyBorder="1" applyAlignment="1"/>
    <xf numFmtId="167" fontId="0" fillId="0" borderId="0" xfId="0" applyNumberFormat="1" applyFont="1" applyBorder="1" applyAlignment="1"/>
    <xf numFmtId="171" fontId="0" fillId="0" borderId="0" xfId="0" applyNumberFormat="1" applyFont="1" applyBorder="1" applyAlignment="1"/>
    <xf numFmtId="171" fontId="0" fillId="0" borderId="0" xfId="0" applyNumberFormat="1" applyFont="1" applyFill="1" applyBorder="1" applyAlignment="1"/>
    <xf numFmtId="167" fontId="0" fillId="13" borderId="14" xfId="0" applyNumberFormat="1" applyFont="1" applyFill="1" applyBorder="1" applyAlignment="1"/>
    <xf numFmtId="171" fontId="12" fillId="0" borderId="3" xfId="1" applyNumberFormat="1" applyFont="1" applyBorder="1" applyAlignment="1"/>
    <xf numFmtId="3" fontId="12" fillId="0" borderId="3" xfId="1" applyNumberFormat="1" applyFont="1" applyBorder="1" applyAlignment="1"/>
    <xf numFmtId="37" fontId="12" fillId="0" borderId="3" xfId="1" applyNumberFormat="1" applyFont="1" applyBorder="1" applyAlignment="1"/>
    <xf numFmtId="3" fontId="12" fillId="0" borderId="0" xfId="1" applyNumberFormat="1" applyFont="1" applyBorder="1" applyAlignment="1"/>
    <xf numFmtId="37" fontId="12" fillId="0" borderId="0" xfId="1" applyNumberFormat="1" applyFont="1" applyBorder="1" applyAlignment="1"/>
    <xf numFmtId="165" fontId="12" fillId="0" borderId="0" xfId="1" applyFont="1" applyBorder="1" applyAlignment="1"/>
    <xf numFmtId="171" fontId="12" fillId="3" borderId="0" xfId="1" applyNumberFormat="1" applyFont="1" applyFill="1" applyBorder="1" applyAlignment="1"/>
    <xf numFmtId="37" fontId="38" fillId="0" borderId="0" xfId="0" applyFont="1"/>
    <xf numFmtId="37" fontId="39" fillId="0" borderId="0" xfId="0" applyFont="1" applyAlignment="1">
      <alignment horizontal="center"/>
    </xf>
    <xf numFmtId="37" fontId="38" fillId="0" borderId="0" xfId="0" applyFont="1" applyAlignment="1">
      <alignment horizontal="center"/>
    </xf>
    <xf numFmtId="37" fontId="39" fillId="0" borderId="3" xfId="0" applyFont="1" applyBorder="1" applyAlignment="1">
      <alignment horizontal="center"/>
    </xf>
    <xf numFmtId="37" fontId="38" fillId="0" borderId="0" xfId="0" applyFont="1" applyFill="1"/>
    <xf numFmtId="184" fontId="38" fillId="0" borderId="0" xfId="1" applyNumberFormat="1" applyFont="1" applyFill="1"/>
    <xf numFmtId="185" fontId="38" fillId="0" borderId="0" xfId="1" applyNumberFormat="1" applyFont="1" applyFill="1"/>
    <xf numFmtId="37" fontId="39" fillId="0" borderId="0" xfId="0" applyFont="1" applyAlignment="1">
      <alignment horizontal="left"/>
    </xf>
    <xf numFmtId="0" fontId="39" fillId="0" borderId="0" xfId="15" applyFont="1" applyAlignment="1">
      <alignment horizontal="center" wrapText="1"/>
    </xf>
    <xf numFmtId="181" fontId="38" fillId="0" borderId="0" xfId="1" applyNumberFormat="1" applyFont="1" applyFill="1"/>
    <xf numFmtId="9" fontId="38" fillId="5" borderId="0" xfId="2" applyFont="1" applyFill="1"/>
    <xf numFmtId="37" fontId="38" fillId="5" borderId="0" xfId="0" applyFont="1" applyFill="1"/>
    <xf numFmtId="181" fontId="38" fillId="5" borderId="0" xfId="1" applyNumberFormat="1" applyFont="1" applyFill="1"/>
    <xf numFmtId="175" fontId="38" fillId="5" borderId="0" xfId="0" applyNumberFormat="1" applyFont="1" applyFill="1"/>
    <xf numFmtId="175" fontId="38" fillId="0" borderId="0" xfId="0" applyNumberFormat="1" applyFont="1"/>
    <xf numFmtId="183" fontId="38" fillId="0" borderId="0" xfId="1" applyNumberFormat="1" applyFont="1" applyFill="1"/>
    <xf numFmtId="168" fontId="38" fillId="0" borderId="0" xfId="0" applyNumberFormat="1" applyFont="1" applyFill="1"/>
    <xf numFmtId="175" fontId="38" fillId="0" borderId="0" xfId="0" applyNumberFormat="1" applyFont="1" applyFill="1"/>
    <xf numFmtId="172" fontId="38" fillId="0" borderId="0" xfId="0" applyNumberFormat="1" applyFont="1" applyFill="1" applyAlignment="1">
      <alignment horizontal="right"/>
    </xf>
    <xf numFmtId="37" fontId="38" fillId="0" borderId="0" xfId="0" applyFont="1" applyFill="1" applyAlignment="1">
      <alignment horizontal="center"/>
    </xf>
    <xf numFmtId="37" fontId="41" fillId="0" borderId="0" xfId="0" applyFont="1" applyFill="1"/>
    <xf numFmtId="0" fontId="42" fillId="0" borderId="0" xfId="15" applyFont="1" applyFill="1" applyAlignment="1">
      <alignment horizontal="center" wrapText="1"/>
    </xf>
    <xf numFmtId="37" fontId="42" fillId="0" borderId="0" xfId="0" applyFont="1" applyFill="1"/>
    <xf numFmtId="37" fontId="39" fillId="0" borderId="0" xfId="0" applyFont="1" applyFill="1" applyBorder="1" applyAlignment="1">
      <alignment horizontal="left" wrapText="1"/>
    </xf>
    <xf numFmtId="37" fontId="39" fillId="0" borderId="0" xfId="0" applyFont="1" applyFill="1" applyBorder="1" applyAlignment="1">
      <alignment horizontal="center" wrapText="1"/>
    </xf>
    <xf numFmtId="37" fontId="39" fillId="2" borderId="0" xfId="0" applyFont="1" applyFill="1"/>
    <xf numFmtId="37" fontId="39" fillId="0" borderId="0" xfId="0" applyFont="1" applyFill="1"/>
    <xf numFmtId="168" fontId="39" fillId="2" borderId="0" xfId="0" applyNumberFormat="1" applyFont="1" applyFill="1"/>
    <xf numFmtId="168" fontId="39" fillId="2" borderId="0" xfId="0" applyNumberFormat="1" applyFont="1" applyFill="1" applyBorder="1"/>
    <xf numFmtId="37" fontId="39" fillId="2" borderId="0" xfId="0" applyFont="1" applyFill="1" applyAlignment="1">
      <alignment horizontal="left" indent="1"/>
    </xf>
    <xf numFmtId="181" fontId="39" fillId="2" borderId="0" xfId="1" applyNumberFormat="1" applyFont="1" applyFill="1"/>
    <xf numFmtId="37" fontId="39" fillId="2" borderId="0" xfId="0" applyFont="1" applyFill="1" applyAlignment="1">
      <alignment horizontal="left" indent="2"/>
    </xf>
    <xf numFmtId="168" fontId="39" fillId="2" borderId="4" xfId="0" applyNumberFormat="1" applyFont="1" applyFill="1" applyBorder="1"/>
    <xf numFmtId="37" fontId="44" fillId="0" borderId="0" xfId="0" applyFont="1" applyFill="1"/>
    <xf numFmtId="37" fontId="45" fillId="0" borderId="0" xfId="0" applyFont="1" applyFill="1"/>
    <xf numFmtId="0" fontId="41" fillId="0" borderId="0" xfId="0" applyNumberFormat="1" applyFont="1" applyFill="1"/>
    <xf numFmtId="0" fontId="42" fillId="0" borderId="0" xfId="15" applyFont="1" applyFill="1" applyAlignment="1">
      <alignment horizontal="center"/>
    </xf>
    <xf numFmtId="174" fontId="42" fillId="0" borderId="0" xfId="0" applyNumberFormat="1" applyFont="1" applyFill="1"/>
    <xf numFmtId="37" fontId="47" fillId="0" borderId="0" xfId="0" applyFont="1" applyFill="1"/>
    <xf numFmtId="37" fontId="41" fillId="5" borderId="0" xfId="0" applyFont="1" applyFill="1"/>
    <xf numFmtId="37" fontId="48" fillId="5" borderId="0" xfId="0" applyFont="1" applyFill="1"/>
    <xf numFmtId="37" fontId="46" fillId="5" borderId="0" xfId="0" applyFont="1" applyFill="1"/>
    <xf numFmtId="0" fontId="42" fillId="5" borderId="0" xfId="15" applyFont="1" applyFill="1"/>
    <xf numFmtId="37" fontId="45" fillId="5" borderId="0" xfId="0" applyFont="1" applyFill="1"/>
    <xf numFmtId="0" fontId="42" fillId="5" borderId="0" xfId="15" applyFont="1" applyFill="1" applyAlignment="1">
      <alignment horizontal="center" wrapText="1"/>
    </xf>
    <xf numFmtId="180" fontId="42" fillId="5" borderId="0" xfId="17" applyNumberFormat="1" applyFont="1" applyFill="1"/>
    <xf numFmtId="0" fontId="42" fillId="5" borderId="0" xfId="15" applyFont="1" applyFill="1" applyAlignment="1">
      <alignment horizontal="center"/>
    </xf>
    <xf numFmtId="37" fontId="42" fillId="5" borderId="0" xfId="0" applyFont="1" applyFill="1" applyAlignment="1">
      <alignment horizontal="center"/>
    </xf>
    <xf numFmtId="37" fontId="39" fillId="5" borderId="0" xfId="0" applyFont="1" applyFill="1" applyBorder="1" applyAlignment="1">
      <alignment horizontal="center" wrapText="1"/>
    </xf>
    <xf numFmtId="175" fontId="39" fillId="2" borderId="0" xfId="0" applyNumberFormat="1" applyFont="1" applyFill="1"/>
    <xf numFmtId="37" fontId="39" fillId="5" borderId="0" xfId="0" applyFont="1" applyFill="1"/>
    <xf numFmtId="175" fontId="39" fillId="5" borderId="0" xfId="0" applyNumberFormat="1" applyFont="1" applyFill="1"/>
    <xf numFmtId="37" fontId="49" fillId="5" borderId="0" xfId="0" applyFont="1" applyFill="1"/>
    <xf numFmtId="37" fontId="39" fillId="5" borderId="0" xfId="0" applyFont="1" applyFill="1" applyBorder="1" applyAlignment="1">
      <alignment horizontal="left" wrapText="1"/>
    </xf>
    <xf numFmtId="181" fontId="39" fillId="5" borderId="0" xfId="1" applyNumberFormat="1" applyFont="1" applyFill="1"/>
    <xf numFmtId="37" fontId="44" fillId="5" borderId="0" xfId="0" applyFont="1" applyFill="1"/>
    <xf numFmtId="168" fontId="39" fillId="5" borderId="1" xfId="0" applyNumberFormat="1" applyFont="1" applyFill="1" applyBorder="1"/>
    <xf numFmtId="37" fontId="39" fillId="2" borderId="0" xfId="0" applyFont="1" applyFill="1" applyAlignment="1">
      <alignment horizontal="left" indent="4"/>
    </xf>
    <xf numFmtId="168" fontId="39" fillId="2" borderId="5" xfId="0" applyNumberFormat="1" applyFont="1" applyFill="1" applyBorder="1"/>
    <xf numFmtId="168" fontId="39" fillId="5" borderId="0" xfId="0" applyNumberFormat="1" applyFont="1" applyFill="1"/>
    <xf numFmtId="168" fontId="39" fillId="5" borderId="0" xfId="0" applyNumberFormat="1" applyFont="1" applyFill="1" applyBorder="1"/>
    <xf numFmtId="37" fontId="39" fillId="5" borderId="0" xfId="0" applyFont="1" applyFill="1" applyAlignment="1">
      <alignment horizontal="left" indent="1"/>
    </xf>
    <xf numFmtId="37" fontId="39" fillId="5" borderId="0" xfId="0" applyFont="1" applyFill="1" applyAlignment="1">
      <alignment horizontal="left" indent="4"/>
    </xf>
    <xf numFmtId="168" fontId="39" fillId="5" borderId="2" xfId="0" applyNumberFormat="1" applyFont="1" applyFill="1" applyBorder="1"/>
    <xf numFmtId="182" fontId="39" fillId="2" borderId="0" xfId="1" applyNumberFormat="1" applyFont="1" applyFill="1"/>
    <xf numFmtId="0" fontId="42" fillId="5" borderId="0" xfId="15" applyFont="1" applyFill="1" applyAlignment="1">
      <alignment horizontal="left" wrapText="1"/>
    </xf>
    <xf numFmtId="167" fontId="45" fillId="5" borderId="0" xfId="2" applyNumberFormat="1" applyFont="1" applyFill="1"/>
    <xf numFmtId="37" fontId="42" fillId="5" borderId="0" xfId="0" applyFont="1" applyFill="1" applyAlignment="1">
      <alignment horizontal="left" indent="1"/>
    </xf>
    <xf numFmtId="167" fontId="42" fillId="5" borderId="0" xfId="18" applyNumberFormat="1" applyFont="1" applyFill="1"/>
    <xf numFmtId="37" fontId="43" fillId="5" borderId="0" xfId="0" applyFont="1" applyFill="1"/>
    <xf numFmtId="37" fontId="39" fillId="5" borderId="0" xfId="0" applyFont="1" applyFill="1" applyBorder="1"/>
    <xf numFmtId="37" fontId="39" fillId="5" borderId="0" xfId="0" quotePrefix="1" applyFont="1" applyFill="1" applyBorder="1" applyAlignment="1">
      <alignment horizontal="center"/>
    </xf>
    <xf numFmtId="37" fontId="46" fillId="5" borderId="0" xfId="0" quotePrefix="1" applyFont="1" applyFill="1" applyBorder="1" applyAlignment="1">
      <alignment horizontal="center"/>
    </xf>
    <xf numFmtId="168" fontId="39" fillId="2" borderId="0" xfId="0" applyNumberFormat="1" applyFont="1" applyFill="1" applyAlignment="1">
      <alignment horizontal="right"/>
    </xf>
    <xf numFmtId="168" fontId="46" fillId="5" borderId="0" xfId="0" applyNumberFormat="1" applyFont="1" applyFill="1" applyAlignment="1">
      <alignment horizontal="right"/>
    </xf>
    <xf numFmtId="168" fontId="46" fillId="5" borderId="1" xfId="0" applyNumberFormat="1" applyFont="1" applyFill="1" applyBorder="1" applyAlignment="1">
      <alignment horizontal="right"/>
    </xf>
    <xf numFmtId="168" fontId="39" fillId="2" borderId="5" xfId="0" applyNumberFormat="1" applyFont="1" applyFill="1" applyBorder="1" applyAlignment="1">
      <alignment horizontal="right"/>
    </xf>
    <xf numFmtId="168" fontId="46" fillId="5" borderId="5" xfId="0" applyNumberFormat="1" applyFont="1" applyFill="1" applyBorder="1" applyAlignment="1">
      <alignment horizontal="right"/>
    </xf>
    <xf numFmtId="168" fontId="39" fillId="5" borderId="0" xfId="0" applyNumberFormat="1" applyFont="1" applyFill="1" applyAlignment="1">
      <alignment horizontal="right"/>
    </xf>
    <xf numFmtId="168" fontId="39" fillId="5" borderId="2" xfId="0" applyNumberFormat="1" applyFont="1" applyFill="1" applyBorder="1" applyAlignment="1">
      <alignment horizontal="right"/>
    </xf>
    <xf numFmtId="168" fontId="46" fillId="5" borderId="2" xfId="0" applyNumberFormat="1" applyFont="1" applyFill="1" applyBorder="1" applyAlignment="1">
      <alignment horizontal="right"/>
    </xf>
    <xf numFmtId="37" fontId="39" fillId="5" borderId="0" xfId="0" applyFont="1" applyFill="1" applyAlignment="1">
      <alignment horizontal="right"/>
    </xf>
    <xf numFmtId="37" fontId="46" fillId="5" borderId="0" xfId="0" applyFont="1" applyFill="1" applyAlignment="1">
      <alignment horizontal="right"/>
    </xf>
    <xf numFmtId="177" fontId="39" fillId="5" borderId="0" xfId="0" applyNumberFormat="1" applyFont="1" applyFill="1"/>
    <xf numFmtId="176" fontId="46" fillId="5" borderId="0" xfId="0" applyNumberFormat="1" applyFont="1" applyFill="1" applyAlignment="1">
      <alignment horizontal="right"/>
    </xf>
    <xf numFmtId="167" fontId="42" fillId="5" borderId="0" xfId="15" applyNumberFormat="1" applyFont="1" applyFill="1"/>
    <xf numFmtId="181" fontId="42" fillId="5" borderId="0" xfId="15" applyNumberFormat="1" applyFont="1" applyFill="1"/>
    <xf numFmtId="168" fontId="46" fillId="5" borderId="0" xfId="0" applyNumberFormat="1" applyFont="1" applyFill="1"/>
    <xf numFmtId="168" fontId="46" fillId="5" borderId="1" xfId="0" applyNumberFormat="1" applyFont="1" applyFill="1" applyBorder="1"/>
    <xf numFmtId="168" fontId="46" fillId="5" borderId="5" xfId="0" applyNumberFormat="1" applyFont="1" applyFill="1" applyBorder="1"/>
    <xf numFmtId="37" fontId="39" fillId="5" borderId="0" xfId="0" applyFont="1" applyFill="1" applyAlignment="1">
      <alignment horizontal="left"/>
    </xf>
    <xf numFmtId="168" fontId="39" fillId="2" borderId="2" xfId="0" applyNumberFormat="1" applyFont="1" applyFill="1" applyBorder="1"/>
    <xf numFmtId="168" fontId="46" fillId="5" borderId="2" xfId="0" applyNumberFormat="1" applyFont="1" applyFill="1" applyBorder="1"/>
    <xf numFmtId="167" fontId="38" fillId="5" borderId="0" xfId="2" applyNumberFormat="1" applyFont="1" applyFill="1"/>
    <xf numFmtId="37" fontId="50" fillId="5" borderId="0" xfId="0" applyFont="1" applyFill="1" applyAlignment="1">
      <alignment horizontal="left" indent="1"/>
    </xf>
    <xf numFmtId="37" fontId="39" fillId="5" borderId="0" xfId="0" applyFont="1" applyFill="1" applyAlignment="1">
      <alignment horizontal="left" indent="2"/>
    </xf>
    <xf numFmtId="168" fontId="39" fillId="5" borderId="4" xfId="0" applyNumberFormat="1" applyFont="1" applyFill="1" applyBorder="1"/>
    <xf numFmtId="37" fontId="39" fillId="5" borderId="0" xfId="0" applyFont="1" applyFill="1" applyAlignment="1">
      <alignment horizontal="center"/>
    </xf>
    <xf numFmtId="37" fontId="42" fillId="5" borderId="0" xfId="0" applyFont="1" applyFill="1"/>
    <xf numFmtId="174" fontId="42" fillId="5" borderId="0" xfId="0" applyNumberFormat="1" applyFont="1" applyFill="1"/>
    <xf numFmtId="167" fontId="42" fillId="5" borderId="0" xfId="2" applyNumberFormat="1" applyFont="1" applyFill="1"/>
    <xf numFmtId="173" fontId="42" fillId="5" borderId="0" xfId="0" applyNumberFormat="1" applyFont="1" applyFill="1"/>
    <xf numFmtId="37" fontId="39" fillId="2" borderId="0" xfId="0" applyFont="1" applyFill="1" applyAlignment="1">
      <alignment horizontal="left"/>
    </xf>
    <xf numFmtId="186" fontId="38" fillId="5" borderId="0" xfId="1" applyNumberFormat="1" applyFont="1" applyFill="1"/>
    <xf numFmtId="186" fontId="41" fillId="5" borderId="0" xfId="1" applyNumberFormat="1" applyFont="1" applyFill="1"/>
    <xf numFmtId="9" fontId="42" fillId="5" borderId="0" xfId="2" applyFont="1" applyFill="1"/>
    <xf numFmtId="171" fontId="42" fillId="0" borderId="0" xfId="1" applyNumberFormat="1" applyFont="1" applyFill="1"/>
    <xf numFmtId="0" fontId="51" fillId="0" borderId="0" xfId="9" applyFont="1" applyFill="1"/>
    <xf numFmtId="37" fontId="39" fillId="0" borderId="0" xfId="0" applyFont="1" applyFill="1" applyAlignment="1">
      <alignment horizontal="left"/>
    </xf>
    <xf numFmtId="0" fontId="39" fillId="0" borderId="0" xfId="15" applyFont="1" applyFill="1" applyAlignment="1">
      <alignment horizontal="center" wrapText="1"/>
    </xf>
    <xf numFmtId="9" fontId="39" fillId="0" borderId="0" xfId="2" applyFont="1" applyFill="1"/>
    <xf numFmtId="181" fontId="39" fillId="0" borderId="0" xfId="1" applyNumberFormat="1" applyFont="1" applyFill="1"/>
    <xf numFmtId="9" fontId="51" fillId="0" borderId="0" xfId="2" applyFont="1" applyFill="1"/>
    <xf numFmtId="9" fontId="42" fillId="0" borderId="0" xfId="2" applyFont="1" applyFill="1"/>
    <xf numFmtId="37" fontId="41" fillId="0" borderId="0" xfId="0" applyFont="1"/>
    <xf numFmtId="0" fontId="42" fillId="0" borderId="0" xfId="15" applyFont="1" applyAlignment="1">
      <alignment horizontal="center" wrapText="1"/>
    </xf>
    <xf numFmtId="181" fontId="42" fillId="0" borderId="0" xfId="1" applyNumberFormat="1" applyFont="1" applyFill="1"/>
    <xf numFmtId="37" fontId="55" fillId="5" borderId="0" xfId="0" applyFont="1" applyFill="1"/>
    <xf numFmtId="37" fontId="54" fillId="5" borderId="0" xfId="0" applyFont="1" applyFill="1"/>
    <xf numFmtId="37" fontId="53" fillId="5" borderId="0" xfId="0" applyFont="1" applyFill="1"/>
    <xf numFmtId="167" fontId="52" fillId="5" borderId="0" xfId="2" applyNumberFormat="1" applyFont="1" applyFill="1"/>
    <xf numFmtId="37" fontId="57" fillId="0" borderId="0" xfId="0" applyFont="1" applyFill="1"/>
    <xf numFmtId="37" fontId="41" fillId="0" borderId="0" xfId="6" applyNumberFormat="1" applyFont="1" applyFill="1"/>
    <xf numFmtId="167" fontId="55" fillId="5" borderId="0" xfId="2" applyNumberFormat="1" applyFont="1" applyFill="1"/>
    <xf numFmtId="0" fontId="55" fillId="0" borderId="0" xfId="9" applyFont="1" applyFill="1"/>
    <xf numFmtId="37" fontId="58" fillId="5" borderId="0" xfId="0" applyFont="1" applyFill="1"/>
    <xf numFmtId="37" fontId="59" fillId="0" borderId="0" xfId="0" applyFont="1" applyFill="1"/>
    <xf numFmtId="37" fontId="59" fillId="0" borderId="0" xfId="0" applyFont="1"/>
    <xf numFmtId="37" fontId="59" fillId="5" borderId="0" xfId="0" applyFont="1" applyFill="1"/>
    <xf numFmtId="37" fontId="58" fillId="0" borderId="0" xfId="0" applyFont="1" applyFill="1"/>
    <xf numFmtId="37" fontId="48" fillId="0" borderId="0" xfId="0" applyFont="1" applyFill="1"/>
    <xf numFmtId="37" fontId="38" fillId="0" borderId="0" xfId="6" applyNumberFormat="1" applyFont="1" applyFill="1"/>
    <xf numFmtId="37" fontId="47" fillId="4" borderId="0" xfId="6" applyNumberFormat="1" applyFont="1" applyFill="1"/>
    <xf numFmtId="37" fontId="47" fillId="0" borderId="16" xfId="6" applyNumberFormat="1" applyFont="1" applyFill="1" applyBorder="1"/>
    <xf numFmtId="37" fontId="41" fillId="0" borderId="17" xfId="6" applyNumberFormat="1" applyFont="1" applyFill="1" applyBorder="1"/>
    <xf numFmtId="37" fontId="41" fillId="0" borderId="18" xfId="6" applyNumberFormat="1" applyFont="1" applyFill="1" applyBorder="1"/>
    <xf numFmtId="37" fontId="41" fillId="0" borderId="19" xfId="6" applyNumberFormat="1" applyFont="1" applyFill="1" applyBorder="1"/>
    <xf numFmtId="37" fontId="41" fillId="0" borderId="0" xfId="6" applyNumberFormat="1" applyFont="1" applyFill="1" applyBorder="1"/>
    <xf numFmtId="37" fontId="41" fillId="0" borderId="20" xfId="6" applyNumberFormat="1" applyFont="1" applyFill="1" applyBorder="1"/>
    <xf numFmtId="37" fontId="45" fillId="0" borderId="19" xfId="6" applyNumberFormat="1" applyFont="1" applyFill="1" applyBorder="1"/>
    <xf numFmtId="37" fontId="60" fillId="0" borderId="19" xfId="6" applyNumberFormat="1" applyFont="1" applyFill="1" applyBorder="1"/>
    <xf numFmtId="37" fontId="41" fillId="0" borderId="0" xfId="6" applyNumberFormat="1" applyFont="1" applyBorder="1"/>
    <xf numFmtId="37" fontId="49" fillId="18" borderId="0" xfId="6" applyNumberFormat="1" applyFont="1" applyFill="1" applyBorder="1"/>
    <xf numFmtId="37" fontId="49" fillId="17" borderId="0" xfId="6" applyNumberFormat="1" applyFont="1" applyFill="1" applyBorder="1"/>
    <xf numFmtId="37" fontId="49" fillId="19" borderId="0" xfId="6" applyNumberFormat="1" applyFont="1" applyFill="1" applyBorder="1"/>
    <xf numFmtId="37" fontId="56" fillId="20" borderId="0" xfId="6" applyNumberFormat="1" applyFont="1" applyFill="1" applyBorder="1"/>
    <xf numFmtId="37" fontId="41" fillId="15" borderId="0" xfId="6" applyNumberFormat="1" applyFont="1" applyFill="1" applyBorder="1"/>
    <xf numFmtId="37" fontId="41" fillId="0" borderId="21" xfId="6" applyNumberFormat="1" applyFont="1" applyFill="1" applyBorder="1"/>
    <xf numFmtId="37" fontId="41" fillId="0" borderId="3" xfId="6" applyNumberFormat="1" applyFont="1" applyFill="1" applyBorder="1"/>
    <xf numFmtId="37" fontId="41" fillId="0" borderId="22" xfId="6" applyNumberFormat="1" applyFont="1" applyFill="1" applyBorder="1"/>
    <xf numFmtId="37" fontId="41" fillId="0" borderId="20" xfId="6" applyNumberFormat="1" applyFont="1" applyFill="1" applyBorder="1" applyAlignment="1">
      <alignment horizontal="right"/>
    </xf>
    <xf numFmtId="187" fontId="39" fillId="2" borderId="15" xfId="1" applyNumberFormat="1" applyFont="1" applyFill="1" applyBorder="1"/>
    <xf numFmtId="187" fontId="39" fillId="5" borderId="5" xfId="1" applyNumberFormat="1" applyFont="1" applyFill="1" applyBorder="1"/>
    <xf numFmtId="187" fontId="39" fillId="0" borderId="0" xfId="1" applyNumberFormat="1" applyFont="1" applyFill="1" applyBorder="1"/>
    <xf numFmtId="37" fontId="39" fillId="0" borderId="0" xfId="1" applyNumberFormat="1" applyFont="1" applyFill="1"/>
    <xf numFmtId="188" fontId="39" fillId="0" borderId="0" xfId="1" applyNumberFormat="1" applyFont="1" applyFill="1" applyBorder="1"/>
    <xf numFmtId="37" fontId="0" fillId="0" borderId="0" xfId="0" applyFont="1" applyBorder="1" applyAlignment="1">
      <alignment horizontal="left"/>
    </xf>
    <xf numFmtId="37" fontId="61" fillId="8" borderId="0" xfId="0" applyNumberFormat="1" applyFont="1" applyFill="1" applyBorder="1" applyAlignment="1" applyProtection="1">
      <alignment vertical="top" wrapText="1"/>
    </xf>
    <xf numFmtId="9" fontId="18" fillId="9" borderId="0" xfId="2" applyNumberFormat="1" applyFont="1" applyFill="1" applyBorder="1" applyAlignment="1"/>
    <xf numFmtId="9" fontId="18" fillId="9" borderId="1" xfId="2" applyNumberFormat="1" applyFont="1" applyFill="1" applyBorder="1" applyAlignment="1"/>
    <xf numFmtId="9" fontId="18" fillId="9" borderId="26" xfId="2" applyNumberFormat="1" applyFont="1" applyFill="1" applyBorder="1" applyAlignment="1"/>
    <xf numFmtId="37" fontId="18" fillId="14" borderId="0" xfId="0" applyNumberFormat="1" applyFont="1" applyFill="1" applyBorder="1" applyAlignment="1">
      <alignment horizontal="right"/>
    </xf>
    <xf numFmtId="37" fontId="18" fillId="14" borderId="1" xfId="0" applyNumberFormat="1" applyFont="1" applyFill="1" applyBorder="1" applyAlignment="1">
      <alignment horizontal="right"/>
    </xf>
    <xf numFmtId="166" fontId="10" fillId="0" borderId="0" xfId="0" applyNumberFormat="1" applyFont="1" applyFill="1" applyBorder="1" applyAlignment="1" applyProtection="1">
      <alignment horizontal="right"/>
      <protection locked="0"/>
    </xf>
    <xf numFmtId="9" fontId="12" fillId="0" borderId="0" xfId="2" applyFont="1" applyBorder="1" applyAlignment="1">
      <alignment horizontal="right"/>
    </xf>
    <xf numFmtId="7" fontId="10" fillId="0" borderId="0" xfId="0" applyNumberFormat="1" applyFont="1" applyFill="1" applyBorder="1" applyAlignment="1" applyProtection="1">
      <alignment horizontal="right"/>
    </xf>
    <xf numFmtId="37" fontId="29" fillId="0" borderId="0" xfId="0" applyFont="1" applyBorder="1" applyAlignment="1"/>
    <xf numFmtId="37" fontId="0" fillId="0" borderId="0" xfId="0" applyFont="1" applyBorder="1" applyAlignment="1">
      <alignment horizontal="right"/>
    </xf>
    <xf numFmtId="37" fontId="32" fillId="0" borderId="0" xfId="0" applyFont="1" applyFill="1" applyBorder="1" applyAlignment="1">
      <alignment horizontal="right"/>
    </xf>
    <xf numFmtId="9" fontId="32" fillId="0" borderId="0" xfId="2" applyFont="1" applyBorder="1" applyAlignment="1"/>
    <xf numFmtId="167" fontId="29" fillId="0" borderId="0" xfId="2" applyNumberFormat="1" applyFont="1" applyBorder="1" applyAlignment="1"/>
    <xf numFmtId="0" fontId="63" fillId="5" borderId="0" xfId="15" applyFont="1" applyFill="1" applyAlignment="1">
      <alignment horizontal="center" wrapText="1"/>
    </xf>
    <xf numFmtId="37" fontId="64" fillId="5" borderId="0" xfId="0" applyFont="1" applyFill="1"/>
    <xf numFmtId="37" fontId="0" fillId="0" borderId="0" xfId="0" applyFont="1" applyFill="1" applyBorder="1" applyAlignment="1">
      <alignment horizontal="right"/>
    </xf>
    <xf numFmtId="172" fontId="12" fillId="0" borderId="0" xfId="1" applyNumberFormat="1" applyFont="1" applyFill="1" applyBorder="1" applyAlignment="1">
      <alignment horizontal="right"/>
    </xf>
    <xf numFmtId="170" fontId="10" fillId="6" borderId="0" xfId="0" applyNumberFormat="1" applyFont="1" applyFill="1" applyBorder="1" applyAlignment="1" applyProtection="1">
      <alignment vertical="top" wrapText="1"/>
    </xf>
    <xf numFmtId="171" fontId="66" fillId="0" borderId="0" xfId="1" applyNumberFormat="1" applyFont="1" applyBorder="1" applyAlignment="1"/>
    <xf numFmtId="171" fontId="66" fillId="0" borderId="3" xfId="1" applyNumberFormat="1" applyFont="1" applyBorder="1" applyAlignment="1"/>
    <xf numFmtId="37" fontId="66" fillId="0" borderId="0" xfId="0" applyNumberFormat="1" applyFont="1" applyFill="1" applyBorder="1" applyAlignment="1">
      <alignment horizontal="right"/>
    </xf>
    <xf numFmtId="37" fontId="66" fillId="0" borderId="3" xfId="0" applyNumberFormat="1" applyFont="1" applyFill="1" applyBorder="1" applyAlignment="1">
      <alignment horizontal="right"/>
    </xf>
    <xf numFmtId="37" fontId="66" fillId="14" borderId="1" xfId="0" applyNumberFormat="1" applyFont="1" applyFill="1" applyBorder="1" applyAlignment="1">
      <alignment horizontal="right"/>
    </xf>
    <xf numFmtId="9" fontId="66" fillId="0" borderId="0" xfId="2" applyNumberFormat="1" applyFont="1" applyBorder="1" applyAlignment="1"/>
    <xf numFmtId="9" fontId="66" fillId="0" borderId="3" xfId="2" applyNumberFormat="1" applyFont="1" applyBorder="1" applyAlignment="1"/>
    <xf numFmtId="167" fontId="66" fillId="0" borderId="3" xfId="2" applyNumberFormat="1" applyFont="1" applyBorder="1" applyAlignment="1"/>
    <xf numFmtId="9" fontId="66" fillId="0" borderId="0" xfId="2" applyFont="1" applyBorder="1" applyAlignment="1"/>
    <xf numFmtId="37" fontId="66" fillId="0" borderId="0" xfId="0" applyFont="1" applyBorder="1" applyAlignment="1">
      <alignment horizontal="right"/>
    </xf>
    <xf numFmtId="37" fontId="66" fillId="0" borderId="3" xfId="0" applyFont="1" applyBorder="1" applyAlignment="1">
      <alignment horizontal="right"/>
    </xf>
    <xf numFmtId="167" fontId="66" fillId="0" borderId="0" xfId="2" applyNumberFormat="1" applyFont="1" applyBorder="1" applyAlignment="1"/>
    <xf numFmtId="37" fontId="41" fillId="5" borderId="0" xfId="0" applyFont="1" applyFill="1" applyBorder="1"/>
    <xf numFmtId="180" fontId="5" fillId="0" borderId="0" xfId="14" applyNumberFormat="1" applyFont="1"/>
    <xf numFmtId="0" fontId="42" fillId="0" borderId="0" xfId="15" applyFont="1" applyAlignment="1">
      <alignment horizontal="left"/>
    </xf>
    <xf numFmtId="0" fontId="45" fillId="0" borderId="0" xfId="15" applyFont="1" applyAlignment="1">
      <alignment horizontal="left"/>
    </xf>
    <xf numFmtId="37" fontId="47" fillId="5" borderId="0" xfId="0" applyFont="1" applyFill="1"/>
    <xf numFmtId="175" fontId="39" fillId="0" borderId="0" xfId="0" applyNumberFormat="1" applyFont="1" applyFill="1"/>
    <xf numFmtId="189" fontId="39" fillId="2" borderId="4" xfId="0" applyNumberFormat="1" applyFont="1" applyFill="1" applyBorder="1"/>
    <xf numFmtId="37" fontId="57" fillId="5" borderId="0" xfId="0" applyFont="1" applyFill="1"/>
    <xf numFmtId="175" fontId="39" fillId="0" borderId="0" xfId="0" applyNumberFormat="1" applyFont="1" applyFill="1" applyBorder="1"/>
    <xf numFmtId="175" fontId="39" fillId="0" borderId="0" xfId="2" applyNumberFormat="1" applyFont="1" applyFill="1" applyBorder="1"/>
    <xf numFmtId="37" fontId="69" fillId="0" borderId="0" xfId="0" applyFont="1"/>
    <xf numFmtId="37" fontId="70" fillId="0" borderId="0" xfId="0" applyFont="1" applyFill="1"/>
    <xf numFmtId="37" fontId="71" fillId="0" borderId="0" xfId="0" applyFont="1"/>
    <xf numFmtId="37" fontId="70" fillId="0" borderId="0" xfId="0" applyFont="1"/>
    <xf numFmtId="37" fontId="72" fillId="0" borderId="0" xfId="0" applyFont="1"/>
    <xf numFmtId="37" fontId="73" fillId="0" borderId="0" xfId="0" applyFont="1"/>
    <xf numFmtId="37" fontId="39" fillId="0" borderId="0" xfId="0" applyFont="1" applyBorder="1" applyAlignment="1">
      <alignment horizontal="center"/>
    </xf>
    <xf numFmtId="37" fontId="39" fillId="0" borderId="0" xfId="0" applyFont="1"/>
    <xf numFmtId="37" fontId="39" fillId="0" borderId="0" xfId="0" quotePrefix="1" applyFont="1" applyAlignment="1">
      <alignment horizontal="center"/>
    </xf>
    <xf numFmtId="172" fontId="39" fillId="12" borderId="0" xfId="0" applyNumberFormat="1" applyFont="1" applyFill="1" applyBorder="1" applyAlignment="1">
      <alignment horizontal="center"/>
    </xf>
    <xf numFmtId="37" fontId="38" fillId="0" borderId="0" xfId="0" quotePrefix="1" applyFont="1" applyAlignment="1">
      <alignment horizontal="center"/>
    </xf>
    <xf numFmtId="172" fontId="38" fillId="12" borderId="0" xfId="0" applyNumberFormat="1" applyFont="1" applyFill="1"/>
    <xf numFmtId="168" fontId="38" fillId="12" borderId="0" xfId="0" applyNumberFormat="1" applyFont="1" applyFill="1"/>
    <xf numFmtId="37" fontId="43" fillId="0" borderId="0" xfId="0" applyFont="1"/>
    <xf numFmtId="172" fontId="39" fillId="12" borderId="0" xfId="0" applyNumberFormat="1" applyFont="1" applyFill="1"/>
    <xf numFmtId="9" fontId="39" fillId="12" borderId="0" xfId="2" applyFont="1" applyFill="1"/>
    <xf numFmtId="174" fontId="39" fillId="12" borderId="0" xfId="0" applyNumberFormat="1" applyFont="1" applyFill="1"/>
    <xf numFmtId="172" fontId="38" fillId="0" borderId="0" xfId="0" applyNumberFormat="1" applyFont="1" applyFill="1"/>
    <xf numFmtId="168" fontId="38" fillId="0" borderId="0" xfId="0" applyNumberFormat="1" applyFont="1"/>
    <xf numFmtId="37" fontId="39" fillId="0" borderId="0" xfId="0" quotePrefix="1" applyFont="1"/>
    <xf numFmtId="175" fontId="39" fillId="12" borderId="0" xfId="0" applyNumberFormat="1" applyFont="1" applyFill="1"/>
    <xf numFmtId="175" fontId="38" fillId="12" borderId="0" xfId="0" applyNumberFormat="1" applyFont="1" applyFill="1"/>
    <xf numFmtId="37" fontId="38" fillId="0" borderId="0" xfId="0" applyFont="1" applyAlignment="1">
      <alignment horizontal="left"/>
    </xf>
    <xf numFmtId="173" fontId="39" fillId="12" borderId="0" xfId="0" applyNumberFormat="1" applyFont="1" applyFill="1"/>
    <xf numFmtId="173" fontId="38" fillId="12" borderId="0" xfId="0" applyNumberFormat="1" applyFont="1" applyFill="1"/>
    <xf numFmtId="37" fontId="39" fillId="0" borderId="0" xfId="0" applyFont="1" applyAlignment="1">
      <alignment horizontal="left" indent="1"/>
    </xf>
    <xf numFmtId="37" fontId="38" fillId="8" borderId="0" xfId="0" applyFont="1" applyFill="1"/>
    <xf numFmtId="9" fontId="38" fillId="0" borderId="0" xfId="2" applyFont="1"/>
    <xf numFmtId="172" fontId="38" fillId="12" borderId="0" xfId="0" applyNumberFormat="1" applyFont="1" applyFill="1" applyAlignment="1">
      <alignment horizontal="center"/>
    </xf>
    <xf numFmtId="172" fontId="38" fillId="12" borderId="0" xfId="0" quotePrefix="1" applyNumberFormat="1" applyFont="1" applyFill="1" applyAlignment="1">
      <alignment horizontal="center"/>
    </xf>
    <xf numFmtId="37" fontId="53" fillId="0" borderId="0" xfId="0" applyFont="1" applyAlignment="1">
      <alignment horizontal="left"/>
    </xf>
    <xf numFmtId="172" fontId="38" fillId="0" borderId="0" xfId="0" quotePrefix="1" applyNumberFormat="1" applyFont="1" applyAlignment="1">
      <alignment horizontal="center"/>
    </xf>
    <xf numFmtId="37" fontId="38" fillId="12" borderId="0" xfId="0" applyFont="1" applyFill="1"/>
    <xf numFmtId="37" fontId="39" fillId="0" borderId="0" xfId="0" applyFont="1" applyAlignment="1">
      <alignment horizontal="left" indent="2"/>
    </xf>
    <xf numFmtId="168" fontId="39" fillId="12" borderId="0" xfId="0" applyNumberFormat="1" applyFont="1" applyFill="1"/>
    <xf numFmtId="168" fontId="39" fillId="12" borderId="4" xfId="0" applyNumberFormat="1" applyFont="1" applyFill="1" applyBorder="1"/>
    <xf numFmtId="37" fontId="39" fillId="0" borderId="0" xfId="0" applyFont="1" applyAlignment="1">
      <alignment horizontal="left" indent="3"/>
    </xf>
    <xf numFmtId="174" fontId="39" fillId="12" borderId="5" xfId="0" applyNumberFormat="1" applyFont="1" applyFill="1" applyBorder="1"/>
    <xf numFmtId="37" fontId="39" fillId="12" borderId="0" xfId="0" applyFont="1" applyFill="1"/>
    <xf numFmtId="37" fontId="74" fillId="0" borderId="0" xfId="0" applyFont="1"/>
    <xf numFmtId="37" fontId="75" fillId="4" borderId="0" xfId="0" applyFont="1" applyFill="1"/>
    <xf numFmtId="37" fontId="39" fillId="0" borderId="0" xfId="0" applyFont="1" applyAlignment="1">
      <alignment horizontal="left" indent="4"/>
    </xf>
    <xf numFmtId="168" fontId="39" fillId="0" borderId="0" xfId="0" applyNumberFormat="1" applyFont="1"/>
    <xf numFmtId="168" fontId="39" fillId="0" borderId="0" xfId="0" applyNumberFormat="1" applyFont="1" applyBorder="1"/>
    <xf numFmtId="167" fontId="38" fillId="0" borderId="0" xfId="2" applyNumberFormat="1" applyFont="1"/>
    <xf numFmtId="174" fontId="39" fillId="0" borderId="0" xfId="0" applyNumberFormat="1" applyFont="1"/>
    <xf numFmtId="37" fontId="76" fillId="0" borderId="0" xfId="0" applyFont="1"/>
    <xf numFmtId="172" fontId="38" fillId="0" borderId="0" xfId="0" applyNumberFormat="1" applyFont="1"/>
    <xf numFmtId="174" fontId="38" fillId="0" borderId="0" xfId="0" applyNumberFormat="1" applyFont="1"/>
    <xf numFmtId="172" fontId="39" fillId="0" borderId="0" xfId="0" applyNumberFormat="1" applyFont="1" applyAlignment="1">
      <alignment horizontal="center"/>
    </xf>
    <xf numFmtId="172" fontId="39" fillId="12" borderId="0" xfId="0" applyNumberFormat="1" applyFont="1" applyFill="1" applyAlignment="1">
      <alignment horizontal="center"/>
    </xf>
    <xf numFmtId="167" fontId="66" fillId="8" borderId="1" xfId="2" applyNumberFormat="1" applyFont="1" applyFill="1" applyBorder="1" applyAlignment="1"/>
    <xf numFmtId="171" fontId="0" fillId="3" borderId="0" xfId="0" applyNumberFormat="1" applyFont="1" applyFill="1" applyBorder="1" applyAlignment="1"/>
    <xf numFmtId="37" fontId="41" fillId="0" borderId="0" xfId="0" quotePrefix="1" applyFont="1"/>
    <xf numFmtId="171" fontId="79" fillId="0" borderId="0" xfId="1" applyNumberFormat="1" applyFont="1" applyBorder="1" applyAlignment="1"/>
    <xf numFmtId="179" fontId="38" fillId="0" borderId="0" xfId="0" applyNumberFormat="1" applyFont="1"/>
    <xf numFmtId="9" fontId="20" fillId="8" borderId="0" xfId="2" applyFont="1" applyFill="1" applyBorder="1" applyAlignment="1" applyProtection="1">
      <alignment horizontal="left" vertical="top" wrapText="1"/>
    </xf>
    <xf numFmtId="37" fontId="44" fillId="0" borderId="0" xfId="0" applyFont="1" applyFill="1" applyAlignment="1">
      <alignment vertical="top"/>
    </xf>
    <xf numFmtId="37" fontId="39" fillId="21" borderId="0" xfId="0" applyFont="1" applyFill="1"/>
    <xf numFmtId="9" fontId="39" fillId="21" borderId="0" xfId="2" applyFont="1" applyFill="1"/>
    <xf numFmtId="9" fontId="39" fillId="21" borderId="0" xfId="2" applyFont="1" applyFill="1" applyAlignment="1">
      <alignment horizontal="center"/>
    </xf>
    <xf numFmtId="37" fontId="39" fillId="5" borderId="0" xfId="0" applyNumberFormat="1" applyFont="1" applyFill="1"/>
    <xf numFmtId="37" fontId="39" fillId="5" borderId="0" xfId="0" applyNumberFormat="1" applyFont="1" applyFill="1" applyAlignment="1">
      <alignment horizontal="center"/>
    </xf>
    <xf numFmtId="37" fontId="39" fillId="21" borderId="4" xfId="0" applyFont="1" applyFill="1" applyBorder="1"/>
    <xf numFmtId="181" fontId="42" fillId="5" borderId="0" xfId="0" applyNumberFormat="1" applyFont="1" applyFill="1"/>
    <xf numFmtId="167" fontId="30" fillId="0" borderId="0" xfId="2" applyNumberFormat="1" applyFont="1" applyBorder="1" applyAlignment="1"/>
    <xf numFmtId="167" fontId="31" fillId="11" borderId="0" xfId="2" applyNumberFormat="1" applyFont="1" applyFill="1" applyBorder="1" applyAlignment="1" applyProtection="1">
      <alignment horizontal="left" vertical="top" wrapText="1"/>
      <protection locked="0"/>
    </xf>
    <xf numFmtId="37" fontId="82" fillId="0" borderId="0" xfId="0" applyFont="1"/>
    <xf numFmtId="37" fontId="39" fillId="2" borderId="0" xfId="0" quotePrefix="1" applyFont="1" applyFill="1" applyAlignment="1">
      <alignment horizontal="left"/>
    </xf>
    <xf numFmtId="37" fontId="39" fillId="0" borderId="0" xfId="0" quotePrefix="1" applyFont="1" applyFill="1" applyAlignment="1">
      <alignment horizontal="left"/>
    </xf>
    <xf numFmtId="37" fontId="42" fillId="0" borderId="0" xfId="0" quotePrefix="1" applyFont="1" applyFill="1"/>
    <xf numFmtId="37" fontId="83" fillId="0" borderId="0" xfId="0" quotePrefix="1" applyFont="1" applyAlignment="1">
      <alignment horizontal="center"/>
    </xf>
    <xf numFmtId="172" fontId="83" fillId="12" borderId="0" xfId="0" applyNumberFormat="1" applyFont="1" applyFill="1" applyBorder="1" applyAlignment="1">
      <alignment horizontal="center"/>
    </xf>
    <xf numFmtId="172" fontId="83" fillId="12" borderId="0" xfId="0" applyNumberFormat="1" applyFont="1" applyFill="1"/>
    <xf numFmtId="9" fontId="38" fillId="0" borderId="0" xfId="2" applyFont="1" applyFill="1"/>
    <xf numFmtId="37" fontId="10" fillId="0" borderId="0" xfId="0" applyFont="1" applyFill="1"/>
    <xf numFmtId="10" fontId="10" fillId="7" borderId="0" xfId="2" applyNumberFormat="1" applyFont="1" applyFill="1" applyBorder="1" applyAlignment="1" applyProtection="1">
      <alignment vertical="top" wrapText="1"/>
    </xf>
    <xf numFmtId="10" fontId="10" fillId="4" borderId="0" xfId="0" applyNumberFormat="1" applyFont="1" applyFill="1" applyBorder="1" applyAlignment="1" applyProtection="1">
      <alignment vertical="top" wrapText="1"/>
    </xf>
    <xf numFmtId="171" fontId="10" fillId="4" borderId="0" xfId="0" applyNumberFormat="1" applyFont="1" applyFill="1" applyBorder="1" applyAlignment="1" applyProtection="1">
      <alignment vertical="top" wrapText="1"/>
    </xf>
    <xf numFmtId="37" fontId="12" fillId="0" borderId="0" xfId="0" applyFont="1" applyBorder="1" applyAlignment="1"/>
    <xf numFmtId="9" fontId="12" fillId="0" borderId="0" xfId="2" applyFont="1" applyBorder="1" applyAlignment="1"/>
    <xf numFmtId="10" fontId="20" fillId="7" borderId="0" xfId="2" applyNumberFormat="1" applyFont="1" applyFill="1" applyBorder="1" applyAlignment="1" applyProtection="1"/>
    <xf numFmtId="10" fontId="12" fillId="0" borderId="0" xfId="2" applyNumberFormat="1" applyFont="1" applyBorder="1" applyAlignment="1"/>
    <xf numFmtId="10" fontId="0" fillId="0" borderId="0" xfId="2" applyNumberFormat="1" applyFont="1" applyBorder="1" applyAlignment="1"/>
    <xf numFmtId="167" fontId="12" fillId="0" borderId="0" xfId="2" applyNumberFormat="1" applyFont="1" applyBorder="1" applyAlignment="1"/>
    <xf numFmtId="10" fontId="30" fillId="16" borderId="23" xfId="2" applyNumberFormat="1" applyFont="1" applyFill="1" applyBorder="1" applyAlignment="1"/>
    <xf numFmtId="10" fontId="30" fillId="16" borderId="24" xfId="2" applyNumberFormat="1" applyFont="1" applyFill="1" applyBorder="1" applyAlignment="1"/>
    <xf numFmtId="10" fontId="30" fillId="16" borderId="25" xfId="2" applyNumberFormat="1" applyFont="1" applyFill="1" applyBorder="1" applyAlignment="1"/>
    <xf numFmtId="167" fontId="18" fillId="13" borderId="14" xfId="2" applyNumberFormat="1" applyFont="1" applyFill="1" applyBorder="1" applyAlignment="1">
      <alignment vertical="top" wrapText="1"/>
    </xf>
    <xf numFmtId="171" fontId="66" fillId="0" borderId="0" xfId="0" applyNumberFormat="1" applyFont="1" applyBorder="1" applyAlignment="1"/>
    <xf numFmtId="9" fontId="17" fillId="0" borderId="0" xfId="2" applyNumberFormat="1" applyFont="1" applyFill="1" applyBorder="1" applyAlignment="1" applyProtection="1"/>
    <xf numFmtId="171" fontId="16" fillId="0" borderId="0" xfId="1" applyNumberFormat="1" applyFont="1" applyBorder="1" applyAlignment="1"/>
    <xf numFmtId="167" fontId="67" fillId="0" borderId="0" xfId="2" applyNumberFormat="1" applyFont="1" applyFill="1" applyBorder="1" applyAlignment="1" applyProtection="1"/>
    <xf numFmtId="167" fontId="17" fillId="0" borderId="0" xfId="2" applyNumberFormat="1" applyFont="1" applyFill="1" applyBorder="1" applyAlignment="1" applyProtection="1"/>
    <xf numFmtId="37" fontId="0" fillId="0" borderId="0" xfId="0" applyNumberFormat="1" applyFont="1" applyBorder="1" applyAlignment="1"/>
    <xf numFmtId="37" fontId="18" fillId="0" borderId="0" xfId="0" applyFont="1" applyBorder="1" applyAlignment="1"/>
    <xf numFmtId="37" fontId="18" fillId="0" borderId="0" xfId="0" applyNumberFormat="1" applyFont="1" applyBorder="1" applyAlignment="1"/>
    <xf numFmtId="165" fontId="66" fillId="0" borderId="0" xfId="0" applyNumberFormat="1" applyFont="1" applyFill="1" applyBorder="1" applyAlignment="1"/>
    <xf numFmtId="37" fontId="16" fillId="0" borderId="0" xfId="0" applyFont="1" applyBorder="1" applyAlignment="1"/>
    <xf numFmtId="37" fontId="32" fillId="0" borderId="0" xfId="0" applyFont="1" applyBorder="1" applyAlignment="1"/>
    <xf numFmtId="37" fontId="66" fillId="0" borderId="0" xfId="0" applyFont="1" applyBorder="1" applyAlignment="1"/>
    <xf numFmtId="37" fontId="66" fillId="0" borderId="0" xfId="0" applyNumberFormat="1" applyFont="1" applyBorder="1" applyAlignment="1"/>
    <xf numFmtId="167" fontId="66" fillId="0" borderId="0" xfId="0" applyNumberFormat="1" applyFont="1" applyBorder="1" applyAlignment="1"/>
    <xf numFmtId="170" fontId="0" fillId="0" borderId="0" xfId="0" applyNumberFormat="1" applyFont="1" applyBorder="1" applyAlignment="1"/>
    <xf numFmtId="172" fontId="12" fillId="0" borderId="0" xfId="1" applyNumberFormat="1" applyFont="1" applyBorder="1" applyAlignment="1"/>
    <xf numFmtId="171" fontId="66" fillId="0" borderId="0" xfId="0" applyNumberFormat="1" applyFont="1" applyFill="1" applyBorder="1" applyAlignment="1"/>
    <xf numFmtId="167" fontId="32" fillId="0" borderId="0" xfId="2" applyNumberFormat="1" applyFont="1" applyBorder="1" applyAlignment="1"/>
    <xf numFmtId="171" fontId="29" fillId="0" borderId="0" xfId="1" applyNumberFormat="1" applyFont="1" applyBorder="1" applyAlignment="1"/>
    <xf numFmtId="37" fontId="0" fillId="0" borderId="3" xfId="0" applyFont="1" applyBorder="1" applyAlignment="1"/>
    <xf numFmtId="9" fontId="12" fillId="0" borderId="3" xfId="2" applyNumberFormat="1" applyFont="1" applyBorder="1" applyAlignment="1"/>
    <xf numFmtId="171" fontId="0" fillId="0" borderId="3" xfId="0" applyNumberFormat="1" applyFont="1" applyBorder="1" applyAlignment="1"/>
    <xf numFmtId="9" fontId="12" fillId="0" borderId="3" xfId="2" applyFont="1" applyBorder="1" applyAlignment="1"/>
    <xf numFmtId="171" fontId="66" fillId="0" borderId="3" xfId="0" applyNumberFormat="1" applyFont="1" applyBorder="1" applyAlignment="1"/>
    <xf numFmtId="171" fontId="18" fillId="0" borderId="3" xfId="0" applyNumberFormat="1" applyFont="1" applyBorder="1" applyAlignment="1"/>
    <xf numFmtId="9" fontId="67" fillId="0" borderId="3" xfId="2" applyNumberFormat="1" applyFont="1" applyFill="1" applyBorder="1" applyAlignment="1" applyProtection="1"/>
    <xf numFmtId="167" fontId="67" fillId="0" borderId="3" xfId="2" applyNumberFormat="1" applyFont="1" applyFill="1" applyBorder="1" applyAlignment="1" applyProtection="1"/>
    <xf numFmtId="165" fontId="66" fillId="0" borderId="3" xfId="1" applyFont="1" applyBorder="1" applyAlignment="1"/>
    <xf numFmtId="37" fontId="16" fillId="0" borderId="3" xfId="0" applyFont="1" applyBorder="1" applyAlignment="1"/>
    <xf numFmtId="9" fontId="32" fillId="0" borderId="3" xfId="2" applyNumberFormat="1" applyFont="1" applyBorder="1" applyAlignment="1"/>
    <xf numFmtId="37" fontId="66" fillId="0" borderId="3" xfId="0" applyNumberFormat="1" applyFont="1" applyBorder="1" applyAlignment="1"/>
    <xf numFmtId="167" fontId="29" fillId="0" borderId="0" xfId="2" applyNumberFormat="1" applyFont="1" applyBorder="1" applyAlignment="1">
      <alignment horizontal="center"/>
    </xf>
    <xf numFmtId="9" fontId="67" fillId="0" borderId="0" xfId="2" applyNumberFormat="1" applyFont="1" applyFill="1" applyBorder="1" applyAlignment="1" applyProtection="1"/>
    <xf numFmtId="171" fontId="32" fillId="0" borderId="0" xfId="0" applyNumberFormat="1" applyFont="1" applyBorder="1" applyAlignment="1"/>
    <xf numFmtId="167" fontId="66" fillId="4" borderId="0" xfId="0" applyNumberFormat="1" applyFont="1" applyFill="1" applyBorder="1" applyAlignment="1"/>
    <xf numFmtId="37" fontId="32" fillId="0" borderId="0" xfId="0" applyNumberFormat="1" applyFont="1" applyBorder="1" applyAlignment="1"/>
    <xf numFmtId="9" fontId="12" fillId="0" borderId="0" xfId="2" applyNumberFormat="1" applyFont="1" applyBorder="1" applyAlignment="1"/>
    <xf numFmtId="9" fontId="17" fillId="0" borderId="0" xfId="2" applyFont="1" applyFill="1" applyBorder="1" applyAlignment="1" applyProtection="1"/>
    <xf numFmtId="171" fontId="17" fillId="0" borderId="0" xfId="0" applyNumberFormat="1" applyFont="1" applyFill="1" applyBorder="1" applyAlignment="1" applyProtection="1"/>
    <xf numFmtId="167" fontId="32" fillId="0" borderId="0" xfId="0" applyNumberFormat="1" applyFont="1" applyBorder="1" applyAlignment="1"/>
    <xf numFmtId="171" fontId="12" fillId="8" borderId="9" xfId="1" applyNumberFormat="1" applyFont="1" applyFill="1" applyBorder="1" applyAlignment="1">
      <alignment horizontal="left"/>
    </xf>
    <xf numFmtId="171" fontId="12" fillId="8" borderId="9" xfId="1" applyNumberFormat="1" applyFont="1" applyFill="1" applyBorder="1" applyAlignment="1">
      <alignment horizontal="right"/>
    </xf>
    <xf numFmtId="171" fontId="12" fillId="10" borderId="9" xfId="1" applyNumberFormat="1" applyFont="1" applyFill="1" applyBorder="1" applyAlignment="1">
      <alignment horizontal="right"/>
    </xf>
    <xf numFmtId="171" fontId="12" fillId="9" borderId="9" xfId="1" applyNumberFormat="1" applyFont="1" applyFill="1" applyBorder="1" applyAlignment="1">
      <alignment horizontal="right"/>
    </xf>
    <xf numFmtId="171" fontId="12" fillId="7" borderId="9" xfId="1" applyNumberFormat="1" applyFont="1" applyFill="1" applyBorder="1" applyAlignment="1">
      <alignment horizontal="right"/>
    </xf>
    <xf numFmtId="171" fontId="12" fillId="11" borderId="9" xfId="1" applyNumberFormat="1" applyFont="1" applyFill="1" applyBorder="1" applyAlignment="1">
      <alignment horizontal="right"/>
    </xf>
    <xf numFmtId="171" fontId="12" fillId="6" borderId="9" xfId="1" applyNumberFormat="1" applyFont="1" applyFill="1" applyBorder="1" applyAlignment="1">
      <alignment horizontal="right"/>
    </xf>
    <xf numFmtId="171" fontId="12" fillId="3" borderId="9" xfId="1" applyNumberFormat="1" applyFont="1" applyFill="1" applyBorder="1" applyAlignment="1">
      <alignment horizontal="right"/>
    </xf>
    <xf numFmtId="171" fontId="32" fillId="9" borderId="9" xfId="1" applyNumberFormat="1" applyFont="1" applyFill="1" applyBorder="1" applyAlignment="1">
      <alignment horizontal="right"/>
    </xf>
    <xf numFmtId="171" fontId="32" fillId="8" borderId="9" xfId="1" applyNumberFormat="1" applyFont="1" applyFill="1" applyBorder="1" applyAlignment="1">
      <alignment horizontal="right"/>
    </xf>
    <xf numFmtId="171" fontId="32" fillId="11" borderId="9" xfId="1" applyNumberFormat="1" applyFont="1" applyFill="1" applyBorder="1" applyAlignment="1">
      <alignment horizontal="right"/>
    </xf>
    <xf numFmtId="171" fontId="32" fillId="3" borderId="9" xfId="1" applyNumberFormat="1" applyFont="1" applyFill="1" applyBorder="1" applyAlignment="1">
      <alignment horizontal="right"/>
    </xf>
    <xf numFmtId="171" fontId="12" fillId="8" borderId="0" xfId="1" applyNumberFormat="1" applyFont="1" applyFill="1" applyBorder="1" applyAlignment="1">
      <alignment horizontal="left"/>
    </xf>
    <xf numFmtId="171" fontId="12" fillId="8" borderId="0" xfId="1" applyNumberFormat="1" applyFont="1" applyFill="1" applyBorder="1" applyAlignment="1">
      <alignment horizontal="right"/>
    </xf>
    <xf numFmtId="171" fontId="12" fillId="10" borderId="0" xfId="1" applyNumberFormat="1" applyFont="1" applyFill="1" applyBorder="1" applyAlignment="1">
      <alignment horizontal="right"/>
    </xf>
    <xf numFmtId="171" fontId="12" fillId="9" borderId="0" xfId="1" applyNumberFormat="1" applyFont="1" applyFill="1" applyBorder="1" applyAlignment="1">
      <alignment horizontal="right"/>
    </xf>
    <xf numFmtId="171" fontId="12" fillId="7" borderId="0" xfId="1" applyNumberFormat="1" applyFont="1" applyFill="1" applyBorder="1" applyAlignment="1">
      <alignment horizontal="right"/>
    </xf>
    <xf numFmtId="171" fontId="12" fillId="11" borderId="0" xfId="1" applyNumberFormat="1" applyFont="1" applyFill="1" applyBorder="1" applyAlignment="1">
      <alignment horizontal="right"/>
    </xf>
    <xf numFmtId="171" fontId="12" fillId="6" borderId="0" xfId="1" applyNumberFormat="1" applyFont="1" applyFill="1" applyBorder="1" applyAlignment="1">
      <alignment horizontal="right"/>
    </xf>
    <xf numFmtId="171" fontId="12" fillId="3" borderId="0" xfId="1" applyNumberFormat="1" applyFont="1" applyFill="1" applyBorder="1" applyAlignment="1">
      <alignment horizontal="right"/>
    </xf>
    <xf numFmtId="171" fontId="32" fillId="9" borderId="0" xfId="1" applyNumberFormat="1" applyFont="1" applyFill="1" applyBorder="1" applyAlignment="1">
      <alignment horizontal="right"/>
    </xf>
    <xf numFmtId="171" fontId="32" fillId="8" borderId="0" xfId="1" applyNumberFormat="1" applyFont="1" applyFill="1" applyBorder="1" applyAlignment="1">
      <alignment horizontal="right"/>
    </xf>
    <xf numFmtId="171" fontId="32" fillId="11" borderId="0" xfId="1" applyNumberFormat="1" applyFont="1" applyFill="1" applyBorder="1" applyAlignment="1">
      <alignment horizontal="right"/>
    </xf>
    <xf numFmtId="171" fontId="32" fillId="3" borderId="0" xfId="1" applyNumberFormat="1" applyFont="1" applyFill="1" applyBorder="1" applyAlignment="1">
      <alignment horizontal="right"/>
    </xf>
    <xf numFmtId="171" fontId="12" fillId="8" borderId="12" xfId="1" applyNumberFormat="1" applyFont="1" applyFill="1" applyBorder="1" applyAlignment="1">
      <alignment horizontal="left"/>
    </xf>
    <xf numFmtId="171" fontId="12" fillId="8" borderId="12" xfId="1" applyNumberFormat="1" applyFont="1" applyFill="1" applyBorder="1" applyAlignment="1">
      <alignment horizontal="right"/>
    </xf>
    <xf numFmtId="171" fontId="12" fillId="10" borderId="12" xfId="1" applyNumberFormat="1" applyFont="1" applyFill="1" applyBorder="1" applyAlignment="1">
      <alignment horizontal="right"/>
    </xf>
    <xf numFmtId="171" fontId="12" fillId="9" borderId="12" xfId="1" applyNumberFormat="1" applyFont="1" applyFill="1" applyBorder="1" applyAlignment="1">
      <alignment horizontal="right"/>
    </xf>
    <xf numFmtId="171" fontId="12" fillId="7" borderId="12" xfId="1" applyNumberFormat="1" applyFont="1" applyFill="1" applyBorder="1" applyAlignment="1">
      <alignment horizontal="right"/>
    </xf>
    <xf numFmtId="171" fontId="12" fillId="11" borderId="12" xfId="1" applyNumberFormat="1" applyFont="1" applyFill="1" applyBorder="1" applyAlignment="1">
      <alignment horizontal="right"/>
    </xf>
    <xf numFmtId="171" fontId="12" fillId="6" borderId="12" xfId="1" applyNumberFormat="1" applyFont="1" applyFill="1" applyBorder="1" applyAlignment="1">
      <alignment horizontal="right"/>
    </xf>
    <xf numFmtId="171" fontId="12" fillId="3" borderId="12" xfId="1" applyNumberFormat="1" applyFont="1" applyFill="1" applyBorder="1" applyAlignment="1">
      <alignment horizontal="right"/>
    </xf>
    <xf numFmtId="171" fontId="32" fillId="9" borderId="12" xfId="1" applyNumberFormat="1" applyFont="1" applyFill="1" applyBorder="1" applyAlignment="1">
      <alignment horizontal="right"/>
    </xf>
    <xf numFmtId="171" fontId="32" fillId="8" borderId="12" xfId="1" applyNumberFormat="1" applyFont="1" applyFill="1" applyBorder="1" applyAlignment="1">
      <alignment horizontal="right"/>
    </xf>
    <xf numFmtId="171" fontId="32" fillId="11" borderId="12" xfId="1" applyNumberFormat="1" applyFont="1" applyFill="1" applyBorder="1" applyAlignment="1">
      <alignment horizontal="right"/>
    </xf>
    <xf numFmtId="171" fontId="32" fillId="3" borderId="12" xfId="1" applyNumberFormat="1" applyFont="1" applyFill="1" applyBorder="1" applyAlignment="1">
      <alignment horizontal="right"/>
    </xf>
    <xf numFmtId="171" fontId="65" fillId="8" borderId="0" xfId="0" applyNumberFormat="1" applyFont="1" applyFill="1" applyBorder="1" applyAlignment="1"/>
    <xf numFmtId="37" fontId="36" fillId="8" borderId="0" xfId="0" applyFont="1" applyFill="1" applyBorder="1" applyAlignment="1" applyProtection="1"/>
    <xf numFmtId="37" fontId="36" fillId="8" borderId="0" xfId="0" applyFont="1" applyFill="1" applyBorder="1" applyAlignment="1" applyProtection="1">
      <alignment horizontal="right"/>
    </xf>
    <xf numFmtId="171" fontId="35" fillId="10" borderId="0" xfId="1" applyNumberFormat="1" applyFont="1" applyFill="1" applyBorder="1" applyAlignment="1"/>
    <xf numFmtId="171" fontId="36" fillId="9" borderId="0" xfId="0" applyNumberFormat="1" applyFont="1" applyFill="1" applyBorder="1" applyAlignment="1" applyProtection="1"/>
    <xf numFmtId="37" fontId="36" fillId="9" borderId="0" xfId="0" applyFont="1" applyFill="1" applyBorder="1" applyAlignment="1" applyProtection="1"/>
    <xf numFmtId="171" fontId="36" fillId="9" borderId="0" xfId="1" applyNumberFormat="1" applyFont="1" applyFill="1" applyBorder="1" applyAlignment="1" applyProtection="1"/>
    <xf numFmtId="171" fontId="19" fillId="9" borderId="0" xfId="0" applyNumberFormat="1" applyFont="1" applyFill="1" applyBorder="1" applyAlignment="1" applyProtection="1"/>
    <xf numFmtId="37" fontId="36" fillId="7" borderId="0" xfId="0" applyFont="1" applyFill="1" applyBorder="1" applyAlignment="1" applyProtection="1"/>
    <xf numFmtId="171" fontId="36" fillId="7" borderId="0" xfId="0" applyNumberFormat="1" applyFont="1" applyFill="1" applyBorder="1" applyAlignment="1" applyProtection="1"/>
    <xf numFmtId="9" fontId="19" fillId="7" borderId="0" xfId="2" applyFont="1" applyFill="1" applyBorder="1" applyAlignment="1" applyProtection="1"/>
    <xf numFmtId="171" fontId="36" fillId="11" borderId="0" xfId="1" applyNumberFormat="1" applyFont="1" applyFill="1" applyBorder="1" applyAlignment="1" applyProtection="1"/>
    <xf numFmtId="171" fontId="36" fillId="11" borderId="0" xfId="0" applyNumberFormat="1" applyFont="1" applyFill="1" applyBorder="1" applyAlignment="1" applyProtection="1"/>
    <xf numFmtId="171" fontId="19" fillId="11" borderId="0" xfId="0" applyNumberFormat="1" applyFont="1" applyFill="1" applyBorder="1" applyAlignment="1" applyProtection="1"/>
    <xf numFmtId="167" fontId="17" fillId="11" borderId="0" xfId="2" applyNumberFormat="1" applyFont="1" applyFill="1" applyBorder="1" applyAlignment="1" applyProtection="1"/>
    <xf numFmtId="171" fontId="35" fillId="6" borderId="0" xfId="0" applyNumberFormat="1" applyFont="1" applyFill="1" applyBorder="1" applyAlignment="1"/>
    <xf numFmtId="37" fontId="10" fillId="6" borderId="0" xfId="0" applyFont="1" applyFill="1" applyBorder="1" applyAlignment="1" applyProtection="1"/>
    <xf numFmtId="171" fontId="10" fillId="6" borderId="0" xfId="0" applyNumberFormat="1" applyFont="1" applyFill="1" applyBorder="1" applyAlignment="1" applyProtection="1"/>
    <xf numFmtId="37" fontId="10" fillId="8" borderId="0" xfId="0" applyFont="1" applyFill="1" applyBorder="1" applyAlignment="1" applyProtection="1"/>
    <xf numFmtId="171" fontId="10" fillId="8" borderId="0" xfId="0" applyNumberFormat="1" applyFont="1" applyFill="1" applyBorder="1" applyAlignment="1" applyProtection="1"/>
    <xf numFmtId="9" fontId="10" fillId="8" borderId="0" xfId="2" applyFont="1" applyFill="1" applyBorder="1" applyAlignment="1" applyProtection="1"/>
    <xf numFmtId="37" fontId="10" fillId="8" borderId="0" xfId="0" applyNumberFormat="1" applyFont="1" applyFill="1" applyBorder="1" applyAlignment="1" applyProtection="1"/>
    <xf numFmtId="37" fontId="18" fillId="8" borderId="0" xfId="0" applyFont="1" applyFill="1" applyBorder="1" applyAlignment="1"/>
    <xf numFmtId="37" fontId="18" fillId="8" borderId="0" xfId="0" applyNumberFormat="1" applyFont="1" applyFill="1" applyBorder="1" applyAlignment="1"/>
    <xf numFmtId="165" fontId="66" fillId="8" borderId="0" xfId="0" applyNumberFormat="1" applyFont="1" applyFill="1" applyBorder="1" applyAlignment="1"/>
    <xf numFmtId="171" fontId="10" fillId="3" borderId="0" xfId="1" applyNumberFormat="1" applyFont="1" applyFill="1" applyBorder="1" applyAlignment="1" applyProtection="1"/>
    <xf numFmtId="37" fontId="31" fillId="9" borderId="0" xfId="0" applyFont="1" applyFill="1" applyBorder="1" applyAlignment="1" applyProtection="1"/>
    <xf numFmtId="37" fontId="31" fillId="8" borderId="0" xfId="0" applyFont="1" applyFill="1" applyBorder="1" applyAlignment="1" applyProtection="1"/>
    <xf numFmtId="167" fontId="66" fillId="8" borderId="0" xfId="2" applyNumberFormat="1" applyFont="1" applyFill="1" applyBorder="1" applyAlignment="1"/>
    <xf numFmtId="37" fontId="31" fillId="14" borderId="0" xfId="0" applyFont="1" applyFill="1" applyBorder="1" applyAlignment="1" applyProtection="1"/>
    <xf numFmtId="171" fontId="19" fillId="3" borderId="0" xfId="0" applyNumberFormat="1" applyFont="1" applyFill="1" applyBorder="1" applyAlignment="1" applyProtection="1"/>
    <xf numFmtId="171" fontId="31" fillId="3" borderId="0" xfId="1" applyNumberFormat="1" applyFont="1" applyFill="1" applyBorder="1" applyAlignment="1" applyProtection="1"/>
    <xf numFmtId="37" fontId="35" fillId="0" borderId="0" xfId="0" applyFont="1" applyBorder="1" applyAlignment="1"/>
    <xf numFmtId="171" fontId="65" fillId="8" borderId="0" xfId="0" quotePrefix="1" applyNumberFormat="1" applyFont="1" applyFill="1" applyBorder="1" applyAlignment="1"/>
    <xf numFmtId="37" fontId="36" fillId="8" borderId="0" xfId="0" applyFont="1" applyFill="1" applyBorder="1" applyAlignment="1" applyProtection="1">
      <alignment horizontal="left"/>
    </xf>
    <xf numFmtId="171" fontId="18" fillId="9" borderId="0" xfId="0" applyNumberFormat="1" applyFont="1" applyFill="1" applyBorder="1" applyAlignment="1"/>
    <xf numFmtId="171" fontId="19" fillId="11" borderId="0" xfId="1" applyNumberFormat="1" applyFont="1" applyFill="1" applyBorder="1" applyAlignment="1" applyProtection="1"/>
    <xf numFmtId="167" fontId="0" fillId="11" borderId="0" xfId="0" applyNumberFormat="1" applyFont="1" applyFill="1" applyBorder="1" applyAlignment="1"/>
    <xf numFmtId="37" fontId="19" fillId="8" borderId="0" xfId="0" applyFont="1" applyFill="1" applyBorder="1" applyAlignment="1" applyProtection="1"/>
    <xf numFmtId="167" fontId="0" fillId="8" borderId="0" xfId="0" applyNumberFormat="1" applyFont="1" applyFill="1" applyBorder="1" applyAlignment="1"/>
    <xf numFmtId="37" fontId="19" fillId="8" borderId="0" xfId="0" applyNumberFormat="1" applyFont="1" applyFill="1" applyBorder="1" applyAlignment="1" applyProtection="1"/>
    <xf numFmtId="171" fontId="66" fillId="8" borderId="0" xfId="0" applyNumberFormat="1" applyFont="1" applyFill="1" applyBorder="1" applyAlignment="1"/>
    <xf numFmtId="171" fontId="19" fillId="3" borderId="0" xfId="1" applyNumberFormat="1" applyFont="1" applyFill="1" applyBorder="1" applyAlignment="1" applyProtection="1"/>
    <xf numFmtId="171" fontId="10" fillId="3" borderId="0" xfId="0" applyNumberFormat="1" applyFont="1" applyFill="1" applyBorder="1" applyAlignment="1" applyProtection="1"/>
    <xf numFmtId="171" fontId="32" fillId="9" borderId="0" xfId="0" applyNumberFormat="1" applyFont="1" applyFill="1" applyBorder="1" applyAlignment="1"/>
    <xf numFmtId="167" fontId="66" fillId="8" borderId="0" xfId="0" applyNumberFormat="1" applyFont="1" applyFill="1" applyBorder="1" applyAlignment="1"/>
    <xf numFmtId="37" fontId="19" fillId="14" borderId="0" xfId="0" applyFont="1" applyFill="1" applyBorder="1" applyAlignment="1" applyProtection="1"/>
    <xf numFmtId="171" fontId="31" fillId="3" borderId="0" xfId="0" applyNumberFormat="1" applyFont="1" applyFill="1" applyBorder="1" applyAlignment="1" applyProtection="1"/>
    <xf numFmtId="171" fontId="65" fillId="8" borderId="1" xfId="0" quotePrefix="1" applyNumberFormat="1" applyFont="1" applyFill="1" applyBorder="1" applyAlignment="1"/>
    <xf numFmtId="37" fontId="36" fillId="8" borderId="1" xfId="0" applyFont="1" applyFill="1" applyBorder="1" applyAlignment="1" applyProtection="1">
      <alignment horizontal="left"/>
    </xf>
    <xf numFmtId="37" fontId="36" fillId="8" borderId="1" xfId="0" applyFont="1" applyFill="1" applyBorder="1" applyAlignment="1" applyProtection="1"/>
    <xf numFmtId="9" fontId="12" fillId="8" borderId="26" xfId="2" applyNumberFormat="1" applyFont="1" applyFill="1" applyBorder="1" applyAlignment="1"/>
    <xf numFmtId="9" fontId="12" fillId="8" borderId="1" xfId="2" applyNumberFormat="1" applyFont="1" applyFill="1" applyBorder="1" applyAlignment="1"/>
    <xf numFmtId="171" fontId="35" fillId="10" borderId="1" xfId="1" applyNumberFormat="1" applyFont="1" applyFill="1" applyBorder="1" applyAlignment="1"/>
    <xf numFmtId="171" fontId="36" fillId="9" borderId="1" xfId="0" applyNumberFormat="1" applyFont="1" applyFill="1" applyBorder="1" applyAlignment="1" applyProtection="1"/>
    <xf numFmtId="9" fontId="36" fillId="9" borderId="1" xfId="2" applyFont="1" applyFill="1" applyBorder="1" applyAlignment="1" applyProtection="1"/>
    <xf numFmtId="171" fontId="19" fillId="9" borderId="1" xfId="0" applyNumberFormat="1" applyFont="1" applyFill="1" applyBorder="1" applyAlignment="1" applyProtection="1"/>
    <xf numFmtId="9" fontId="36" fillId="7" borderId="1" xfId="2" applyNumberFormat="1" applyFont="1" applyFill="1" applyBorder="1" applyAlignment="1" applyProtection="1"/>
    <xf numFmtId="171" fontId="36" fillId="7" borderId="1" xfId="0" applyNumberFormat="1" applyFont="1" applyFill="1" applyBorder="1" applyAlignment="1" applyProtection="1"/>
    <xf numFmtId="9" fontId="19" fillId="7" borderId="1" xfId="2" applyFont="1" applyFill="1" applyBorder="1" applyAlignment="1" applyProtection="1"/>
    <xf numFmtId="9" fontId="36" fillId="7" borderId="1" xfId="2" applyFont="1" applyFill="1" applyBorder="1" applyAlignment="1" applyProtection="1"/>
    <xf numFmtId="171" fontId="36" fillId="11" borderId="1" xfId="1" applyNumberFormat="1" applyFont="1" applyFill="1" applyBorder="1" applyAlignment="1" applyProtection="1"/>
    <xf numFmtId="171" fontId="36" fillId="11" borderId="1" xfId="0" applyNumberFormat="1" applyFont="1" applyFill="1" applyBorder="1" applyAlignment="1" applyProtection="1"/>
    <xf numFmtId="171" fontId="19" fillId="11" borderId="1" xfId="1" applyNumberFormat="1" applyFont="1" applyFill="1" applyBorder="1" applyAlignment="1" applyProtection="1"/>
    <xf numFmtId="167" fontId="17" fillId="11" borderId="1" xfId="2" applyNumberFormat="1" applyFont="1" applyFill="1" applyBorder="1" applyAlignment="1" applyProtection="1"/>
    <xf numFmtId="171" fontId="19" fillId="11" borderId="1" xfId="0" applyNumberFormat="1" applyFont="1" applyFill="1" applyBorder="1" applyAlignment="1" applyProtection="1"/>
    <xf numFmtId="171" fontId="10" fillId="6" borderId="1" xfId="0" applyNumberFormat="1" applyFont="1" applyFill="1" applyBorder="1" applyAlignment="1" applyProtection="1"/>
    <xf numFmtId="9" fontId="10" fillId="6" borderId="1" xfId="2" applyFont="1" applyFill="1" applyBorder="1" applyAlignment="1" applyProtection="1"/>
    <xf numFmtId="9" fontId="10" fillId="8" borderId="1" xfId="2" applyFont="1" applyFill="1" applyBorder="1" applyAlignment="1" applyProtection="1"/>
    <xf numFmtId="171" fontId="10" fillId="8" borderId="1" xfId="0" applyNumberFormat="1" applyFont="1" applyFill="1" applyBorder="1" applyAlignment="1" applyProtection="1"/>
    <xf numFmtId="37" fontId="10" fillId="8" borderId="1" xfId="0" applyFont="1" applyFill="1" applyBorder="1" applyAlignment="1" applyProtection="1"/>
    <xf numFmtId="37" fontId="10" fillId="8" borderId="1" xfId="0" applyNumberFormat="1" applyFont="1" applyFill="1" applyBorder="1" applyAlignment="1" applyProtection="1"/>
    <xf numFmtId="167" fontId="18" fillId="8" borderId="1" xfId="2" applyNumberFormat="1" applyFont="1" applyFill="1" applyBorder="1" applyAlignment="1"/>
    <xf numFmtId="171" fontId="10" fillId="3" borderId="1" xfId="1" applyNumberFormat="1" applyFont="1" applyFill="1" applyBorder="1" applyAlignment="1" applyProtection="1"/>
    <xf numFmtId="171" fontId="10" fillId="3" borderId="1" xfId="0" applyNumberFormat="1" applyFont="1" applyFill="1" applyBorder="1" applyAlignment="1" applyProtection="1"/>
    <xf numFmtId="9" fontId="31" fillId="9" borderId="1" xfId="2" applyFont="1" applyFill="1" applyBorder="1" applyAlignment="1" applyProtection="1"/>
    <xf numFmtId="9" fontId="31" fillId="8" borderId="1" xfId="2" applyFont="1" applyFill="1" applyBorder="1" applyAlignment="1" applyProtection="1"/>
    <xf numFmtId="37" fontId="18" fillId="8" borderId="1" xfId="0" applyNumberFormat="1" applyFont="1" applyFill="1" applyBorder="1" applyAlignment="1"/>
    <xf numFmtId="9" fontId="31" fillId="14" borderId="1" xfId="2" applyFont="1" applyFill="1" applyBorder="1" applyAlignment="1" applyProtection="1"/>
    <xf numFmtId="171" fontId="19" fillId="3" borderId="1" xfId="0" applyNumberFormat="1" applyFont="1" applyFill="1" applyBorder="1" applyAlignment="1" applyProtection="1"/>
    <xf numFmtId="171" fontId="31" fillId="3" borderId="1" xfId="0" applyNumberFormat="1" applyFont="1" applyFill="1" applyBorder="1" applyAlignment="1" applyProtection="1"/>
    <xf numFmtId="9" fontId="32" fillId="0" borderId="0" xfId="2" applyFont="1" applyFill="1" applyBorder="1" applyAlignment="1">
      <alignment horizontal="right"/>
    </xf>
    <xf numFmtId="167" fontId="32" fillId="0" borderId="0" xfId="2" applyNumberFormat="1" applyFont="1" applyFill="1" applyBorder="1" applyAlignment="1">
      <alignment horizontal="right"/>
    </xf>
    <xf numFmtId="37" fontId="29" fillId="0" borderId="0" xfId="0" applyFont="1" applyFill="1" applyBorder="1" applyAlignment="1">
      <alignment horizontal="right"/>
    </xf>
    <xf numFmtId="171" fontId="86" fillId="23" borderId="0" xfId="1" applyNumberFormat="1" applyFont="1" applyFill="1" applyBorder="1" applyAlignment="1"/>
    <xf numFmtId="167" fontId="66" fillId="0" borderId="0" xfId="0" applyNumberFormat="1" applyFont="1" applyFill="1" applyBorder="1" applyAlignment="1"/>
    <xf numFmtId="37" fontId="88" fillId="0" borderId="0" xfId="19" applyNumberFormat="1" applyFont="1" applyFill="1" applyBorder="1" applyAlignment="1">
      <alignment horizontal="left"/>
    </xf>
    <xf numFmtId="37" fontId="90" fillId="24" borderId="0" xfId="0" applyFont="1" applyFill="1" applyBorder="1" applyAlignment="1" applyProtection="1"/>
    <xf numFmtId="37" fontId="91" fillId="24" borderId="0" xfId="0" applyFont="1" applyFill="1" applyBorder="1" applyAlignment="1" applyProtection="1">
      <alignment wrapText="1"/>
    </xf>
    <xf numFmtId="37" fontId="92" fillId="24" borderId="0" xfId="0" applyFont="1" applyFill="1" applyBorder="1" applyAlignment="1" applyProtection="1">
      <alignment vertical="top" wrapText="1"/>
    </xf>
    <xf numFmtId="165" fontId="66" fillId="8" borderId="1" xfId="1" applyFont="1" applyFill="1" applyBorder="1" applyAlignment="1"/>
    <xf numFmtId="37" fontId="84" fillId="8" borderId="0" xfId="0" applyFont="1" applyFill="1" applyBorder="1" applyAlignment="1" applyProtection="1">
      <alignment horizontal="left"/>
    </xf>
    <xf numFmtId="37" fontId="0" fillId="0" borderId="0" xfId="0" applyFont="1" applyFill="1" applyBorder="1" applyAlignment="1"/>
    <xf numFmtId="9" fontId="12" fillId="0" borderId="0" xfId="2" applyFont="1" applyFill="1" applyBorder="1" applyAlignment="1"/>
    <xf numFmtId="9" fontId="77" fillId="0" borderId="0" xfId="2" applyFont="1" applyFill="1" applyBorder="1" applyAlignment="1"/>
    <xf numFmtId="171" fontId="77" fillId="0" borderId="0" xfId="1" applyNumberFormat="1" applyFont="1" applyFill="1" applyBorder="1" applyAlignment="1"/>
    <xf numFmtId="167" fontId="12" fillId="0" borderId="0" xfId="2" applyNumberFormat="1" applyFont="1" applyFill="1" applyBorder="1" applyAlignment="1"/>
    <xf numFmtId="172" fontId="18" fillId="0" borderId="0" xfId="1" applyNumberFormat="1" applyFont="1" applyFill="1" applyBorder="1" applyAlignment="1"/>
    <xf numFmtId="3" fontId="18" fillId="0" borderId="0" xfId="1" applyNumberFormat="1" applyFont="1" applyFill="1" applyBorder="1" applyAlignment="1"/>
    <xf numFmtId="167" fontId="68" fillId="0" borderId="0" xfId="2" applyNumberFormat="1" applyFont="1" applyFill="1" applyBorder="1" applyAlignment="1"/>
    <xf numFmtId="37" fontId="18" fillId="0" borderId="0" xfId="1" applyNumberFormat="1" applyFont="1" applyFill="1" applyBorder="1" applyAlignment="1"/>
    <xf numFmtId="167" fontId="66" fillId="0" borderId="0" xfId="2" applyNumberFormat="1" applyFont="1" applyFill="1" applyBorder="1" applyAlignment="1"/>
    <xf numFmtId="167" fontId="77" fillId="0" borderId="0" xfId="2" applyNumberFormat="1" applyFont="1" applyFill="1" applyBorder="1" applyAlignment="1"/>
    <xf numFmtId="9" fontId="81" fillId="0" borderId="0" xfId="2" applyFont="1" applyFill="1" applyBorder="1" applyAlignment="1"/>
    <xf numFmtId="9" fontId="78" fillId="0" borderId="0" xfId="2" applyFont="1" applyFill="1" applyBorder="1" applyAlignment="1"/>
    <xf numFmtId="37" fontId="66" fillId="0" borderId="0" xfId="0" applyNumberFormat="1" applyFont="1" applyFill="1" applyBorder="1" applyAlignment="1"/>
    <xf numFmtId="172" fontId="77" fillId="0" borderId="0" xfId="1" applyNumberFormat="1" applyFont="1" applyFill="1" applyBorder="1" applyAlignment="1">
      <alignment horizontal="right"/>
    </xf>
    <xf numFmtId="171" fontId="78" fillId="0" borderId="0" xfId="1" applyNumberFormat="1" applyFont="1" applyFill="1" applyBorder="1" applyAlignment="1">
      <alignment horizontal="right"/>
    </xf>
    <xf numFmtId="171" fontId="78" fillId="0" borderId="0" xfId="1" applyNumberFormat="1" applyFont="1" applyFill="1" applyBorder="1" applyAlignment="1"/>
    <xf numFmtId="37" fontId="0" fillId="0" borderId="3" xfId="0" applyFont="1" applyFill="1" applyBorder="1" applyAlignment="1"/>
    <xf numFmtId="9" fontId="12" fillId="0" borderId="3" xfId="2" applyFont="1" applyFill="1" applyBorder="1" applyAlignment="1"/>
    <xf numFmtId="171" fontId="12" fillId="0" borderId="3" xfId="1" applyNumberFormat="1" applyFont="1" applyFill="1" applyBorder="1" applyAlignment="1"/>
    <xf numFmtId="9" fontId="77" fillId="0" borderId="3" xfId="2" applyFont="1" applyFill="1" applyBorder="1" applyAlignment="1"/>
    <xf numFmtId="171" fontId="77" fillId="0" borderId="3" xfId="1" applyNumberFormat="1" applyFont="1" applyFill="1" applyBorder="1" applyAlignment="1"/>
    <xf numFmtId="167" fontId="12" fillId="0" borderId="3" xfId="2" applyNumberFormat="1" applyFont="1" applyFill="1" applyBorder="1" applyAlignment="1"/>
    <xf numFmtId="172" fontId="12" fillId="0" borderId="3" xfId="1" applyNumberFormat="1" applyFont="1" applyFill="1" applyBorder="1" applyAlignment="1">
      <alignment horizontal="right"/>
    </xf>
    <xf numFmtId="172" fontId="18" fillId="0" borderId="3" xfId="1" applyNumberFormat="1" applyFont="1" applyFill="1" applyBorder="1" applyAlignment="1"/>
    <xf numFmtId="3" fontId="18" fillId="0" borderId="3" xfId="1" applyNumberFormat="1" applyFont="1" applyFill="1" applyBorder="1" applyAlignment="1"/>
    <xf numFmtId="167" fontId="68" fillId="0" borderId="3" xfId="2" applyNumberFormat="1" applyFont="1" applyFill="1" applyBorder="1" applyAlignment="1"/>
    <xf numFmtId="37" fontId="18" fillId="0" borderId="3" xfId="1" applyNumberFormat="1" applyFont="1" applyFill="1" applyBorder="1" applyAlignment="1"/>
    <xf numFmtId="167" fontId="66" fillId="0" borderId="3" xfId="2" applyNumberFormat="1" applyFont="1" applyFill="1" applyBorder="1" applyAlignment="1"/>
    <xf numFmtId="167" fontId="77" fillId="0" borderId="3" xfId="2" applyNumberFormat="1" applyFont="1" applyFill="1" applyBorder="1" applyAlignment="1"/>
    <xf numFmtId="9" fontId="81" fillId="0" borderId="3" xfId="2" applyFont="1" applyFill="1" applyBorder="1" applyAlignment="1"/>
    <xf numFmtId="9" fontId="78" fillId="0" borderId="3" xfId="2" applyFont="1" applyFill="1" applyBorder="1" applyAlignment="1"/>
    <xf numFmtId="37" fontId="66" fillId="0" borderId="3" xfId="0" applyNumberFormat="1" applyFont="1" applyFill="1" applyBorder="1" applyAlignment="1"/>
    <xf numFmtId="172" fontId="77" fillId="0" borderId="3" xfId="1" applyNumberFormat="1" applyFont="1" applyFill="1" applyBorder="1" applyAlignment="1">
      <alignment horizontal="right"/>
    </xf>
    <xf numFmtId="171" fontId="78" fillId="0" borderId="3" xfId="1" applyNumberFormat="1" applyFont="1" applyFill="1" applyBorder="1" applyAlignment="1"/>
    <xf numFmtId="9" fontId="0" fillId="0" borderId="0" xfId="2" applyFont="1" applyFill="1" applyBorder="1" applyAlignment="1">
      <alignment horizontal="left"/>
    </xf>
    <xf numFmtId="9" fontId="0" fillId="0" borderId="3" xfId="2" applyFont="1" applyFill="1" applyBorder="1" applyAlignment="1">
      <alignment horizontal="left"/>
    </xf>
    <xf numFmtId="37" fontId="0" fillId="0" borderId="3" xfId="0" applyFont="1" applyBorder="1" applyAlignment="1">
      <alignment horizontal="left"/>
    </xf>
    <xf numFmtId="37" fontId="80" fillId="0" borderId="0" xfId="0" applyFont="1" applyFill="1" applyBorder="1"/>
    <xf numFmtId="9" fontId="39" fillId="0" borderId="27" xfId="2" applyFont="1" applyFill="1" applyBorder="1" applyAlignment="1">
      <alignment horizontal="center" vertical="center"/>
    </xf>
    <xf numFmtId="37" fontId="76" fillId="0" borderId="0" xfId="0" applyFont="1" applyFill="1" applyAlignment="1">
      <alignment horizontal="center"/>
    </xf>
    <xf numFmtId="37" fontId="93" fillId="0" borderId="0" xfId="0" applyFont="1" applyFill="1" applyAlignment="1">
      <alignment horizontal="center" vertical="center"/>
    </xf>
    <xf numFmtId="179" fontId="38" fillId="0" borderId="0" xfId="0" applyNumberFormat="1" applyFont="1" applyFill="1"/>
    <xf numFmtId="175" fontId="38" fillId="0" borderId="0" xfId="0" applyNumberFormat="1" applyFont="1" applyFill="1" applyAlignment="1">
      <alignment horizontal="right"/>
    </xf>
    <xf numFmtId="181" fontId="38" fillId="0" borderId="0" xfId="1" applyNumberFormat="1" applyFont="1" applyFill="1" applyAlignment="1">
      <alignment horizontal="center"/>
    </xf>
    <xf numFmtId="190" fontId="38" fillId="0" borderId="0" xfId="1" applyNumberFormat="1" applyFont="1" applyFill="1" applyAlignment="1">
      <alignment horizontal="center"/>
    </xf>
    <xf numFmtId="165" fontId="12" fillId="0" borderId="0" xfId="1" applyNumberFormat="1" applyFont="1" applyFill="1" applyBorder="1" applyAlignment="1"/>
    <xf numFmtId="165" fontId="12" fillId="0" borderId="3" xfId="1" applyNumberFormat="1" applyFont="1" applyFill="1" applyBorder="1" applyAlignment="1"/>
    <xf numFmtId="183" fontId="38" fillId="0" borderId="0" xfId="1" applyNumberFormat="1" applyFont="1" applyFill="1" applyAlignment="1">
      <alignment horizontal="center"/>
    </xf>
    <xf numFmtId="167" fontId="38" fillId="0" borderId="0" xfId="2" applyNumberFormat="1" applyFont="1" applyFill="1" applyAlignment="1">
      <alignment horizontal="center"/>
    </xf>
    <xf numFmtId="168" fontId="38" fillId="0" borderId="0" xfId="0" applyNumberFormat="1" applyFont="1" applyFill="1" applyAlignment="1">
      <alignment horizontal="center"/>
    </xf>
    <xf numFmtId="9" fontId="10" fillId="0" borderId="0" xfId="2" applyFont="1" applyFill="1" applyBorder="1" applyAlignment="1" applyProtection="1">
      <alignment horizontal="right"/>
      <protection locked="0"/>
    </xf>
    <xf numFmtId="171" fontId="38" fillId="5" borderId="0" xfId="1" applyNumberFormat="1" applyFont="1" applyFill="1"/>
    <xf numFmtId="172" fontId="93" fillId="0" borderId="0" xfId="0" applyNumberFormat="1" applyFont="1" applyFill="1"/>
    <xf numFmtId="37" fontId="95" fillId="0" borderId="0" xfId="0" applyFont="1" applyBorder="1" applyAlignment="1"/>
    <xf numFmtId="167" fontId="95" fillId="13" borderId="14" xfId="2" applyNumberFormat="1" applyFont="1" applyFill="1" applyBorder="1" applyAlignment="1"/>
    <xf numFmtId="9" fontId="95" fillId="0" borderId="0" xfId="2" applyFont="1" applyBorder="1" applyAlignment="1"/>
    <xf numFmtId="171" fontId="95" fillId="0" borderId="0" xfId="1" applyNumberFormat="1" applyFont="1" applyBorder="1" applyAlignment="1"/>
    <xf numFmtId="167" fontId="95" fillId="0" borderId="0" xfId="2" applyNumberFormat="1" applyFont="1" applyBorder="1" applyAlignment="1"/>
    <xf numFmtId="37" fontId="95" fillId="0" borderId="0" xfId="0" applyNumberFormat="1" applyFont="1" applyBorder="1" applyAlignment="1"/>
    <xf numFmtId="9" fontId="95" fillId="0" borderId="0" xfId="2" applyNumberFormat="1" applyFont="1" applyBorder="1" applyAlignment="1"/>
    <xf numFmtId="37" fontId="95" fillId="0" borderId="0" xfId="0" applyNumberFormat="1" applyFont="1" applyFill="1" applyBorder="1" applyAlignment="1">
      <alignment horizontal="right"/>
    </xf>
    <xf numFmtId="167" fontId="95" fillId="0" borderId="0" xfId="2" applyNumberFormat="1" applyFont="1" applyFill="1" applyBorder="1" applyAlignment="1">
      <alignment horizontal="right"/>
    </xf>
    <xf numFmtId="37" fontId="95" fillId="25" borderId="0" xfId="0" applyFont="1" applyFill="1" applyBorder="1" applyAlignment="1">
      <alignment horizontal="left"/>
    </xf>
    <xf numFmtId="37" fontId="95" fillId="25" borderId="0" xfId="0" applyFont="1" applyFill="1" applyBorder="1" applyAlignment="1"/>
    <xf numFmtId="9" fontId="95" fillId="25" borderId="0" xfId="2" applyFont="1" applyFill="1" applyBorder="1" applyAlignment="1"/>
    <xf numFmtId="171" fontId="95" fillId="25" borderId="0" xfId="0" applyNumberFormat="1" applyFont="1" applyFill="1" applyBorder="1" applyAlignment="1"/>
    <xf numFmtId="9" fontId="84" fillId="25" borderId="0" xfId="2" applyNumberFormat="1" applyFont="1" applyFill="1" applyBorder="1" applyAlignment="1" applyProtection="1"/>
    <xf numFmtId="171" fontId="95" fillId="25" borderId="0" xfId="1" applyNumberFormat="1" applyFont="1" applyFill="1" applyBorder="1" applyAlignment="1"/>
    <xf numFmtId="167" fontId="84" fillId="25" borderId="0" xfId="2" applyNumberFormat="1" applyFont="1" applyFill="1" applyBorder="1" applyAlignment="1" applyProtection="1"/>
    <xf numFmtId="37" fontId="95" fillId="25" borderId="0" xfId="0" applyFont="1" applyFill="1" applyBorder="1" applyAlignment="1">
      <alignment horizontal="right"/>
    </xf>
    <xf numFmtId="170" fontId="95" fillId="25" borderId="0" xfId="0" applyNumberFormat="1" applyFont="1" applyFill="1" applyBorder="1" applyAlignment="1"/>
    <xf numFmtId="172" fontId="95" fillId="25" borderId="0" xfId="1" applyNumberFormat="1" applyFont="1" applyFill="1" applyBorder="1" applyAlignment="1"/>
    <xf numFmtId="3" fontId="95" fillId="25" borderId="0" xfId="0" applyNumberFormat="1" applyFont="1" applyFill="1" applyBorder="1" applyAlignment="1"/>
    <xf numFmtId="167" fontId="95" fillId="25" borderId="0" xfId="2" applyNumberFormat="1" applyFont="1" applyFill="1" applyBorder="1" applyAlignment="1"/>
    <xf numFmtId="37" fontId="95" fillId="25" borderId="0" xfId="0" applyNumberFormat="1" applyFont="1" applyFill="1" applyBorder="1" applyAlignment="1"/>
    <xf numFmtId="165" fontId="95" fillId="25" borderId="0" xfId="0" applyNumberFormat="1" applyFont="1" applyFill="1" applyBorder="1" applyAlignment="1"/>
    <xf numFmtId="172" fontId="39" fillId="26" borderId="0" xfId="0" applyNumberFormat="1" applyFont="1" applyFill="1"/>
    <xf numFmtId="172" fontId="39" fillId="26" borderId="0" xfId="0" applyNumberFormat="1" applyFont="1" applyFill="1" applyAlignment="1">
      <alignment horizontal="center"/>
    </xf>
    <xf numFmtId="172" fontId="38" fillId="26" borderId="0" xfId="0" applyNumberFormat="1" applyFont="1" applyFill="1"/>
    <xf numFmtId="172" fontId="38" fillId="26" borderId="0" xfId="0" applyNumberFormat="1" applyFont="1" applyFill="1" applyAlignment="1">
      <alignment horizontal="center"/>
    </xf>
    <xf numFmtId="168" fontId="38" fillId="26" borderId="0" xfId="0" applyNumberFormat="1" applyFont="1" applyFill="1"/>
    <xf numFmtId="171" fontId="38" fillId="26" borderId="0" xfId="1" applyNumberFormat="1" applyFont="1" applyFill="1"/>
    <xf numFmtId="171" fontId="39" fillId="26" borderId="0" xfId="1" applyNumberFormat="1" applyFont="1" applyFill="1"/>
    <xf numFmtId="174" fontId="39" fillId="26" borderId="0" xfId="0" applyNumberFormat="1" applyFont="1" applyFill="1"/>
    <xf numFmtId="168" fontId="39" fillId="26" borderId="0" xfId="0" applyNumberFormat="1" applyFont="1" applyFill="1"/>
    <xf numFmtId="168" fontId="39" fillId="26" borderId="1" xfId="0" applyNumberFormat="1" applyFont="1" applyFill="1" applyBorder="1"/>
    <xf numFmtId="168" fontId="39" fillId="26" borderId="5" xfId="0" applyNumberFormat="1" applyFont="1" applyFill="1" applyBorder="1"/>
    <xf numFmtId="168" fontId="39" fillId="26" borderId="2" xfId="0" applyNumberFormat="1" applyFont="1" applyFill="1" applyBorder="1"/>
    <xf numFmtId="168" fontId="39" fillId="26" borderId="0" xfId="0" applyNumberFormat="1" applyFont="1" applyFill="1" applyBorder="1"/>
    <xf numFmtId="167" fontId="39" fillId="26" borderId="4" xfId="0" applyNumberFormat="1" applyFont="1" applyFill="1" applyBorder="1"/>
    <xf numFmtId="175" fontId="39" fillId="26" borderId="0" xfId="0" applyNumberFormat="1" applyFont="1" applyFill="1"/>
    <xf numFmtId="176" fontId="39" fillId="26" borderId="0" xfId="0" applyNumberFormat="1" applyFont="1" applyFill="1"/>
    <xf numFmtId="175" fontId="38" fillId="26" borderId="0" xfId="0" applyNumberFormat="1" applyFont="1" applyFill="1"/>
    <xf numFmtId="9" fontId="39" fillId="26" borderId="0" xfId="2" applyFont="1" applyFill="1"/>
    <xf numFmtId="168" fontId="38" fillId="26" borderId="4" xfId="0" applyNumberFormat="1" applyFont="1" applyFill="1" applyBorder="1"/>
    <xf numFmtId="177" fontId="39" fillId="26" borderId="0" xfId="0" applyNumberFormat="1" applyFont="1" applyFill="1"/>
    <xf numFmtId="178" fontId="38" fillId="26" borderId="0" xfId="0" applyNumberFormat="1" applyFont="1" applyFill="1"/>
    <xf numFmtId="0" fontId="42" fillId="0" borderId="0" xfId="15" quotePrefix="1" applyFont="1" applyFill="1" applyAlignment="1">
      <alignment horizontal="center"/>
    </xf>
    <xf numFmtId="37" fontId="12" fillId="0" borderId="0" xfId="0" applyNumberFormat="1" applyFont="1" applyBorder="1" applyAlignment="1">
      <alignment horizontal="left"/>
    </xf>
    <xf numFmtId="167" fontId="18" fillId="13" borderId="14" xfId="2" applyNumberFormat="1" applyFont="1" applyFill="1" applyBorder="1" applyAlignment="1">
      <alignment vertical="top"/>
    </xf>
    <xf numFmtId="37" fontId="0" fillId="0" borderId="0" xfId="0" applyNumberFormat="1" applyFont="1" applyBorder="1" applyAlignment="1">
      <alignment horizontal="left"/>
    </xf>
    <xf numFmtId="37" fontId="91" fillId="24" borderId="0" xfId="0" applyFont="1" applyFill="1" applyBorder="1" applyAlignment="1" applyProtection="1">
      <alignment vertical="top" wrapText="1"/>
    </xf>
    <xf numFmtId="37" fontId="85" fillId="0" borderId="0" xfId="0" applyFont="1"/>
    <xf numFmtId="9" fontId="66" fillId="0" borderId="0" xfId="2" applyFont="1" applyFill="1" applyBorder="1" applyAlignment="1"/>
    <xf numFmtId="9" fontId="66" fillId="0" borderId="3" xfId="2" applyFont="1" applyFill="1" applyBorder="1" applyAlignment="1"/>
    <xf numFmtId="187" fontId="39" fillId="5" borderId="0" xfId="1" applyNumberFormat="1" applyFont="1" applyFill="1" applyBorder="1"/>
    <xf numFmtId="171" fontId="39" fillId="2" borderId="0" xfId="1" applyNumberFormat="1" applyFont="1" applyFill="1"/>
    <xf numFmtId="171" fontId="39" fillId="0" borderId="0" xfId="1" applyNumberFormat="1" applyFont="1" applyFill="1"/>
    <xf numFmtId="171" fontId="39" fillId="5" borderId="4" xfId="1" applyNumberFormat="1" applyFont="1" applyFill="1" applyBorder="1"/>
    <xf numFmtId="171" fontId="39" fillId="2" borderId="0" xfId="1" applyNumberFormat="1" applyFont="1" applyFill="1" applyAlignment="1"/>
    <xf numFmtId="37" fontId="39" fillId="2" borderId="0" xfId="0" applyFont="1" applyFill="1" applyAlignment="1">
      <alignment horizontal="left" wrapText="1"/>
    </xf>
    <xf numFmtId="37" fontId="98" fillId="0" borderId="0" xfId="0" applyFont="1"/>
    <xf numFmtId="37" fontId="39" fillId="2" borderId="0" xfId="0" applyFont="1" applyFill="1" applyAlignment="1"/>
    <xf numFmtId="37" fontId="38" fillId="2" borderId="0" xfId="0" applyFont="1" applyFill="1" applyAlignment="1">
      <alignment vertical="center"/>
    </xf>
    <xf numFmtId="175" fontId="39" fillId="2" borderId="0" xfId="0" applyNumberFormat="1" applyFont="1" applyFill="1" applyAlignment="1">
      <alignment vertical="top"/>
    </xf>
    <xf numFmtId="37" fontId="99" fillId="0" borderId="0" xfId="0" applyFont="1" applyFill="1" applyAlignment="1">
      <alignment vertical="top"/>
    </xf>
    <xf numFmtId="0" fontId="100" fillId="0" borderId="0" xfId="15" applyFont="1" applyAlignment="1">
      <alignment horizontal="center" wrapText="1"/>
    </xf>
    <xf numFmtId="37" fontId="101" fillId="0" borderId="0" xfId="0" applyFont="1" applyFill="1"/>
    <xf numFmtId="37" fontId="100" fillId="0" borderId="0" xfId="0" applyFont="1" applyFill="1"/>
    <xf numFmtId="37" fontId="100" fillId="0" borderId="0" xfId="0" quotePrefix="1" applyFont="1" applyFill="1" applyAlignment="1">
      <alignment horizontal="center"/>
    </xf>
    <xf numFmtId="172" fontId="100" fillId="0" borderId="0" xfId="0" applyNumberFormat="1" applyFont="1" applyFill="1"/>
    <xf numFmtId="37" fontId="100" fillId="0" borderId="0" xfId="0" applyFont="1" applyFill="1" applyAlignment="1">
      <alignment horizontal="center"/>
    </xf>
    <xf numFmtId="168" fontId="100" fillId="0" borderId="0" xfId="0" applyNumberFormat="1" applyFont="1" applyFill="1"/>
    <xf numFmtId="37" fontId="20" fillId="0" borderId="0" xfId="0" applyFont="1" applyFill="1"/>
    <xf numFmtId="174" fontId="101" fillId="0" borderId="0" xfId="0" applyNumberFormat="1" applyFont="1" applyFill="1"/>
    <xf numFmtId="37" fontId="103" fillId="0" borderId="0" xfId="0" applyFont="1" applyFill="1"/>
    <xf numFmtId="37" fontId="104" fillId="0" borderId="0" xfId="0" applyFont="1" applyFill="1"/>
    <xf numFmtId="37" fontId="105" fillId="0" borderId="0" xfId="0" applyFont="1" applyFill="1"/>
    <xf numFmtId="37" fontId="106" fillId="0" borderId="0" xfId="0" applyFont="1" applyFill="1" applyBorder="1" applyAlignment="1">
      <alignment horizontal="left" wrapText="1"/>
    </xf>
    <xf numFmtId="37" fontId="106" fillId="0" borderId="0" xfId="0" applyFont="1" applyFill="1" applyBorder="1" applyAlignment="1">
      <alignment horizontal="center" wrapText="1"/>
    </xf>
    <xf numFmtId="37" fontId="106" fillId="21" borderId="0" xfId="6" applyNumberFormat="1" applyFont="1" applyFill="1" applyAlignment="1">
      <alignment horizontal="left"/>
    </xf>
    <xf numFmtId="171" fontId="106" fillId="21" borderId="0" xfId="1" applyNumberFormat="1" applyFont="1" applyFill="1"/>
    <xf numFmtId="37" fontId="106" fillId="0" borderId="0" xfId="0" applyFont="1" applyFill="1"/>
    <xf numFmtId="168" fontId="106" fillId="0" borderId="0" xfId="0" applyNumberFormat="1" applyFont="1" applyFill="1"/>
    <xf numFmtId="37" fontId="107" fillId="5" borderId="0" xfId="0" applyFont="1" applyFill="1"/>
    <xf numFmtId="37" fontId="106" fillId="2" borderId="0" xfId="0" applyFont="1" applyFill="1" applyAlignment="1">
      <alignment horizontal="left"/>
    </xf>
    <xf numFmtId="175" fontId="106" fillId="2" borderId="0" xfId="0" applyNumberFormat="1" applyFont="1" applyFill="1"/>
    <xf numFmtId="9" fontId="106" fillId="0" borderId="0" xfId="0" applyNumberFormat="1" applyFont="1" applyFill="1"/>
    <xf numFmtId="37" fontId="10" fillId="0" borderId="0" xfId="0" applyFont="1" applyFill="1" applyBorder="1"/>
    <xf numFmtId="37" fontId="101" fillId="0" borderId="0" xfId="0" applyFont="1" applyFill="1" applyBorder="1"/>
    <xf numFmtId="37" fontId="105" fillId="0" borderId="0" xfId="0" applyFont="1" applyFill="1" applyBorder="1"/>
    <xf numFmtId="181" fontId="106" fillId="21" borderId="0" xfId="1" applyNumberFormat="1" applyFont="1" applyFill="1"/>
    <xf numFmtId="37" fontId="106" fillId="0" borderId="0" xfId="0" applyFont="1" applyFill="1" applyBorder="1"/>
    <xf numFmtId="168" fontId="106" fillId="0" borderId="0" xfId="0" applyNumberFormat="1" applyFont="1" applyFill="1" applyBorder="1"/>
    <xf numFmtId="187" fontId="106" fillId="0" borderId="0" xfId="4" applyNumberFormat="1" applyFont="1" applyFill="1"/>
    <xf numFmtId="168" fontId="106" fillId="2" borderId="0" xfId="0" applyNumberFormat="1" applyFont="1" applyFill="1"/>
    <xf numFmtId="37" fontId="97" fillId="0" borderId="0" xfId="0" applyFont="1" applyFill="1"/>
    <xf numFmtId="37" fontId="106" fillId="0" borderId="0" xfId="6" applyNumberFormat="1" applyFont="1" applyFill="1" applyAlignment="1">
      <alignment horizontal="left"/>
    </xf>
    <xf numFmtId="37" fontId="106" fillId="2" borderId="0" xfId="0" applyFont="1" applyFill="1"/>
    <xf numFmtId="181" fontId="106" fillId="2" borderId="0" xfId="1" applyNumberFormat="1" applyFont="1" applyFill="1"/>
    <xf numFmtId="3" fontId="106" fillId="0" borderId="0" xfId="1" applyNumberFormat="1" applyFont="1" applyFill="1"/>
    <xf numFmtId="3" fontId="106" fillId="2" borderId="0" xfId="1" applyNumberFormat="1" applyFont="1" applyFill="1"/>
    <xf numFmtId="181" fontId="106" fillId="0" borderId="5" xfId="1" applyNumberFormat="1" applyFont="1" applyFill="1" applyBorder="1"/>
    <xf numFmtId="167" fontId="101" fillId="4" borderId="0" xfId="2" applyNumberFormat="1" applyFont="1" applyFill="1"/>
    <xf numFmtId="167" fontId="101" fillId="0" borderId="0" xfId="2" applyNumberFormat="1" applyFont="1" applyFill="1"/>
    <xf numFmtId="37" fontId="106" fillId="0" borderId="0" xfId="0" applyFont="1" applyFill="1" applyAlignment="1">
      <alignment horizontal="left"/>
    </xf>
    <xf numFmtId="171" fontId="101" fillId="0" borderId="0" xfId="1" applyNumberFormat="1" applyFont="1" applyFill="1"/>
    <xf numFmtId="0" fontId="102" fillId="0" borderId="0" xfId="0" applyNumberFormat="1" applyFont="1" applyFill="1"/>
    <xf numFmtId="37" fontId="102" fillId="0" borderId="0" xfId="0" applyFont="1" applyFill="1"/>
    <xf numFmtId="180" fontId="100" fillId="0" borderId="0" xfId="14" applyNumberFormat="1" applyFont="1" applyFill="1"/>
    <xf numFmtId="0" fontId="100" fillId="0" borderId="0" xfId="15" applyFont="1" applyFill="1" applyAlignment="1">
      <alignment horizontal="center" wrapText="1"/>
    </xf>
    <xf numFmtId="0" fontId="10" fillId="0" borderId="0" xfId="0" applyNumberFormat="1" applyFont="1" applyFill="1"/>
    <xf numFmtId="0" fontId="100" fillId="0" borderId="0" xfId="15" applyFont="1" applyFill="1" applyAlignment="1">
      <alignment horizontal="center"/>
    </xf>
    <xf numFmtId="174" fontId="100" fillId="0" borderId="0" xfId="0" applyNumberFormat="1" applyFont="1" applyFill="1"/>
    <xf numFmtId="0" fontId="100" fillId="5" borderId="0" xfId="15" applyFont="1" applyFill="1" applyAlignment="1">
      <alignment horizontal="center" wrapText="1"/>
    </xf>
    <xf numFmtId="37" fontId="11" fillId="0" borderId="0" xfId="0" applyFont="1" applyFill="1"/>
    <xf numFmtId="37" fontId="101" fillId="0" borderId="0" xfId="0" applyFont="1"/>
    <xf numFmtId="37" fontId="10" fillId="5" borderId="0" xfId="0" applyFont="1" applyFill="1"/>
    <xf numFmtId="37" fontId="106" fillId="0" borderId="0" xfId="0" applyFont="1" applyFill="1" applyAlignment="1"/>
    <xf numFmtId="37" fontId="39" fillId="0" borderId="0" xfId="0" applyFont="1" applyFill="1" applyAlignment="1">
      <alignment horizontal="left" indent="2"/>
    </xf>
    <xf numFmtId="172" fontId="12" fillId="0" borderId="0" xfId="1" applyNumberFormat="1" applyFont="1" applyFill="1" applyBorder="1" applyAlignment="1"/>
    <xf numFmtId="172" fontId="12" fillId="0" borderId="3" xfId="1" applyNumberFormat="1" applyFont="1" applyFill="1" applyBorder="1" applyAlignment="1"/>
    <xf numFmtId="37" fontId="108" fillId="28" borderId="0" xfId="0" applyFont="1" applyFill="1"/>
    <xf numFmtId="37" fontId="109" fillId="0" borderId="0" xfId="0" applyFont="1" applyFill="1"/>
    <xf numFmtId="167" fontId="110" fillId="5" borderId="0" xfId="2" applyNumberFormat="1" applyFont="1" applyFill="1"/>
    <xf numFmtId="37" fontId="30" fillId="0" borderId="0" xfId="1" applyNumberFormat="1" applyFont="1" applyBorder="1" applyAlignment="1"/>
    <xf numFmtId="37" fontId="31" fillId="8" borderId="0" xfId="1" applyNumberFormat="1" applyFont="1" applyFill="1" applyBorder="1" applyAlignment="1" applyProtection="1">
      <alignment vertical="top" wrapText="1"/>
    </xf>
    <xf numFmtId="37" fontId="95" fillId="0" borderId="0" xfId="1" applyNumberFormat="1" applyFont="1" applyBorder="1" applyAlignment="1"/>
    <xf numFmtId="37" fontId="66" fillId="0" borderId="0" xfId="1" applyNumberFormat="1" applyFont="1" applyBorder="1" applyAlignment="1"/>
    <xf numFmtId="37" fontId="66" fillId="8" borderId="0" xfId="1" applyNumberFormat="1" applyFont="1" applyFill="1" applyBorder="1" applyAlignment="1"/>
    <xf numFmtId="37" fontId="66" fillId="8" borderId="1" xfId="1" applyNumberFormat="1" applyFont="1" applyFill="1" applyBorder="1" applyAlignment="1"/>
    <xf numFmtId="37" fontId="32" fillId="0" borderId="0" xfId="1" applyNumberFormat="1" applyFont="1" applyBorder="1" applyAlignment="1"/>
    <xf numFmtId="171" fontId="95" fillId="0" borderId="0" xfId="1" applyNumberFormat="1" applyFont="1" applyFill="1" applyBorder="1" applyAlignment="1"/>
    <xf numFmtId="174" fontId="42" fillId="29" borderId="0" xfId="0" applyNumberFormat="1" applyFont="1" applyFill="1"/>
    <xf numFmtId="9" fontId="42" fillId="29" borderId="0" xfId="2" applyFont="1" applyFill="1"/>
    <xf numFmtId="37" fontId="111" fillId="0" borderId="0" xfId="0" applyFont="1" applyFill="1"/>
    <xf numFmtId="37" fontId="41" fillId="0" borderId="0" xfId="0" applyNumberFormat="1" applyFont="1" applyFill="1"/>
    <xf numFmtId="9" fontId="41" fillId="0" borderId="0" xfId="2" applyFont="1" applyFill="1"/>
    <xf numFmtId="0" fontId="42" fillId="0" borderId="0" xfId="0" applyNumberFormat="1" applyFont="1" applyFill="1"/>
    <xf numFmtId="9" fontId="42" fillId="0" borderId="0" xfId="15" applyNumberFormat="1" applyFont="1" applyAlignment="1">
      <alignment horizontal="right" wrapText="1"/>
    </xf>
    <xf numFmtId="37" fontId="42" fillId="0" borderId="0" xfId="0" applyFont="1" applyFill="1" applyAlignment="1">
      <alignment horizontal="right"/>
    </xf>
    <xf numFmtId="37" fontId="112" fillId="0" borderId="0" xfId="0" applyFont="1"/>
    <xf numFmtId="0" fontId="41" fillId="0" borderId="0" xfId="0" applyNumberFormat="1" applyFont="1"/>
    <xf numFmtId="10" fontId="101" fillId="0" borderId="0" xfId="2" applyNumberFormat="1" applyFont="1" applyFill="1"/>
    <xf numFmtId="9" fontId="101" fillId="0" borderId="0" xfId="2" applyFont="1" applyFill="1"/>
    <xf numFmtId="168" fontId="113" fillId="0" borderId="4" xfId="0" applyNumberFormat="1" applyFont="1" applyFill="1" applyBorder="1"/>
    <xf numFmtId="167" fontId="12" fillId="0" borderId="3" xfId="2" applyNumberFormat="1" applyFont="1" applyBorder="1" applyAlignment="1"/>
    <xf numFmtId="9" fontId="19" fillId="3" borderId="0" xfId="2" applyFont="1" applyFill="1" applyBorder="1" applyAlignment="1" applyProtection="1"/>
    <xf numFmtId="9" fontId="19" fillId="3" borderId="1" xfId="2" applyFont="1" applyFill="1" applyBorder="1" applyAlignment="1" applyProtection="1"/>
    <xf numFmtId="192" fontId="42" fillId="0" borderId="0" xfId="14" applyNumberFormat="1" applyFont="1" applyFill="1"/>
    <xf numFmtId="167" fontId="114" fillId="24" borderId="0" xfId="2" applyNumberFormat="1" applyFont="1" applyFill="1" applyBorder="1" applyAlignment="1" applyProtection="1">
      <alignment vertical="top" wrapText="1"/>
    </xf>
    <xf numFmtId="9" fontId="31" fillId="3" borderId="1" xfId="2" applyFont="1" applyFill="1" applyBorder="1" applyAlignment="1" applyProtection="1"/>
    <xf numFmtId="167" fontId="31" fillId="3" borderId="1" xfId="2" applyNumberFormat="1" applyFont="1" applyFill="1" applyBorder="1" applyAlignment="1" applyProtection="1"/>
    <xf numFmtId="167" fontId="32" fillId="0" borderId="3" xfId="2" applyNumberFormat="1" applyFont="1" applyBorder="1" applyAlignment="1"/>
    <xf numFmtId="37" fontId="39" fillId="2" borderId="0" xfId="9" applyNumberFormat="1" applyFont="1" applyFill="1"/>
    <xf numFmtId="0" fontId="115" fillId="0" borderId="0" xfId="0" applyNumberFormat="1" applyFont="1"/>
    <xf numFmtId="37" fontId="115" fillId="0" borderId="1" xfId="0" applyFont="1" applyBorder="1"/>
    <xf numFmtId="37" fontId="93" fillId="0" borderId="0" xfId="0" applyFont="1" applyFill="1"/>
    <xf numFmtId="0" fontId="116" fillId="0" borderId="0" xfId="15" applyFont="1" applyAlignment="1">
      <alignment horizontal="left"/>
    </xf>
    <xf numFmtId="37" fontId="84" fillId="0" borderId="0" xfId="0" applyFont="1" applyFill="1"/>
    <xf numFmtId="167" fontId="116" fillId="5" borderId="0" xfId="2" applyNumberFormat="1" applyFont="1" applyFill="1" applyAlignment="1">
      <alignment vertical="top" wrapText="1"/>
    </xf>
    <xf numFmtId="181" fontId="38" fillId="5" borderId="31" xfId="0" applyNumberFormat="1" applyFont="1" applyFill="1" applyBorder="1"/>
    <xf numFmtId="37" fontId="41" fillId="5" borderId="32" xfId="0" applyFont="1" applyFill="1" applyBorder="1"/>
    <xf numFmtId="181" fontId="38" fillId="5" borderId="7" xfId="0" applyNumberFormat="1" applyFont="1" applyFill="1" applyBorder="1"/>
    <xf numFmtId="181" fontId="38" fillId="5" borderId="1" xfId="0" applyNumberFormat="1" applyFont="1" applyFill="1" applyBorder="1"/>
    <xf numFmtId="181" fontId="38" fillId="5" borderId="33" xfId="0" applyNumberFormat="1" applyFont="1" applyFill="1" applyBorder="1"/>
    <xf numFmtId="37" fontId="101" fillId="0" borderId="30" xfId="0" applyFont="1" applyFill="1" applyBorder="1"/>
    <xf numFmtId="37" fontId="101" fillId="0" borderId="31" xfId="0" applyFont="1" applyFill="1" applyBorder="1"/>
    <xf numFmtId="37" fontId="101" fillId="0" borderId="32" xfId="0" applyFont="1" applyFill="1" applyBorder="1"/>
    <xf numFmtId="37" fontId="101" fillId="0" borderId="6" xfId="0" applyFont="1" applyFill="1" applyBorder="1"/>
    <xf numFmtId="37" fontId="101" fillId="0" borderId="34" xfId="0" applyFont="1" applyFill="1" applyBorder="1"/>
    <xf numFmtId="37" fontId="101" fillId="0" borderId="7" xfId="0" applyFont="1" applyFill="1" applyBorder="1"/>
    <xf numFmtId="37" fontId="101" fillId="0" borderId="1" xfId="0" applyFont="1" applyFill="1" applyBorder="1"/>
    <xf numFmtId="37" fontId="101" fillId="0" borderId="33" xfId="0" applyFont="1" applyFill="1" applyBorder="1"/>
    <xf numFmtId="37" fontId="91" fillId="0" borderId="31" xfId="0" applyFont="1" applyFill="1" applyBorder="1"/>
    <xf numFmtId="181" fontId="118" fillId="5" borderId="30" xfId="0" applyNumberFormat="1" applyFont="1" applyFill="1" applyBorder="1"/>
    <xf numFmtId="37" fontId="101" fillId="0" borderId="35" xfId="0" applyFont="1" applyFill="1" applyBorder="1"/>
    <xf numFmtId="37" fontId="101" fillId="0" borderId="36" xfId="0" applyFont="1" applyFill="1" applyBorder="1"/>
    <xf numFmtId="37" fontId="119" fillId="0" borderId="36" xfId="0" applyFont="1" applyFill="1" applyBorder="1"/>
    <xf numFmtId="167" fontId="116" fillId="5" borderId="0" xfId="2" applyNumberFormat="1" applyFont="1" applyFill="1" applyAlignment="1">
      <alignment vertical="top"/>
    </xf>
    <xf numFmtId="37" fontId="84" fillId="0" borderId="0" xfId="0" applyFont="1" applyFill="1" applyAlignment="1">
      <alignment horizontal="right"/>
    </xf>
    <xf numFmtId="180" fontId="100" fillId="0" borderId="37" xfId="14" applyNumberFormat="1" applyFont="1" applyFill="1" applyBorder="1"/>
    <xf numFmtId="0" fontId="100" fillId="0" borderId="0" xfId="0" applyNumberFormat="1" applyFont="1" applyFill="1"/>
    <xf numFmtId="37" fontId="91" fillId="0" borderId="16" xfId="0" applyFont="1" applyFill="1" applyBorder="1"/>
    <xf numFmtId="37" fontId="117" fillId="0" borderId="17" xfId="0" applyFont="1" applyFill="1" applyBorder="1"/>
    <xf numFmtId="37" fontId="117" fillId="0" borderId="18" xfId="0" applyFont="1" applyFill="1" applyBorder="1"/>
    <xf numFmtId="37" fontId="101" fillId="0" borderId="21" xfId="0" applyFont="1" applyFill="1" applyBorder="1"/>
    <xf numFmtId="37" fontId="101" fillId="0" borderId="3" xfId="0" applyFont="1" applyFill="1" applyBorder="1"/>
    <xf numFmtId="37" fontId="117" fillId="0" borderId="22" xfId="0" applyFont="1" applyFill="1" applyBorder="1"/>
    <xf numFmtId="37" fontId="101" fillId="0" borderId="17" xfId="0" applyFont="1" applyFill="1" applyBorder="1"/>
    <xf numFmtId="37" fontId="84" fillId="0" borderId="0" xfId="0" applyFont="1" applyFill="1" applyAlignment="1">
      <alignment horizontal="left"/>
    </xf>
    <xf numFmtId="37" fontId="39" fillId="5" borderId="0" xfId="0" applyFont="1" applyFill="1" applyAlignment="1"/>
    <xf numFmtId="165" fontId="36" fillId="7" borderId="0" xfId="1" applyFont="1" applyFill="1" applyBorder="1" applyAlignment="1" applyProtection="1"/>
    <xf numFmtId="171" fontId="32" fillId="0" borderId="0" xfId="1" applyNumberFormat="1" applyFont="1" applyFill="1" applyBorder="1" applyAlignment="1">
      <alignment horizontal="right"/>
    </xf>
    <xf numFmtId="171" fontId="20" fillId="24" borderId="0" xfId="0" applyNumberFormat="1" applyFont="1" applyFill="1" applyBorder="1" applyAlignment="1" applyProtection="1"/>
    <xf numFmtId="170" fontId="20" fillId="24" borderId="0" xfId="0" applyNumberFormat="1" applyFont="1" applyFill="1" applyBorder="1" applyAlignment="1" applyProtection="1"/>
    <xf numFmtId="179" fontId="12" fillId="0" borderId="0" xfId="0" applyNumberFormat="1" applyFont="1" applyBorder="1" applyAlignment="1">
      <alignment horizontal="right"/>
    </xf>
    <xf numFmtId="172" fontId="10" fillId="24" borderId="0" xfId="1" applyNumberFormat="1" applyFont="1" applyFill="1" applyBorder="1" applyAlignment="1" applyProtection="1">
      <alignment vertical="top" wrapText="1"/>
    </xf>
    <xf numFmtId="37" fontId="121" fillId="0" borderId="0" xfId="0" applyFont="1" applyBorder="1" applyAlignment="1"/>
    <xf numFmtId="191" fontId="121" fillId="0" borderId="0" xfId="1" applyNumberFormat="1" applyFont="1" applyFill="1" applyBorder="1" applyAlignment="1">
      <alignment horizontal="right"/>
    </xf>
    <xf numFmtId="171" fontId="121" fillId="0" borderId="0" xfId="0" applyNumberFormat="1" applyFont="1" applyBorder="1" applyAlignment="1"/>
    <xf numFmtId="170" fontId="121" fillId="0" borderId="0" xfId="0" applyNumberFormat="1" applyFont="1" applyBorder="1" applyAlignment="1"/>
    <xf numFmtId="37" fontId="121" fillId="0" borderId="0" xfId="0" applyNumberFormat="1" applyFont="1" applyBorder="1" applyAlignment="1"/>
    <xf numFmtId="37" fontId="121" fillId="0" borderId="0" xfId="1" applyNumberFormat="1" applyFont="1" applyBorder="1" applyAlignment="1"/>
    <xf numFmtId="171" fontId="121" fillId="0" borderId="3" xfId="1" applyNumberFormat="1" applyFont="1" applyBorder="1" applyAlignment="1"/>
    <xf numFmtId="171" fontId="121" fillId="0" borderId="3" xfId="0" applyNumberFormat="1" applyFont="1" applyBorder="1" applyAlignment="1"/>
    <xf numFmtId="170" fontId="121" fillId="0" borderId="3" xfId="0" applyNumberFormat="1" applyFont="1" applyBorder="1" applyAlignment="1"/>
    <xf numFmtId="37" fontId="121" fillId="0" borderId="3" xfId="0" applyNumberFormat="1" applyFont="1" applyBorder="1" applyAlignment="1"/>
    <xf numFmtId="171" fontId="121" fillId="0" borderId="0" xfId="1" applyNumberFormat="1" applyFont="1" applyBorder="1" applyAlignment="1"/>
    <xf numFmtId="171" fontId="121" fillId="0" borderId="0" xfId="1" applyNumberFormat="1" applyFont="1" applyFill="1" applyBorder="1" applyAlignment="1"/>
    <xf numFmtId="172" fontId="121" fillId="0" borderId="0" xfId="1" applyNumberFormat="1" applyFont="1" applyFill="1" applyBorder="1" applyAlignment="1">
      <alignment horizontal="right"/>
    </xf>
    <xf numFmtId="170" fontId="121" fillId="0" borderId="0" xfId="1" applyNumberFormat="1" applyFont="1" applyFill="1" applyBorder="1" applyAlignment="1"/>
    <xf numFmtId="171" fontId="121" fillId="0" borderId="0" xfId="0" applyNumberFormat="1" applyFont="1" applyFill="1" applyBorder="1" applyAlignment="1"/>
    <xf numFmtId="172" fontId="121" fillId="0" borderId="0" xfId="1" applyNumberFormat="1" applyFont="1" applyFill="1" applyBorder="1" applyAlignment="1"/>
    <xf numFmtId="171" fontId="121" fillId="0" borderId="3" xfId="1" applyNumberFormat="1" applyFont="1" applyFill="1" applyBorder="1" applyAlignment="1"/>
    <xf numFmtId="172" fontId="121" fillId="0" borderId="3" xfId="1" applyNumberFormat="1" applyFont="1" applyFill="1" applyBorder="1" applyAlignment="1">
      <alignment horizontal="right"/>
    </xf>
    <xf numFmtId="170" fontId="121" fillId="0" borderId="3" xfId="1" applyNumberFormat="1" applyFont="1" applyFill="1" applyBorder="1" applyAlignment="1"/>
    <xf numFmtId="171" fontId="121" fillId="0" borderId="3" xfId="0" applyNumberFormat="1" applyFont="1" applyFill="1" applyBorder="1" applyAlignment="1"/>
    <xf numFmtId="172" fontId="121" fillId="0" borderId="3" xfId="1" applyNumberFormat="1" applyFont="1" applyFill="1" applyBorder="1" applyAlignment="1"/>
    <xf numFmtId="172" fontId="122" fillId="0" borderId="0" xfId="1" applyNumberFormat="1" applyFont="1" applyFill="1" applyBorder="1" applyAlignment="1">
      <alignment horizontal="right"/>
    </xf>
    <xf numFmtId="9" fontId="121" fillId="0" borderId="0" xfId="2" applyNumberFormat="1" applyFont="1" applyBorder="1" applyAlignment="1"/>
    <xf numFmtId="171" fontId="121" fillId="10" borderId="9" xfId="1" applyNumberFormat="1" applyFont="1" applyFill="1" applyBorder="1" applyAlignment="1">
      <alignment horizontal="right"/>
    </xf>
    <xf numFmtId="171" fontId="121" fillId="10" borderId="0" xfId="1" applyNumberFormat="1" applyFont="1" applyFill="1" applyBorder="1" applyAlignment="1">
      <alignment horizontal="right"/>
    </xf>
    <xf numFmtId="171" fontId="121" fillId="10" borderId="12" xfId="1" applyNumberFormat="1" applyFont="1" applyFill="1" applyBorder="1" applyAlignment="1">
      <alignment horizontal="right"/>
    </xf>
    <xf numFmtId="171" fontId="121" fillId="10" borderId="0" xfId="1" applyNumberFormat="1" applyFont="1" applyFill="1" applyBorder="1" applyAlignment="1"/>
    <xf numFmtId="171" fontId="121" fillId="10" borderId="1" xfId="1" applyNumberFormat="1" applyFont="1" applyFill="1" applyBorder="1" applyAlignment="1"/>
    <xf numFmtId="167" fontId="38" fillId="16" borderId="0" xfId="2" applyNumberFormat="1" applyFont="1" applyFill="1"/>
    <xf numFmtId="37" fontId="38" fillId="16" borderId="0" xfId="0" applyFont="1" applyFill="1"/>
    <xf numFmtId="37" fontId="9" fillId="0" borderId="0" xfId="0" applyNumberFormat="1" applyFont="1" applyBorder="1" applyAlignment="1">
      <alignment horizontal="left"/>
    </xf>
    <xf numFmtId="37" fontId="121" fillId="0" borderId="0" xfId="1" applyNumberFormat="1" applyFont="1" applyFill="1" applyBorder="1" applyAlignment="1"/>
    <xf numFmtId="37" fontId="121" fillId="0" borderId="3" xfId="1" applyNumberFormat="1" applyFont="1" applyFill="1" applyBorder="1" applyAlignment="1"/>
    <xf numFmtId="37" fontId="125" fillId="0" borderId="0" xfId="1" applyNumberFormat="1" applyFont="1" applyBorder="1" applyAlignment="1"/>
    <xf numFmtId="167" fontId="125" fillId="0" borderId="0" xfId="0" applyNumberFormat="1" applyFont="1" applyBorder="1" applyAlignment="1"/>
    <xf numFmtId="37" fontId="125" fillId="0" borderId="3" xfId="1" applyNumberFormat="1" applyFont="1" applyBorder="1" applyAlignment="1"/>
    <xf numFmtId="167" fontId="125" fillId="0" borderId="3" xfId="2" applyNumberFormat="1" applyFont="1" applyBorder="1" applyAlignment="1"/>
    <xf numFmtId="167" fontId="125" fillId="0" borderId="0" xfId="2" applyNumberFormat="1" applyFont="1" applyBorder="1" applyAlignment="1"/>
    <xf numFmtId="37" fontId="125" fillId="0" borderId="0" xfId="1" applyNumberFormat="1" applyFont="1" applyFill="1" applyBorder="1" applyAlignment="1"/>
    <xf numFmtId="167" fontId="125" fillId="0" borderId="0" xfId="2" applyNumberFormat="1" applyFont="1" applyFill="1" applyBorder="1" applyAlignment="1"/>
    <xf numFmtId="37" fontId="125" fillId="0" borderId="3" xfId="1" applyNumberFormat="1" applyFont="1" applyFill="1" applyBorder="1" applyAlignment="1"/>
    <xf numFmtId="167" fontId="125" fillId="0" borderId="3" xfId="2" applyNumberFormat="1" applyFont="1" applyFill="1" applyBorder="1" applyAlignment="1"/>
    <xf numFmtId="171" fontId="125" fillId="0" borderId="0" xfId="1" applyNumberFormat="1" applyFont="1" applyFill="1" applyBorder="1" applyAlignment="1"/>
    <xf numFmtId="171" fontId="125" fillId="0" borderId="3" xfId="1" applyNumberFormat="1" applyFont="1" applyFill="1" applyBorder="1" applyAlignment="1"/>
    <xf numFmtId="37" fontId="41" fillId="0" borderId="0" xfId="0" applyFont="1" applyFill="1" applyAlignment="1">
      <alignment horizontal="center"/>
    </xf>
    <xf numFmtId="37" fontId="42" fillId="0" borderId="0" xfId="0" quotePrefix="1" applyFont="1" applyFill="1" applyAlignment="1">
      <alignment horizontal="center"/>
    </xf>
    <xf numFmtId="37" fontId="0" fillId="0" borderId="0" xfId="0" applyFill="1"/>
    <xf numFmtId="173" fontId="42" fillId="0" borderId="0" xfId="0" applyNumberFormat="1" applyFont="1" applyFill="1"/>
    <xf numFmtId="180" fontId="42" fillId="0" borderId="0" xfId="17" applyNumberFormat="1" applyFont="1" applyFill="1"/>
    <xf numFmtId="37" fontId="85" fillId="0" borderId="0" xfId="0" applyFont="1" applyFill="1" applyBorder="1" applyAlignment="1">
      <alignment horizontal="left"/>
    </xf>
    <xf numFmtId="37" fontId="93" fillId="2" borderId="0" xfId="0" applyFont="1" applyFill="1"/>
    <xf numFmtId="187" fontId="93" fillId="21" borderId="0" xfId="1" applyNumberFormat="1" applyFont="1" applyFill="1" applyBorder="1"/>
    <xf numFmtId="37" fontId="126" fillId="5" borderId="0" xfId="0" applyFont="1" applyFill="1"/>
    <xf numFmtId="37" fontId="12" fillId="0" borderId="0" xfId="0" applyNumberFormat="1" applyFont="1" applyBorder="1" applyAlignment="1"/>
    <xf numFmtId="37" fontId="127" fillId="4" borderId="0" xfId="0" applyFont="1" applyFill="1"/>
    <xf numFmtId="37" fontId="109" fillId="0" borderId="0" xfId="0" applyFont="1"/>
    <xf numFmtId="179" fontId="41" fillId="5" borderId="0" xfId="0" applyNumberFormat="1" applyFont="1" applyFill="1"/>
    <xf numFmtId="9" fontId="41" fillId="5" borderId="0" xfId="2" applyFont="1" applyFill="1"/>
    <xf numFmtId="9" fontId="39" fillId="2" borderId="0" xfId="2" applyFont="1" applyFill="1" applyAlignment="1">
      <alignment horizontal="center" vertical="top"/>
    </xf>
    <xf numFmtId="181" fontId="39" fillId="0" borderId="0" xfId="1" applyNumberFormat="1" applyFont="1" applyFill="1" applyAlignment="1">
      <alignment horizontal="center"/>
    </xf>
    <xf numFmtId="192" fontId="39" fillId="2" borderId="0" xfId="14" applyNumberFormat="1" applyFont="1" applyFill="1" applyAlignment="1"/>
    <xf numFmtId="192" fontId="39" fillId="2" borderId="0" xfId="14" applyNumberFormat="1" applyFont="1" applyFill="1"/>
    <xf numFmtId="192" fontId="39" fillId="5" borderId="4" xfId="14" applyNumberFormat="1" applyFont="1" applyFill="1" applyBorder="1"/>
    <xf numFmtId="192" fontId="39" fillId="0" borderId="0" xfId="14" applyNumberFormat="1" applyFont="1" applyFill="1"/>
    <xf numFmtId="172" fontId="83" fillId="26" borderId="0" xfId="0" applyNumberFormat="1" applyFont="1" applyFill="1"/>
    <xf numFmtId="172" fontId="83" fillId="26" borderId="0" xfId="0" applyNumberFormat="1" applyFont="1" applyFill="1" applyAlignment="1">
      <alignment horizontal="center"/>
    </xf>
    <xf numFmtId="37" fontId="128" fillId="0" borderId="0" xfId="0" applyFont="1" applyFill="1" applyAlignment="1">
      <alignment horizontal="right"/>
    </xf>
    <xf numFmtId="185" fontId="38" fillId="6" borderId="0" xfId="1" applyNumberFormat="1" applyFont="1" applyFill="1"/>
    <xf numFmtId="166" fontId="10" fillId="0" borderId="0" xfId="0" applyNumberFormat="1" applyFont="1" applyFill="1" applyBorder="1" applyAlignment="1" applyProtection="1">
      <protection locked="0"/>
    </xf>
    <xf numFmtId="37" fontId="129" fillId="0" borderId="0" xfId="0" applyNumberFormat="1" applyFont="1" applyBorder="1" applyAlignment="1">
      <alignment horizontal="left"/>
    </xf>
    <xf numFmtId="37" fontId="129" fillId="0" borderId="0" xfId="0" applyNumberFormat="1" applyFont="1" applyBorder="1" applyAlignment="1">
      <alignment horizontal="right"/>
    </xf>
    <xf numFmtId="37" fontId="9" fillId="0" borderId="0" xfId="0" applyNumberFormat="1" applyFont="1" applyFill="1" applyBorder="1" applyAlignment="1" applyProtection="1">
      <alignment horizontal="right"/>
      <protection locked="0"/>
    </xf>
    <xf numFmtId="9" fontId="32" fillId="0" borderId="1" xfId="2" applyNumberFormat="1" applyFont="1" applyBorder="1" applyAlignment="1"/>
    <xf numFmtId="37" fontId="12" fillId="0" borderId="1" xfId="1" applyNumberFormat="1" applyFont="1" applyBorder="1" applyAlignment="1"/>
    <xf numFmtId="171" fontId="32" fillId="0" borderId="1" xfId="1" applyNumberFormat="1" applyFont="1" applyBorder="1" applyAlignment="1"/>
    <xf numFmtId="9" fontId="12" fillId="0" borderId="1" xfId="2" applyFont="1" applyBorder="1" applyAlignment="1"/>
    <xf numFmtId="167" fontId="32" fillId="0" borderId="1" xfId="2" applyNumberFormat="1" applyFont="1" applyBorder="1" applyAlignment="1"/>
    <xf numFmtId="37" fontId="0" fillId="0" borderId="1" xfId="0" applyFont="1" applyBorder="1" applyAlignment="1"/>
    <xf numFmtId="37" fontId="0" fillId="0" borderId="1" xfId="0" applyFont="1" applyBorder="1" applyAlignment="1">
      <alignment horizontal="left"/>
    </xf>
    <xf numFmtId="9" fontId="12" fillId="0" borderId="1" xfId="2" applyNumberFormat="1" applyFont="1" applyBorder="1" applyAlignment="1"/>
    <xf numFmtId="171" fontId="12" fillId="0" borderId="1" xfId="1" applyNumberFormat="1" applyFont="1" applyBorder="1" applyAlignment="1"/>
    <xf numFmtId="171" fontId="0" fillId="0" borderId="1" xfId="0" applyNumberFormat="1" applyFont="1" applyBorder="1" applyAlignment="1"/>
    <xf numFmtId="171" fontId="66" fillId="0" borderId="1" xfId="0" applyNumberFormat="1" applyFont="1" applyBorder="1" applyAlignment="1"/>
    <xf numFmtId="171" fontId="18" fillId="0" borderId="1" xfId="0" applyNumberFormat="1" applyFont="1" applyBorder="1" applyAlignment="1"/>
    <xf numFmtId="9" fontId="66" fillId="0" borderId="1" xfId="2" applyFont="1" applyBorder="1" applyAlignment="1"/>
    <xf numFmtId="171" fontId="66" fillId="0" borderId="1" xfId="1" applyNumberFormat="1" applyFont="1" applyBorder="1" applyAlignment="1"/>
    <xf numFmtId="167" fontId="66" fillId="0" borderId="1" xfId="2" applyNumberFormat="1" applyFont="1" applyBorder="1" applyAlignment="1"/>
    <xf numFmtId="37" fontId="66" fillId="0" borderId="1" xfId="0" applyFont="1" applyBorder="1" applyAlignment="1">
      <alignment horizontal="right"/>
    </xf>
    <xf numFmtId="3" fontId="12" fillId="0" borderId="1" xfId="1" applyNumberFormat="1" applyFont="1" applyBorder="1" applyAlignment="1"/>
    <xf numFmtId="3" fontId="18" fillId="0" borderId="1" xfId="1" applyNumberFormat="1" applyFont="1" applyBorder="1" applyAlignment="1"/>
    <xf numFmtId="37" fontId="18" fillId="0" borderId="1" xfId="1" applyNumberFormat="1" applyFont="1" applyBorder="1" applyAlignment="1"/>
    <xf numFmtId="165" fontId="66" fillId="0" borderId="1" xfId="1" applyFont="1" applyBorder="1" applyAlignment="1"/>
    <xf numFmtId="37" fontId="16" fillId="0" borderId="1" xfId="0" applyFont="1" applyBorder="1" applyAlignment="1"/>
    <xf numFmtId="171" fontId="18" fillId="0" borderId="1" xfId="1" applyNumberFormat="1" applyFont="1" applyBorder="1" applyAlignment="1"/>
    <xf numFmtId="171" fontId="18" fillId="0" borderId="1" xfId="1" applyNumberFormat="1" applyFont="1" applyFill="1" applyBorder="1" applyAlignment="1"/>
    <xf numFmtId="167" fontId="18" fillId="0" borderId="1" xfId="2" applyNumberFormat="1" applyFont="1" applyBorder="1" applyAlignment="1"/>
    <xf numFmtId="171" fontId="121" fillId="0" borderId="1" xfId="1" applyNumberFormat="1" applyFont="1" applyBorder="1" applyAlignment="1"/>
    <xf numFmtId="171" fontId="121" fillId="0" borderId="1" xfId="0" applyNumberFormat="1" applyFont="1" applyBorder="1" applyAlignment="1"/>
    <xf numFmtId="170" fontId="121" fillId="0" borderId="1" xfId="0" applyNumberFormat="1" applyFont="1" applyBorder="1" applyAlignment="1"/>
    <xf numFmtId="37" fontId="121" fillId="0" borderId="1" xfId="0" applyNumberFormat="1" applyFont="1" applyBorder="1" applyAlignment="1"/>
    <xf numFmtId="37" fontId="125" fillId="0" borderId="1" xfId="1" applyNumberFormat="1" applyFont="1" applyBorder="1" applyAlignment="1"/>
    <xf numFmtId="167" fontId="125" fillId="0" borderId="1" xfId="2" applyNumberFormat="1" applyFont="1" applyBorder="1" applyAlignment="1"/>
    <xf numFmtId="37" fontId="66" fillId="0" borderId="1" xfId="0" applyNumberFormat="1" applyFont="1" applyBorder="1" applyAlignment="1"/>
    <xf numFmtId="37" fontId="66" fillId="0" borderId="1" xfId="0" applyNumberFormat="1" applyFont="1" applyFill="1" applyBorder="1" applyAlignment="1">
      <alignment horizontal="right"/>
    </xf>
    <xf numFmtId="9" fontId="66" fillId="0" borderId="1" xfId="2" applyNumberFormat="1" applyFont="1" applyBorder="1" applyAlignment="1"/>
    <xf numFmtId="167" fontId="12" fillId="0" borderId="1" xfId="2" applyNumberFormat="1" applyFont="1" applyBorder="1" applyAlignment="1"/>
    <xf numFmtId="167" fontId="32" fillId="0" borderId="43" xfId="2" applyNumberFormat="1" applyFont="1" applyBorder="1" applyAlignment="1"/>
    <xf numFmtId="171" fontId="32" fillId="0" borderId="43" xfId="1" applyNumberFormat="1" applyFont="1" applyBorder="1" applyAlignment="1"/>
    <xf numFmtId="37" fontId="9" fillId="8" borderId="0" xfId="0" applyFont="1" applyFill="1" applyBorder="1" applyAlignment="1" applyProtection="1">
      <alignment vertical="top" wrapText="1"/>
    </xf>
    <xf numFmtId="171" fontId="129" fillId="3" borderId="0" xfId="1" applyNumberFormat="1" applyFont="1" applyFill="1" applyBorder="1" applyAlignment="1">
      <alignment vertical="top" wrapText="1"/>
    </xf>
    <xf numFmtId="171" fontId="129" fillId="3" borderId="0" xfId="0" applyNumberFormat="1" applyFont="1" applyFill="1" applyBorder="1" applyAlignment="1">
      <alignment vertical="top" wrapText="1"/>
    </xf>
    <xf numFmtId="37" fontId="9" fillId="0" borderId="0" xfId="0" applyNumberFormat="1" applyFont="1" applyFill="1" applyBorder="1" applyAlignment="1" applyProtection="1">
      <alignment horizontal="right" wrapText="1"/>
      <protection locked="0"/>
    </xf>
    <xf numFmtId="37" fontId="129" fillId="0" borderId="0" xfId="0" applyNumberFormat="1" applyFont="1" applyBorder="1" applyAlignment="1">
      <alignment horizontal="right" wrapText="1"/>
    </xf>
    <xf numFmtId="0" fontId="132" fillId="0" borderId="3" xfId="0" applyNumberFormat="1" applyFont="1" applyBorder="1" applyAlignment="1">
      <alignment horizontal="left"/>
    </xf>
    <xf numFmtId="37" fontId="132" fillId="0" borderId="3" xfId="0" applyFont="1" applyBorder="1" applyAlignment="1"/>
    <xf numFmtId="37" fontId="124" fillId="0" borderId="0" xfId="0" applyFont="1" applyBorder="1" applyAlignment="1"/>
    <xf numFmtId="9" fontId="124" fillId="0" borderId="0" xfId="2" applyFont="1" applyBorder="1" applyAlignment="1"/>
    <xf numFmtId="37" fontId="9" fillId="0" borderId="0" xfId="0" applyFont="1" applyBorder="1" applyAlignment="1"/>
    <xf numFmtId="37" fontId="9" fillId="8" borderId="0" xfId="0" applyFont="1" applyFill="1" applyBorder="1" applyAlignment="1" applyProtection="1">
      <alignment horizontal="left" vertical="top"/>
    </xf>
    <xf numFmtId="37" fontId="124" fillId="0" borderId="0" xfId="0" applyFont="1" applyBorder="1" applyAlignment="1">
      <alignment vertical="top" wrapText="1"/>
    </xf>
    <xf numFmtId="37" fontId="9" fillId="8" borderId="0" xfId="0" applyFont="1" applyFill="1" applyBorder="1" applyAlignment="1" applyProtection="1">
      <alignment vertical="top"/>
    </xf>
    <xf numFmtId="171" fontId="9" fillId="3" borderId="0" xfId="1" applyNumberFormat="1" applyFont="1" applyFill="1" applyBorder="1" applyAlignment="1">
      <alignment vertical="top" wrapText="1"/>
    </xf>
    <xf numFmtId="171" fontId="9" fillId="3" borderId="0" xfId="0" applyNumberFormat="1" applyFont="1" applyFill="1" applyBorder="1" applyAlignment="1">
      <alignment vertical="top" wrapText="1"/>
    </xf>
    <xf numFmtId="171" fontId="9" fillId="25" borderId="0" xfId="0" applyNumberFormat="1" applyFont="1" applyFill="1" applyBorder="1" applyAlignment="1">
      <alignment vertical="top" wrapText="1"/>
    </xf>
    <xf numFmtId="37" fontId="129" fillId="0" borderId="0" xfId="0" applyNumberFormat="1" applyFont="1" applyFill="1" applyBorder="1" applyAlignment="1">
      <alignment horizontal="right"/>
    </xf>
    <xf numFmtId="37" fontId="9" fillId="0" borderId="0" xfId="0" applyNumberFormat="1" applyFont="1" applyBorder="1" applyAlignment="1"/>
    <xf numFmtId="37" fontId="9" fillId="0" borderId="0" xfId="0" applyNumberFormat="1" applyFont="1" applyBorder="1" applyAlignment="1">
      <alignment horizontal="right"/>
    </xf>
    <xf numFmtId="37" fontId="133" fillId="0" borderId="3" xfId="0" applyNumberFormat="1" applyFont="1" applyBorder="1" applyAlignment="1">
      <alignment horizontal="left"/>
    </xf>
    <xf numFmtId="37" fontId="132" fillId="0" borderId="3" xfId="0" applyNumberFormat="1" applyFont="1" applyFill="1" applyBorder="1" applyAlignment="1" applyProtection="1">
      <alignment horizontal="right"/>
      <protection locked="0"/>
    </xf>
    <xf numFmtId="37" fontId="133" fillId="0" borderId="3" xfId="0" applyNumberFormat="1" applyFont="1" applyFill="1" applyBorder="1" applyAlignment="1">
      <alignment horizontal="right"/>
    </xf>
    <xf numFmtId="37" fontId="134" fillId="0" borderId="3" xfId="0" applyFont="1" applyBorder="1" applyAlignment="1"/>
    <xf numFmtId="9" fontId="134" fillId="0" borderId="3" xfId="2" applyFont="1" applyBorder="1" applyAlignment="1"/>
    <xf numFmtId="37" fontId="132" fillId="0" borderId="3" xfId="0" applyNumberFormat="1" applyFont="1" applyBorder="1" applyAlignment="1"/>
    <xf numFmtId="37" fontId="132" fillId="0" borderId="3" xfId="0" applyNumberFormat="1" applyFont="1" applyBorder="1" applyAlignment="1">
      <alignment horizontal="left"/>
    </xf>
    <xf numFmtId="37" fontId="133" fillId="0" borderId="3" xfId="0" applyNumberFormat="1" applyFont="1" applyBorder="1" applyAlignment="1">
      <alignment horizontal="right"/>
    </xf>
    <xf numFmtId="37" fontId="132" fillId="0" borderId="3" xfId="0" applyNumberFormat="1" applyFont="1" applyBorder="1" applyAlignment="1">
      <alignment horizontal="right"/>
    </xf>
    <xf numFmtId="37" fontId="124" fillId="25" borderId="0" xfId="0" applyFont="1" applyFill="1" applyBorder="1" applyAlignment="1"/>
    <xf numFmtId="9" fontId="124" fillId="25" borderId="0" xfId="2" applyFont="1" applyFill="1" applyBorder="1" applyAlignment="1"/>
    <xf numFmtId="37" fontId="9" fillId="0" borderId="0" xfId="0" applyNumberFormat="1" applyFont="1" applyFill="1" applyBorder="1" applyAlignment="1"/>
    <xf numFmtId="9" fontId="124" fillId="0" borderId="0" xfId="2" applyFont="1" applyFill="1" applyBorder="1" applyAlignment="1"/>
    <xf numFmtId="37" fontId="9" fillId="0" borderId="0" xfId="0" applyNumberFormat="1" applyFont="1" applyBorder="1" applyAlignment="1">
      <alignment horizontal="right" wrapText="1"/>
    </xf>
    <xf numFmtId="37" fontId="129" fillId="0" borderId="0" xfId="0" applyNumberFormat="1" applyFont="1" applyFill="1" applyBorder="1" applyAlignment="1">
      <alignment horizontal="right" wrapText="1"/>
    </xf>
    <xf numFmtId="37" fontId="135" fillId="25" borderId="0" xfId="0" applyFont="1" applyFill="1" applyBorder="1" applyAlignment="1"/>
    <xf numFmtId="9" fontId="135" fillId="25" borderId="0" xfId="2" applyFont="1" applyFill="1" applyBorder="1" applyAlignment="1"/>
    <xf numFmtId="37" fontId="9" fillId="32" borderId="0" xfId="0" applyNumberFormat="1" applyFont="1" applyFill="1" applyBorder="1" applyAlignment="1" applyProtection="1">
      <alignment horizontal="right"/>
      <protection locked="0"/>
    </xf>
    <xf numFmtId="37" fontId="119" fillId="0" borderId="0" xfId="0" applyFont="1" applyBorder="1" applyAlignment="1"/>
    <xf numFmtId="0" fontId="88" fillId="0" borderId="0" xfId="19" applyFont="1" applyFill="1" applyBorder="1" applyAlignment="1"/>
    <xf numFmtId="37" fontId="132" fillId="4" borderId="0" xfId="0" applyFont="1" applyFill="1" applyBorder="1" applyAlignment="1"/>
    <xf numFmtId="37" fontId="9" fillId="16" borderId="0" xfId="0" applyNumberFormat="1" applyFont="1" applyFill="1" applyBorder="1" applyAlignment="1" applyProtection="1">
      <alignment horizontal="right"/>
      <protection locked="0"/>
    </xf>
    <xf numFmtId="37" fontId="132" fillId="0" borderId="0" xfId="0" applyFont="1" applyFill="1" applyBorder="1" applyAlignment="1"/>
    <xf numFmtId="37" fontId="136" fillId="0" borderId="0" xfId="0" applyNumberFormat="1" applyFont="1" applyBorder="1" applyAlignment="1">
      <alignment horizontal="left"/>
    </xf>
    <xf numFmtId="37" fontId="129" fillId="32" borderId="0" xfId="0" applyNumberFormat="1" applyFont="1" applyFill="1" applyBorder="1" applyAlignment="1">
      <alignment horizontal="left"/>
    </xf>
    <xf numFmtId="37" fontId="9" fillId="4" borderId="0" xfId="0" applyFont="1" applyFill="1" applyBorder="1" applyAlignment="1"/>
    <xf numFmtId="37" fontId="38" fillId="6" borderId="0" xfId="0" applyFont="1" applyFill="1"/>
    <xf numFmtId="37" fontId="129" fillId="4" borderId="0" xfId="0" applyNumberFormat="1" applyFont="1" applyFill="1" applyBorder="1" applyAlignment="1">
      <alignment horizontal="left"/>
    </xf>
    <xf numFmtId="37" fontId="133" fillId="4" borderId="0" xfId="0" applyNumberFormat="1" applyFont="1" applyFill="1" applyBorder="1" applyAlignment="1">
      <alignment horizontal="left"/>
    </xf>
    <xf numFmtId="181" fontId="106" fillId="21" borderId="4" xfId="1" applyNumberFormat="1" applyFont="1" applyFill="1" applyBorder="1"/>
    <xf numFmtId="167" fontId="106" fillId="21" borderId="4" xfId="2" applyNumberFormat="1" applyFont="1" applyFill="1" applyBorder="1"/>
    <xf numFmtId="9" fontId="106" fillId="0" borderId="0" xfId="2" applyFont="1" applyFill="1" applyAlignment="1">
      <alignment horizontal="right"/>
    </xf>
    <xf numFmtId="180" fontId="100" fillId="0" borderId="23" xfId="14" applyNumberFormat="1" applyFont="1" applyFill="1" applyBorder="1"/>
    <xf numFmtId="180" fontId="100" fillId="0" borderId="24" xfId="14" applyNumberFormat="1" applyFont="1" applyFill="1" applyBorder="1"/>
    <xf numFmtId="180" fontId="100" fillId="0" borderId="25" xfId="14" applyNumberFormat="1" applyFont="1" applyFill="1" applyBorder="1"/>
    <xf numFmtId="37" fontId="41" fillId="0" borderId="4" xfId="0" applyFont="1" applyBorder="1"/>
    <xf numFmtId="37" fontId="126" fillId="0" borderId="0" xfId="0" applyFont="1"/>
    <xf numFmtId="181" fontId="137" fillId="0" borderId="0" xfId="1" applyNumberFormat="1" applyFont="1" applyFill="1"/>
    <xf numFmtId="174" fontId="137" fillId="5" borderId="0" xfId="0" applyNumberFormat="1" applyFont="1" applyFill="1"/>
    <xf numFmtId="171" fontId="137" fillId="0" borderId="0" xfId="1" applyNumberFormat="1" applyFont="1" applyFill="1"/>
    <xf numFmtId="173" fontId="137" fillId="5" borderId="0" xfId="0" applyNumberFormat="1" applyFont="1" applyFill="1"/>
    <xf numFmtId="37" fontId="54" fillId="0" borderId="0" xfId="0" applyFont="1" applyFill="1"/>
    <xf numFmtId="167" fontId="38" fillId="0" borderId="0" xfId="2" applyNumberFormat="1" applyFont="1" applyFill="1"/>
    <xf numFmtId="167" fontId="52" fillId="0" borderId="0" xfId="2" applyNumberFormat="1" applyFont="1" applyFill="1"/>
    <xf numFmtId="167" fontId="55" fillId="0" borderId="0" xfId="2" applyNumberFormat="1" applyFont="1" applyFill="1"/>
    <xf numFmtId="37" fontId="52" fillId="0" borderId="0" xfId="0" applyFont="1" applyFill="1"/>
    <xf numFmtId="167" fontId="93" fillId="5" borderId="0" xfId="2" applyNumberFormat="1" applyFont="1" applyFill="1"/>
    <xf numFmtId="37" fontId="93" fillId="0" borderId="0" xfId="0" applyFont="1"/>
    <xf numFmtId="37" fontId="140" fillId="0" borderId="0" xfId="0" applyNumberFormat="1" applyFont="1" applyBorder="1" applyAlignment="1">
      <alignment horizontal="left"/>
    </xf>
    <xf numFmtId="37" fontId="140" fillId="0" borderId="0" xfId="0" applyNumberFormat="1" applyFont="1" applyBorder="1" applyAlignment="1">
      <alignment horizontal="right"/>
    </xf>
    <xf numFmtId="166" fontId="101" fillId="0" borderId="0" xfId="0" applyNumberFormat="1" applyFont="1" applyFill="1" applyBorder="1" applyAlignment="1" applyProtection="1">
      <alignment horizontal="right"/>
      <protection locked="0"/>
    </xf>
    <xf numFmtId="167" fontId="140" fillId="0" borderId="0" xfId="2" applyNumberFormat="1" applyFont="1" applyBorder="1" applyAlignment="1">
      <alignment horizontal="right"/>
    </xf>
    <xf numFmtId="7" fontId="101" fillId="0" borderId="0" xfId="0" applyNumberFormat="1" applyFont="1" applyFill="1" applyBorder="1" applyAlignment="1" applyProtection="1">
      <alignment horizontal="right"/>
    </xf>
    <xf numFmtId="37" fontId="101" fillId="0" borderId="0" xfId="0" applyNumberFormat="1" applyFont="1" applyFill="1" applyBorder="1" applyAlignment="1" applyProtection="1">
      <alignment horizontal="right"/>
      <protection locked="0"/>
    </xf>
    <xf numFmtId="9" fontId="101" fillId="0" borderId="0" xfId="2" applyFont="1" applyFill="1" applyBorder="1" applyAlignment="1" applyProtection="1">
      <alignment horizontal="right"/>
      <protection locked="0"/>
    </xf>
    <xf numFmtId="167" fontId="141" fillId="13" borderId="14" xfId="2" applyNumberFormat="1" applyFont="1" applyFill="1" applyBorder="1" applyAlignment="1">
      <alignment vertical="top"/>
    </xf>
    <xf numFmtId="9" fontId="140" fillId="0" borderId="0" xfId="2" applyFont="1" applyBorder="1" applyAlignment="1">
      <alignment horizontal="right"/>
    </xf>
    <xf numFmtId="37" fontId="101" fillId="0" borderId="0" xfId="0" applyFont="1" applyFill="1" applyBorder="1" applyAlignment="1">
      <alignment vertical="center"/>
    </xf>
    <xf numFmtId="37" fontId="101" fillId="0" borderId="0" xfId="0" applyFont="1" applyFill="1" applyAlignment="1">
      <alignment vertical="center"/>
    </xf>
    <xf numFmtId="37" fontId="101" fillId="0" borderId="0" xfId="0" applyFont="1" applyFill="1" applyAlignment="1">
      <alignment vertical="center" wrapText="1"/>
    </xf>
    <xf numFmtId="167" fontId="101" fillId="0" borderId="0" xfId="2" applyNumberFormat="1" applyFont="1" applyFill="1" applyAlignment="1">
      <alignment vertical="center"/>
    </xf>
    <xf numFmtId="39" fontId="101" fillId="0" borderId="0" xfId="0" applyNumberFormat="1" applyFont="1" applyFill="1" applyAlignment="1">
      <alignment vertical="center"/>
    </xf>
    <xf numFmtId="171" fontId="101" fillId="0" borderId="0" xfId="1" applyNumberFormat="1" applyFont="1" applyFill="1" applyAlignment="1">
      <alignment vertical="center"/>
    </xf>
    <xf numFmtId="37" fontId="146" fillId="8" borderId="0" xfId="0" applyFont="1" applyFill="1" applyBorder="1" applyAlignment="1" applyProtection="1">
      <alignment vertical="top" wrapText="1"/>
    </xf>
    <xf numFmtId="37" fontId="130" fillId="0" borderId="0" xfId="0" applyNumberFormat="1" applyFont="1" applyBorder="1" applyAlignment="1">
      <alignment horizontal="left"/>
    </xf>
    <xf numFmtId="0" fontId="89" fillId="0" borderId="0" xfId="19" applyFont="1" applyFill="1" applyBorder="1" applyAlignment="1"/>
    <xf numFmtId="37" fontId="130" fillId="0" borderId="0" xfId="0" applyFont="1" applyBorder="1" applyAlignment="1">
      <alignment horizontal="left"/>
    </xf>
    <xf numFmtId="0" fontId="147" fillId="0" borderId="0" xfId="19" applyFont="1" applyFill="1" applyBorder="1" applyAlignment="1"/>
    <xf numFmtId="0" fontId="88" fillId="0" borderId="0" xfId="19" applyFont="1" applyFill="1" applyBorder="1" applyAlignment="1">
      <alignment horizontal="left"/>
    </xf>
    <xf numFmtId="0" fontId="147" fillId="0" borderId="0" xfId="19" applyFont="1" applyFill="1" applyBorder="1" applyAlignment="1">
      <alignment horizontal="left"/>
    </xf>
    <xf numFmtId="171" fontId="106" fillId="21" borderId="0" xfId="1" applyNumberFormat="1" applyFont="1" applyFill="1" applyAlignment="1">
      <alignment horizontal="right"/>
    </xf>
    <xf numFmtId="171" fontId="106" fillId="0" borderId="0" xfId="1" applyNumberFormat="1" applyFont="1" applyFill="1" applyAlignment="1">
      <alignment horizontal="right"/>
    </xf>
    <xf numFmtId="171" fontId="106" fillId="21" borderId="4" xfId="1" applyNumberFormat="1" applyFont="1" applyFill="1" applyBorder="1" applyAlignment="1">
      <alignment horizontal="right"/>
    </xf>
    <xf numFmtId="37" fontId="101" fillId="0" borderId="0" xfId="0" applyFont="1" applyFill="1" applyBorder="1" applyAlignment="1">
      <alignment horizontal="left" indent="3"/>
    </xf>
    <xf numFmtId="37" fontId="101" fillId="0" borderId="0" xfId="0" applyFont="1" applyFill="1" applyBorder="1" applyAlignment="1">
      <alignment horizontal="left"/>
    </xf>
    <xf numFmtId="171" fontId="101" fillId="0" borderId="0" xfId="1" applyNumberFormat="1" applyFont="1" applyFill="1" applyAlignment="1">
      <alignment horizontal="right"/>
    </xf>
    <xf numFmtId="172" fontId="39" fillId="12" borderId="0" xfId="0" applyNumberFormat="1" applyFont="1" applyFill="1" applyAlignment="1">
      <alignment horizontal="right"/>
    </xf>
    <xf numFmtId="191" fontId="0" fillId="0" borderId="0" xfId="1" applyNumberFormat="1" applyFont="1"/>
    <xf numFmtId="184" fontId="38" fillId="4" borderId="0" xfId="1" applyNumberFormat="1" applyFont="1" applyFill="1"/>
    <xf numFmtId="175" fontId="38" fillId="4" borderId="0" xfId="0" applyNumberFormat="1" applyFont="1" applyFill="1"/>
    <xf numFmtId="175" fontId="38" fillId="4" borderId="0" xfId="0" applyNumberFormat="1" applyFont="1" applyFill="1" applyAlignment="1">
      <alignment horizontal="right"/>
    </xf>
    <xf numFmtId="37" fontId="38" fillId="4" borderId="0" xfId="0" applyFont="1" applyFill="1"/>
    <xf numFmtId="37" fontId="39" fillId="0" borderId="0" xfId="0" quotePrefix="1" applyFont="1" applyFill="1" applyAlignment="1">
      <alignment horizontal="center"/>
    </xf>
    <xf numFmtId="37" fontId="38" fillId="0" borderId="0" xfId="0" quotePrefix="1" applyFont="1" applyFill="1" applyAlignment="1">
      <alignment horizontal="center"/>
    </xf>
    <xf numFmtId="0" fontId="42" fillId="0" borderId="0" xfId="0" applyNumberFormat="1" applyFont="1" applyFill="1" applyAlignment="1">
      <alignment horizontal="left"/>
    </xf>
    <xf numFmtId="172" fontId="100" fillId="0" borderId="0" xfId="0" applyNumberFormat="1" applyFont="1" applyFill="1" applyAlignment="1">
      <alignment horizontal="center"/>
    </xf>
    <xf numFmtId="37" fontId="12" fillId="0" borderId="0" xfId="0" applyNumberFormat="1" applyFont="1" applyBorder="1" applyAlignment="1">
      <alignment horizontal="left" wrapText="1"/>
    </xf>
    <xf numFmtId="37" fontId="12" fillId="0" borderId="0" xfId="0" applyFont="1" applyBorder="1" applyAlignment="1">
      <alignment horizontal="left" wrapText="1"/>
    </xf>
    <xf numFmtId="37" fontId="151" fillId="22" borderId="0" xfId="0" applyFont="1" applyFill="1" applyAlignment="1">
      <alignment horizontal="left"/>
    </xf>
    <xf numFmtId="37" fontId="152" fillId="22" borderId="0" xfId="0" applyFont="1" applyFill="1" applyAlignment="1">
      <alignment horizontal="left"/>
    </xf>
    <xf numFmtId="37" fontId="153" fillId="0" borderId="0" xfId="0" applyNumberFormat="1" applyFont="1" applyFill="1" applyBorder="1" applyAlignment="1">
      <alignment horizontal="left" vertical="top"/>
    </xf>
    <xf numFmtId="37" fontId="154" fillId="0" borderId="0" xfId="0" applyFont="1" applyAlignment="1"/>
    <xf numFmtId="37" fontId="10" fillId="0" borderId="0" xfId="0" applyFont="1" applyAlignment="1"/>
    <xf numFmtId="37" fontId="10" fillId="0" borderId="0" xfId="0" applyNumberFormat="1" applyFont="1" applyBorder="1" applyAlignment="1">
      <alignment horizontal="left"/>
    </xf>
    <xf numFmtId="37" fontId="148" fillId="0" borderId="0" xfId="0" applyNumberFormat="1" applyFont="1" applyFill="1" applyBorder="1" applyAlignment="1">
      <alignment horizontal="left"/>
    </xf>
    <xf numFmtId="37" fontId="154" fillId="0" borderId="0" xfId="0" applyNumberFormat="1" applyFont="1" applyFill="1" applyBorder="1" applyAlignment="1">
      <alignment horizontal="left"/>
    </xf>
    <xf numFmtId="37" fontId="10" fillId="0" borderId="0" xfId="0" applyFont="1" applyFill="1" applyAlignment="1"/>
    <xf numFmtId="37" fontId="148" fillId="0" borderId="0" xfId="0" applyNumberFormat="1" applyFont="1" applyBorder="1" applyAlignment="1">
      <alignment horizontal="left"/>
    </xf>
    <xf numFmtId="37" fontId="84" fillId="0" borderId="0" xfId="0" applyNumberFormat="1" applyFont="1" applyFill="1" applyBorder="1" applyAlignment="1">
      <alignment horizontal="left"/>
    </xf>
    <xf numFmtId="37" fontId="154" fillId="0" borderId="0" xfId="0" applyFont="1" applyFill="1" applyAlignment="1"/>
    <xf numFmtId="37" fontId="10" fillId="0" borderId="0" xfId="0" applyNumberFormat="1" applyFont="1" applyFill="1" applyBorder="1" applyAlignment="1">
      <alignment horizontal="left"/>
    </xf>
    <xf numFmtId="37" fontId="10" fillId="0" borderId="0" xfId="0" applyFont="1" applyFill="1" applyBorder="1" applyAlignment="1">
      <alignment horizontal="left"/>
    </xf>
    <xf numFmtId="0" fontId="148" fillId="0" borderId="0" xfId="0" applyNumberFormat="1" applyFont="1" applyFill="1" applyAlignment="1"/>
    <xf numFmtId="37" fontId="12" fillId="0" borderId="0" xfId="0" applyFont="1" applyBorder="1" applyAlignment="1">
      <alignment horizontal="left"/>
    </xf>
    <xf numFmtId="37" fontId="12" fillId="0" borderId="0" xfId="0" applyFont="1" applyBorder="1" applyAlignment="1">
      <alignment horizontal="right"/>
    </xf>
    <xf numFmtId="37" fontId="10" fillId="0" borderId="0" xfId="0" applyFont="1" applyFill="1" applyBorder="1" applyAlignment="1" applyProtection="1">
      <alignment horizontal="right"/>
      <protection locked="0"/>
    </xf>
    <xf numFmtId="37" fontId="29" fillId="0" borderId="1" xfId="0" applyFont="1" applyBorder="1" applyAlignment="1"/>
    <xf numFmtId="37" fontId="130" fillId="8" borderId="0" xfId="0" applyFont="1" applyFill="1" applyBorder="1" applyAlignment="1" applyProtection="1">
      <alignment vertical="top" wrapText="1"/>
    </xf>
    <xf numFmtId="37" fontId="130" fillId="8" borderId="0" xfId="0" applyFont="1" applyFill="1" applyBorder="1" applyAlignment="1" applyProtection="1">
      <alignment horizontal="left" vertical="top" wrapText="1"/>
    </xf>
    <xf numFmtId="37" fontId="130" fillId="0" borderId="0" xfId="0" applyNumberFormat="1" applyFont="1" applyBorder="1" applyAlignment="1">
      <alignment horizontal="left" wrapText="1"/>
    </xf>
    <xf numFmtId="37" fontId="0" fillId="0" borderId="0" xfId="0" applyBorder="1"/>
    <xf numFmtId="37" fontId="149" fillId="0" borderId="0" xfId="0" applyFont="1" applyBorder="1"/>
    <xf numFmtId="0" fontId="88" fillId="33" borderId="0" xfId="19" applyFont="1" applyFill="1" applyBorder="1" applyAlignment="1"/>
    <xf numFmtId="37" fontId="130" fillId="0" borderId="0" xfId="0" applyFont="1" applyFill="1" applyBorder="1" applyAlignment="1">
      <alignment horizontal="left"/>
    </xf>
    <xf numFmtId="37" fontId="38" fillId="0" borderId="1" xfId="0" applyFont="1" applyBorder="1"/>
    <xf numFmtId="9" fontId="108" fillId="4" borderId="0" xfId="2" applyFont="1" applyFill="1"/>
    <xf numFmtId="37" fontId="130" fillId="0" borderId="0" xfId="0" applyNumberFormat="1" applyFont="1" applyFill="1" applyBorder="1" applyAlignment="1">
      <alignment horizontal="left"/>
    </xf>
    <xf numFmtId="9" fontId="108" fillId="0" borderId="0" xfId="2" applyFont="1"/>
    <xf numFmtId="37" fontId="157" fillId="25" borderId="0" xfId="0" applyFont="1" applyFill="1" applyBorder="1" applyAlignment="1"/>
    <xf numFmtId="9" fontId="29" fillId="0" borderId="3" xfId="2" applyNumberFormat="1" applyFont="1" applyBorder="1" applyAlignment="1"/>
    <xf numFmtId="171" fontId="29" fillId="0" borderId="3" xfId="0" applyNumberFormat="1" applyFont="1" applyBorder="1" applyAlignment="1"/>
    <xf numFmtId="9" fontId="29" fillId="0" borderId="1" xfId="2" applyFont="1" applyBorder="1" applyAlignment="1"/>
    <xf numFmtId="171" fontId="29" fillId="0" borderId="1" xfId="0" applyNumberFormat="1" applyFont="1" applyBorder="1" applyAlignment="1"/>
    <xf numFmtId="171" fontId="29" fillId="0" borderId="0" xfId="1" applyNumberFormat="1" applyFont="1" applyFill="1" applyBorder="1" applyAlignment="1"/>
    <xf numFmtId="171" fontId="29" fillId="0" borderId="3" xfId="1" applyNumberFormat="1" applyFont="1" applyFill="1" applyBorder="1" applyAlignment="1"/>
    <xf numFmtId="171" fontId="29" fillId="0" borderId="0" xfId="0" applyNumberFormat="1" applyFont="1" applyBorder="1" applyAlignment="1"/>
    <xf numFmtId="9" fontId="29" fillId="0" borderId="0" xfId="2" applyNumberFormat="1" applyFont="1" applyBorder="1" applyAlignment="1"/>
    <xf numFmtId="37" fontId="158" fillId="10" borderId="0" xfId="0" applyFont="1" applyFill="1" applyBorder="1" applyAlignment="1" applyProtection="1"/>
    <xf numFmtId="171" fontId="158" fillId="10" borderId="0" xfId="0" applyNumberFormat="1" applyFont="1" applyFill="1" applyBorder="1" applyAlignment="1" applyProtection="1"/>
    <xf numFmtId="37" fontId="159" fillId="10" borderId="0" xfId="0" applyFont="1" applyFill="1" applyBorder="1" applyAlignment="1" applyProtection="1">
      <alignment vertical="top" wrapText="1"/>
    </xf>
    <xf numFmtId="171" fontId="159" fillId="10" borderId="0" xfId="0" applyNumberFormat="1" applyFont="1" applyFill="1" applyBorder="1" applyAlignment="1" applyProtection="1">
      <alignment vertical="top" wrapText="1"/>
    </xf>
    <xf numFmtId="37" fontId="160" fillId="25" borderId="0" xfId="0" applyFont="1" applyFill="1" applyBorder="1" applyAlignment="1"/>
    <xf numFmtId="37" fontId="161" fillId="0" borderId="0" xfId="0" applyFont="1" applyBorder="1" applyAlignment="1"/>
    <xf numFmtId="9" fontId="161" fillId="0" borderId="3" xfId="2" applyNumberFormat="1" applyFont="1" applyBorder="1" applyAlignment="1"/>
    <xf numFmtId="171" fontId="161" fillId="0" borderId="3" xfId="0" applyNumberFormat="1" applyFont="1" applyBorder="1" applyAlignment="1"/>
    <xf numFmtId="170" fontId="161" fillId="0" borderId="3" xfId="0" applyNumberFormat="1" applyFont="1" applyBorder="1" applyAlignment="1"/>
    <xf numFmtId="9" fontId="161" fillId="0" borderId="1" xfId="2" applyFont="1" applyBorder="1" applyAlignment="1"/>
    <xf numFmtId="171" fontId="161" fillId="0" borderId="1" xfId="0" applyNumberFormat="1" applyFont="1" applyBorder="1" applyAlignment="1"/>
    <xf numFmtId="170" fontId="161" fillId="0" borderId="1" xfId="0" applyNumberFormat="1" applyFont="1" applyBorder="1" applyAlignment="1"/>
    <xf numFmtId="171" fontId="161" fillId="0" borderId="0" xfId="1" applyNumberFormat="1" applyFont="1" applyFill="1" applyBorder="1" applyAlignment="1"/>
    <xf numFmtId="171" fontId="161" fillId="0" borderId="3" xfId="1" applyNumberFormat="1" applyFont="1" applyFill="1" applyBorder="1" applyAlignment="1"/>
    <xf numFmtId="171" fontId="161" fillId="0" borderId="0" xfId="0" applyNumberFormat="1" applyFont="1" applyBorder="1" applyAlignment="1"/>
    <xf numFmtId="170" fontId="161" fillId="0" borderId="0" xfId="0" applyNumberFormat="1" applyFont="1" applyBorder="1" applyAlignment="1"/>
    <xf numFmtId="9" fontId="161" fillId="0" borderId="0" xfId="2" applyNumberFormat="1" applyFont="1" applyBorder="1" applyAlignment="1"/>
    <xf numFmtId="171" fontId="161" fillId="10" borderId="9" xfId="1" applyNumberFormat="1" applyFont="1" applyFill="1" applyBorder="1" applyAlignment="1">
      <alignment horizontal="right"/>
    </xf>
    <xf numFmtId="171" fontId="161" fillId="10" borderId="0" xfId="1" applyNumberFormat="1" applyFont="1" applyFill="1" applyBorder="1" applyAlignment="1">
      <alignment horizontal="right"/>
    </xf>
    <xf numFmtId="171" fontId="161" fillId="10" borderId="12" xfId="1" applyNumberFormat="1" applyFont="1" applyFill="1" applyBorder="1" applyAlignment="1">
      <alignment horizontal="right"/>
    </xf>
    <xf numFmtId="37" fontId="161" fillId="10" borderId="0" xfId="0" applyFont="1" applyFill="1" applyBorder="1" applyAlignment="1">
      <alignment horizontal="right"/>
    </xf>
    <xf numFmtId="171" fontId="161" fillId="10" borderId="0" xfId="1" applyNumberFormat="1" applyFont="1" applyFill="1" applyBorder="1" applyAlignment="1"/>
    <xf numFmtId="37" fontId="161" fillId="10" borderId="0" xfId="0" applyFont="1" applyFill="1" applyBorder="1" applyAlignment="1"/>
    <xf numFmtId="9" fontId="161" fillId="10" borderId="1" xfId="2" applyFont="1" applyFill="1" applyBorder="1" applyAlignment="1"/>
    <xf numFmtId="171" fontId="161" fillId="10" borderId="1" xfId="1" applyNumberFormat="1" applyFont="1" applyFill="1" applyBorder="1" applyAlignment="1"/>
    <xf numFmtId="170" fontId="161" fillId="10" borderId="1" xfId="1" applyNumberFormat="1" applyFont="1" applyFill="1" applyBorder="1" applyAlignment="1"/>
    <xf numFmtId="171" fontId="148" fillId="10" borderId="0" xfId="1" applyNumberFormat="1" applyFont="1" applyFill="1" applyBorder="1" applyAlignment="1" applyProtection="1">
      <alignment vertical="top" wrapText="1"/>
    </xf>
    <xf numFmtId="9" fontId="157" fillId="25" borderId="0" xfId="2" applyFont="1" applyFill="1" applyBorder="1" applyAlignment="1"/>
    <xf numFmtId="9" fontId="29" fillId="0" borderId="0" xfId="2" applyFont="1" applyBorder="1" applyAlignment="1"/>
    <xf numFmtId="9" fontId="29" fillId="0" borderId="3" xfId="2" applyFont="1" applyBorder="1" applyAlignment="1"/>
    <xf numFmtId="171" fontId="29" fillId="0" borderId="3" xfId="1" applyNumberFormat="1" applyFont="1" applyBorder="1" applyAlignment="1"/>
    <xf numFmtId="9" fontId="29" fillId="0" borderId="0" xfId="2" applyFont="1" applyFill="1" applyBorder="1" applyAlignment="1"/>
    <xf numFmtId="9" fontId="29" fillId="0" borderId="3" xfId="2" applyFont="1" applyFill="1" applyBorder="1" applyAlignment="1"/>
    <xf numFmtId="37" fontId="29" fillId="0" borderId="0" xfId="0" applyNumberFormat="1" applyFont="1" applyBorder="1" applyAlignment="1"/>
    <xf numFmtId="171" fontId="29" fillId="9" borderId="9" xfId="1" applyNumberFormat="1" applyFont="1" applyFill="1" applyBorder="1" applyAlignment="1">
      <alignment horizontal="right"/>
    </xf>
    <xf numFmtId="171" fontId="29" fillId="9" borderId="0" xfId="1" applyNumberFormat="1" applyFont="1" applyFill="1" applyBorder="1" applyAlignment="1">
      <alignment horizontal="right"/>
    </xf>
    <xf numFmtId="171" fontId="29" fillId="9" borderId="12" xfId="1" applyNumberFormat="1" applyFont="1" applyFill="1" applyBorder="1" applyAlignment="1">
      <alignment horizontal="right"/>
    </xf>
    <xf numFmtId="9" fontId="37" fillId="9" borderId="0" xfId="2" applyFont="1" applyFill="1" applyBorder="1" applyAlignment="1" applyProtection="1"/>
    <xf numFmtId="37" fontId="37" fillId="9" borderId="0" xfId="0" applyFont="1" applyFill="1" applyBorder="1" applyAlignment="1" applyProtection="1"/>
    <xf numFmtId="171" fontId="37" fillId="9" borderId="0" xfId="0" applyNumberFormat="1" applyFont="1" applyFill="1" applyBorder="1" applyAlignment="1" applyProtection="1"/>
    <xf numFmtId="9" fontId="37" fillId="9" borderId="1" xfId="2" applyFont="1" applyFill="1" applyBorder="1" applyAlignment="1" applyProtection="1"/>
    <xf numFmtId="171" fontId="37" fillId="9" borderId="1" xfId="0" applyNumberFormat="1" applyFont="1" applyFill="1" applyBorder="1" applyAlignment="1" applyProtection="1"/>
    <xf numFmtId="171" fontId="29" fillId="0" borderId="1" xfId="1" applyNumberFormat="1" applyFont="1" applyBorder="1" applyAlignment="1"/>
    <xf numFmtId="171" fontId="157" fillId="25" borderId="0" xfId="0" applyNumberFormat="1" applyFont="1" applyFill="1" applyBorder="1" applyAlignment="1"/>
    <xf numFmtId="171" fontId="29" fillId="9" borderId="0" xfId="0" applyNumberFormat="1" applyFont="1" applyFill="1" applyBorder="1" applyAlignment="1"/>
    <xf numFmtId="171" fontId="79" fillId="0" borderId="1" xfId="0" applyNumberFormat="1" applyFont="1" applyFill="1" applyBorder="1" applyAlignment="1"/>
    <xf numFmtId="10" fontId="37" fillId="7" borderId="0" xfId="2" applyNumberFormat="1" applyFont="1" applyFill="1" applyBorder="1" applyAlignment="1" applyProtection="1">
      <alignment vertical="top" wrapText="1"/>
    </xf>
    <xf numFmtId="10" fontId="157" fillId="25" borderId="0" xfId="2" applyNumberFormat="1" applyFont="1" applyFill="1" applyBorder="1" applyAlignment="1"/>
    <xf numFmtId="10" fontId="29" fillId="0" borderId="0" xfId="2" applyNumberFormat="1" applyFont="1" applyBorder="1" applyAlignment="1"/>
    <xf numFmtId="10" fontId="29" fillId="0" borderId="3" xfId="2" applyNumberFormat="1" applyFont="1" applyBorder="1" applyAlignment="1"/>
    <xf numFmtId="10" fontId="29" fillId="0" borderId="1" xfId="2" applyNumberFormat="1" applyFont="1" applyBorder="1" applyAlignment="1"/>
    <xf numFmtId="171" fontId="29" fillId="7" borderId="9" xfId="1" applyNumberFormat="1" applyFont="1" applyFill="1" applyBorder="1" applyAlignment="1">
      <alignment horizontal="right"/>
    </xf>
    <xf numFmtId="171" fontId="29" fillId="7" borderId="0" xfId="1" applyNumberFormat="1" applyFont="1" applyFill="1" applyBorder="1" applyAlignment="1">
      <alignment horizontal="right"/>
    </xf>
    <xf numFmtId="171" fontId="29" fillId="7" borderId="12" xfId="1" applyNumberFormat="1" applyFont="1" applyFill="1" applyBorder="1" applyAlignment="1">
      <alignment horizontal="right"/>
    </xf>
    <xf numFmtId="10" fontId="37" fillId="7" borderId="0" xfId="2" applyNumberFormat="1" applyFont="1" applyFill="1" applyBorder="1" applyAlignment="1" applyProtection="1"/>
    <xf numFmtId="9" fontId="37" fillId="7" borderId="0" xfId="2" applyFont="1" applyFill="1" applyBorder="1" applyAlignment="1" applyProtection="1"/>
    <xf numFmtId="37" fontId="37" fillId="7" borderId="0" xfId="0" applyFont="1" applyFill="1" applyBorder="1" applyAlignment="1" applyProtection="1"/>
    <xf numFmtId="10" fontId="37" fillId="7" borderId="1" xfId="2" applyNumberFormat="1" applyFont="1" applyFill="1" applyBorder="1" applyAlignment="1" applyProtection="1"/>
    <xf numFmtId="9" fontId="37" fillId="7" borderId="1" xfId="2" applyNumberFormat="1" applyFont="1" applyFill="1" applyBorder="1" applyAlignment="1" applyProtection="1"/>
    <xf numFmtId="37" fontId="148" fillId="9" borderId="0" xfId="0" applyFont="1" applyFill="1" applyBorder="1" applyAlignment="1" applyProtection="1">
      <alignment wrapText="1"/>
    </xf>
    <xf numFmtId="37" fontId="148" fillId="7" borderId="0" xfId="0" applyFont="1" applyFill="1" applyBorder="1" applyAlignment="1" applyProtection="1">
      <alignment vertical="top" wrapText="1"/>
    </xf>
    <xf numFmtId="9" fontId="29" fillId="0" borderId="1" xfId="2" applyNumberFormat="1" applyFont="1" applyBorder="1" applyAlignment="1"/>
    <xf numFmtId="37" fontId="148" fillId="8" borderId="0" xfId="0" applyFont="1" applyFill="1" applyBorder="1" applyAlignment="1" applyProtection="1">
      <alignment vertical="top" wrapText="1"/>
    </xf>
    <xf numFmtId="181" fontId="166" fillId="2" borderId="0" xfId="1" applyNumberFormat="1" applyFont="1" applyFill="1"/>
    <xf numFmtId="37" fontId="101" fillId="0" borderId="3" xfId="0" applyFont="1" applyFill="1" applyBorder="1" applyAlignment="1">
      <alignment horizontal="center"/>
    </xf>
    <xf numFmtId="37" fontId="96" fillId="0" borderId="0" xfId="0" applyFont="1" applyAlignment="1" applyProtection="1">
      <alignment horizontal="left" vertical="top"/>
    </xf>
    <xf numFmtId="37" fontId="167" fillId="27" borderId="28" xfId="0" applyFont="1" applyFill="1" applyBorder="1" applyAlignment="1" applyProtection="1">
      <alignment horizontal="left" vertical="top"/>
    </xf>
    <xf numFmtId="37" fontId="167" fillId="27" borderId="29" xfId="0" applyFont="1" applyFill="1" applyBorder="1" applyAlignment="1" applyProtection="1">
      <alignment horizontal="left" vertical="top"/>
    </xf>
    <xf numFmtId="37" fontId="138" fillId="0" borderId="0" xfId="0" applyNumberFormat="1" applyFont="1" applyFill="1" applyProtection="1"/>
    <xf numFmtId="37" fontId="168" fillId="0" borderId="0" xfId="0" applyFont="1" applyFill="1" applyAlignment="1" applyProtection="1">
      <alignment horizontal="left" vertical="top"/>
    </xf>
    <xf numFmtId="37" fontId="168" fillId="0" borderId="0" xfId="0" applyFont="1" applyAlignment="1" applyProtection="1">
      <alignment horizontal="left" vertical="top"/>
    </xf>
    <xf numFmtId="37" fontId="169" fillId="0" borderId="0" xfId="0" applyFont="1" applyFill="1" applyAlignment="1" applyProtection="1">
      <alignment horizontal="left" vertical="top"/>
    </xf>
    <xf numFmtId="37" fontId="96" fillId="0" borderId="0" xfId="0" applyFont="1" applyBorder="1" applyAlignment="1" applyProtection="1">
      <alignment horizontal="left" vertical="top"/>
    </xf>
    <xf numFmtId="37" fontId="150" fillId="27" borderId="28" xfId="0" applyFont="1" applyFill="1" applyBorder="1" applyAlignment="1" applyProtection="1">
      <alignment horizontal="left" vertical="top"/>
    </xf>
    <xf numFmtId="37" fontId="150" fillId="27" borderId="29" xfId="0" applyFont="1" applyFill="1" applyBorder="1" applyAlignment="1" applyProtection="1">
      <alignment horizontal="left" vertical="top"/>
    </xf>
    <xf numFmtId="37" fontId="96" fillId="0" borderId="0" xfId="0" applyFont="1" applyFill="1" applyAlignment="1" applyProtection="1">
      <alignment horizontal="left" vertical="top"/>
    </xf>
    <xf numFmtId="37" fontId="172" fillId="0" borderId="0" xfId="0" applyFont="1" applyFill="1" applyAlignment="1" applyProtection="1">
      <alignment horizontal="left" vertical="top"/>
    </xf>
    <xf numFmtId="37" fontId="96" fillId="34" borderId="0" xfId="0" applyFont="1" applyFill="1" applyAlignment="1" applyProtection="1">
      <alignment horizontal="left" vertical="top"/>
    </xf>
    <xf numFmtId="37" fontId="168" fillId="34" borderId="0" xfId="0" applyFont="1" applyFill="1" applyAlignment="1" applyProtection="1">
      <alignment horizontal="left" vertical="top"/>
    </xf>
    <xf numFmtId="37" fontId="173" fillId="34" borderId="0" xfId="0" applyFont="1" applyFill="1" applyAlignment="1" applyProtection="1">
      <alignment horizontal="left" vertical="top"/>
    </xf>
    <xf numFmtId="37" fontId="175" fillId="0" borderId="0" xfId="0" applyFont="1" applyFill="1" applyAlignment="1" applyProtection="1">
      <alignment horizontal="left" vertical="top"/>
    </xf>
    <xf numFmtId="37" fontId="176" fillId="0" borderId="0" xfId="0" applyFont="1" applyFill="1" applyAlignment="1" applyProtection="1">
      <alignment horizontal="left" vertical="top"/>
    </xf>
    <xf numFmtId="37" fontId="96" fillId="0" borderId="0" xfId="0" applyNumberFormat="1" applyFont="1" applyFill="1" applyAlignment="1" applyProtection="1">
      <alignment horizontal="left" vertical="top"/>
    </xf>
    <xf numFmtId="37" fontId="177" fillId="0" borderId="0" xfId="0" applyFont="1" applyFill="1" applyAlignment="1" applyProtection="1">
      <alignment horizontal="left" vertical="top"/>
    </xf>
    <xf numFmtId="37" fontId="178" fillId="0" borderId="0" xfId="0" applyFont="1" applyFill="1" applyAlignment="1" applyProtection="1">
      <alignment horizontal="left" vertical="top"/>
    </xf>
    <xf numFmtId="37" fontId="172" fillId="0" borderId="0" xfId="0" applyFont="1" applyAlignment="1" applyProtection="1">
      <alignment horizontal="left" vertical="top"/>
    </xf>
    <xf numFmtId="37" fontId="170" fillId="0" borderId="0" xfId="0" applyFont="1" applyFill="1" applyAlignment="1" applyProtection="1">
      <alignment horizontal="left" vertical="top"/>
    </xf>
    <xf numFmtId="5" fontId="168" fillId="0" borderId="0" xfId="0" applyNumberFormat="1" applyFont="1" applyFill="1" applyAlignment="1" applyProtection="1">
      <alignment horizontal="left" vertical="top"/>
    </xf>
    <xf numFmtId="37" fontId="181" fillId="0" borderId="0" xfId="0" applyFont="1" applyFill="1" applyAlignment="1" applyProtection="1">
      <alignment horizontal="left" vertical="top"/>
    </xf>
    <xf numFmtId="37" fontId="96" fillId="0" borderId="0" xfId="0" applyFont="1" applyFill="1" applyBorder="1" applyAlignment="1" applyProtection="1">
      <alignment horizontal="left" vertical="top"/>
    </xf>
    <xf numFmtId="37" fontId="183" fillId="0" borderId="0" xfId="25" applyNumberFormat="1" applyFont="1" applyFill="1" applyAlignment="1" applyProtection="1">
      <alignment horizontal="left" vertical="top"/>
    </xf>
    <xf numFmtId="171" fontId="121" fillId="7" borderId="9" xfId="1" applyNumberFormat="1" applyFont="1" applyFill="1" applyBorder="1" applyAlignment="1">
      <alignment horizontal="right"/>
    </xf>
    <xf numFmtId="171" fontId="121" fillId="7" borderId="0" xfId="1" applyNumberFormat="1" applyFont="1" applyFill="1" applyBorder="1" applyAlignment="1">
      <alignment horizontal="right"/>
    </xf>
    <xf numFmtId="171" fontId="121" fillId="7" borderId="12" xfId="1" applyNumberFormat="1" applyFont="1" applyFill="1" applyBorder="1" applyAlignment="1">
      <alignment horizontal="right"/>
    </xf>
    <xf numFmtId="171" fontId="121" fillId="7" borderId="0" xfId="1" applyNumberFormat="1" applyFont="1" applyFill="1" applyBorder="1" applyAlignment="1"/>
    <xf numFmtId="171" fontId="121" fillId="7" borderId="1" xfId="1" applyNumberFormat="1" applyFont="1" applyFill="1" applyBorder="1" applyAlignment="1"/>
    <xf numFmtId="171" fontId="20" fillId="24" borderId="0" xfId="1" applyNumberFormat="1" applyFont="1" applyFill="1" applyBorder="1" applyAlignment="1" applyProtection="1"/>
    <xf numFmtId="171" fontId="121" fillId="6" borderId="9" xfId="1" applyNumberFormat="1" applyFont="1" applyFill="1" applyBorder="1" applyAlignment="1">
      <alignment horizontal="right"/>
    </xf>
    <xf numFmtId="171" fontId="121" fillId="6" borderId="0" xfId="1" applyNumberFormat="1" applyFont="1" applyFill="1" applyBorder="1" applyAlignment="1">
      <alignment horizontal="right"/>
    </xf>
    <xf numFmtId="171" fontId="121" fillId="6" borderId="12" xfId="1" applyNumberFormat="1" applyFont="1" applyFill="1" applyBorder="1" applyAlignment="1">
      <alignment horizontal="right"/>
    </xf>
    <xf numFmtId="171" fontId="121" fillId="6" borderId="0" xfId="1" applyNumberFormat="1" applyFont="1" applyFill="1" applyBorder="1" applyAlignment="1"/>
    <xf numFmtId="171" fontId="121" fillId="6" borderId="0" xfId="0" applyNumberFormat="1" applyFont="1" applyFill="1" applyBorder="1" applyAlignment="1"/>
    <xf numFmtId="171" fontId="121" fillId="6" borderId="1" xfId="1" applyNumberFormat="1" applyFont="1" applyFill="1" applyBorder="1" applyAlignment="1"/>
    <xf numFmtId="170" fontId="121" fillId="6" borderId="1" xfId="1" applyNumberFormat="1" applyFont="1" applyFill="1" applyBorder="1" applyAlignment="1"/>
    <xf numFmtId="170" fontId="121" fillId="6" borderId="0" xfId="1" applyNumberFormat="1" applyFont="1" applyFill="1" applyBorder="1" applyAlignment="1"/>
    <xf numFmtId="37" fontId="121" fillId="8" borderId="1" xfId="1" applyNumberFormat="1" applyFont="1" applyFill="1" applyBorder="1" applyAlignment="1"/>
    <xf numFmtId="171" fontId="121" fillId="8" borderId="9" xfId="1" applyNumberFormat="1" applyFont="1" applyFill="1" applyBorder="1" applyAlignment="1">
      <alignment horizontal="right"/>
    </xf>
    <xf numFmtId="171" fontId="121" fillId="8" borderId="0" xfId="1" applyNumberFormat="1" applyFont="1" applyFill="1" applyBorder="1" applyAlignment="1">
      <alignment horizontal="right"/>
    </xf>
    <xf numFmtId="171" fontId="121" fillId="8" borderId="12" xfId="1" applyNumberFormat="1" applyFont="1" applyFill="1" applyBorder="1" applyAlignment="1">
      <alignment horizontal="right"/>
    </xf>
    <xf numFmtId="171" fontId="121" fillId="8" borderId="0" xfId="1" applyNumberFormat="1" applyFont="1" applyFill="1" applyBorder="1" applyAlignment="1"/>
    <xf numFmtId="37" fontId="121" fillId="8" borderId="0" xfId="1" applyNumberFormat="1" applyFont="1" applyFill="1" applyBorder="1" applyAlignment="1"/>
    <xf numFmtId="171" fontId="121" fillId="8" borderId="0" xfId="0" applyNumberFormat="1" applyFont="1" applyFill="1" applyBorder="1" applyAlignment="1"/>
    <xf numFmtId="171" fontId="121" fillId="8" borderId="1" xfId="1" applyNumberFormat="1" applyFont="1" applyFill="1" applyBorder="1" applyAlignment="1"/>
    <xf numFmtId="37" fontId="121" fillId="0" borderId="3" xfId="0" applyNumberFormat="1" applyFont="1" applyFill="1" applyBorder="1" applyAlignment="1"/>
    <xf numFmtId="37" fontId="121" fillId="0" borderId="1" xfId="1" applyNumberFormat="1" applyFont="1" applyFill="1" applyBorder="1" applyAlignment="1"/>
    <xf numFmtId="37" fontId="12" fillId="0" borderId="0" xfId="0" applyNumberFormat="1" applyFont="1" applyFill="1" applyBorder="1" applyAlignment="1">
      <alignment horizontal="left"/>
    </xf>
    <xf numFmtId="37" fontId="139" fillId="0" borderId="0" xfId="0" applyNumberFormat="1" applyFont="1" applyFill="1" applyBorder="1" applyAlignment="1">
      <alignment horizontal="right"/>
    </xf>
    <xf numFmtId="9" fontId="32" fillId="0" borderId="0" xfId="2" applyNumberFormat="1" applyFont="1" applyFill="1" applyBorder="1" applyAlignment="1"/>
    <xf numFmtId="37" fontId="29" fillId="0" borderId="0" xfId="0" applyFont="1" applyFill="1" applyBorder="1" applyAlignment="1"/>
    <xf numFmtId="167" fontId="29" fillId="0" borderId="0" xfId="2" applyNumberFormat="1" applyFont="1" applyFill="1" applyBorder="1" applyAlignment="1"/>
    <xf numFmtId="167" fontId="29" fillId="0" borderId="0" xfId="2" applyNumberFormat="1" applyFont="1" applyFill="1" applyBorder="1" applyAlignment="1">
      <alignment horizontal="center"/>
    </xf>
    <xf numFmtId="37" fontId="12" fillId="0" borderId="0" xfId="0" applyFont="1" applyFill="1" applyBorder="1" applyAlignment="1">
      <alignment horizontal="right"/>
    </xf>
    <xf numFmtId="10" fontId="145" fillId="0" borderId="0" xfId="2" applyNumberFormat="1" applyFont="1" applyFill="1" applyBorder="1" applyAlignment="1">
      <alignment horizontal="right"/>
    </xf>
    <xf numFmtId="9" fontId="12" fillId="0" borderId="0" xfId="2" applyFont="1" applyFill="1" applyBorder="1" applyAlignment="1">
      <alignment horizontal="right"/>
    </xf>
    <xf numFmtId="37" fontId="185" fillId="0" borderId="0" xfId="0" applyFont="1" applyBorder="1" applyAlignment="1">
      <alignment horizontal="right"/>
    </xf>
    <xf numFmtId="37" fontId="186" fillId="0" borderId="0" xfId="0" applyFont="1" applyFill="1" applyBorder="1" applyAlignment="1">
      <alignment horizontal="right"/>
    </xf>
    <xf numFmtId="9" fontId="186" fillId="0" borderId="0" xfId="2" applyFont="1" applyFill="1" applyBorder="1" applyAlignment="1">
      <alignment horizontal="right"/>
    </xf>
    <xf numFmtId="179" fontId="185" fillId="0" borderId="0" xfId="0" applyNumberFormat="1" applyFont="1" applyBorder="1" applyAlignment="1">
      <alignment horizontal="right"/>
    </xf>
    <xf numFmtId="37" fontId="185" fillId="0" borderId="0" xfId="0" applyNumberFormat="1" applyFont="1" applyBorder="1" applyAlignment="1">
      <alignment horizontal="right"/>
    </xf>
    <xf numFmtId="9" fontId="185" fillId="0" borderId="0" xfId="2" applyFont="1" applyBorder="1" applyAlignment="1">
      <alignment horizontal="right"/>
    </xf>
    <xf numFmtId="171" fontId="148" fillId="6" borderId="0" xfId="1" applyNumberFormat="1" applyFont="1" applyFill="1" applyBorder="1" applyAlignment="1" applyProtection="1">
      <alignment vertical="top" wrapText="1"/>
    </xf>
    <xf numFmtId="179" fontId="29" fillId="0" borderId="0" xfId="0" applyNumberFormat="1" applyFont="1" applyBorder="1" applyAlignment="1"/>
    <xf numFmtId="171" fontId="148" fillId="6" borderId="0" xfId="0" applyNumberFormat="1" applyFont="1" applyFill="1" applyBorder="1" applyAlignment="1" applyProtection="1">
      <alignment vertical="top" wrapText="1"/>
    </xf>
    <xf numFmtId="171" fontId="148" fillId="6" borderId="0" xfId="0" applyNumberFormat="1" applyFont="1" applyFill="1" applyBorder="1" applyAlignment="1" applyProtection="1">
      <alignment vertical="top" wrapText="1"/>
      <protection locked="0"/>
    </xf>
    <xf numFmtId="171" fontId="148" fillId="7" borderId="0" xfId="1" applyNumberFormat="1" applyFont="1" applyFill="1" applyBorder="1" applyAlignment="1" applyProtection="1">
      <alignment vertical="top" wrapText="1"/>
    </xf>
    <xf numFmtId="37" fontId="148" fillId="9" borderId="0" xfId="0" applyFont="1" applyFill="1" applyBorder="1" applyAlignment="1" applyProtection="1">
      <alignment vertical="top" wrapText="1"/>
    </xf>
    <xf numFmtId="37" fontId="10" fillId="35" borderId="0" xfId="0" applyFont="1" applyFill="1" applyBorder="1" applyAlignment="1" applyProtection="1">
      <alignment horizontal="left" vertical="top" wrapText="1"/>
    </xf>
    <xf numFmtId="37" fontId="10" fillId="35" borderId="0" xfId="0" applyFont="1" applyFill="1" applyBorder="1" applyAlignment="1" applyProtection="1">
      <alignment vertical="top" wrapText="1"/>
    </xf>
    <xf numFmtId="37" fontId="148" fillId="30" borderId="0" xfId="0" applyFont="1" applyFill="1" applyBorder="1" applyAlignment="1">
      <alignment vertical="top" wrapText="1"/>
    </xf>
    <xf numFmtId="167" fontId="0" fillId="13" borderId="14" xfId="0" applyNumberFormat="1" applyFont="1" applyFill="1" applyBorder="1" applyAlignment="1">
      <alignment vertical="top"/>
    </xf>
    <xf numFmtId="37" fontId="0" fillId="0" borderId="0" xfId="0" applyBorder="1" applyAlignment="1">
      <alignment vertical="top" wrapText="1"/>
    </xf>
    <xf numFmtId="179" fontId="0" fillId="0" borderId="0" xfId="0" applyNumberFormat="1" applyFont="1" applyBorder="1" applyAlignment="1"/>
    <xf numFmtId="170" fontId="36" fillId="7" borderId="0" xfId="0" applyNumberFormat="1" applyFont="1" applyFill="1" applyBorder="1" applyAlignment="1" applyProtection="1"/>
    <xf numFmtId="170" fontId="36" fillId="7" borderId="1" xfId="0" applyNumberFormat="1" applyFont="1" applyFill="1" applyBorder="1" applyAlignment="1" applyProtection="1"/>
    <xf numFmtId="170" fontId="12" fillId="0" borderId="3" xfId="1" applyNumberFormat="1" applyFont="1" applyBorder="1" applyAlignment="1"/>
    <xf numFmtId="170" fontId="0" fillId="0" borderId="1" xfId="0" applyNumberFormat="1" applyFont="1" applyBorder="1" applyAlignment="1"/>
    <xf numFmtId="37" fontId="148" fillId="8" borderId="0" xfId="0" applyFont="1" applyFill="1" applyBorder="1" applyAlignment="1" applyProtection="1">
      <alignment vertical="top"/>
    </xf>
    <xf numFmtId="37" fontId="41" fillId="5" borderId="1" xfId="0" applyFont="1" applyFill="1" applyBorder="1"/>
    <xf numFmtId="37" fontId="36" fillId="6" borderId="0" xfId="0" applyFont="1" applyFill="1" applyBorder="1" applyAlignment="1" applyProtection="1"/>
    <xf numFmtId="9" fontId="36" fillId="6" borderId="1" xfId="2" applyFont="1" applyFill="1" applyBorder="1" applyAlignment="1" applyProtection="1"/>
    <xf numFmtId="37" fontId="96" fillId="0" borderId="0" xfId="0" applyFont="1" applyAlignment="1" applyProtection="1">
      <alignment horizontal="left" vertical="top" wrapText="1"/>
    </xf>
    <xf numFmtId="37" fontId="168" fillId="0" borderId="0" xfId="0" applyFont="1" applyAlignment="1" applyProtection="1">
      <alignment horizontal="left" vertical="top" wrapText="1"/>
    </xf>
    <xf numFmtId="37" fontId="77" fillId="0" borderId="3" xfId="0" applyFont="1" applyBorder="1"/>
    <xf numFmtId="0" fontId="168" fillId="0" borderId="3" xfId="19" applyFont="1" applyFill="1" applyBorder="1" applyAlignment="1"/>
    <xf numFmtId="0" fontId="168" fillId="0" borderId="3" xfId="19" applyFont="1" applyFill="1" applyBorder="1" applyAlignment="1">
      <alignment horizontal="left"/>
    </xf>
    <xf numFmtId="37" fontId="77" fillId="23" borderId="0" xfId="0" applyFont="1" applyFill="1" applyBorder="1" applyAlignment="1"/>
    <xf numFmtId="37" fontId="28" fillId="0" borderId="0" xfId="0" applyFont="1" applyBorder="1" applyAlignment="1">
      <alignment horizontal="right"/>
    </xf>
    <xf numFmtId="37" fontId="95" fillId="0" borderId="0" xfId="0" applyFont="1" applyBorder="1" applyAlignment="1">
      <alignment horizontal="right"/>
    </xf>
    <xf numFmtId="37" fontId="29" fillId="0" borderId="0" xfId="0" applyFont="1" applyBorder="1" applyAlignment="1">
      <alignment horizontal="right"/>
    </xf>
    <xf numFmtId="171" fontId="29" fillId="0" borderId="0" xfId="1" applyNumberFormat="1" applyFont="1" applyBorder="1" applyAlignment="1">
      <alignment horizontal="right"/>
    </xf>
    <xf numFmtId="171" fontId="29" fillId="0" borderId="0" xfId="1" applyNumberFormat="1" applyFont="1" applyFill="1" applyBorder="1" applyAlignment="1">
      <alignment horizontal="right"/>
    </xf>
    <xf numFmtId="37" fontId="108" fillId="0" borderId="0" xfId="0" applyFont="1"/>
    <xf numFmtId="171" fontId="38" fillId="26" borderId="0" xfId="1" applyNumberFormat="1" applyFont="1" applyFill="1" applyAlignment="1">
      <alignment horizontal="center"/>
    </xf>
    <xf numFmtId="167" fontId="38" fillId="5" borderId="0" xfId="2" applyNumberFormat="1" applyFont="1" applyFill="1" applyAlignment="1">
      <alignment horizontal="left"/>
    </xf>
    <xf numFmtId="172" fontId="18" fillId="37" borderId="0" xfId="1" applyNumberFormat="1" applyFont="1" applyFill="1" applyBorder="1" applyAlignment="1"/>
    <xf numFmtId="172" fontId="12" fillId="37" borderId="0" xfId="1" applyNumberFormat="1" applyFont="1" applyFill="1" applyBorder="1" applyAlignment="1"/>
    <xf numFmtId="172" fontId="18" fillId="37" borderId="1" xfId="1" applyNumberFormat="1" applyFont="1" applyFill="1" applyBorder="1" applyAlignment="1"/>
    <xf numFmtId="37" fontId="84" fillId="8" borderId="0" xfId="0" applyFont="1" applyFill="1" applyBorder="1" applyAlignment="1" applyProtection="1"/>
    <xf numFmtId="37" fontId="38" fillId="5" borderId="1" xfId="0" applyFont="1" applyFill="1" applyBorder="1"/>
    <xf numFmtId="167" fontId="38" fillId="5" borderId="1" xfId="2" applyNumberFormat="1" applyFont="1" applyFill="1" applyBorder="1"/>
    <xf numFmtId="37" fontId="59" fillId="5" borderId="45" xfId="0" applyFont="1" applyFill="1" applyBorder="1"/>
    <xf numFmtId="37" fontId="41" fillId="5" borderId="45" xfId="0" applyFont="1" applyFill="1" applyBorder="1"/>
    <xf numFmtId="167" fontId="38" fillId="5" borderId="45" xfId="2" applyNumberFormat="1" applyFont="1" applyFill="1" applyBorder="1"/>
    <xf numFmtId="168" fontId="39" fillId="0" borderId="0" xfId="0" applyNumberFormat="1" applyFont="1" applyFill="1"/>
    <xf numFmtId="168" fontId="39" fillId="0" borderId="0" xfId="0" applyNumberFormat="1" applyFont="1" applyFill="1" applyBorder="1"/>
    <xf numFmtId="37" fontId="189" fillId="0" borderId="0" xfId="0" applyFont="1"/>
    <xf numFmtId="9" fontId="190" fillId="0" borderId="0" xfId="2" applyFont="1"/>
    <xf numFmtId="37" fontId="189" fillId="0" borderId="0" xfId="0" applyFont="1" applyFill="1"/>
    <xf numFmtId="37" fontId="191" fillId="7" borderId="0" xfId="0" applyFont="1" applyFill="1" applyBorder="1" applyAlignment="1" applyProtection="1">
      <alignment vertical="top" wrapText="1"/>
    </xf>
    <xf numFmtId="37" fontId="113" fillId="0" borderId="0" xfId="0" applyFont="1" applyFill="1" applyBorder="1" applyAlignment="1">
      <alignment horizontal="right"/>
    </xf>
    <xf numFmtId="37" fontId="190" fillId="5" borderId="0" xfId="0" applyFont="1" applyFill="1"/>
    <xf numFmtId="9" fontId="189" fillId="0" borderId="0" xfId="2" applyFont="1"/>
    <xf numFmtId="37" fontId="190" fillId="0" borderId="0" xfId="0" applyFont="1" applyFill="1"/>
    <xf numFmtId="37" fontId="190" fillId="0" borderId="0" xfId="0" applyFont="1"/>
    <xf numFmtId="37" fontId="192" fillId="0" borderId="0" xfId="0" applyFont="1" applyAlignment="1"/>
    <xf numFmtId="37" fontId="59" fillId="0" borderId="1" xfId="0" applyFont="1" applyFill="1" applyBorder="1"/>
    <xf numFmtId="37" fontId="41" fillId="0" borderId="1" xfId="0" applyFont="1" applyBorder="1"/>
    <xf numFmtId="165" fontId="39" fillId="2" borderId="0" xfId="1" applyFont="1" applyFill="1" applyAlignment="1">
      <alignment horizontal="left" wrapText="1"/>
    </xf>
    <xf numFmtId="37" fontId="39" fillId="0" borderId="0" xfId="0" applyFont="1" applyFill="1" applyAlignment="1"/>
    <xf numFmtId="9" fontId="39" fillId="0" borderId="0" xfId="2" applyNumberFormat="1" applyFont="1" applyFill="1"/>
    <xf numFmtId="37" fontId="185" fillId="0" borderId="0" xfId="0" applyFont="1" applyBorder="1" applyAlignment="1"/>
    <xf numFmtId="171" fontId="185" fillId="0" borderId="3" xfId="1" applyNumberFormat="1" applyFont="1" applyBorder="1" applyAlignment="1"/>
    <xf numFmtId="171" fontId="185" fillId="0" borderId="1" xfId="0" applyNumberFormat="1" applyFont="1" applyBorder="1" applyAlignment="1"/>
    <xf numFmtId="171" fontId="185" fillId="0" borderId="0" xfId="1" applyNumberFormat="1" applyFont="1" applyFill="1" applyBorder="1" applyAlignment="1"/>
    <xf numFmtId="171" fontId="185" fillId="0" borderId="3" xfId="1" applyNumberFormat="1" applyFont="1" applyFill="1" applyBorder="1" applyAlignment="1"/>
    <xf numFmtId="171" fontId="185" fillId="0" borderId="0" xfId="0" applyNumberFormat="1" applyFont="1" applyBorder="1" applyAlignment="1"/>
    <xf numFmtId="171" fontId="31" fillId="6" borderId="0" xfId="0" applyNumberFormat="1" applyFont="1" applyFill="1" applyBorder="1" applyAlignment="1" applyProtection="1">
      <alignment vertical="top" wrapText="1"/>
    </xf>
    <xf numFmtId="171" fontId="32" fillId="6" borderId="0" xfId="1" applyNumberFormat="1" applyFont="1" applyFill="1" applyBorder="1" applyAlignment="1">
      <alignment horizontal="right"/>
    </xf>
    <xf numFmtId="171" fontId="32" fillId="6" borderId="12" xfId="1" applyNumberFormat="1" applyFont="1" applyFill="1" applyBorder="1" applyAlignment="1">
      <alignment horizontal="right"/>
    </xf>
    <xf numFmtId="37" fontId="31" fillId="6" borderId="0" xfId="0" applyFont="1" applyFill="1" applyBorder="1" applyAlignment="1" applyProtection="1"/>
    <xf numFmtId="171" fontId="32" fillId="6" borderId="9" xfId="1" applyNumberFormat="1" applyFont="1" applyFill="1" applyBorder="1" applyAlignment="1">
      <alignment horizontal="right"/>
    </xf>
    <xf numFmtId="171" fontId="31" fillId="6" borderId="1" xfId="1" applyNumberFormat="1" applyFont="1" applyFill="1" applyBorder="1" applyAlignment="1" applyProtection="1"/>
    <xf numFmtId="37" fontId="189" fillId="5" borderId="0" xfId="0" applyFont="1" applyFill="1"/>
    <xf numFmtId="37" fontId="189" fillId="5" borderId="0" xfId="0" applyFont="1" applyFill="1" applyAlignment="1">
      <alignment horizontal="right"/>
    </xf>
    <xf numFmtId="167" fontId="190" fillId="5" borderId="0" xfId="2" applyNumberFormat="1" applyFont="1" applyFill="1"/>
    <xf numFmtId="9" fontId="189" fillId="5" borderId="0" xfId="2" applyFont="1" applyFill="1"/>
    <xf numFmtId="165" fontId="39" fillId="0" borderId="0" xfId="1" applyFont="1" applyFill="1" applyAlignment="1">
      <alignment horizontal="left" wrapText="1"/>
    </xf>
    <xf numFmtId="37" fontId="148" fillId="6" borderId="0" xfId="0" quotePrefix="1" applyFont="1" applyFill="1" applyBorder="1" applyAlignment="1" applyProtection="1">
      <alignment vertical="top" wrapText="1"/>
    </xf>
    <xf numFmtId="171" fontId="29" fillId="6" borderId="9" xfId="1" applyNumberFormat="1" applyFont="1" applyFill="1" applyBorder="1" applyAlignment="1">
      <alignment horizontal="right"/>
    </xf>
    <xf numFmtId="171" fontId="29" fillId="6" borderId="0" xfId="1" applyNumberFormat="1" applyFont="1" applyFill="1" applyBorder="1" applyAlignment="1">
      <alignment horizontal="right"/>
    </xf>
    <xf numFmtId="171" fontId="29" fillId="6" borderId="12" xfId="1" applyNumberFormat="1" applyFont="1" applyFill="1" applyBorder="1" applyAlignment="1">
      <alignment horizontal="right"/>
    </xf>
    <xf numFmtId="170" fontId="36" fillId="6" borderId="0" xfId="0" applyNumberFormat="1" applyFont="1" applyFill="1" applyBorder="1" applyAlignment="1" applyProtection="1"/>
    <xf numFmtId="171" fontId="36" fillId="6" borderId="0" xfId="0" applyNumberFormat="1" applyFont="1" applyFill="1" applyBorder="1" applyAlignment="1" applyProtection="1"/>
    <xf numFmtId="170" fontId="36" fillId="6" borderId="1" xfId="0" applyNumberFormat="1" applyFont="1" applyFill="1" applyBorder="1" applyAlignment="1" applyProtection="1"/>
    <xf numFmtId="193" fontId="32" fillId="0" borderId="0" xfId="0" applyNumberFormat="1" applyFont="1" applyFill="1" applyBorder="1" applyAlignment="1">
      <alignment horizontal="right"/>
    </xf>
    <xf numFmtId="37" fontId="10" fillId="8" borderId="0" xfId="0" applyFont="1" applyFill="1" applyBorder="1" applyAlignment="1" applyProtection="1">
      <alignment horizontal="left" vertical="top" wrapText="1"/>
    </xf>
    <xf numFmtId="37" fontId="10" fillId="8" borderId="0" xfId="0" applyFont="1" applyFill="1" applyBorder="1" applyAlignment="1" applyProtection="1">
      <alignment vertical="top" wrapText="1"/>
    </xf>
    <xf numFmtId="171" fontId="10" fillId="10" borderId="0" xfId="1" applyNumberFormat="1" applyFont="1" applyFill="1" applyBorder="1" applyAlignment="1" applyProtection="1">
      <alignment vertical="top" wrapText="1"/>
    </xf>
    <xf numFmtId="171" fontId="10" fillId="9" borderId="0" xfId="0" applyNumberFormat="1" applyFont="1" applyFill="1" applyBorder="1" applyAlignment="1" applyProtection="1">
      <alignment vertical="top" wrapText="1"/>
    </xf>
    <xf numFmtId="37" fontId="10" fillId="9" borderId="0" xfId="0" applyFont="1" applyFill="1" applyBorder="1" applyAlignment="1" applyProtection="1">
      <alignment vertical="top" wrapText="1"/>
    </xf>
    <xf numFmtId="37" fontId="10" fillId="7" borderId="0" xfId="0" applyFont="1" applyFill="1" applyBorder="1" applyAlignment="1" applyProtection="1">
      <alignment vertical="top" wrapText="1"/>
    </xf>
    <xf numFmtId="171" fontId="10" fillId="7" borderId="0" xfId="0" applyNumberFormat="1" applyFont="1" applyFill="1" applyBorder="1" applyAlignment="1" applyProtection="1">
      <alignment vertical="top" wrapText="1"/>
    </xf>
    <xf numFmtId="37" fontId="10" fillId="7" borderId="0" xfId="0" quotePrefix="1" applyFont="1" applyFill="1" applyBorder="1" applyAlignment="1" applyProtection="1">
      <alignment vertical="top" wrapText="1"/>
    </xf>
    <xf numFmtId="171" fontId="10" fillId="11" borderId="0" xfId="1" applyNumberFormat="1" applyFont="1" applyFill="1" applyBorder="1" applyAlignment="1" applyProtection="1">
      <alignment vertical="top" wrapText="1"/>
    </xf>
    <xf numFmtId="171" fontId="10" fillId="11" borderId="0" xfId="0" applyNumberFormat="1" applyFont="1" applyFill="1" applyBorder="1" applyAlignment="1" applyProtection="1">
      <alignment vertical="top" wrapText="1"/>
    </xf>
    <xf numFmtId="171" fontId="10" fillId="11" borderId="0" xfId="0" applyNumberFormat="1" applyFont="1" applyFill="1" applyBorder="1" applyAlignment="1" applyProtection="1">
      <alignment vertical="top" wrapText="1"/>
      <protection locked="0"/>
    </xf>
    <xf numFmtId="171" fontId="10" fillId="6" borderId="0" xfId="0" applyNumberFormat="1" applyFont="1" applyFill="1" applyBorder="1" applyAlignment="1" applyProtection="1">
      <alignment vertical="top" wrapText="1"/>
    </xf>
    <xf numFmtId="171" fontId="10" fillId="6" borderId="0" xfId="0" applyNumberFormat="1" applyFont="1" applyFill="1" applyBorder="1" applyAlignment="1" applyProtection="1">
      <alignment vertical="top" wrapText="1"/>
      <protection locked="0"/>
    </xf>
    <xf numFmtId="171" fontId="10" fillId="8" borderId="0" xfId="0" applyNumberFormat="1" applyFont="1" applyFill="1" applyBorder="1" applyAlignment="1" applyProtection="1">
      <alignment vertical="top" wrapText="1"/>
    </xf>
    <xf numFmtId="37" fontId="29" fillId="0" borderId="0" xfId="0" applyFont="1" applyBorder="1" applyAlignment="1">
      <alignment vertical="top" wrapText="1"/>
    </xf>
    <xf numFmtId="171" fontId="31" fillId="9" borderId="0" xfId="0" applyNumberFormat="1" applyFont="1" applyFill="1" applyBorder="1" applyAlignment="1" applyProtection="1">
      <alignment vertical="top" wrapText="1"/>
    </xf>
    <xf numFmtId="37" fontId="31" fillId="8" borderId="0" xfId="0" applyFont="1" applyFill="1" applyBorder="1" applyAlignment="1" applyProtection="1">
      <alignment vertical="top" wrapText="1"/>
    </xf>
    <xf numFmtId="171" fontId="32" fillId="3" borderId="0" xfId="1" applyNumberFormat="1" applyFont="1" applyFill="1" applyBorder="1" applyAlignment="1">
      <alignment vertical="top" wrapText="1"/>
    </xf>
    <xf numFmtId="171" fontId="33" fillId="3" borderId="0" xfId="1" applyNumberFormat="1" applyFont="1" applyFill="1" applyBorder="1" applyAlignment="1">
      <alignment vertical="top" wrapText="1"/>
    </xf>
    <xf numFmtId="37" fontId="30" fillId="13" borderId="14" xfId="0" applyFont="1" applyFill="1" applyBorder="1" applyAlignment="1">
      <alignment vertical="top" wrapText="1"/>
    </xf>
    <xf numFmtId="37" fontId="34" fillId="13" borderId="14" xfId="0" applyFont="1" applyFill="1" applyBorder="1" applyAlignment="1">
      <alignment vertical="top" wrapText="1"/>
    </xf>
    <xf numFmtId="37" fontId="10" fillId="8" borderId="0" xfId="0" applyNumberFormat="1" applyFont="1" applyFill="1" applyBorder="1" applyAlignment="1" applyProtection="1">
      <alignment vertical="top" wrapText="1"/>
    </xf>
    <xf numFmtId="37" fontId="0" fillId="11" borderId="0" xfId="0" applyFont="1" applyFill="1" applyBorder="1" applyAlignment="1">
      <alignment vertical="top" wrapText="1"/>
    </xf>
    <xf numFmtId="167" fontId="12" fillId="11" borderId="0" xfId="2" applyNumberFormat="1" applyFont="1" applyFill="1" applyBorder="1" applyAlignment="1">
      <alignment vertical="top" wrapText="1"/>
    </xf>
    <xf numFmtId="37" fontId="0" fillId="8" borderId="0" xfId="0" applyFont="1" applyFill="1" applyBorder="1" applyAlignment="1">
      <alignment vertical="top" wrapText="1"/>
    </xf>
    <xf numFmtId="171" fontId="12" fillId="3" borderId="0" xfId="1" applyNumberFormat="1" applyFont="1" applyFill="1" applyBorder="1" applyAlignment="1">
      <alignment vertical="top" wrapText="1"/>
    </xf>
    <xf numFmtId="37" fontId="0" fillId="3" borderId="0" xfId="0" applyFont="1" applyFill="1" applyBorder="1" applyAlignment="1">
      <alignment vertical="top" wrapText="1"/>
    </xf>
    <xf numFmtId="171" fontId="0" fillId="3" borderId="0" xfId="0" applyNumberFormat="1" applyFont="1" applyFill="1" applyBorder="1" applyAlignment="1">
      <alignment vertical="top" wrapText="1"/>
    </xf>
    <xf numFmtId="171" fontId="31" fillId="11" borderId="0" xfId="0" applyNumberFormat="1" applyFont="1" applyFill="1" applyBorder="1" applyAlignment="1" applyProtection="1">
      <alignment vertical="top" wrapText="1"/>
    </xf>
    <xf numFmtId="171" fontId="37" fillId="9" borderId="0" xfId="0" applyNumberFormat="1" applyFont="1" applyFill="1" applyBorder="1" applyAlignment="1" applyProtection="1">
      <alignment vertical="top" wrapText="1"/>
    </xf>
    <xf numFmtId="37" fontId="37" fillId="7" borderId="0" xfId="0" applyFont="1" applyFill="1" applyBorder="1" applyAlignment="1" applyProtection="1">
      <alignment vertical="top" wrapText="1"/>
    </xf>
    <xf numFmtId="37" fontId="29" fillId="11" borderId="0" xfId="0" applyFont="1" applyFill="1" applyBorder="1" applyAlignment="1">
      <alignment vertical="top" wrapText="1"/>
    </xf>
    <xf numFmtId="171" fontId="37" fillId="6" borderId="0" xfId="1" applyNumberFormat="1" applyFont="1" applyFill="1" applyBorder="1" applyAlignment="1" applyProtection="1">
      <alignment vertical="top" wrapText="1"/>
    </xf>
    <xf numFmtId="171" fontId="37" fillId="6" borderId="0" xfId="1" applyNumberFormat="1" applyFont="1" applyFill="1" applyBorder="1" applyAlignment="1" applyProtection="1">
      <alignment vertical="top" wrapText="1"/>
      <protection locked="0"/>
    </xf>
    <xf numFmtId="171" fontId="37" fillId="8" borderId="0" xfId="0" applyNumberFormat="1" applyFont="1" applyFill="1" applyBorder="1" applyAlignment="1" applyProtection="1">
      <alignment vertical="top" wrapText="1"/>
    </xf>
    <xf numFmtId="37" fontId="29" fillId="8" borderId="0" xfId="0" applyFont="1" applyFill="1" applyBorder="1" applyAlignment="1">
      <alignment vertical="top" wrapText="1"/>
    </xf>
    <xf numFmtId="37" fontId="37" fillId="8" borderId="0" xfId="0" applyFont="1" applyFill="1" applyBorder="1" applyAlignment="1" applyProtection="1">
      <alignment vertical="top" wrapText="1"/>
    </xf>
    <xf numFmtId="171" fontId="29" fillId="3" borderId="0" xfId="1" applyNumberFormat="1" applyFont="1" applyFill="1" applyBorder="1" applyAlignment="1">
      <alignment vertical="top" wrapText="1"/>
    </xf>
    <xf numFmtId="37" fontId="29" fillId="3" borderId="0" xfId="0" applyFont="1" applyFill="1" applyBorder="1" applyAlignment="1">
      <alignment vertical="top" wrapText="1"/>
    </xf>
    <xf numFmtId="171" fontId="29" fillId="3" borderId="0" xfId="0" applyNumberFormat="1" applyFont="1" applyFill="1" applyBorder="1" applyAlignment="1">
      <alignment vertical="top" wrapText="1"/>
    </xf>
    <xf numFmtId="37" fontId="0" fillId="0" borderId="0" xfId="0" applyFont="1" applyBorder="1" applyAlignment="1">
      <alignment vertical="top" wrapText="1"/>
    </xf>
    <xf numFmtId="37" fontId="61" fillId="8" borderId="0" xfId="0" applyNumberFormat="1" applyFont="1" applyFill="1" applyBorder="1" applyAlignment="1" applyProtection="1">
      <alignment vertical="top" wrapText="1"/>
    </xf>
    <xf numFmtId="9" fontId="12" fillId="0" borderId="0" xfId="2" applyFont="1" applyBorder="1" applyAlignment="1">
      <alignment horizontal="right"/>
    </xf>
    <xf numFmtId="167" fontId="31" fillId="11" borderId="0" xfId="2" applyNumberFormat="1" applyFont="1" applyFill="1" applyBorder="1" applyAlignment="1" applyProtection="1">
      <alignment horizontal="left" vertical="top" wrapText="1"/>
      <protection locked="0"/>
    </xf>
    <xf numFmtId="37" fontId="92" fillId="24" borderId="0" xfId="0" applyFont="1" applyFill="1" applyBorder="1" applyAlignment="1" applyProtection="1">
      <alignment vertical="top" wrapText="1"/>
    </xf>
    <xf numFmtId="37" fontId="91" fillId="24" borderId="0" xfId="0" applyFont="1" applyFill="1" applyBorder="1" applyAlignment="1" applyProtection="1">
      <alignment vertical="top" wrapText="1"/>
    </xf>
    <xf numFmtId="37" fontId="31" fillId="8" borderId="0" xfId="1" applyNumberFormat="1" applyFont="1" applyFill="1" applyBorder="1" applyAlignment="1" applyProtection="1">
      <alignment vertical="top" wrapText="1"/>
    </xf>
    <xf numFmtId="167" fontId="114" fillId="24" borderId="0" xfId="2" applyNumberFormat="1" applyFont="1" applyFill="1" applyBorder="1" applyAlignment="1" applyProtection="1">
      <alignment vertical="top" wrapText="1"/>
    </xf>
    <xf numFmtId="179" fontId="12" fillId="0" borderId="0" xfId="0" applyNumberFormat="1" applyFont="1" applyBorder="1" applyAlignment="1">
      <alignment horizontal="right"/>
    </xf>
    <xf numFmtId="172" fontId="10" fillId="24" borderId="0" xfId="1" applyNumberFormat="1" applyFont="1" applyFill="1" applyBorder="1" applyAlignment="1" applyProtection="1">
      <alignment vertical="top" wrapText="1"/>
    </xf>
    <xf numFmtId="37" fontId="146" fillId="8" borderId="0" xfId="0" applyFont="1" applyFill="1" applyBorder="1" applyAlignment="1" applyProtection="1">
      <alignment vertical="top" wrapText="1"/>
    </xf>
    <xf numFmtId="37" fontId="12" fillId="0" borderId="0" xfId="0" applyFont="1" applyBorder="1" applyAlignment="1">
      <alignment horizontal="right"/>
    </xf>
    <xf numFmtId="37" fontId="159" fillId="10" borderId="0" xfId="0" applyFont="1" applyFill="1" applyBorder="1" applyAlignment="1" applyProtection="1">
      <alignment vertical="top" wrapText="1"/>
    </xf>
    <xf numFmtId="171" fontId="159" fillId="10" borderId="0" xfId="0" applyNumberFormat="1" applyFont="1" applyFill="1" applyBorder="1" applyAlignment="1" applyProtection="1">
      <alignment vertical="top" wrapText="1"/>
    </xf>
    <xf numFmtId="171" fontId="148" fillId="10" borderId="0" xfId="1" applyNumberFormat="1" applyFont="1" applyFill="1" applyBorder="1" applyAlignment="1" applyProtection="1">
      <alignment vertical="top" wrapText="1"/>
    </xf>
    <xf numFmtId="10" fontId="37" fillId="7" borderId="0" xfId="2" applyNumberFormat="1" applyFont="1" applyFill="1" applyBorder="1" applyAlignment="1" applyProtection="1">
      <alignment vertical="top" wrapText="1"/>
    </xf>
    <xf numFmtId="37" fontId="148" fillId="7" borderId="0" xfId="0" applyFont="1" applyFill="1" applyBorder="1" applyAlignment="1" applyProtection="1">
      <alignment vertical="top" wrapText="1"/>
    </xf>
    <xf numFmtId="37" fontId="148" fillId="8" borderId="0" xfId="0" applyFont="1" applyFill="1" applyBorder="1" applyAlignment="1" applyProtection="1">
      <alignment vertical="top" wrapText="1"/>
    </xf>
    <xf numFmtId="37" fontId="96" fillId="0" borderId="0" xfId="0" applyFont="1" applyFill="1" applyAlignment="1" applyProtection="1">
      <alignment vertical="top"/>
    </xf>
    <xf numFmtId="37" fontId="185" fillId="0" borderId="0" xfId="0" applyFont="1" applyBorder="1" applyAlignment="1">
      <alignment horizontal="right"/>
    </xf>
    <xf numFmtId="179" fontId="185" fillId="0" borderId="0" xfId="0" applyNumberFormat="1" applyFont="1" applyBorder="1" applyAlignment="1">
      <alignment horizontal="right"/>
    </xf>
    <xf numFmtId="37" fontId="185" fillId="0" borderId="0" xfId="0" applyNumberFormat="1" applyFont="1" applyBorder="1" applyAlignment="1">
      <alignment horizontal="right"/>
    </xf>
    <xf numFmtId="171" fontId="148" fillId="6" borderId="0" xfId="1" applyNumberFormat="1" applyFont="1" applyFill="1" applyBorder="1" applyAlignment="1" applyProtection="1">
      <alignment vertical="top" wrapText="1"/>
    </xf>
    <xf numFmtId="171" fontId="148" fillId="7" borderId="0" xfId="1" applyNumberFormat="1" applyFont="1" applyFill="1" applyBorder="1" applyAlignment="1" applyProtection="1">
      <alignment vertical="top" wrapText="1"/>
    </xf>
    <xf numFmtId="37" fontId="148" fillId="9" borderId="0" xfId="0" applyFont="1" applyFill="1" applyBorder="1" applyAlignment="1" applyProtection="1">
      <alignment vertical="top" wrapText="1"/>
    </xf>
    <xf numFmtId="37" fontId="148" fillId="30" borderId="0" xfId="0" applyFont="1" applyFill="1" applyBorder="1" applyAlignment="1">
      <alignment vertical="top" wrapText="1"/>
    </xf>
    <xf numFmtId="37" fontId="148" fillId="6" borderId="0" xfId="0" applyFont="1" applyFill="1" applyBorder="1" applyAlignment="1" applyProtection="1">
      <alignment vertical="top" wrapText="1"/>
    </xf>
    <xf numFmtId="37" fontId="96" fillId="0" borderId="0" xfId="0" applyFont="1" applyAlignment="1">
      <alignment vertical="top"/>
    </xf>
    <xf numFmtId="37" fontId="148" fillId="6" borderId="0" xfId="0" quotePrefix="1" applyFont="1" applyFill="1" applyBorder="1" applyAlignment="1" applyProtection="1">
      <alignment vertical="top" wrapText="1"/>
    </xf>
    <xf numFmtId="37" fontId="12" fillId="0" borderId="0" xfId="0" applyFont="1" applyBorder="1" applyAlignment="1">
      <alignment horizontal="right" wrapText="1"/>
    </xf>
    <xf numFmtId="166" fontId="10" fillId="0" borderId="0" xfId="0" applyNumberFormat="1" applyFont="1" applyFill="1" applyBorder="1" applyAlignment="1" applyProtection="1">
      <alignment horizontal="right" wrapText="1"/>
      <protection locked="0"/>
    </xf>
    <xf numFmtId="37" fontId="185" fillId="0" borderId="0" xfId="0" applyFont="1" applyBorder="1" applyAlignment="1">
      <alignment horizontal="right" wrapText="1"/>
    </xf>
    <xf numFmtId="37" fontId="186" fillId="0" borderId="0" xfId="0" applyFont="1" applyFill="1" applyBorder="1" applyAlignment="1">
      <alignment horizontal="right" wrapText="1"/>
    </xf>
    <xf numFmtId="9" fontId="12" fillId="0" borderId="0" xfId="2" applyFont="1" applyBorder="1" applyAlignment="1">
      <alignment horizontal="right" wrapText="1"/>
    </xf>
    <xf numFmtId="9" fontId="186" fillId="0" borderId="0" xfId="2" applyFont="1" applyFill="1" applyBorder="1" applyAlignment="1">
      <alignment horizontal="right" wrapText="1"/>
    </xf>
    <xf numFmtId="179" fontId="185" fillId="0" borderId="0" xfId="0" applyNumberFormat="1" applyFont="1" applyBorder="1" applyAlignment="1">
      <alignment horizontal="right" wrapText="1"/>
    </xf>
    <xf numFmtId="37" fontId="185" fillId="0" borderId="0" xfId="0" applyNumberFormat="1" applyFont="1" applyBorder="1" applyAlignment="1">
      <alignment horizontal="right" wrapText="1"/>
    </xf>
    <xf numFmtId="167" fontId="12" fillId="0" borderId="0" xfId="2" applyNumberFormat="1" applyFont="1" applyBorder="1" applyAlignment="1">
      <alignment horizontal="right" wrapText="1"/>
    </xf>
    <xf numFmtId="179" fontId="12" fillId="0" borderId="0" xfId="0" applyNumberFormat="1" applyFont="1" applyBorder="1" applyAlignment="1">
      <alignment horizontal="right" wrapText="1"/>
    </xf>
    <xf numFmtId="9" fontId="185" fillId="0" borderId="0" xfId="2" applyFont="1" applyBorder="1" applyAlignment="1">
      <alignment horizontal="right" wrapText="1"/>
    </xf>
    <xf numFmtId="7" fontId="10" fillId="0" borderId="0" xfId="0" applyNumberFormat="1" applyFont="1" applyFill="1" applyBorder="1" applyAlignment="1" applyProtection="1">
      <alignment horizontal="right" wrapText="1"/>
    </xf>
    <xf numFmtId="37" fontId="10" fillId="0" borderId="0" xfId="0" applyFont="1" applyFill="1" applyBorder="1" applyAlignment="1" applyProtection="1">
      <alignment horizontal="right" wrapText="1"/>
      <protection locked="0"/>
    </xf>
    <xf numFmtId="9" fontId="10" fillId="0" borderId="0" xfId="2" applyFont="1" applyFill="1" applyBorder="1" applyAlignment="1" applyProtection="1">
      <alignment horizontal="right" wrapText="1"/>
      <protection locked="0"/>
    </xf>
    <xf numFmtId="170" fontId="12" fillId="0" borderId="0" xfId="1" applyNumberFormat="1" applyFont="1" applyBorder="1" applyAlignment="1">
      <alignment horizontal="right"/>
    </xf>
    <xf numFmtId="170" fontId="0" fillId="0" borderId="0" xfId="1" applyNumberFormat="1" applyFont="1" applyBorder="1" applyAlignment="1"/>
    <xf numFmtId="37" fontId="113" fillId="0" borderId="0" xfId="0" quotePrefix="1" applyFont="1" applyFill="1" applyBorder="1" applyAlignment="1">
      <alignment horizontal="center"/>
    </xf>
    <xf numFmtId="37" fontId="113" fillId="0" borderId="0" xfId="0" applyFont="1" applyFill="1" applyBorder="1"/>
    <xf numFmtId="168" fontId="113" fillId="0" borderId="0" xfId="0" applyNumberFormat="1" applyFont="1" applyFill="1"/>
    <xf numFmtId="168" fontId="113" fillId="0" borderId="1" xfId="0" applyNumberFormat="1" applyFont="1" applyFill="1" applyBorder="1"/>
    <xf numFmtId="168" fontId="113" fillId="0" borderId="5" xfId="0" applyNumberFormat="1" applyFont="1" applyFill="1" applyBorder="1"/>
    <xf numFmtId="168" fontId="113" fillId="0" borderId="2" xfId="0" applyNumberFormat="1" applyFont="1" applyFill="1" applyBorder="1"/>
    <xf numFmtId="168" fontId="113" fillId="0" borderId="0" xfId="0" applyNumberFormat="1" applyFont="1" applyFill="1" applyBorder="1"/>
    <xf numFmtId="189" fontId="113" fillId="0" borderId="4" xfId="0" applyNumberFormat="1" applyFont="1" applyFill="1" applyBorder="1"/>
    <xf numFmtId="37" fontId="113" fillId="0" borderId="0" xfId="0" applyFont="1" applyFill="1"/>
    <xf numFmtId="176" fontId="113" fillId="0" borderId="0" xfId="0" applyNumberFormat="1" applyFont="1" applyFill="1" applyAlignment="1">
      <alignment horizontal="right"/>
    </xf>
    <xf numFmtId="167" fontId="38" fillId="5" borderId="0" xfId="2" applyNumberFormat="1" applyFont="1" applyFill="1" applyBorder="1"/>
    <xf numFmtId="193" fontId="0" fillId="0" borderId="0" xfId="1" applyNumberFormat="1" applyFont="1" applyBorder="1" applyAlignment="1"/>
    <xf numFmtId="37" fontId="130" fillId="0" borderId="0" xfId="0" applyFont="1" applyAlignment="1">
      <alignment vertical="top"/>
    </xf>
    <xf numFmtId="171" fontId="156" fillId="0" borderId="1" xfId="0" applyNumberFormat="1" applyFont="1" applyFill="1" applyBorder="1" applyAlignment="1"/>
    <xf numFmtId="171" fontId="29" fillId="0" borderId="1" xfId="0" applyNumberFormat="1" applyFont="1" applyFill="1" applyBorder="1" applyAlignment="1"/>
    <xf numFmtId="171" fontId="0" fillId="0" borderId="1" xfId="0" applyNumberFormat="1" applyFont="1" applyFill="1" applyBorder="1" applyAlignment="1"/>
    <xf numFmtId="37" fontId="29" fillId="0" borderId="1" xfId="0" applyFont="1" applyFill="1" applyBorder="1" applyAlignment="1"/>
    <xf numFmtId="9" fontId="29" fillId="0" borderId="1" xfId="2" applyFont="1" applyFill="1" applyBorder="1" applyAlignment="1"/>
    <xf numFmtId="9" fontId="12" fillId="0" borderId="1" xfId="2" applyNumberFormat="1" applyFont="1" applyFill="1" applyBorder="1" applyAlignment="1"/>
    <xf numFmtId="171" fontId="29" fillId="0" borderId="1" xfId="1" applyNumberFormat="1" applyFont="1" applyFill="1" applyBorder="1" applyAlignment="1"/>
    <xf numFmtId="171" fontId="12" fillId="0" borderId="1" xfId="1" applyNumberFormat="1" applyFont="1" applyFill="1" applyBorder="1" applyAlignment="1"/>
    <xf numFmtId="171" fontId="66" fillId="0" borderId="1" xfId="0" applyNumberFormat="1" applyFont="1" applyFill="1" applyBorder="1" applyAlignment="1"/>
    <xf numFmtId="191" fontId="66" fillId="0" borderId="0" xfId="0" applyNumberFormat="1" applyFont="1" applyBorder="1" applyAlignment="1"/>
    <xf numFmtId="171" fontId="29" fillId="0" borderId="0" xfId="0" applyNumberFormat="1" applyFont="1" applyFill="1" applyBorder="1" applyAlignment="1"/>
    <xf numFmtId="167" fontId="41" fillId="0" borderId="0" xfId="2" applyNumberFormat="1" applyFont="1"/>
    <xf numFmtId="37" fontId="189" fillId="0" borderId="0" xfId="0" quotePrefix="1" applyFont="1"/>
    <xf numFmtId="37" fontId="111" fillId="0" borderId="0" xfId="0" applyFont="1"/>
    <xf numFmtId="10" fontId="111" fillId="0" borderId="0" xfId="2" applyNumberFormat="1" applyFont="1"/>
    <xf numFmtId="37" fontId="189" fillId="0" borderId="0" xfId="0" applyFont="1" applyAlignment="1">
      <alignment horizontal="right"/>
    </xf>
    <xf numFmtId="165" fontId="10" fillId="7" borderId="0" xfId="1" quotePrefix="1" applyFont="1" applyFill="1" applyBorder="1" applyAlignment="1" applyProtection="1">
      <alignment vertical="top" wrapText="1"/>
    </xf>
    <xf numFmtId="165" fontId="12" fillId="0" borderId="0" xfId="1" applyFont="1" applyBorder="1" applyAlignment="1">
      <alignment horizontal="right"/>
    </xf>
    <xf numFmtId="165" fontId="0" fillId="0" borderId="0" xfId="1" applyFont="1" applyBorder="1" applyAlignment="1"/>
    <xf numFmtId="37" fontId="96" fillId="0" borderId="0" xfId="0" applyFont="1" applyAlignment="1">
      <alignment horizontal="center" vertical="top"/>
    </xf>
    <xf numFmtId="194" fontId="143" fillId="4" borderId="0" xfId="0" applyNumberFormat="1" applyFont="1" applyFill="1" applyAlignment="1" applyProtection="1">
      <alignment horizontal="right" vertical="top"/>
      <protection locked="0"/>
    </xf>
    <xf numFmtId="0" fontId="143" fillId="6" borderId="46" xfId="6" applyFont="1" applyFill="1" applyBorder="1" applyAlignment="1" applyProtection="1">
      <alignment horizontal="center" vertical="top"/>
      <protection locked="0"/>
    </xf>
    <xf numFmtId="37" fontId="12" fillId="0" borderId="0" xfId="0" applyFont="1" applyAlignment="1">
      <alignment horizontal="right"/>
    </xf>
    <xf numFmtId="166" fontId="10" fillId="0" borderId="0" xfId="0" applyNumberFormat="1" applyFont="1" applyAlignment="1" applyProtection="1">
      <alignment horizontal="right"/>
      <protection locked="0"/>
    </xf>
    <xf numFmtId="37" fontId="185" fillId="0" borderId="0" xfId="0" applyFont="1" applyAlignment="1">
      <alignment horizontal="right"/>
    </xf>
    <xf numFmtId="37" fontId="186" fillId="0" borderId="0" xfId="0" applyFont="1" applyAlignment="1">
      <alignment horizontal="right"/>
    </xf>
    <xf numFmtId="179" fontId="185" fillId="0" borderId="0" xfId="0" applyNumberFormat="1" applyFont="1" applyAlignment="1">
      <alignment horizontal="right"/>
    </xf>
    <xf numFmtId="179" fontId="12" fillId="0" borderId="0" xfId="0" applyNumberFormat="1" applyFont="1" applyAlignment="1">
      <alignment horizontal="right"/>
    </xf>
    <xf numFmtId="7" fontId="10" fillId="0" borderId="0" xfId="0" applyNumberFormat="1" applyFont="1" applyAlignment="1">
      <alignment horizontal="right"/>
    </xf>
    <xf numFmtId="37" fontId="10" fillId="0" borderId="0" xfId="0" applyFont="1" applyAlignment="1" applyProtection="1">
      <alignment horizontal="right"/>
      <protection locked="0"/>
    </xf>
    <xf numFmtId="37" fontId="12" fillId="12" borderId="0" xfId="0" applyFont="1" applyFill="1" applyBorder="1" applyAlignment="1">
      <alignment horizontal="left"/>
    </xf>
    <xf numFmtId="43" fontId="12" fillId="3" borderId="9" xfId="1" applyNumberFormat="1" applyFont="1" applyFill="1" applyBorder="1" applyAlignment="1">
      <alignment horizontal="right"/>
    </xf>
    <xf numFmtId="37" fontId="185" fillId="0" borderId="0" xfId="0" applyFont="1" applyBorder="1" applyAlignment="1">
      <alignment horizontal="left"/>
    </xf>
    <xf numFmtId="37" fontId="12" fillId="0" borderId="0" xfId="0" applyNumberFormat="1" applyFont="1" applyBorder="1" applyAlignment="1">
      <alignment horizontal="right"/>
    </xf>
    <xf numFmtId="37" fontId="12" fillId="0" borderId="0" xfId="0" applyFont="1" applyFill="1" applyBorder="1" applyAlignment="1">
      <alignment horizontal="left"/>
    </xf>
    <xf numFmtId="0" fontId="12" fillId="0" borderId="0" xfId="0" applyNumberFormat="1" applyFont="1" applyBorder="1" applyAlignment="1">
      <alignment horizontal="right"/>
    </xf>
    <xf numFmtId="37" fontId="96" fillId="0" borderId="0" xfId="0" applyFont="1" applyAlignment="1" applyProtection="1">
      <alignment horizontal="left" vertical="top"/>
    </xf>
    <xf numFmtId="37" fontId="96" fillId="0" borderId="0" xfId="0" applyFont="1" applyFill="1" applyBorder="1" applyAlignment="1" applyProtection="1">
      <alignment horizontal="left" vertical="top"/>
    </xf>
    <xf numFmtId="171" fontId="130" fillId="9" borderId="0" xfId="0" applyNumberFormat="1" applyFont="1" applyFill="1" applyBorder="1" applyAlignment="1" applyProtection="1">
      <alignment vertical="top" wrapText="1"/>
    </xf>
    <xf numFmtId="37" fontId="130" fillId="9" borderId="0" xfId="0" applyFont="1" applyFill="1" applyBorder="1" applyAlignment="1" applyProtection="1">
      <alignment vertical="top" wrapText="1"/>
    </xf>
    <xf numFmtId="37" fontId="193" fillId="9" borderId="0" xfId="0" applyFont="1" applyFill="1" applyBorder="1" applyAlignment="1" applyProtection="1">
      <alignment vertical="top" wrapText="1"/>
    </xf>
    <xf numFmtId="37" fontId="130" fillId="0" borderId="0" xfId="0" applyFont="1" applyAlignment="1">
      <alignment horizontal="left" vertical="top"/>
    </xf>
    <xf numFmtId="171" fontId="130" fillId="0" borderId="0" xfId="1" applyNumberFormat="1" applyFont="1" applyBorder="1" applyAlignment="1">
      <alignment horizontal="right" wrapText="1"/>
    </xf>
    <xf numFmtId="37" fontId="130" fillId="0" borderId="0" xfId="0" applyFont="1" applyBorder="1" applyAlignment="1">
      <alignment vertical="top"/>
    </xf>
    <xf numFmtId="37" fontId="194" fillId="0" borderId="0" xfId="0" applyFont="1" applyAlignment="1">
      <alignment vertical="top"/>
    </xf>
    <xf numFmtId="37" fontId="195" fillId="0" borderId="0" xfId="0" applyFont="1" applyAlignment="1">
      <alignment vertical="top"/>
    </xf>
    <xf numFmtId="37" fontId="196" fillId="0" borderId="3" xfId="0" applyFont="1" applyBorder="1" applyAlignment="1">
      <alignment horizontal="left" vertical="top"/>
    </xf>
    <xf numFmtId="37" fontId="130" fillId="0" borderId="3" xfId="0" applyFont="1" applyBorder="1" applyAlignment="1">
      <alignment vertical="top"/>
    </xf>
    <xf numFmtId="37" fontId="195" fillId="0" borderId="0" xfId="0" applyFont="1" applyAlignment="1">
      <alignment horizontal="left" vertical="top"/>
    </xf>
    <xf numFmtId="37" fontId="130" fillId="0" borderId="0" xfId="0" applyNumberFormat="1" applyFont="1" applyBorder="1" applyAlignment="1">
      <alignment horizontal="right" wrapText="1"/>
    </xf>
    <xf numFmtId="37" fontId="130" fillId="0" borderId="0" xfId="0" applyFont="1" applyBorder="1" applyAlignment="1">
      <alignment horizontal="right"/>
    </xf>
    <xf numFmtId="9" fontId="130" fillId="0" borderId="0" xfId="2" applyNumberFormat="1" applyFont="1" applyAlignment="1">
      <alignment vertical="top"/>
    </xf>
    <xf numFmtId="37" fontId="130" fillId="0" borderId="0" xfId="0" applyFont="1" applyBorder="1" applyAlignment="1">
      <alignment horizontal="right" wrapText="1"/>
    </xf>
    <xf numFmtId="37" fontId="197" fillId="0" borderId="0" xfId="0" applyFont="1" applyAlignment="1">
      <alignment vertical="top"/>
    </xf>
    <xf numFmtId="37" fontId="130" fillId="4" borderId="0" xfId="0" applyFont="1" applyFill="1" applyBorder="1" applyAlignment="1">
      <alignment horizontal="left"/>
    </xf>
    <xf numFmtId="37" fontId="130" fillId="4" borderId="0" xfId="0" applyFont="1" applyFill="1" applyBorder="1" applyAlignment="1">
      <alignment horizontal="right"/>
    </xf>
    <xf numFmtId="37" fontId="130" fillId="4" borderId="0" xfId="0" applyFont="1" applyFill="1" applyAlignment="1">
      <alignment vertical="top"/>
    </xf>
    <xf numFmtId="37" fontId="198" fillId="4" borderId="0" xfId="0" applyFont="1" applyFill="1" applyAlignment="1">
      <alignment vertical="top"/>
    </xf>
    <xf numFmtId="9" fontId="130" fillId="4" borderId="0" xfId="2" applyNumberFormat="1" applyFont="1" applyFill="1" applyAlignment="1">
      <alignment vertical="top"/>
    </xf>
    <xf numFmtId="37" fontId="197" fillId="0" borderId="0" xfId="0" applyFont="1" applyBorder="1" applyAlignment="1">
      <alignment horizontal="left"/>
    </xf>
    <xf numFmtId="9" fontId="130" fillId="0" borderId="0" xfId="2" applyFont="1" applyFill="1" applyBorder="1" applyAlignment="1" applyProtection="1">
      <alignment horizontal="right"/>
      <protection locked="0"/>
    </xf>
    <xf numFmtId="37" fontId="196" fillId="0" borderId="0" xfId="0" applyFont="1" applyAlignment="1">
      <alignment vertical="top"/>
    </xf>
    <xf numFmtId="37" fontId="130" fillId="4" borderId="0" xfId="0" applyNumberFormat="1" applyFont="1" applyFill="1" applyBorder="1" applyAlignment="1">
      <alignment horizontal="left"/>
    </xf>
    <xf numFmtId="37" fontId="199" fillId="0" borderId="0" xfId="0" applyFont="1" applyAlignment="1">
      <alignment vertical="center"/>
    </xf>
    <xf numFmtId="37" fontId="195" fillId="0" borderId="0" xfId="0" applyFont="1" applyBorder="1" applyAlignment="1">
      <alignment vertical="top"/>
    </xf>
    <xf numFmtId="37" fontId="130" fillId="0" borderId="0" xfId="0" applyFont="1" applyFill="1" applyBorder="1" applyAlignment="1" applyProtection="1">
      <alignment horizontal="right"/>
      <protection locked="0"/>
    </xf>
    <xf numFmtId="37" fontId="130" fillId="4" borderId="0" xfId="0" applyFont="1" applyFill="1" applyBorder="1" applyAlignment="1" applyProtection="1">
      <alignment horizontal="right"/>
      <protection locked="0"/>
    </xf>
    <xf numFmtId="37" fontId="89" fillId="4" borderId="0" xfId="0" applyFont="1" applyFill="1" applyAlignment="1">
      <alignment vertical="top"/>
    </xf>
    <xf numFmtId="37" fontId="130" fillId="0" borderId="0" xfId="0" applyNumberFormat="1" applyFont="1" applyFill="1" applyBorder="1" applyAlignment="1" applyProtection="1">
      <alignment horizontal="right" wrapText="1"/>
      <protection locked="0"/>
    </xf>
    <xf numFmtId="37" fontId="200" fillId="0" borderId="0" xfId="0" applyFont="1" applyAlignment="1">
      <alignment vertical="center"/>
    </xf>
    <xf numFmtId="37" fontId="130" fillId="0" borderId="0" xfId="0" applyFont="1" applyBorder="1" applyAlignment="1">
      <alignment horizontal="left" wrapText="1"/>
    </xf>
    <xf numFmtId="37" fontId="130" fillId="0" borderId="0" xfId="0" applyFont="1" applyFill="1" applyBorder="1" applyAlignment="1" applyProtection="1">
      <alignment horizontal="right" wrapText="1"/>
      <protection locked="0"/>
    </xf>
    <xf numFmtId="37" fontId="196" fillId="0" borderId="1" xfId="0" applyFont="1" applyBorder="1" applyAlignment="1">
      <alignment vertical="top"/>
    </xf>
    <xf numFmtId="37" fontId="196" fillId="0" borderId="1" xfId="0" applyFont="1" applyBorder="1" applyAlignment="1">
      <alignment horizontal="left" vertical="top"/>
    </xf>
    <xf numFmtId="37" fontId="198" fillId="0" borderId="0" xfId="0" applyFont="1" applyAlignment="1">
      <alignment horizontal="left" vertical="top"/>
    </xf>
    <xf numFmtId="37" fontId="198" fillId="0" borderId="0" xfId="0" applyFont="1" applyAlignment="1">
      <alignment vertical="top"/>
    </xf>
    <xf numFmtId="171" fontId="201" fillId="0" borderId="1" xfId="0" applyNumberFormat="1" applyFont="1" applyFill="1" applyBorder="1" applyAlignment="1"/>
    <xf numFmtId="37" fontId="130" fillId="0" borderId="0" xfId="0" applyFont="1" applyAlignment="1"/>
    <xf numFmtId="37" fontId="130" fillId="0" borderId="0" xfId="0" applyFont="1" applyAlignment="1">
      <alignment vertical="center"/>
    </xf>
    <xf numFmtId="37" fontId="202" fillId="0" borderId="0" xfId="0" applyFont="1" applyAlignment="1">
      <alignment vertical="center"/>
    </xf>
    <xf numFmtId="37" fontId="130" fillId="0" borderId="1" xfId="0" applyFont="1" applyBorder="1" applyAlignment="1">
      <alignment horizontal="left"/>
    </xf>
    <xf numFmtId="37" fontId="130" fillId="0" borderId="1" xfId="0" applyFont="1" applyBorder="1" applyAlignment="1">
      <alignment horizontal="right"/>
    </xf>
    <xf numFmtId="37" fontId="130" fillId="0" borderId="1" xfId="0" applyFont="1" applyBorder="1" applyAlignment="1">
      <alignment horizontal="left" vertical="top"/>
    </xf>
    <xf numFmtId="37" fontId="204" fillId="0" borderId="0" xfId="0" applyFont="1" applyAlignment="1">
      <alignment vertical="center"/>
    </xf>
    <xf numFmtId="37" fontId="197" fillId="0" borderId="0" xfId="0" applyFont="1" applyAlignment="1">
      <alignment vertical="center"/>
    </xf>
    <xf numFmtId="37" fontId="198" fillId="0" borderId="0" xfId="0" applyFont="1" applyAlignment="1">
      <alignment vertical="center"/>
    </xf>
    <xf numFmtId="37" fontId="199" fillId="0" borderId="0" xfId="0" applyFont="1"/>
    <xf numFmtId="37" fontId="130" fillId="0" borderId="0" xfId="0" applyFont="1" applyFill="1" applyAlignment="1">
      <alignment vertical="top"/>
    </xf>
    <xf numFmtId="37" fontId="197" fillId="0" borderId="0" xfId="0" applyFont="1" applyFill="1" applyAlignment="1">
      <alignment vertical="top"/>
    </xf>
    <xf numFmtId="37" fontId="197" fillId="0" borderId="0" xfId="0" applyFont="1" applyAlignment="1">
      <alignment horizontal="left" vertical="top"/>
    </xf>
    <xf numFmtId="37" fontId="130" fillId="0" borderId="1" xfId="0" applyFont="1" applyBorder="1" applyAlignment="1">
      <alignment vertical="top"/>
    </xf>
    <xf numFmtId="37" fontId="207" fillId="0" borderId="0" xfId="0" applyFont="1" applyAlignment="1">
      <alignment vertical="center"/>
    </xf>
    <xf numFmtId="37" fontId="208" fillId="0" borderId="0" xfId="0" applyFont="1" applyAlignment="1">
      <alignment vertical="center"/>
    </xf>
    <xf numFmtId="37" fontId="206" fillId="0" borderId="0" xfId="0" applyFont="1" applyAlignment="1">
      <alignment vertical="top"/>
    </xf>
    <xf numFmtId="171" fontId="12" fillId="0" borderId="0" xfId="1" applyNumberFormat="1" applyFont="1" applyFill="1" applyBorder="1" applyAlignment="1">
      <alignment horizontal="center"/>
    </xf>
    <xf numFmtId="37" fontId="205" fillId="38" borderId="0" xfId="0" applyFont="1" applyFill="1" applyAlignment="1">
      <alignment horizontal="left" vertical="top"/>
    </xf>
    <xf numFmtId="171" fontId="205" fillId="38" borderId="0" xfId="1" applyNumberFormat="1" applyFont="1" applyFill="1" applyBorder="1" applyAlignment="1">
      <alignment horizontal="right" wrapText="1"/>
    </xf>
    <xf numFmtId="37" fontId="130" fillId="0" borderId="0" xfId="0" applyFont="1" applyAlignment="1">
      <alignment horizontal="right" vertical="top" wrapText="1"/>
    </xf>
    <xf numFmtId="37" fontId="205" fillId="38" borderId="0" xfId="0" applyFont="1" applyFill="1" applyAlignment="1">
      <alignment horizontal="right" vertical="top"/>
    </xf>
    <xf numFmtId="37" fontId="205" fillId="38" borderId="0" xfId="0" applyFont="1" applyFill="1" applyBorder="1" applyAlignment="1">
      <alignment horizontal="right" vertical="top"/>
    </xf>
    <xf numFmtId="37" fontId="130" fillId="0" borderId="0" xfId="0" applyFont="1" applyAlignment="1">
      <alignment horizontal="right" vertical="top"/>
    </xf>
    <xf numFmtId="37" fontId="130" fillId="0" borderId="47" xfId="0" applyFont="1" applyBorder="1" applyAlignment="1">
      <alignment horizontal="right" vertical="top"/>
    </xf>
    <xf numFmtId="37" fontId="130" fillId="0" borderId="48" xfId="0" applyFont="1" applyBorder="1" applyAlignment="1">
      <alignment horizontal="right" vertical="top"/>
    </xf>
    <xf numFmtId="37" fontId="130" fillId="0" borderId="49" xfId="0" applyFont="1" applyBorder="1" applyAlignment="1">
      <alignment horizontal="right" vertical="top"/>
    </xf>
    <xf numFmtId="37" fontId="210" fillId="0" borderId="0" xfId="0" applyFont="1" applyAlignment="1">
      <alignment vertical="top"/>
    </xf>
    <xf numFmtId="37" fontId="211" fillId="9" borderId="0" xfId="0" applyFont="1" applyFill="1" applyBorder="1" applyAlignment="1" applyProtection="1"/>
    <xf numFmtId="171" fontId="211" fillId="9" borderId="0" xfId="0" applyNumberFormat="1" applyFont="1" applyFill="1" applyBorder="1" applyAlignment="1" applyProtection="1"/>
    <xf numFmtId="171" fontId="211" fillId="9" borderId="1" xfId="0" applyNumberFormat="1" applyFont="1" applyFill="1" applyBorder="1" applyAlignment="1" applyProtection="1"/>
    <xf numFmtId="171" fontId="196" fillId="0" borderId="1" xfId="1" applyNumberFormat="1" applyFont="1" applyBorder="1" applyAlignment="1">
      <alignment horizontal="right" wrapText="1"/>
    </xf>
    <xf numFmtId="37" fontId="206" fillId="0" borderId="0" xfId="0" applyFont="1" applyAlignment="1">
      <alignment vertical="center"/>
    </xf>
    <xf numFmtId="37" fontId="213" fillId="0" borderId="0" xfId="0" applyFont="1" applyAlignment="1">
      <alignment vertical="center"/>
    </xf>
    <xf numFmtId="37" fontId="172" fillId="0" borderId="1" xfId="0" applyFont="1" applyBorder="1" applyAlignment="1">
      <alignment vertical="top"/>
    </xf>
    <xf numFmtId="37" fontId="96" fillId="0" borderId="1" xfId="0" applyFont="1" applyBorder="1" applyAlignment="1">
      <alignment vertical="top"/>
    </xf>
    <xf numFmtId="37" fontId="96" fillId="0" borderId="1" xfId="0" applyFont="1" applyBorder="1" applyAlignment="1">
      <alignment horizontal="left" vertical="top"/>
    </xf>
    <xf numFmtId="171" fontId="96" fillId="0" borderId="1" xfId="1" applyNumberFormat="1" applyFont="1" applyBorder="1" applyAlignment="1">
      <alignment horizontal="right" wrapText="1"/>
    </xf>
    <xf numFmtId="37" fontId="216" fillId="0" borderId="0" xfId="0" applyFont="1" applyAlignment="1">
      <alignment vertical="center"/>
    </xf>
    <xf numFmtId="37" fontId="130" fillId="28" borderId="16" xfId="0" applyFont="1" applyFill="1" applyBorder="1" applyAlignment="1">
      <alignment vertical="top"/>
    </xf>
    <xf numFmtId="37" fontId="130" fillId="28" borderId="17" xfId="0" applyFont="1" applyFill="1" applyBorder="1" applyAlignment="1">
      <alignment vertical="top"/>
    </xf>
    <xf numFmtId="37" fontId="130" fillId="28" borderId="18" xfId="0" applyFont="1" applyFill="1" applyBorder="1" applyAlignment="1">
      <alignment vertical="top"/>
    </xf>
    <xf numFmtId="37" fontId="130" fillId="28" borderId="19" xfId="0" applyFont="1" applyFill="1" applyBorder="1" applyAlignment="1">
      <alignment vertical="top"/>
    </xf>
    <xf numFmtId="37" fontId="130" fillId="28" borderId="0" xfId="0" applyFont="1" applyFill="1" applyBorder="1" applyAlignment="1">
      <alignment vertical="top"/>
    </xf>
    <xf numFmtId="37" fontId="130" fillId="28" borderId="20" xfId="0" applyFont="1" applyFill="1" applyBorder="1" applyAlignment="1">
      <alignment vertical="top"/>
    </xf>
    <xf numFmtId="37" fontId="214" fillId="28" borderId="19" xfId="0" applyFont="1" applyFill="1" applyBorder="1" applyAlignment="1">
      <alignment horizontal="right"/>
    </xf>
    <xf numFmtId="37" fontId="214" fillId="28" borderId="0" xfId="0" applyNumberFormat="1" applyFont="1" applyFill="1" applyBorder="1" applyAlignment="1">
      <alignment horizontal="right"/>
    </xf>
    <xf numFmtId="37" fontId="129" fillId="28" borderId="0" xfId="0" applyFont="1" applyFill="1" applyBorder="1" applyAlignment="1">
      <alignment horizontal="left"/>
    </xf>
    <xf numFmtId="37" fontId="130" fillId="28" borderId="21" xfId="0" applyFont="1" applyFill="1" applyBorder="1" applyAlignment="1">
      <alignment vertical="top"/>
    </xf>
    <xf numFmtId="37" fontId="130" fillId="28" borderId="3" xfId="0" applyFont="1" applyFill="1" applyBorder="1" applyAlignment="1">
      <alignment vertical="top"/>
    </xf>
    <xf numFmtId="37" fontId="130" fillId="28" borderId="22" xfId="0" applyFont="1" applyFill="1" applyBorder="1" applyAlignment="1">
      <alignment vertical="top"/>
    </xf>
    <xf numFmtId="37" fontId="89" fillId="0" borderId="0" xfId="0" applyFont="1" applyAlignment="1">
      <alignment vertical="top"/>
    </xf>
    <xf numFmtId="37" fontId="217" fillId="0" borderId="1" xfId="0" applyFont="1" applyBorder="1" applyAlignment="1">
      <alignment vertical="top"/>
    </xf>
    <xf numFmtId="37" fontId="217" fillId="0" borderId="1" xfId="0" applyFont="1" applyBorder="1" applyAlignment="1">
      <alignment horizontal="left" vertical="top"/>
    </xf>
    <xf numFmtId="171" fontId="217" fillId="0" borderId="1" xfId="1" applyNumberFormat="1" applyFont="1" applyBorder="1" applyAlignment="1">
      <alignment horizontal="right" wrapText="1"/>
    </xf>
    <xf numFmtId="37" fontId="218" fillId="0" borderId="0" xfId="0" applyFont="1" applyAlignment="1">
      <alignment vertical="center"/>
    </xf>
    <xf numFmtId="37" fontId="219" fillId="0" borderId="0" xfId="0" applyFont="1" applyAlignment="1">
      <alignment vertical="center"/>
    </xf>
    <xf numFmtId="37" fontId="221" fillId="0" borderId="0" xfId="0" applyFont="1" applyAlignment="1">
      <alignment vertical="center"/>
    </xf>
    <xf numFmtId="37" fontId="0" fillId="0" borderId="0" xfId="0" applyAlignment="1">
      <alignment vertical="center"/>
    </xf>
    <xf numFmtId="37" fontId="0" fillId="0" borderId="0" xfId="0" applyAlignment="1"/>
    <xf numFmtId="37" fontId="88" fillId="0" borderId="0" xfId="19" applyNumberFormat="1" applyFont="1" applyFill="1" applyBorder="1" applyAlignment="1">
      <alignment horizontal="right"/>
    </xf>
    <xf numFmtId="167" fontId="139" fillId="13" borderId="14" xfId="2" applyNumberFormat="1" applyFont="1" applyFill="1" applyBorder="1" applyAlignment="1"/>
    <xf numFmtId="37" fontId="139" fillId="0" borderId="0" xfId="0" applyFont="1" applyFill="1" applyBorder="1" applyAlignment="1">
      <alignment horizontal="right"/>
    </xf>
    <xf numFmtId="9" fontId="12" fillId="0" borderId="0" xfId="2" applyNumberFormat="1" applyFont="1" applyBorder="1" applyAlignment="1">
      <alignment horizontal="right"/>
    </xf>
    <xf numFmtId="37" fontId="222" fillId="13" borderId="13" xfId="0" applyFont="1" applyFill="1" applyBorder="1" applyAlignment="1"/>
    <xf numFmtId="37" fontId="94" fillId="13" borderId="14" xfId="0" applyFont="1" applyFill="1" applyBorder="1" applyAlignment="1">
      <alignment horizontal="center" vertical="top" wrapText="1"/>
    </xf>
    <xf numFmtId="167" fontId="95" fillId="13" borderId="14" xfId="2" applyNumberFormat="1" applyFont="1" applyFill="1" applyBorder="1" applyAlignment="1">
      <alignment horizontal="center"/>
    </xf>
    <xf numFmtId="167" fontId="95" fillId="13" borderId="42" xfId="2" applyNumberFormat="1" applyFont="1" applyFill="1" applyBorder="1" applyAlignment="1">
      <alignment horizontal="center"/>
    </xf>
    <xf numFmtId="167" fontId="95" fillId="13" borderId="14" xfId="2" applyNumberFormat="1" applyFont="1" applyFill="1" applyBorder="1" applyAlignment="1">
      <alignment horizontal="center" vertical="top" wrapText="1"/>
    </xf>
    <xf numFmtId="167" fontId="95" fillId="13" borderId="14" xfId="2" applyNumberFormat="1" applyFont="1" applyFill="1" applyBorder="1" applyAlignment="1">
      <alignment horizontal="center" vertical="top"/>
    </xf>
    <xf numFmtId="37" fontId="130" fillId="0" borderId="0" xfId="0" applyFont="1" applyAlignment="1">
      <alignment vertical="top"/>
    </xf>
    <xf numFmtId="37" fontId="96" fillId="0" borderId="0" xfId="0" applyFont="1" applyFill="1" applyAlignment="1" applyProtection="1">
      <alignment vertical="top"/>
    </xf>
    <xf numFmtId="37" fontId="96" fillId="0" borderId="0" xfId="0" applyFont="1" applyFill="1" applyAlignment="1" applyProtection="1">
      <alignment horizontal="center" vertical="top"/>
    </xf>
    <xf numFmtId="37" fontId="143" fillId="6" borderId="46" xfId="0" applyFont="1" applyFill="1" applyBorder="1" applyAlignment="1" applyProtection="1">
      <alignment horizontal="center" vertical="top"/>
      <protection locked="0"/>
    </xf>
    <xf numFmtId="37" fontId="96" fillId="0" borderId="0" xfId="0" applyFont="1" applyFill="1" applyAlignment="1" applyProtection="1">
      <alignment horizontal="left" vertical="top"/>
    </xf>
    <xf numFmtId="10" fontId="96" fillId="34" borderId="46" xfId="2" applyNumberFormat="1" applyFont="1" applyFill="1" applyBorder="1" applyAlignment="1" applyProtection="1">
      <alignment horizontal="center" vertical="top"/>
    </xf>
    <xf numFmtId="9" fontId="96" fillId="31" borderId="46" xfId="2" applyFont="1" applyFill="1" applyBorder="1" applyAlignment="1" applyProtection="1">
      <alignment horizontal="center" vertical="top"/>
    </xf>
    <xf numFmtId="191" fontId="96" fillId="31" borderId="0" xfId="1" applyNumberFormat="1" applyFont="1" applyFill="1" applyAlignment="1" applyProtection="1">
      <alignment vertical="top"/>
    </xf>
    <xf numFmtId="191" fontId="96" fillId="31" borderId="38" xfId="1" applyNumberFormat="1" applyFont="1" applyFill="1" applyBorder="1" applyAlignment="1" applyProtection="1">
      <alignment horizontal="right" vertical="top"/>
    </xf>
    <xf numFmtId="9" fontId="143" fillId="6" borderId="46" xfId="2" applyFont="1" applyFill="1" applyBorder="1" applyAlignment="1" applyProtection="1">
      <alignment horizontal="center" vertical="top"/>
      <protection locked="0"/>
    </xf>
    <xf numFmtId="193" fontId="96" fillId="31" borderId="46" xfId="2" applyNumberFormat="1" applyFont="1" applyFill="1" applyBorder="1" applyAlignment="1" applyProtection="1">
      <alignment horizontal="center" vertical="top"/>
    </xf>
    <xf numFmtId="37" fontId="143" fillId="6" borderId="46" xfId="0" applyFont="1" applyFill="1" applyBorder="1" applyAlignment="1" applyProtection="1">
      <alignment horizontal="center"/>
      <protection locked="0"/>
    </xf>
    <xf numFmtId="14" fontId="143" fillId="6" borderId="46" xfId="0" applyNumberFormat="1" applyFont="1" applyFill="1" applyBorder="1" applyAlignment="1" applyProtection="1">
      <alignment horizontal="center"/>
      <protection locked="0"/>
    </xf>
    <xf numFmtId="191" fontId="144" fillId="4" borderId="38" xfId="1" applyNumberFormat="1" applyFont="1" applyFill="1" applyBorder="1" applyAlignment="1" applyProtection="1">
      <alignment horizontal="right" vertical="top"/>
      <protection locked="0"/>
    </xf>
    <xf numFmtId="171" fontId="223" fillId="39" borderId="1" xfId="1" applyNumberFormat="1" applyFont="1" applyFill="1" applyBorder="1" applyAlignment="1"/>
    <xf numFmtId="37" fontId="130" fillId="28" borderId="4" xfId="0" applyFont="1" applyFill="1" applyBorder="1" applyAlignment="1">
      <alignment vertical="top"/>
    </xf>
    <xf numFmtId="37" fontId="130" fillId="40" borderId="0" xfId="0" applyFont="1" applyFill="1"/>
    <xf numFmtId="37" fontId="193" fillId="28" borderId="19" xfId="0" applyFont="1" applyFill="1" applyBorder="1" applyAlignment="1">
      <alignment horizontal="right"/>
    </xf>
    <xf numFmtId="37" fontId="193" fillId="28" borderId="0" xfId="0" applyNumberFormat="1" applyFont="1" applyFill="1" applyBorder="1" applyAlignment="1">
      <alignment horizontal="right"/>
    </xf>
    <xf numFmtId="37" fontId="130" fillId="28" borderId="0" xfId="0" applyFont="1" applyFill="1" applyBorder="1" applyAlignment="1">
      <alignment horizontal="left"/>
    </xf>
    <xf numFmtId="37" fontId="130" fillId="35" borderId="0" xfId="0" applyFont="1" applyFill="1" applyBorder="1" applyAlignment="1" applyProtection="1">
      <alignment horizontal="left" vertical="top" wrapText="1"/>
    </xf>
    <xf numFmtId="37" fontId="130" fillId="0" borderId="0" xfId="0" applyFont="1" applyAlignment="1">
      <alignment horizontal="center" vertical="top"/>
    </xf>
    <xf numFmtId="37" fontId="193" fillId="0" borderId="0" xfId="0" applyNumberFormat="1" applyFont="1" applyBorder="1" applyAlignment="1">
      <alignment horizontal="left"/>
    </xf>
    <xf numFmtId="37" fontId="130" fillId="0" borderId="0" xfId="0" applyNumberFormat="1" applyFont="1" applyBorder="1" applyAlignment="1">
      <alignment horizontal="left" vertical="top" wrapText="1"/>
    </xf>
    <xf numFmtId="37" fontId="130" fillId="0" borderId="0" xfId="0" applyNumberFormat="1" applyFont="1" applyBorder="1" applyAlignment="1">
      <alignment horizontal="right"/>
    </xf>
    <xf numFmtId="37" fontId="224" fillId="0" borderId="0" xfId="0" applyFont="1" applyBorder="1" applyAlignment="1">
      <alignment horizontal="right"/>
    </xf>
    <xf numFmtId="37" fontId="130" fillId="0" borderId="0" xfId="0" applyNumberFormat="1" applyFont="1" applyBorder="1" applyAlignment="1">
      <alignment horizontal="left" vertical="top"/>
    </xf>
    <xf numFmtId="37" fontId="193" fillId="27" borderId="0" xfId="0" applyFont="1" applyFill="1" applyAlignment="1">
      <alignment vertical="top"/>
    </xf>
    <xf numFmtId="37" fontId="193" fillId="27" borderId="0" xfId="0" applyFont="1" applyFill="1" applyAlignment="1">
      <alignment horizontal="left" vertical="top"/>
    </xf>
    <xf numFmtId="37" fontId="225" fillId="11" borderId="0" xfId="0" applyFont="1" applyFill="1" applyBorder="1" applyAlignment="1">
      <alignment vertical="top" wrapText="1"/>
    </xf>
    <xf numFmtId="171" fontId="130" fillId="11" borderId="0" xfId="0" applyNumberFormat="1" applyFont="1" applyFill="1" applyBorder="1" applyAlignment="1" applyProtection="1">
      <alignment vertical="top" wrapText="1"/>
    </xf>
    <xf numFmtId="37" fontId="197" fillId="0" borderId="0" xfId="0" applyNumberFormat="1" applyFont="1" applyBorder="1" applyAlignment="1">
      <alignment horizontal="left"/>
    </xf>
    <xf numFmtId="37" fontId="226" fillId="0" borderId="0" xfId="0" applyFont="1" applyBorder="1" applyAlignment="1">
      <alignment horizontal="right"/>
    </xf>
    <xf numFmtId="37" fontId="197" fillId="0" borderId="0" xfId="0" applyFont="1" applyBorder="1" applyAlignment="1">
      <alignment horizontal="right"/>
    </xf>
    <xf numFmtId="37" fontId="198" fillId="40" borderId="0" xfId="0" applyFont="1" applyFill="1" applyAlignment="1">
      <alignment vertical="center"/>
    </xf>
    <xf numFmtId="37" fontId="197" fillId="0" borderId="0" xfId="0" applyNumberFormat="1" applyFont="1" applyBorder="1" applyAlignment="1">
      <alignment horizontal="left" wrapText="1"/>
    </xf>
    <xf numFmtId="37" fontId="226" fillId="0" borderId="0" xfId="0" applyFont="1" applyBorder="1" applyAlignment="1">
      <alignment horizontal="right" wrapText="1"/>
    </xf>
    <xf numFmtId="37" fontId="197" fillId="0" borderId="0" xfId="0" applyFont="1" applyBorder="1" applyAlignment="1">
      <alignment horizontal="right" wrapText="1"/>
    </xf>
    <xf numFmtId="37" fontId="197" fillId="0" borderId="0" xfId="0" applyFont="1" applyAlignment="1">
      <alignment horizontal="left" vertical="top" wrapText="1"/>
    </xf>
    <xf numFmtId="37" fontId="203" fillId="0" borderId="0" xfId="0" applyFont="1" applyAlignment="1">
      <alignment vertical="top" wrapText="1"/>
    </xf>
    <xf numFmtId="37" fontId="228" fillId="0" borderId="0" xfId="0" applyFont="1" applyAlignment="1">
      <alignment vertical="top"/>
    </xf>
    <xf numFmtId="37" fontId="226" fillId="11" borderId="0" xfId="0" applyFont="1" applyFill="1" applyBorder="1" applyAlignment="1">
      <alignment vertical="top"/>
    </xf>
    <xf numFmtId="37" fontId="229" fillId="9" borderId="0" xfId="0" applyFont="1" applyFill="1" applyBorder="1" applyAlignment="1" applyProtection="1"/>
    <xf numFmtId="37" fontId="229" fillId="9" borderId="0" xfId="0" applyFont="1" applyFill="1" applyBorder="1" applyAlignment="1" applyProtection="1">
      <alignment vertical="top"/>
    </xf>
    <xf numFmtId="37" fontId="229" fillId="0" borderId="0" xfId="0" applyFont="1" applyBorder="1" applyAlignment="1">
      <alignment horizontal="right"/>
    </xf>
    <xf numFmtId="37" fontId="197" fillId="9" borderId="0" xfId="0" applyFont="1" applyFill="1" applyBorder="1" applyAlignment="1" applyProtection="1">
      <alignment vertical="top"/>
    </xf>
    <xf numFmtId="171" fontId="229" fillId="6" borderId="0" xfId="0" applyNumberFormat="1" applyFont="1" applyFill="1" applyBorder="1" applyAlignment="1" applyProtection="1">
      <alignment vertical="top"/>
    </xf>
    <xf numFmtId="171" fontId="197" fillId="6" borderId="0" xfId="0" applyNumberFormat="1" applyFont="1" applyFill="1" applyBorder="1" applyAlignment="1" applyProtection="1">
      <alignment vertical="top"/>
    </xf>
    <xf numFmtId="179" fontId="226" fillId="0" borderId="0" xfId="0" applyNumberFormat="1" applyFont="1" applyBorder="1" applyAlignment="1"/>
    <xf numFmtId="179" fontId="197" fillId="0" borderId="0" xfId="0" applyNumberFormat="1" applyFont="1" applyBorder="1" applyAlignment="1">
      <alignment horizontal="right"/>
    </xf>
    <xf numFmtId="37" fontId="229" fillId="7" borderId="0" xfId="0" applyFont="1" applyFill="1" applyBorder="1" applyAlignment="1" applyProtection="1">
      <alignment vertical="top"/>
    </xf>
    <xf numFmtId="37" fontId="197" fillId="7" borderId="0" xfId="0" quotePrefix="1" applyFont="1" applyFill="1" applyBorder="1" applyAlignment="1" applyProtection="1">
      <alignment vertical="top"/>
    </xf>
    <xf numFmtId="179" fontId="229" fillId="0" borderId="0" xfId="0" applyNumberFormat="1" applyFont="1" applyBorder="1" applyAlignment="1">
      <alignment horizontal="right"/>
    </xf>
    <xf numFmtId="0" fontId="197" fillId="0" borderId="0" xfId="0" applyNumberFormat="1" applyFont="1" applyBorder="1" applyAlignment="1">
      <alignment horizontal="right"/>
    </xf>
    <xf numFmtId="37" fontId="229" fillId="0" borderId="0" xfId="0" applyNumberFormat="1" applyFont="1" applyBorder="1" applyAlignment="1">
      <alignment horizontal="right"/>
    </xf>
    <xf numFmtId="37" fontId="230" fillId="40" borderId="0" xfId="0" applyFont="1" applyFill="1" applyAlignment="1">
      <alignment vertical="center"/>
    </xf>
    <xf numFmtId="37" fontId="230" fillId="40" borderId="0" xfId="0" applyFont="1" applyFill="1" applyAlignment="1">
      <alignment vertical="top"/>
    </xf>
    <xf numFmtId="37" fontId="231" fillId="40" borderId="0" xfId="0" applyFont="1" applyFill="1" applyAlignment="1">
      <alignment vertical="center"/>
    </xf>
    <xf numFmtId="37" fontId="198" fillId="40" borderId="0" xfId="0" applyFont="1" applyFill="1" applyAlignment="1">
      <alignment vertical="top"/>
    </xf>
    <xf numFmtId="37" fontId="197" fillId="40" borderId="0" xfId="0" applyFont="1" applyFill="1" applyAlignment="1">
      <alignment vertical="center"/>
    </xf>
    <xf numFmtId="37" fontId="130" fillId="40" borderId="0" xfId="0" applyFont="1" applyFill="1" applyAlignment="1">
      <alignment vertical="center"/>
    </xf>
    <xf numFmtId="37" fontId="130" fillId="4" borderId="0" xfId="0" applyFont="1" applyFill="1" applyAlignment="1">
      <alignment vertical="center"/>
    </xf>
    <xf numFmtId="37" fontId="198" fillId="4" borderId="0" xfId="0" applyFont="1" applyFill="1" applyAlignment="1">
      <alignment vertical="center"/>
    </xf>
    <xf numFmtId="37" fontId="231" fillId="40" borderId="0" xfId="0" applyFont="1" applyFill="1" applyAlignment="1">
      <alignment horizontal="left" vertical="center"/>
    </xf>
    <xf numFmtId="37" fontId="230" fillId="40" borderId="0" xfId="0" applyFont="1" applyFill="1" applyAlignment="1">
      <alignment horizontal="left" vertical="center"/>
    </xf>
    <xf numFmtId="37" fontId="198" fillId="40" borderId="0" xfId="0" applyFont="1" applyFill="1" applyAlignment="1">
      <alignment horizontal="left" vertical="top"/>
    </xf>
    <xf numFmtId="37" fontId="230" fillId="40" borderId="0" xfId="0" applyFont="1" applyFill="1" applyAlignment="1">
      <alignment horizontal="left" vertical="top"/>
    </xf>
    <xf numFmtId="37" fontId="130" fillId="40" borderId="0" xfId="0" applyFont="1" applyFill="1" applyAlignment="1">
      <alignment horizontal="left"/>
    </xf>
    <xf numFmtId="37" fontId="230" fillId="40" borderId="0" xfId="0" applyFont="1" applyFill="1" applyAlignment="1">
      <alignment vertical="center" wrapText="1"/>
    </xf>
    <xf numFmtId="37" fontId="230" fillId="4" borderId="0" xfId="0" applyFont="1" applyFill="1" applyAlignment="1">
      <alignment vertical="top" wrapText="1"/>
    </xf>
    <xf numFmtId="37" fontId="230" fillId="40" borderId="0" xfId="0" applyFont="1" applyFill="1" applyAlignment="1">
      <alignment vertical="top" wrapText="1"/>
    </xf>
    <xf numFmtId="37" fontId="196" fillId="12" borderId="0" xfId="0" applyFont="1" applyFill="1" applyAlignment="1">
      <alignment horizontal="center" vertical="top"/>
    </xf>
    <xf numFmtId="37" fontId="211" fillId="8" borderId="6" xfId="0" applyFont="1" applyFill="1" applyBorder="1" applyAlignment="1"/>
    <xf numFmtId="171" fontId="211" fillId="10" borderId="0" xfId="1" applyNumberFormat="1" applyFont="1" applyFill="1" applyBorder="1" applyAlignment="1"/>
    <xf numFmtId="171" fontId="232" fillId="10" borderId="0" xfId="1" applyNumberFormat="1" applyFont="1" applyFill="1" applyBorder="1" applyAlignment="1"/>
    <xf numFmtId="37" fontId="211" fillId="8" borderId="7" xfId="0" applyFont="1" applyFill="1" applyBorder="1" applyAlignment="1"/>
    <xf numFmtId="171" fontId="211" fillId="10" borderId="1" xfId="1" applyNumberFormat="1" applyFont="1" applyFill="1" applyBorder="1" applyAlignment="1"/>
    <xf numFmtId="171" fontId="232" fillId="10" borderId="1" xfId="1" applyNumberFormat="1" applyFont="1" applyFill="1" applyBorder="1" applyAlignment="1"/>
    <xf numFmtId="171" fontId="130" fillId="10" borderId="0" xfId="1" applyNumberFormat="1" applyFont="1" applyFill="1" applyBorder="1" applyAlignment="1" applyProtection="1">
      <alignment vertical="top"/>
    </xf>
    <xf numFmtId="171" fontId="130" fillId="10" borderId="0" xfId="1" applyNumberFormat="1" applyFont="1" applyFill="1" applyBorder="1" applyAlignment="1" applyProtection="1">
      <alignment vertical="top" wrapText="1"/>
    </xf>
    <xf numFmtId="171" fontId="193" fillId="10" borderId="0" xfId="1" applyNumberFormat="1" applyFont="1" applyFill="1" applyBorder="1" applyAlignment="1" applyProtection="1">
      <alignment vertical="top" wrapText="1"/>
    </xf>
    <xf numFmtId="37" fontId="193" fillId="0" borderId="0" xfId="0" applyFont="1" applyBorder="1" applyAlignment="1">
      <alignment horizontal="right"/>
    </xf>
    <xf numFmtId="37" fontId="193" fillId="4" borderId="0" xfId="0" applyFont="1" applyFill="1" applyBorder="1" applyAlignment="1">
      <alignment horizontal="right"/>
    </xf>
    <xf numFmtId="37" fontId="193" fillId="0" borderId="0" xfId="0" applyFont="1" applyBorder="1" applyAlignment="1">
      <alignment horizontal="right" wrapText="1"/>
    </xf>
    <xf numFmtId="37" fontId="230" fillId="0" borderId="0" xfId="0" applyFont="1" applyAlignment="1">
      <alignment vertical="center"/>
    </xf>
    <xf numFmtId="37" fontId="231" fillId="0" borderId="0" xfId="0" applyFont="1" applyAlignment="1">
      <alignment vertical="center"/>
    </xf>
    <xf numFmtId="37" fontId="234" fillId="0" borderId="0" xfId="0" applyFont="1" applyAlignment="1">
      <alignment vertical="center"/>
    </xf>
    <xf numFmtId="37" fontId="234" fillId="0" borderId="0" xfId="0" applyFont="1" applyAlignment="1">
      <alignment vertical="top"/>
    </xf>
    <xf numFmtId="37" fontId="235" fillId="6" borderId="50" xfId="0" applyFont="1" applyFill="1" applyBorder="1" applyAlignment="1">
      <alignment horizontal="center" vertical="center"/>
    </xf>
    <xf numFmtId="37" fontId="234" fillId="0" borderId="52" xfId="0" applyFont="1" applyBorder="1" applyAlignment="1">
      <alignment vertical="center"/>
    </xf>
    <xf numFmtId="37" fontId="235" fillId="6" borderId="51" xfId="0" applyFont="1" applyFill="1" applyBorder="1" applyAlignment="1">
      <alignment horizontal="center" vertical="center"/>
    </xf>
    <xf numFmtId="37" fontId="234" fillId="40" borderId="51" xfId="0" applyFont="1" applyFill="1" applyBorder="1" applyAlignment="1">
      <alignment horizontal="center" vertical="center"/>
    </xf>
    <xf numFmtId="37" fontId="234" fillId="39" borderId="0" xfId="0" applyFont="1" applyFill="1" applyAlignment="1">
      <alignment vertical="top"/>
    </xf>
    <xf numFmtId="37" fontId="234" fillId="39" borderId="0" xfId="0" applyFont="1" applyFill="1" applyAlignment="1">
      <alignment vertical="center"/>
    </xf>
    <xf numFmtId="37" fontId="234" fillId="39" borderId="52" xfId="0" applyFont="1" applyFill="1" applyBorder="1" applyAlignment="1">
      <alignment vertical="center"/>
    </xf>
    <xf numFmtId="37" fontId="234" fillId="39" borderId="51" xfId="0" applyFont="1" applyFill="1" applyBorder="1" applyAlignment="1">
      <alignment horizontal="center" vertical="center"/>
    </xf>
    <xf numFmtId="37" fontId="236" fillId="0" borderId="0" xfId="0" applyFont="1" applyAlignment="1">
      <alignment vertical="center"/>
    </xf>
    <xf numFmtId="37" fontId="236" fillId="0" borderId="0" xfId="0" applyFont="1" applyAlignment="1">
      <alignment vertical="top"/>
    </xf>
    <xf numFmtId="37" fontId="233" fillId="0" borderId="1" xfId="0" applyFont="1" applyBorder="1" applyAlignment="1">
      <alignment vertical="center"/>
    </xf>
    <xf numFmtId="37" fontId="130" fillId="0" borderId="1" xfId="0" applyFont="1" applyBorder="1" applyAlignment="1"/>
    <xf numFmtId="37" fontId="204" fillId="0" borderId="0" xfId="0" applyFont="1"/>
    <xf numFmtId="37" fontId="229" fillId="0" borderId="0" xfId="0" applyNumberFormat="1" applyFont="1" applyBorder="1" applyAlignment="1">
      <alignment horizontal="left"/>
    </xf>
    <xf numFmtId="37" fontId="203" fillId="0" borderId="0" xfId="0" applyFont="1" applyAlignment="1">
      <alignment vertical="top"/>
    </xf>
    <xf numFmtId="37" fontId="198" fillId="0" borderId="0" xfId="0" applyFont="1" applyAlignment="1"/>
    <xf numFmtId="37" fontId="198" fillId="39" borderId="0" xfId="0" applyFont="1" applyFill="1" applyAlignment="1">
      <alignment vertical="center"/>
    </xf>
    <xf numFmtId="37" fontId="238" fillId="0" borderId="0" xfId="0" applyFont="1" applyBorder="1" applyAlignment="1">
      <alignment horizontal="right"/>
    </xf>
    <xf numFmtId="37" fontId="12" fillId="0" borderId="0" xfId="0" applyFont="1" applyAlignment="1">
      <alignment horizontal="left"/>
    </xf>
    <xf numFmtId="37" fontId="10" fillId="35" borderId="0" xfId="0" applyFont="1" applyFill="1" applyBorder="1" applyAlignment="1" applyProtection="1">
      <alignment horizontal="left" vertical="top"/>
    </xf>
    <xf numFmtId="171" fontId="33" fillId="3" borderId="0" xfId="1" applyNumberFormat="1" applyFont="1" applyFill="1" applyBorder="1" applyAlignment="1">
      <alignment vertical="top"/>
    </xf>
    <xf numFmtId="37" fontId="155" fillId="0" borderId="0" xfId="0" applyFont="1" applyAlignment="1"/>
    <xf numFmtId="171" fontId="12" fillId="39" borderId="0" xfId="1" applyNumberFormat="1" applyFont="1" applyFill="1" applyBorder="1" applyAlignment="1">
      <alignment vertical="top" wrapText="1"/>
    </xf>
    <xf numFmtId="171" fontId="0" fillId="39" borderId="0" xfId="0" applyNumberFormat="1" applyFont="1" applyFill="1" applyBorder="1" applyAlignment="1">
      <alignment vertical="top" wrapText="1"/>
    </xf>
    <xf numFmtId="180" fontId="39" fillId="21" borderId="0" xfId="0" applyNumberFormat="1" applyFont="1" applyFill="1"/>
    <xf numFmtId="37" fontId="239" fillId="0" borderId="1" xfId="0" applyFont="1" applyBorder="1" applyAlignment="1">
      <alignment vertical="top"/>
    </xf>
    <xf numFmtId="37" fontId="239" fillId="0" borderId="1" xfId="0" applyFont="1" applyBorder="1" applyAlignment="1">
      <alignment horizontal="left" vertical="top"/>
    </xf>
    <xf numFmtId="37" fontId="240" fillId="0" borderId="0" xfId="0" applyFont="1" applyAlignment="1">
      <alignment vertical="center" wrapText="1"/>
    </xf>
    <xf numFmtId="37" fontId="240" fillId="0" borderId="0" xfId="0" applyFont="1" applyAlignment="1">
      <alignment vertical="center"/>
    </xf>
    <xf numFmtId="37" fontId="230" fillId="40" borderId="0" xfId="0" applyFont="1" applyFill="1" applyAlignment="1">
      <alignment horizontal="left" vertical="center" indent="2"/>
    </xf>
    <xf numFmtId="37" fontId="230" fillId="40" borderId="0" xfId="0" applyFont="1" applyFill="1" applyAlignment="1">
      <alignment horizontal="left" vertical="top" indent="2"/>
    </xf>
    <xf numFmtId="37" fontId="231" fillId="40" borderId="0" xfId="0" applyFont="1" applyFill="1" applyAlignment="1">
      <alignment horizontal="left" vertical="center" indent="2"/>
    </xf>
    <xf numFmtId="37" fontId="230" fillId="16" borderId="0" xfId="0" applyFont="1" applyFill="1" applyAlignment="1">
      <alignment horizontal="left" vertical="center" indent="2"/>
    </xf>
    <xf numFmtId="37" fontId="130" fillId="40" borderId="0" xfId="0" applyFont="1" applyFill="1" applyAlignment="1">
      <alignment horizontal="left" indent="2"/>
    </xf>
    <xf numFmtId="37" fontId="197" fillId="0" borderId="0" xfId="0" applyFont="1" applyFill="1" applyBorder="1" applyAlignment="1">
      <alignment horizontal="left"/>
    </xf>
    <xf numFmtId="37" fontId="197" fillId="0" borderId="0" xfId="0" applyNumberFormat="1" applyFont="1" applyFill="1" applyBorder="1" applyAlignment="1">
      <alignment horizontal="left"/>
    </xf>
    <xf numFmtId="37" fontId="196" fillId="0" borderId="0" xfId="0" applyFont="1" applyBorder="1" applyAlignment="1">
      <alignment horizontal="left"/>
    </xf>
    <xf numFmtId="37" fontId="196" fillId="0" borderId="0" xfId="0" applyNumberFormat="1" applyFont="1" applyBorder="1" applyAlignment="1">
      <alignment horizontal="left"/>
    </xf>
    <xf numFmtId="37" fontId="241" fillId="0" borderId="0" xfId="0" applyNumberFormat="1" applyFont="1" applyBorder="1" applyAlignment="1">
      <alignment horizontal="left"/>
    </xf>
    <xf numFmtId="37" fontId="241" fillId="0" borderId="0" xfId="0" applyFont="1" applyBorder="1" applyAlignment="1">
      <alignment horizontal="left"/>
    </xf>
    <xf numFmtId="37" fontId="242" fillId="39" borderId="0" xfId="0" applyFont="1" applyFill="1" applyAlignment="1">
      <alignment vertical="top"/>
    </xf>
    <xf numFmtId="37" fontId="243" fillId="0" borderId="0" xfId="0" applyFont="1"/>
    <xf numFmtId="37" fontId="244" fillId="0" borderId="0" xfId="0" applyFont="1" applyAlignment="1">
      <alignment vertical="center"/>
    </xf>
    <xf numFmtId="37" fontId="96" fillId="0" borderId="0" xfId="0" applyFont="1" applyAlignment="1"/>
    <xf numFmtId="37" fontId="245" fillId="0" borderId="0" xfId="0" applyFont="1" applyAlignment="1">
      <alignment vertical="center"/>
    </xf>
    <xf numFmtId="37" fontId="230" fillId="40" borderId="3" xfId="0" applyFont="1" applyFill="1" applyBorder="1" applyAlignment="1">
      <alignment vertical="center"/>
    </xf>
    <xf numFmtId="37" fontId="246" fillId="40" borderId="0" xfId="0" applyFont="1" applyFill="1" applyAlignment="1"/>
    <xf numFmtId="37" fontId="246" fillId="0" borderId="0" xfId="0" applyFont="1" applyAlignment="1">
      <alignment vertical="center"/>
    </xf>
    <xf numFmtId="37" fontId="173" fillId="0" borderId="0" xfId="0" applyFont="1" applyAlignment="1"/>
    <xf numFmtId="37" fontId="247" fillId="0" borderId="0" xfId="0" applyFont="1" applyAlignment="1">
      <alignment vertical="center"/>
    </xf>
    <xf numFmtId="37" fontId="198" fillId="0" borderId="0" xfId="0" applyFont="1" applyAlignment="1">
      <alignment horizontal="right" vertical="top"/>
    </xf>
    <xf numFmtId="37" fontId="249" fillId="0" borderId="0" xfId="0" applyFont="1" applyAlignment="1">
      <alignment vertical="center"/>
    </xf>
    <xf numFmtId="37" fontId="130" fillId="0" borderId="0" xfId="0" applyFont="1" applyAlignment="1">
      <alignment vertical="top"/>
    </xf>
    <xf numFmtId="37" fontId="130" fillId="0" borderId="0" xfId="0" applyFont="1" applyFill="1" applyAlignment="1">
      <alignment horizontal="left" vertical="top"/>
    </xf>
    <xf numFmtId="37" fontId="198" fillId="0" borderId="0" xfId="0" applyFont="1" applyFill="1" applyAlignment="1">
      <alignment horizontal="left" vertical="top"/>
    </xf>
    <xf numFmtId="37" fontId="198" fillId="0" borderId="0" xfId="0" applyFont="1" applyFill="1" applyAlignment="1">
      <alignment vertical="top"/>
    </xf>
    <xf numFmtId="37" fontId="250" fillId="0" borderId="0" xfId="0" applyFont="1" applyAlignment="1">
      <alignment vertical="center"/>
    </xf>
    <xf numFmtId="37" fontId="240" fillId="4" borderId="0" xfId="0" applyFont="1" applyFill="1" applyAlignment="1">
      <alignment vertical="center"/>
    </xf>
    <xf numFmtId="37" fontId="252" fillId="0" borderId="0" xfId="0" applyFont="1" applyAlignment="1">
      <alignment vertical="center"/>
    </xf>
    <xf numFmtId="37" fontId="253" fillId="0" borderId="0" xfId="0" applyFont="1" applyAlignment="1">
      <alignment horizontal="right" vertical="center"/>
    </xf>
    <xf numFmtId="37" fontId="254" fillId="0" borderId="0" xfId="0" applyFont="1" applyAlignment="1">
      <alignment vertical="center"/>
    </xf>
    <xf numFmtId="37" fontId="252" fillId="0" borderId="0" xfId="0" applyFont="1" applyAlignment="1">
      <alignment horizontal="right" vertical="center"/>
    </xf>
    <xf numFmtId="37" fontId="256" fillId="40" borderId="0" xfId="0" applyFont="1" applyFill="1" applyAlignment="1">
      <alignment vertical="top" wrapText="1"/>
    </xf>
    <xf numFmtId="37" fontId="255" fillId="40" borderId="0" xfId="0" applyFont="1" applyFill="1" applyAlignment="1">
      <alignment horizontal="right" vertical="center" wrapText="1"/>
    </xf>
    <xf numFmtId="37" fontId="255" fillId="40" borderId="0" xfId="0" applyFont="1" applyFill="1" applyAlignment="1">
      <alignment vertical="center" wrapText="1"/>
    </xf>
    <xf numFmtId="37" fontId="253" fillId="4" borderId="53" xfId="0" applyFont="1" applyFill="1" applyBorder="1" applyAlignment="1">
      <alignment horizontal="right" vertical="center" wrapText="1"/>
    </xf>
    <xf numFmtId="37" fontId="255" fillId="40" borderId="54" xfId="0" applyFont="1" applyFill="1" applyBorder="1" applyAlignment="1">
      <alignment horizontal="right" vertical="center" wrapText="1"/>
    </xf>
    <xf numFmtId="37" fontId="255" fillId="40" borderId="53" xfId="0" applyFont="1" applyFill="1" applyBorder="1" applyAlignment="1">
      <alignment horizontal="right" vertical="center" wrapText="1"/>
    </xf>
    <xf numFmtId="37" fontId="253" fillId="4" borderId="0" xfId="0" applyFont="1" applyFill="1" applyAlignment="1">
      <alignment horizontal="right" vertical="center" wrapText="1"/>
    </xf>
    <xf numFmtId="37" fontId="255" fillId="40" borderId="50" xfId="0" applyFont="1" applyFill="1" applyBorder="1" applyAlignment="1">
      <alignment horizontal="right" vertical="center" wrapText="1"/>
    </xf>
    <xf numFmtId="37" fontId="255" fillId="40" borderId="0" xfId="0" applyFont="1" applyFill="1" applyAlignment="1">
      <alignment horizontal="center" vertical="center" wrapText="1"/>
    </xf>
    <xf numFmtId="37" fontId="130" fillId="4" borderId="0" xfId="0" applyFont="1" applyFill="1" applyAlignment="1">
      <alignment horizontal="left" vertical="top"/>
    </xf>
    <xf numFmtId="37" fontId="130" fillId="4" borderId="1" xfId="0" applyFont="1" applyFill="1" applyBorder="1" applyAlignment="1">
      <alignment vertical="top"/>
    </xf>
    <xf numFmtId="37" fontId="259" fillId="0" borderId="0" xfId="0" applyFont="1" applyFill="1"/>
    <xf numFmtId="0" fontId="42" fillId="5" borderId="0" xfId="15" quotePrefix="1" applyFont="1" applyFill="1"/>
    <xf numFmtId="37" fontId="143" fillId="0" borderId="38" xfId="0" applyFont="1" applyBorder="1" applyAlignment="1">
      <alignment horizontal="center"/>
    </xf>
    <xf numFmtId="37" fontId="96" fillId="0" borderId="0" xfId="0" applyFont="1" applyAlignment="1">
      <alignment horizontal="center"/>
    </xf>
    <xf numFmtId="37" fontId="143" fillId="0" borderId="0" xfId="0" applyFont="1" applyAlignment="1">
      <alignment horizontal="center" vertical="top"/>
    </xf>
    <xf numFmtId="37" fontId="143" fillId="0" borderId="0" xfId="0" quotePrefix="1" applyFont="1" applyAlignment="1">
      <alignment horizontal="center" vertical="top"/>
    </xf>
    <xf numFmtId="37" fontId="143" fillId="6" borderId="39" xfId="0" applyFont="1" applyFill="1" applyBorder="1" applyAlignment="1" applyProtection="1">
      <alignment horizontal="center" vertical="top"/>
      <protection locked="0"/>
    </xf>
    <xf numFmtId="37" fontId="96" fillId="31" borderId="46" xfId="0" applyFont="1" applyFill="1" applyBorder="1" applyAlignment="1">
      <alignment horizontal="center" vertical="top"/>
    </xf>
    <xf numFmtId="37" fontId="144" fillId="34" borderId="46" xfId="0" applyFont="1" applyFill="1" applyBorder="1" applyAlignment="1">
      <alignment horizontal="center" vertical="top"/>
    </xf>
    <xf numFmtId="37" fontId="96" fillId="34" borderId="0" xfId="0" applyFont="1" applyFill="1" applyAlignment="1">
      <alignment vertical="top"/>
    </xf>
    <xf numFmtId="37" fontId="143" fillId="34" borderId="0" xfId="0" applyFont="1" applyFill="1" applyAlignment="1">
      <alignment horizontal="center" vertical="top"/>
    </xf>
    <xf numFmtId="37" fontId="96" fillId="34" borderId="0" xfId="0" applyFont="1" applyFill="1" applyAlignment="1">
      <alignment horizontal="center" vertical="top"/>
    </xf>
    <xf numFmtId="9" fontId="96" fillId="31" borderId="46" xfId="2" applyFont="1" applyFill="1" applyBorder="1" applyAlignment="1">
      <alignment horizontal="center" vertical="top"/>
    </xf>
    <xf numFmtId="168" fontId="96" fillId="0" borderId="0" xfId="0" applyNumberFormat="1" applyFont="1" applyAlignment="1">
      <alignment horizontal="center" vertical="top"/>
    </xf>
    <xf numFmtId="10" fontId="96" fillId="34" borderId="46" xfId="2" applyNumberFormat="1" applyFont="1" applyFill="1" applyBorder="1" applyAlignment="1">
      <alignment horizontal="center" vertical="top"/>
    </xf>
    <xf numFmtId="37" fontId="143" fillId="6" borderId="46" xfId="6" applyNumberFormat="1" applyFont="1" applyFill="1" applyBorder="1" applyAlignment="1" applyProtection="1">
      <alignment horizontal="center" vertical="top"/>
      <protection locked="0"/>
    </xf>
    <xf numFmtId="37" fontId="143" fillId="0" borderId="38" xfId="0" applyFont="1" applyBorder="1" applyAlignment="1">
      <alignment horizontal="center" vertical="top"/>
    </xf>
    <xf numFmtId="193" fontId="96" fillId="31" borderId="46" xfId="2" applyNumberFormat="1" applyFont="1" applyFill="1" applyBorder="1" applyAlignment="1">
      <alignment horizontal="center" vertical="top"/>
    </xf>
    <xf numFmtId="37" fontId="168" fillId="0" borderId="0" xfId="0" applyFont="1" applyAlignment="1">
      <alignment horizontal="right" vertical="top"/>
    </xf>
    <xf numFmtId="179" fontId="96" fillId="31" borderId="46" xfId="0" applyNumberFormat="1" applyFont="1" applyFill="1" applyBorder="1" applyAlignment="1">
      <alignment horizontal="center" vertical="top"/>
    </xf>
    <xf numFmtId="37" fontId="143" fillId="4" borderId="0" xfId="0" applyFont="1" applyFill="1" applyAlignment="1" applyProtection="1">
      <alignment horizontal="right" vertical="top"/>
      <protection locked="0"/>
    </xf>
    <xf numFmtId="167" fontId="96" fillId="31" borderId="0" xfId="0" applyNumberFormat="1" applyFont="1" applyFill="1" applyAlignment="1">
      <alignment vertical="top"/>
    </xf>
    <xf numFmtId="37" fontId="96" fillId="0" borderId="0" xfId="0" applyFont="1" applyAlignment="1">
      <alignment horizontal="right" vertical="top"/>
    </xf>
    <xf numFmtId="167" fontId="96" fillId="0" borderId="0" xfId="0" applyNumberFormat="1" applyFont="1" applyAlignment="1">
      <alignment vertical="top"/>
    </xf>
    <xf numFmtId="37" fontId="96" fillId="31" borderId="41" xfId="0" applyFont="1" applyFill="1" applyBorder="1" applyAlignment="1">
      <alignment horizontal="right" vertical="top"/>
    </xf>
    <xf numFmtId="191" fontId="96" fillId="31" borderId="0" xfId="1" applyNumberFormat="1" applyFont="1" applyFill="1" applyAlignment="1">
      <alignment vertical="top"/>
    </xf>
    <xf numFmtId="191" fontId="96" fillId="31" borderId="38" xfId="1" applyNumberFormat="1" applyFont="1" applyFill="1" applyBorder="1" applyAlignment="1">
      <alignment horizontal="right" vertical="top"/>
    </xf>
    <xf numFmtId="37" fontId="96" fillId="31" borderId="0" xfId="0" applyFont="1" applyFill="1" applyAlignment="1">
      <alignment horizontal="right" vertical="top"/>
    </xf>
    <xf numFmtId="37" fontId="96" fillId="31" borderId="1" xfId="0" applyFont="1" applyFill="1" applyBorder="1" applyAlignment="1">
      <alignment horizontal="right" vertical="top"/>
    </xf>
    <xf numFmtId="37" fontId="143" fillId="4" borderId="38" xfId="0" applyFont="1" applyFill="1" applyBorder="1" applyAlignment="1" applyProtection="1">
      <alignment horizontal="right" vertical="top"/>
      <protection locked="0"/>
    </xf>
    <xf numFmtId="37" fontId="96" fillId="31" borderId="38" xfId="0" applyFont="1" applyFill="1" applyBorder="1" applyAlignment="1">
      <alignment horizontal="right" vertical="top"/>
    </xf>
    <xf numFmtId="37" fontId="143" fillId="0" borderId="0" xfId="0" applyFont="1" applyAlignment="1">
      <alignment horizontal="right" vertical="top"/>
    </xf>
    <xf numFmtId="37" fontId="96" fillId="31" borderId="46" xfId="0" applyFont="1" applyFill="1" applyBorder="1" applyAlignment="1">
      <alignment horizontal="right" vertical="top"/>
    </xf>
    <xf numFmtId="7" fontId="96" fillId="31" borderId="0" xfId="0" applyNumberFormat="1" applyFont="1" applyFill="1" applyAlignment="1">
      <alignment horizontal="center" vertical="top"/>
    </xf>
    <xf numFmtId="37" fontId="143" fillId="4" borderId="0" xfId="0" applyFont="1" applyFill="1" applyAlignment="1" applyProtection="1">
      <alignment horizontal="center" vertical="top"/>
      <protection locked="0"/>
    </xf>
    <xf numFmtId="37" fontId="143" fillId="4" borderId="38" xfId="0" applyFont="1" applyFill="1" applyBorder="1" applyAlignment="1" applyProtection="1">
      <alignment horizontal="center" vertical="top"/>
      <protection locked="0"/>
    </xf>
    <xf numFmtId="37" fontId="96" fillId="31" borderId="41" xfId="0" applyFont="1" applyFill="1" applyBorder="1" applyAlignment="1">
      <alignment horizontal="center" vertical="top"/>
    </xf>
    <xf numFmtId="37" fontId="143" fillId="31" borderId="46" xfId="0" applyFont="1" applyFill="1" applyBorder="1" applyAlignment="1">
      <alignment horizontal="center" vertical="top"/>
    </xf>
    <xf numFmtId="37" fontId="260" fillId="0" borderId="0" xfId="0" applyFont="1" applyBorder="1" applyAlignment="1">
      <alignment horizontal="right"/>
    </xf>
    <xf numFmtId="37" fontId="261" fillId="0" borderId="0" xfId="0" applyFont="1" applyAlignment="1">
      <alignment vertical="top"/>
    </xf>
    <xf numFmtId="37" fontId="129" fillId="0" borderId="0" xfId="0" applyFont="1" applyAlignment="1">
      <alignment vertical="top"/>
    </xf>
    <xf numFmtId="37" fontId="263" fillId="0" borderId="0" xfId="0" applyFont="1" applyBorder="1" applyAlignment="1">
      <alignment horizontal="right"/>
    </xf>
    <xf numFmtId="37" fontId="263" fillId="0" borderId="0" xfId="0" applyFont="1" applyAlignment="1">
      <alignment horizontal="right"/>
    </xf>
    <xf numFmtId="37" fontId="262" fillId="0" borderId="0" xfId="0" applyFont="1" applyBorder="1" applyAlignment="1"/>
    <xf numFmtId="37" fontId="263" fillId="0" borderId="0" xfId="0" applyFont="1" applyBorder="1" applyAlignment="1"/>
    <xf numFmtId="37" fontId="264" fillId="0" borderId="0" xfId="0" applyFont="1" applyBorder="1" applyAlignment="1"/>
    <xf numFmtId="37" fontId="263" fillId="0" borderId="0" xfId="0" applyFont="1" applyBorder="1" applyAlignment="1">
      <alignment wrapText="1"/>
    </xf>
    <xf numFmtId="37" fontId="210" fillId="0" borderId="0" xfId="0" applyFont="1" applyFill="1" applyBorder="1" applyAlignment="1">
      <alignment horizontal="left"/>
    </xf>
    <xf numFmtId="37" fontId="263" fillId="0" borderId="1" xfId="0" applyFont="1" applyBorder="1" applyAlignment="1"/>
    <xf numFmtId="37" fontId="263" fillId="0" borderId="1" xfId="0" applyFont="1" applyBorder="1" applyAlignment="1">
      <alignment wrapText="1"/>
    </xf>
    <xf numFmtId="37" fontId="263" fillId="8" borderId="0" xfId="0" applyFont="1" applyFill="1" applyBorder="1" applyAlignment="1" applyProtection="1">
      <alignment vertical="top"/>
    </xf>
    <xf numFmtId="37" fontId="263" fillId="8" borderId="0" xfId="0" applyFont="1" applyFill="1" applyBorder="1" applyAlignment="1" applyProtection="1">
      <alignment horizontal="left" vertical="top"/>
    </xf>
    <xf numFmtId="171" fontId="263" fillId="9" borderId="0" xfId="0" applyNumberFormat="1" applyFont="1" applyFill="1" applyBorder="1" applyAlignment="1" applyProtection="1">
      <alignment vertical="top" wrapText="1"/>
    </xf>
    <xf numFmtId="37" fontId="264" fillId="0" borderId="0" xfId="0" applyFont="1" applyBorder="1" applyAlignment="1">
      <alignment wrapText="1"/>
    </xf>
    <xf numFmtId="37" fontId="263" fillId="0" borderId="0" xfId="0" applyFont="1" applyFill="1" applyBorder="1" applyAlignment="1"/>
    <xf numFmtId="37" fontId="263" fillId="0" borderId="0" xfId="0" applyFont="1" applyBorder="1" applyAlignment="1">
      <alignment horizontal="left"/>
    </xf>
    <xf numFmtId="37" fontId="263" fillId="0" borderId="0" xfId="0" applyNumberFormat="1" applyFont="1" applyBorder="1" applyAlignment="1">
      <alignment horizontal="left"/>
    </xf>
    <xf numFmtId="37" fontId="263" fillId="0" borderId="0" xfId="0" applyNumberFormat="1" applyFont="1" applyBorder="1" applyAlignment="1">
      <alignment horizontal="right" wrapText="1"/>
    </xf>
    <xf numFmtId="37" fontId="265" fillId="0" borderId="0" xfId="0" applyFont="1" applyFill="1" applyBorder="1" applyAlignment="1">
      <alignment horizontal="left"/>
    </xf>
    <xf numFmtId="37" fontId="265" fillId="0" borderId="0" xfId="0" applyNumberFormat="1" applyFont="1" applyFill="1" applyBorder="1" applyAlignment="1">
      <alignment horizontal="left"/>
    </xf>
    <xf numFmtId="37" fontId="263" fillId="0" borderId="0" xfId="0" applyFont="1" applyAlignment="1">
      <alignment horizontal="left"/>
    </xf>
    <xf numFmtId="37" fontId="210" fillId="0" borderId="0" xfId="0" applyNumberFormat="1" applyFont="1" applyFill="1" applyBorder="1" applyAlignment="1">
      <alignment horizontal="left"/>
    </xf>
    <xf numFmtId="37" fontId="266" fillId="0" borderId="0" xfId="0" applyNumberFormat="1" applyFont="1" applyBorder="1" applyAlignment="1">
      <alignment horizontal="left"/>
    </xf>
    <xf numFmtId="37" fontId="263" fillId="0" borderId="0" xfId="0" applyNumberFormat="1" applyFont="1" applyBorder="1" applyAlignment="1">
      <alignment horizontal="right"/>
    </xf>
    <xf numFmtId="37" fontId="267" fillId="0" borderId="0" xfId="0" applyFont="1" applyBorder="1" applyAlignment="1">
      <alignment horizontal="left"/>
    </xf>
    <xf numFmtId="37" fontId="267" fillId="0" borderId="0" xfId="0" applyNumberFormat="1" applyFont="1" applyBorder="1" applyAlignment="1">
      <alignment horizontal="left"/>
    </xf>
    <xf numFmtId="37" fontId="263" fillId="0" borderId="0" xfId="0" applyFont="1" applyFill="1" applyBorder="1" applyAlignment="1">
      <alignment wrapText="1"/>
    </xf>
    <xf numFmtId="37" fontId="263" fillId="0" borderId="0" xfId="0" applyNumberFormat="1" applyFont="1" applyFill="1" applyBorder="1" applyAlignment="1">
      <alignment horizontal="right" wrapText="1"/>
    </xf>
    <xf numFmtId="37" fontId="263" fillId="0" borderId="0" xfId="0" applyNumberFormat="1" applyFont="1" applyFill="1" applyBorder="1" applyAlignment="1"/>
    <xf numFmtId="37" fontId="262" fillId="0" borderId="0" xfId="0" applyNumberFormat="1" applyFont="1" applyFill="1" applyBorder="1" applyAlignment="1"/>
    <xf numFmtId="0" fontId="181" fillId="0" borderId="1" xfId="0" applyNumberFormat="1" applyFont="1" applyBorder="1" applyAlignment="1">
      <alignment horizontal="left"/>
    </xf>
    <xf numFmtId="9" fontId="0" fillId="0" borderId="0" xfId="2" applyFont="1"/>
    <xf numFmtId="37" fontId="181" fillId="0" borderId="1" xfId="0" applyFont="1" applyBorder="1" applyAlignment="1">
      <alignment horizontal="left" vertical="top"/>
    </xf>
    <xf numFmtId="0" fontId="181" fillId="0" borderId="1" xfId="0" applyNumberFormat="1" applyFont="1" applyFill="1" applyBorder="1" applyAlignment="1">
      <alignment horizontal="left"/>
    </xf>
    <xf numFmtId="37" fontId="263" fillId="0" borderId="1" xfId="0" applyFont="1" applyFill="1" applyBorder="1" applyAlignment="1"/>
    <xf numFmtId="37" fontId="263" fillId="0" borderId="1" xfId="0" applyFont="1" applyFill="1" applyBorder="1" applyAlignment="1">
      <alignment wrapText="1"/>
    </xf>
    <xf numFmtId="37" fontId="263" fillId="0" borderId="0" xfId="0" applyNumberFormat="1" applyFont="1" applyFill="1" applyBorder="1" applyAlignment="1">
      <alignment horizontal="left"/>
    </xf>
    <xf numFmtId="37" fontId="263" fillId="0" borderId="0" xfId="0" applyFont="1" applyFill="1" applyBorder="1" applyAlignment="1">
      <alignment horizontal="right"/>
    </xf>
    <xf numFmtId="37" fontId="266" fillId="0" borderId="0" xfId="0" applyNumberFormat="1" applyFont="1" applyFill="1" applyBorder="1" applyAlignment="1">
      <alignment horizontal="left"/>
    </xf>
    <xf numFmtId="37" fontId="266" fillId="0" borderId="0" xfId="0" applyFont="1" applyFill="1" applyBorder="1" applyAlignment="1">
      <alignment horizontal="right"/>
    </xf>
    <xf numFmtId="37" fontId="263" fillId="0" borderId="0" xfId="0" applyFont="1" applyFill="1" applyBorder="1" applyAlignment="1">
      <alignment horizontal="left"/>
    </xf>
    <xf numFmtId="37" fontId="263" fillId="0" borderId="0" xfId="0" applyFont="1" applyFill="1" applyAlignment="1">
      <alignment horizontal="right"/>
    </xf>
    <xf numFmtId="37" fontId="263" fillId="0" borderId="0" xfId="0" applyNumberFormat="1" applyFont="1" applyFill="1" applyBorder="1" applyAlignment="1">
      <alignment horizontal="left" wrapText="1"/>
    </xf>
    <xf numFmtId="37" fontId="268" fillId="0" borderId="0" xfId="0" applyFont="1" applyFill="1" applyBorder="1" applyAlignment="1">
      <alignment horizontal="left"/>
    </xf>
    <xf numFmtId="0" fontId="269" fillId="0" borderId="0" xfId="0" applyNumberFormat="1" applyFont="1" applyFill="1"/>
    <xf numFmtId="37" fontId="269" fillId="0" borderId="0" xfId="0" applyFont="1" applyFill="1"/>
    <xf numFmtId="0" fontId="269" fillId="0" borderId="0" xfId="0" applyNumberFormat="1" applyFont="1" applyFill="1" applyBorder="1"/>
    <xf numFmtId="37" fontId="269" fillId="0" borderId="0" xfId="0" applyFont="1" applyFill="1" applyBorder="1"/>
    <xf numFmtId="0" fontId="269" fillId="0" borderId="0" xfId="0" applyNumberFormat="1" applyFont="1"/>
    <xf numFmtId="37" fontId="269" fillId="0" borderId="0" xfId="0" applyFont="1"/>
    <xf numFmtId="37" fontId="143" fillId="6" borderId="46" xfId="0" quotePrefix="1" applyFont="1" applyFill="1" applyBorder="1" applyAlignment="1" applyProtection="1">
      <alignment horizontal="center" vertical="top"/>
      <protection locked="0"/>
    </xf>
    <xf numFmtId="37" fontId="143" fillId="4" borderId="0" xfId="0" applyFont="1" applyFill="1" applyAlignment="1" applyProtection="1">
      <alignment horizontal="right"/>
      <protection locked="0"/>
    </xf>
    <xf numFmtId="37" fontId="143" fillId="4" borderId="40" xfId="0" applyFont="1" applyFill="1" applyBorder="1" applyAlignment="1" applyProtection="1">
      <alignment horizontal="right"/>
      <protection locked="0"/>
    </xf>
    <xf numFmtId="37" fontId="144" fillId="4" borderId="38" xfId="1" applyNumberFormat="1" applyFont="1" applyFill="1" applyBorder="1" applyAlignment="1" applyProtection="1">
      <alignment horizontal="right" vertical="top"/>
      <protection locked="0"/>
    </xf>
    <xf numFmtId="37" fontId="143" fillId="6" borderId="0" xfId="0" applyFont="1" applyFill="1" applyAlignment="1" applyProtection="1">
      <alignment horizontal="center"/>
      <protection locked="0"/>
    </xf>
    <xf numFmtId="37" fontId="143" fillId="4" borderId="38" xfId="0" applyFont="1" applyFill="1" applyBorder="1" applyAlignment="1" applyProtection="1">
      <alignment horizontal="right"/>
      <protection locked="0"/>
    </xf>
    <xf numFmtId="37" fontId="143" fillId="4" borderId="0" xfId="0" applyFont="1" applyFill="1" applyAlignment="1" applyProtection="1">
      <alignment horizontal="center"/>
      <protection locked="0"/>
    </xf>
    <xf numFmtId="37" fontId="143" fillId="4" borderId="38" xfId="0" applyFont="1" applyFill="1" applyBorder="1" applyAlignment="1" applyProtection="1">
      <alignment horizontal="center"/>
      <protection locked="0"/>
    </xf>
    <xf numFmtId="37" fontId="270" fillId="0" borderId="0" xfId="0" applyFont="1" applyAlignment="1" applyProtection="1">
      <alignment horizontal="right"/>
      <protection locked="0"/>
    </xf>
    <xf numFmtId="171" fontId="271" fillId="41" borderId="1" xfId="0" applyNumberFormat="1" applyFont="1" applyFill="1" applyBorder="1" applyAlignment="1"/>
    <xf numFmtId="167" fontId="273" fillId="4" borderId="0" xfId="0" applyNumberFormat="1" applyFont="1" applyFill="1" applyBorder="1" applyAlignment="1">
      <alignment horizontal="left" vertical="top"/>
    </xf>
    <xf numFmtId="37" fontId="140" fillId="0" borderId="0" xfId="0" applyFont="1" applyAlignment="1">
      <alignment vertical="top"/>
    </xf>
    <xf numFmtId="37" fontId="140" fillId="0" borderId="0" xfId="0" applyFont="1" applyAlignment="1">
      <alignment horizontal="left"/>
    </xf>
    <xf numFmtId="37" fontId="129" fillId="0" borderId="0" xfId="0" applyFont="1" applyAlignment="1">
      <alignment horizontal="left"/>
    </xf>
    <xf numFmtId="37" fontId="9" fillId="0" borderId="0" xfId="0" applyFont="1" applyAlignment="1" applyProtection="1">
      <alignment horizontal="right"/>
      <protection locked="0"/>
    </xf>
    <xf numFmtId="37" fontId="129" fillId="0" borderId="0" xfId="0" applyFont="1" applyBorder="1" applyAlignment="1">
      <alignment horizontal="left"/>
    </xf>
    <xf numFmtId="37" fontId="9" fillId="0" borderId="0" xfId="0" applyFont="1" applyFill="1" applyBorder="1" applyAlignment="1" applyProtection="1">
      <alignment horizontal="right"/>
      <protection locked="0"/>
    </xf>
    <xf numFmtId="9" fontId="129" fillId="0" borderId="0" xfId="2" applyFont="1" applyAlignment="1">
      <alignment vertical="top"/>
    </xf>
    <xf numFmtId="37" fontId="140" fillId="0" borderId="1" xfId="0" applyFont="1" applyBorder="1" applyAlignment="1">
      <alignment vertical="top"/>
    </xf>
    <xf numFmtId="37" fontId="274" fillId="0" borderId="0" xfId="0" applyFont="1" applyAlignment="1">
      <alignment vertical="top"/>
    </xf>
    <xf numFmtId="37" fontId="129" fillId="0" borderId="0" xfId="0" applyFont="1" applyFill="1" applyAlignment="1">
      <alignment horizontal="left"/>
    </xf>
    <xf numFmtId="37" fontId="129" fillId="0" borderId="0" xfId="0" applyFont="1" applyFill="1" applyBorder="1" applyAlignment="1">
      <alignment horizontal="left"/>
    </xf>
    <xf numFmtId="37" fontId="129" fillId="39" borderId="0" xfId="0" applyFont="1" applyFill="1" applyAlignment="1">
      <alignment horizontal="left"/>
    </xf>
    <xf numFmtId="37" fontId="9" fillId="39" borderId="0" xfId="0" applyFont="1" applyFill="1" applyAlignment="1" applyProtection="1">
      <alignment horizontal="right"/>
      <protection locked="0"/>
    </xf>
    <xf numFmtId="37" fontId="129" fillId="39" borderId="0" xfId="0" applyFont="1" applyFill="1" applyBorder="1" applyAlignment="1">
      <alignment horizontal="left"/>
    </xf>
    <xf numFmtId="37" fontId="9" fillId="39" borderId="0" xfId="0" applyFont="1" applyFill="1" applyBorder="1" applyAlignment="1" applyProtection="1">
      <alignment horizontal="right"/>
      <protection locked="0"/>
    </xf>
    <xf numFmtId="9" fontId="129" fillId="39" borderId="0" xfId="2" applyFont="1" applyFill="1" applyAlignment="1">
      <alignment vertical="top"/>
    </xf>
    <xf numFmtId="37" fontId="129" fillId="0" borderId="0" xfId="0" applyFont="1" applyAlignment="1">
      <alignment horizontal="right"/>
    </xf>
    <xf numFmtId="37" fontId="129" fillId="0" borderId="0" xfId="0" applyFont="1" applyBorder="1" applyAlignment="1">
      <alignment horizontal="right"/>
    </xf>
    <xf numFmtId="37" fontId="129" fillId="39" borderId="0" xfId="0" applyFont="1" applyFill="1" applyAlignment="1">
      <alignment horizontal="right"/>
    </xf>
    <xf numFmtId="37" fontId="129" fillId="39" borderId="0" xfId="0" applyFont="1" applyFill="1" applyBorder="1" applyAlignment="1">
      <alignment horizontal="right"/>
    </xf>
    <xf numFmtId="37" fontId="140" fillId="39" borderId="0" xfId="0" applyFont="1" applyFill="1" applyAlignment="1">
      <alignment vertical="top"/>
    </xf>
    <xf numFmtId="171" fontId="9" fillId="9" borderId="0" xfId="0" applyNumberFormat="1" applyFont="1" applyFill="1" applyBorder="1" applyAlignment="1" applyProtection="1">
      <alignment vertical="top" wrapText="1"/>
    </xf>
    <xf numFmtId="37" fontId="129" fillId="0" borderId="0" xfId="0" applyFont="1" applyFill="1" applyAlignment="1">
      <alignment horizontal="right"/>
    </xf>
    <xf numFmtId="37" fontId="275" fillId="0" borderId="0" xfId="0" applyNumberFormat="1" applyFont="1" applyBorder="1" applyAlignment="1">
      <alignment horizontal="left"/>
    </xf>
    <xf numFmtId="37" fontId="276" fillId="0" borderId="0" xfId="0" applyFont="1" applyAlignment="1">
      <alignment horizontal="left"/>
    </xf>
    <xf numFmtId="37" fontId="276" fillId="0" borderId="0" xfId="0" applyFont="1" applyBorder="1" applyAlignment="1">
      <alignment horizontal="left"/>
    </xf>
    <xf numFmtId="37" fontId="276" fillId="0" borderId="0" xfId="0" applyFont="1" applyFill="1" applyAlignment="1">
      <alignment horizontal="left"/>
    </xf>
    <xf numFmtId="37" fontId="9" fillId="35" borderId="0" xfId="0" applyFont="1" applyFill="1" applyBorder="1" applyAlignment="1" applyProtection="1">
      <alignment horizontal="left" vertical="top"/>
    </xf>
    <xf numFmtId="37" fontId="140" fillId="12" borderId="0" xfId="0" applyFont="1" applyFill="1" applyAlignment="1">
      <alignment vertical="top"/>
    </xf>
    <xf numFmtId="37" fontId="140" fillId="33" borderId="0" xfId="0" applyFont="1" applyFill="1" applyAlignment="1">
      <alignment vertical="top"/>
    </xf>
    <xf numFmtId="37" fontId="277" fillId="0" borderId="0" xfId="0" applyFont="1" applyAlignment="1">
      <alignment vertical="top"/>
    </xf>
    <xf numFmtId="37" fontId="278" fillId="13" borderId="14" xfId="0" applyFont="1" applyFill="1" applyBorder="1" applyAlignment="1">
      <alignment horizontal="center" vertical="top" wrapText="1"/>
    </xf>
    <xf numFmtId="171" fontId="9" fillId="10" borderId="0" xfId="1" applyNumberFormat="1" applyFont="1" applyFill="1" applyBorder="1" applyAlignment="1" applyProtection="1">
      <alignment vertical="top" wrapText="1"/>
    </xf>
    <xf numFmtId="171" fontId="123" fillId="10" borderId="0" xfId="1" applyNumberFormat="1" applyFont="1" applyFill="1" applyBorder="1" applyAlignment="1" applyProtection="1">
      <alignment vertical="top" wrapText="1"/>
    </xf>
    <xf numFmtId="37" fontId="279" fillId="10" borderId="0" xfId="0" applyFont="1" applyFill="1" applyBorder="1" applyAlignment="1" applyProtection="1">
      <alignment vertical="top" wrapText="1"/>
    </xf>
    <xf numFmtId="171" fontId="279" fillId="10" borderId="0" xfId="0" applyNumberFormat="1" applyFont="1" applyFill="1" applyBorder="1" applyAlignment="1" applyProtection="1">
      <alignment vertical="top" wrapText="1"/>
    </xf>
    <xf numFmtId="171" fontId="191" fillId="9" borderId="0" xfId="0" applyNumberFormat="1" applyFont="1" applyFill="1" applyBorder="1" applyAlignment="1" applyProtection="1">
      <alignment vertical="top" wrapText="1"/>
    </xf>
    <xf numFmtId="37" fontId="9" fillId="9" borderId="0" xfId="0" applyFont="1" applyFill="1" applyBorder="1" applyAlignment="1" applyProtection="1">
      <alignment vertical="top" wrapText="1"/>
    </xf>
    <xf numFmtId="37" fontId="123" fillId="9" borderId="0" xfId="0" applyFont="1" applyFill="1" applyBorder="1" applyAlignment="1" applyProtection="1">
      <alignment vertical="top" wrapText="1"/>
    </xf>
    <xf numFmtId="10" fontId="191" fillId="7" borderId="0" xfId="2" applyNumberFormat="1" applyFont="1" applyFill="1" applyBorder="1" applyAlignment="1" applyProtection="1">
      <alignment vertical="top" wrapText="1"/>
    </xf>
    <xf numFmtId="37" fontId="123" fillId="7" borderId="0" xfId="0" applyFont="1" applyFill="1" applyBorder="1" applyAlignment="1" applyProtection="1">
      <alignment vertical="top" wrapText="1"/>
    </xf>
    <xf numFmtId="171" fontId="9" fillId="7" borderId="0" xfId="0" applyNumberFormat="1" applyFont="1" applyFill="1" applyBorder="1" applyAlignment="1" applyProtection="1">
      <alignment vertical="top" wrapText="1"/>
    </xf>
    <xf numFmtId="37" fontId="9" fillId="7" borderId="0" xfId="0" applyFont="1" applyFill="1" applyBorder="1" applyAlignment="1" applyProtection="1">
      <alignment vertical="top" wrapText="1"/>
    </xf>
    <xf numFmtId="37" fontId="9" fillId="7" borderId="0" xfId="0" quotePrefix="1" applyFont="1" applyFill="1" applyBorder="1" applyAlignment="1" applyProtection="1">
      <alignment vertical="top" wrapText="1"/>
    </xf>
    <xf numFmtId="171" fontId="9" fillId="11" borderId="0" xfId="1" applyNumberFormat="1" applyFont="1" applyFill="1" applyBorder="1" applyAlignment="1" applyProtection="1">
      <alignment vertical="top" wrapText="1"/>
    </xf>
    <xf numFmtId="171" fontId="9" fillId="11" borderId="0" xfId="0" applyNumberFormat="1" applyFont="1" applyFill="1" applyBorder="1" applyAlignment="1" applyProtection="1">
      <alignment vertical="top" wrapText="1"/>
    </xf>
    <xf numFmtId="171" fontId="9" fillId="11" borderId="0" xfId="0" applyNumberFormat="1" applyFont="1" applyFill="1" applyBorder="1" applyAlignment="1" applyProtection="1">
      <alignment vertical="top" wrapText="1"/>
      <protection locked="0"/>
    </xf>
    <xf numFmtId="37" fontId="129" fillId="11" borderId="0" xfId="0" applyFont="1" applyFill="1" applyBorder="1" applyAlignment="1">
      <alignment vertical="top" wrapText="1"/>
    </xf>
    <xf numFmtId="167" fontId="129" fillId="11" borderId="0" xfId="2" applyNumberFormat="1" applyFont="1" applyFill="1" applyBorder="1" applyAlignment="1">
      <alignment vertical="top" wrapText="1"/>
    </xf>
    <xf numFmtId="171" fontId="9" fillId="6" borderId="0" xfId="0" applyNumberFormat="1" applyFont="1" applyFill="1" applyBorder="1" applyAlignment="1" applyProtection="1">
      <alignment vertical="top" wrapText="1"/>
    </xf>
    <xf numFmtId="171" fontId="9" fillId="6" borderId="0" xfId="0" applyNumberFormat="1" applyFont="1" applyFill="1" applyBorder="1" applyAlignment="1" applyProtection="1">
      <alignment vertical="top" wrapText="1"/>
      <protection locked="0"/>
    </xf>
    <xf numFmtId="37" fontId="123" fillId="30" borderId="0" xfId="0" applyFont="1" applyFill="1" applyBorder="1" applyAlignment="1">
      <alignment vertical="top" wrapText="1"/>
    </xf>
    <xf numFmtId="171" fontId="9" fillId="8" borderId="0" xfId="0" applyNumberFormat="1" applyFont="1" applyFill="1" applyBorder="1" applyAlignment="1" applyProtection="1">
      <alignment vertical="top" wrapText="1"/>
    </xf>
    <xf numFmtId="37" fontId="134" fillId="8" borderId="0" xfId="0" applyFont="1" applyFill="1" applyBorder="1" applyAlignment="1" applyProtection="1">
      <alignment vertical="top" wrapText="1"/>
    </xf>
    <xf numFmtId="37" fontId="123" fillId="8" borderId="0" xfId="0" applyFont="1" applyFill="1" applyBorder="1" applyAlignment="1" applyProtection="1">
      <alignment vertical="top" wrapText="1"/>
    </xf>
    <xf numFmtId="37" fontId="129" fillId="8" borderId="0" xfId="0" applyFont="1" applyFill="1" applyBorder="1" applyAlignment="1">
      <alignment vertical="top" wrapText="1"/>
    </xf>
    <xf numFmtId="37" fontId="9" fillId="8" borderId="0" xfId="0" applyNumberFormat="1" applyFont="1" applyFill="1" applyBorder="1" applyAlignment="1" applyProtection="1">
      <alignment vertical="top" wrapText="1"/>
    </xf>
    <xf numFmtId="37" fontId="278" fillId="25" borderId="0" xfId="0" applyFont="1" applyFill="1" applyBorder="1" applyAlignment="1"/>
    <xf numFmtId="167" fontId="278" fillId="13" borderId="14" xfId="2" applyNumberFormat="1" applyFont="1" applyFill="1" applyBorder="1" applyAlignment="1">
      <alignment horizontal="center"/>
    </xf>
    <xf numFmtId="37" fontId="280" fillId="25" borderId="0" xfId="0" applyFont="1" applyFill="1" applyBorder="1" applyAlignment="1"/>
    <xf numFmtId="37" fontId="281" fillId="25" borderId="0" xfId="0" applyFont="1" applyFill="1" applyBorder="1" applyAlignment="1"/>
    <xf numFmtId="9" fontId="281" fillId="25" borderId="0" xfId="2" applyFont="1" applyFill="1" applyBorder="1" applyAlignment="1"/>
    <xf numFmtId="171" fontId="278" fillId="25" borderId="0" xfId="0" applyNumberFormat="1" applyFont="1" applyFill="1" applyBorder="1" applyAlignment="1"/>
    <xf numFmtId="171" fontId="281" fillId="25" borderId="0" xfId="0" applyNumberFormat="1" applyFont="1" applyFill="1" applyBorder="1" applyAlignment="1"/>
    <xf numFmtId="10" fontId="281" fillId="25" borderId="0" xfId="2" applyNumberFormat="1" applyFont="1" applyFill="1" applyBorder="1" applyAlignment="1"/>
    <xf numFmtId="9" fontId="134" fillId="25" borderId="0" xfId="2" applyNumberFormat="1" applyFont="1" applyFill="1" applyBorder="1" applyAlignment="1" applyProtection="1"/>
    <xf numFmtId="171" fontId="278" fillId="25" borderId="0" xfId="1" applyNumberFormat="1" applyFont="1" applyFill="1" applyBorder="1" applyAlignment="1"/>
    <xf numFmtId="167" fontId="134" fillId="25" borderId="0" xfId="2" applyNumberFormat="1" applyFont="1" applyFill="1" applyBorder="1" applyAlignment="1" applyProtection="1"/>
    <xf numFmtId="37" fontId="278" fillId="25" borderId="0" xfId="0" applyFont="1" applyFill="1" applyBorder="1" applyAlignment="1">
      <alignment horizontal="right"/>
    </xf>
    <xf numFmtId="9" fontId="278" fillId="25" borderId="0" xfId="2" applyFont="1" applyFill="1" applyBorder="1" applyAlignment="1"/>
    <xf numFmtId="170" fontId="278" fillId="25" borderId="0" xfId="0" applyNumberFormat="1" applyFont="1" applyFill="1" applyBorder="1" applyAlignment="1"/>
    <xf numFmtId="172" fontId="278" fillId="25" borderId="0" xfId="1" applyNumberFormat="1" applyFont="1" applyFill="1" applyBorder="1" applyAlignment="1"/>
    <xf numFmtId="3" fontId="278" fillId="25" borderId="0" xfId="0" applyNumberFormat="1" applyFont="1" applyFill="1" applyBorder="1" applyAlignment="1"/>
    <xf numFmtId="167" fontId="278" fillId="25" borderId="0" xfId="2" applyNumberFormat="1" applyFont="1" applyFill="1" applyBorder="1" applyAlignment="1"/>
    <xf numFmtId="37" fontId="278" fillId="25" borderId="0" xfId="0" applyNumberFormat="1" applyFont="1" applyFill="1" applyBorder="1" applyAlignment="1"/>
    <xf numFmtId="165" fontId="278" fillId="25" borderId="0" xfId="0" applyNumberFormat="1" applyFont="1" applyFill="1" applyBorder="1" applyAlignment="1"/>
    <xf numFmtId="37" fontId="278" fillId="0" borderId="0" xfId="0" applyFont="1" applyFill="1" applyBorder="1" applyAlignment="1"/>
    <xf numFmtId="37" fontId="278" fillId="0" borderId="0" xfId="0" applyFont="1" applyFill="1" applyBorder="1" applyAlignment="1">
      <alignment horizontal="left"/>
    </xf>
    <xf numFmtId="37" fontId="133" fillId="0" borderId="0" xfId="0" quotePrefix="1" applyFont="1" applyFill="1" applyBorder="1" applyAlignment="1"/>
    <xf numFmtId="37" fontId="140" fillId="0" borderId="0" xfId="0" applyFont="1" applyFill="1" applyAlignment="1">
      <alignment vertical="top"/>
    </xf>
    <xf numFmtId="37" fontId="129" fillId="0" borderId="0" xfId="0" applyFont="1" applyFill="1" applyBorder="1" applyAlignment="1"/>
    <xf numFmtId="37" fontId="129" fillId="0" borderId="0" xfId="0" quotePrefix="1" applyFont="1" applyFill="1" applyBorder="1" applyAlignment="1"/>
    <xf numFmtId="167" fontId="129" fillId="0" borderId="14" xfId="2" applyNumberFormat="1" applyFont="1" applyFill="1" applyBorder="1" applyAlignment="1">
      <alignment horizontal="center"/>
    </xf>
    <xf numFmtId="9" fontId="129" fillId="0" borderId="0" xfId="2" applyFont="1" applyFill="1" applyBorder="1" applyAlignment="1"/>
    <xf numFmtId="171" fontId="129" fillId="0" borderId="0" xfId="0" applyNumberFormat="1" applyFont="1" applyFill="1" applyBorder="1" applyAlignment="1"/>
    <xf numFmtId="10" fontId="129" fillId="0" borderId="0" xfId="2" applyNumberFormat="1" applyFont="1" applyFill="1" applyBorder="1" applyAlignment="1"/>
    <xf numFmtId="9" fontId="9" fillId="0" borderId="0" xfId="2" applyNumberFormat="1" applyFont="1" applyFill="1" applyBorder="1" applyAlignment="1" applyProtection="1"/>
    <xf numFmtId="171" fontId="129" fillId="0" borderId="0" xfId="1" applyNumberFormat="1" applyFont="1" applyFill="1" applyBorder="1" applyAlignment="1"/>
    <xf numFmtId="167" fontId="9" fillId="0" borderId="0" xfId="2" applyNumberFormat="1" applyFont="1" applyFill="1" applyBorder="1" applyAlignment="1" applyProtection="1"/>
    <xf numFmtId="37" fontId="129" fillId="0" borderId="0" xfId="0" applyFont="1" applyFill="1" applyBorder="1" applyAlignment="1">
      <alignment horizontal="right"/>
    </xf>
    <xf numFmtId="170" fontId="129" fillId="0" borderId="0" xfId="0" applyNumberFormat="1" applyFont="1" applyFill="1" applyBorder="1" applyAlignment="1"/>
    <xf numFmtId="172" fontId="129" fillId="0" borderId="0" xfId="1" applyNumberFormat="1" applyFont="1" applyFill="1" applyBorder="1" applyAlignment="1"/>
    <xf numFmtId="167" fontId="129" fillId="0" borderId="0" xfId="2" applyNumberFormat="1" applyFont="1" applyFill="1" applyBorder="1" applyAlignment="1"/>
    <xf numFmtId="37" fontId="129" fillId="0" borderId="0" xfId="0" applyNumberFormat="1" applyFont="1" applyFill="1" applyBorder="1" applyAlignment="1"/>
    <xf numFmtId="165" fontId="129" fillId="0" borderId="0" xfId="0" applyNumberFormat="1" applyFont="1" applyFill="1" applyBorder="1" applyAlignment="1"/>
    <xf numFmtId="37" fontId="282" fillId="0" borderId="0" xfId="0" applyFont="1" applyAlignment="1">
      <alignment vertical="top"/>
    </xf>
    <xf numFmtId="37" fontId="247" fillId="4" borderId="0" xfId="0" applyFont="1" applyFill="1" applyAlignment="1">
      <alignment vertical="center"/>
    </xf>
    <xf numFmtId="37" fontId="140" fillId="4" borderId="0" xfId="0" applyFont="1" applyFill="1" applyAlignment="1">
      <alignment vertical="top"/>
    </xf>
    <xf numFmtId="37" fontId="283" fillId="0" borderId="0" xfId="0" applyFont="1" applyBorder="1" applyAlignment="1">
      <alignment horizontal="left"/>
    </xf>
    <xf numFmtId="37" fontId="283" fillId="0" borderId="0" xfId="0" applyFont="1" applyAlignment="1">
      <alignment vertical="top"/>
    </xf>
    <xf numFmtId="37" fontId="284" fillId="0" borderId="0" xfId="0" applyNumberFormat="1" applyFont="1" applyBorder="1" applyAlignment="1">
      <alignment horizontal="left"/>
    </xf>
    <xf numFmtId="37" fontId="283" fillId="0" borderId="0" xfId="0" applyFont="1" applyAlignment="1">
      <alignment horizontal="left"/>
    </xf>
    <xf numFmtId="37" fontId="285" fillId="0" borderId="0" xfId="0" applyFont="1" applyAlignment="1">
      <alignment vertical="top"/>
    </xf>
    <xf numFmtId="37" fontId="286" fillId="0" borderId="0" xfId="0" applyFont="1" applyAlignment="1">
      <alignment vertical="top"/>
    </xf>
    <xf numFmtId="37" fontId="287" fillId="0" borderId="0" xfId="0" applyFont="1" applyAlignment="1">
      <alignment vertical="top"/>
    </xf>
    <xf numFmtId="37" fontId="286" fillId="4" borderId="0" xfId="0" applyFont="1" applyFill="1" applyAlignment="1">
      <alignment vertical="top"/>
    </xf>
    <xf numFmtId="37" fontId="288" fillId="0" borderId="0" xfId="0" applyFont="1" applyAlignment="1">
      <alignment vertical="center"/>
    </xf>
    <xf numFmtId="37" fontId="286" fillId="0" borderId="0" xfId="0" quotePrefix="1" applyFont="1" applyAlignment="1">
      <alignment vertical="top"/>
    </xf>
    <xf numFmtId="37" fontId="289" fillId="0" borderId="0" xfId="0" applyFont="1" applyAlignment="1">
      <alignment vertical="center"/>
    </xf>
    <xf numFmtId="37" fontId="286" fillId="0" borderId="0" xfId="0" applyFont="1" applyFill="1" applyAlignment="1">
      <alignment vertical="top"/>
    </xf>
    <xf numFmtId="37" fontId="286" fillId="0" borderId="0" xfId="0" applyFont="1" applyFill="1" applyAlignment="1">
      <alignment horizontal="left"/>
    </xf>
    <xf numFmtId="37" fontId="286" fillId="0" borderId="0" xfId="0" applyFont="1" applyFill="1" applyAlignment="1">
      <alignment horizontal="right"/>
    </xf>
    <xf numFmtId="37" fontId="276" fillId="0" borderId="0" xfId="0" applyFont="1" applyFill="1" applyAlignment="1">
      <alignment vertical="top"/>
    </xf>
    <xf numFmtId="37" fontId="289" fillId="0" borderId="0" xfId="0" applyFont="1" applyFill="1" applyAlignment="1">
      <alignment vertical="center"/>
    </xf>
    <xf numFmtId="37" fontId="290" fillId="0" borderId="0" xfId="0" applyFont="1" applyFill="1" applyAlignment="1">
      <alignment vertical="top"/>
    </xf>
    <xf numFmtId="37" fontId="283" fillId="0" borderId="0" xfId="0" applyFont="1" applyFill="1" applyAlignment="1">
      <alignment vertical="top"/>
    </xf>
    <xf numFmtId="37" fontId="291" fillId="0" borderId="0" xfId="0" applyFont="1" applyAlignment="1">
      <alignment vertical="center"/>
    </xf>
    <xf numFmtId="37" fontId="292" fillId="0" borderId="0" xfId="0" applyFont="1" applyAlignment="1">
      <alignment vertical="center"/>
    </xf>
    <xf numFmtId="37" fontId="293" fillId="0" borderId="0" xfId="0" applyFont="1" applyAlignment="1">
      <alignment vertical="center"/>
    </xf>
    <xf numFmtId="37" fontId="294" fillId="0" borderId="0" xfId="0" applyFont="1" applyAlignment="1">
      <alignment vertical="center"/>
    </xf>
    <xf numFmtId="37" fontId="295" fillId="0" borderId="0" xfId="0" applyFont="1" applyAlignment="1">
      <alignment vertical="center"/>
    </xf>
    <xf numFmtId="37" fontId="247" fillId="40" borderId="0" xfId="0" applyFont="1" applyFill="1" applyAlignment="1">
      <alignment vertical="center"/>
    </xf>
    <xf numFmtId="37" fontId="247" fillId="0" borderId="0" xfId="0" applyFont="1" applyAlignment="1">
      <alignment horizontal="left" vertical="center"/>
    </xf>
    <xf numFmtId="37" fontId="111" fillId="5" borderId="0" xfId="0" applyFont="1" applyFill="1"/>
    <xf numFmtId="181" fontId="296" fillId="4" borderId="0" xfId="15" applyNumberFormat="1" applyFont="1" applyFill="1"/>
    <xf numFmtId="181" fontId="296" fillId="5" borderId="0" xfId="15" applyNumberFormat="1" applyFont="1" applyFill="1"/>
    <xf numFmtId="37" fontId="291" fillId="0" borderId="0" xfId="0" applyFont="1" applyAlignment="1">
      <alignment horizontal="left" vertical="center"/>
    </xf>
    <xf numFmtId="168" fontId="93" fillId="0" borderId="0" xfId="0" applyNumberFormat="1" applyFont="1" applyFill="1"/>
    <xf numFmtId="167" fontId="41" fillId="5" borderId="0" xfId="2" applyNumberFormat="1" applyFont="1" applyFill="1"/>
    <xf numFmtId="167" fontId="111" fillId="4" borderId="0" xfId="2" applyNumberFormat="1" applyFont="1" applyFill="1"/>
    <xf numFmtId="165" fontId="39" fillId="5" borderId="0" xfId="1" applyFont="1" applyFill="1" applyAlignment="1">
      <alignment horizontal="right"/>
    </xf>
    <xf numFmtId="37" fontId="296" fillId="0" borderId="0" xfId="0" applyFont="1"/>
    <xf numFmtId="9" fontId="41" fillId="5" borderId="0" xfId="2" applyNumberFormat="1" applyFont="1" applyFill="1"/>
    <xf numFmtId="37" fontId="297" fillId="0" borderId="0" xfId="0" applyNumberFormat="1" applyFont="1" applyBorder="1" applyAlignment="1">
      <alignment horizontal="left"/>
    </xf>
    <xf numFmtId="37" fontId="167" fillId="27" borderId="55" xfId="0" applyFont="1" applyFill="1" applyBorder="1" applyAlignment="1" applyProtection="1">
      <alignment horizontal="right" vertical="top"/>
    </xf>
    <xf numFmtId="9" fontId="142" fillId="4" borderId="46" xfId="2" applyFont="1" applyFill="1" applyBorder="1" applyAlignment="1" applyProtection="1">
      <alignment horizontal="center"/>
      <protection locked="0"/>
    </xf>
    <xf numFmtId="37" fontId="150" fillId="27" borderId="55" xfId="0" applyFont="1" applyFill="1" applyBorder="1" applyAlignment="1" applyProtection="1">
      <alignment horizontal="right" vertical="top"/>
    </xf>
    <xf numFmtId="37" fontId="96" fillId="31" borderId="46" xfId="0" applyFont="1" applyFill="1" applyBorder="1" applyAlignment="1" applyProtection="1">
      <alignment horizontal="center" vertical="top"/>
      <protection locked="0"/>
    </xf>
    <xf numFmtId="37" fontId="143" fillId="6" borderId="0" xfId="0" applyFont="1" applyFill="1" applyAlignment="1" applyProtection="1">
      <alignment horizontal="center" vertical="top"/>
      <protection locked="0"/>
    </xf>
    <xf numFmtId="37" fontId="12" fillId="0" borderId="0" xfId="0" applyFont="1" applyAlignment="1">
      <alignment horizontal="left" wrapText="1"/>
    </xf>
    <xf numFmtId="37" fontId="12" fillId="0" borderId="0" xfId="0" applyFont="1" applyAlignment="1">
      <alignment horizontal="right" wrapText="1"/>
    </xf>
    <xf numFmtId="166" fontId="10" fillId="0" borderId="0" xfId="0" applyNumberFormat="1" applyFont="1" applyAlignment="1" applyProtection="1">
      <alignment horizontal="right" wrapText="1"/>
      <protection locked="0"/>
    </xf>
    <xf numFmtId="37" fontId="185" fillId="0" borderId="0" xfId="0" applyFont="1" applyAlignment="1">
      <alignment horizontal="right" wrapText="1"/>
    </xf>
    <xf numFmtId="37" fontId="186" fillId="0" borderId="0" xfId="0" applyFont="1" applyAlignment="1">
      <alignment horizontal="right" wrapText="1"/>
    </xf>
    <xf numFmtId="179" fontId="185" fillId="0" borderId="0" xfId="0" applyNumberFormat="1" applyFont="1" applyAlignment="1">
      <alignment horizontal="right" wrapText="1"/>
    </xf>
    <xf numFmtId="179" fontId="12" fillId="0" borderId="0" xfId="0" applyNumberFormat="1" applyFont="1" applyAlignment="1">
      <alignment horizontal="right" wrapText="1"/>
    </xf>
    <xf numFmtId="7" fontId="10" fillId="0" borderId="0" xfId="0" applyNumberFormat="1" applyFont="1" applyAlignment="1">
      <alignment horizontal="right" wrapText="1"/>
    </xf>
    <xf numFmtId="37" fontId="10" fillId="0" borderId="0" xfId="0" applyFont="1" applyAlignment="1" applyProtection="1">
      <alignment horizontal="right" wrapText="1"/>
      <protection locked="0"/>
    </xf>
    <xf numFmtId="9" fontId="12" fillId="0" borderId="0" xfId="2" applyFont="1" applyAlignment="1">
      <alignment horizontal="right" wrapText="1"/>
    </xf>
    <xf numFmtId="9" fontId="186" fillId="0" borderId="0" xfId="2" applyFont="1" applyAlignment="1">
      <alignment horizontal="right" wrapText="1"/>
    </xf>
    <xf numFmtId="167" fontId="12" fillId="0" borderId="0" xfId="2" applyNumberFormat="1" applyFont="1" applyAlignment="1">
      <alignment horizontal="right" wrapText="1"/>
    </xf>
    <xf numFmtId="9" fontId="185" fillId="0" borderId="0" xfId="2" applyFont="1" applyAlignment="1">
      <alignment horizontal="right" wrapText="1"/>
    </xf>
    <xf numFmtId="9" fontId="10" fillId="0" borderId="0" xfId="2" applyFont="1" applyAlignment="1" applyProtection="1">
      <alignment horizontal="right" wrapText="1"/>
      <protection locked="0"/>
    </xf>
    <xf numFmtId="37" fontId="260" fillId="0" borderId="0" xfId="0" applyFont="1" applyAlignment="1">
      <alignment horizontal="left" wrapText="1"/>
    </xf>
    <xf numFmtId="37" fontId="260" fillId="0" borderId="0" xfId="0" applyFont="1" applyAlignment="1">
      <alignment horizontal="right" wrapText="1"/>
    </xf>
    <xf numFmtId="166" fontId="297" fillId="0" borderId="0" xfId="0" applyNumberFormat="1" applyFont="1" applyAlignment="1" applyProtection="1">
      <alignment horizontal="right" wrapText="1"/>
      <protection locked="0"/>
    </xf>
    <xf numFmtId="167" fontId="260" fillId="13" borderId="14" xfId="2" applyNumberFormat="1" applyFont="1" applyFill="1" applyBorder="1" applyAlignment="1">
      <alignment vertical="top" wrapText="1"/>
    </xf>
    <xf numFmtId="37" fontId="298" fillId="0" borderId="0" xfId="0" applyFont="1" applyAlignment="1">
      <alignment horizontal="right" wrapText="1"/>
    </xf>
    <xf numFmtId="9" fontId="260" fillId="0" borderId="0" xfId="2" applyFont="1" applyBorder="1" applyAlignment="1">
      <alignment horizontal="right" wrapText="1"/>
    </xf>
    <xf numFmtId="9" fontId="298" fillId="0" borderId="0" xfId="2" applyFont="1" applyFill="1" applyBorder="1" applyAlignment="1">
      <alignment horizontal="right" wrapText="1"/>
    </xf>
    <xf numFmtId="179" fontId="260" fillId="0" borderId="0" xfId="0" applyNumberFormat="1" applyFont="1" applyAlignment="1">
      <alignment horizontal="right" wrapText="1"/>
    </xf>
    <xf numFmtId="167" fontId="260" fillId="0" borderId="0" xfId="2" applyNumberFormat="1" applyFont="1" applyBorder="1" applyAlignment="1">
      <alignment horizontal="right" wrapText="1"/>
    </xf>
    <xf numFmtId="7" fontId="297" fillId="0" borderId="0" xfId="0" applyNumberFormat="1" applyFont="1" applyAlignment="1">
      <alignment horizontal="right" wrapText="1"/>
    </xf>
    <xf numFmtId="37" fontId="297" fillId="0" borderId="0" xfId="0" applyFont="1" applyAlignment="1" applyProtection="1">
      <alignment horizontal="right" wrapText="1"/>
      <protection locked="0"/>
    </xf>
    <xf numFmtId="9" fontId="297" fillId="0" borderId="0" xfId="2" applyFont="1" applyFill="1" applyBorder="1" applyAlignment="1" applyProtection="1">
      <alignment horizontal="right" wrapText="1"/>
      <protection locked="0"/>
    </xf>
    <xf numFmtId="167" fontId="260" fillId="13" borderId="14" xfId="2" applyNumberFormat="1" applyFont="1" applyFill="1" applyBorder="1" applyAlignment="1"/>
    <xf numFmtId="9" fontId="260" fillId="0" borderId="0" xfId="2" applyNumberFormat="1" applyFont="1" applyBorder="1" applyAlignment="1"/>
    <xf numFmtId="171" fontId="260" fillId="0" borderId="0" xfId="1" applyNumberFormat="1" applyFont="1" applyFill="1" applyBorder="1" applyAlignment="1">
      <alignment horizontal="right"/>
    </xf>
    <xf numFmtId="37" fontId="260" fillId="0" borderId="0" xfId="0" applyFont="1" applyFill="1" applyBorder="1" applyAlignment="1">
      <alignment horizontal="right"/>
    </xf>
    <xf numFmtId="193" fontId="260" fillId="0" borderId="0" xfId="0" applyNumberFormat="1" applyFont="1" applyFill="1" applyBorder="1" applyAlignment="1">
      <alignment horizontal="right"/>
    </xf>
    <xf numFmtId="37" fontId="260" fillId="0" borderId="0" xfId="1" applyNumberFormat="1" applyFont="1" applyBorder="1" applyAlignment="1"/>
    <xf numFmtId="167" fontId="260" fillId="0" borderId="0" xfId="2" applyNumberFormat="1" applyFont="1" applyBorder="1" applyAlignment="1">
      <alignment horizontal="right"/>
    </xf>
    <xf numFmtId="37" fontId="260" fillId="0" borderId="0" xfId="0" applyNumberFormat="1" applyFont="1" applyBorder="1" applyAlignment="1"/>
    <xf numFmtId="9" fontId="260" fillId="0" borderId="0" xfId="2" applyFont="1" applyBorder="1" applyAlignment="1"/>
    <xf numFmtId="37" fontId="260" fillId="0" borderId="0" xfId="0" applyNumberFormat="1" applyFont="1" applyFill="1" applyBorder="1" applyAlignment="1">
      <alignment horizontal="right"/>
    </xf>
    <xf numFmtId="9" fontId="260" fillId="0" borderId="0" xfId="2" applyFont="1" applyFill="1" applyBorder="1" applyAlignment="1">
      <alignment horizontal="right"/>
    </xf>
    <xf numFmtId="167" fontId="260" fillId="0" borderId="0" xfId="2" applyNumberFormat="1" applyFont="1" applyFill="1" applyBorder="1" applyAlignment="1">
      <alignment horizontal="right"/>
    </xf>
    <xf numFmtId="171" fontId="260" fillId="0" borderId="0" xfId="1" applyNumberFormat="1" applyFont="1" applyBorder="1" applyAlignment="1"/>
    <xf numFmtId="167" fontId="260" fillId="0" borderId="0" xfId="2" applyNumberFormat="1" applyFont="1" applyBorder="1" applyAlignment="1"/>
    <xf numFmtId="167" fontId="260" fillId="13" borderId="14" xfId="0" applyNumberFormat="1" applyFont="1" applyFill="1" applyBorder="1" applyAlignment="1"/>
    <xf numFmtId="37" fontId="260" fillId="0" borderId="0" xfId="0" applyFont="1" applyBorder="1" applyAlignment="1"/>
    <xf numFmtId="179" fontId="260" fillId="0" borderId="0" xfId="0" applyNumberFormat="1" applyFont="1" applyBorder="1" applyAlignment="1"/>
    <xf numFmtId="167" fontId="260" fillId="0" borderId="0" xfId="2" applyNumberFormat="1" applyFont="1" applyBorder="1" applyAlignment="1">
      <alignment horizontal="center"/>
    </xf>
    <xf numFmtId="37" fontId="12" fillId="4" borderId="0" xfId="0" applyFont="1" applyFill="1" applyAlignment="1">
      <alignment horizontal="right" wrapText="1"/>
    </xf>
    <xf numFmtId="37" fontId="260" fillId="0" borderId="0" xfId="0" applyFont="1" applyAlignment="1">
      <alignment horizontal="right"/>
    </xf>
    <xf numFmtId="170" fontId="12" fillId="0" borderId="0" xfId="1" applyNumberFormat="1" applyFont="1" applyAlignment="1">
      <alignment horizontal="right" wrapText="1"/>
    </xf>
    <xf numFmtId="167" fontId="12" fillId="4" borderId="0" xfId="2" applyNumberFormat="1" applyFont="1" applyFill="1" applyBorder="1" applyAlignment="1">
      <alignment horizontal="right" wrapText="1"/>
    </xf>
    <xf numFmtId="37" fontId="12" fillId="0" borderId="0" xfId="0" applyFont="1" applyFill="1" applyAlignment="1">
      <alignment horizontal="right"/>
    </xf>
    <xf numFmtId="37" fontId="12" fillId="0" borderId="0" xfId="0" applyFont="1" applyFill="1" applyAlignment="1">
      <alignment horizontal="right" wrapText="1"/>
    </xf>
    <xf numFmtId="37" fontId="270" fillId="0" borderId="0" xfId="0" applyFont="1" applyAlignment="1" applyProtection="1">
      <alignment horizontal="right" wrapText="1"/>
      <protection locked="0"/>
    </xf>
    <xf numFmtId="37" fontId="185" fillId="4" borderId="0" xfId="0" applyFont="1" applyFill="1" applyAlignment="1">
      <alignment horizontal="right" wrapText="1"/>
    </xf>
    <xf numFmtId="37" fontId="10" fillId="4" borderId="0" xfId="0" applyFont="1" applyFill="1" applyAlignment="1" applyProtection="1">
      <alignment horizontal="right" wrapText="1"/>
      <protection locked="0"/>
    </xf>
    <xf numFmtId="37" fontId="238" fillId="0" borderId="0" xfId="0" applyFont="1" applyAlignment="1">
      <alignment horizontal="right" wrapText="1"/>
    </xf>
    <xf numFmtId="37" fontId="263" fillId="0" borderId="0" xfId="0" applyFont="1" applyAlignment="1">
      <alignment vertical="top"/>
    </xf>
    <xf numFmtId="37" fontId="299" fillId="0" borderId="0" xfId="0" applyFont="1" applyBorder="1" applyAlignment="1">
      <alignment horizontal="left"/>
    </xf>
    <xf numFmtId="37" fontId="299" fillId="0" borderId="0" xfId="0" applyFont="1" applyAlignment="1">
      <alignment vertical="top"/>
    </xf>
    <xf numFmtId="37" fontId="299" fillId="0" borderId="0" xfId="0" applyFont="1" applyAlignment="1">
      <alignment horizontal="left"/>
    </xf>
    <xf numFmtId="37" fontId="263" fillId="0" borderId="0" xfId="0" applyFont="1" applyFill="1" applyAlignment="1">
      <alignment vertical="top"/>
    </xf>
    <xf numFmtId="37" fontId="299" fillId="0" borderId="0" xfId="0" applyFont="1" applyFill="1" applyAlignment="1">
      <alignment vertical="top"/>
    </xf>
    <xf numFmtId="37" fontId="210" fillId="0" borderId="0" xfId="0" applyFont="1"/>
    <xf numFmtId="37" fontId="263" fillId="0" borderId="0" xfId="0" applyFont="1"/>
    <xf numFmtId="37" fontId="300" fillId="4" borderId="0" xfId="0" applyFont="1" applyFill="1"/>
    <xf numFmtId="37" fontId="301" fillId="0" borderId="0" xfId="0" applyFont="1" applyAlignment="1">
      <alignment vertical="top"/>
    </xf>
    <xf numFmtId="37" fontId="299" fillId="0" borderId="0" xfId="0" applyFont="1"/>
    <xf numFmtId="37" fontId="263" fillId="0" borderId="0" xfId="0" applyFont="1" applyAlignment="1">
      <alignment horizontal="left" wrapText="1"/>
    </xf>
    <xf numFmtId="37" fontId="299" fillId="0" borderId="0" xfId="0" applyFont="1" applyAlignment="1">
      <alignment horizontal="left" wrapText="1"/>
    </xf>
    <xf numFmtId="37" fontId="263" fillId="0" borderId="0" xfId="0" applyFont="1" applyAlignment="1">
      <alignment horizontal="right" wrapText="1"/>
    </xf>
    <xf numFmtId="37" fontId="263" fillId="0" borderId="0" xfId="0" applyFont="1" applyAlignment="1" applyProtection="1">
      <alignment horizontal="right" wrapText="1"/>
      <protection locked="0"/>
    </xf>
    <xf numFmtId="37" fontId="299" fillId="0" borderId="0" xfId="0" applyFont="1" applyAlignment="1" applyProtection="1">
      <alignment horizontal="right" wrapText="1"/>
      <protection locked="0"/>
    </xf>
    <xf numFmtId="37" fontId="299" fillId="40" borderId="0" xfId="0" applyFont="1" applyFill="1" applyAlignment="1">
      <alignment vertical="center"/>
    </xf>
    <xf numFmtId="37" fontId="263" fillId="40" borderId="0" xfId="0" applyFont="1" applyFill="1" applyAlignment="1">
      <alignment vertical="center" wrapText="1"/>
    </xf>
    <xf numFmtId="37" fontId="143" fillId="0" borderId="38" xfId="0" applyFont="1" applyBorder="1" applyAlignment="1" applyProtection="1">
      <alignment horizontal="center"/>
    </xf>
    <xf numFmtId="37" fontId="96" fillId="0" borderId="0" xfId="0" applyFont="1" applyFill="1" applyBorder="1" applyAlignment="1" applyProtection="1">
      <alignment vertical="top"/>
    </xf>
    <xf numFmtId="37" fontId="96" fillId="0" borderId="0" xfId="0" applyFont="1" applyFill="1" applyAlignment="1" applyProtection="1">
      <alignment horizontal="center"/>
    </xf>
    <xf numFmtId="37" fontId="96" fillId="0" borderId="0" xfId="0" applyFont="1" applyBorder="1" applyAlignment="1" applyProtection="1">
      <alignment vertical="top"/>
    </xf>
    <xf numFmtId="37" fontId="143" fillId="0" borderId="0" xfId="0" applyNumberFormat="1" applyFont="1" applyAlignment="1" applyProtection="1">
      <alignment horizontal="center" vertical="top"/>
    </xf>
    <xf numFmtId="37" fontId="143" fillId="6" borderId="46" xfId="0" applyNumberFormat="1" applyFont="1" applyFill="1" applyBorder="1" applyAlignment="1" applyProtection="1">
      <alignment horizontal="center" vertical="top"/>
      <protection locked="0"/>
    </xf>
    <xf numFmtId="37" fontId="143" fillId="0" borderId="0" xfId="0" quotePrefix="1" applyNumberFormat="1" applyFont="1" applyFill="1" applyBorder="1" applyAlignment="1" applyProtection="1">
      <alignment horizontal="center" vertical="top"/>
    </xf>
    <xf numFmtId="37" fontId="143" fillId="0" borderId="0" xfId="0" applyNumberFormat="1" applyFont="1" applyFill="1" applyBorder="1" applyAlignment="1" applyProtection="1">
      <alignment horizontal="center" vertical="top"/>
    </xf>
    <xf numFmtId="37" fontId="143" fillId="0" borderId="0" xfId="0" applyNumberFormat="1" applyFont="1" applyFill="1" applyAlignment="1" applyProtection="1">
      <alignment horizontal="center" vertical="top"/>
    </xf>
    <xf numFmtId="37" fontId="143" fillId="6" borderId="39" xfId="0" applyNumberFormat="1" applyFont="1" applyFill="1" applyBorder="1" applyAlignment="1" applyProtection="1">
      <alignment horizontal="center" vertical="top"/>
      <protection locked="0"/>
    </xf>
    <xf numFmtId="37" fontId="96" fillId="0" borderId="0" xfId="0" applyNumberFormat="1" applyFont="1" applyFill="1" applyAlignment="1" applyProtection="1">
      <alignment horizontal="center" vertical="top"/>
    </xf>
    <xf numFmtId="37" fontId="96" fillId="31" borderId="46" xfId="0" applyNumberFormat="1" applyFont="1" applyFill="1" applyBorder="1" applyAlignment="1" applyProtection="1">
      <alignment horizontal="center" vertical="top"/>
    </xf>
    <xf numFmtId="37" fontId="96" fillId="0" borderId="0" xfId="0" applyNumberFormat="1" applyFont="1" applyFill="1" applyBorder="1" applyAlignment="1" applyProtection="1">
      <alignment horizontal="center" vertical="top"/>
    </xf>
    <xf numFmtId="37" fontId="144" fillId="34" borderId="46" xfId="0" applyNumberFormat="1" applyFont="1" applyFill="1" applyBorder="1" applyAlignment="1" applyProtection="1">
      <alignment horizontal="center" vertical="top"/>
    </xf>
    <xf numFmtId="37" fontId="96" fillId="34" borderId="0" xfId="0" applyFont="1" applyFill="1" applyAlignment="1" applyProtection="1">
      <alignment vertical="top"/>
    </xf>
    <xf numFmtId="37" fontId="143" fillId="34" borderId="0" xfId="0" applyNumberFormat="1" applyFont="1" applyFill="1" applyAlignment="1" applyProtection="1">
      <alignment horizontal="center" vertical="top"/>
    </xf>
    <xf numFmtId="37" fontId="96" fillId="34" borderId="0" xfId="0" applyNumberFormat="1" applyFont="1" applyFill="1" applyAlignment="1" applyProtection="1">
      <alignment horizontal="center" vertical="top"/>
    </xf>
    <xf numFmtId="37" fontId="143" fillId="34" borderId="0" xfId="0" applyNumberFormat="1" applyFont="1" applyFill="1" applyBorder="1" applyAlignment="1" applyProtection="1">
      <alignment horizontal="center" vertical="top"/>
    </xf>
    <xf numFmtId="9" fontId="96" fillId="31" borderId="46" xfId="2" applyNumberFormat="1" applyFont="1" applyFill="1" applyBorder="1" applyAlignment="1" applyProtection="1">
      <alignment horizontal="center" vertical="top"/>
    </xf>
    <xf numFmtId="168" fontId="96" fillId="0" borderId="0" xfId="0" applyNumberFormat="1" applyFont="1" applyFill="1" applyBorder="1" applyAlignment="1" applyProtection="1">
      <alignment horizontal="center" vertical="top"/>
    </xf>
    <xf numFmtId="37" fontId="96" fillId="34" borderId="0" xfId="0" applyFont="1" applyFill="1" applyBorder="1" applyAlignment="1" applyProtection="1">
      <alignment vertical="top"/>
    </xf>
    <xf numFmtId="37" fontId="96" fillId="34" borderId="0" xfId="0" applyFont="1" applyFill="1" applyAlignment="1" applyProtection="1">
      <alignment horizontal="center" vertical="top"/>
    </xf>
    <xf numFmtId="37" fontId="143" fillId="0" borderId="38" xfId="0" applyNumberFormat="1" applyFont="1" applyFill="1" applyBorder="1" applyAlignment="1" applyProtection="1">
      <alignment horizontal="center" vertical="top"/>
    </xf>
    <xf numFmtId="37" fontId="168" fillId="0" borderId="0" xfId="0" applyFont="1" applyFill="1" applyAlignment="1" applyProtection="1">
      <alignment horizontal="right" vertical="top"/>
    </xf>
    <xf numFmtId="179" fontId="96" fillId="31" borderId="46" xfId="0" applyNumberFormat="1" applyFont="1" applyFill="1" applyBorder="1" applyAlignment="1" applyProtection="1">
      <alignment horizontal="center" vertical="top"/>
    </xf>
    <xf numFmtId="37" fontId="143" fillId="4" borderId="0" xfId="0" applyNumberFormat="1" applyFont="1" applyFill="1" applyAlignment="1" applyProtection="1">
      <alignment horizontal="right" vertical="top"/>
      <protection locked="0"/>
    </xf>
    <xf numFmtId="167" fontId="96" fillId="31" borderId="0" xfId="0" applyNumberFormat="1" applyFont="1" applyFill="1" applyAlignment="1" applyProtection="1">
      <alignment vertical="top"/>
    </xf>
    <xf numFmtId="37" fontId="96" fillId="0" borderId="0" xfId="0" applyNumberFormat="1" applyFont="1" applyFill="1" applyAlignment="1" applyProtection="1">
      <alignment horizontal="right" vertical="top"/>
    </xf>
    <xf numFmtId="167" fontId="96" fillId="0" borderId="0" xfId="0" applyNumberFormat="1" applyFont="1" applyFill="1" applyAlignment="1" applyProtection="1">
      <alignment vertical="top"/>
    </xf>
    <xf numFmtId="37" fontId="96" fillId="31" borderId="41" xfId="0" applyNumberFormat="1" applyFont="1" applyFill="1" applyBorder="1" applyAlignment="1" applyProtection="1">
      <alignment horizontal="right" vertical="top"/>
    </xf>
    <xf numFmtId="37" fontId="96" fillId="0" borderId="0" xfId="0" applyFont="1" applyAlignment="1" applyProtection="1">
      <alignment horizontal="center" vertical="top"/>
    </xf>
    <xf numFmtId="37" fontId="96" fillId="31" borderId="0" xfId="0" applyNumberFormat="1" applyFont="1" applyFill="1" applyAlignment="1" applyProtection="1">
      <alignment horizontal="right" vertical="top"/>
    </xf>
    <xf numFmtId="37" fontId="96" fillId="31" borderId="1" xfId="0" applyNumberFormat="1" applyFont="1" applyFill="1" applyBorder="1" applyAlignment="1" applyProtection="1">
      <alignment horizontal="right" vertical="top"/>
    </xf>
    <xf numFmtId="37" fontId="96" fillId="0" borderId="0" xfId="0" applyNumberFormat="1" applyFont="1" applyFill="1" applyBorder="1" applyAlignment="1" applyProtection="1">
      <alignment horizontal="right" vertical="top"/>
    </xf>
    <xf numFmtId="37" fontId="96" fillId="0" borderId="0" xfId="0" applyNumberFormat="1" applyFont="1" applyFill="1" applyAlignment="1" applyProtection="1">
      <alignment vertical="top"/>
    </xf>
    <xf numFmtId="37" fontId="143" fillId="0" borderId="0" xfId="0" applyFont="1" applyFill="1" applyAlignment="1" applyProtection="1">
      <alignment horizontal="center" vertical="top"/>
    </xf>
    <xf numFmtId="37" fontId="96" fillId="31" borderId="46" xfId="0" applyFont="1" applyFill="1" applyBorder="1" applyAlignment="1" applyProtection="1">
      <alignment horizontal="center" vertical="top"/>
    </xf>
    <xf numFmtId="37" fontId="143" fillId="0" borderId="0" xfId="0" applyFont="1" applyFill="1" applyBorder="1" applyAlignment="1" applyProtection="1">
      <alignment horizontal="center" vertical="top"/>
    </xf>
    <xf numFmtId="37" fontId="143" fillId="4" borderId="38" xfId="0" applyNumberFormat="1" applyFont="1" applyFill="1" applyBorder="1" applyAlignment="1" applyProtection="1">
      <alignment horizontal="right" vertical="top"/>
      <protection locked="0"/>
    </xf>
    <xf numFmtId="37" fontId="96" fillId="31" borderId="38" xfId="0" applyNumberFormat="1" applyFont="1" applyFill="1" applyBorder="1" applyAlignment="1" applyProtection="1">
      <alignment horizontal="right" vertical="top"/>
    </xf>
    <xf numFmtId="37" fontId="143" fillId="0" borderId="0" xfId="0" applyNumberFormat="1" applyFont="1" applyFill="1" applyAlignment="1" applyProtection="1">
      <alignment horizontal="right" vertical="top"/>
    </xf>
    <xf numFmtId="37" fontId="96" fillId="31" borderId="46" xfId="0" applyFont="1" applyFill="1" applyBorder="1" applyAlignment="1" applyProtection="1">
      <alignment horizontal="right" vertical="top"/>
    </xf>
    <xf numFmtId="7" fontId="96" fillId="31" borderId="0" xfId="0" applyNumberFormat="1" applyFont="1" applyFill="1" applyAlignment="1" applyProtection="1">
      <alignment horizontal="center" vertical="top"/>
    </xf>
    <xf numFmtId="37" fontId="143" fillId="4" borderId="0" xfId="0" applyNumberFormat="1" applyFont="1" applyFill="1" applyAlignment="1" applyProtection="1">
      <alignment horizontal="center" vertical="top"/>
      <protection locked="0"/>
    </xf>
    <xf numFmtId="37" fontId="143" fillId="4" borderId="38" xfId="0" applyNumberFormat="1" applyFont="1" applyFill="1" applyBorder="1" applyAlignment="1" applyProtection="1">
      <alignment horizontal="center" vertical="top"/>
      <protection locked="0"/>
    </xf>
    <xf numFmtId="37" fontId="96" fillId="31" borderId="41" xfId="0" applyNumberFormat="1" applyFont="1" applyFill="1" applyBorder="1" applyAlignment="1" applyProtection="1">
      <alignment horizontal="center" vertical="top"/>
    </xf>
    <xf numFmtId="37" fontId="143" fillId="31" borderId="46" xfId="0" applyFont="1" applyFill="1" applyBorder="1" applyAlignment="1" applyProtection="1">
      <alignment horizontal="center" vertical="top"/>
    </xf>
    <xf numFmtId="37" fontId="24" fillId="8" borderId="0" xfId="0" applyNumberFormat="1" applyFont="1" applyFill="1" applyBorder="1" applyAlignment="1" applyProtection="1">
      <alignment horizontal="left" vertical="top" wrapText="1"/>
    </xf>
    <xf numFmtId="37" fontId="26" fillId="36" borderId="0" xfId="0" applyFont="1" applyFill="1" applyBorder="1" applyAlignment="1">
      <alignment horizontal="left"/>
    </xf>
    <xf numFmtId="37" fontId="26" fillId="4" borderId="0" xfId="0" applyFont="1" applyFill="1" applyBorder="1" applyAlignment="1">
      <alignment horizontal="left"/>
    </xf>
    <xf numFmtId="37" fontId="15" fillId="0" borderId="0" xfId="0" applyFont="1" applyBorder="1" applyAlignment="1">
      <alignment horizontal="left"/>
    </xf>
    <xf numFmtId="171" fontId="162" fillId="0" borderId="13" xfId="1" applyNumberFormat="1" applyFont="1" applyFill="1" applyBorder="1" applyAlignment="1" applyProtection="1">
      <alignment horizontal="left" vertical="top" wrapText="1"/>
    </xf>
    <xf numFmtId="37" fontId="163" fillId="0" borderId="44" xfId="0" applyFont="1" applyFill="1" applyBorder="1" applyAlignment="1" applyProtection="1">
      <alignment horizontal="left" vertical="top" wrapText="1"/>
    </xf>
    <xf numFmtId="37" fontId="215" fillId="39" borderId="0" xfId="0" applyFont="1" applyFill="1" applyBorder="1" applyAlignment="1">
      <alignment horizontal="left"/>
    </xf>
    <xf numFmtId="171" fontId="12" fillId="8" borderId="8" xfId="1" applyNumberFormat="1" applyFont="1" applyFill="1" applyBorder="1" applyAlignment="1">
      <alignment horizontal="left"/>
    </xf>
    <xf numFmtId="171" fontId="12" fillId="8" borderId="10" xfId="1" applyNumberFormat="1" applyFont="1" applyFill="1" applyBorder="1" applyAlignment="1">
      <alignment horizontal="left"/>
    </xf>
    <xf numFmtId="171" fontId="12" fillId="8" borderId="11" xfId="1" applyNumberFormat="1" applyFont="1" applyFill="1" applyBorder="1" applyAlignment="1">
      <alignment horizontal="left"/>
    </xf>
    <xf numFmtId="37" fontId="35" fillId="8" borderId="6" xfId="0" applyFont="1" applyFill="1" applyBorder="1" applyAlignment="1">
      <alignment horizontal="left"/>
    </xf>
    <xf numFmtId="37" fontId="35" fillId="8" borderId="7" xfId="0" applyFont="1" applyFill="1" applyBorder="1" applyAlignment="1">
      <alignment horizontal="left"/>
    </xf>
    <xf numFmtId="37" fontId="138" fillId="0" borderId="0" xfId="0" applyNumberFormat="1" applyFont="1" applyFill="1" applyAlignment="1" applyProtection="1">
      <alignment horizontal="left"/>
    </xf>
    <xf numFmtId="37" fontId="303" fillId="0" borderId="0" xfId="0" applyFont="1"/>
    <xf numFmtId="37" fontId="304" fillId="0" borderId="0" xfId="0" applyFont="1" applyAlignment="1">
      <alignment vertical="center"/>
    </xf>
    <xf numFmtId="37" fontId="303" fillId="0" borderId="0" xfId="0" applyFont="1" applyAlignment="1">
      <alignment vertical="center"/>
    </xf>
    <xf numFmtId="37" fontId="303" fillId="0" borderId="0" xfId="0" applyFont="1" applyAlignment="1">
      <alignment horizontal="left" vertical="center"/>
    </xf>
    <xf numFmtId="37" fontId="299" fillId="0" borderId="0" xfId="0" applyNumberFormat="1" applyFont="1" applyBorder="1" applyAlignment="1">
      <alignment horizontal="left"/>
    </xf>
    <xf numFmtId="37" fontId="263" fillId="12" borderId="0" xfId="0" applyFont="1" applyFill="1"/>
    <xf numFmtId="37" fontId="302" fillId="12" borderId="0" xfId="0" applyFont="1" applyFill="1"/>
    <xf numFmtId="37" fontId="96" fillId="0" borderId="0" xfId="0" applyFont="1" applyAlignment="1" applyProtection="1">
      <alignment vertical="top"/>
    </xf>
    <xf numFmtId="37" fontId="172" fillId="0" borderId="0" xfId="0" applyFont="1" applyAlignment="1" applyProtection="1">
      <alignment vertical="top"/>
    </xf>
    <xf numFmtId="37" fontId="96" fillId="12" borderId="0" xfId="0" applyFont="1" applyFill="1" applyAlignment="1" applyProtection="1">
      <alignment vertical="top"/>
    </xf>
    <xf numFmtId="37" fontId="150" fillId="27" borderId="55" xfId="0" applyFont="1" applyFill="1" applyBorder="1" applyAlignment="1" applyProtection="1">
      <alignment horizontal="center" vertical="top"/>
    </xf>
    <xf numFmtId="37" fontId="263" fillId="16" borderId="0" xfId="0" applyFont="1" applyFill="1" applyAlignment="1">
      <alignment horizontal="left" wrapText="1"/>
    </xf>
    <xf numFmtId="37" fontId="263" fillId="16" borderId="0" xfId="0" applyFont="1" applyFill="1"/>
    <xf numFmtId="37" fontId="304" fillId="0" borderId="0" xfId="0" applyFont="1" applyAlignment="1">
      <alignment horizontal="left" vertical="center"/>
    </xf>
    <xf numFmtId="37" fontId="262" fillId="0" borderId="0" xfId="0" applyFont="1"/>
    <xf numFmtId="37" fontId="263" fillId="4" borderId="0" xfId="0" applyFont="1" applyFill="1"/>
    <xf numFmtId="37" fontId="305" fillId="0" borderId="0" xfId="0" applyFont="1" applyAlignment="1">
      <alignment horizontal="right" wrapText="1"/>
    </xf>
    <xf numFmtId="37" fontId="96" fillId="4" borderId="0" xfId="0" applyFont="1" applyFill="1" applyAlignment="1" applyProtection="1">
      <alignment horizontal="right" vertical="top"/>
      <protection locked="0"/>
    </xf>
    <xf numFmtId="37" fontId="306" fillId="0" borderId="0" xfId="0" applyFont="1" applyAlignment="1">
      <alignment vertical="center"/>
    </xf>
    <xf numFmtId="37" fontId="307" fillId="0" borderId="0" xfId="0" applyFont="1" applyAlignment="1">
      <alignment horizontal="left" vertical="center"/>
    </xf>
    <xf numFmtId="37" fontId="306" fillId="0" borderId="0" xfId="0" applyFont="1" applyAlignment="1">
      <alignment horizontal="left" vertical="center"/>
    </xf>
    <xf numFmtId="37" fontId="308" fillId="0" borderId="0" xfId="0" applyFont="1" applyAlignment="1">
      <alignment vertical="center"/>
    </xf>
    <xf numFmtId="37" fontId="309" fillId="0" borderId="0" xfId="0" applyFont="1" applyAlignment="1">
      <alignment horizontal="left" vertical="center"/>
    </xf>
    <xf numFmtId="37" fontId="309" fillId="0" borderId="0" xfId="0" applyFont="1" applyAlignment="1">
      <alignment vertical="center"/>
    </xf>
    <xf numFmtId="37" fontId="0" fillId="0" borderId="0" xfId="0" applyFont="1" applyAlignment="1">
      <alignment vertical="center"/>
    </xf>
    <xf numFmtId="37" fontId="0" fillId="0" borderId="0" xfId="0" applyFont="1" applyAlignment="1"/>
    <xf numFmtId="171" fontId="42" fillId="4" borderId="0" xfId="1" applyNumberFormat="1" applyFont="1" applyFill="1"/>
    <xf numFmtId="37" fontId="263" fillId="0" borderId="0" xfId="0" applyFont="1" applyFill="1"/>
    <xf numFmtId="37" fontId="263" fillId="0" borderId="0" xfId="0" applyFont="1" applyFill="1" applyAlignment="1">
      <alignment horizontal="left" wrapText="1"/>
    </xf>
    <xf numFmtId="37" fontId="263" fillId="0" borderId="0" xfId="0" applyFont="1" applyFill="1" applyAlignment="1">
      <alignment horizontal="left"/>
    </xf>
    <xf numFmtId="37" fontId="308" fillId="0" borderId="0" xfId="0" applyFont="1" applyAlignment="1">
      <alignment horizontal="left" vertical="center"/>
    </xf>
    <xf numFmtId="0" fontId="38" fillId="0" borderId="0" xfId="15" applyFont="1" applyAlignment="1">
      <alignment horizontal="center" wrapText="1"/>
    </xf>
    <xf numFmtId="0" fontId="38" fillId="0" borderId="0" xfId="15" quotePrefix="1" applyFont="1" applyFill="1" applyAlignment="1">
      <alignment horizontal="center"/>
    </xf>
    <xf numFmtId="171" fontId="38" fillId="0" borderId="0" xfId="1" applyNumberFormat="1" applyFont="1" applyFill="1"/>
    <xf numFmtId="37" fontId="296" fillId="33" borderId="0" xfId="0" applyFont="1" applyFill="1"/>
    <xf numFmtId="37" fontId="296" fillId="5" borderId="0" xfId="0" applyFont="1" applyFill="1"/>
    <xf numFmtId="37" fontId="121" fillId="0" borderId="0" xfId="1" applyNumberFormat="1" applyFont="1" applyFill="1" applyBorder="1" applyAlignment="1">
      <alignment horizontal="right"/>
    </xf>
    <xf numFmtId="37" fontId="121" fillId="0" borderId="3" xfId="1" applyNumberFormat="1" applyFont="1" applyFill="1" applyBorder="1" applyAlignment="1">
      <alignment horizontal="right"/>
    </xf>
    <xf numFmtId="168" fontId="39" fillId="0" borderId="2" xfId="0" applyNumberFormat="1" applyFont="1" applyFill="1" applyBorder="1" applyAlignment="1">
      <alignment horizontal="right"/>
    </xf>
    <xf numFmtId="189" fontId="39" fillId="0" borderId="4" xfId="0" applyNumberFormat="1" applyFont="1" applyFill="1" applyBorder="1"/>
    <xf numFmtId="167" fontId="296" fillId="5" borderId="0" xfId="18" applyNumberFormat="1" applyFont="1" applyFill="1"/>
    <xf numFmtId="167" fontId="296" fillId="5" borderId="0" xfId="15" applyNumberFormat="1" applyFont="1" applyFill="1"/>
    <xf numFmtId="37" fontId="174" fillId="16" borderId="0" xfId="0" applyFont="1" applyFill="1" applyAlignment="1">
      <alignment horizontal="left" vertical="center"/>
    </xf>
    <xf numFmtId="37" fontId="310" fillId="16" borderId="0" xfId="0" applyFont="1" applyFill="1" applyAlignment="1">
      <alignment vertical="center"/>
    </xf>
    <xf numFmtId="37" fontId="267" fillId="16" borderId="0" xfId="0" applyFont="1" applyFill="1"/>
    <xf numFmtId="174" fontId="100" fillId="16" borderId="0" xfId="0" applyNumberFormat="1" applyFont="1" applyFill="1"/>
    <xf numFmtId="0" fontId="100" fillId="16" borderId="0" xfId="0" applyNumberFormat="1" applyFont="1" applyFill="1"/>
    <xf numFmtId="180" fontId="100" fillId="16" borderId="0" xfId="14" applyNumberFormat="1" applyFont="1" applyFill="1"/>
    <xf numFmtId="180" fontId="100" fillId="16" borderId="37" xfId="14" applyNumberFormat="1" applyFont="1" applyFill="1" applyBorder="1"/>
    <xf numFmtId="37" fontId="309" fillId="0" borderId="0" xfId="0" applyFont="1" applyFill="1" applyAlignment="1">
      <alignment horizontal="left" vertical="center"/>
    </xf>
    <xf numFmtId="37" fontId="299" fillId="0" borderId="0" xfId="0" applyFont="1" applyFill="1"/>
    <xf numFmtId="37" fontId="311" fillId="0" borderId="0" xfId="0" applyFont="1" applyFill="1"/>
    <xf numFmtId="37" fontId="303" fillId="0" borderId="0" xfId="0" applyFont="1" applyAlignment="1">
      <alignment vertical="center" wrapText="1"/>
    </xf>
    <xf numFmtId="37" fontId="312" fillId="6" borderId="39" xfId="0" applyFont="1" applyFill="1" applyBorder="1" applyAlignment="1" applyProtection="1">
      <alignment horizontal="center" vertical="top"/>
      <protection locked="0"/>
    </xf>
    <xf numFmtId="37" fontId="313" fillId="0" borderId="0" xfId="0" applyFont="1" applyAlignment="1">
      <alignment vertical="center"/>
    </xf>
    <xf numFmtId="37" fontId="314" fillId="0" borderId="0" xfId="0" applyFont="1" applyAlignment="1">
      <alignment horizontal="left" vertical="center" indent="4"/>
    </xf>
    <xf numFmtId="10" fontId="30" fillId="16" borderId="23" xfId="2" applyNumberFormat="1" applyFont="1" applyFill="1" applyBorder="1" applyAlignment="1">
      <alignment horizontal="center"/>
    </xf>
    <xf numFmtId="10" fontId="30" fillId="16" borderId="24" xfId="2" applyNumberFormat="1" applyFont="1" applyFill="1" applyBorder="1" applyAlignment="1">
      <alignment horizontal="center"/>
    </xf>
    <xf numFmtId="10" fontId="30" fillId="16" borderId="25" xfId="2" applyNumberFormat="1" applyFont="1" applyFill="1" applyBorder="1" applyAlignment="1">
      <alignment horizontal="center"/>
    </xf>
    <xf numFmtId="37" fontId="230" fillId="40" borderId="0" xfId="0" applyFont="1" applyFill="1" applyAlignment="1">
      <alignment vertical="center" wrapText="1"/>
    </xf>
    <xf numFmtId="37" fontId="230" fillId="4" borderId="0" xfId="0" applyFont="1" applyFill="1" applyAlignment="1">
      <alignment vertical="center" wrapText="1"/>
    </xf>
    <xf numFmtId="37" fontId="255" fillId="40" borderId="0" xfId="0" applyFont="1" applyFill="1" applyAlignment="1">
      <alignment vertical="center" wrapText="1"/>
    </xf>
    <xf numFmtId="37" fontId="258" fillId="40" borderId="0" xfId="0" applyFont="1" applyFill="1" applyAlignment="1">
      <alignment vertical="center" wrapText="1"/>
    </xf>
    <xf numFmtId="37" fontId="255" fillId="40" borderId="52" xfId="0" applyFont="1" applyFill="1" applyBorder="1" applyAlignment="1">
      <alignment vertical="center" wrapText="1"/>
    </xf>
    <xf numFmtId="167" fontId="116" fillId="5" borderId="0" xfId="2" applyNumberFormat="1" applyFont="1" applyFill="1" applyAlignment="1">
      <alignment horizontal="left" vertical="top" wrapText="1"/>
    </xf>
    <xf numFmtId="37" fontId="39" fillId="0" borderId="0" xfId="0" applyFont="1" applyFill="1" applyBorder="1" applyAlignment="1">
      <alignment horizontal="center"/>
    </xf>
    <xf numFmtId="1" fontId="40" fillId="0" borderId="0" xfId="0" applyNumberFormat="1" applyFont="1" applyFill="1" applyAlignment="1">
      <alignment horizontal="center"/>
    </xf>
    <xf numFmtId="1" fontId="40" fillId="5" borderId="0" xfId="0" applyNumberFormat="1" applyFont="1" applyFill="1" applyAlignment="1">
      <alignment horizontal="center"/>
    </xf>
  </cellXfs>
  <cellStyles count="41">
    <cellStyle name="Comma" xfId="1" builtinId="3"/>
    <cellStyle name="Comma 2" xfId="4" xr:uid="{00000000-0005-0000-0000-000001000000}"/>
    <cellStyle name="Comma 4" xfId="21" xr:uid="{00000000-0005-0000-0000-000002000000}"/>
    <cellStyle name="Comma 4 2" xfId="38" xr:uid="{00000000-0005-0000-0000-000003000000}"/>
    <cellStyle name="Comma0" xfId="5" xr:uid="{00000000-0005-0000-0000-000004000000}"/>
    <cellStyle name="Currency" xfId="14" builtinId="4"/>
    <cellStyle name="Currency 2" xfId="3" xr:uid="{00000000-0005-0000-0000-000006000000}"/>
    <cellStyle name="Currency 3" xfId="8" xr:uid="{00000000-0005-0000-0000-000007000000}"/>
    <cellStyle name="Currency 4" xfId="10" xr:uid="{00000000-0005-0000-0000-000008000000}"/>
    <cellStyle name="Currency 4 2" xfId="29" xr:uid="{00000000-0005-0000-0000-000009000000}"/>
    <cellStyle name="Currency 5" xfId="12" xr:uid="{00000000-0005-0000-0000-00000A000000}"/>
    <cellStyle name="Currency 5 2" xfId="31" xr:uid="{00000000-0005-0000-0000-00000B000000}"/>
    <cellStyle name="Currency 6" xfId="13" xr:uid="{00000000-0005-0000-0000-00000C000000}"/>
    <cellStyle name="Currency 6 2" xfId="32" xr:uid="{00000000-0005-0000-0000-00000D000000}"/>
    <cellStyle name="Currency 7" xfId="16" xr:uid="{00000000-0005-0000-0000-00000E000000}"/>
    <cellStyle name="Currency 7 2" xfId="34" xr:uid="{00000000-0005-0000-0000-00000F000000}"/>
    <cellStyle name="Currency 8" xfId="17" xr:uid="{00000000-0005-0000-0000-000010000000}"/>
    <cellStyle name="Currency 8 2" xfId="35" xr:uid="{00000000-0005-0000-0000-000011000000}"/>
    <cellStyle name="Hyperlink" xfId="25" builtinId="8"/>
    <cellStyle name="Normal" xfId="0" builtinId="0"/>
    <cellStyle name="Normal 15" xfId="23" xr:uid="{00000000-0005-0000-0000-000014000000}"/>
    <cellStyle name="Normal 15 2" xfId="40" xr:uid="{00000000-0005-0000-0000-000015000000}"/>
    <cellStyle name="Normal 17" xfId="26" xr:uid="{00000000-0005-0000-0000-000016000000}"/>
    <cellStyle name="Normal 2" xfId="6" xr:uid="{00000000-0005-0000-0000-000017000000}"/>
    <cellStyle name="Normal 2 2" xfId="20" xr:uid="{00000000-0005-0000-0000-000018000000}"/>
    <cellStyle name="Normal 2 2 2" xfId="37" xr:uid="{00000000-0005-0000-0000-000019000000}"/>
    <cellStyle name="Normal 2 3" xfId="27" xr:uid="{00000000-0005-0000-0000-00001A000000}"/>
    <cellStyle name="Normal 3" xfId="9" xr:uid="{00000000-0005-0000-0000-00001B000000}"/>
    <cellStyle name="Normal 3 2" xfId="28" xr:uid="{00000000-0005-0000-0000-00001C000000}"/>
    <cellStyle name="Normal 4" xfId="15" xr:uid="{00000000-0005-0000-0000-00001D000000}"/>
    <cellStyle name="Normal 4 2" xfId="22" xr:uid="{00000000-0005-0000-0000-00001E000000}"/>
    <cellStyle name="Normal 4 2 2" xfId="39" xr:uid="{00000000-0005-0000-0000-00001F000000}"/>
    <cellStyle name="Normal 4 3" xfId="33" xr:uid="{00000000-0005-0000-0000-000020000000}"/>
    <cellStyle name="Normal 5" xfId="19" xr:uid="{00000000-0005-0000-0000-000021000000}"/>
    <cellStyle name="Normal 9" xfId="24" xr:uid="{00000000-0005-0000-0000-000022000000}"/>
    <cellStyle name="Percent" xfId="2" builtinId="5"/>
    <cellStyle name="Percent 2" xfId="7" xr:uid="{00000000-0005-0000-0000-000024000000}"/>
    <cellStyle name="Percent 3" xfId="11" xr:uid="{00000000-0005-0000-0000-000025000000}"/>
    <cellStyle name="Percent 3 2" xfId="30" xr:uid="{00000000-0005-0000-0000-000026000000}"/>
    <cellStyle name="Percent 4" xfId="18" xr:uid="{00000000-0005-0000-0000-000027000000}"/>
    <cellStyle name="Percent 4 2" xfId="36" xr:uid="{00000000-0005-0000-0000-000028000000}"/>
  </cellStyles>
  <dxfs count="61">
    <dxf>
      <font>
        <b/>
        <i val="0"/>
      </font>
      <fill>
        <patternFill>
          <bgColor rgb="FFFFFF00"/>
        </patternFill>
      </fill>
    </dxf>
    <dxf>
      <font>
        <b/>
        <i val="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font>
      <fill>
        <patternFill>
          <bgColor rgb="FFFFFF00"/>
        </patternFill>
      </fill>
    </dxf>
    <dxf>
      <font>
        <b/>
        <i val="0"/>
        <color rgb="FFFF0000"/>
      </font>
      <fill>
        <patternFill>
          <bgColor rgb="FFFFFF00"/>
        </patternFill>
      </fill>
    </dxf>
    <dxf>
      <font>
        <b/>
        <i val="0"/>
      </font>
      <fill>
        <patternFill>
          <bgColor rgb="FFFFFF00"/>
        </patternFill>
      </fill>
    </dxf>
    <dxf>
      <font>
        <b/>
        <i val="0"/>
        <color rgb="FFFF0000"/>
      </font>
      <fill>
        <patternFill>
          <bgColor rgb="FFFFFF00"/>
        </patternFill>
      </fill>
    </dxf>
    <dxf>
      <font>
        <b/>
        <i val="0"/>
      </font>
      <fill>
        <patternFill>
          <bgColor rgb="FFFFFF00"/>
        </patternFill>
      </fill>
    </dxf>
    <dxf>
      <font>
        <b/>
        <i val="0"/>
        <color rgb="FFFF0000"/>
      </font>
      <fill>
        <patternFill>
          <bgColor rgb="FFFFFF00"/>
        </patternFill>
      </fill>
    </dxf>
    <dxf>
      <font>
        <b/>
        <i val="0"/>
      </font>
      <fill>
        <patternFill>
          <bgColor rgb="FFFFFF00"/>
        </patternFill>
      </fill>
    </dxf>
    <dxf>
      <font>
        <b/>
        <i val="0"/>
        <color rgb="FFFF0000"/>
      </font>
      <fill>
        <patternFill>
          <bgColor rgb="FFFFFF00"/>
        </patternFill>
      </fill>
    </dxf>
    <dxf>
      <font>
        <b/>
        <i val="0"/>
      </font>
      <fill>
        <patternFill>
          <bgColor rgb="FFFFFF00"/>
        </patternFill>
      </fill>
    </dxf>
    <dxf>
      <font>
        <b/>
        <i val="0"/>
      </font>
      <fill>
        <patternFill>
          <bgColor rgb="FFFFFF00"/>
        </patternFill>
      </fill>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ont>
        <b/>
        <i val="0"/>
      </font>
      <fill>
        <patternFill>
          <bgColor rgb="FFFFFF00"/>
        </patternFill>
      </fill>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ont>
        <b/>
        <i val="0"/>
      </font>
      <fill>
        <patternFill>
          <bgColor rgb="FFFFFF00"/>
        </patternFill>
      </fill>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ont>
        <b/>
        <i val="0"/>
      </font>
      <fill>
        <patternFill>
          <bgColor rgb="FFFFFF00"/>
        </patternFill>
      </fill>
    </dxf>
    <dxf>
      <fill>
        <patternFill>
          <bgColor rgb="FF92D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3333FF"/>
      <color rgb="FF0066FF"/>
      <color rgb="FF99FF33"/>
      <color rgb="FF00FF00"/>
      <color rgb="FF000099"/>
      <color rgb="FF0000FF"/>
      <color rgb="FF0033CC"/>
      <color rgb="FF376091"/>
      <color rgb="FF6666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2.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3.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4.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5.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1.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2.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3.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4.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6.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2.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3.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49.xml"/><Relationship Id="rId1" Type="http://schemas.microsoft.com/office/2011/relationships/chartStyle" Target="style49.xml"/></Relationships>
</file>

<file path=xl/charts/_rels/chart55.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6.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7.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8.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9.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0.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1.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Year End</a:t>
            </a:r>
          </a:p>
        </c:rich>
      </c:tx>
      <c:layout>
        <c:manualLayout>
          <c:xMode val="edge"/>
          <c:yMode val="edge"/>
          <c:x val="0.2187328455445878"/>
          <c:y val="3.524322617352647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4"/>
          <c:order val="0"/>
          <c:tx>
            <c:strRef>
              <c:f>'Bal Sheet'!$A$125</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2F-49F0-B1C3-1E05FEC544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2F-49F0-B1C3-1E05FEC544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2F-49F0-B1C3-1E05FEC544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2F-49F0-B1C3-1E05FEC544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2F-49F0-B1C3-1E05FEC5445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F2F-49F0-B1C3-1E05FEC54458}"/>
              </c:ext>
            </c:extLst>
          </c:dPt>
          <c:cat>
            <c:strRef>
              <c:extLst>
                <c:ext xmlns:c15="http://schemas.microsoft.com/office/drawing/2012/chart" uri="{02D57815-91ED-43cb-92C2-25804820EDAC}">
                  <c15:fullRef>
                    <c15:sqref>'Bal Sheet'!$C$117:$J$117</c15:sqref>
                  </c15:fullRef>
                </c:ext>
              </c:extLst>
              <c:f>'Bal Sheet'!$E$117:$J$117</c:f>
              <c:strCache>
                <c:ptCount val="6"/>
                <c:pt idx="0">
                  <c:v>Clubhouse (30%)</c:v>
                </c:pt>
                <c:pt idx="1">
                  <c:v>Golf Course (37%)</c:v>
                </c:pt>
                <c:pt idx="2">
                  <c:v>Fitness/Wellness/Spa (11%)</c:v>
                </c:pt>
                <c:pt idx="3">
                  <c:v>Marina (0%)</c:v>
                </c:pt>
                <c:pt idx="4">
                  <c:v>Tennis/ Racquet (11%)</c:v>
                </c:pt>
                <c:pt idx="5">
                  <c:v>Pool (11%)</c:v>
                </c:pt>
              </c:strCache>
            </c:strRef>
          </c:cat>
          <c:val>
            <c:numRef>
              <c:extLst>
                <c:ext xmlns:c15="http://schemas.microsoft.com/office/drawing/2012/chart" uri="{02D57815-91ED-43cb-92C2-25804820EDAC}">
                  <c15:fullRef>
                    <c15:sqref>'Bal Sheet'!$C$125:$J$125</c15:sqref>
                  </c15:fullRef>
                </c:ext>
              </c:extLst>
              <c:f>'Bal Sheet'!$E$125:$J$125</c:f>
              <c:numCache>
                <c:formatCode>0%</c:formatCode>
                <c:ptCount val="6"/>
                <c:pt idx="0" formatCode="#,##0_);\(#,##0\)">
                  <c:v>6</c:v>
                </c:pt>
                <c:pt idx="1" formatCode="#,##0_);\(#,##0\)">
                  <c:v>7</c:v>
                </c:pt>
                <c:pt idx="2" formatCode="#,##0_);\(#,##0\)">
                  <c:v>2</c:v>
                </c:pt>
                <c:pt idx="3" formatCode="#,##0_);\(#,##0\)">
                  <c:v>0</c:v>
                </c:pt>
                <c:pt idx="4" formatCode="#,##0_);\(#,##0\)">
                  <c:v>2</c:v>
                </c:pt>
                <c:pt idx="5" formatCode="#,##0_);\(#,##0\)">
                  <c:v>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F395-4B87-8A3A-637DE4E815A2}"/>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6D-4BEC-9D1C-AAD2ADC789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6D-4BEC-9D1C-AAD2ADC789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6D-4BEC-9D1C-AAD2ADC789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6D-4BEC-9D1C-AAD2ADC7895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B6D-4BEC-9D1C-AAD2ADC7895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B6D-4BEC-9D1C-AAD2ADC7895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B6D-4BEC-9D1C-AAD2ADC7895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B6D-4BEC-9D1C-AAD2ADC7895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B6D-4BEC-9D1C-AAD2ADC7895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B6D-4BEC-9D1C-AAD2ADC789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'Sheet 1'!$F$5:$F$14</c:f>
              <c:numCache>
                <c:formatCode>#,##0_);\(#,##0\)</c:formatCode>
                <c:ptCount val="10"/>
                <c:pt idx="0">
                  <c:v>3</c:v>
                </c:pt>
                <c:pt idx="1">
                  <c:v>9</c:v>
                </c:pt>
                <c:pt idx="2">
                  <c:v>6</c:v>
                </c:pt>
                <c:pt idx="3">
                  <c:v>12</c:v>
                </c:pt>
                <c:pt idx="4">
                  <c:v>2</c:v>
                </c:pt>
                <c:pt idx="5">
                  <c:v>3</c:v>
                </c:pt>
                <c:pt idx="6">
                  <c:v>25</c:v>
                </c:pt>
                <c:pt idx="7">
                  <c:v>17</c:v>
                </c:pt>
                <c:pt idx="8">
                  <c:v>2</c:v>
                </c:pt>
                <c:pt idx="9">
                  <c:v>38</c:v>
                </c:pt>
              </c:numCache>
            </c:numRef>
          </c:val>
          <c:extLst>
            <c:ext xmlns:c16="http://schemas.microsoft.com/office/drawing/2014/chart" uri="{C3380CC4-5D6E-409C-BE32-E72D297353CC}">
              <c16:uniqueId val="{00000014-AB6D-4BEC-9D1C-AAD2ADC7895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363625015603548E-2"/>
          <c:y val="0.12660507465690568"/>
          <c:w val="0.94485153478483219"/>
          <c:h val="0.73125766958705518"/>
        </c:manualLayout>
      </c:layout>
      <c:barChart>
        <c:barDir val="col"/>
        <c:grouping val="clustered"/>
        <c:varyColors val="0"/>
        <c:ser>
          <c:idx val="0"/>
          <c:order val="0"/>
          <c:tx>
            <c:strRef>
              <c:f>'Bal Sheet'!$A$4</c:f>
              <c:strCache>
                <c:ptCount val="1"/>
                <c:pt idx="0">
                  <c:v>2022</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Sheet'!$B$4:$H$4</c:f>
              <c:numCache>
                <c:formatCode>0%</c:formatCode>
                <c:ptCount val="7"/>
                <c:pt idx="0">
                  <c:v>0.52</c:v>
                </c:pt>
                <c:pt idx="1">
                  <c:v>0.52</c:v>
                </c:pt>
                <c:pt idx="2">
                  <c:v>0.41</c:v>
                </c:pt>
                <c:pt idx="3">
                  <c:v>0.57999999999999996</c:v>
                </c:pt>
                <c:pt idx="4">
                  <c:v>0.61</c:v>
                </c:pt>
                <c:pt idx="5">
                  <c:v>0.48</c:v>
                </c:pt>
                <c:pt idx="6">
                  <c:v>0.75</c:v>
                </c:pt>
              </c:numCache>
            </c:numRef>
          </c:val>
          <c:extLst>
            <c:ext xmlns:c16="http://schemas.microsoft.com/office/drawing/2014/chart" uri="{C3380CC4-5D6E-409C-BE32-E72D297353CC}">
              <c16:uniqueId val="{00000000-08D6-4CBD-AB90-0CAEC8CD9673}"/>
            </c:ext>
          </c:extLst>
        </c:ser>
        <c:ser>
          <c:idx val="1"/>
          <c:order val="1"/>
          <c:tx>
            <c:strRef>
              <c:f>'Bal Sheet'!$A$5</c:f>
              <c:strCache>
                <c:ptCount val="1"/>
                <c:pt idx="0">
                  <c:v>2021</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Sheet'!$B$5:$H$5</c:f>
              <c:numCache>
                <c:formatCode>0%</c:formatCode>
                <c:ptCount val="7"/>
                <c:pt idx="0">
                  <c:v>0.57999999999999996</c:v>
                </c:pt>
                <c:pt idx="1">
                  <c:v>0.54</c:v>
                </c:pt>
                <c:pt idx="2">
                  <c:v>0.41</c:v>
                </c:pt>
                <c:pt idx="3">
                  <c:v>0.6</c:v>
                </c:pt>
                <c:pt idx="4">
                  <c:v>0.84</c:v>
                </c:pt>
                <c:pt idx="5">
                  <c:v>0.52</c:v>
                </c:pt>
                <c:pt idx="6">
                  <c:v>0.82</c:v>
                </c:pt>
              </c:numCache>
            </c:numRef>
          </c:val>
          <c:extLst>
            <c:ext xmlns:c16="http://schemas.microsoft.com/office/drawing/2014/chart" uri="{C3380CC4-5D6E-409C-BE32-E72D297353CC}">
              <c16:uniqueId val="{00000001-08D6-4CBD-AB90-0CAEC8CD9673}"/>
            </c:ext>
          </c:extLst>
        </c:ser>
        <c:ser>
          <c:idx val="2"/>
          <c:order val="2"/>
          <c:tx>
            <c:strRef>
              <c:f>'Bal Sheet'!$A$6</c:f>
              <c:strCache>
                <c:ptCount val="1"/>
                <c:pt idx="0">
                  <c:v>2020</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Sheet'!$B$6:$H$6</c:f>
              <c:numCache>
                <c:formatCode>0%</c:formatCode>
                <c:ptCount val="7"/>
                <c:pt idx="0">
                  <c:v>0.56999999999999995</c:v>
                </c:pt>
                <c:pt idx="1">
                  <c:v>0.42</c:v>
                </c:pt>
                <c:pt idx="2">
                  <c:v>0.47</c:v>
                </c:pt>
                <c:pt idx="3">
                  <c:v>0.6</c:v>
                </c:pt>
                <c:pt idx="4">
                  <c:v>0.79</c:v>
                </c:pt>
                <c:pt idx="5">
                  <c:v>0.56999999999999995</c:v>
                </c:pt>
                <c:pt idx="6">
                  <c:v>0.69</c:v>
                </c:pt>
              </c:numCache>
            </c:numRef>
          </c:val>
          <c:extLst>
            <c:ext xmlns:c16="http://schemas.microsoft.com/office/drawing/2014/chart" uri="{C3380CC4-5D6E-409C-BE32-E72D297353CC}">
              <c16:uniqueId val="{00000002-08D6-4CBD-AB90-0CAEC8CD9673}"/>
            </c:ext>
          </c:extLst>
        </c:ser>
        <c:dLbls>
          <c:showLegendKey val="0"/>
          <c:showVal val="1"/>
          <c:showCatName val="0"/>
          <c:showSerName val="0"/>
          <c:showPercent val="0"/>
          <c:showBubbleSize val="0"/>
        </c:dLbls>
        <c:gapWidth val="28"/>
        <c:axId val="694856568"/>
        <c:axId val="694859704"/>
      </c:barChart>
      <c:catAx>
        <c:axId val="694856568"/>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59704"/>
        <c:crosses val="autoZero"/>
        <c:auto val="1"/>
        <c:lblAlgn val="ctr"/>
        <c:lblOffset val="100"/>
        <c:noMultiLvlLbl val="0"/>
      </c:catAx>
      <c:valAx>
        <c:axId val="694859704"/>
        <c:scaling>
          <c:orientation val="minMax"/>
          <c:max val="1"/>
          <c:min val="0.2"/>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56568"/>
        <c:crosses val="autoZero"/>
        <c:crossBetween val="between"/>
        <c:majorUnit val="0.2"/>
      </c:valAx>
      <c:spPr>
        <a:solidFill>
          <a:schemeClr val="bg1"/>
        </a:solidFill>
        <a:ln>
          <a:noFill/>
        </a:ln>
        <a:effectLst/>
      </c:spPr>
    </c:plotArea>
    <c:legend>
      <c:legendPos val="t"/>
      <c:layout>
        <c:manualLayout>
          <c:xMode val="edge"/>
          <c:yMode val="edge"/>
          <c:x val="2.1584122925453798E-2"/>
          <c:y val="3.1620553359683785E-2"/>
          <c:w val="0.1707923004313385"/>
          <c:h val="7.1473965951884474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'Bal Sheet'!$A$53</c:f>
              <c:strCache>
                <c:ptCount val="1"/>
                <c:pt idx="0">
                  <c:v>2013-2022 average</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anchor="b" anchorCtr="0"/>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Sheet'!$B$52:$H$52</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Sheet'!$B$53:$H$53</c:f>
              <c:numCache>
                <c:formatCode>0%</c:formatCode>
                <c:ptCount val="7"/>
                <c:pt idx="0">
                  <c:v>1.5739999999999998</c:v>
                </c:pt>
                <c:pt idx="1">
                  <c:v>1.6859999999999999</c:v>
                </c:pt>
                <c:pt idx="2">
                  <c:v>1.4159999999999999</c:v>
                </c:pt>
                <c:pt idx="3">
                  <c:v>1.8060000000000003</c:v>
                </c:pt>
                <c:pt idx="4">
                  <c:v>1.4729999999999999</c:v>
                </c:pt>
                <c:pt idx="5">
                  <c:v>1.456</c:v>
                </c:pt>
                <c:pt idx="6">
                  <c:v>1.9709999999999996</c:v>
                </c:pt>
              </c:numCache>
            </c:numRef>
          </c:val>
          <c:extLst>
            <c:ext xmlns:c16="http://schemas.microsoft.com/office/drawing/2014/chart" uri="{C3380CC4-5D6E-409C-BE32-E72D297353CC}">
              <c16:uniqueId val="{00000000-EE2A-45F1-B3F0-5E9CFFB6168B}"/>
            </c:ext>
          </c:extLst>
        </c:ser>
        <c:dLbls>
          <c:showLegendKey val="0"/>
          <c:showVal val="1"/>
          <c:showCatName val="0"/>
          <c:showSerName val="0"/>
          <c:showPercent val="0"/>
          <c:showBubbleSize val="0"/>
        </c:dLbls>
        <c:gapWidth val="75"/>
        <c:axId val="694864016"/>
        <c:axId val="694865976"/>
      </c:barChart>
      <c:catAx>
        <c:axId val="694864016"/>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5976"/>
        <c:crosses val="autoZero"/>
        <c:auto val="1"/>
        <c:lblAlgn val="ctr"/>
        <c:lblOffset val="100"/>
        <c:noMultiLvlLbl val="0"/>
      </c:catAx>
      <c:valAx>
        <c:axId val="694865976"/>
        <c:scaling>
          <c:orientation val="minMax"/>
          <c:max val="2"/>
          <c:min val="1.2"/>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4016"/>
        <c:crosses val="autoZero"/>
        <c:crossBetween val="between"/>
        <c:majorUnit val="0.1"/>
        <c:minorUnit val="0.1"/>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'Bal Sheet'!$A$245</c:f>
              <c:strCache>
                <c:ptCount val="1"/>
                <c:pt idx="0">
                  <c:v>2022</c:v>
                </c:pt>
              </c:strCache>
            </c:strRef>
          </c:tx>
          <c:spPr>
            <a:solidFill>
              <a:schemeClr val="accent1"/>
            </a:solidFill>
            <a:ln>
              <a:noFill/>
            </a:ln>
            <a:effectLst/>
          </c:spPr>
          <c:invertIfNegative val="0"/>
          <c:dLbls>
            <c:delete val="1"/>
          </c:dLbls>
          <c:cat>
            <c:strRef>
              <c:f>'Bal Sheet'!$B$244:$H$244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Sheet'!$B$245:$H$245</c:f>
              <c:numCache>
                <c:formatCode>\$#,##0;\-"£"#,##0</c:formatCode>
                <c:ptCount val="7"/>
                <c:pt idx="0">
                  <c:v>8640</c:v>
                </c:pt>
                <c:pt idx="1">
                  <c:v>10650</c:v>
                </c:pt>
                <c:pt idx="2">
                  <c:v>13300</c:v>
                </c:pt>
                <c:pt idx="3">
                  <c:v>11630</c:v>
                </c:pt>
                <c:pt idx="4">
                  <c:v>1270</c:v>
                </c:pt>
                <c:pt idx="5">
                  <c:v>5410</c:v>
                </c:pt>
                <c:pt idx="6">
                  <c:v>9800</c:v>
                </c:pt>
              </c:numCache>
            </c:numRef>
          </c:val>
          <c:extLst>
            <c:ext xmlns:c16="http://schemas.microsoft.com/office/drawing/2014/chart" uri="{C3380CC4-5D6E-409C-BE32-E72D297353CC}">
              <c16:uniqueId val="{00000000-51B5-4498-B7AA-07FBEE8D1B69}"/>
            </c:ext>
          </c:extLst>
        </c:ser>
        <c:ser>
          <c:idx val="1"/>
          <c:order val="1"/>
          <c:tx>
            <c:strRef>
              <c:f>'Bal Sheet'!$A$246</c:f>
              <c:strCache>
                <c:ptCount val="1"/>
                <c:pt idx="0">
                  <c:v>2021</c:v>
                </c:pt>
              </c:strCache>
            </c:strRef>
          </c:tx>
          <c:spPr>
            <a:solidFill>
              <a:schemeClr val="accent2"/>
            </a:solidFill>
            <a:ln>
              <a:noFill/>
            </a:ln>
            <a:effectLst/>
          </c:spPr>
          <c:invertIfNegative val="0"/>
          <c:dLbls>
            <c:delete val="1"/>
          </c:dLbls>
          <c:cat>
            <c:strRef>
              <c:f>'Bal Sheet'!$B$244:$H$244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Sheet'!$B$246:$H$246</c:f>
              <c:numCache>
                <c:formatCode>\$#,##0;\-"£"#,##0</c:formatCode>
                <c:ptCount val="7"/>
                <c:pt idx="0">
                  <c:v>9480</c:v>
                </c:pt>
                <c:pt idx="1">
                  <c:v>12040</c:v>
                </c:pt>
                <c:pt idx="2">
                  <c:v>15170</c:v>
                </c:pt>
                <c:pt idx="3">
                  <c:v>12920</c:v>
                </c:pt>
                <c:pt idx="4">
                  <c:v>1280</c:v>
                </c:pt>
                <c:pt idx="5">
                  <c:v>5900</c:v>
                </c:pt>
                <c:pt idx="6">
                  <c:v>9420</c:v>
                </c:pt>
              </c:numCache>
            </c:numRef>
          </c:val>
          <c:extLst>
            <c:ext xmlns:c16="http://schemas.microsoft.com/office/drawing/2014/chart" uri="{C3380CC4-5D6E-409C-BE32-E72D297353CC}">
              <c16:uniqueId val="{00000001-51B5-4498-B7AA-07FBEE8D1B69}"/>
            </c:ext>
          </c:extLst>
        </c:ser>
        <c:ser>
          <c:idx val="2"/>
          <c:order val="2"/>
          <c:tx>
            <c:strRef>
              <c:f>'Bal Sheet'!$A$247</c:f>
              <c:strCache>
                <c:ptCount val="1"/>
                <c:pt idx="0">
                  <c:v>2020</c:v>
                </c:pt>
              </c:strCache>
            </c:strRef>
          </c:tx>
          <c:spPr>
            <a:solidFill>
              <a:schemeClr val="accent3"/>
            </a:solidFill>
            <a:ln>
              <a:noFill/>
            </a:ln>
            <a:effectLst/>
          </c:spPr>
          <c:invertIfNegative val="0"/>
          <c:dLbls>
            <c:delete val="1"/>
          </c:dLbls>
          <c:cat>
            <c:strRef>
              <c:f>'Bal Sheet'!$B$244:$H$244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Sheet'!$B$247:$H$247</c:f>
              <c:numCache>
                <c:formatCode>\$#,##0;\-"£"#,##0</c:formatCode>
                <c:ptCount val="7"/>
                <c:pt idx="0">
                  <c:v>10980</c:v>
                </c:pt>
                <c:pt idx="1">
                  <c:v>13650</c:v>
                </c:pt>
                <c:pt idx="2">
                  <c:v>17440</c:v>
                </c:pt>
                <c:pt idx="3">
                  <c:v>15180</c:v>
                </c:pt>
                <c:pt idx="4">
                  <c:v>1610</c:v>
                </c:pt>
                <c:pt idx="5">
                  <c:v>6370</c:v>
                </c:pt>
                <c:pt idx="6">
                  <c:v>7960</c:v>
                </c:pt>
              </c:numCache>
            </c:numRef>
          </c:val>
          <c:extLst>
            <c:ext xmlns:c16="http://schemas.microsoft.com/office/drawing/2014/chart" uri="{C3380CC4-5D6E-409C-BE32-E72D297353CC}">
              <c16:uniqueId val="{00000002-51B5-4498-B7AA-07FBEE8D1B69}"/>
            </c:ext>
          </c:extLst>
        </c:ser>
        <c:dLbls>
          <c:showLegendKey val="0"/>
          <c:showVal val="1"/>
          <c:showCatName val="0"/>
          <c:showSerName val="0"/>
          <c:showPercent val="0"/>
          <c:showBubbleSize val="0"/>
        </c:dLbls>
        <c:gapWidth val="85"/>
        <c:axId val="694860880"/>
        <c:axId val="694867936"/>
      </c:barChart>
      <c:catAx>
        <c:axId val="69486088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7936"/>
        <c:crosses val="autoZero"/>
        <c:auto val="1"/>
        <c:lblAlgn val="ctr"/>
        <c:lblOffset val="100"/>
        <c:noMultiLvlLbl val="0"/>
      </c:catAx>
      <c:valAx>
        <c:axId val="694867936"/>
        <c:scaling>
          <c:orientation val="minMax"/>
          <c:max val="2000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0880"/>
        <c:crosses val="autoZero"/>
        <c:crossBetween val="between"/>
        <c:majorUnit val="25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'Bal Sheet'!$A$281</c:f>
              <c:strCache>
                <c:ptCount val="1"/>
                <c:pt idx="0">
                  <c:v>0 - 30 days</c:v>
                </c:pt>
              </c:strCache>
            </c:strRef>
          </c:tx>
          <c:spPr>
            <a:solidFill>
              <a:srgbClr val="005A92"/>
            </a:solidFill>
          </c:spPr>
          <c:invertIfNegative val="0"/>
          <c:dLbls>
            <c:spPr>
              <a:noFill/>
              <a:ln>
                <a:noFill/>
              </a:ln>
              <a:effectLst/>
            </c:spPr>
            <c:txPr>
              <a:bodyPr/>
              <a:lstStyle/>
              <a:p>
                <a:pPr>
                  <a:defRPr b="1">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'Bal Sheet'!$B$281:$H$281</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'Bal Sheet'!$B$280:$H$280</c15:sqref>
                        </c15:formulaRef>
                      </c:ext>
                    </c:extLst>
                  </c:multiLvlStrRef>
                </c15:cat>
              </c15:filteredCategoryTitle>
            </c:ext>
            <c:ext xmlns:c16="http://schemas.microsoft.com/office/drawing/2014/chart" uri="{C3380CC4-5D6E-409C-BE32-E72D297353CC}">
              <c16:uniqueId val="{00000000-1605-4ADF-98C1-0C6C58DAF6C2}"/>
            </c:ext>
          </c:extLst>
        </c:ser>
        <c:ser>
          <c:idx val="1"/>
          <c:order val="1"/>
          <c:tx>
            <c:strRef>
              <c:f>'Bal Sheet'!$A$282</c:f>
              <c:strCache>
                <c:ptCount val="1"/>
                <c:pt idx="0">
                  <c:v>31 - 60 days</c:v>
                </c:pt>
              </c:strCache>
            </c:strRef>
          </c:tx>
          <c:spPr>
            <a:solidFill>
              <a:schemeClr val="bg1">
                <a:lumMod val="65000"/>
              </a:schemeClr>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'Bal Sheet'!$B$282:$H$282</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'Bal Sheet'!$B$280:$H$280</c15:sqref>
                        </c15:formulaRef>
                      </c:ext>
                    </c:extLst>
                  </c:multiLvlStrRef>
                </c15:cat>
              </c15:filteredCategoryTitle>
            </c:ext>
            <c:ext xmlns:c16="http://schemas.microsoft.com/office/drawing/2014/chart" uri="{C3380CC4-5D6E-409C-BE32-E72D297353CC}">
              <c16:uniqueId val="{00000001-1605-4ADF-98C1-0C6C58DAF6C2}"/>
            </c:ext>
          </c:extLst>
        </c:ser>
        <c:ser>
          <c:idx val="2"/>
          <c:order val="2"/>
          <c:tx>
            <c:strRef>
              <c:f>'Bal Sheet'!$A$283</c:f>
              <c:strCache>
                <c:ptCount val="1"/>
                <c:pt idx="0">
                  <c:v>61 - 90 days</c:v>
                </c:pt>
              </c:strCache>
            </c:strRef>
          </c:tx>
          <c:spPr>
            <a:solidFill>
              <a:srgbClr val="136B24"/>
            </a:solidFill>
          </c:spPr>
          <c:invertIfNegative val="0"/>
          <c:dLbls>
            <c:spPr>
              <a:noFill/>
              <a:ln>
                <a:noFill/>
              </a:ln>
              <a:effectLst/>
            </c:spPr>
            <c:txPr>
              <a:bodyPr/>
              <a:lstStyle/>
              <a:p>
                <a:pPr>
                  <a:defRPr b="1">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'Bal Sheet'!$B$283:$H$283</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'Bal Sheet'!$B$280:$H$280</c15:sqref>
                        </c15:formulaRef>
                      </c:ext>
                    </c:extLst>
                  </c:multiLvlStrRef>
                </c15:cat>
              </c15:filteredCategoryTitle>
            </c:ext>
            <c:ext xmlns:c16="http://schemas.microsoft.com/office/drawing/2014/chart" uri="{C3380CC4-5D6E-409C-BE32-E72D297353CC}">
              <c16:uniqueId val="{00000002-1605-4ADF-98C1-0C6C58DAF6C2}"/>
            </c:ext>
          </c:extLst>
        </c:ser>
        <c:ser>
          <c:idx val="3"/>
          <c:order val="3"/>
          <c:tx>
            <c:strRef>
              <c:f>'Bal Sheet'!$A$284</c:f>
              <c:strCache>
                <c:ptCount val="1"/>
                <c:pt idx="0">
                  <c:v>91 + days</c:v>
                </c:pt>
              </c:strCache>
            </c:strRef>
          </c:tx>
          <c:spPr>
            <a:solidFill>
              <a:srgbClr val="A0C1E8"/>
            </a:solidFill>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'Bal Sheet'!$B$284:$H$284</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'Bal Sheet'!$B$280:$H$280</c15:sqref>
                        </c15:formulaRef>
                      </c:ext>
                    </c:extLst>
                  </c:multiLvlStrRef>
                </c15:cat>
              </c15:filteredCategoryTitle>
            </c:ext>
            <c:ext xmlns:c16="http://schemas.microsoft.com/office/drawing/2014/chart" uri="{C3380CC4-5D6E-409C-BE32-E72D297353CC}">
              <c16:uniqueId val="{00000003-1605-4ADF-98C1-0C6C58DAF6C2}"/>
            </c:ext>
          </c:extLst>
        </c:ser>
        <c:dLbls>
          <c:showLegendKey val="0"/>
          <c:showVal val="0"/>
          <c:showCatName val="0"/>
          <c:showSerName val="0"/>
          <c:showPercent val="0"/>
          <c:showBubbleSize val="0"/>
        </c:dLbls>
        <c:gapWidth val="76"/>
        <c:overlap val="100"/>
        <c:axId val="694861272"/>
        <c:axId val="694868720"/>
      </c:barChart>
      <c:catAx>
        <c:axId val="694861272"/>
        <c:scaling>
          <c:orientation val="minMax"/>
        </c:scaling>
        <c:delete val="0"/>
        <c:axPos val="b"/>
        <c:numFmt formatCode="General" sourceLinked="0"/>
        <c:majorTickMark val="out"/>
        <c:minorTickMark val="none"/>
        <c:tickLblPos val="nextTo"/>
        <c:txPr>
          <a:bodyPr/>
          <a:lstStyle/>
          <a:p>
            <a:pPr>
              <a:defRPr>
                <a:latin typeface="Myriad Web" pitchFamily="34" charset="0"/>
              </a:defRPr>
            </a:pPr>
            <a:endParaRPr lang="en-US"/>
          </a:p>
        </c:txPr>
        <c:crossAx val="694868720"/>
        <c:crosses val="autoZero"/>
        <c:auto val="1"/>
        <c:lblAlgn val="ctr"/>
        <c:lblOffset val="100"/>
        <c:noMultiLvlLbl val="0"/>
      </c:catAx>
      <c:valAx>
        <c:axId val="694868720"/>
        <c:scaling>
          <c:orientation val="minMax"/>
          <c:max val="1"/>
        </c:scaling>
        <c:delete val="0"/>
        <c:axPos val="l"/>
        <c:majorGridlines/>
        <c:numFmt formatCode="0%" sourceLinked="1"/>
        <c:majorTickMark val="out"/>
        <c:minorTickMark val="none"/>
        <c:tickLblPos val="nextTo"/>
        <c:crossAx val="694861272"/>
        <c:crosses val="autoZero"/>
        <c:crossBetween val="between"/>
      </c:valAx>
    </c:plotArea>
    <c:legend>
      <c:legendPos val="t"/>
      <c:layout>
        <c:manualLayout>
          <c:xMode val="edge"/>
          <c:yMode val="edge"/>
          <c:x val="4.2171693580675303E-2"/>
          <c:y val="1.6271186440678001E-2"/>
          <c:w val="0.38002996105779169"/>
          <c:h val="6.2717436038746702E-2"/>
        </c:manualLayout>
      </c:layout>
      <c:overlay val="0"/>
    </c:legend>
    <c:plotVisOnly val="1"/>
    <c:dispBlanksAs val="gap"/>
    <c:showDLblsOverMax val="0"/>
  </c:chart>
  <c:spPr>
    <a:ln>
      <a:noFill/>
    </a:ln>
  </c:spPr>
  <c:printSettings>
    <c:headerFooter/>
    <c:pageMargins b="0.75000000000001432" l="0.70000000000000062" r="0.70000000000000062" t="0.7500000000000143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3725404433490072"/>
          <c:y val="3.0294129976484205E-2"/>
          <c:w val="0.74590660542432208"/>
          <c:h val="0.60052968598008427"/>
        </c:manualLayout>
      </c:layout>
      <c:barChart>
        <c:barDir val="col"/>
        <c:grouping val="clustered"/>
        <c:varyColors val="0"/>
        <c:ser>
          <c:idx val="1"/>
          <c:order val="0"/>
          <c:tx>
            <c:strRef>
              <c:f>'Bal Sheet'!$A$88</c:f>
              <c:strCache>
                <c:ptCount val="1"/>
                <c:pt idx="0">
                  <c:v>PP&amp;E additions per FME 2022</c:v>
                </c:pt>
              </c:strCache>
            </c:strRef>
          </c:tx>
          <c:spPr>
            <a:solidFill>
              <a:schemeClr val="accent1"/>
            </a:solidFill>
            <a:ln>
              <a:noFill/>
            </a:ln>
            <a:effectLst/>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Sheet'!$B$88:$H$88</c:f>
              <c:numCache>
                <c:formatCode>\$#,##0;\-"£"#,##0</c:formatCode>
                <c:ptCount val="7"/>
                <c:pt idx="0">
                  <c:v>5410</c:v>
                </c:pt>
                <c:pt idx="1">
                  <c:v>6730</c:v>
                </c:pt>
                <c:pt idx="2">
                  <c:v>8890</c:v>
                </c:pt>
                <c:pt idx="3">
                  <c:v>6540</c:v>
                </c:pt>
                <c:pt idx="4">
                  <c:v>1420</c:v>
                </c:pt>
                <c:pt idx="5">
                  <c:v>4030</c:v>
                </c:pt>
                <c:pt idx="6">
                  <c:v>2680</c:v>
                </c:pt>
              </c:numCache>
            </c:numRef>
          </c:val>
          <c:extLst>
            <c:ext xmlns:c16="http://schemas.microsoft.com/office/drawing/2014/chart" uri="{C3380CC4-5D6E-409C-BE32-E72D297353CC}">
              <c16:uniqueId val="{00000000-D4CF-4724-90B3-4E127C28A6FE}"/>
            </c:ext>
          </c:extLst>
        </c:ser>
        <c:ser>
          <c:idx val="0"/>
          <c:order val="1"/>
          <c:tx>
            <c:strRef>
              <c:f>'Bal Sheet'!$A$89</c:f>
              <c:strCache>
                <c:ptCount val="1"/>
                <c:pt idx="0">
                  <c:v>PP&amp;E additions per FME 2021</c:v>
                </c:pt>
              </c:strCache>
            </c:strRef>
          </c:tx>
          <c:spPr>
            <a:solidFill>
              <a:schemeClr val="accent2"/>
            </a:solidFill>
            <a:ln>
              <a:noFill/>
            </a:ln>
            <a:effectLst/>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Sheet'!$B$89:$H$89</c:f>
              <c:numCache>
                <c:formatCode>\$#,##0;\-"£"#,##0</c:formatCode>
                <c:ptCount val="7"/>
                <c:pt idx="0">
                  <c:v>4180</c:v>
                </c:pt>
                <c:pt idx="1">
                  <c:v>5650</c:v>
                </c:pt>
                <c:pt idx="2">
                  <c:v>5500</c:v>
                </c:pt>
                <c:pt idx="3">
                  <c:v>5670</c:v>
                </c:pt>
                <c:pt idx="4">
                  <c:v>1480</c:v>
                </c:pt>
                <c:pt idx="5">
                  <c:v>3400</c:v>
                </c:pt>
                <c:pt idx="6">
                  <c:v>2500</c:v>
                </c:pt>
              </c:numCache>
            </c:numRef>
          </c:val>
          <c:extLst>
            <c:ext xmlns:c16="http://schemas.microsoft.com/office/drawing/2014/chart" uri="{C3380CC4-5D6E-409C-BE32-E72D297353CC}">
              <c16:uniqueId val="{00000001-D4CF-4724-90B3-4E127C28A6FE}"/>
            </c:ext>
          </c:extLst>
        </c:ser>
        <c:ser>
          <c:idx val="2"/>
          <c:order val="2"/>
          <c:tx>
            <c:strRef>
              <c:f>'Bal Sheet'!$A$90</c:f>
              <c:strCache>
                <c:ptCount val="1"/>
                <c:pt idx="0">
                  <c:v>Budgeted PP&amp;E per member 2014</c:v>
                </c:pt>
              </c:strCache>
            </c:strRef>
          </c:tx>
          <c:spPr>
            <a:solidFill>
              <a:schemeClr val="accent3"/>
            </a:solidFill>
            <a:ln>
              <a:noFill/>
            </a:ln>
            <a:effectLst/>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Sheet'!$B$90:$H$90</c:f>
            </c:numRef>
          </c:val>
          <c:extLst>
            <c:ext xmlns:c16="http://schemas.microsoft.com/office/drawing/2014/chart" uri="{C3380CC4-5D6E-409C-BE32-E72D297353CC}">
              <c16:uniqueId val="{00000002-D4CF-4724-90B3-4E127C28A6FE}"/>
            </c:ext>
          </c:extLst>
        </c:ser>
        <c:ser>
          <c:idx val="3"/>
          <c:order val="3"/>
          <c:tx>
            <c:strRef>
              <c:f>'Bal Sheet'!$A$91</c:f>
              <c:strCache>
                <c:ptCount val="1"/>
                <c:pt idx="0">
                  <c:v>Cumulative 5 year total (2018-2022)</c:v>
                </c:pt>
              </c:strCache>
            </c:strRef>
          </c:tx>
          <c:spPr>
            <a:solidFill>
              <a:schemeClr val="accent4"/>
            </a:solidFill>
            <a:ln>
              <a:noFill/>
            </a:ln>
            <a:effectLst/>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Sheet'!$B$91:$H$91</c:f>
              <c:numCache>
                <c:formatCode>\$#,##0;\-"£"#,##0</c:formatCode>
                <c:ptCount val="7"/>
                <c:pt idx="0">
                  <c:v>23150</c:v>
                </c:pt>
                <c:pt idx="1">
                  <c:v>31770</c:v>
                </c:pt>
                <c:pt idx="2">
                  <c:v>28910</c:v>
                </c:pt>
                <c:pt idx="3">
                  <c:v>33460</c:v>
                </c:pt>
                <c:pt idx="4">
                  <c:v>8410</c:v>
                </c:pt>
                <c:pt idx="5">
                  <c:v>16890</c:v>
                </c:pt>
                <c:pt idx="6">
                  <c:v>16220</c:v>
                </c:pt>
              </c:numCache>
            </c:numRef>
          </c:val>
          <c:extLst>
            <c:ext xmlns:c16="http://schemas.microsoft.com/office/drawing/2014/chart" uri="{C3380CC4-5D6E-409C-BE32-E72D297353CC}">
              <c16:uniqueId val="{00000003-D4CF-4724-90B3-4E127C28A6FE}"/>
            </c:ext>
          </c:extLst>
        </c:ser>
        <c:dLbls>
          <c:showLegendKey val="0"/>
          <c:showVal val="0"/>
          <c:showCatName val="0"/>
          <c:showSerName val="0"/>
          <c:showPercent val="0"/>
          <c:showBubbleSize val="0"/>
        </c:dLbls>
        <c:gapWidth val="150"/>
        <c:axId val="694868328"/>
        <c:axId val="694861664"/>
      </c:barChart>
      <c:lineChart>
        <c:grouping val="standard"/>
        <c:varyColors val="0"/>
        <c:ser>
          <c:idx val="4"/>
          <c:order val="4"/>
          <c:tx>
            <c:strRef>
              <c:f>'Bal Sheet'!$A$92</c:f>
              <c:strCache>
                <c:ptCount val="1"/>
                <c:pt idx="0">
                  <c:v>Ending PP&amp;E (NBV) 2022</c:v>
                </c:pt>
              </c:strCache>
            </c:strRef>
          </c:tx>
          <c:spPr>
            <a:ln w="28575" cap="rnd" cmpd="sng" algn="ctr">
              <a:noFill/>
              <a:prstDash val="solid"/>
              <a:round/>
            </a:ln>
            <a:effectLst/>
          </c:spPr>
          <c:marker>
            <c:symbol val="none"/>
          </c:marker>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Sheet'!$B$92:$H$92</c:f>
              <c:numCache>
                <c:formatCode>\$#,##0;\-"£"#,##0</c:formatCode>
                <c:ptCount val="7"/>
                <c:pt idx="0">
                  <c:v>28579300</c:v>
                </c:pt>
                <c:pt idx="1">
                  <c:v>32479900</c:v>
                </c:pt>
                <c:pt idx="2">
                  <c:v>44166000</c:v>
                </c:pt>
                <c:pt idx="3">
                  <c:v>30546700</c:v>
                </c:pt>
                <c:pt idx="4">
                  <c:v>11801200</c:v>
                </c:pt>
                <c:pt idx="5">
                  <c:v>24064700</c:v>
                </c:pt>
                <c:pt idx="6">
                  <c:v>18963600</c:v>
                </c:pt>
              </c:numCache>
            </c:numRef>
          </c:val>
          <c:smooth val="0"/>
          <c:extLst>
            <c:ext xmlns:c16="http://schemas.microsoft.com/office/drawing/2014/chart" uri="{C3380CC4-5D6E-409C-BE32-E72D297353CC}">
              <c16:uniqueId val="{00000004-D4CF-4724-90B3-4E127C28A6FE}"/>
            </c:ext>
          </c:extLst>
        </c:ser>
        <c:ser>
          <c:idx val="5"/>
          <c:order val="5"/>
          <c:tx>
            <c:strRef>
              <c:f>'Bal Sheet'!$A$93</c:f>
              <c:strCache>
                <c:ptCount val="1"/>
                <c:pt idx="0">
                  <c:v>Ending PP&amp;E (NBV) per FME 2022</c:v>
                </c:pt>
              </c:strCache>
            </c:strRef>
          </c:tx>
          <c:spPr>
            <a:ln w="28575" cap="rnd" cmpd="sng" algn="ctr">
              <a:noFill/>
              <a:prstDash val="solid"/>
              <a:round/>
            </a:ln>
            <a:effectLst/>
          </c:spPr>
          <c:marker>
            <c:symbol val="none"/>
          </c:marker>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Sheet'!$B$93:$H$93</c:f>
              <c:numCache>
                <c:formatCode>\$#,##0;\-"£"#,##0</c:formatCode>
                <c:ptCount val="7"/>
                <c:pt idx="0">
                  <c:v>39150</c:v>
                </c:pt>
                <c:pt idx="1">
                  <c:v>52390</c:v>
                </c:pt>
                <c:pt idx="2">
                  <c:v>49070</c:v>
                </c:pt>
                <c:pt idx="3">
                  <c:v>53590</c:v>
                </c:pt>
                <c:pt idx="4">
                  <c:v>13110</c:v>
                </c:pt>
                <c:pt idx="5">
                  <c:v>31660</c:v>
                </c:pt>
                <c:pt idx="6">
                  <c:v>27480</c:v>
                </c:pt>
              </c:numCache>
            </c:numRef>
          </c:val>
          <c:smooth val="0"/>
          <c:extLst>
            <c:ext xmlns:c16="http://schemas.microsoft.com/office/drawing/2014/chart" uri="{C3380CC4-5D6E-409C-BE32-E72D297353CC}">
              <c16:uniqueId val="{00000005-D4CF-4724-90B3-4E127C28A6FE}"/>
            </c:ext>
          </c:extLst>
        </c:ser>
        <c:dLbls>
          <c:showLegendKey val="0"/>
          <c:showVal val="0"/>
          <c:showCatName val="0"/>
          <c:showSerName val="0"/>
          <c:showPercent val="0"/>
          <c:showBubbleSize val="0"/>
        </c:dLbls>
        <c:marker val="1"/>
        <c:smooth val="0"/>
        <c:axId val="694862840"/>
        <c:axId val="694862448"/>
      </c:lineChart>
      <c:catAx>
        <c:axId val="694868328"/>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1664"/>
        <c:crosses val="autoZero"/>
        <c:auto val="1"/>
        <c:lblAlgn val="ctr"/>
        <c:lblOffset val="100"/>
        <c:noMultiLvlLbl val="0"/>
      </c:catAx>
      <c:valAx>
        <c:axId val="694861664"/>
        <c:scaling>
          <c:orientation val="minMax"/>
          <c:max val="3500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8328"/>
        <c:crosses val="autoZero"/>
        <c:crossBetween val="between"/>
        <c:majorUnit val="5000"/>
      </c:valAx>
      <c:valAx>
        <c:axId val="694862448"/>
        <c:scaling>
          <c:orientation val="minMax"/>
        </c:scaling>
        <c:delete val="1"/>
        <c:axPos val="r"/>
        <c:numFmt formatCode="\$#,##0;\-&quot;£&quot;#,##0" sourceLinked="1"/>
        <c:majorTickMark val="out"/>
        <c:minorTickMark val="none"/>
        <c:tickLblPos val="nextTo"/>
        <c:crossAx val="694862840"/>
        <c:crosses val="max"/>
        <c:crossBetween val="between"/>
      </c:valAx>
      <c:catAx>
        <c:axId val="694862840"/>
        <c:scaling>
          <c:orientation val="minMax"/>
        </c:scaling>
        <c:delete val="1"/>
        <c:axPos val="b"/>
        <c:numFmt formatCode="General" sourceLinked="1"/>
        <c:majorTickMark val="out"/>
        <c:minorTickMark val="none"/>
        <c:tickLblPos val="nextTo"/>
        <c:crossAx val="694862448"/>
        <c:crosses val="autoZero"/>
        <c:auto val="1"/>
        <c:lblAlgn val="ctr"/>
        <c:lblOffset val="100"/>
        <c:noMultiLvlLbl val="0"/>
      </c:cat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'Bal Sheet'!$A$209</c:f>
              <c:strCache>
                <c:ptCount val="1"/>
                <c:pt idx="0">
                  <c:v>2022</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Sheet'!$B$208:$H$208</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Sheet'!$B$209:$H$209</c:f>
              <c:numCache>
                <c:formatCode>0%</c:formatCode>
                <c:ptCount val="7"/>
                <c:pt idx="0">
                  <c:v>0.82</c:v>
                </c:pt>
                <c:pt idx="1">
                  <c:v>0.74</c:v>
                </c:pt>
                <c:pt idx="2">
                  <c:v>0.94</c:v>
                </c:pt>
                <c:pt idx="3">
                  <c:v>0.92</c:v>
                </c:pt>
                <c:pt idx="4">
                  <c:v>0.67</c:v>
                </c:pt>
                <c:pt idx="5">
                  <c:v>0.83</c:v>
                </c:pt>
                <c:pt idx="6">
                  <c:v>0.92</c:v>
                </c:pt>
              </c:numCache>
            </c:numRef>
          </c:val>
          <c:extLst>
            <c:ext xmlns:c16="http://schemas.microsoft.com/office/drawing/2014/chart" uri="{C3380CC4-5D6E-409C-BE32-E72D297353CC}">
              <c16:uniqueId val="{00000000-667F-4DA6-8AF6-6FFEFB76C307}"/>
            </c:ext>
          </c:extLst>
        </c:ser>
        <c:ser>
          <c:idx val="1"/>
          <c:order val="1"/>
          <c:tx>
            <c:strRef>
              <c:f>'Bal Sheet'!$A$210</c:f>
              <c:strCache>
                <c:ptCount val="1"/>
                <c:pt idx="0">
                  <c:v>2021</c:v>
                </c:pt>
              </c:strCache>
            </c:strRef>
          </c:tx>
          <c:spPr>
            <a:solidFill>
              <a:schemeClr val="accent2"/>
            </a:solidFill>
            <a:ln>
              <a:noFill/>
            </a:ln>
            <a:effectLst/>
          </c:spPr>
          <c:invertIfNegative val="0"/>
          <c:dLbls>
            <c:spPr>
              <a:solidFill>
                <a:schemeClr val="accent2"/>
              </a:solid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Sheet'!$B$208:$H$208</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Sheet'!$B$210:$H$210</c:f>
              <c:numCache>
                <c:formatCode>0%</c:formatCode>
                <c:ptCount val="7"/>
                <c:pt idx="0">
                  <c:v>0.77</c:v>
                </c:pt>
                <c:pt idx="1">
                  <c:v>0.71</c:v>
                </c:pt>
                <c:pt idx="2">
                  <c:v>0.88</c:v>
                </c:pt>
                <c:pt idx="3">
                  <c:v>0.88</c:v>
                </c:pt>
                <c:pt idx="4">
                  <c:v>0.63</c:v>
                </c:pt>
                <c:pt idx="5">
                  <c:v>0.76</c:v>
                </c:pt>
                <c:pt idx="6">
                  <c:v>0.82</c:v>
                </c:pt>
              </c:numCache>
            </c:numRef>
          </c:val>
          <c:extLst>
            <c:ext xmlns:c16="http://schemas.microsoft.com/office/drawing/2014/chart" uri="{C3380CC4-5D6E-409C-BE32-E72D297353CC}">
              <c16:uniqueId val="{00000001-667F-4DA6-8AF6-6FFEFB76C307}"/>
            </c:ext>
          </c:extLst>
        </c:ser>
        <c:ser>
          <c:idx val="2"/>
          <c:order val="2"/>
          <c:tx>
            <c:strRef>
              <c:f>'Bal Sheet'!$A$211</c:f>
              <c:strCache>
                <c:ptCount val="1"/>
                <c:pt idx="0">
                  <c:v>2020</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'Bal Sheet'!$B$208:$H$208</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Sheet'!$B$211:$H$211</c:f>
              <c:numCache>
                <c:formatCode>0%</c:formatCode>
                <c:ptCount val="7"/>
                <c:pt idx="0">
                  <c:v>0.75</c:v>
                </c:pt>
                <c:pt idx="1">
                  <c:v>0.63</c:v>
                </c:pt>
                <c:pt idx="2">
                  <c:v>0.88</c:v>
                </c:pt>
                <c:pt idx="3">
                  <c:v>0.88</c:v>
                </c:pt>
                <c:pt idx="4">
                  <c:v>0.63</c:v>
                </c:pt>
                <c:pt idx="5">
                  <c:v>0.71</c:v>
                </c:pt>
                <c:pt idx="6">
                  <c:v>0.88</c:v>
                </c:pt>
              </c:numCache>
            </c:numRef>
          </c:val>
          <c:extLst>
            <c:ext xmlns:c16="http://schemas.microsoft.com/office/drawing/2014/chart" uri="{C3380CC4-5D6E-409C-BE32-E72D297353CC}">
              <c16:uniqueId val="{00000002-667F-4DA6-8AF6-6FFEFB76C307}"/>
            </c:ext>
          </c:extLst>
        </c:ser>
        <c:dLbls>
          <c:showLegendKey val="0"/>
          <c:showVal val="0"/>
          <c:showCatName val="0"/>
          <c:showSerName val="0"/>
          <c:showPercent val="0"/>
          <c:showBubbleSize val="0"/>
        </c:dLbls>
        <c:gapWidth val="42"/>
        <c:axId val="694865192"/>
        <c:axId val="694866368"/>
      </c:barChart>
      <c:catAx>
        <c:axId val="694865192"/>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6368"/>
        <c:crosses val="autoZero"/>
        <c:auto val="1"/>
        <c:lblAlgn val="ctr"/>
        <c:lblOffset val="100"/>
        <c:noMultiLvlLbl val="0"/>
      </c:catAx>
      <c:valAx>
        <c:axId val="694866368"/>
        <c:scaling>
          <c:orientation val="minMax"/>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5192"/>
        <c:crosses val="autoZero"/>
        <c:crossBetween val="between"/>
        <c:majorUnit val="0.2"/>
      </c:valAx>
      <c:spPr>
        <a:solidFill>
          <a:schemeClr val="bg1"/>
        </a:solidFill>
        <a:ln>
          <a:noFill/>
        </a:ln>
        <a:effectLst/>
      </c:spPr>
    </c:plotArea>
    <c:legend>
      <c:legendPos val="t"/>
      <c:layout>
        <c:manualLayout>
          <c:xMode val="edge"/>
          <c:yMode val="edge"/>
          <c:x val="7.3913083386133477E-2"/>
          <c:y val="2.7880522083945335E-2"/>
          <c:w val="0.18479298614762427"/>
          <c:h val="7.2023009427944401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Florida</a:t>
            </a:r>
            <a:r>
              <a:rPr lang="en-US" baseline="0"/>
              <a:t> Statewide: What Regions renovated in 2022</a:t>
            </a:r>
            <a:endParaRPr lang="en-US"/>
          </a:p>
        </c:rich>
      </c:tx>
      <c:layout>
        <c:manualLayout>
          <c:xMode val="edge"/>
          <c:yMode val="edge"/>
          <c:x val="0.1407418052138108"/>
          <c:y val="4.116009394977335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252531058009551E-2"/>
          <c:y val="0.18366140036187897"/>
          <c:w val="0.43167591875500805"/>
          <c:h val="0.64819049334820833"/>
        </c:manualLayout>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8E-4036-ADDD-551CD7AC25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8E-4036-ADDD-551CD7AC25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8E-4036-ADDD-551CD7AC25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8E-4036-ADDD-551CD7AC25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8E-4036-ADDD-551CD7AC25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88E-4036-ADDD-551CD7AC257F}"/>
              </c:ext>
            </c:extLst>
          </c:dPt>
          <c:cat>
            <c:strRef>
              <c:f>'Bal Sheet'!$L$125:$L$130</c:f>
              <c:strCache>
                <c:ptCount val="6"/>
                <c:pt idx="0">
                  <c:v>Southeast w/o Boca - (52%)</c:v>
                </c:pt>
                <c:pt idx="1">
                  <c:v>Boca Raton Area - (47%)</c:v>
                </c:pt>
                <c:pt idx="2">
                  <c:v>Southwest w/o CIRAs - (38%)</c:v>
                </c:pt>
                <c:pt idx="3">
                  <c:v>Southwest CIRAs - (33%)</c:v>
                </c:pt>
                <c:pt idx="4">
                  <c:v>North &amp; Central - (70%)</c:v>
                </c:pt>
                <c:pt idx="5">
                  <c:v>Yacht &amp; Beach - (33%)</c:v>
                </c:pt>
              </c:strCache>
            </c:strRef>
          </c:cat>
          <c:val>
            <c:numRef>
              <c:f>'Bal Sheet'!$C$125:$C$130</c:f>
              <c:numCache>
                <c:formatCode>#,##0_);\(#,##0\)</c:formatCode>
                <c:ptCount val="6"/>
                <c:pt idx="0">
                  <c:v>12</c:v>
                </c:pt>
                <c:pt idx="1">
                  <c:v>8</c:v>
                </c:pt>
                <c:pt idx="2">
                  <c:v>10</c:v>
                </c:pt>
                <c:pt idx="3">
                  <c:v>6</c:v>
                </c:pt>
                <c:pt idx="4">
                  <c:v>16</c:v>
                </c:pt>
                <c:pt idx="5">
                  <c:v>4</c:v>
                </c:pt>
              </c:numCache>
            </c:numRef>
          </c:val>
          <c:extLst>
            <c:ext xmlns:c16="http://schemas.microsoft.com/office/drawing/2014/chart" uri="{C3380CC4-5D6E-409C-BE32-E72D297353CC}">
              <c16:uniqueId val="{0000000C-888E-4036-ADDD-551CD7AC257F}"/>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0.46765613461571753"/>
          <c:y val="0.30030581792587629"/>
          <c:w val="0.53234386538428247"/>
          <c:h val="0.43345243037410941"/>
        </c:manualLayout>
      </c:layout>
      <c:overlay val="0"/>
      <c:spPr>
        <a:noFill/>
        <a:ln w="28575">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Florida</a:t>
            </a:r>
            <a:r>
              <a:rPr lang="en-US" baseline="0"/>
              <a:t> Statewide: What did Clubs renovate in 2022</a:t>
            </a:r>
            <a:endParaRPr lang="en-US"/>
          </a:p>
        </c:rich>
      </c:tx>
      <c:layout>
        <c:manualLayout>
          <c:xMode val="edge"/>
          <c:yMode val="edge"/>
          <c:x val="0.17175636812565645"/>
          <c:y val="5.53711721006323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869359704713112E-2"/>
          <c:y val="0.19431970897502318"/>
          <c:w val="0.43064232083633025"/>
          <c:h val="0.63043895446748177"/>
        </c:manualLayout>
      </c:layout>
      <c:pieChart>
        <c:varyColors val="1"/>
        <c:ser>
          <c:idx val="4"/>
          <c:order val="0"/>
          <c:tx>
            <c:strRef>
              <c:f>'Bal Sheet'!$A$124</c:f>
              <c:strCache>
                <c:ptCount val="1"/>
                <c:pt idx="0">
                  <c:v>State (exc YB)</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F2-4386-8DCD-3665D39653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F2-4386-8DCD-3665D39653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F2-4386-8DCD-3665D39653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F2-4386-8DCD-3665D39653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F2-4386-8DCD-3665D39653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1F2-4386-8DCD-3665D3965397}"/>
              </c:ext>
            </c:extLst>
          </c:dPt>
          <c:cat>
            <c:strRef>
              <c:extLst>
                <c:ext xmlns:c15="http://schemas.microsoft.com/office/drawing/2012/chart" uri="{02D57815-91ED-43cb-92C2-25804820EDAC}">
                  <c15:fullRef>
                    <c15:sqref>'Bal Sheet'!$C$116:$J$116</c15:sqref>
                  </c15:fullRef>
                </c:ext>
              </c:extLst>
              <c:f>'Bal Sheet'!$E$116:$J$116</c:f>
              <c:strCache>
                <c:ptCount val="6"/>
                <c:pt idx="0">
                  <c:v>Clubhouse (32%)</c:v>
                </c:pt>
                <c:pt idx="1">
                  <c:v>Golf Course (30%)</c:v>
                </c:pt>
                <c:pt idx="2">
                  <c:v>Fitness/Wellness/Spa (12%)</c:v>
                </c:pt>
                <c:pt idx="3">
                  <c:v>Marina (1%)</c:v>
                </c:pt>
                <c:pt idx="4">
                  <c:v>Tennis/ Racquet (13%)</c:v>
                </c:pt>
                <c:pt idx="5">
                  <c:v>Pool (12%)</c:v>
                </c:pt>
              </c:strCache>
            </c:strRef>
          </c:cat>
          <c:val>
            <c:numRef>
              <c:extLst>
                <c:ext xmlns:c15="http://schemas.microsoft.com/office/drawing/2012/chart" uri="{02D57815-91ED-43cb-92C2-25804820EDAC}">
                  <c15:fullRef>
                    <c15:sqref>'Bal Sheet'!$C$124:$J$124</c15:sqref>
                  </c15:fullRef>
                </c:ext>
              </c:extLst>
              <c:f>'Bal Sheet'!$E$124:$J$124</c:f>
              <c:numCache>
                <c:formatCode>0%</c:formatCode>
                <c:ptCount val="6"/>
                <c:pt idx="0" formatCode="#,##0_);\(#,##0\)">
                  <c:v>25</c:v>
                </c:pt>
                <c:pt idx="1" formatCode="#,##0_);\(#,##0\)">
                  <c:v>23</c:v>
                </c:pt>
                <c:pt idx="2" formatCode="#,##0_);\(#,##0\)">
                  <c:v>9</c:v>
                </c:pt>
                <c:pt idx="3" formatCode="#,##0_);\(#,##0\)">
                  <c:v>1</c:v>
                </c:pt>
                <c:pt idx="4" formatCode="#,##0_);\(#,##0\)">
                  <c:v>10</c:v>
                </c:pt>
                <c:pt idx="5" formatCode="#,##0_);\(#,##0\)">
                  <c:v>9</c:v>
                </c:pt>
              </c:numCache>
            </c:numRef>
          </c:val>
          <c:extLst>
            <c:ext xmlns:c15="http://schemas.microsoft.com/office/drawing/2012/chart" uri="{02D57815-91ED-43cb-92C2-25804820EDAC}">
              <c15:categoryFilterExceptions>
                <c15:categoryFilterException>
                  <c15:sqref>'Bal Sheet'!$D$124</c15:sqref>
                  <c15:spPr xmlns:c15="http://schemas.microsoft.com/office/drawing/2012/chart">
                    <a:solidFill>
                      <a:schemeClr val="accent2"/>
                    </a:solidFill>
                    <a:ln w="19050">
                      <a:solidFill>
                        <a:schemeClr val="lt1"/>
                      </a:solidFill>
                    </a:ln>
                    <a:effectLst/>
                  </c15:spPr>
                  <c15:bubble3D val="0"/>
                </c15:categoryFilterException>
              </c15:categoryFilterExceptions>
            </c:ext>
            <c:ext xmlns:c16="http://schemas.microsoft.com/office/drawing/2014/chart" uri="{C3380CC4-5D6E-409C-BE32-E72D297353CC}">
              <c16:uniqueId val="{0000000C-C755-4BD2-88CA-7827DE929D93}"/>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0.48862636676909127"/>
          <c:y val="0.2825419702373026"/>
          <c:w val="0.49876728118524455"/>
          <c:h val="0.44034200582094712"/>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'Bal Sheet'!$A$125</c:f>
          <c:strCache>
            <c:ptCount val="1"/>
            <c:pt idx="0">
              <c:v>Southeast w/o Boca</c:v>
            </c:pt>
          </c:strCache>
        </c:strRef>
      </c:tx>
      <c:layout>
        <c:manualLayout>
          <c:xMode val="edge"/>
          <c:yMode val="edge"/>
          <c:x val="0.2187328455445878"/>
          <c:y val="3.524322617352647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4"/>
          <c:order val="0"/>
          <c:tx>
            <c:strRef>
              <c:f>'Bal Sheet'!$A$125</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EE-45A1-9A05-D5C5277A10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EE-45A1-9A05-D5C5277A10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EE-45A1-9A05-D5C5277A10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EE-45A1-9A05-D5C5277A10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EE-45A1-9A05-D5C5277A10E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EE-45A1-9A05-D5C5277A10EC}"/>
              </c:ext>
            </c:extLst>
          </c:dPt>
          <c:cat>
            <c:strRef>
              <c:extLst>
                <c:ext xmlns:c15="http://schemas.microsoft.com/office/drawing/2012/chart" uri="{02D57815-91ED-43cb-92C2-25804820EDAC}">
                  <c15:fullRef>
                    <c15:sqref>'Bal Sheet'!$C$117:$J$117</c15:sqref>
                  </c15:fullRef>
                </c:ext>
              </c:extLst>
              <c:f>'Bal Sheet'!$E$117:$J$117</c:f>
              <c:strCache>
                <c:ptCount val="6"/>
                <c:pt idx="0">
                  <c:v>Clubhouse (30%)</c:v>
                </c:pt>
                <c:pt idx="1">
                  <c:v>Golf Course (37%)</c:v>
                </c:pt>
                <c:pt idx="2">
                  <c:v>Fitness/Wellness/Spa (11%)</c:v>
                </c:pt>
                <c:pt idx="3">
                  <c:v>Marina (0%)</c:v>
                </c:pt>
                <c:pt idx="4">
                  <c:v>Tennis/ Racquet (11%)</c:v>
                </c:pt>
                <c:pt idx="5">
                  <c:v>Pool (11%)</c:v>
                </c:pt>
              </c:strCache>
            </c:strRef>
          </c:cat>
          <c:val>
            <c:numRef>
              <c:extLst>
                <c:ext xmlns:c15="http://schemas.microsoft.com/office/drawing/2012/chart" uri="{02D57815-91ED-43cb-92C2-25804820EDAC}">
                  <c15:fullRef>
                    <c15:sqref>'Bal Sheet'!$C$125:$J$125</c15:sqref>
                  </c15:fullRef>
                </c:ext>
              </c:extLst>
              <c:f>'Bal Sheet'!$E$125:$J$125</c:f>
              <c:numCache>
                <c:formatCode>0%</c:formatCode>
                <c:ptCount val="6"/>
                <c:pt idx="0" formatCode="#,##0_);\(#,##0\)">
                  <c:v>6</c:v>
                </c:pt>
                <c:pt idx="1" formatCode="#,##0_);\(#,##0\)">
                  <c:v>7</c:v>
                </c:pt>
                <c:pt idx="2" formatCode="#,##0_);\(#,##0\)">
                  <c:v>2</c:v>
                </c:pt>
                <c:pt idx="3" formatCode="#,##0_);\(#,##0\)">
                  <c:v>0</c:v>
                </c:pt>
                <c:pt idx="4" formatCode="#,##0_);\(#,##0\)">
                  <c:v>2</c:v>
                </c:pt>
                <c:pt idx="5" formatCode="#,##0_);\(#,##0\)">
                  <c:v>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F395-4B87-8A3A-637DE4E815A2}"/>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'Bal Sheet'!$A$126</c:f>
          <c:strCache>
            <c:ptCount val="1"/>
            <c:pt idx="0">
              <c:v>Boca Raton Area</c:v>
            </c:pt>
          </c:strCache>
        </c:strRef>
      </c:tx>
      <c:layout>
        <c:manualLayout>
          <c:xMode val="edge"/>
          <c:yMode val="edge"/>
          <c:x val="0.24595462137557086"/>
          <c:y val="3.52432991140555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0"/>
          <c:order val="0"/>
          <c:tx>
            <c:strRef>
              <c:f>'Bal Sheet'!$A$126</c:f>
              <c:strCache>
                <c:ptCount val="1"/>
                <c:pt idx="0">
                  <c:v>Boca Raton Area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17-4525-A207-1D18F31E42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17-4525-A207-1D18F31E42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17-4525-A207-1D18F31E42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17-4525-A207-1D18F31E42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17-4525-A207-1D18F31E428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17-4525-A207-1D18F31E428F}"/>
              </c:ext>
            </c:extLst>
          </c:dPt>
          <c:cat>
            <c:strRef>
              <c:extLst>
                <c:ext xmlns:c15="http://schemas.microsoft.com/office/drawing/2012/chart" uri="{02D57815-91ED-43cb-92C2-25804820EDAC}">
                  <c15:fullRef>
                    <c15:sqref>'Bal Sheet'!$C$118:$J$118</c15:sqref>
                  </c15:fullRef>
                </c:ext>
              </c:extLst>
              <c:f>'Bal Sheet'!$E$118:$J$118</c:f>
              <c:strCache>
                <c:ptCount val="6"/>
                <c:pt idx="0">
                  <c:v>Clubhouse (34%)</c:v>
                </c:pt>
                <c:pt idx="1">
                  <c:v>Golf Course (33%)</c:v>
                </c:pt>
                <c:pt idx="2">
                  <c:v>Fitness/Wellness/Spa (17%)</c:v>
                </c:pt>
                <c:pt idx="3">
                  <c:v>Marina (0%)</c:v>
                </c:pt>
                <c:pt idx="4">
                  <c:v>Tennis/ Racquet (8%)</c:v>
                </c:pt>
                <c:pt idx="5">
                  <c:v>Pool (8%)</c:v>
                </c:pt>
              </c:strCache>
            </c:strRef>
          </c:cat>
          <c:val>
            <c:numRef>
              <c:extLst>
                <c:ext xmlns:c15="http://schemas.microsoft.com/office/drawing/2012/chart" uri="{02D57815-91ED-43cb-92C2-25804820EDAC}">
                  <c15:fullRef>
                    <c15:sqref>'Bal Sheet'!$C$126:$J$126</c15:sqref>
                  </c15:fullRef>
                </c:ext>
              </c:extLst>
              <c:f>'Bal Sheet'!$E$126:$J$126</c:f>
              <c:numCache>
                <c:formatCode>0%</c:formatCode>
                <c:ptCount val="6"/>
                <c:pt idx="0" formatCode="#,##0_);\(#,##0\)">
                  <c:v>4</c:v>
                </c:pt>
                <c:pt idx="1" formatCode="#,##0_);\(#,##0\)">
                  <c:v>4</c:v>
                </c:pt>
                <c:pt idx="2" formatCode="#,##0_);\(#,##0\)">
                  <c:v>2</c:v>
                </c:pt>
                <c:pt idx="3" formatCode="#,##0_);\(#,##0\)">
                  <c:v>0</c:v>
                </c:pt>
                <c:pt idx="4" formatCode="#,##0_);\(#,##0\)">
                  <c:v>1</c:v>
                </c:pt>
                <c:pt idx="5" formatCode="#,##0_);\(#,##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ABC4-4271-AC1D-7661AC6A968B}"/>
            </c:ext>
          </c:extLst>
        </c:ser>
        <c:ser>
          <c:idx val="4"/>
          <c:order val="1"/>
          <c:tx>
            <c:strRef>
              <c:f>'Bal Sheet'!$A$126</c:f>
              <c:strCache>
                <c:ptCount val="1"/>
                <c:pt idx="0">
                  <c:v>Boca Raton Area</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D-8B17-4525-A207-1D18F31E428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F-8B17-4525-A207-1D18F31E428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11-8B17-4525-A207-1D18F31E428F}"/>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13-8B17-4525-A207-1D18F31E428F}"/>
              </c:ext>
            </c:extLst>
          </c:dPt>
          <c:cat>
            <c:strRef>
              <c:extLst>
                <c:ext xmlns:c15="http://schemas.microsoft.com/office/drawing/2012/chart" uri="{02D57815-91ED-43cb-92C2-25804820EDAC}">
                  <c15:fullRef>
                    <c15:sqref>'Bal Sheet'!$E$118:$J$118</c15:sqref>
                  </c15:fullRef>
                </c:ext>
              </c:extLst>
              <c:f>'Bal Sheet'!$G$118:$J$118</c:f>
              <c:strCache>
                <c:ptCount val="4"/>
                <c:pt idx="0">
                  <c:v>Fitness/Wellness/Spa (17%)</c:v>
                </c:pt>
                <c:pt idx="1">
                  <c:v>Marina (0%)</c:v>
                </c:pt>
                <c:pt idx="2">
                  <c:v>Tennis/ Racquet (8%)</c:v>
                </c:pt>
                <c:pt idx="3">
                  <c:v>Pool (8%)</c:v>
                </c:pt>
              </c:strCache>
            </c:strRef>
          </c:cat>
          <c:val>
            <c:numRef>
              <c:extLst>
                <c:ext xmlns:c15="http://schemas.microsoft.com/office/drawing/2012/chart" uri="{02D57815-91ED-43cb-92C2-25804820EDAC}">
                  <c15:fullRef>
                    <c15:sqref>'Bal Sheet'!$E$126:$J$126</c15:sqref>
                  </c15:fullRef>
                </c:ext>
              </c:extLst>
              <c:f>'Bal Sheet'!$G$126:$J$126</c:f>
              <c:numCache>
                <c:formatCode>#,##0_);\(#,##0\)</c:formatCode>
                <c:ptCount val="4"/>
                <c:pt idx="0">
                  <c:v>2</c:v>
                </c:pt>
                <c:pt idx="1">
                  <c:v>0</c:v>
                </c:pt>
                <c:pt idx="2">
                  <c:v>1</c:v>
                </c:pt>
                <c:pt idx="3">
                  <c:v>1</c:v>
                </c:pt>
              </c:numCache>
            </c:numRef>
          </c:val>
          <c:extLst>
            <c:ext xmlns:c15="http://schemas.microsoft.com/office/drawing/2012/chart" uri="{02D57815-91ED-43cb-92C2-25804820EDAC}">
              <c15:categoryFilterExceptions>
                <c15:categoryFilterException>
                  <c15:sqref>'Bal Sheet'!$E$126</c15:sqref>
                  <c15:spPr xmlns:c15="http://schemas.microsoft.com/office/drawing/2012/chart">
                    <a:solidFill>
                      <a:schemeClr val="accent1"/>
                    </a:solidFill>
                    <a:ln w="19050">
                      <a:solidFill>
                        <a:schemeClr val="lt1"/>
                      </a:solidFill>
                    </a:ln>
                    <a:effectLst/>
                  </c15:spPr>
                  <c15:bubble3D val="0"/>
                </c15:categoryFilterException>
                <c15:categoryFilterException>
                  <c15:sqref>'Bal Sheet'!$F$126</c15:sqref>
                  <c15:spPr xmlns:c15="http://schemas.microsoft.com/office/drawing/2012/chart">
                    <a:solidFill>
                      <a:schemeClr val="accent2"/>
                    </a:solidFill>
                    <a:ln w="19050">
                      <a:solidFill>
                        <a:schemeClr val="lt1"/>
                      </a:solidFill>
                    </a:ln>
                    <a:effectLst/>
                  </c15:spPr>
                  <c15:bubble3D val="0"/>
                </c15:categoryFilterException>
              </c15:categoryFilterExceptions>
            </c:ext>
            <c:ext xmlns:c16="http://schemas.microsoft.com/office/drawing/2014/chart" uri="{C3380CC4-5D6E-409C-BE32-E72D297353CC}">
              <c16:uniqueId val="{00000015-ABC4-4271-AC1D-7661AC6A968B}"/>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'Bal Sheet'!$A$127</c:f>
          <c:strCache>
            <c:ptCount val="1"/>
            <c:pt idx="0">
              <c:v>Southwest w/o CIRAs</c:v>
            </c:pt>
          </c:strCache>
        </c:strRef>
      </c:tx>
      <c:layout>
        <c:manualLayout>
          <c:xMode val="edge"/>
          <c:yMode val="edge"/>
          <c:x val="0.16868145621884292"/>
          <c:y val="3.8351600020852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0"/>
          <c:order val="0"/>
          <c:tx>
            <c:strRef>
              <c:f>'Bal Sheet'!$A$127</c:f>
              <c:strCache>
                <c:ptCount val="1"/>
                <c:pt idx="0">
                  <c:v>Southwest w/o CIRAs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9D-4109-8568-3E6BB9AA04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9D-4109-8568-3E6BB9AA04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9D-4109-8568-3E6BB9AA04D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9D-4109-8568-3E6BB9AA04D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49D-4109-8568-3E6BB9AA04D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49D-4109-8568-3E6BB9AA04D6}"/>
              </c:ext>
            </c:extLst>
          </c:dPt>
          <c:cat>
            <c:strRef>
              <c:extLst>
                <c:ext xmlns:c15="http://schemas.microsoft.com/office/drawing/2012/chart" uri="{02D57815-91ED-43cb-92C2-25804820EDAC}">
                  <c15:fullRef>
                    <c15:sqref>'Bal Sheet'!$C$119:$J$119</c15:sqref>
                  </c15:fullRef>
                </c:ext>
              </c:extLst>
              <c:f>'Bal Sheet'!$E$119:$J$119</c:f>
              <c:strCache>
                <c:ptCount val="6"/>
                <c:pt idx="0">
                  <c:v>Clubhouse (43%)</c:v>
                </c:pt>
                <c:pt idx="1">
                  <c:v>Golf Course (29%)</c:v>
                </c:pt>
                <c:pt idx="2">
                  <c:v>Fitness/Wellness/Spa (14%)</c:v>
                </c:pt>
                <c:pt idx="3">
                  <c:v>Marina (0%)</c:v>
                </c:pt>
                <c:pt idx="4">
                  <c:v>Tennis/ Racquet (7%)</c:v>
                </c:pt>
                <c:pt idx="5">
                  <c:v>Pool (7%)</c:v>
                </c:pt>
              </c:strCache>
            </c:strRef>
          </c:cat>
          <c:val>
            <c:numRef>
              <c:extLst>
                <c:ext xmlns:c15="http://schemas.microsoft.com/office/drawing/2012/chart" uri="{02D57815-91ED-43cb-92C2-25804820EDAC}">
                  <c15:fullRef>
                    <c15:sqref>'Bal Sheet'!$C$127:$J$127</c15:sqref>
                  </c15:fullRef>
                </c:ext>
              </c:extLst>
              <c:f>'Bal Sheet'!$E$127:$J$127</c:f>
              <c:numCache>
                <c:formatCode>0%</c:formatCode>
                <c:ptCount val="6"/>
                <c:pt idx="0" formatCode="#,##0_);\(#,##0\)">
                  <c:v>6</c:v>
                </c:pt>
                <c:pt idx="1" formatCode="#,##0_);\(#,##0\)">
                  <c:v>4</c:v>
                </c:pt>
                <c:pt idx="2" formatCode="#,##0_);\(#,##0\)">
                  <c:v>2</c:v>
                </c:pt>
                <c:pt idx="3" formatCode="#,##0_);\(#,##0\)">
                  <c:v>0</c:v>
                </c:pt>
                <c:pt idx="4" formatCode="#,##0_);\(#,##0\)">
                  <c:v>1</c:v>
                </c:pt>
                <c:pt idx="5" formatCode="#,##0_);\(#,##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FCD2-4EAE-80B7-FE8A64717A11}"/>
            </c:ext>
          </c:extLst>
        </c:ser>
        <c:ser>
          <c:idx val="4"/>
          <c:order val="1"/>
          <c:tx>
            <c:strRef>
              <c:f>'Bal Sheet'!$A$126</c:f>
              <c:strCache>
                <c:ptCount val="1"/>
                <c:pt idx="0">
                  <c:v>Boca Raton Area</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D-649D-4109-8568-3E6BB9AA04D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F-649D-4109-8568-3E6BB9AA04D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11-649D-4109-8568-3E6BB9AA04D6}"/>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13-649D-4109-8568-3E6BB9AA04D6}"/>
              </c:ext>
            </c:extLst>
          </c:dPt>
          <c:cat>
            <c:strRef>
              <c:extLst>
                <c:ext xmlns:c15="http://schemas.microsoft.com/office/drawing/2012/chart" uri="{02D57815-91ED-43cb-92C2-25804820EDAC}">
                  <c15:fullRef>
                    <c15:sqref>'Bal Sheet'!$C$119:$J$119</c15:sqref>
                  </c15:fullRef>
                </c:ext>
              </c:extLst>
              <c:f>'Bal Sheet'!$E$119:$J$119</c:f>
              <c:strCache>
                <c:ptCount val="6"/>
                <c:pt idx="0">
                  <c:v>Clubhouse (43%)</c:v>
                </c:pt>
                <c:pt idx="1">
                  <c:v>Golf Course (29%)</c:v>
                </c:pt>
                <c:pt idx="2">
                  <c:v>Fitness/Wellness/Spa (14%)</c:v>
                </c:pt>
                <c:pt idx="3">
                  <c:v>Marina (0%)</c:v>
                </c:pt>
                <c:pt idx="4">
                  <c:v>Tennis/ Racquet (7%)</c:v>
                </c:pt>
                <c:pt idx="5">
                  <c:v>Pool (7%)</c:v>
                </c:pt>
              </c:strCache>
            </c:strRef>
          </c:cat>
          <c:val>
            <c:numRef>
              <c:extLst>
                <c:ext xmlns:c15="http://schemas.microsoft.com/office/drawing/2012/chart" uri="{02D57815-91ED-43cb-92C2-25804820EDAC}">
                  <c15:fullRef>
                    <c15:sqref>'Bal Sheet'!$E$126:$J$126</c15:sqref>
                  </c15:fullRef>
                </c:ext>
              </c:extLst>
              <c:f>'Bal Sheet'!$G$126:$J$126</c:f>
              <c:numCache>
                <c:formatCode>#,##0_);\(#,##0\)</c:formatCode>
                <c:ptCount val="4"/>
                <c:pt idx="0">
                  <c:v>2</c:v>
                </c:pt>
                <c:pt idx="1">
                  <c:v>0</c:v>
                </c:pt>
                <c:pt idx="2">
                  <c:v>1</c:v>
                </c:pt>
                <c:pt idx="3">
                  <c:v>1</c:v>
                </c:pt>
              </c:numCache>
            </c:numRef>
          </c:val>
          <c:extLst>
            <c:ext xmlns:c15="http://schemas.microsoft.com/office/drawing/2012/chart" uri="{02D57815-91ED-43cb-92C2-25804820EDAC}">
              <c15:categoryFilterExceptions>
                <c15:categoryFilterException>
                  <c15:sqref>'Bal Sheet'!$E$126</c15:sqref>
                  <c15:spPr xmlns:c15="http://schemas.microsoft.com/office/drawing/2012/chart">
                    <a:solidFill>
                      <a:schemeClr val="accent1"/>
                    </a:solidFill>
                    <a:ln w="19050">
                      <a:solidFill>
                        <a:schemeClr val="lt1"/>
                      </a:solidFill>
                    </a:ln>
                    <a:effectLst/>
                  </c15:spPr>
                  <c15:bubble3D val="0"/>
                </c15:categoryFilterException>
                <c15:categoryFilterException>
                  <c15:sqref>'Bal Sheet'!$F$126</c15:sqref>
                  <c15:spPr xmlns:c15="http://schemas.microsoft.com/office/drawing/2012/chart">
                    <a:solidFill>
                      <a:schemeClr val="accent2"/>
                    </a:solidFill>
                    <a:ln w="19050">
                      <a:solidFill>
                        <a:schemeClr val="lt1"/>
                      </a:solidFill>
                    </a:ln>
                    <a:effectLst/>
                  </c15:spPr>
                  <c15:bubble3D val="0"/>
                </c15:categoryFilterException>
              </c15:categoryFilterExceptions>
            </c:ext>
            <c:ext xmlns:c16="http://schemas.microsoft.com/office/drawing/2014/chart" uri="{C3380CC4-5D6E-409C-BE32-E72D297353CC}">
              <c16:uniqueId val="{00000015-FCD2-4EAE-80B7-FE8A64717A11}"/>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'Bal Sheet'!$A$128</c:f>
          <c:strCache>
            <c:ptCount val="1"/>
            <c:pt idx="0">
              <c:v>Southwest CIRAs</c:v>
            </c:pt>
          </c:strCache>
        </c:strRef>
      </c:tx>
      <c:layout>
        <c:manualLayout>
          <c:xMode val="edge"/>
          <c:yMode val="edge"/>
          <c:x val="0.23507609873042401"/>
          <c:y val="3.52431681220623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0"/>
          <c:order val="0"/>
          <c:tx>
            <c:strRef>
              <c:f>'Bal Sheet'!$A$128</c:f>
              <c:strCache>
                <c:ptCount val="1"/>
                <c:pt idx="0">
                  <c:v>Southwest CIRAs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B5-4C7B-9D9A-661627916C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B5-4C7B-9D9A-661627916C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B5-4C7B-9D9A-661627916C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B5-4C7B-9D9A-661627916C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CB5-4C7B-9D9A-661627916C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CB5-4C7B-9D9A-661627916C76}"/>
              </c:ext>
            </c:extLst>
          </c:dPt>
          <c:cat>
            <c:strRef>
              <c:extLst>
                <c:ext xmlns:c15="http://schemas.microsoft.com/office/drawing/2012/chart" uri="{02D57815-91ED-43cb-92C2-25804820EDAC}">
                  <c15:fullRef>
                    <c15:sqref>'Bal Sheet'!$C$120:$J$120</c15:sqref>
                  </c15:fullRef>
                </c:ext>
              </c:extLst>
              <c:f>'Bal Sheet'!$E$120:$J$120</c:f>
              <c:strCache>
                <c:ptCount val="6"/>
                <c:pt idx="0">
                  <c:v>Clubhouse (45%)</c:v>
                </c:pt>
                <c:pt idx="1">
                  <c:v>Golf Course (11%)</c:v>
                </c:pt>
                <c:pt idx="2">
                  <c:v>Fitness/Wellness/Spa (11%)</c:v>
                </c:pt>
                <c:pt idx="3">
                  <c:v>Marina (0%)</c:v>
                </c:pt>
                <c:pt idx="4">
                  <c:v>Tennis/ Racquet (11%)</c:v>
                </c:pt>
                <c:pt idx="5">
                  <c:v>Pool (22%)</c:v>
                </c:pt>
              </c:strCache>
            </c:strRef>
          </c:cat>
          <c:val>
            <c:numRef>
              <c:extLst>
                <c:ext xmlns:c15="http://schemas.microsoft.com/office/drawing/2012/chart" uri="{02D57815-91ED-43cb-92C2-25804820EDAC}">
                  <c15:fullRef>
                    <c15:sqref>'Bal Sheet'!$C$128:$J$128</c15:sqref>
                  </c15:fullRef>
                </c:ext>
              </c:extLst>
              <c:f>'Bal Sheet'!$E$128:$J$128</c:f>
              <c:numCache>
                <c:formatCode>0%</c:formatCode>
                <c:ptCount val="6"/>
                <c:pt idx="0" formatCode="#,##0_);\(#,##0\)">
                  <c:v>4</c:v>
                </c:pt>
                <c:pt idx="1" formatCode="#,##0_);\(#,##0\)">
                  <c:v>1</c:v>
                </c:pt>
                <c:pt idx="2" formatCode="#,##0_);\(#,##0\)">
                  <c:v>1</c:v>
                </c:pt>
                <c:pt idx="3" formatCode="#,##0_);\(#,##0\)">
                  <c:v>0</c:v>
                </c:pt>
                <c:pt idx="4" formatCode="#,##0_);\(#,##0\)">
                  <c:v>1</c:v>
                </c:pt>
                <c:pt idx="5" formatCode="#,##0_);\(#,##0\)">
                  <c:v>2</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37E5-41D9-91BD-06E0E7D32621}"/>
            </c:ext>
          </c:extLst>
        </c:ser>
        <c:ser>
          <c:idx val="4"/>
          <c:order val="1"/>
          <c:tx>
            <c:strRef>
              <c:f>'Bal Sheet'!$A$126</c:f>
              <c:strCache>
                <c:ptCount val="1"/>
                <c:pt idx="0">
                  <c:v>Boca Raton Area</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D-4CB5-4C7B-9D9A-661627916C7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F-4CB5-4C7B-9D9A-661627916C76}"/>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11-4CB5-4C7B-9D9A-661627916C76}"/>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13-4CB5-4C7B-9D9A-661627916C76}"/>
              </c:ext>
            </c:extLst>
          </c:dPt>
          <c:cat>
            <c:strRef>
              <c:extLst>
                <c:ext xmlns:c15="http://schemas.microsoft.com/office/drawing/2012/chart" uri="{02D57815-91ED-43cb-92C2-25804820EDAC}">
                  <c15:fullRef>
                    <c15:sqref>'Bal Sheet'!$C$120:$J$120</c15:sqref>
                  </c15:fullRef>
                </c:ext>
              </c:extLst>
              <c:f>'Bal Sheet'!$E$120:$J$120</c:f>
              <c:strCache>
                <c:ptCount val="6"/>
                <c:pt idx="0">
                  <c:v>Clubhouse (45%)</c:v>
                </c:pt>
                <c:pt idx="1">
                  <c:v>Golf Course (11%)</c:v>
                </c:pt>
                <c:pt idx="2">
                  <c:v>Fitness/Wellness/Spa (11%)</c:v>
                </c:pt>
                <c:pt idx="3">
                  <c:v>Marina (0%)</c:v>
                </c:pt>
                <c:pt idx="4">
                  <c:v>Tennis/ Racquet (11%)</c:v>
                </c:pt>
                <c:pt idx="5">
                  <c:v>Pool (22%)</c:v>
                </c:pt>
              </c:strCache>
            </c:strRef>
          </c:cat>
          <c:val>
            <c:numRef>
              <c:extLst>
                <c:ext xmlns:c15="http://schemas.microsoft.com/office/drawing/2012/chart" uri="{02D57815-91ED-43cb-92C2-25804820EDAC}">
                  <c15:fullRef>
                    <c15:sqref>'Bal Sheet'!$E$126:$J$126</c15:sqref>
                  </c15:fullRef>
                </c:ext>
              </c:extLst>
              <c:f>'Bal Sheet'!$G$126:$J$126</c:f>
              <c:numCache>
                <c:formatCode>#,##0_);\(#,##0\)</c:formatCode>
                <c:ptCount val="4"/>
                <c:pt idx="0">
                  <c:v>2</c:v>
                </c:pt>
                <c:pt idx="1">
                  <c:v>0</c:v>
                </c:pt>
                <c:pt idx="2">
                  <c:v>1</c:v>
                </c:pt>
                <c:pt idx="3">
                  <c:v>1</c:v>
                </c:pt>
              </c:numCache>
            </c:numRef>
          </c:val>
          <c:extLst>
            <c:ext xmlns:c15="http://schemas.microsoft.com/office/drawing/2012/chart" uri="{02D57815-91ED-43cb-92C2-25804820EDAC}">
              <c15:categoryFilterExceptions>
                <c15:categoryFilterException>
                  <c15:sqref>'Bal Sheet'!$E$126</c15:sqref>
                  <c15:spPr xmlns:c15="http://schemas.microsoft.com/office/drawing/2012/chart">
                    <a:solidFill>
                      <a:schemeClr val="accent1"/>
                    </a:solidFill>
                    <a:ln w="19050">
                      <a:solidFill>
                        <a:schemeClr val="lt1"/>
                      </a:solidFill>
                    </a:ln>
                    <a:effectLst/>
                  </c15:spPr>
                  <c15:bubble3D val="0"/>
                </c15:categoryFilterException>
                <c15:categoryFilterException>
                  <c15:sqref>'Bal Sheet'!$F$126</c15:sqref>
                  <c15:spPr xmlns:c15="http://schemas.microsoft.com/office/drawing/2012/chart">
                    <a:solidFill>
                      <a:schemeClr val="accent2"/>
                    </a:solidFill>
                    <a:ln w="19050">
                      <a:solidFill>
                        <a:schemeClr val="lt1"/>
                      </a:solidFill>
                    </a:ln>
                    <a:effectLst/>
                  </c15:spPr>
                  <c15:bubble3D val="0"/>
                </c15:categoryFilterException>
              </c15:categoryFilterExceptions>
            </c:ext>
            <c:ext xmlns:c16="http://schemas.microsoft.com/office/drawing/2014/chart" uri="{C3380CC4-5D6E-409C-BE32-E72D297353CC}">
              <c16:uniqueId val="{00000015-37E5-41D9-91BD-06E0E7D32621}"/>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'Bal Sheet'!$A$129</c:f>
          <c:strCache>
            <c:ptCount val="1"/>
            <c:pt idx="0">
              <c:v>North &amp; Central</c:v>
            </c:pt>
          </c:strCache>
        </c:strRef>
      </c:tx>
      <c:layout>
        <c:manualLayout>
          <c:xMode val="edge"/>
          <c:yMode val="edge"/>
          <c:x val="0.23507609873042401"/>
          <c:y val="3.52431681220623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0"/>
          <c:order val="0"/>
          <c:tx>
            <c:strRef>
              <c:f>'Bal Sheet'!$A$129</c:f>
              <c:strCache>
                <c:ptCount val="1"/>
                <c:pt idx="0">
                  <c:v>North &amp; Central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1B-4050-9DF6-A025E14B23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1B-4050-9DF6-A025E14B23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1B-4050-9DF6-A025E14B23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1B-4050-9DF6-A025E14B23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1B-4050-9DF6-A025E14B235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21B-4050-9DF6-A025E14B2353}"/>
              </c:ext>
            </c:extLst>
          </c:dPt>
          <c:cat>
            <c:strRef>
              <c:extLst>
                <c:ext xmlns:c15="http://schemas.microsoft.com/office/drawing/2012/chart" uri="{02D57815-91ED-43cb-92C2-25804820EDAC}">
                  <c15:fullRef>
                    <c15:sqref>'Bal Sheet'!$C$121:$J$121</c15:sqref>
                  </c15:fullRef>
                </c:ext>
              </c:extLst>
              <c:f>'Bal Sheet'!$E$121:$J$121</c:f>
              <c:strCache>
                <c:ptCount val="6"/>
                <c:pt idx="0">
                  <c:v>Clubhouse (22%)</c:v>
                </c:pt>
                <c:pt idx="1">
                  <c:v>Golf Course (30%)</c:v>
                </c:pt>
                <c:pt idx="2">
                  <c:v>Fitness/Wellness/Spa (9%)</c:v>
                </c:pt>
                <c:pt idx="3">
                  <c:v>Marina (4%)</c:v>
                </c:pt>
                <c:pt idx="4">
                  <c:v>Tennis/ Racquet (22%)</c:v>
                </c:pt>
                <c:pt idx="5">
                  <c:v>Pool (13%)</c:v>
                </c:pt>
              </c:strCache>
            </c:strRef>
          </c:cat>
          <c:val>
            <c:numRef>
              <c:extLst>
                <c:ext xmlns:c15="http://schemas.microsoft.com/office/drawing/2012/chart" uri="{02D57815-91ED-43cb-92C2-25804820EDAC}">
                  <c15:fullRef>
                    <c15:sqref>'Bal Sheet'!$C$129:$J$129</c15:sqref>
                  </c15:fullRef>
                </c:ext>
              </c:extLst>
              <c:f>'Bal Sheet'!$E$129:$J$129</c:f>
              <c:numCache>
                <c:formatCode>0%</c:formatCode>
                <c:ptCount val="6"/>
                <c:pt idx="0" formatCode="#,##0_);\(#,##0\)">
                  <c:v>5</c:v>
                </c:pt>
                <c:pt idx="1" formatCode="#,##0_);\(#,##0\)">
                  <c:v>7</c:v>
                </c:pt>
                <c:pt idx="2" formatCode="#,##0_);\(#,##0\)">
                  <c:v>2</c:v>
                </c:pt>
                <c:pt idx="3" formatCode="#,##0_);\(#,##0\)">
                  <c:v>1</c:v>
                </c:pt>
                <c:pt idx="4" formatCode="#,##0_);\(#,##0\)">
                  <c:v>5</c:v>
                </c:pt>
                <c:pt idx="5" formatCode="#,##0_);\(#,##0\)">
                  <c:v>3</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5ACA-4BF6-908B-C537135F0586}"/>
            </c:ext>
          </c:extLst>
        </c:ser>
        <c:ser>
          <c:idx val="4"/>
          <c:order val="1"/>
          <c:tx>
            <c:strRef>
              <c:f>'Bal Sheet'!$A$126</c:f>
              <c:strCache>
                <c:ptCount val="1"/>
                <c:pt idx="0">
                  <c:v>Boca Raton Area</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D-821B-4050-9DF6-A025E14B235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F-821B-4050-9DF6-A025E14B235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11-821B-4050-9DF6-A025E14B2353}"/>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13-821B-4050-9DF6-A025E14B2353}"/>
              </c:ext>
            </c:extLst>
          </c:dPt>
          <c:cat>
            <c:strRef>
              <c:extLst>
                <c:ext xmlns:c15="http://schemas.microsoft.com/office/drawing/2012/chart" uri="{02D57815-91ED-43cb-92C2-25804820EDAC}">
                  <c15:fullRef>
                    <c15:sqref>'Bal Sheet'!$C$121:$J$121</c15:sqref>
                  </c15:fullRef>
                </c:ext>
              </c:extLst>
              <c:f>'Bal Sheet'!$E$121:$J$121</c:f>
              <c:strCache>
                <c:ptCount val="6"/>
                <c:pt idx="0">
                  <c:v>Clubhouse (22%)</c:v>
                </c:pt>
                <c:pt idx="1">
                  <c:v>Golf Course (30%)</c:v>
                </c:pt>
                <c:pt idx="2">
                  <c:v>Fitness/Wellness/Spa (9%)</c:v>
                </c:pt>
                <c:pt idx="3">
                  <c:v>Marina (4%)</c:v>
                </c:pt>
                <c:pt idx="4">
                  <c:v>Tennis/ Racquet (22%)</c:v>
                </c:pt>
                <c:pt idx="5">
                  <c:v>Pool (13%)</c:v>
                </c:pt>
              </c:strCache>
            </c:strRef>
          </c:cat>
          <c:val>
            <c:numRef>
              <c:extLst>
                <c:ext xmlns:c15="http://schemas.microsoft.com/office/drawing/2012/chart" uri="{02D57815-91ED-43cb-92C2-25804820EDAC}">
                  <c15:fullRef>
                    <c15:sqref>'Bal Sheet'!$E$126:$J$126</c15:sqref>
                  </c15:fullRef>
                </c:ext>
              </c:extLst>
              <c:f>'Bal Sheet'!$G$126:$J$126</c:f>
              <c:numCache>
                <c:formatCode>#,##0_);\(#,##0\)</c:formatCode>
                <c:ptCount val="4"/>
                <c:pt idx="0">
                  <c:v>2</c:v>
                </c:pt>
                <c:pt idx="1">
                  <c:v>0</c:v>
                </c:pt>
                <c:pt idx="2">
                  <c:v>1</c:v>
                </c:pt>
                <c:pt idx="3">
                  <c:v>1</c:v>
                </c:pt>
              </c:numCache>
            </c:numRef>
          </c:val>
          <c:extLst>
            <c:ext xmlns:c15="http://schemas.microsoft.com/office/drawing/2012/chart" uri="{02D57815-91ED-43cb-92C2-25804820EDAC}">
              <c15:categoryFilterExceptions>
                <c15:categoryFilterException>
                  <c15:sqref>'Bal Sheet'!$E$126</c15:sqref>
                  <c15:spPr xmlns:c15="http://schemas.microsoft.com/office/drawing/2012/chart">
                    <a:solidFill>
                      <a:schemeClr val="accent1"/>
                    </a:solidFill>
                    <a:ln w="19050">
                      <a:solidFill>
                        <a:schemeClr val="lt1"/>
                      </a:solidFill>
                    </a:ln>
                    <a:effectLst/>
                  </c15:spPr>
                  <c15:bubble3D val="0"/>
                </c15:categoryFilterException>
                <c15:categoryFilterException>
                  <c15:sqref>'Bal Sheet'!$F$126</c15:sqref>
                  <c15:spPr xmlns:c15="http://schemas.microsoft.com/office/drawing/2012/chart">
                    <a:solidFill>
                      <a:schemeClr val="accent2"/>
                    </a:solidFill>
                    <a:ln w="19050">
                      <a:solidFill>
                        <a:schemeClr val="lt1"/>
                      </a:solidFill>
                    </a:ln>
                    <a:effectLst/>
                  </c15:spPr>
                  <c15:bubble3D val="0"/>
                </c15:categoryFilterException>
              </c15:categoryFilterExceptions>
            </c:ext>
            <c:ext xmlns:c16="http://schemas.microsoft.com/office/drawing/2014/chart" uri="{C3380CC4-5D6E-409C-BE32-E72D297353CC}">
              <c16:uniqueId val="{00000015-5ACA-4BF6-908B-C537135F0586}"/>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'Bal Sheet'!$A$130</c:f>
          <c:strCache>
            <c:ptCount val="1"/>
            <c:pt idx="0">
              <c:v>Yacht &amp; Beach</c:v>
            </c:pt>
          </c:strCache>
        </c:strRef>
      </c:tx>
      <c:layout>
        <c:manualLayout>
          <c:xMode val="edge"/>
          <c:yMode val="edge"/>
          <c:x val="0.23507609873042401"/>
          <c:y val="3.52431681220623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280032253463776E-2"/>
          <c:y val="0.12426892111685056"/>
          <c:w val="0.72761639989915305"/>
          <c:h val="0.51869572672573039"/>
        </c:manualLayout>
      </c:layout>
      <c:pieChart>
        <c:varyColors val="1"/>
        <c:ser>
          <c:idx val="0"/>
          <c:order val="0"/>
          <c:tx>
            <c:strRef>
              <c:f>'Bal Sheet'!$A$130</c:f>
              <c:strCache>
                <c:ptCount val="1"/>
                <c:pt idx="0">
                  <c:v>Yacht &amp; Beach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78-4630-AE3F-B88A9F9C7C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78-4630-AE3F-B88A9F9C7C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78-4630-AE3F-B88A9F9C7C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478-4630-AE3F-B88A9F9C7C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478-4630-AE3F-B88A9F9C7C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478-4630-AE3F-B88A9F9C7C55}"/>
              </c:ext>
            </c:extLst>
          </c:dPt>
          <c:cat>
            <c:strRef>
              <c:extLst>
                <c:ext xmlns:c15="http://schemas.microsoft.com/office/drawing/2012/chart" uri="{02D57815-91ED-43cb-92C2-25804820EDAC}">
                  <c15:fullRef>
                    <c15:sqref>'Bal Sheet'!$C$122:$J$122</c15:sqref>
                  </c15:fullRef>
                </c:ext>
              </c:extLst>
              <c:f>'Bal Sheet'!$E$122:$J$122</c:f>
              <c:strCache>
                <c:ptCount val="6"/>
                <c:pt idx="0">
                  <c:v>Clubhouse (50%)</c:v>
                </c:pt>
                <c:pt idx="1">
                  <c:v>Golf Course (0%)</c:v>
                </c:pt>
                <c:pt idx="2">
                  <c:v>Fitness/Wellness/Spa (0%)</c:v>
                </c:pt>
                <c:pt idx="3">
                  <c:v>Marina (25%)</c:v>
                </c:pt>
                <c:pt idx="4">
                  <c:v>Tennis/ Racquet (0%)</c:v>
                </c:pt>
                <c:pt idx="5">
                  <c:v>Pool (25%)</c:v>
                </c:pt>
              </c:strCache>
            </c:strRef>
          </c:cat>
          <c:val>
            <c:numRef>
              <c:extLst>
                <c:ext xmlns:c15="http://schemas.microsoft.com/office/drawing/2012/chart" uri="{02D57815-91ED-43cb-92C2-25804820EDAC}">
                  <c15:fullRef>
                    <c15:sqref>'Bal Sheet'!$C$130:$J$130</c15:sqref>
                  </c15:fullRef>
                </c:ext>
              </c:extLst>
              <c:f>'Bal Sheet'!$E$130:$J$130</c:f>
              <c:numCache>
                <c:formatCode>0%</c:formatCode>
                <c:ptCount val="6"/>
                <c:pt idx="0" formatCode="#,##0_);\(#,##0\)">
                  <c:v>2</c:v>
                </c:pt>
                <c:pt idx="1" formatCode="#,##0_);\(#,##0\)">
                  <c:v>0</c:v>
                </c:pt>
                <c:pt idx="2" formatCode="#,##0_);\(#,##0\)">
                  <c:v>0</c:v>
                </c:pt>
                <c:pt idx="3" formatCode="#,##0_);\(#,##0\)">
                  <c:v>1</c:v>
                </c:pt>
                <c:pt idx="4" formatCode="#,##0_);\(#,##0\)">
                  <c:v>0</c:v>
                </c:pt>
                <c:pt idx="5" formatCode="#,##0_);\(#,##0\)">
                  <c:v>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C-6148-4B70-9967-AA8CF6F4B3DE}"/>
            </c:ext>
          </c:extLst>
        </c:ser>
        <c:ser>
          <c:idx val="4"/>
          <c:order val="1"/>
          <c:tx>
            <c:strRef>
              <c:f>'Bal Sheet'!$A$126</c:f>
              <c:strCache>
                <c:ptCount val="1"/>
                <c:pt idx="0">
                  <c:v>Boca Raton Area</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D-6478-4630-AE3F-B88A9F9C7C5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F-6478-4630-AE3F-B88A9F9C7C55}"/>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11-6478-4630-AE3F-B88A9F9C7C55}"/>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13-6478-4630-AE3F-B88A9F9C7C55}"/>
              </c:ext>
            </c:extLst>
          </c:dPt>
          <c:cat>
            <c:strRef>
              <c:extLst>
                <c:ext xmlns:c15="http://schemas.microsoft.com/office/drawing/2012/chart" uri="{02D57815-91ED-43cb-92C2-25804820EDAC}">
                  <c15:fullRef>
                    <c15:sqref>'Bal Sheet'!$C$122:$J$122</c15:sqref>
                  </c15:fullRef>
                </c:ext>
              </c:extLst>
              <c:f>'Bal Sheet'!$E$122:$J$122</c:f>
              <c:strCache>
                <c:ptCount val="6"/>
                <c:pt idx="0">
                  <c:v>Clubhouse (50%)</c:v>
                </c:pt>
                <c:pt idx="1">
                  <c:v>Golf Course (0%)</c:v>
                </c:pt>
                <c:pt idx="2">
                  <c:v>Fitness/Wellness/Spa (0%)</c:v>
                </c:pt>
                <c:pt idx="3">
                  <c:v>Marina (25%)</c:v>
                </c:pt>
                <c:pt idx="4">
                  <c:v>Tennis/ Racquet (0%)</c:v>
                </c:pt>
                <c:pt idx="5">
                  <c:v>Pool (25%)</c:v>
                </c:pt>
              </c:strCache>
            </c:strRef>
          </c:cat>
          <c:val>
            <c:numRef>
              <c:extLst>
                <c:ext xmlns:c15="http://schemas.microsoft.com/office/drawing/2012/chart" uri="{02D57815-91ED-43cb-92C2-25804820EDAC}">
                  <c15:fullRef>
                    <c15:sqref>'Bal Sheet'!$E$126:$J$126</c15:sqref>
                  </c15:fullRef>
                </c:ext>
              </c:extLst>
              <c:f>'Bal Sheet'!$G$126:$J$126</c:f>
              <c:numCache>
                <c:formatCode>#,##0_);\(#,##0\)</c:formatCode>
                <c:ptCount val="4"/>
                <c:pt idx="0">
                  <c:v>2</c:v>
                </c:pt>
                <c:pt idx="1">
                  <c:v>0</c:v>
                </c:pt>
                <c:pt idx="2">
                  <c:v>1</c:v>
                </c:pt>
                <c:pt idx="3">
                  <c:v>1</c:v>
                </c:pt>
              </c:numCache>
            </c:numRef>
          </c:val>
          <c:extLst>
            <c:ext xmlns:c15="http://schemas.microsoft.com/office/drawing/2012/chart" uri="{02D57815-91ED-43cb-92C2-25804820EDAC}">
              <c15:categoryFilterExceptions>
                <c15:categoryFilterException>
                  <c15:sqref>'Bal Sheet'!$E$126</c15:sqref>
                  <c15:spPr xmlns:c15="http://schemas.microsoft.com/office/drawing/2012/chart">
                    <a:solidFill>
                      <a:schemeClr val="accent1"/>
                    </a:solidFill>
                    <a:ln w="19050">
                      <a:solidFill>
                        <a:schemeClr val="lt1"/>
                      </a:solidFill>
                    </a:ln>
                    <a:effectLst/>
                  </c15:spPr>
                  <c15:bubble3D val="0"/>
                </c15:categoryFilterException>
                <c15:categoryFilterException>
                  <c15:sqref>'Bal Sheet'!$F$126</c15:sqref>
                  <c15:spPr xmlns:c15="http://schemas.microsoft.com/office/drawing/2012/chart">
                    <a:solidFill>
                      <a:schemeClr val="accent2"/>
                    </a:solidFill>
                    <a:ln w="19050">
                      <a:solidFill>
                        <a:schemeClr val="lt1"/>
                      </a:solidFill>
                    </a:ln>
                    <a:effectLst/>
                  </c15:spPr>
                  <c15:bubble3D val="0"/>
                </c15:categoryFilterException>
              </c15:categoryFilterExceptions>
            </c:ext>
            <c:ext xmlns:c16="http://schemas.microsoft.com/office/drawing/2014/chart" uri="{C3380CC4-5D6E-409C-BE32-E72D297353CC}">
              <c16:uniqueId val="{00000015-6148-4B70-9967-AA8CF6F4B3DE}"/>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r"/>
      <c:layout>
        <c:manualLayout>
          <c:xMode val="edge"/>
          <c:yMode val="edge"/>
          <c:x val="6.5547128927410617E-2"/>
          <c:y val="0.71299580944868035"/>
          <c:w val="0.89778136647655649"/>
          <c:h val="0.22532147793464308"/>
        </c:manualLayout>
      </c:layout>
      <c:overlay val="0"/>
      <c:spPr>
        <a:noFill/>
        <a:ln w="28575">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117755854298513E-2"/>
          <c:y val="4.4524404620144724E-2"/>
          <c:w val="0.90507315702430835"/>
          <c:h val="0.60350229878599637"/>
        </c:manualLayout>
      </c:layout>
      <c:barChart>
        <c:barDir val="col"/>
        <c:grouping val="clustered"/>
        <c:varyColors val="0"/>
        <c:ser>
          <c:idx val="0"/>
          <c:order val="0"/>
          <c:tx>
            <c:strRef>
              <c:f>Membership!$A$4</c:f>
              <c:strCache>
                <c:ptCount val="1"/>
                <c:pt idx="0">
                  <c:v>2022</c:v>
                </c:pt>
              </c:strCache>
            </c:strRef>
          </c:tx>
          <c:spPr>
            <a:solidFill>
              <a:schemeClr val="accent1"/>
            </a:solidFill>
            <a:ln>
              <a:noFill/>
            </a:ln>
            <a:effectLst/>
          </c:spPr>
          <c:invertIfNegative val="0"/>
          <c:dLbls>
            <c:delete val="1"/>
          </c:dLbls>
          <c:cat>
            <c:strRef>
              <c:f>Membership!$B$3:$H$3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Membership!$B$4:$H$4</c:f>
              <c:numCache>
                <c:formatCode>_-* #,##0_-;\-* #,##0_-;_-* "-"??_-;_-@_-</c:formatCode>
                <c:ptCount val="7"/>
                <c:pt idx="0">
                  <c:v>850</c:v>
                </c:pt>
                <c:pt idx="1">
                  <c:v>660</c:v>
                </c:pt>
                <c:pt idx="2">
                  <c:v>1020</c:v>
                </c:pt>
                <c:pt idx="3">
                  <c:v>750</c:v>
                </c:pt>
                <c:pt idx="4">
                  <c:v>1040</c:v>
                </c:pt>
                <c:pt idx="5">
                  <c:v>900</c:v>
                </c:pt>
                <c:pt idx="6">
                  <c:v>770</c:v>
                </c:pt>
              </c:numCache>
            </c:numRef>
          </c:val>
          <c:extLst>
            <c:ext xmlns:c16="http://schemas.microsoft.com/office/drawing/2014/chart" uri="{C3380CC4-5D6E-409C-BE32-E72D297353CC}">
              <c16:uniqueId val="{00000000-EC35-4DB9-AB55-CA7F04F9B84E}"/>
            </c:ext>
          </c:extLst>
        </c:ser>
        <c:ser>
          <c:idx val="1"/>
          <c:order val="1"/>
          <c:tx>
            <c:strRef>
              <c:f>Membership!$A$5</c:f>
              <c:strCache>
                <c:ptCount val="1"/>
                <c:pt idx="0">
                  <c:v>2021</c:v>
                </c:pt>
              </c:strCache>
            </c:strRef>
          </c:tx>
          <c:spPr>
            <a:solidFill>
              <a:schemeClr val="accent2"/>
            </a:solidFill>
            <a:ln>
              <a:noFill/>
            </a:ln>
            <a:effectLst/>
          </c:spPr>
          <c:invertIfNegative val="0"/>
          <c:dLbls>
            <c:delete val="1"/>
          </c:dLbls>
          <c:cat>
            <c:strRef>
              <c:f>Membership!$B$3:$H$3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Membership!$B$5:$H$5</c:f>
              <c:numCache>
                <c:formatCode>_-* #,##0_-;\-* #,##0_-;_-* "-"??_-;_-@_-</c:formatCode>
                <c:ptCount val="7"/>
                <c:pt idx="0">
                  <c:v>860</c:v>
                </c:pt>
                <c:pt idx="1">
                  <c:v>640</c:v>
                </c:pt>
                <c:pt idx="2">
                  <c:v>1010</c:v>
                </c:pt>
                <c:pt idx="3">
                  <c:v>750</c:v>
                </c:pt>
                <c:pt idx="4">
                  <c:v>1030</c:v>
                </c:pt>
                <c:pt idx="5">
                  <c:v>930</c:v>
                </c:pt>
                <c:pt idx="6">
                  <c:v>780</c:v>
                </c:pt>
              </c:numCache>
            </c:numRef>
          </c:val>
          <c:extLst>
            <c:ext xmlns:c16="http://schemas.microsoft.com/office/drawing/2014/chart" uri="{C3380CC4-5D6E-409C-BE32-E72D297353CC}">
              <c16:uniqueId val="{00000001-EC35-4DB9-AB55-CA7F04F9B84E}"/>
            </c:ext>
          </c:extLst>
        </c:ser>
        <c:ser>
          <c:idx val="2"/>
          <c:order val="2"/>
          <c:tx>
            <c:strRef>
              <c:f>Membership!$A$6</c:f>
              <c:strCache>
                <c:ptCount val="1"/>
                <c:pt idx="0">
                  <c:v>2020</c:v>
                </c:pt>
              </c:strCache>
            </c:strRef>
          </c:tx>
          <c:spPr>
            <a:solidFill>
              <a:schemeClr val="accent3"/>
            </a:solidFill>
            <a:ln>
              <a:noFill/>
            </a:ln>
            <a:effectLst/>
          </c:spPr>
          <c:invertIfNegative val="0"/>
          <c:dLbls>
            <c:delete val="1"/>
          </c:dLbls>
          <c:cat>
            <c:strRef>
              <c:f>Membership!$B$3:$H$3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Membership!$B$6:$H$6</c:f>
              <c:numCache>
                <c:formatCode>_-* #,##0_-;\-* #,##0_-;_-* "-"??_-;_-@_-</c:formatCode>
                <c:ptCount val="7"/>
                <c:pt idx="0">
                  <c:v>820</c:v>
                </c:pt>
                <c:pt idx="1">
                  <c:v>620</c:v>
                </c:pt>
                <c:pt idx="2">
                  <c:v>1000</c:v>
                </c:pt>
                <c:pt idx="3">
                  <c:v>720</c:v>
                </c:pt>
                <c:pt idx="4">
                  <c:v>990</c:v>
                </c:pt>
                <c:pt idx="5">
                  <c:v>880</c:v>
                </c:pt>
                <c:pt idx="6">
                  <c:v>750</c:v>
                </c:pt>
              </c:numCache>
            </c:numRef>
          </c:val>
          <c:extLst>
            <c:ext xmlns:c16="http://schemas.microsoft.com/office/drawing/2014/chart" uri="{C3380CC4-5D6E-409C-BE32-E72D297353CC}">
              <c16:uniqueId val="{00000002-EC35-4DB9-AB55-CA7F04F9B84E}"/>
            </c:ext>
          </c:extLst>
        </c:ser>
        <c:ser>
          <c:idx val="3"/>
          <c:order val="3"/>
          <c:tx>
            <c:strRef>
              <c:f>Membership!$A$7</c:f>
              <c:strCache>
                <c:ptCount val="1"/>
                <c:pt idx="0">
                  <c:v>2019</c:v>
                </c:pt>
              </c:strCache>
            </c:strRef>
          </c:tx>
          <c:spPr>
            <a:solidFill>
              <a:schemeClr val="accent4"/>
            </a:solidFill>
            <a:ln>
              <a:noFill/>
            </a:ln>
            <a:effectLst/>
          </c:spPr>
          <c:invertIfNegative val="0"/>
          <c:dLbls>
            <c:delete val="1"/>
          </c:dLbls>
          <c:cat>
            <c:strRef>
              <c:f>Membership!$B$3:$H$3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Membership!$B$7:$H$7</c:f>
              <c:numCache>
                <c:formatCode>_-* #,##0_-;\-* #,##0_-;_-* "-"??_-;_-@_-</c:formatCode>
                <c:ptCount val="7"/>
                <c:pt idx="0">
                  <c:v>810</c:v>
                </c:pt>
                <c:pt idx="1">
                  <c:v>640</c:v>
                </c:pt>
                <c:pt idx="2">
                  <c:v>1000</c:v>
                </c:pt>
                <c:pt idx="3">
                  <c:v>690</c:v>
                </c:pt>
                <c:pt idx="4">
                  <c:v>990</c:v>
                </c:pt>
                <c:pt idx="5">
                  <c:v>870</c:v>
                </c:pt>
                <c:pt idx="6">
                  <c:v>730</c:v>
                </c:pt>
              </c:numCache>
            </c:numRef>
          </c:val>
          <c:extLst>
            <c:ext xmlns:c16="http://schemas.microsoft.com/office/drawing/2014/chart" uri="{C3380CC4-5D6E-409C-BE32-E72D297353CC}">
              <c16:uniqueId val="{00000003-EC35-4DB9-AB55-CA7F04F9B84E}"/>
            </c:ext>
          </c:extLst>
        </c:ser>
        <c:ser>
          <c:idx val="4"/>
          <c:order val="4"/>
          <c:tx>
            <c:strRef>
              <c:f>Membership!$A$8</c:f>
              <c:strCache>
                <c:ptCount val="1"/>
                <c:pt idx="0">
                  <c:v>2018</c:v>
                </c:pt>
              </c:strCache>
            </c:strRef>
          </c:tx>
          <c:spPr>
            <a:solidFill>
              <a:schemeClr val="accent5"/>
            </a:solidFill>
            <a:ln>
              <a:noFill/>
            </a:ln>
            <a:effectLst/>
          </c:spPr>
          <c:invertIfNegative val="0"/>
          <c:dLbls>
            <c:delete val="1"/>
          </c:dLbls>
          <c:cat>
            <c:strRef>
              <c:f>Membership!$B$3:$H$3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Membership!$B$8:$H$8</c:f>
              <c:numCache>
                <c:formatCode>_-* #,##0_-;\-* #,##0_-;_-* "-"??_-;_-@_-</c:formatCode>
                <c:ptCount val="7"/>
                <c:pt idx="0">
                  <c:v>820</c:v>
                </c:pt>
                <c:pt idx="1">
                  <c:v>630</c:v>
                </c:pt>
                <c:pt idx="2">
                  <c:v>990</c:v>
                </c:pt>
                <c:pt idx="3">
                  <c:v>680</c:v>
                </c:pt>
                <c:pt idx="4">
                  <c:v>990</c:v>
                </c:pt>
                <c:pt idx="5">
                  <c:v>910</c:v>
                </c:pt>
                <c:pt idx="6">
                  <c:v>750</c:v>
                </c:pt>
              </c:numCache>
            </c:numRef>
          </c:val>
          <c:extLst>
            <c:ext xmlns:c16="http://schemas.microsoft.com/office/drawing/2014/chart" uri="{C3380CC4-5D6E-409C-BE32-E72D297353CC}">
              <c16:uniqueId val="{00000004-EC35-4DB9-AB55-CA7F04F9B84E}"/>
            </c:ext>
          </c:extLst>
        </c:ser>
        <c:dLbls>
          <c:showLegendKey val="0"/>
          <c:showVal val="1"/>
          <c:showCatName val="0"/>
          <c:showSerName val="0"/>
          <c:showPercent val="0"/>
          <c:showBubbleSize val="0"/>
        </c:dLbls>
        <c:gapWidth val="150"/>
        <c:axId val="694870680"/>
        <c:axId val="694869504"/>
      </c:barChart>
      <c:catAx>
        <c:axId val="69487068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69504"/>
        <c:crosses val="autoZero"/>
        <c:auto val="1"/>
        <c:lblAlgn val="ctr"/>
        <c:lblOffset val="100"/>
        <c:noMultiLvlLbl val="0"/>
      </c:catAx>
      <c:valAx>
        <c:axId val="694869504"/>
        <c:scaling>
          <c:orientation val="minMax"/>
          <c:max val="1100"/>
          <c:min val="500"/>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694870680"/>
        <c:crosses val="autoZero"/>
        <c:crossBetween val="between"/>
        <c:majorUnit val="1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407999443832"/>
          <c:y val="4.7405979446637381E-2"/>
          <c:w val="0.81561177281825281"/>
          <c:h val="0.66590394356782634"/>
        </c:manualLayout>
      </c:layout>
      <c:barChart>
        <c:barDir val="col"/>
        <c:grouping val="clustered"/>
        <c:varyColors val="0"/>
        <c:ser>
          <c:idx val="1"/>
          <c:order val="0"/>
          <c:tx>
            <c:strRef>
              <c:f>Membership!$A$138</c:f>
              <c:strCache>
                <c:ptCount val="1"/>
                <c:pt idx="0">
                  <c:v> Full membership 2023 </c:v>
                </c:pt>
              </c:strCache>
            </c:strRef>
          </c:tx>
          <c:spPr>
            <a:solidFill>
              <a:schemeClr val="accent1"/>
            </a:solidFill>
            <a:ln>
              <a:noFill/>
            </a:ln>
            <a:effectLst/>
          </c:spPr>
          <c:invertIfNegative val="0"/>
          <c:cat>
            <c:strRef>
              <c:f>Membership!$B$136:$H$137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Membership!$B$138:$H$138</c:f>
              <c:numCache>
                <c:formatCode>0%</c:formatCode>
                <c:ptCount val="7"/>
                <c:pt idx="0">
                  <c:v>0.94</c:v>
                </c:pt>
                <c:pt idx="1">
                  <c:v>1</c:v>
                </c:pt>
                <c:pt idx="2">
                  <c:v>0.94</c:v>
                </c:pt>
                <c:pt idx="3">
                  <c:v>1</c:v>
                </c:pt>
                <c:pt idx="4">
                  <c:v>0.94</c:v>
                </c:pt>
                <c:pt idx="5">
                  <c:v>0.83</c:v>
                </c:pt>
                <c:pt idx="6">
                  <c:v>1</c:v>
                </c:pt>
              </c:numCache>
            </c:numRef>
          </c:val>
          <c:extLst>
            <c:ext xmlns:c16="http://schemas.microsoft.com/office/drawing/2014/chart" uri="{C3380CC4-5D6E-409C-BE32-E72D297353CC}">
              <c16:uniqueId val="{00000000-D666-4429-B13B-F9426B00A61A}"/>
            </c:ext>
          </c:extLst>
        </c:ser>
        <c:ser>
          <c:idx val="0"/>
          <c:order val="1"/>
          <c:tx>
            <c:strRef>
              <c:f>Membership!$A$139</c:f>
              <c:strCache>
                <c:ptCount val="1"/>
                <c:pt idx="0">
                  <c:v> Full membership 2022 </c:v>
                </c:pt>
              </c:strCache>
            </c:strRef>
          </c:tx>
          <c:spPr>
            <a:solidFill>
              <a:schemeClr val="accent2"/>
            </a:solidFill>
            <a:ln>
              <a:noFill/>
            </a:ln>
            <a:effectLst/>
          </c:spPr>
          <c:invertIfNegative val="0"/>
          <c:cat>
            <c:strRef>
              <c:f>Membership!$B$136:$H$137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Membership!$B$139:$H$139</c:f>
              <c:numCache>
                <c:formatCode>0%</c:formatCode>
                <c:ptCount val="7"/>
                <c:pt idx="0">
                  <c:v>0.95</c:v>
                </c:pt>
                <c:pt idx="1">
                  <c:v>0.96</c:v>
                </c:pt>
                <c:pt idx="2">
                  <c:v>1</c:v>
                </c:pt>
                <c:pt idx="3">
                  <c:v>1</c:v>
                </c:pt>
                <c:pt idx="4">
                  <c:v>0.95</c:v>
                </c:pt>
                <c:pt idx="5">
                  <c:v>0.86</c:v>
                </c:pt>
                <c:pt idx="6">
                  <c:v>0.71</c:v>
                </c:pt>
              </c:numCache>
            </c:numRef>
          </c:val>
          <c:extLst>
            <c:ext xmlns:c16="http://schemas.microsoft.com/office/drawing/2014/chart" uri="{C3380CC4-5D6E-409C-BE32-E72D297353CC}">
              <c16:uniqueId val="{00000001-D666-4429-B13B-F9426B00A61A}"/>
            </c:ext>
          </c:extLst>
        </c:ser>
        <c:ser>
          <c:idx val="2"/>
          <c:order val="2"/>
          <c:tx>
            <c:strRef>
              <c:f>Membership!$A$140</c:f>
              <c:strCache>
                <c:ptCount val="1"/>
                <c:pt idx="0">
                  <c:v> Full membership 2021 </c:v>
                </c:pt>
              </c:strCache>
            </c:strRef>
          </c:tx>
          <c:spPr>
            <a:solidFill>
              <a:schemeClr val="accent3"/>
            </a:solidFill>
            <a:ln>
              <a:noFill/>
            </a:ln>
            <a:effectLst/>
          </c:spPr>
          <c:invertIfNegative val="0"/>
          <c:cat>
            <c:strRef>
              <c:f>Membership!$B$136:$H$137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Membership!$B$140:$H$140</c:f>
              <c:numCache>
                <c:formatCode>0%</c:formatCode>
                <c:ptCount val="7"/>
                <c:pt idx="0">
                  <c:v>0.75</c:v>
                </c:pt>
                <c:pt idx="1">
                  <c:v>0.57999999999999996</c:v>
                </c:pt>
                <c:pt idx="2">
                  <c:v>0.53</c:v>
                </c:pt>
                <c:pt idx="3">
                  <c:v>1</c:v>
                </c:pt>
                <c:pt idx="4">
                  <c:v>1</c:v>
                </c:pt>
                <c:pt idx="5">
                  <c:v>0.62</c:v>
                </c:pt>
                <c:pt idx="6">
                  <c:v>0.56000000000000005</c:v>
                </c:pt>
              </c:numCache>
            </c:numRef>
          </c:val>
          <c:extLst>
            <c:ext xmlns:c16="http://schemas.microsoft.com/office/drawing/2014/chart" uri="{C3380CC4-5D6E-409C-BE32-E72D297353CC}">
              <c16:uniqueId val="{00000002-D666-4429-B13B-F9426B00A61A}"/>
            </c:ext>
          </c:extLst>
        </c:ser>
        <c:ser>
          <c:idx val="3"/>
          <c:order val="3"/>
          <c:tx>
            <c:strRef>
              <c:f>Membership!$A$141</c:f>
              <c:strCache>
                <c:ptCount val="1"/>
                <c:pt idx="0">
                  <c:v> Full membership 2020 </c:v>
                </c:pt>
              </c:strCache>
            </c:strRef>
          </c:tx>
          <c:spPr>
            <a:solidFill>
              <a:schemeClr val="accent4"/>
            </a:solidFill>
            <a:ln>
              <a:noFill/>
            </a:ln>
            <a:effectLst/>
          </c:spPr>
          <c:invertIfNegative val="0"/>
          <c:cat>
            <c:strRef>
              <c:f>Membership!$B$136:$H$137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Membership!$B$141:$H$141</c:f>
              <c:numCache>
                <c:formatCode>0%</c:formatCode>
                <c:ptCount val="7"/>
                <c:pt idx="0">
                  <c:v>0.93</c:v>
                </c:pt>
                <c:pt idx="1">
                  <c:v>0.88</c:v>
                </c:pt>
                <c:pt idx="2">
                  <c:v>1</c:v>
                </c:pt>
                <c:pt idx="3">
                  <c:v>0.96</c:v>
                </c:pt>
                <c:pt idx="4">
                  <c:v>0.95</c:v>
                </c:pt>
                <c:pt idx="5">
                  <c:v>0.86</c:v>
                </c:pt>
                <c:pt idx="6">
                  <c:v>0.76</c:v>
                </c:pt>
              </c:numCache>
            </c:numRef>
          </c:val>
          <c:extLst>
            <c:ext xmlns:c16="http://schemas.microsoft.com/office/drawing/2014/chart" uri="{C3380CC4-5D6E-409C-BE32-E72D297353CC}">
              <c16:uniqueId val="{00000003-D666-4429-B13B-F9426B00A61A}"/>
            </c:ext>
          </c:extLst>
        </c:ser>
        <c:dLbls>
          <c:showLegendKey val="0"/>
          <c:showVal val="0"/>
          <c:showCatName val="0"/>
          <c:showSerName val="0"/>
          <c:showPercent val="0"/>
          <c:showBubbleSize val="0"/>
        </c:dLbls>
        <c:gapWidth val="150"/>
        <c:axId val="812365520"/>
        <c:axId val="812367480"/>
      </c:barChart>
      <c:catAx>
        <c:axId val="81236552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67480"/>
        <c:crosses val="autoZero"/>
        <c:auto val="1"/>
        <c:lblAlgn val="ctr"/>
        <c:lblOffset val="100"/>
        <c:noMultiLvlLbl val="0"/>
      </c:catAx>
      <c:valAx>
        <c:axId val="812367480"/>
        <c:scaling>
          <c:orientation val="minMax"/>
          <c:max val="1"/>
          <c:min val="0.5"/>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65520"/>
        <c:crosses val="autoZero"/>
        <c:crossBetween val="between"/>
        <c:majorUnit val="0.1"/>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367422976372767"/>
          <c:y val="6.3737638107949149E-2"/>
          <c:w val="0.81239365272066677"/>
          <c:h val="0.56767087736164168"/>
        </c:manualLayout>
      </c:layout>
      <c:barChart>
        <c:barDir val="col"/>
        <c:grouping val="clustered"/>
        <c:varyColors val="0"/>
        <c:ser>
          <c:idx val="1"/>
          <c:order val="0"/>
          <c:tx>
            <c:strRef>
              <c:f>Membership!$A$182</c:f>
              <c:strCache>
                <c:ptCount val="1"/>
                <c:pt idx="0">
                  <c:v> Full membership 2014 </c:v>
                </c:pt>
              </c:strCache>
            </c:strRef>
          </c:tx>
          <c:spPr>
            <a:solidFill>
              <a:srgbClr val="007FB1"/>
            </a:solidFill>
          </c:spPr>
          <c:invertIfNegative val="0"/>
          <c:dLbls>
            <c:delete val="1"/>
          </c:dLbls>
          <c:val>
            <c:numRef>
              <c:f>Membership!$B$182:$H$182</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Membership!$B$181:$H$181</c15:sqref>
                        </c15:formulaRef>
                      </c:ext>
                    </c:extLst>
                  </c:multiLvlStrRef>
                </c15:cat>
              </c15:filteredCategoryTitle>
            </c:ext>
            <c:ext xmlns:c16="http://schemas.microsoft.com/office/drawing/2014/chart" uri="{C3380CC4-5D6E-409C-BE32-E72D297353CC}">
              <c16:uniqueId val="{00000000-A0C0-47F7-A4F4-996F13EF0CCA}"/>
            </c:ext>
          </c:extLst>
        </c:ser>
        <c:ser>
          <c:idx val="0"/>
          <c:order val="1"/>
          <c:tx>
            <c:strRef>
              <c:f>Membership!$A$183</c:f>
              <c:strCache>
                <c:ptCount val="1"/>
                <c:pt idx="0">
                  <c:v> Full membership 2013 </c:v>
                </c:pt>
              </c:strCache>
            </c:strRef>
          </c:tx>
          <c:spPr>
            <a:solidFill>
              <a:srgbClr val="CCE5EF"/>
            </a:solidFill>
          </c:spPr>
          <c:invertIfNegative val="0"/>
          <c:dLbls>
            <c:delete val="1"/>
          </c:dLbls>
          <c:val>
            <c:numRef>
              <c:f>Membership!$B$183:$H$183</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Membership!$B$181:$H$181</c15:sqref>
                        </c15:formulaRef>
                      </c:ext>
                    </c:extLst>
                  </c:multiLvlStrRef>
                </c15:cat>
              </c15:filteredCategoryTitle>
            </c:ext>
            <c:ext xmlns:c16="http://schemas.microsoft.com/office/drawing/2014/chart" uri="{C3380CC4-5D6E-409C-BE32-E72D297353CC}">
              <c16:uniqueId val="{00000001-A0C0-47F7-A4F4-996F13EF0CCA}"/>
            </c:ext>
          </c:extLst>
        </c:ser>
        <c:ser>
          <c:idx val="2"/>
          <c:order val="2"/>
          <c:tx>
            <c:strRef>
              <c:f>Membership!$A$186</c:f>
              <c:strCache>
                <c:ptCount val="1"/>
                <c:pt idx="0">
                  <c:v> Entry membership 2014 </c:v>
                </c:pt>
              </c:strCache>
            </c:strRef>
          </c:tx>
          <c:invertIfNegative val="0"/>
          <c:dLbls>
            <c:delete val="1"/>
          </c:dLbls>
          <c:val>
            <c:numRef>
              <c:f>Membership!$B$186:$H$186</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Membership!$B$181:$H$181</c15:sqref>
                        </c15:formulaRef>
                      </c:ext>
                    </c:extLst>
                  </c:multiLvlStrRef>
                </c15:cat>
              </c15:filteredCategoryTitle>
            </c:ext>
            <c:ext xmlns:c16="http://schemas.microsoft.com/office/drawing/2014/chart" uri="{C3380CC4-5D6E-409C-BE32-E72D297353CC}">
              <c16:uniqueId val="{00000002-A0C0-47F7-A4F4-996F13EF0CCA}"/>
            </c:ext>
          </c:extLst>
        </c:ser>
        <c:ser>
          <c:idx val="3"/>
          <c:order val="3"/>
          <c:tx>
            <c:strRef>
              <c:f>Membership!$A$187</c:f>
              <c:strCache>
                <c:ptCount val="1"/>
                <c:pt idx="0">
                  <c:v> Entry membership 2013 </c:v>
                </c:pt>
              </c:strCache>
            </c:strRef>
          </c:tx>
          <c:spPr>
            <a:solidFill>
              <a:prstClr val="white">
                <a:lumMod val="75000"/>
              </a:prstClr>
            </a:solidFill>
          </c:spPr>
          <c:invertIfNegative val="0"/>
          <c:dLbls>
            <c:delete val="1"/>
          </c:dLbls>
          <c:val>
            <c:numRef>
              <c:f>Membership!$B$187:$H$187</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Membership!$B$181:$H$181</c15:sqref>
                        </c15:formulaRef>
                      </c:ext>
                    </c:extLst>
                  </c:multiLvlStrRef>
                </c15:cat>
              </c15:filteredCategoryTitle>
            </c:ext>
            <c:ext xmlns:c16="http://schemas.microsoft.com/office/drawing/2014/chart" uri="{C3380CC4-5D6E-409C-BE32-E72D297353CC}">
              <c16:uniqueId val="{00000003-A0C0-47F7-A4F4-996F13EF0CCA}"/>
            </c:ext>
          </c:extLst>
        </c:ser>
        <c:dLbls>
          <c:showLegendKey val="0"/>
          <c:showVal val="1"/>
          <c:showCatName val="0"/>
          <c:showSerName val="0"/>
          <c:showPercent val="0"/>
          <c:showBubbleSize val="0"/>
        </c:dLbls>
        <c:gapWidth val="150"/>
        <c:axId val="812366696"/>
        <c:axId val="812367872"/>
      </c:barChart>
      <c:catAx>
        <c:axId val="81236669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12367872"/>
        <c:crosses val="autoZero"/>
        <c:auto val="1"/>
        <c:lblAlgn val="ctr"/>
        <c:lblOffset val="100"/>
        <c:noMultiLvlLbl val="0"/>
      </c:catAx>
      <c:valAx>
        <c:axId val="812367872"/>
        <c:scaling>
          <c:orientation val="minMax"/>
          <c:max val="0.2"/>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12366696"/>
        <c:crosses val="autoZero"/>
        <c:crossBetween val="between"/>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en-US"/>
          </a:p>
        </c:txPr>
      </c:dTable>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55489621112426E-2"/>
          <c:y val="3.9605623469341641E-2"/>
          <c:w val="0.89941254432228501"/>
          <c:h val="0.73565282956246747"/>
        </c:manualLayout>
      </c:layout>
      <c:barChart>
        <c:barDir val="col"/>
        <c:grouping val="clustered"/>
        <c:varyColors val="0"/>
        <c:ser>
          <c:idx val="1"/>
          <c:order val="0"/>
          <c:tx>
            <c:strRef>
              <c:f>Membership!$A$111</c:f>
              <c:strCache>
                <c:ptCount val="1"/>
                <c:pt idx="0">
                  <c:v>2023</c:v>
                </c:pt>
              </c:strCache>
            </c:strRef>
          </c:tx>
          <c:spPr>
            <a:solidFill>
              <a:schemeClr val="accent1"/>
            </a:solidFill>
            <a:ln>
              <a:noFill/>
            </a:ln>
            <a:effectLst/>
          </c:spPr>
          <c:invertIfNegative val="0"/>
          <c:dLbls>
            <c:delete val="1"/>
          </c:dLbls>
          <c:cat>
            <c:strRef>
              <c:f>Membership!$B$107:$H$107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Membership!$B$111:$H$111</c:f>
              <c:numCache>
                <c:formatCode>\$#,##0;\-"£"#,##0</c:formatCode>
                <c:ptCount val="7"/>
                <c:pt idx="0">
                  <c:v>18600</c:v>
                </c:pt>
                <c:pt idx="1">
                  <c:v>20400</c:v>
                </c:pt>
                <c:pt idx="2">
                  <c:v>24600</c:v>
                </c:pt>
                <c:pt idx="3">
                  <c:v>15600</c:v>
                </c:pt>
                <c:pt idx="4">
                  <c:v>7100</c:v>
                </c:pt>
                <c:pt idx="5">
                  <c:v>15500</c:v>
                </c:pt>
                <c:pt idx="6">
                  <c:v>8500</c:v>
                </c:pt>
              </c:numCache>
            </c:numRef>
          </c:val>
          <c:extLst>
            <c:ext xmlns:c16="http://schemas.microsoft.com/office/drawing/2014/chart" uri="{C3380CC4-5D6E-409C-BE32-E72D297353CC}">
              <c16:uniqueId val="{00000000-93B0-4D7E-868E-195392DA3E85}"/>
            </c:ext>
          </c:extLst>
        </c:ser>
        <c:ser>
          <c:idx val="0"/>
          <c:order val="1"/>
          <c:tx>
            <c:strRef>
              <c:f>Membership!$A$112</c:f>
              <c:strCache>
                <c:ptCount val="1"/>
                <c:pt idx="0">
                  <c:v>2022</c:v>
                </c:pt>
              </c:strCache>
            </c:strRef>
          </c:tx>
          <c:spPr>
            <a:solidFill>
              <a:schemeClr val="accent2"/>
            </a:solidFill>
            <a:ln>
              <a:noFill/>
            </a:ln>
            <a:effectLst/>
          </c:spPr>
          <c:invertIfNegative val="0"/>
          <c:dLbls>
            <c:delete val="1"/>
          </c:dLbls>
          <c:cat>
            <c:strRef>
              <c:f>Membership!$B$107:$H$107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Membership!$B$112:$H$112</c:f>
              <c:numCache>
                <c:formatCode>\$#,##0;\-"£"#,##0</c:formatCode>
                <c:ptCount val="7"/>
                <c:pt idx="0">
                  <c:v>16800</c:v>
                </c:pt>
                <c:pt idx="1">
                  <c:v>17900</c:v>
                </c:pt>
                <c:pt idx="2">
                  <c:v>21800</c:v>
                </c:pt>
                <c:pt idx="3">
                  <c:v>14100</c:v>
                </c:pt>
                <c:pt idx="4">
                  <c:v>6600</c:v>
                </c:pt>
                <c:pt idx="5">
                  <c:v>14300</c:v>
                </c:pt>
                <c:pt idx="6">
                  <c:v>7700</c:v>
                </c:pt>
              </c:numCache>
            </c:numRef>
          </c:val>
          <c:extLst>
            <c:ext xmlns:c16="http://schemas.microsoft.com/office/drawing/2014/chart" uri="{C3380CC4-5D6E-409C-BE32-E72D297353CC}">
              <c16:uniqueId val="{00000001-93B0-4D7E-868E-195392DA3E85}"/>
            </c:ext>
          </c:extLst>
        </c:ser>
        <c:dLbls>
          <c:showLegendKey val="0"/>
          <c:showVal val="1"/>
          <c:showCatName val="0"/>
          <c:showSerName val="0"/>
          <c:showPercent val="0"/>
          <c:showBubbleSize val="0"/>
        </c:dLbls>
        <c:gapWidth val="78"/>
        <c:axId val="812370224"/>
        <c:axId val="812369048"/>
      </c:barChart>
      <c:catAx>
        <c:axId val="812370224"/>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69048"/>
        <c:crosses val="autoZero"/>
        <c:auto val="1"/>
        <c:lblAlgn val="ctr"/>
        <c:lblOffset val="100"/>
        <c:noMultiLvlLbl val="0"/>
      </c:catAx>
      <c:valAx>
        <c:axId val="812369048"/>
        <c:scaling>
          <c:orientation val="minMax"/>
          <c:max val="2500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70224"/>
        <c:crosses val="autoZero"/>
        <c:crossBetween val="between"/>
        <c:majorUnit val="25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183280063488839E-2"/>
          <c:y val="5.1759292537117002E-2"/>
          <c:w val="0.89581254530188259"/>
          <c:h val="0.68907522614415972"/>
        </c:manualLayout>
      </c:layout>
      <c:barChart>
        <c:barDir val="col"/>
        <c:grouping val="clustered"/>
        <c:varyColors val="0"/>
        <c:ser>
          <c:idx val="0"/>
          <c:order val="0"/>
          <c:tx>
            <c:strRef>
              <c:f>Membership!$A$230</c:f>
              <c:strCache>
                <c:ptCount val="1"/>
                <c:pt idx="0">
                  <c:v>2022</c:v>
                </c:pt>
              </c:strCache>
            </c:strRef>
          </c:tx>
          <c:spPr>
            <a:solidFill>
              <a:schemeClr val="accent1"/>
            </a:solidFill>
            <a:ln>
              <a:noFill/>
            </a:ln>
            <a:effectLst/>
          </c:spPr>
          <c:invertIfNegative val="0"/>
          <c:dLbls>
            <c:delete val="1"/>
          </c:dLbls>
          <c:cat>
            <c:strRef>
              <c:f>Membership!$B$229:$H$229</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Membership!$B$230:$H$230</c:f>
              <c:numCache>
                <c:formatCode>_([$$-409]* #,##0_);_([$$-409]* \(#,##0\);_([$$-409]* "-"??_);_(@_)</c:formatCode>
                <c:ptCount val="7"/>
                <c:pt idx="0">
                  <c:v>2300</c:v>
                </c:pt>
                <c:pt idx="1">
                  <c:v>1900</c:v>
                </c:pt>
                <c:pt idx="2">
                  <c:v>2100</c:v>
                </c:pt>
                <c:pt idx="3">
                  <c:v>2500</c:v>
                </c:pt>
                <c:pt idx="4">
                  <c:v>1100</c:v>
                </c:pt>
                <c:pt idx="5">
                  <c:v>2300</c:v>
                </c:pt>
                <c:pt idx="6">
                  <c:v>1500</c:v>
                </c:pt>
              </c:numCache>
            </c:numRef>
          </c:val>
          <c:extLst>
            <c:ext xmlns:c16="http://schemas.microsoft.com/office/drawing/2014/chart" uri="{C3380CC4-5D6E-409C-BE32-E72D297353CC}">
              <c16:uniqueId val="{00000000-E9D2-4FA3-B363-3DE1AC4AD3BA}"/>
            </c:ext>
          </c:extLst>
        </c:ser>
        <c:ser>
          <c:idx val="1"/>
          <c:order val="1"/>
          <c:tx>
            <c:strRef>
              <c:f>Membership!$A$231</c:f>
              <c:strCache>
                <c:ptCount val="1"/>
                <c:pt idx="0">
                  <c:v>2021</c:v>
                </c:pt>
              </c:strCache>
            </c:strRef>
          </c:tx>
          <c:spPr>
            <a:solidFill>
              <a:schemeClr val="accent2"/>
            </a:solidFill>
            <a:ln>
              <a:noFill/>
            </a:ln>
            <a:effectLst/>
          </c:spPr>
          <c:invertIfNegative val="0"/>
          <c:dLbls>
            <c:delete val="1"/>
          </c:dLbls>
          <c:cat>
            <c:strRef>
              <c:f>Membership!$B$229:$H$229</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Membership!$B$231:$H$231</c:f>
              <c:numCache>
                <c:formatCode>_([$$-409]* #,##0_);_([$$-409]* \(#,##0\);_([$$-409]* "-"??_);_(@_)</c:formatCode>
                <c:ptCount val="7"/>
                <c:pt idx="0">
                  <c:v>2100</c:v>
                </c:pt>
                <c:pt idx="1">
                  <c:v>2200</c:v>
                </c:pt>
                <c:pt idx="2">
                  <c:v>1900</c:v>
                </c:pt>
                <c:pt idx="3">
                  <c:v>2300</c:v>
                </c:pt>
                <c:pt idx="4">
                  <c:v>1100</c:v>
                </c:pt>
                <c:pt idx="5">
                  <c:v>1900</c:v>
                </c:pt>
                <c:pt idx="6">
                  <c:v>1300</c:v>
                </c:pt>
              </c:numCache>
            </c:numRef>
          </c:val>
          <c:extLst>
            <c:ext xmlns:c16="http://schemas.microsoft.com/office/drawing/2014/chart" uri="{C3380CC4-5D6E-409C-BE32-E72D297353CC}">
              <c16:uniqueId val="{00000001-E9D2-4FA3-B363-3DE1AC4AD3BA}"/>
            </c:ext>
          </c:extLst>
        </c:ser>
        <c:ser>
          <c:idx val="2"/>
          <c:order val="2"/>
          <c:tx>
            <c:strRef>
              <c:f>Membership!$A$232</c:f>
              <c:strCache>
                <c:ptCount val="1"/>
                <c:pt idx="0">
                  <c:v>2020</c:v>
                </c:pt>
              </c:strCache>
            </c:strRef>
          </c:tx>
          <c:spPr>
            <a:solidFill>
              <a:schemeClr val="accent3"/>
            </a:solidFill>
            <a:ln>
              <a:noFill/>
            </a:ln>
            <a:effectLst/>
          </c:spPr>
          <c:invertIfNegative val="0"/>
          <c:dLbls>
            <c:delete val="1"/>
          </c:dLbls>
          <c:cat>
            <c:strRef>
              <c:f>Membership!$B$229:$H$229</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Membership!$B$232:$H$232</c:f>
              <c:numCache>
                <c:formatCode>_([$$-409]* #,##0_);_([$$-409]* \(#,##0\);_([$$-409]* "-"??_);_(@_)</c:formatCode>
                <c:ptCount val="7"/>
                <c:pt idx="0">
                  <c:v>2000</c:v>
                </c:pt>
                <c:pt idx="1">
                  <c:v>2100</c:v>
                </c:pt>
                <c:pt idx="2">
                  <c:v>1800</c:v>
                </c:pt>
                <c:pt idx="3">
                  <c:v>2300</c:v>
                </c:pt>
                <c:pt idx="4">
                  <c:v>1100</c:v>
                </c:pt>
                <c:pt idx="5">
                  <c:v>1700</c:v>
                </c:pt>
                <c:pt idx="6">
                  <c:v>1200</c:v>
                </c:pt>
              </c:numCache>
            </c:numRef>
          </c:val>
          <c:extLst>
            <c:ext xmlns:c16="http://schemas.microsoft.com/office/drawing/2014/chart" uri="{C3380CC4-5D6E-409C-BE32-E72D297353CC}">
              <c16:uniqueId val="{00000002-E9D2-4FA3-B363-3DE1AC4AD3BA}"/>
            </c:ext>
          </c:extLst>
        </c:ser>
        <c:dLbls>
          <c:showLegendKey val="0"/>
          <c:showVal val="1"/>
          <c:showCatName val="0"/>
          <c:showSerName val="0"/>
          <c:showPercent val="0"/>
          <c:showBubbleSize val="0"/>
        </c:dLbls>
        <c:gapWidth val="102"/>
        <c:axId val="812364344"/>
        <c:axId val="812370616"/>
      </c:barChart>
      <c:catAx>
        <c:axId val="812364344"/>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70616"/>
        <c:crosses val="autoZero"/>
        <c:auto val="1"/>
        <c:lblAlgn val="ctr"/>
        <c:lblOffset val="100"/>
        <c:noMultiLvlLbl val="0"/>
      </c:catAx>
      <c:valAx>
        <c:axId val="812370616"/>
        <c:scaling>
          <c:orientation val="minMax"/>
          <c:max val="2500"/>
          <c:min val="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64344"/>
        <c:crosses val="autoZero"/>
        <c:crossBetween val="between"/>
        <c:majorUnit val="5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chemeClr val="accent1"/>
                </a:solidFill>
                <a:latin typeface="Myriad Web" pitchFamily="34" charset="0"/>
                <a:ea typeface="Calibri"/>
                <a:cs typeface="Calibri"/>
              </a:defRPr>
            </a:pPr>
            <a:r>
              <a:rPr lang="en-US" sz="1400">
                <a:solidFill>
                  <a:srgbClr val="376091"/>
                </a:solidFill>
                <a:latin typeface="Myriad Web" pitchFamily="34" charset="0"/>
              </a:rPr>
              <a:t>Full</a:t>
            </a:r>
            <a:r>
              <a:rPr lang="en-US" sz="1400" baseline="0">
                <a:solidFill>
                  <a:srgbClr val="376091"/>
                </a:solidFill>
                <a:latin typeface="Myriad Web" pitchFamily="34" charset="0"/>
              </a:rPr>
              <a:t> membership joining fees</a:t>
            </a:r>
            <a:r>
              <a:rPr lang="en-US" sz="1400">
                <a:solidFill>
                  <a:srgbClr val="376091"/>
                </a:solidFill>
                <a:latin typeface="Myriad Web" pitchFamily="34" charset="0"/>
              </a:rPr>
              <a:t> </a:t>
            </a:r>
            <a:r>
              <a:rPr lang="en-US" sz="1400" baseline="0">
                <a:solidFill>
                  <a:srgbClr val="376091"/>
                </a:solidFill>
                <a:latin typeface="Myriad Web" pitchFamily="34" charset="0"/>
              </a:rPr>
              <a:t>by region</a:t>
            </a:r>
          </a:p>
        </c:rich>
      </c:tx>
      <c:layout>
        <c:manualLayout>
          <c:xMode val="edge"/>
          <c:yMode val="edge"/>
          <c:x val="0.36141473278635888"/>
          <c:y val="2.6913998542829495E-2"/>
        </c:manualLayout>
      </c:layout>
      <c:overlay val="1"/>
      <c:spPr>
        <a:noFill/>
        <a:ln>
          <a:noFill/>
        </a:ln>
        <a:effectLst/>
      </c:spPr>
      <c:txPr>
        <a:bodyPr rot="0" spcFirstLastPara="1" vertOverflow="ellipsis" vert="horz" wrap="square" anchor="ctr" anchorCtr="1"/>
        <a:lstStyle/>
        <a:p>
          <a:pPr>
            <a:defRPr sz="1400" b="1" i="0" u="none" strike="noStrike" kern="1200" baseline="0">
              <a:solidFill>
                <a:schemeClr val="accent1"/>
              </a:solidFill>
              <a:latin typeface="Myriad Web" pitchFamily="34" charset="0"/>
              <a:ea typeface="Calibri"/>
              <a:cs typeface="Calibri"/>
            </a:defRPr>
          </a:pPr>
          <a:endParaRPr lang="en-US"/>
        </a:p>
      </c:txPr>
    </c:title>
    <c:autoTitleDeleted val="0"/>
    <c:plotArea>
      <c:layout>
        <c:manualLayout>
          <c:layoutTarget val="inner"/>
          <c:xMode val="edge"/>
          <c:yMode val="edge"/>
          <c:x val="0.10422181669752223"/>
          <c:y val="0.11699968591473919"/>
          <c:w val="0.874359441286779"/>
          <c:h val="0.65074572968088473"/>
        </c:manualLayout>
      </c:layout>
      <c:barChart>
        <c:barDir val="col"/>
        <c:grouping val="clustered"/>
        <c:varyColors val="0"/>
        <c:ser>
          <c:idx val="1"/>
          <c:order val="0"/>
          <c:tx>
            <c:strRef>
              <c:f>Membership!$A$279</c:f>
              <c:strCache>
                <c:ptCount val="1"/>
                <c:pt idx="0">
                  <c:v>2023</c:v>
                </c:pt>
              </c:strCache>
            </c:strRef>
          </c:tx>
          <c:spPr>
            <a:solidFill>
              <a:schemeClr val="accent1"/>
            </a:solidFill>
            <a:ln>
              <a:noFill/>
            </a:ln>
            <a:effectLst/>
          </c:spPr>
          <c:invertIfNegative val="0"/>
          <c:cat>
            <c:strRef>
              <c:f>Membership!$B$278:$H$278</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Membership!$B$279:$H$279</c:f>
              <c:numCache>
                <c:formatCode>_("$"* #,##0\ \ _);_("$"* \(#,##0\)\ \ ;_("$"* "-"??_);_(@_)</c:formatCode>
                <c:ptCount val="7"/>
                <c:pt idx="0">
                  <c:v>129000</c:v>
                </c:pt>
                <c:pt idx="1">
                  <c:v>176500</c:v>
                </c:pt>
                <c:pt idx="2">
                  <c:v>121700</c:v>
                </c:pt>
                <c:pt idx="3">
                  <c:v>111400</c:v>
                </c:pt>
                <c:pt idx="4">
                  <c:v>5500</c:v>
                </c:pt>
                <c:pt idx="5">
                  <c:v>102200</c:v>
                </c:pt>
                <c:pt idx="6">
                  <c:v>84700</c:v>
                </c:pt>
              </c:numCache>
            </c:numRef>
          </c:val>
          <c:extLst>
            <c:ext xmlns:c16="http://schemas.microsoft.com/office/drawing/2014/chart" uri="{C3380CC4-5D6E-409C-BE32-E72D297353CC}">
              <c16:uniqueId val="{00000000-4545-4579-BE85-37C8983D918F}"/>
            </c:ext>
          </c:extLst>
        </c:ser>
        <c:ser>
          <c:idx val="0"/>
          <c:order val="1"/>
          <c:tx>
            <c:strRef>
              <c:f>Membership!$A$280</c:f>
              <c:strCache>
                <c:ptCount val="1"/>
                <c:pt idx="0">
                  <c:v>2022</c:v>
                </c:pt>
              </c:strCache>
            </c:strRef>
          </c:tx>
          <c:spPr>
            <a:solidFill>
              <a:schemeClr val="accent2"/>
            </a:solidFill>
            <a:ln>
              <a:noFill/>
            </a:ln>
            <a:effectLst/>
          </c:spPr>
          <c:invertIfNegative val="0"/>
          <c:cat>
            <c:strRef>
              <c:f>Membership!$B$278:$H$278</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Membership!$B$280:$H$280</c:f>
              <c:numCache>
                <c:formatCode>_("$"* #,##0\ \ _);_("$"* \(#,##0\)\ \ ;_("$"* "-"??_);_(@_)</c:formatCode>
                <c:ptCount val="7"/>
                <c:pt idx="0">
                  <c:v>106200</c:v>
                </c:pt>
                <c:pt idx="1">
                  <c:v>135400</c:v>
                </c:pt>
                <c:pt idx="2">
                  <c:v>103200</c:v>
                </c:pt>
                <c:pt idx="3">
                  <c:v>90400</c:v>
                </c:pt>
                <c:pt idx="4">
                  <c:v>4900</c:v>
                </c:pt>
                <c:pt idx="5">
                  <c:v>92200</c:v>
                </c:pt>
                <c:pt idx="6">
                  <c:v>54900</c:v>
                </c:pt>
              </c:numCache>
            </c:numRef>
          </c:val>
          <c:extLst>
            <c:ext xmlns:c16="http://schemas.microsoft.com/office/drawing/2014/chart" uri="{C3380CC4-5D6E-409C-BE32-E72D297353CC}">
              <c16:uniqueId val="{00000001-4545-4579-BE85-37C8983D918F}"/>
            </c:ext>
          </c:extLst>
        </c:ser>
        <c:ser>
          <c:idx val="2"/>
          <c:order val="2"/>
          <c:tx>
            <c:strRef>
              <c:f>Membership!$A$281</c:f>
              <c:strCache>
                <c:ptCount val="1"/>
                <c:pt idx="0">
                  <c:v>2021</c:v>
                </c:pt>
              </c:strCache>
            </c:strRef>
          </c:tx>
          <c:spPr>
            <a:solidFill>
              <a:schemeClr val="accent3"/>
            </a:solidFill>
            <a:ln>
              <a:noFill/>
            </a:ln>
            <a:effectLst/>
          </c:spPr>
          <c:invertIfNegative val="0"/>
          <c:cat>
            <c:strRef>
              <c:f>Membership!$B$278:$H$278</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Membership!$B$281:$H$281</c:f>
              <c:numCache>
                <c:formatCode>_("$"* #,##0\ \ _);_("$"* \(#,##0\)\ \ ;_("$"* "-"??_);_(@_)</c:formatCode>
                <c:ptCount val="7"/>
                <c:pt idx="0">
                  <c:v>90300</c:v>
                </c:pt>
                <c:pt idx="1">
                  <c:v>110200</c:v>
                </c:pt>
                <c:pt idx="2">
                  <c:v>85900</c:v>
                </c:pt>
                <c:pt idx="3">
                  <c:v>83200</c:v>
                </c:pt>
                <c:pt idx="4">
                  <c:v>4200</c:v>
                </c:pt>
                <c:pt idx="5">
                  <c:v>77700</c:v>
                </c:pt>
                <c:pt idx="6">
                  <c:v>40700</c:v>
                </c:pt>
              </c:numCache>
            </c:numRef>
          </c:val>
          <c:extLst>
            <c:ext xmlns:c16="http://schemas.microsoft.com/office/drawing/2014/chart" uri="{C3380CC4-5D6E-409C-BE32-E72D297353CC}">
              <c16:uniqueId val="{00000002-4545-4579-BE85-37C8983D918F}"/>
            </c:ext>
          </c:extLst>
        </c:ser>
        <c:dLbls>
          <c:showLegendKey val="0"/>
          <c:showVal val="0"/>
          <c:showCatName val="0"/>
          <c:showSerName val="0"/>
          <c:showPercent val="0"/>
          <c:showBubbleSize val="0"/>
        </c:dLbls>
        <c:gapWidth val="87"/>
        <c:axId val="812371400"/>
        <c:axId val="812371792"/>
      </c:barChart>
      <c:catAx>
        <c:axId val="81237140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12371792"/>
        <c:crosses val="autoZero"/>
        <c:auto val="1"/>
        <c:lblAlgn val="ctr"/>
        <c:lblOffset val="100"/>
        <c:noMultiLvlLbl val="0"/>
      </c:catAx>
      <c:valAx>
        <c:axId val="812371792"/>
        <c:scaling>
          <c:orientation val="minMax"/>
          <c:max val="200000"/>
          <c:min val="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crossAx val="812371400"/>
        <c:crosses val="autoZero"/>
        <c:crossBetween val="between"/>
        <c:majorUnit val="25000"/>
        <c:minorUnit val="25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legend>
      <c:legendPos val="t"/>
      <c:layout>
        <c:manualLayout>
          <c:xMode val="edge"/>
          <c:yMode val="edge"/>
          <c:x val="0.12243409354089506"/>
          <c:y val="3.8277000656999814E-2"/>
          <c:w val="0.16129899328336544"/>
          <c:h val="4.9779587579391084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baseline="0">
                <a:solidFill>
                  <a:schemeClr val="accent1"/>
                </a:solidFill>
                <a:latin typeface="Myriad Web" pitchFamily="34" charset="0"/>
                <a:ea typeface="Calibri"/>
                <a:cs typeface="Calibri"/>
              </a:defRPr>
            </a:pPr>
            <a:r>
              <a:rPr lang="en-US" sz="1400">
                <a:solidFill>
                  <a:srgbClr val="376091"/>
                </a:solidFill>
                <a:latin typeface="Myriad Web" pitchFamily="34" charset="0"/>
              </a:rPr>
              <a:t>Full</a:t>
            </a:r>
            <a:r>
              <a:rPr lang="en-US" sz="1400" baseline="0">
                <a:solidFill>
                  <a:srgbClr val="376091"/>
                </a:solidFill>
                <a:latin typeface="Myriad Web" pitchFamily="34" charset="0"/>
              </a:rPr>
              <a:t> membership dues by region</a:t>
            </a:r>
          </a:p>
        </c:rich>
      </c:tx>
      <c:layout>
        <c:manualLayout>
          <c:xMode val="edge"/>
          <c:yMode val="edge"/>
          <c:x val="0.35416880451365057"/>
          <c:y val="0"/>
        </c:manualLayout>
      </c:layout>
      <c:overlay val="1"/>
      <c:spPr>
        <a:noFill/>
        <a:ln>
          <a:noFill/>
        </a:ln>
        <a:effectLst/>
      </c:spPr>
      <c:txPr>
        <a:bodyPr rot="0" spcFirstLastPara="1" vertOverflow="ellipsis" vert="horz" wrap="square" anchor="ctr" anchorCtr="1"/>
        <a:lstStyle/>
        <a:p>
          <a:pPr>
            <a:defRPr sz="1400" b="1" i="0" u="none" strike="noStrike" kern="1200" baseline="0">
              <a:solidFill>
                <a:schemeClr val="accent1"/>
              </a:solidFill>
              <a:latin typeface="Myriad Web" pitchFamily="34" charset="0"/>
              <a:ea typeface="Calibri"/>
              <a:cs typeface="Calibri"/>
            </a:defRPr>
          </a:pPr>
          <a:endParaRPr lang="en-US"/>
        </a:p>
      </c:txPr>
    </c:title>
    <c:autoTitleDeleted val="0"/>
    <c:plotArea>
      <c:layout>
        <c:manualLayout>
          <c:layoutTarget val="inner"/>
          <c:xMode val="edge"/>
          <c:yMode val="edge"/>
          <c:x val="0.11186525656308879"/>
          <c:y val="0.12031919927135225"/>
          <c:w val="0.86439624096926104"/>
          <c:h val="0.63961157040786842"/>
        </c:manualLayout>
      </c:layout>
      <c:barChart>
        <c:barDir val="col"/>
        <c:grouping val="clustered"/>
        <c:varyColors val="0"/>
        <c:ser>
          <c:idx val="2"/>
          <c:order val="0"/>
          <c:tx>
            <c:strRef>
              <c:f>Membership!$A$353</c:f>
              <c:strCache>
                <c:ptCount val="1"/>
                <c:pt idx="0">
                  <c:v>2023</c:v>
                </c:pt>
              </c:strCache>
            </c:strRef>
          </c:tx>
          <c:spPr>
            <a:solidFill>
              <a:schemeClr val="accent1"/>
            </a:solidFill>
            <a:ln>
              <a:noFill/>
            </a:ln>
            <a:effectLst/>
          </c:spPr>
          <c:invertIfNegative val="0"/>
          <c:cat>
            <c:strRef>
              <c:f>Membership!$B$352:$H$352</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Membership!$B$353:$H$353</c:f>
              <c:numCache>
                <c:formatCode>_("$"* #,##0\ \ _);_("$"* \(#,##0\)\ \ ;_("$"* "-"??_);_(@_)</c:formatCode>
                <c:ptCount val="7"/>
                <c:pt idx="0">
                  <c:v>18600</c:v>
                </c:pt>
                <c:pt idx="1">
                  <c:v>20400</c:v>
                </c:pt>
                <c:pt idx="2">
                  <c:v>24600</c:v>
                </c:pt>
                <c:pt idx="3">
                  <c:v>15600</c:v>
                </c:pt>
                <c:pt idx="4">
                  <c:v>7100</c:v>
                </c:pt>
                <c:pt idx="5">
                  <c:v>15500</c:v>
                </c:pt>
                <c:pt idx="6">
                  <c:v>8500</c:v>
                </c:pt>
              </c:numCache>
            </c:numRef>
          </c:val>
          <c:extLst>
            <c:ext xmlns:c16="http://schemas.microsoft.com/office/drawing/2014/chart" uri="{C3380CC4-5D6E-409C-BE32-E72D297353CC}">
              <c16:uniqueId val="{00000000-FDDE-4285-B0BF-50CEDBC108E6}"/>
            </c:ext>
          </c:extLst>
        </c:ser>
        <c:ser>
          <c:idx val="0"/>
          <c:order val="1"/>
          <c:tx>
            <c:strRef>
              <c:f>Membership!$A$354</c:f>
              <c:strCache>
                <c:ptCount val="1"/>
                <c:pt idx="0">
                  <c:v>2022</c:v>
                </c:pt>
              </c:strCache>
            </c:strRef>
          </c:tx>
          <c:spPr>
            <a:solidFill>
              <a:schemeClr val="accent2"/>
            </a:solidFill>
            <a:ln>
              <a:noFill/>
            </a:ln>
            <a:effectLst/>
          </c:spPr>
          <c:invertIfNegative val="0"/>
          <c:cat>
            <c:strRef>
              <c:f>Membership!$B$352:$H$352</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Membership!$B$354:$H$354</c:f>
              <c:numCache>
                <c:formatCode>_("$"* #,##0\ \ _);_("$"* \(#,##0\)\ \ ;_("$"* "-"??_);_(@_)</c:formatCode>
                <c:ptCount val="7"/>
                <c:pt idx="0">
                  <c:v>16800</c:v>
                </c:pt>
                <c:pt idx="1">
                  <c:v>17900</c:v>
                </c:pt>
                <c:pt idx="2">
                  <c:v>21800</c:v>
                </c:pt>
                <c:pt idx="3">
                  <c:v>14100</c:v>
                </c:pt>
                <c:pt idx="4">
                  <c:v>6600</c:v>
                </c:pt>
                <c:pt idx="5">
                  <c:v>14300</c:v>
                </c:pt>
                <c:pt idx="6">
                  <c:v>7700</c:v>
                </c:pt>
              </c:numCache>
            </c:numRef>
          </c:val>
          <c:extLst>
            <c:ext xmlns:c16="http://schemas.microsoft.com/office/drawing/2014/chart" uri="{C3380CC4-5D6E-409C-BE32-E72D297353CC}">
              <c16:uniqueId val="{00000001-FDDE-4285-B0BF-50CEDBC108E6}"/>
            </c:ext>
          </c:extLst>
        </c:ser>
        <c:ser>
          <c:idx val="1"/>
          <c:order val="2"/>
          <c:tx>
            <c:strRef>
              <c:f>Membership!$A$355</c:f>
              <c:strCache>
                <c:ptCount val="1"/>
                <c:pt idx="0">
                  <c:v>2021</c:v>
                </c:pt>
              </c:strCache>
            </c:strRef>
          </c:tx>
          <c:spPr>
            <a:solidFill>
              <a:schemeClr val="accent3"/>
            </a:solidFill>
            <a:ln>
              <a:noFill/>
            </a:ln>
            <a:effectLst/>
          </c:spPr>
          <c:invertIfNegative val="0"/>
          <c:cat>
            <c:strRef>
              <c:f>Membership!$B$352:$H$352</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Membership!$B$355:$H$355</c:f>
              <c:numCache>
                <c:formatCode>_("$"* #,##0\ \ _);_("$"* \(#,##0\)\ \ ;_("$"* "-"??_);_(@_)</c:formatCode>
                <c:ptCount val="7"/>
                <c:pt idx="0">
                  <c:v>15900</c:v>
                </c:pt>
                <c:pt idx="1">
                  <c:v>16700</c:v>
                </c:pt>
                <c:pt idx="2">
                  <c:v>20300</c:v>
                </c:pt>
                <c:pt idx="3">
                  <c:v>13700</c:v>
                </c:pt>
                <c:pt idx="4">
                  <c:v>6200</c:v>
                </c:pt>
                <c:pt idx="5">
                  <c:v>13700</c:v>
                </c:pt>
                <c:pt idx="6">
                  <c:v>7100</c:v>
                </c:pt>
              </c:numCache>
            </c:numRef>
          </c:val>
          <c:extLst>
            <c:ext xmlns:c16="http://schemas.microsoft.com/office/drawing/2014/chart" uri="{C3380CC4-5D6E-409C-BE32-E72D297353CC}">
              <c16:uniqueId val="{00000002-FDDE-4285-B0BF-50CEDBC108E6}"/>
            </c:ext>
          </c:extLst>
        </c:ser>
        <c:dLbls>
          <c:showLegendKey val="0"/>
          <c:showVal val="0"/>
          <c:showCatName val="0"/>
          <c:showSerName val="0"/>
          <c:showPercent val="0"/>
          <c:showBubbleSize val="0"/>
        </c:dLbls>
        <c:gapWidth val="150"/>
        <c:axId val="807045896"/>
        <c:axId val="807040016"/>
      </c:barChart>
      <c:catAx>
        <c:axId val="807045896"/>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0016"/>
        <c:crosses val="autoZero"/>
        <c:auto val="1"/>
        <c:lblAlgn val="ctr"/>
        <c:lblOffset val="100"/>
        <c:noMultiLvlLbl val="0"/>
      </c:catAx>
      <c:valAx>
        <c:axId val="807040016"/>
        <c:scaling>
          <c:orientation val="minMax"/>
          <c:max val="25000"/>
          <c:min val="5000"/>
        </c:scaling>
        <c:delete val="0"/>
        <c:axPos val="l"/>
        <c:majorGridlines>
          <c:spPr>
            <a:ln w="9525" cap="flat" cmpd="sng" algn="ctr">
              <a:solidFill>
                <a:schemeClr val="tx1">
                  <a:tint val="75000"/>
                  <a:shade val="95000"/>
                  <a:satMod val="105000"/>
                </a:schemeClr>
              </a:solidFill>
              <a:prstDash val="solid"/>
              <a:round/>
            </a:ln>
            <a:effectLst/>
          </c:spPr>
        </c:majorGridlines>
        <c:numFmt formatCode="[$$-409]#,##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crossAx val="807045896"/>
        <c:crosses val="autoZero"/>
        <c:crossBetween val="between"/>
        <c:majorUnit val="25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legend>
      <c:legendPos val="t"/>
      <c:layout>
        <c:manualLayout>
          <c:xMode val="edge"/>
          <c:yMode val="edge"/>
          <c:x val="0.13055250314488162"/>
          <c:y val="4.8408783053322434E-2"/>
          <c:w val="0.16574178333368697"/>
          <c:h val="5.0004822958239513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rgbClr val="4F81BD"/>
                </a:solidFill>
                <a:latin typeface="Myriad Web" pitchFamily="34" charset="0"/>
                <a:ea typeface="Calibri"/>
                <a:cs typeface="Calibri"/>
              </a:defRPr>
            </a:pPr>
            <a:r>
              <a:rPr lang="en-US" sz="1400" baseline="0">
                <a:solidFill>
                  <a:srgbClr val="376091"/>
                </a:solidFill>
                <a:latin typeface="Myriad Web" pitchFamily="34" charset="0"/>
              </a:rPr>
              <a:t>Refundable equity percentage (full membership) by region</a:t>
            </a:r>
          </a:p>
        </c:rich>
      </c:tx>
      <c:layout>
        <c:manualLayout>
          <c:xMode val="edge"/>
          <c:yMode val="edge"/>
          <c:x val="0.24003770737565761"/>
          <c:y val="3.1737026503201815E-2"/>
        </c:manualLayout>
      </c:layout>
      <c:overlay val="1"/>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rgbClr val="4F81BD"/>
              </a:solidFill>
              <a:latin typeface="Myriad Web" pitchFamily="34" charset="0"/>
              <a:ea typeface="Calibri"/>
              <a:cs typeface="Calibri"/>
            </a:defRPr>
          </a:pPr>
          <a:endParaRPr lang="en-US"/>
        </a:p>
      </c:txPr>
    </c:title>
    <c:autoTitleDeleted val="0"/>
    <c:plotArea>
      <c:layout>
        <c:manualLayout>
          <c:layoutTarget val="inner"/>
          <c:xMode val="edge"/>
          <c:yMode val="edge"/>
          <c:x val="8.1742265971467248E-2"/>
          <c:y val="0.14742521644929524"/>
          <c:w val="0.89558630303666009"/>
          <c:h val="0.70735070055624949"/>
        </c:manualLayout>
      </c:layout>
      <c:barChart>
        <c:barDir val="col"/>
        <c:grouping val="clustered"/>
        <c:varyColors val="0"/>
        <c:ser>
          <c:idx val="11"/>
          <c:order val="0"/>
          <c:tx>
            <c:strRef>
              <c:f>Membership!$A$427</c:f>
              <c:strCache>
                <c:ptCount val="1"/>
                <c:pt idx="0">
                  <c:v>2023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shade val="95000"/>
                          <a:satMod val="105000"/>
                        </a:schemeClr>
                      </a:solidFill>
                      <a:prstDash val="solid"/>
                      <a:round/>
                    </a:ln>
                    <a:effectLst/>
                  </c:spPr>
                </c15:leaderLines>
              </c:ext>
            </c:extLst>
          </c:dLbls>
          <c:cat>
            <c:strRef>
              <c:f>Membership!$B$426:$H$426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Membership!$B$427:$H$427</c:f>
              <c:numCache>
                <c:formatCode>0%</c:formatCode>
                <c:ptCount val="7"/>
                <c:pt idx="0">
                  <c:v>0.08</c:v>
                </c:pt>
                <c:pt idx="1">
                  <c:v>0.12</c:v>
                </c:pt>
                <c:pt idx="2">
                  <c:v>7.0000000000000007E-2</c:v>
                </c:pt>
                <c:pt idx="3">
                  <c:v>0.03</c:v>
                </c:pt>
                <c:pt idx="4">
                  <c:v>0</c:v>
                </c:pt>
                <c:pt idx="5">
                  <c:v>7.0000000000000007E-2</c:v>
                </c:pt>
                <c:pt idx="6">
                  <c:v>0.11</c:v>
                </c:pt>
              </c:numCache>
            </c:numRef>
          </c:val>
          <c:extLst>
            <c:ext xmlns:c16="http://schemas.microsoft.com/office/drawing/2014/chart" uri="{C3380CC4-5D6E-409C-BE32-E72D297353CC}">
              <c16:uniqueId val="{00000000-173D-41B1-AA2A-F14878EFBB2A}"/>
            </c:ext>
          </c:extLst>
        </c:ser>
        <c:ser>
          <c:idx val="2"/>
          <c:order val="1"/>
          <c:tx>
            <c:strRef>
              <c:f>Membership!$A$428</c:f>
              <c:strCache>
                <c:ptCount val="1"/>
                <c:pt idx="0">
                  <c:v>2022</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f>Membership!$B$426:$H$426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Membership!$B$428:$H$428</c:f>
              <c:numCache>
                <c:formatCode>0%</c:formatCode>
                <c:ptCount val="7"/>
                <c:pt idx="0">
                  <c:v>0.11</c:v>
                </c:pt>
                <c:pt idx="1">
                  <c:v>0.15</c:v>
                </c:pt>
                <c:pt idx="2">
                  <c:v>0.11</c:v>
                </c:pt>
                <c:pt idx="3">
                  <c:v>0.03</c:v>
                </c:pt>
                <c:pt idx="4">
                  <c:v>0</c:v>
                </c:pt>
                <c:pt idx="5">
                  <c:v>0.15</c:v>
                </c:pt>
                <c:pt idx="6">
                  <c:v>0.11</c:v>
                </c:pt>
              </c:numCache>
            </c:numRef>
          </c:val>
          <c:extLst>
            <c:ext xmlns:c16="http://schemas.microsoft.com/office/drawing/2014/chart" uri="{C3380CC4-5D6E-409C-BE32-E72D297353CC}">
              <c16:uniqueId val="{00000001-173D-41B1-AA2A-F14878EFBB2A}"/>
            </c:ext>
          </c:extLst>
        </c:ser>
        <c:ser>
          <c:idx val="3"/>
          <c:order val="2"/>
          <c:tx>
            <c:strRef>
              <c:f>Membership!$A$429</c:f>
              <c:strCache>
                <c:ptCount val="1"/>
                <c:pt idx="0">
                  <c:v>2021</c:v>
                </c:pt>
              </c:strCache>
            </c:strRef>
          </c:tx>
          <c:spPr>
            <a:solidFill>
              <a:schemeClr val="accent4"/>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0-1446-4AB0-A827-95B40425E5B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1446-4AB0-A827-95B40425E5B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2-1446-4AB0-A827-95B40425E5B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3-1446-4AB0-A827-95B40425E5B4}"/>
                </c:ext>
              </c:extLst>
            </c:dLbl>
            <c:dLbl>
              <c:idx val="4"/>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D-173D-41B1-AA2A-F14878EFBB2A}"/>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4-1446-4AB0-A827-95B40425E5B4}"/>
                </c:ext>
              </c:extLst>
            </c:dLbl>
            <c:dLbl>
              <c:idx val="6"/>
              <c:layout>
                <c:manualLayout>
                  <c:x val="1.3827104848876783E-3"/>
                  <c:y val="0.36581680855798099"/>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Calibri"/>
                      <a:ea typeface="Calibri"/>
                      <a:cs typeface="Calibri"/>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2126339287565921E-2"/>
                      <c:h val="7.3877001215163191E-2"/>
                    </c:manualLayout>
                  </c15:layout>
                </c:ext>
                <c:ext xmlns:c16="http://schemas.microsoft.com/office/drawing/2014/chart" uri="{C3380CC4-5D6E-409C-BE32-E72D297353CC}">
                  <c16:uniqueId val="{00000005-1446-4AB0-A827-95B40425E5B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libri"/>
                    <a:ea typeface="Calibri"/>
                    <a:cs typeface="Calibri"/>
                  </a:defRPr>
                </a:pPr>
                <a:endParaRPr lang="en-US"/>
              </a:p>
            </c:txPr>
            <c:dLblPos val="inBase"/>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noFill/>
                      <a:prstDash val="solid"/>
                      <a:round/>
                    </a:ln>
                    <a:effectLst/>
                  </c:spPr>
                </c15:leaderLines>
              </c:ext>
            </c:extLst>
          </c:dLbls>
          <c:cat>
            <c:strRef>
              <c:f>Membership!$B$426:$H$426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Membership!$B$429:$H$429</c:f>
              <c:numCache>
                <c:formatCode>0%</c:formatCode>
                <c:ptCount val="7"/>
                <c:pt idx="0">
                  <c:v>0.16</c:v>
                </c:pt>
                <c:pt idx="1">
                  <c:v>0.26</c:v>
                </c:pt>
                <c:pt idx="2">
                  <c:v>0.14000000000000001</c:v>
                </c:pt>
                <c:pt idx="3">
                  <c:v>0.04</c:v>
                </c:pt>
                <c:pt idx="4">
                  <c:v>0</c:v>
                </c:pt>
                <c:pt idx="5">
                  <c:v>0.18</c:v>
                </c:pt>
                <c:pt idx="6">
                  <c:v>0.15</c:v>
                </c:pt>
              </c:numCache>
            </c:numRef>
          </c:val>
          <c:extLst xmlns:c15="http://schemas.microsoft.com/office/drawing/2012/chart">
            <c:ext xmlns:c16="http://schemas.microsoft.com/office/drawing/2014/chart" uri="{C3380CC4-5D6E-409C-BE32-E72D297353CC}">
              <c16:uniqueId val="{00000010-173D-41B1-AA2A-F14878EFBB2A}"/>
            </c:ext>
          </c:extLst>
        </c:ser>
        <c:dLbls>
          <c:showLegendKey val="0"/>
          <c:showVal val="0"/>
          <c:showCatName val="0"/>
          <c:showSerName val="0"/>
          <c:showPercent val="0"/>
          <c:showBubbleSize val="0"/>
        </c:dLbls>
        <c:gapWidth val="73"/>
        <c:axId val="807041584"/>
        <c:axId val="807041976"/>
        <c:extLst/>
      </c:barChart>
      <c:catAx>
        <c:axId val="807041584"/>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1976"/>
        <c:crosses val="autoZero"/>
        <c:auto val="1"/>
        <c:lblAlgn val="ctr"/>
        <c:lblOffset val="100"/>
        <c:noMultiLvlLbl val="0"/>
      </c:catAx>
      <c:valAx>
        <c:axId val="807041976"/>
        <c:scaling>
          <c:orientation val="minMax"/>
          <c:max val="0.30000000000000004"/>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crossAx val="807041584"/>
        <c:crosses val="autoZero"/>
        <c:crossBetween val="between"/>
      </c:valAx>
      <c:spPr>
        <a:solidFill>
          <a:schemeClr val="bg1"/>
        </a:solidFill>
        <a:ln>
          <a:solidFill>
            <a:schemeClr val="bg1">
              <a:lumMod val="50000"/>
            </a:schemeClr>
          </a:solidFill>
        </a:ln>
        <a:effectLst/>
      </c:spPr>
    </c:plotArea>
    <c:legend>
      <c:legendPos val="t"/>
      <c:layout>
        <c:manualLayout>
          <c:xMode val="edge"/>
          <c:yMode val="edge"/>
          <c:x val="0.10012426081652064"/>
          <c:y val="8.7126466841945208E-2"/>
          <c:w val="0.20766994186410145"/>
          <c:h val="5.4836614572762329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accent1">
                    <a:lumMod val="75000"/>
                  </a:schemeClr>
                </a:solidFill>
                <a:latin typeface="Calibri"/>
                <a:ea typeface="Calibri"/>
                <a:cs typeface="Calibri"/>
              </a:defRPr>
            </a:pPr>
            <a:r>
              <a:rPr lang="en-US" sz="1400">
                <a:solidFill>
                  <a:schemeClr val="accent1">
                    <a:lumMod val="75000"/>
                  </a:schemeClr>
                </a:solidFill>
                <a:latin typeface="Myriad Web"/>
              </a:rPr>
              <a:t>Full membership dues statewide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1">
                  <a:lumMod val="75000"/>
                </a:schemeClr>
              </a:solidFill>
              <a:latin typeface="Calibri"/>
              <a:ea typeface="Calibri"/>
              <a:cs typeface="Calibri"/>
            </a:defRPr>
          </a:pPr>
          <a:endParaRPr lang="en-US"/>
        </a:p>
      </c:txPr>
    </c:title>
    <c:autoTitleDeleted val="0"/>
    <c:plotArea>
      <c:layout>
        <c:manualLayout>
          <c:layoutTarget val="inner"/>
          <c:xMode val="edge"/>
          <c:yMode val="edge"/>
          <c:x val="8.679020610486439E-2"/>
          <c:y val="0.2009546200717843"/>
          <c:w val="0.902309905975758"/>
          <c:h val="0.68285996494254464"/>
        </c:manualLayout>
      </c:layout>
      <c:barChart>
        <c:barDir val="col"/>
        <c:grouping val="clustered"/>
        <c:varyColors val="0"/>
        <c:ser>
          <c:idx val="11"/>
          <c:order val="0"/>
          <c:tx>
            <c:strRef>
              <c:f>Membership!$K$351</c:f>
              <c:strCache>
                <c:ptCount val="1"/>
                <c:pt idx="0">
                  <c:v>Florida                      Statewide</c:v>
                </c:pt>
              </c:strCache>
            </c:strRef>
          </c:tx>
          <c:spPr>
            <a:solidFill>
              <a:schemeClr val="accent1"/>
            </a:solidFill>
            <a:ln>
              <a:noFill/>
            </a:ln>
            <a:effectLst/>
          </c:spPr>
          <c:invertIfNegative val="0"/>
          <c:dLbls>
            <c:dLbl>
              <c:idx val="0"/>
              <c:layout>
                <c:manualLayout>
                  <c:x val="-1.226537103099789E-17"/>
                  <c:y val="7.7990229794052471E-2"/>
                </c:manualLayout>
              </c:layout>
              <c:spPr>
                <a:solidFill>
                  <a:schemeClr val="accent1"/>
                </a:solidFill>
                <a:ln>
                  <a:noFill/>
                </a:ln>
                <a:effectLst/>
              </c:spPr>
              <c:txPr>
                <a:bodyPr rot="0" spcFirstLastPara="1" vertOverflow="ellipsis" vert="horz" wrap="square" anchor="ctr" anchorCtr="0"/>
                <a:lstStyle/>
                <a:p>
                  <a:pPr algn="ctr">
                    <a:defRPr lang="en-US" sz="1000" b="1" i="0" u="none" strike="noStrike" kern="1200" baseline="0">
                      <a:solidFill>
                        <a:schemeClr val="bg1"/>
                      </a:solidFill>
                      <a:latin typeface="Calibri"/>
                      <a:ea typeface="Calibri"/>
                      <a:cs typeface="Calibri"/>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5.6413070298930126E-2"/>
                      <c:h val="4.7110713702815658E-2"/>
                    </c:manualLayout>
                  </c15:layout>
                </c:ext>
                <c:ext xmlns:c16="http://schemas.microsoft.com/office/drawing/2014/chart" uri="{C3380CC4-5D6E-409C-BE32-E72D297353CC}">
                  <c16:uniqueId val="{00000000-B0B2-497B-8994-23BCAEBE1F87}"/>
                </c:ext>
              </c:extLst>
            </c:dLbl>
            <c:spPr>
              <a:solidFill>
                <a:schemeClr val="accent1"/>
              </a:solid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Membership!$J$356:$J$370</c15:sqref>
                  </c15:fullRef>
                </c:ext>
              </c:extLst>
              <c:f>(Membership!$J$356:$J$357,Membership!$J$362,Membership!$J$367:$J$370)</c:f>
              <c:numCache>
                <c:formatCode>General</c:formatCode>
                <c:ptCount val="7"/>
                <c:pt idx="0">
                  <c:v>2005</c:v>
                </c:pt>
                <c:pt idx="1">
                  <c:v>2010</c:v>
                </c:pt>
                <c:pt idx="2">
                  <c:v>2015</c:v>
                </c:pt>
                <c:pt idx="3">
                  <c:v>2020</c:v>
                </c:pt>
                <c:pt idx="4">
                  <c:v>2021</c:v>
                </c:pt>
                <c:pt idx="5">
                  <c:v>2022</c:v>
                </c:pt>
                <c:pt idx="6">
                  <c:v>2023</c:v>
                </c:pt>
              </c:numCache>
            </c:numRef>
          </c:cat>
          <c:val>
            <c:numRef>
              <c:extLst>
                <c:ext xmlns:c15="http://schemas.microsoft.com/office/drawing/2012/chart" uri="{02D57815-91ED-43cb-92C2-25804820EDAC}">
                  <c15:fullRef>
                    <c15:sqref>Membership!$K$356:$K$370</c15:sqref>
                  </c15:fullRef>
                </c:ext>
              </c:extLst>
              <c:f>(Membership!$K$356:$K$357,Membership!$K$362,Membership!$K$367:$K$370)</c:f>
              <c:numCache>
                <c:formatCode>_("$"* #,##0\ \ _);_("$"* \(#,##0\)\ \ ;_("$"* "-"??_);_(@_)</c:formatCode>
                <c:ptCount val="7"/>
                <c:pt idx="0">
                  <c:v>7400</c:v>
                </c:pt>
                <c:pt idx="1">
                  <c:v>11000</c:v>
                </c:pt>
                <c:pt idx="2">
                  <c:v>12300</c:v>
                </c:pt>
                <c:pt idx="3">
                  <c:v>15300</c:v>
                </c:pt>
                <c:pt idx="4">
                  <c:v>15900</c:v>
                </c:pt>
                <c:pt idx="5">
                  <c:v>16800</c:v>
                </c:pt>
                <c:pt idx="6">
                  <c:v>18600</c:v>
                </c:pt>
              </c:numCache>
            </c:numRef>
          </c:val>
          <c:extLst>
            <c:ext xmlns:c16="http://schemas.microsoft.com/office/drawing/2014/chart" uri="{C3380CC4-5D6E-409C-BE32-E72D297353CC}">
              <c16:uniqueId val="{00000000-145B-4C24-A7B3-0DE3328248EB}"/>
            </c:ext>
          </c:extLst>
        </c:ser>
        <c:dLbls>
          <c:showLegendKey val="0"/>
          <c:showVal val="0"/>
          <c:showCatName val="0"/>
          <c:showSerName val="0"/>
          <c:showPercent val="0"/>
          <c:showBubbleSize val="0"/>
        </c:dLbls>
        <c:gapWidth val="40"/>
        <c:axId val="807044720"/>
        <c:axId val="807043936"/>
      </c:barChart>
      <c:catAx>
        <c:axId val="80704472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3936"/>
        <c:crosses val="autoZero"/>
        <c:auto val="1"/>
        <c:lblAlgn val="ctr"/>
        <c:lblOffset val="100"/>
        <c:noMultiLvlLbl val="0"/>
      </c:catAx>
      <c:valAx>
        <c:axId val="807043936"/>
        <c:scaling>
          <c:orientation val="minMax"/>
          <c:max val="20000"/>
          <c:min val="500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4720"/>
        <c:crosses val="autoZero"/>
        <c:crossBetween val="between"/>
        <c:majorUnit val="2500"/>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921" l="0.70000000000000062" r="0.70000000000000062" t="0.75000000000000921"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rgbClr val="000000"/>
                </a:solidFill>
                <a:latin typeface="Calibri"/>
                <a:ea typeface="Calibri"/>
                <a:cs typeface="Calibri"/>
              </a:defRPr>
            </a:pPr>
            <a:r>
              <a:rPr lang="en-US" sz="1400">
                <a:solidFill>
                  <a:srgbClr val="376091"/>
                </a:solidFill>
                <a:latin typeface="Myriad Web"/>
              </a:rPr>
              <a:t>Full membership joining</a:t>
            </a:r>
            <a:r>
              <a:rPr lang="en-US" sz="1400" baseline="0">
                <a:solidFill>
                  <a:srgbClr val="376091"/>
                </a:solidFill>
                <a:latin typeface="Myriad Web"/>
              </a:rPr>
              <a:t> fees</a:t>
            </a:r>
            <a:r>
              <a:rPr lang="en-US" sz="1400">
                <a:solidFill>
                  <a:srgbClr val="376091"/>
                </a:solidFill>
                <a:latin typeface="Myriad Web"/>
              </a:rPr>
              <a:t> statewide</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000000"/>
              </a:solidFill>
              <a:latin typeface="Calibri"/>
              <a:ea typeface="Calibri"/>
              <a:cs typeface="Calibri"/>
            </a:defRPr>
          </a:pPr>
          <a:endParaRPr lang="en-US"/>
        </a:p>
      </c:txPr>
    </c:title>
    <c:autoTitleDeleted val="0"/>
    <c:plotArea>
      <c:layout>
        <c:manualLayout>
          <c:layoutTarget val="inner"/>
          <c:xMode val="edge"/>
          <c:yMode val="edge"/>
          <c:x val="7.4869182235951029E-2"/>
          <c:y val="0.17950687198168327"/>
          <c:w val="0.9124701289423508"/>
          <c:h val="0.67923534558180243"/>
        </c:manualLayout>
      </c:layout>
      <c:barChart>
        <c:barDir val="col"/>
        <c:grouping val="clustered"/>
        <c:varyColors val="0"/>
        <c:ser>
          <c:idx val="11"/>
          <c:order val="0"/>
          <c:tx>
            <c:strRef>
              <c:f>Membership!$K$278</c:f>
              <c:strCache>
                <c:ptCount val="1"/>
                <c:pt idx="0">
                  <c:v>Florida                      Statewide</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Membership!$J$283:$J$293</c15:sqref>
                  </c15:fullRef>
                </c:ext>
              </c:extLst>
              <c:f>(Membership!$J$283:$J$285,Membership!$J$290:$J$293)</c:f>
              <c:numCache>
                <c:formatCode>General</c:formatCode>
                <c:ptCount val="7"/>
                <c:pt idx="0">
                  <c:v>2005</c:v>
                </c:pt>
                <c:pt idx="1">
                  <c:v>2010</c:v>
                </c:pt>
                <c:pt idx="2">
                  <c:v>2015</c:v>
                </c:pt>
                <c:pt idx="3">
                  <c:v>2020</c:v>
                </c:pt>
                <c:pt idx="4">
                  <c:v>2021</c:v>
                </c:pt>
                <c:pt idx="5">
                  <c:v>2022</c:v>
                </c:pt>
                <c:pt idx="6">
                  <c:v>2023</c:v>
                </c:pt>
              </c:numCache>
            </c:numRef>
          </c:cat>
          <c:val>
            <c:numRef>
              <c:extLst>
                <c:ext xmlns:c15="http://schemas.microsoft.com/office/drawing/2012/chart" uri="{02D57815-91ED-43cb-92C2-25804820EDAC}">
                  <c15:fullRef>
                    <c15:sqref>Membership!$K$283:$K$293</c15:sqref>
                  </c15:fullRef>
                </c:ext>
              </c:extLst>
              <c:f>(Membership!$K$283:$K$285,Membership!$K$290:$K$293)</c:f>
              <c:numCache>
                <c:formatCode>_("$"* #,##0\ \ _);_("$"* \(#,##0\)\ \ ;_("$"* "-"??_);_(@_)</c:formatCode>
                <c:ptCount val="7"/>
                <c:pt idx="0">
                  <c:v>64300</c:v>
                </c:pt>
                <c:pt idx="1">
                  <c:v>72500</c:v>
                </c:pt>
                <c:pt idx="2">
                  <c:v>69600</c:v>
                </c:pt>
                <c:pt idx="3">
                  <c:v>85900</c:v>
                </c:pt>
                <c:pt idx="4">
                  <c:v>90300</c:v>
                </c:pt>
                <c:pt idx="5">
                  <c:v>106200</c:v>
                </c:pt>
                <c:pt idx="6">
                  <c:v>129000</c:v>
                </c:pt>
              </c:numCache>
            </c:numRef>
          </c:val>
          <c:extLst>
            <c:ext xmlns:c16="http://schemas.microsoft.com/office/drawing/2014/chart" uri="{C3380CC4-5D6E-409C-BE32-E72D297353CC}">
              <c16:uniqueId val="{00000000-BAA6-4D1B-804C-9221260302A7}"/>
            </c:ext>
          </c:extLst>
        </c:ser>
        <c:dLbls>
          <c:showLegendKey val="0"/>
          <c:showVal val="0"/>
          <c:showCatName val="0"/>
          <c:showSerName val="0"/>
          <c:showPercent val="0"/>
          <c:showBubbleSize val="0"/>
        </c:dLbls>
        <c:gapWidth val="40"/>
        <c:axId val="807040800"/>
        <c:axId val="807041192"/>
      </c:barChart>
      <c:catAx>
        <c:axId val="80704080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1192"/>
        <c:crosses val="autoZero"/>
        <c:auto val="1"/>
        <c:lblAlgn val="ctr"/>
        <c:lblOffset val="100"/>
        <c:noMultiLvlLbl val="0"/>
      </c:catAx>
      <c:valAx>
        <c:axId val="807041192"/>
        <c:scaling>
          <c:orientation val="minMax"/>
          <c:max val="130000"/>
          <c:min val="50000"/>
        </c:scaling>
        <c:delete val="0"/>
        <c:axPos val="l"/>
        <c:majorGridlines>
          <c:spPr>
            <a:ln w="9525" cap="flat" cmpd="sng" algn="ctr">
              <a:solidFill>
                <a:schemeClr val="tx1">
                  <a:tint val="75000"/>
                  <a:shade val="95000"/>
                  <a:satMod val="105000"/>
                </a:schemeClr>
              </a:solidFill>
              <a:prstDash val="solid"/>
              <a:round/>
            </a:ln>
            <a:effectLst/>
          </c:spPr>
        </c:majorGridlines>
        <c:numFmt formatCode="_(&quot;$&quot;* #,##0\ \ _);_(&quot;$&quot;* \(#,##0\)\ \ ;_(&quot;$&quot;* &quot;-&quot;??_);_(@_)"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0800"/>
        <c:crosses val="autoZero"/>
        <c:crossBetween val="between"/>
        <c:majorUnit val="10000"/>
        <c:minorUnit val="10000"/>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944" l="0.70000000000000062" r="0.70000000000000062" t="0.75000000000000944"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117755854298513E-2"/>
          <c:y val="4.4524404620144724E-2"/>
          <c:w val="0.90507315702430835"/>
          <c:h val="0.60350229878599637"/>
        </c:manualLayout>
      </c:layout>
      <c:barChart>
        <c:barDir val="col"/>
        <c:grouping val="clustered"/>
        <c:varyColors val="0"/>
        <c:ser>
          <c:idx val="0"/>
          <c:order val="0"/>
          <c:tx>
            <c:strRef>
              <c:f>Membership!$A$45</c:f>
              <c:strCache>
                <c:ptCount val="1"/>
                <c:pt idx="0">
                  <c:v>2022</c:v>
                </c:pt>
              </c:strCache>
            </c:strRef>
          </c:tx>
          <c:spPr>
            <a:solidFill>
              <a:schemeClr val="accent1"/>
            </a:solidFill>
            <a:ln>
              <a:noFill/>
            </a:ln>
            <a:effectLst/>
          </c:spPr>
          <c:invertIfNegative val="0"/>
          <c:dLbls>
            <c:delete val="1"/>
          </c:dLbls>
          <c:cat>
            <c:strRef>
              <c:f>Membership!$B$44:$H$44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Membership!$B$45:$H$45</c:f>
              <c:numCache>
                <c:formatCode>_-* #,##0_-;\-* #,##0_-;_-* "-"??_-;_-@_-</c:formatCode>
                <c:ptCount val="7"/>
                <c:pt idx="0">
                  <c:v>730</c:v>
                </c:pt>
                <c:pt idx="1">
                  <c:v>620</c:v>
                </c:pt>
                <c:pt idx="2">
                  <c:v>900</c:v>
                </c:pt>
                <c:pt idx="3">
                  <c:v>570</c:v>
                </c:pt>
                <c:pt idx="4">
                  <c:v>900</c:v>
                </c:pt>
                <c:pt idx="5">
                  <c:v>760</c:v>
                </c:pt>
                <c:pt idx="6">
                  <c:v>690</c:v>
                </c:pt>
              </c:numCache>
            </c:numRef>
          </c:val>
          <c:extLst>
            <c:ext xmlns:c16="http://schemas.microsoft.com/office/drawing/2014/chart" uri="{C3380CC4-5D6E-409C-BE32-E72D297353CC}">
              <c16:uniqueId val="{00000000-4412-4890-8EA4-BFB97FDC9C03}"/>
            </c:ext>
          </c:extLst>
        </c:ser>
        <c:ser>
          <c:idx val="1"/>
          <c:order val="1"/>
          <c:tx>
            <c:strRef>
              <c:f>Membership!$A$46</c:f>
              <c:strCache>
                <c:ptCount val="1"/>
                <c:pt idx="0">
                  <c:v>2021</c:v>
                </c:pt>
              </c:strCache>
            </c:strRef>
          </c:tx>
          <c:spPr>
            <a:solidFill>
              <a:schemeClr val="accent2"/>
            </a:solidFill>
            <a:ln>
              <a:noFill/>
            </a:ln>
            <a:effectLst/>
          </c:spPr>
          <c:invertIfNegative val="0"/>
          <c:dLbls>
            <c:delete val="1"/>
          </c:dLbls>
          <c:cat>
            <c:strRef>
              <c:f>Membership!$B$44:$H$44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Membership!$B$46:$H$46</c:f>
              <c:numCache>
                <c:formatCode>_-* #,##0_-;\-* #,##0_-;_-* "-"??_-;_-@_-</c:formatCode>
                <c:ptCount val="7"/>
                <c:pt idx="0">
                  <c:v>730</c:v>
                </c:pt>
                <c:pt idx="1">
                  <c:v>590</c:v>
                </c:pt>
                <c:pt idx="2">
                  <c:v>870</c:v>
                </c:pt>
                <c:pt idx="3">
                  <c:v>560</c:v>
                </c:pt>
                <c:pt idx="4">
                  <c:v>910</c:v>
                </c:pt>
                <c:pt idx="5">
                  <c:v>800</c:v>
                </c:pt>
                <c:pt idx="6">
                  <c:v>660</c:v>
                </c:pt>
              </c:numCache>
            </c:numRef>
          </c:val>
          <c:extLst>
            <c:ext xmlns:c16="http://schemas.microsoft.com/office/drawing/2014/chart" uri="{C3380CC4-5D6E-409C-BE32-E72D297353CC}">
              <c16:uniqueId val="{00000001-4412-4890-8EA4-BFB97FDC9C03}"/>
            </c:ext>
          </c:extLst>
        </c:ser>
        <c:ser>
          <c:idx val="2"/>
          <c:order val="2"/>
          <c:tx>
            <c:strRef>
              <c:f>Membership!$A$47</c:f>
              <c:strCache>
                <c:ptCount val="1"/>
                <c:pt idx="0">
                  <c:v>2020</c:v>
                </c:pt>
              </c:strCache>
            </c:strRef>
          </c:tx>
          <c:spPr>
            <a:solidFill>
              <a:schemeClr val="accent3"/>
            </a:solidFill>
            <a:ln>
              <a:noFill/>
            </a:ln>
            <a:effectLst/>
          </c:spPr>
          <c:invertIfNegative val="0"/>
          <c:dLbls>
            <c:delete val="1"/>
          </c:dLbls>
          <c:cat>
            <c:strRef>
              <c:f>Membership!$B$44:$H$44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Membership!$B$47:$H$47</c:f>
              <c:numCache>
                <c:formatCode>_-* #,##0_-;\-* #,##0_-;_-* "-"??_-;_-@_-</c:formatCode>
                <c:ptCount val="7"/>
                <c:pt idx="0">
                  <c:v>720</c:v>
                </c:pt>
                <c:pt idx="1">
                  <c:v>600</c:v>
                </c:pt>
                <c:pt idx="2">
                  <c:v>860</c:v>
                </c:pt>
                <c:pt idx="3">
                  <c:v>550</c:v>
                </c:pt>
                <c:pt idx="4">
                  <c:v>900</c:v>
                </c:pt>
                <c:pt idx="5">
                  <c:v>760</c:v>
                </c:pt>
                <c:pt idx="6">
                  <c:v>690</c:v>
                </c:pt>
              </c:numCache>
            </c:numRef>
          </c:val>
          <c:extLst>
            <c:ext xmlns:c16="http://schemas.microsoft.com/office/drawing/2014/chart" uri="{C3380CC4-5D6E-409C-BE32-E72D297353CC}">
              <c16:uniqueId val="{00000002-4412-4890-8EA4-BFB97FDC9C03}"/>
            </c:ext>
          </c:extLst>
        </c:ser>
        <c:ser>
          <c:idx val="3"/>
          <c:order val="3"/>
          <c:tx>
            <c:strRef>
              <c:f>Membership!$A$48</c:f>
              <c:strCache>
                <c:ptCount val="1"/>
                <c:pt idx="0">
                  <c:v>2019</c:v>
                </c:pt>
              </c:strCache>
            </c:strRef>
          </c:tx>
          <c:spPr>
            <a:solidFill>
              <a:schemeClr val="accent4"/>
            </a:solidFill>
            <a:ln>
              <a:noFill/>
            </a:ln>
            <a:effectLst/>
          </c:spPr>
          <c:invertIfNegative val="0"/>
          <c:dLbls>
            <c:delete val="1"/>
          </c:dLbls>
          <c:cat>
            <c:strRef>
              <c:f>Membership!$B$44:$H$44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Membership!$B$48:$H$48</c:f>
              <c:numCache>
                <c:formatCode>_-* #,##0_-;\-* #,##0_-;_-* "-"??_-;_-@_-</c:formatCode>
                <c:ptCount val="7"/>
                <c:pt idx="0">
                  <c:v>690</c:v>
                </c:pt>
                <c:pt idx="1">
                  <c:v>560</c:v>
                </c:pt>
                <c:pt idx="2">
                  <c:v>860</c:v>
                </c:pt>
                <c:pt idx="3">
                  <c:v>520</c:v>
                </c:pt>
                <c:pt idx="4">
                  <c:v>870</c:v>
                </c:pt>
                <c:pt idx="5">
                  <c:v>750</c:v>
                </c:pt>
                <c:pt idx="6">
                  <c:v>630</c:v>
                </c:pt>
              </c:numCache>
            </c:numRef>
          </c:val>
          <c:extLst>
            <c:ext xmlns:c16="http://schemas.microsoft.com/office/drawing/2014/chart" uri="{C3380CC4-5D6E-409C-BE32-E72D297353CC}">
              <c16:uniqueId val="{00000003-4412-4890-8EA4-BFB97FDC9C03}"/>
            </c:ext>
          </c:extLst>
        </c:ser>
        <c:ser>
          <c:idx val="4"/>
          <c:order val="4"/>
          <c:tx>
            <c:strRef>
              <c:f>Membership!$A$49</c:f>
              <c:strCache>
                <c:ptCount val="1"/>
                <c:pt idx="0">
                  <c:v>2018</c:v>
                </c:pt>
              </c:strCache>
            </c:strRef>
          </c:tx>
          <c:spPr>
            <a:solidFill>
              <a:schemeClr val="accent5"/>
            </a:solidFill>
            <a:ln>
              <a:noFill/>
            </a:ln>
            <a:effectLst/>
          </c:spPr>
          <c:invertIfNegative val="0"/>
          <c:dLbls>
            <c:delete val="1"/>
          </c:dLbls>
          <c:cat>
            <c:strRef>
              <c:f>Membership!$B$44:$H$44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Membership!$B$49:$H$49</c:f>
              <c:numCache>
                <c:formatCode>_-* #,##0_-;\-* #,##0_-;_-* "-"??_-;_-@_-</c:formatCode>
                <c:ptCount val="7"/>
                <c:pt idx="0">
                  <c:v>690</c:v>
                </c:pt>
                <c:pt idx="1">
                  <c:v>560</c:v>
                </c:pt>
                <c:pt idx="2">
                  <c:v>850</c:v>
                </c:pt>
                <c:pt idx="3">
                  <c:v>520</c:v>
                </c:pt>
                <c:pt idx="4">
                  <c:v>890</c:v>
                </c:pt>
                <c:pt idx="5">
                  <c:v>770</c:v>
                </c:pt>
                <c:pt idx="6">
                  <c:v>650</c:v>
                </c:pt>
              </c:numCache>
            </c:numRef>
          </c:val>
          <c:extLst>
            <c:ext xmlns:c16="http://schemas.microsoft.com/office/drawing/2014/chart" uri="{C3380CC4-5D6E-409C-BE32-E72D297353CC}">
              <c16:uniqueId val="{00000004-4412-4890-8EA4-BFB97FDC9C03}"/>
            </c:ext>
          </c:extLst>
        </c:ser>
        <c:dLbls>
          <c:showLegendKey val="0"/>
          <c:showVal val="1"/>
          <c:showCatName val="0"/>
          <c:showSerName val="0"/>
          <c:showPercent val="0"/>
          <c:showBubbleSize val="0"/>
        </c:dLbls>
        <c:gapWidth val="150"/>
        <c:axId val="807042368"/>
        <c:axId val="807042760"/>
      </c:barChart>
      <c:catAx>
        <c:axId val="807042368"/>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2760"/>
        <c:crosses val="autoZero"/>
        <c:auto val="1"/>
        <c:lblAlgn val="ctr"/>
        <c:lblOffset val="100"/>
        <c:noMultiLvlLbl val="0"/>
      </c:catAx>
      <c:valAx>
        <c:axId val="807042760"/>
        <c:scaling>
          <c:orientation val="minMax"/>
          <c:max val="1000"/>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807042368"/>
        <c:crosses val="autoZero"/>
        <c:crossBetween val="between"/>
        <c:majorUnit val="2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077932566121542E-2"/>
          <c:y val="3.7603792328669526E-2"/>
          <c:w val="0.89081950333131432"/>
          <c:h val="0.67237960623256277"/>
        </c:manualLayout>
      </c:layout>
      <c:barChart>
        <c:barDir val="col"/>
        <c:grouping val="clustered"/>
        <c:varyColors val="0"/>
        <c:ser>
          <c:idx val="1"/>
          <c:order val="0"/>
          <c:tx>
            <c:strRef>
              <c:f>'Op Rev &amp; Exp'!$A$57</c:f>
              <c:strCache>
                <c:ptCount val="1"/>
                <c:pt idx="0">
                  <c:v>2022</c:v>
                </c:pt>
              </c:strCache>
            </c:strRef>
          </c:tx>
          <c:spPr>
            <a:solidFill>
              <a:schemeClr val="accent1"/>
            </a:solidFill>
            <a:ln>
              <a:noFill/>
            </a:ln>
            <a:effectLst/>
          </c:spPr>
          <c:invertIfNegative val="0"/>
          <c:dLbls>
            <c:delete val="1"/>
          </c:dLbls>
          <c:cat>
            <c:strRef>
              <c:f>'Op Rev &amp; Exp'!$B$56:$H$56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Exp'!$B$57:$H$57</c:f>
              <c:numCache>
                <c:formatCode>_("$"* #,##0\ \ _);_("$"* \(#,##0\)\ \ ;_("$"* "-"??_);_(@_)</c:formatCode>
                <c:ptCount val="7"/>
                <c:pt idx="0">
                  <c:v>11550</c:v>
                </c:pt>
                <c:pt idx="1">
                  <c:v>14710</c:v>
                </c:pt>
                <c:pt idx="2">
                  <c:v>16300</c:v>
                </c:pt>
                <c:pt idx="3">
                  <c:v>12890</c:v>
                </c:pt>
                <c:pt idx="4">
                  <c:v>5300</c:v>
                </c:pt>
                <c:pt idx="5">
                  <c:v>9500</c:v>
                </c:pt>
                <c:pt idx="6">
                  <c:v>6810</c:v>
                </c:pt>
              </c:numCache>
            </c:numRef>
          </c:val>
          <c:extLst>
            <c:ext xmlns:c16="http://schemas.microsoft.com/office/drawing/2014/chart" uri="{C3380CC4-5D6E-409C-BE32-E72D297353CC}">
              <c16:uniqueId val="{00000000-0DE0-46AC-BD6A-C07AD9B5F791}"/>
            </c:ext>
          </c:extLst>
        </c:ser>
        <c:ser>
          <c:idx val="0"/>
          <c:order val="1"/>
          <c:tx>
            <c:strRef>
              <c:f>'Op Rev &amp; Exp'!$A$58</c:f>
              <c:strCache>
                <c:ptCount val="1"/>
                <c:pt idx="0">
                  <c:v>2021</c:v>
                </c:pt>
              </c:strCache>
            </c:strRef>
          </c:tx>
          <c:spPr>
            <a:solidFill>
              <a:schemeClr val="accent2"/>
            </a:solidFill>
            <a:ln>
              <a:noFill/>
            </a:ln>
            <a:effectLst/>
          </c:spPr>
          <c:invertIfNegative val="0"/>
          <c:dLbls>
            <c:delete val="1"/>
          </c:dLbls>
          <c:cat>
            <c:strRef>
              <c:f>'Op Rev &amp; Exp'!$B$56:$H$56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Exp'!$B$58:$H$58</c:f>
              <c:numCache>
                <c:formatCode>_("$"* #,##0\ \ _);_("$"* \(#,##0\)\ \ ;_("$"* "-"??_);_(@_)</c:formatCode>
                <c:ptCount val="7"/>
                <c:pt idx="0">
                  <c:v>10100</c:v>
                </c:pt>
                <c:pt idx="1">
                  <c:v>12900</c:v>
                </c:pt>
                <c:pt idx="2">
                  <c:v>14400</c:v>
                </c:pt>
                <c:pt idx="3">
                  <c:v>11800</c:v>
                </c:pt>
                <c:pt idx="4">
                  <c:v>4800</c:v>
                </c:pt>
                <c:pt idx="5">
                  <c:v>8200</c:v>
                </c:pt>
                <c:pt idx="6">
                  <c:v>6300</c:v>
                </c:pt>
              </c:numCache>
            </c:numRef>
          </c:val>
          <c:extLst>
            <c:ext xmlns:c16="http://schemas.microsoft.com/office/drawing/2014/chart" uri="{C3380CC4-5D6E-409C-BE32-E72D297353CC}">
              <c16:uniqueId val="{00000001-0DE0-46AC-BD6A-C07AD9B5F791}"/>
            </c:ext>
          </c:extLst>
        </c:ser>
        <c:ser>
          <c:idx val="2"/>
          <c:order val="2"/>
          <c:tx>
            <c:strRef>
              <c:f>'Op Rev &amp; Exp'!$A$59</c:f>
              <c:strCache>
                <c:ptCount val="1"/>
                <c:pt idx="0">
                  <c:v>2020</c:v>
                </c:pt>
              </c:strCache>
            </c:strRef>
          </c:tx>
          <c:spPr>
            <a:solidFill>
              <a:schemeClr val="accent3"/>
            </a:solidFill>
            <a:ln>
              <a:noFill/>
            </a:ln>
            <a:effectLst/>
          </c:spPr>
          <c:invertIfNegative val="0"/>
          <c:dLbls>
            <c:delete val="1"/>
          </c:dLbls>
          <c:cat>
            <c:strRef>
              <c:f>'Op Rev &amp; Exp'!$B$56:$H$56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Exp'!$B$59:$H$59</c:f>
              <c:numCache>
                <c:formatCode>_("$"* #,##0\ \ _);_("$"* \(#,##0\)\ \ ;_("$"* "-"??_);_(@_)</c:formatCode>
                <c:ptCount val="7"/>
                <c:pt idx="0">
                  <c:v>9900</c:v>
                </c:pt>
                <c:pt idx="1">
                  <c:v>12400</c:v>
                </c:pt>
                <c:pt idx="2">
                  <c:v>14500</c:v>
                </c:pt>
                <c:pt idx="3">
                  <c:v>11800</c:v>
                </c:pt>
                <c:pt idx="4">
                  <c:v>4500</c:v>
                </c:pt>
                <c:pt idx="5">
                  <c:v>8100</c:v>
                </c:pt>
                <c:pt idx="6">
                  <c:v>5500</c:v>
                </c:pt>
              </c:numCache>
            </c:numRef>
          </c:val>
          <c:extLst>
            <c:ext xmlns:c16="http://schemas.microsoft.com/office/drawing/2014/chart" uri="{C3380CC4-5D6E-409C-BE32-E72D297353CC}">
              <c16:uniqueId val="{00000002-0DE0-46AC-BD6A-C07AD9B5F791}"/>
            </c:ext>
          </c:extLst>
        </c:ser>
        <c:dLbls>
          <c:showLegendKey val="0"/>
          <c:showVal val="1"/>
          <c:showCatName val="0"/>
          <c:showSerName val="0"/>
          <c:showPercent val="0"/>
          <c:showBubbleSize val="0"/>
        </c:dLbls>
        <c:gapWidth val="150"/>
        <c:axId val="520506960"/>
        <c:axId val="520508528"/>
      </c:barChart>
      <c:catAx>
        <c:axId val="52050696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0508528"/>
        <c:crosses val="autoZero"/>
        <c:auto val="1"/>
        <c:lblAlgn val="ctr"/>
        <c:lblOffset val="100"/>
        <c:noMultiLvlLbl val="0"/>
      </c:catAx>
      <c:valAx>
        <c:axId val="520508528"/>
        <c:scaling>
          <c:orientation val="minMax"/>
          <c:max val="17500"/>
          <c:min val="250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0506960"/>
        <c:crosses val="autoZero"/>
        <c:crossBetween val="between"/>
        <c:majorUnit val="25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625624574695912E-2"/>
          <c:y val="1.9422049797853003E-2"/>
          <c:w val="0.91840775434796851"/>
          <c:h val="0.71220873628869996"/>
        </c:manualLayout>
      </c:layout>
      <c:barChart>
        <c:barDir val="col"/>
        <c:grouping val="clustered"/>
        <c:varyColors val="0"/>
        <c:ser>
          <c:idx val="0"/>
          <c:order val="0"/>
          <c:tx>
            <c:strRef>
              <c:f>'Op Rev &amp; Exp'!$A$94</c:f>
              <c:strCache>
                <c:ptCount val="1"/>
                <c:pt idx="0">
                  <c:v>2022</c:v>
                </c:pt>
              </c:strCache>
            </c:strRef>
          </c:tx>
          <c:spPr>
            <a:solidFill>
              <a:schemeClr val="accent1"/>
            </a:solidFill>
            <a:ln>
              <a:noFill/>
            </a:ln>
            <a:effectLst/>
          </c:spPr>
          <c:invertIfNegative val="0"/>
          <c:cat>
            <c:strRef>
              <c:f>'Op Rev &amp; Exp'!$B$93:$H$93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Exp'!$B$94:$H$94</c:f>
              <c:numCache>
                <c:formatCode>_(* #,##0.0\ \ _);_(* \(#,##0.0\)\ \ ;_(* "-"??_);_(@_)</c:formatCode>
                <c:ptCount val="7"/>
                <c:pt idx="0">
                  <c:v>4.5</c:v>
                </c:pt>
                <c:pt idx="1">
                  <c:v>3.7</c:v>
                </c:pt>
                <c:pt idx="2">
                  <c:v>3.3</c:v>
                </c:pt>
                <c:pt idx="3">
                  <c:v>4.2</c:v>
                </c:pt>
                <c:pt idx="4">
                  <c:v>8.9</c:v>
                </c:pt>
                <c:pt idx="5">
                  <c:v>4.9000000000000004</c:v>
                </c:pt>
                <c:pt idx="6">
                  <c:v>8.6</c:v>
                </c:pt>
              </c:numCache>
            </c:numRef>
          </c:val>
          <c:extLst>
            <c:ext xmlns:c16="http://schemas.microsoft.com/office/drawing/2014/chart" uri="{C3380CC4-5D6E-409C-BE32-E72D297353CC}">
              <c16:uniqueId val="{00000000-171D-4FA7-96F1-59AABF33E836}"/>
            </c:ext>
          </c:extLst>
        </c:ser>
        <c:ser>
          <c:idx val="1"/>
          <c:order val="1"/>
          <c:tx>
            <c:strRef>
              <c:f>'Op Rev &amp; Exp'!$A$95</c:f>
              <c:strCache>
                <c:ptCount val="1"/>
                <c:pt idx="0">
                  <c:v>2021</c:v>
                </c:pt>
              </c:strCache>
            </c:strRef>
          </c:tx>
          <c:spPr>
            <a:solidFill>
              <a:schemeClr val="accent2"/>
            </a:solidFill>
            <a:ln>
              <a:noFill/>
            </a:ln>
            <a:effectLst/>
          </c:spPr>
          <c:invertIfNegative val="0"/>
          <c:cat>
            <c:strRef>
              <c:f>'Op Rev &amp; Exp'!$B$93:$H$93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Exp'!$B$95:$H$95</c:f>
              <c:numCache>
                <c:formatCode>_(* #,##0.0\ \ _);_(* \(#,##0.0\)\ \ ;_(* "-"??_);_(@_)</c:formatCode>
                <c:ptCount val="7"/>
                <c:pt idx="0">
                  <c:v>4.8</c:v>
                </c:pt>
                <c:pt idx="1">
                  <c:v>3.7</c:v>
                </c:pt>
                <c:pt idx="2">
                  <c:v>3.7</c:v>
                </c:pt>
                <c:pt idx="3">
                  <c:v>4.3</c:v>
                </c:pt>
                <c:pt idx="4">
                  <c:v>9.1999999999999993</c:v>
                </c:pt>
                <c:pt idx="5">
                  <c:v>5.6</c:v>
                </c:pt>
                <c:pt idx="6">
                  <c:v>8.5</c:v>
                </c:pt>
              </c:numCache>
            </c:numRef>
          </c:val>
          <c:extLst>
            <c:ext xmlns:c16="http://schemas.microsoft.com/office/drawing/2014/chart" uri="{C3380CC4-5D6E-409C-BE32-E72D297353CC}">
              <c16:uniqueId val="{00000001-171D-4FA7-96F1-59AABF33E836}"/>
            </c:ext>
          </c:extLst>
        </c:ser>
        <c:ser>
          <c:idx val="2"/>
          <c:order val="2"/>
          <c:tx>
            <c:strRef>
              <c:f>'Op Rev &amp; Exp'!$A$96</c:f>
              <c:strCache>
                <c:ptCount val="1"/>
                <c:pt idx="0">
                  <c:v>2020</c:v>
                </c:pt>
              </c:strCache>
            </c:strRef>
          </c:tx>
          <c:spPr>
            <a:solidFill>
              <a:schemeClr val="accent3"/>
            </a:solidFill>
            <a:ln>
              <a:noFill/>
            </a:ln>
            <a:effectLst/>
          </c:spPr>
          <c:invertIfNegative val="0"/>
          <c:cat>
            <c:strRef>
              <c:f>'Op Rev &amp; Exp'!$B$93:$H$93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Exp'!$B$96:$H$96</c:f>
              <c:numCache>
                <c:formatCode>_(* #,##0.0\ \ _);_(* \(#,##0.0\)\ \ ;_(* "-"??_);_(@_)</c:formatCode>
                <c:ptCount val="7"/>
                <c:pt idx="0">
                  <c:v>4.8</c:v>
                </c:pt>
                <c:pt idx="1">
                  <c:v>3.9</c:v>
                </c:pt>
                <c:pt idx="2">
                  <c:v>3.4</c:v>
                </c:pt>
                <c:pt idx="3">
                  <c:v>4.0999999999999996</c:v>
                </c:pt>
                <c:pt idx="4">
                  <c:v>10</c:v>
                </c:pt>
                <c:pt idx="5">
                  <c:v>5.3</c:v>
                </c:pt>
                <c:pt idx="6">
                  <c:v>7.8</c:v>
                </c:pt>
              </c:numCache>
            </c:numRef>
          </c:val>
          <c:extLst>
            <c:ext xmlns:c16="http://schemas.microsoft.com/office/drawing/2014/chart" uri="{C3380CC4-5D6E-409C-BE32-E72D297353CC}">
              <c16:uniqueId val="{00000002-171D-4FA7-96F1-59AABF33E836}"/>
            </c:ext>
          </c:extLst>
        </c:ser>
        <c:dLbls>
          <c:showLegendKey val="0"/>
          <c:showVal val="0"/>
          <c:showCatName val="0"/>
          <c:showSerName val="0"/>
          <c:showPercent val="0"/>
          <c:showBubbleSize val="0"/>
        </c:dLbls>
        <c:gapWidth val="150"/>
        <c:axId val="520505000"/>
        <c:axId val="520505392"/>
      </c:barChart>
      <c:catAx>
        <c:axId val="52050500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0505392"/>
        <c:crosses val="autoZero"/>
        <c:auto val="1"/>
        <c:lblAlgn val="ctr"/>
        <c:lblOffset val="100"/>
        <c:noMultiLvlLbl val="0"/>
      </c:catAx>
      <c:valAx>
        <c:axId val="520505392"/>
        <c:scaling>
          <c:orientation val="minMax"/>
          <c:max val="10"/>
        </c:scaling>
        <c:delete val="0"/>
        <c:axPos val="l"/>
        <c:majorGridlines>
          <c:spPr>
            <a:ln w="9525" cap="flat" cmpd="sng" algn="ctr">
              <a:solidFill>
                <a:schemeClr val="tx1">
                  <a:tint val="75000"/>
                  <a:shade val="95000"/>
                  <a:satMod val="105000"/>
                </a:schemeClr>
              </a:solidFill>
              <a:prstDash val="solid"/>
              <a:round/>
            </a:ln>
            <a:effectLst/>
          </c:spPr>
        </c:majorGridlines>
        <c:numFmt formatCode="#,##0.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0505000"/>
        <c:crosses val="autoZero"/>
        <c:crossBetween val="between"/>
        <c:majorUnit val="2"/>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0"/>
          <c:tx>
            <c:strRef>
              <c:f>'Op Rev &amp; Exp'!$A$137</c:f>
              <c:strCache>
                <c:ptCount val="1"/>
                <c:pt idx="0">
                  <c:v>2015</c:v>
                </c:pt>
              </c:strCache>
            </c:strRef>
          </c:tx>
          <c:spPr>
            <a:solidFill>
              <a:srgbClr val="007FB1"/>
            </a:solidFill>
          </c:spPr>
          <c:invertIfNegative val="0"/>
          <c:dLbls>
            <c:delete val="1"/>
          </c:dLbls>
          <c:val>
            <c:numRef>
              <c:f>'Op Rev &amp; Exp'!$B$137:$H$137</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'Op Rev &amp; Exp'!$B$136:$H$136</c15:sqref>
                        </c15:formulaRef>
                      </c:ext>
                    </c:extLst>
                  </c:multiLvlStrRef>
                </c15:cat>
              </c15:filteredCategoryTitle>
            </c:ext>
            <c:ext xmlns:c16="http://schemas.microsoft.com/office/drawing/2014/chart" uri="{C3380CC4-5D6E-409C-BE32-E72D297353CC}">
              <c16:uniqueId val="{00000000-3575-4A59-8E5D-86EB44E8D1CD}"/>
            </c:ext>
          </c:extLst>
        </c:ser>
        <c:ser>
          <c:idx val="0"/>
          <c:order val="1"/>
          <c:tx>
            <c:strRef>
              <c:f>'Op Rev &amp; Exp'!$A$138</c:f>
              <c:strCache>
                <c:ptCount val="1"/>
                <c:pt idx="0">
                  <c:v>2014</c:v>
                </c:pt>
              </c:strCache>
            </c:strRef>
          </c:tx>
          <c:spPr>
            <a:solidFill>
              <a:srgbClr val="CCE5EF"/>
            </a:solidFill>
          </c:spPr>
          <c:invertIfNegative val="0"/>
          <c:dLbls>
            <c:delete val="1"/>
          </c:dLbls>
          <c:val>
            <c:numRef>
              <c:f>'Op Rev &amp; Exp'!$B$138:$H$138</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'Op Rev &amp; Exp'!$B$136:$H$136</c15:sqref>
                        </c15:formulaRef>
                      </c:ext>
                    </c:extLst>
                  </c:multiLvlStrRef>
                </c15:cat>
              </c15:filteredCategoryTitle>
            </c:ext>
            <c:ext xmlns:c16="http://schemas.microsoft.com/office/drawing/2014/chart" uri="{C3380CC4-5D6E-409C-BE32-E72D297353CC}">
              <c16:uniqueId val="{00000001-3575-4A59-8E5D-86EB44E8D1CD}"/>
            </c:ext>
          </c:extLst>
        </c:ser>
        <c:ser>
          <c:idx val="2"/>
          <c:order val="2"/>
          <c:tx>
            <c:strRef>
              <c:f>'Op Rev &amp; Exp'!$A$139</c:f>
              <c:strCache>
                <c:ptCount val="1"/>
                <c:pt idx="0">
                  <c:v>2013</c:v>
                </c:pt>
              </c:strCache>
            </c:strRef>
          </c:tx>
          <c:spPr>
            <a:solidFill>
              <a:srgbClr val="0065A4"/>
            </a:solidFill>
          </c:spPr>
          <c:invertIfNegative val="0"/>
          <c:dLbls>
            <c:delete val="1"/>
          </c:dLbls>
          <c:val>
            <c:numRef>
              <c:f>'Op Rev &amp; Exp'!$B$139:$H$139</c:f>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'Op Rev &amp; Exp'!$B$136:$H$136</c15:sqref>
                        </c15:formulaRef>
                      </c:ext>
                    </c:extLst>
                  </c:multiLvlStrRef>
                </c15:cat>
              </c15:filteredCategoryTitle>
            </c:ext>
            <c:ext xmlns:c16="http://schemas.microsoft.com/office/drawing/2014/chart" uri="{C3380CC4-5D6E-409C-BE32-E72D297353CC}">
              <c16:uniqueId val="{00000002-3575-4A59-8E5D-86EB44E8D1CD}"/>
            </c:ext>
          </c:extLst>
        </c:ser>
        <c:dLbls>
          <c:showLegendKey val="0"/>
          <c:showVal val="1"/>
          <c:showCatName val="0"/>
          <c:showSerName val="0"/>
          <c:showPercent val="0"/>
          <c:showBubbleSize val="0"/>
        </c:dLbls>
        <c:gapWidth val="150"/>
        <c:axId val="522105936"/>
        <c:axId val="522102408"/>
      </c:barChart>
      <c:catAx>
        <c:axId val="5221059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22102408"/>
        <c:crosses val="autoZero"/>
        <c:auto val="1"/>
        <c:lblAlgn val="ctr"/>
        <c:lblOffset val="100"/>
        <c:noMultiLvlLbl val="0"/>
      </c:catAx>
      <c:valAx>
        <c:axId val="522102408"/>
        <c:scaling>
          <c:orientation val="minMax"/>
          <c:max val="1"/>
          <c:min val="0.4"/>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22105936"/>
        <c:crosses val="autoZero"/>
        <c:crossBetween val="between"/>
        <c:minorUnit val="0.1"/>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en-US"/>
          </a:p>
        </c:txPr>
      </c:dTable>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'F&amp;B'!$A$5</c:f>
              <c:strCache>
                <c:ptCount val="1"/>
                <c:pt idx="0">
                  <c:v>2022</c:v>
                </c:pt>
              </c:strCache>
            </c:strRef>
          </c:tx>
          <c:spPr>
            <a:solidFill>
              <a:schemeClr val="accent1"/>
            </a:solidFill>
            <a:ln>
              <a:noFill/>
            </a:ln>
            <a:effectLst/>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'F&amp;B'!$B$5:$H$5</c:f>
              <c:numCache>
                <c:formatCode>_("$"* #,##0_);_("$"* \(#,##0\);_("$"* "-"??_);_(@_)</c:formatCode>
                <c:ptCount val="7"/>
                <c:pt idx="0">
                  <c:v>4200</c:v>
                </c:pt>
                <c:pt idx="1">
                  <c:v>5100</c:v>
                </c:pt>
                <c:pt idx="2">
                  <c:v>4900</c:v>
                </c:pt>
                <c:pt idx="3">
                  <c:v>5100</c:v>
                </c:pt>
                <c:pt idx="4">
                  <c:v>2200</c:v>
                </c:pt>
                <c:pt idx="5">
                  <c:v>4000</c:v>
                </c:pt>
                <c:pt idx="6">
                  <c:v>4900</c:v>
                </c:pt>
              </c:numCache>
            </c:numRef>
          </c:val>
          <c:extLst>
            <c:ext xmlns:c16="http://schemas.microsoft.com/office/drawing/2014/chart" uri="{C3380CC4-5D6E-409C-BE32-E72D297353CC}">
              <c16:uniqueId val="{00000000-25B1-4E60-B4AC-2FB9F8DA12C1}"/>
            </c:ext>
          </c:extLst>
        </c:ser>
        <c:ser>
          <c:idx val="1"/>
          <c:order val="1"/>
          <c:tx>
            <c:strRef>
              <c:f>'F&amp;B'!$A$6</c:f>
              <c:strCache>
                <c:ptCount val="1"/>
                <c:pt idx="0">
                  <c:v>2021</c:v>
                </c:pt>
              </c:strCache>
            </c:strRef>
          </c:tx>
          <c:spPr>
            <a:solidFill>
              <a:schemeClr val="accent2"/>
            </a:solidFill>
            <a:ln>
              <a:noFill/>
            </a:ln>
            <a:effectLst/>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'F&amp;B'!$B$6:$H$6</c:f>
              <c:numCache>
                <c:formatCode>_("$"* #,##0_);_("$"* \(#,##0\);_("$"* "-"??_);_(@_)</c:formatCode>
                <c:ptCount val="7"/>
                <c:pt idx="0">
                  <c:v>3000</c:v>
                </c:pt>
                <c:pt idx="1">
                  <c:v>3500</c:v>
                </c:pt>
                <c:pt idx="2">
                  <c:v>3300</c:v>
                </c:pt>
                <c:pt idx="3">
                  <c:v>3700</c:v>
                </c:pt>
                <c:pt idx="4">
                  <c:v>1700</c:v>
                </c:pt>
                <c:pt idx="5">
                  <c:v>3000</c:v>
                </c:pt>
                <c:pt idx="6">
                  <c:v>3600</c:v>
                </c:pt>
              </c:numCache>
            </c:numRef>
          </c:val>
          <c:extLst>
            <c:ext xmlns:c16="http://schemas.microsoft.com/office/drawing/2014/chart" uri="{C3380CC4-5D6E-409C-BE32-E72D297353CC}">
              <c16:uniqueId val="{00000001-25B1-4E60-B4AC-2FB9F8DA12C1}"/>
            </c:ext>
          </c:extLst>
        </c:ser>
        <c:ser>
          <c:idx val="2"/>
          <c:order val="2"/>
          <c:tx>
            <c:strRef>
              <c:f>'F&amp;B'!$A$7</c:f>
              <c:strCache>
                <c:ptCount val="1"/>
                <c:pt idx="0">
                  <c:v>2020</c:v>
                </c:pt>
              </c:strCache>
            </c:strRef>
          </c:tx>
          <c:spPr>
            <a:solidFill>
              <a:schemeClr val="accent3"/>
            </a:solidFill>
            <a:ln>
              <a:noFill/>
            </a:ln>
            <a:effectLst/>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'F&amp;B'!$B$7:$H$7</c:f>
              <c:numCache>
                <c:formatCode>_("$"* #,##0_);_("$"* \(#,##0\);_("$"* "-"??_);_(@_)</c:formatCode>
                <c:ptCount val="7"/>
                <c:pt idx="0">
                  <c:v>3000</c:v>
                </c:pt>
                <c:pt idx="1">
                  <c:v>3600</c:v>
                </c:pt>
                <c:pt idx="2">
                  <c:v>4100</c:v>
                </c:pt>
                <c:pt idx="3">
                  <c:v>3700</c:v>
                </c:pt>
                <c:pt idx="4">
                  <c:v>1300</c:v>
                </c:pt>
                <c:pt idx="5">
                  <c:v>2800</c:v>
                </c:pt>
                <c:pt idx="6">
                  <c:v>2700</c:v>
                </c:pt>
              </c:numCache>
            </c:numRef>
          </c:val>
          <c:extLst>
            <c:ext xmlns:c16="http://schemas.microsoft.com/office/drawing/2014/chart" uri="{C3380CC4-5D6E-409C-BE32-E72D297353CC}">
              <c16:uniqueId val="{00000002-25B1-4E60-B4AC-2FB9F8DA12C1}"/>
            </c:ext>
          </c:extLst>
        </c:ser>
        <c:ser>
          <c:idx val="3"/>
          <c:order val="3"/>
          <c:tx>
            <c:strRef>
              <c:f>'F&amp;B'!$A$8</c:f>
              <c:strCache>
                <c:ptCount val="1"/>
                <c:pt idx="0">
                  <c:v>2019</c:v>
                </c:pt>
              </c:strCache>
            </c:strRef>
          </c:tx>
          <c:spPr>
            <a:solidFill>
              <a:schemeClr val="accent4"/>
            </a:solidFill>
            <a:ln>
              <a:noFill/>
            </a:ln>
            <a:effectLst/>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'F&amp;B'!$B$8:$H$8</c:f>
              <c:numCache>
                <c:formatCode>_("$"* #,##0_);_("$"* \(#,##0\);_("$"* "-"??_);_(@_)</c:formatCode>
                <c:ptCount val="7"/>
                <c:pt idx="0">
                  <c:v>3900</c:v>
                </c:pt>
                <c:pt idx="1">
                  <c:v>5200</c:v>
                </c:pt>
                <c:pt idx="2">
                  <c:v>4900</c:v>
                </c:pt>
                <c:pt idx="3">
                  <c:v>4200</c:v>
                </c:pt>
                <c:pt idx="4">
                  <c:v>1800</c:v>
                </c:pt>
                <c:pt idx="5">
                  <c:v>3600</c:v>
                </c:pt>
                <c:pt idx="6">
                  <c:v>3700</c:v>
                </c:pt>
              </c:numCache>
            </c:numRef>
          </c:val>
          <c:extLst>
            <c:ext xmlns:c16="http://schemas.microsoft.com/office/drawing/2014/chart" uri="{C3380CC4-5D6E-409C-BE32-E72D297353CC}">
              <c16:uniqueId val="{00000003-25B1-4E60-B4AC-2FB9F8DA12C1}"/>
            </c:ext>
          </c:extLst>
        </c:ser>
        <c:ser>
          <c:idx val="4"/>
          <c:order val="4"/>
          <c:tx>
            <c:strRef>
              <c:f>'F&amp;B'!$A$9</c:f>
              <c:strCache>
                <c:ptCount val="1"/>
                <c:pt idx="0">
                  <c:v>2018</c:v>
                </c:pt>
              </c:strCache>
            </c:strRef>
          </c:tx>
          <c:spPr>
            <a:solidFill>
              <a:schemeClr val="accent5"/>
            </a:solidFill>
            <a:ln>
              <a:noFill/>
            </a:ln>
            <a:effectLst/>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'F&amp;B'!$B$9:$H$9</c:f>
              <c:numCache>
                <c:formatCode>_("$"* #,##0_);_("$"* \(#,##0\);_("$"* "-"??_);_(@_)</c:formatCode>
                <c:ptCount val="7"/>
                <c:pt idx="0">
                  <c:v>3600</c:v>
                </c:pt>
                <c:pt idx="1">
                  <c:v>4800</c:v>
                </c:pt>
                <c:pt idx="2">
                  <c:v>4700</c:v>
                </c:pt>
                <c:pt idx="3">
                  <c:v>3800</c:v>
                </c:pt>
                <c:pt idx="4">
                  <c:v>1700</c:v>
                </c:pt>
                <c:pt idx="5">
                  <c:v>3200</c:v>
                </c:pt>
                <c:pt idx="6">
                  <c:v>3600</c:v>
                </c:pt>
              </c:numCache>
            </c:numRef>
          </c:val>
          <c:extLst>
            <c:ext xmlns:c16="http://schemas.microsoft.com/office/drawing/2014/chart" uri="{C3380CC4-5D6E-409C-BE32-E72D297353CC}">
              <c16:uniqueId val="{00000004-25B1-4E60-B4AC-2FB9F8DA12C1}"/>
            </c:ext>
          </c:extLst>
        </c:ser>
        <c:dLbls>
          <c:showLegendKey val="0"/>
          <c:showVal val="0"/>
          <c:showCatName val="0"/>
          <c:showSerName val="0"/>
          <c:showPercent val="0"/>
          <c:showBubbleSize val="0"/>
        </c:dLbls>
        <c:gapWidth val="150"/>
        <c:axId val="522105152"/>
        <c:axId val="522102800"/>
      </c:barChart>
      <c:catAx>
        <c:axId val="522105152"/>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2102800"/>
        <c:crosses val="autoZero"/>
        <c:auto val="1"/>
        <c:lblAlgn val="ctr"/>
        <c:lblOffset val="100"/>
        <c:noMultiLvlLbl val="0"/>
      </c:catAx>
      <c:valAx>
        <c:axId val="522102800"/>
        <c:scaling>
          <c:orientation val="minMax"/>
          <c:max val="6000"/>
          <c:min val="1000"/>
        </c:scaling>
        <c:delete val="0"/>
        <c:axPos val="l"/>
        <c:majorGridlines>
          <c:spPr>
            <a:ln w="9525" cap="flat" cmpd="sng" algn="ctr">
              <a:solidFill>
                <a:schemeClr val="tx1">
                  <a:tint val="75000"/>
                  <a:shade val="95000"/>
                  <a:satMod val="105000"/>
                </a:schemeClr>
              </a:solidFill>
              <a:prstDash val="solid"/>
              <a:round/>
            </a:ln>
            <a:effectLst/>
          </c:spPr>
        </c:majorGridlines>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2105152"/>
        <c:crosses val="autoZero"/>
        <c:crossBetween val="between"/>
        <c:majorUnit val="1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'F&amp;B'!$A$158</c:f>
              <c:strCache>
                <c:ptCount val="1"/>
                <c:pt idx="0">
                  <c:v>2022</c:v>
                </c:pt>
              </c:strCache>
            </c:strRef>
          </c:tx>
          <c:spPr>
            <a:solidFill>
              <a:schemeClr val="accent1"/>
            </a:solidFill>
            <a:ln>
              <a:noFill/>
            </a:ln>
            <a:effectLst/>
          </c:spPr>
          <c:invertIfNegative val="0"/>
          <c:cat>
            <c:strRef>
              <c:f>'F&amp;B'!$B$157:$H$157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'F&amp;B'!$B$158:$H$158</c:f>
              <c:numCache>
                <c:formatCode>0.0%</c:formatCode>
                <c:ptCount val="7"/>
                <c:pt idx="0">
                  <c:v>0.91999999999999993</c:v>
                </c:pt>
                <c:pt idx="1">
                  <c:v>0.86599999999999988</c:v>
                </c:pt>
                <c:pt idx="2">
                  <c:v>1.2730000000000001</c:v>
                </c:pt>
                <c:pt idx="3">
                  <c:v>0.77500000000000002</c:v>
                </c:pt>
                <c:pt idx="4">
                  <c:v>0.84700000000000009</c:v>
                </c:pt>
                <c:pt idx="5">
                  <c:v>0.78700000000000003</c:v>
                </c:pt>
                <c:pt idx="6">
                  <c:v>0.72400000000000009</c:v>
                </c:pt>
              </c:numCache>
            </c:numRef>
          </c:val>
          <c:extLst>
            <c:ext xmlns:c16="http://schemas.microsoft.com/office/drawing/2014/chart" uri="{C3380CC4-5D6E-409C-BE32-E72D297353CC}">
              <c16:uniqueId val="{00000000-7C3D-46DF-A678-A4354F1304EC}"/>
            </c:ext>
          </c:extLst>
        </c:ser>
        <c:ser>
          <c:idx val="1"/>
          <c:order val="1"/>
          <c:tx>
            <c:strRef>
              <c:f>'F&amp;B'!$A$159</c:f>
              <c:strCache>
                <c:ptCount val="1"/>
                <c:pt idx="0">
                  <c:v>2021</c:v>
                </c:pt>
              </c:strCache>
            </c:strRef>
          </c:tx>
          <c:spPr>
            <a:solidFill>
              <a:schemeClr val="accent2"/>
            </a:solidFill>
            <a:ln>
              <a:noFill/>
            </a:ln>
            <a:effectLst/>
          </c:spPr>
          <c:invertIfNegative val="0"/>
          <c:cat>
            <c:strRef>
              <c:f>'F&amp;B'!$B$157:$H$157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'F&amp;B'!$B$159:$H$159</c:f>
              <c:numCache>
                <c:formatCode>0.0%</c:formatCode>
                <c:ptCount val="7"/>
                <c:pt idx="0">
                  <c:v>1.0660000000000001</c:v>
                </c:pt>
                <c:pt idx="1">
                  <c:v>1.002</c:v>
                </c:pt>
                <c:pt idx="2">
                  <c:v>1.5869999999999997</c:v>
                </c:pt>
                <c:pt idx="3">
                  <c:v>0.88700000000000001</c:v>
                </c:pt>
                <c:pt idx="4">
                  <c:v>0.96199999999999997</c:v>
                </c:pt>
                <c:pt idx="5">
                  <c:v>0.86299999999999999</c:v>
                </c:pt>
                <c:pt idx="6">
                  <c:v>0.79600000000000004</c:v>
                </c:pt>
              </c:numCache>
            </c:numRef>
          </c:val>
          <c:extLst>
            <c:ext xmlns:c16="http://schemas.microsoft.com/office/drawing/2014/chart" uri="{C3380CC4-5D6E-409C-BE32-E72D297353CC}">
              <c16:uniqueId val="{00000001-7C3D-46DF-A678-A4354F1304EC}"/>
            </c:ext>
          </c:extLst>
        </c:ser>
        <c:ser>
          <c:idx val="2"/>
          <c:order val="2"/>
          <c:tx>
            <c:strRef>
              <c:f>'F&amp;B'!$A$160</c:f>
              <c:strCache>
                <c:ptCount val="1"/>
                <c:pt idx="0">
                  <c:v>2020</c:v>
                </c:pt>
              </c:strCache>
            </c:strRef>
          </c:tx>
          <c:spPr>
            <a:solidFill>
              <a:schemeClr val="accent3"/>
            </a:solidFill>
            <a:ln>
              <a:noFill/>
            </a:ln>
            <a:effectLst/>
          </c:spPr>
          <c:invertIfNegative val="0"/>
          <c:cat>
            <c:strRef>
              <c:f>'F&amp;B'!$B$157:$H$157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'F&amp;B'!$B$160:$H$160</c:f>
              <c:numCache>
                <c:formatCode>0.0%</c:formatCode>
                <c:ptCount val="7"/>
                <c:pt idx="0">
                  <c:v>1.0730000000000002</c:v>
                </c:pt>
                <c:pt idx="1">
                  <c:v>0.98799999999999999</c:v>
                </c:pt>
                <c:pt idx="2">
                  <c:v>1.3540000000000001</c:v>
                </c:pt>
                <c:pt idx="3">
                  <c:v>0.91300000000000003</c:v>
                </c:pt>
                <c:pt idx="4">
                  <c:v>1.077</c:v>
                </c:pt>
                <c:pt idx="5">
                  <c:v>0.95899999999999985</c:v>
                </c:pt>
                <c:pt idx="6">
                  <c:v>0.83400000000000007</c:v>
                </c:pt>
              </c:numCache>
            </c:numRef>
          </c:val>
          <c:extLst>
            <c:ext xmlns:c16="http://schemas.microsoft.com/office/drawing/2014/chart" uri="{C3380CC4-5D6E-409C-BE32-E72D297353CC}">
              <c16:uniqueId val="{00000002-7C3D-46DF-A678-A4354F1304EC}"/>
            </c:ext>
          </c:extLst>
        </c:ser>
        <c:ser>
          <c:idx val="3"/>
          <c:order val="3"/>
          <c:tx>
            <c:strRef>
              <c:f>'F&amp;B'!$A$161</c:f>
              <c:strCache>
                <c:ptCount val="1"/>
                <c:pt idx="0">
                  <c:v>2019</c:v>
                </c:pt>
              </c:strCache>
            </c:strRef>
          </c:tx>
          <c:spPr>
            <a:solidFill>
              <a:schemeClr val="accent4"/>
            </a:solidFill>
            <a:ln>
              <a:noFill/>
            </a:ln>
            <a:effectLst/>
          </c:spPr>
          <c:invertIfNegative val="0"/>
          <c:cat>
            <c:strRef>
              <c:f>'F&amp;B'!$B$157:$H$157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'F&amp;B'!$B$161:$H$161</c:f>
              <c:numCache>
                <c:formatCode>0.0%</c:formatCode>
                <c:ptCount val="7"/>
                <c:pt idx="0">
                  <c:v>0.91300000000000003</c:v>
                </c:pt>
                <c:pt idx="1">
                  <c:v>0.85600000000000009</c:v>
                </c:pt>
                <c:pt idx="2">
                  <c:v>1.177</c:v>
                </c:pt>
                <c:pt idx="3">
                  <c:v>0.80899999999999994</c:v>
                </c:pt>
                <c:pt idx="4">
                  <c:v>0.871</c:v>
                </c:pt>
                <c:pt idx="5">
                  <c:v>0.77</c:v>
                </c:pt>
                <c:pt idx="6">
                  <c:v>0.68200000000000005</c:v>
                </c:pt>
              </c:numCache>
            </c:numRef>
          </c:val>
          <c:extLst>
            <c:ext xmlns:c16="http://schemas.microsoft.com/office/drawing/2014/chart" uri="{C3380CC4-5D6E-409C-BE32-E72D297353CC}">
              <c16:uniqueId val="{00000003-7C3D-46DF-A678-A4354F1304EC}"/>
            </c:ext>
          </c:extLst>
        </c:ser>
        <c:ser>
          <c:idx val="4"/>
          <c:order val="4"/>
          <c:tx>
            <c:strRef>
              <c:f>'F&amp;B'!$A$162</c:f>
              <c:strCache>
                <c:ptCount val="1"/>
                <c:pt idx="0">
                  <c:v>2018</c:v>
                </c:pt>
              </c:strCache>
            </c:strRef>
          </c:tx>
          <c:spPr>
            <a:solidFill>
              <a:schemeClr val="accent5"/>
            </a:solidFill>
            <a:ln>
              <a:noFill/>
            </a:ln>
            <a:effectLst/>
          </c:spPr>
          <c:invertIfNegative val="0"/>
          <c:cat>
            <c:strRef>
              <c:f>'F&amp;B'!$B$157:$H$157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'F&amp;B'!$B$162:$H$162</c:f>
              <c:numCache>
                <c:formatCode>0.0%</c:formatCode>
                <c:ptCount val="7"/>
                <c:pt idx="0">
                  <c:v>0.90599999999999992</c:v>
                </c:pt>
                <c:pt idx="1">
                  <c:v>0.8680000000000001</c:v>
                </c:pt>
                <c:pt idx="2">
                  <c:v>1.127</c:v>
                </c:pt>
                <c:pt idx="3">
                  <c:v>0.82299999999999995</c:v>
                </c:pt>
                <c:pt idx="4">
                  <c:v>0.86499999999999999</c:v>
                </c:pt>
                <c:pt idx="5">
                  <c:v>0.78</c:v>
                </c:pt>
                <c:pt idx="6">
                  <c:v>0.65600000000000003</c:v>
                </c:pt>
              </c:numCache>
            </c:numRef>
          </c:val>
          <c:extLst>
            <c:ext xmlns:c16="http://schemas.microsoft.com/office/drawing/2014/chart" uri="{C3380CC4-5D6E-409C-BE32-E72D297353CC}">
              <c16:uniqueId val="{00000004-7C3D-46DF-A678-A4354F1304EC}"/>
            </c:ext>
          </c:extLst>
        </c:ser>
        <c:dLbls>
          <c:showLegendKey val="0"/>
          <c:showVal val="0"/>
          <c:showCatName val="0"/>
          <c:showSerName val="0"/>
          <c:showPercent val="0"/>
          <c:showBubbleSize val="0"/>
        </c:dLbls>
        <c:gapWidth val="150"/>
        <c:axId val="522104368"/>
        <c:axId val="522104760"/>
      </c:barChart>
      <c:catAx>
        <c:axId val="522104368"/>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2104760"/>
        <c:crosses val="autoZero"/>
        <c:auto val="1"/>
        <c:lblAlgn val="ctr"/>
        <c:lblOffset val="100"/>
        <c:noMultiLvlLbl val="0"/>
      </c:catAx>
      <c:valAx>
        <c:axId val="522104760"/>
        <c:scaling>
          <c:orientation val="minMax"/>
          <c:max val="1.6"/>
          <c:min val="0.60000000000000009"/>
        </c:scaling>
        <c:delete val="0"/>
        <c:axPos val="l"/>
        <c:majorGridlines>
          <c:spPr>
            <a:ln w="9525" cap="flat" cmpd="sng" algn="ctr">
              <a:solidFill>
                <a:schemeClr val="tx1">
                  <a:tint val="75000"/>
                  <a:shade val="95000"/>
                  <a:satMod val="105000"/>
                </a:schemeClr>
              </a:solidFill>
              <a:prstDash val="solid"/>
              <a:round/>
            </a:ln>
            <a:effectLst/>
          </c:spPr>
        </c:majorGridlines>
        <c:numFmt formatCode="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22104368"/>
        <c:crosses val="autoZero"/>
        <c:crossBetween val="between"/>
        <c:majorUnit val="0.2"/>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r>
              <a:rPr lang="en-US" sz="1200" b="1" i="0" u="none" strike="noStrike" baseline="0">
                <a:solidFill>
                  <a:schemeClr val="accent1"/>
                </a:solidFill>
              </a:rPr>
              <a:t>Average food and beverage sales volume</a:t>
            </a:r>
            <a:r>
              <a:rPr lang="en-US" sz="1200" b="0" i="0" u="none" strike="noStrike" baseline="0">
                <a:solidFill>
                  <a:schemeClr val="accent1"/>
                </a:solidFill>
              </a:rPr>
              <a:t> </a:t>
            </a:r>
          </a:p>
          <a:p>
            <a:pPr>
              <a:defRPr/>
            </a:pPr>
            <a:r>
              <a:rPr lang="en-US" sz="1200" b="1" i="0" u="none" strike="noStrike" baseline="0">
                <a:solidFill>
                  <a:schemeClr val="accent1"/>
                </a:solidFill>
              </a:rPr>
              <a:t>(Thousands)</a:t>
            </a:r>
            <a:r>
              <a:rPr lang="en-US" sz="1200" b="0" i="0" u="none" strike="noStrike" baseline="0">
                <a:solidFill>
                  <a:schemeClr val="accent1"/>
                </a:solidFill>
              </a:rPr>
              <a:t> </a:t>
            </a:r>
            <a:endParaRPr lang="en-US" sz="1200">
              <a:solidFill>
                <a:schemeClr val="accent1"/>
              </a:solidFill>
            </a:endParaRPr>
          </a:p>
        </c:rich>
      </c:tx>
      <c:overlay val="0"/>
      <c:spPr>
        <a:noFill/>
        <a:ln>
          <a:noFill/>
        </a:ln>
        <a:effectLst/>
      </c:spPr>
      <c:txPr>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endParaRPr lang="en-US"/>
        </a:p>
      </c:txPr>
    </c:title>
    <c:autoTitleDeleted val="0"/>
    <c:plotArea>
      <c:layout>
        <c:manualLayout>
          <c:layoutTarget val="inner"/>
          <c:xMode val="edge"/>
          <c:yMode val="edge"/>
          <c:x val="8.3434594410302917E-2"/>
          <c:y val="0.11653025840270947"/>
          <c:w val="0.88906525996220531"/>
          <c:h val="0.77851722265930978"/>
        </c:manualLayout>
      </c:layout>
      <c:barChart>
        <c:barDir val="col"/>
        <c:grouping val="stacked"/>
        <c:varyColors val="0"/>
        <c:ser>
          <c:idx val="4"/>
          <c:order val="0"/>
          <c:tx>
            <c:strRef>
              <c:f>'F&amp;B'!$A$120</c:f>
              <c:strCache>
                <c:ptCount val="1"/>
                <c:pt idx="0">
                  <c:v>Food</c:v>
                </c:pt>
              </c:strCache>
            </c:strRef>
          </c:tx>
          <c:spPr>
            <a:solidFill>
              <a:schemeClr val="accent2"/>
            </a:solidFill>
            <a:ln>
              <a:noFill/>
            </a:ln>
            <a:effectLst/>
          </c:spPr>
          <c:invertIfNegative val="0"/>
          <c:dLbls>
            <c:dLbl>
              <c:idx val="0"/>
              <c:layout>
                <c:manualLayout>
                  <c:x val="-2.4378604731996251E-17"/>
                  <c:y val="9.630510478917334E-2"/>
                </c:manualLayout>
              </c:layout>
              <c:tx>
                <c:rich>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r>
                      <a:rPr lang="en-US"/>
                      <a:t>$2,187</a:t>
                    </a:r>
                  </a:p>
                </c:rich>
              </c:tx>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20B-4AA4-BB8B-D07D041299E6}"/>
                </c:ext>
              </c:extLst>
            </c:dLbl>
            <c:dLbl>
              <c:idx val="1"/>
              <c:layout>
                <c:manualLayout>
                  <c:x val="1.3297574375846413E-3"/>
                  <c:y val="9.3770759926300448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0B-4AA4-BB8B-D07D041299E6}"/>
                </c:ext>
              </c:extLst>
            </c:dLbl>
            <c:dLbl>
              <c:idx val="2"/>
              <c:layout>
                <c:manualLayout>
                  <c:x val="-1.3297574375846413E-3"/>
                  <c:y val="0.19767889930409294"/>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0B-4AA4-BB8B-D07D041299E6}"/>
                </c:ext>
              </c:extLst>
            </c:dLbl>
            <c:dLbl>
              <c:idx val="3"/>
              <c:layout>
                <c:manualLayout>
                  <c:x val="-9.7514418927985003E-17"/>
                  <c:y val="7.3496001023316576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0B-4AA4-BB8B-D07D041299E6}"/>
                </c:ext>
              </c:extLst>
            </c:dLbl>
            <c:dLbl>
              <c:idx val="4"/>
              <c:layout>
                <c:manualLayout>
                  <c:x val="-9.7560928493488411E-17"/>
                  <c:y val="2.7881421322713377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0B-4AA4-BB8B-D07D041299E6}"/>
                </c:ext>
              </c:extLst>
            </c:dLbl>
            <c:dLbl>
              <c:idx val="5"/>
              <c:layout>
                <c:manualLayout>
                  <c:x val="0"/>
                  <c:y val="9.1242647979974806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0B-4AA4-BB8B-D07D041299E6}"/>
                </c:ext>
              </c:extLst>
            </c:dLbl>
            <c:dLbl>
              <c:idx val="6"/>
              <c:layout>
                <c:manualLayout>
                  <c:x val="-2.0941062009206948E-6"/>
                  <c:y val="0.10136980342064708"/>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0B-4AA4-BB8B-D07D041299E6}"/>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'F&amp;B'!$B$119:$H$119</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'F&amp;B'!$B$120:$H$120</c:f>
              <c:numCache>
                <c:formatCode>\$#,##0;\-"£"#,##0</c:formatCode>
                <c:ptCount val="7"/>
                <c:pt idx="0">
                  <c:v>2187500</c:v>
                </c:pt>
                <c:pt idx="1">
                  <c:v>2283700</c:v>
                </c:pt>
                <c:pt idx="2">
                  <c:v>3692300</c:v>
                </c:pt>
                <c:pt idx="3">
                  <c:v>1855300</c:v>
                </c:pt>
                <c:pt idx="4">
                  <c:v>1271300</c:v>
                </c:pt>
                <c:pt idx="5">
                  <c:v>2066500</c:v>
                </c:pt>
                <c:pt idx="6">
                  <c:v>2210100</c:v>
                </c:pt>
              </c:numCache>
            </c:numRef>
          </c:val>
          <c:extLst>
            <c:ext xmlns:c16="http://schemas.microsoft.com/office/drawing/2014/chart" uri="{C3380CC4-5D6E-409C-BE32-E72D297353CC}">
              <c16:uniqueId val="{00000007-D41A-477E-82CA-D1202F7EE12B}"/>
            </c:ext>
          </c:extLst>
        </c:ser>
        <c:ser>
          <c:idx val="3"/>
          <c:order val="1"/>
          <c:tx>
            <c:strRef>
              <c:f>'F&amp;B'!$A$121</c:f>
              <c:strCache>
                <c:ptCount val="1"/>
                <c:pt idx="0">
                  <c:v>Beverage</c:v>
                </c:pt>
              </c:strCache>
            </c:strRef>
          </c:tx>
          <c:spPr>
            <a:solidFill>
              <a:schemeClr val="accent1"/>
            </a:solidFill>
            <a:ln>
              <a:noFill/>
            </a:ln>
            <a:effectLst/>
          </c:spPr>
          <c:invertIfNegative val="0"/>
          <c:dLbls>
            <c:dLbl>
              <c:idx val="0"/>
              <c:layout>
                <c:manualLayout>
                  <c:x val="0"/>
                  <c:y val="-1.9730703090787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41A-477E-82CA-D1202F7EE12B}"/>
                </c:ext>
              </c:extLst>
            </c:dLbl>
            <c:dLbl>
              <c:idx val="1"/>
              <c:layout>
                <c:manualLayout>
                  <c:x val="0"/>
                  <c:y val="-1.5353449710601577E-2"/>
                </c:manualLayout>
              </c:layout>
              <c:tx>
                <c:rich>
                  <a:bodyPr/>
                  <a:lstStyle/>
                  <a:p>
                    <a:r>
                      <a:rPr lang="en-US"/>
                      <a:t>$855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D41A-477E-82CA-D1202F7EE12B}"/>
                </c:ext>
              </c:extLst>
            </c:dLbl>
            <c:dLbl>
              <c:idx val="2"/>
              <c:layout>
                <c:manualLayout>
                  <c:x val="-1.2740033005713921E-3"/>
                  <c:y val="-1.6969764056912619E-2"/>
                </c:manualLayout>
              </c:layout>
              <c:tx>
                <c:rich>
                  <a:bodyPr/>
                  <a:lstStyle/>
                  <a:p>
                    <a:r>
                      <a:rPr lang="en-US"/>
                      <a:t>$744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D41A-477E-82CA-D1202F7EE12B}"/>
                </c:ext>
              </c:extLst>
            </c:dLbl>
            <c:dLbl>
              <c:idx val="3"/>
              <c:layout>
                <c:manualLayout>
                  <c:x val="0"/>
                  <c:y val="-1.9730703090787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41A-477E-82CA-D1202F7EE12B}"/>
                </c:ext>
              </c:extLst>
            </c:dLbl>
            <c:dLbl>
              <c:idx val="4"/>
              <c:layout>
                <c:manualLayout>
                  <c:x val="0"/>
                  <c:y val="-1.23316894317421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41A-477E-82CA-D1202F7EE12B}"/>
                </c:ext>
              </c:extLst>
            </c:dLbl>
            <c:dLbl>
              <c:idx val="5"/>
              <c:layout>
                <c:manualLayout>
                  <c:x val="0"/>
                  <c:y val="-2.2197040977135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41A-477E-82CA-D1202F7EE12B}"/>
                </c:ext>
              </c:extLst>
            </c:dLbl>
            <c:dLbl>
              <c:idx val="6"/>
              <c:layout>
                <c:manualLayout>
                  <c:x val="1.2740033005713921E-3"/>
                  <c:y val="-2.7129716749832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41A-477E-82CA-D1202F7EE12B}"/>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'F&amp;B'!$B$119:$H$119</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'F&amp;B'!$B$121:$H$121</c:f>
              <c:numCache>
                <c:formatCode>\$#,##0;\-"£"#,##0</c:formatCode>
                <c:ptCount val="7"/>
                <c:pt idx="0">
                  <c:v>886600</c:v>
                </c:pt>
                <c:pt idx="1">
                  <c:v>855500</c:v>
                </c:pt>
                <c:pt idx="2">
                  <c:v>743300</c:v>
                </c:pt>
                <c:pt idx="3">
                  <c:v>1061100</c:v>
                </c:pt>
                <c:pt idx="4">
                  <c:v>672500</c:v>
                </c:pt>
                <c:pt idx="5">
                  <c:v>999000</c:v>
                </c:pt>
                <c:pt idx="6">
                  <c:v>1159000</c:v>
                </c:pt>
              </c:numCache>
            </c:numRef>
          </c:val>
          <c:extLst>
            <c:ext xmlns:c16="http://schemas.microsoft.com/office/drawing/2014/chart" uri="{C3380CC4-5D6E-409C-BE32-E72D297353CC}">
              <c16:uniqueId val="{0000000F-D41A-477E-82CA-D1202F7EE12B}"/>
            </c:ext>
          </c:extLst>
        </c:ser>
        <c:dLbls>
          <c:showLegendKey val="0"/>
          <c:showVal val="0"/>
          <c:showCatName val="0"/>
          <c:showSerName val="0"/>
          <c:showPercent val="0"/>
          <c:showBubbleSize val="0"/>
        </c:dLbls>
        <c:gapWidth val="66"/>
        <c:overlap val="100"/>
        <c:axId val="795030432"/>
        <c:axId val="795029256"/>
      </c:barChart>
      <c:lineChart>
        <c:grouping val="standard"/>
        <c:varyColors val="0"/>
        <c:ser>
          <c:idx val="0"/>
          <c:order val="2"/>
          <c:tx>
            <c:strRef>
              <c:f>'F&amp;B'!$A$122</c:f>
              <c:strCache>
                <c:ptCount val="1"/>
                <c:pt idx="0">
                  <c:v>Food and Beverage Revenue</c:v>
                </c:pt>
              </c:strCache>
            </c:strRef>
          </c:tx>
          <c:spPr>
            <a:ln w="28575" cap="rnd" cmpd="sng" algn="ctr">
              <a:noFill/>
              <a:prstDash val="solid"/>
              <a:round/>
            </a:ln>
            <a:effectLst/>
          </c:spPr>
          <c:marker>
            <c:symbol val="none"/>
          </c:marker>
          <c:dLbls>
            <c:numFmt formatCode="[$$-409]#,##0" sourceLinked="0"/>
            <c:spPr>
              <a:noFill/>
              <a:ln>
                <a:noFill/>
              </a:ln>
              <a:effectLst/>
            </c:spPr>
            <c:txPr>
              <a:bodyPr rot="0" spcFirstLastPara="1" vertOverflow="ellipsis" vert="horz" wrap="square" anchor="ctr" anchorCtr="1"/>
              <a:lstStyle/>
              <a:p>
                <a:pPr>
                  <a:defRPr sz="1000" b="1" i="0" u="none" strike="noStrike" kern="1200" baseline="0">
                    <a:solidFill>
                      <a:srgbClr val="000000"/>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'F&amp;B'!$B$122:$H$122</c:f>
              <c:numCache>
                <c:formatCode>\$#,##0;\-"£"#,##0</c:formatCode>
                <c:ptCount val="7"/>
                <c:pt idx="0">
                  <c:v>3074100</c:v>
                </c:pt>
                <c:pt idx="1">
                  <c:v>3139200</c:v>
                </c:pt>
                <c:pt idx="2">
                  <c:v>4435600</c:v>
                </c:pt>
                <c:pt idx="3">
                  <c:v>2916400</c:v>
                </c:pt>
                <c:pt idx="4">
                  <c:v>1943800</c:v>
                </c:pt>
                <c:pt idx="5">
                  <c:v>3065500</c:v>
                </c:pt>
                <c:pt idx="6">
                  <c:v>3369100</c:v>
                </c:pt>
              </c:numCache>
            </c:numRef>
          </c:val>
          <c:smooth val="0"/>
          <c:extLst>
            <c:ext xmlns:c16="http://schemas.microsoft.com/office/drawing/2014/chart" uri="{C3380CC4-5D6E-409C-BE32-E72D297353CC}">
              <c16:uniqueId val="{00000010-D41A-477E-82CA-D1202F7EE12B}"/>
            </c:ext>
          </c:extLst>
        </c:ser>
        <c:dLbls>
          <c:showLegendKey val="0"/>
          <c:showVal val="0"/>
          <c:showCatName val="0"/>
          <c:showSerName val="0"/>
          <c:showPercent val="0"/>
          <c:showBubbleSize val="0"/>
        </c:dLbls>
        <c:marker val="1"/>
        <c:smooth val="0"/>
        <c:axId val="795030432"/>
        <c:axId val="795029256"/>
      </c:lineChart>
      <c:lineChart>
        <c:grouping val="standard"/>
        <c:varyColors val="0"/>
        <c:ser>
          <c:idx val="1"/>
          <c:order val="3"/>
          <c:tx>
            <c:strRef>
              <c:f>'F&amp;B'!$A$123</c:f>
              <c:strCache>
                <c:ptCount val="1"/>
                <c:pt idx="0">
                  <c:v>Food Revenue %</c:v>
                </c:pt>
              </c:strCache>
            </c:strRef>
          </c:tx>
          <c:spPr>
            <a:ln w="28575" cap="rnd" cmpd="sng" algn="ctr">
              <a:no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'F&amp;B'!$B$123:$H$123</c:f>
              <c:numCache>
                <c:formatCode>0.0%</c:formatCode>
                <c:ptCount val="7"/>
                <c:pt idx="0">
                  <c:v>0.71199999999999997</c:v>
                </c:pt>
                <c:pt idx="1">
                  <c:v>0.72699999999999998</c:v>
                </c:pt>
                <c:pt idx="2">
                  <c:v>0.83199999999999996</c:v>
                </c:pt>
                <c:pt idx="3">
                  <c:v>0.63600000000000001</c:v>
                </c:pt>
                <c:pt idx="4">
                  <c:v>0.65400000000000003</c:v>
                </c:pt>
                <c:pt idx="5">
                  <c:v>0.67400000000000004</c:v>
                </c:pt>
                <c:pt idx="6">
                  <c:v>0.65600000000000003</c:v>
                </c:pt>
              </c:numCache>
            </c:numRef>
          </c:val>
          <c:smooth val="0"/>
          <c:extLst>
            <c:ext xmlns:c16="http://schemas.microsoft.com/office/drawing/2014/chart" uri="{C3380CC4-5D6E-409C-BE32-E72D297353CC}">
              <c16:uniqueId val="{00000018-D41A-477E-82CA-D1202F7EE12B}"/>
            </c:ext>
          </c:extLst>
        </c:ser>
        <c:ser>
          <c:idx val="2"/>
          <c:order val="4"/>
          <c:tx>
            <c:strRef>
              <c:f>'F&amp;B'!$A$124</c:f>
              <c:strCache>
                <c:ptCount val="1"/>
                <c:pt idx="0">
                  <c:v>Beverage Revenue %</c:v>
                </c:pt>
              </c:strCache>
            </c:strRef>
          </c:tx>
          <c:spPr>
            <a:ln w="28575" cap="rnd" cmpd="sng" algn="ctr">
              <a:noFill/>
              <a:prstDash val="solid"/>
              <a:round/>
            </a:ln>
            <a:effectLst/>
          </c:spPr>
          <c:marker>
            <c:symbol val="none"/>
          </c:marker>
          <c:dLbls>
            <c:dLbl>
              <c:idx val="0"/>
              <c:layout>
                <c:manualLayout>
                  <c:x val="-2.9374066832132822E-2"/>
                  <c:y val="-0.376144744727012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D41A-477E-82CA-D1202F7EE12B}"/>
                </c:ext>
              </c:extLst>
            </c:dLbl>
            <c:dLbl>
              <c:idx val="1"/>
              <c:layout>
                <c:manualLayout>
                  <c:x val="-2.6512715558804831E-2"/>
                  <c:y val="-0.4104936695427085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D41A-477E-82CA-D1202F7EE12B}"/>
                </c:ext>
              </c:extLst>
            </c:dLbl>
            <c:dLbl>
              <c:idx val="2"/>
              <c:layout>
                <c:manualLayout>
                  <c:x val="-2.5705471607608672E-2"/>
                  <c:y val="-0.605183657868845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D41A-477E-82CA-D1202F7EE12B}"/>
                </c:ext>
              </c:extLst>
            </c:dLbl>
            <c:dLbl>
              <c:idx val="3"/>
              <c:layout>
                <c:manualLayout>
                  <c:x val="-3.1410966261372096E-2"/>
                  <c:y val="-0.3363043965698153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D41A-477E-82CA-D1202F7EE12B}"/>
                </c:ext>
              </c:extLst>
            </c:dLbl>
            <c:dLbl>
              <c:idx val="4"/>
              <c:layout>
                <c:manualLayout>
                  <c:x val="-2.7910255339872743E-2"/>
                  <c:y val="-0.23438910109660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41A-477E-82CA-D1202F7EE12B}"/>
                </c:ext>
              </c:extLst>
            </c:dLbl>
            <c:dLbl>
              <c:idx val="5"/>
              <c:layout>
                <c:manualLayout>
                  <c:x val="-2.7324883006718786E-2"/>
                  <c:y val="-0.389217595854541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41A-477E-82CA-D1202F7EE12B}"/>
                </c:ext>
              </c:extLst>
            </c:dLbl>
            <c:dLbl>
              <c:idx val="6"/>
              <c:layout>
                <c:manualLayout>
                  <c:x val="-2.8655693693974929E-2"/>
                  <c:y val="-0.4192891630965499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D41A-477E-82CA-D1202F7EE12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'F&amp;B'!$B$124:$H$124</c:f>
              <c:numCache>
                <c:formatCode>0.0%</c:formatCode>
                <c:ptCount val="7"/>
                <c:pt idx="0">
                  <c:v>0.28799999999999998</c:v>
                </c:pt>
                <c:pt idx="1">
                  <c:v>0.27300000000000002</c:v>
                </c:pt>
                <c:pt idx="2">
                  <c:v>0.16800000000000001</c:v>
                </c:pt>
                <c:pt idx="3">
                  <c:v>0.36399999999999999</c:v>
                </c:pt>
                <c:pt idx="4">
                  <c:v>0.34599999999999997</c:v>
                </c:pt>
                <c:pt idx="5">
                  <c:v>0.32600000000000001</c:v>
                </c:pt>
                <c:pt idx="6">
                  <c:v>0.34399999999999997</c:v>
                </c:pt>
              </c:numCache>
            </c:numRef>
          </c:val>
          <c:smooth val="0"/>
          <c:extLst>
            <c:ext xmlns:c16="http://schemas.microsoft.com/office/drawing/2014/chart" uri="{C3380CC4-5D6E-409C-BE32-E72D297353CC}">
              <c16:uniqueId val="{00000020-D41A-477E-82CA-D1202F7EE12B}"/>
            </c:ext>
          </c:extLst>
        </c:ser>
        <c:dLbls>
          <c:showLegendKey val="0"/>
          <c:showVal val="0"/>
          <c:showCatName val="0"/>
          <c:showSerName val="0"/>
          <c:showPercent val="0"/>
          <c:showBubbleSize val="0"/>
        </c:dLbls>
        <c:marker val="1"/>
        <c:smooth val="0"/>
        <c:axId val="795028864"/>
        <c:axId val="795030824"/>
      </c:lineChart>
      <c:catAx>
        <c:axId val="795030432"/>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t" anchorCtr="0"/>
          <a:lstStyle/>
          <a:p>
            <a:pPr>
              <a:defRPr sz="1000" b="0" i="0" u="none" strike="noStrike" kern="1200" baseline="0">
                <a:solidFill>
                  <a:srgbClr val="000000"/>
                </a:solidFill>
                <a:latin typeface="Calibri"/>
                <a:ea typeface="Calibri"/>
                <a:cs typeface="Calibri"/>
              </a:defRPr>
            </a:pPr>
            <a:endParaRPr lang="en-US"/>
          </a:p>
        </c:txPr>
        <c:crossAx val="795029256"/>
        <c:crossesAt val="0"/>
        <c:auto val="1"/>
        <c:lblAlgn val="ctr"/>
        <c:lblOffset val="100"/>
        <c:noMultiLvlLbl val="0"/>
      </c:catAx>
      <c:valAx>
        <c:axId val="795029256"/>
        <c:scaling>
          <c:orientation val="minMax"/>
          <c:min val="0"/>
        </c:scaling>
        <c:delete val="0"/>
        <c:axPos val="l"/>
        <c:majorGridlines>
          <c:spPr>
            <a:ln w="9525" cap="flat" cmpd="sng" algn="ctr">
              <a:solidFill>
                <a:schemeClr val="bg1"/>
              </a:solidFill>
              <a:prstDash val="solid"/>
              <a:round/>
            </a:ln>
            <a:effectLst/>
          </c:spPr>
        </c:majorGridlines>
        <c:numFmt formatCode="\$#,##0;\-&quot;£&quot;#,##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795030432"/>
        <c:crosses val="autoZero"/>
        <c:crossBetween val="between"/>
        <c:minorUnit val="500000"/>
        <c:dispUnits>
          <c:builtInUnit val="thousands"/>
        </c:dispUnits>
      </c:valAx>
      <c:valAx>
        <c:axId val="795030824"/>
        <c:scaling>
          <c:orientation val="minMax"/>
        </c:scaling>
        <c:delete val="1"/>
        <c:axPos val="r"/>
        <c:numFmt formatCode="0.0%" sourceLinked="1"/>
        <c:majorTickMark val="out"/>
        <c:minorTickMark val="none"/>
        <c:tickLblPos val="none"/>
        <c:crossAx val="795028864"/>
        <c:crosses val="max"/>
        <c:crossBetween val="between"/>
      </c:valAx>
      <c:catAx>
        <c:axId val="795028864"/>
        <c:scaling>
          <c:orientation val="minMax"/>
        </c:scaling>
        <c:delete val="1"/>
        <c:axPos val="b"/>
        <c:majorTickMark val="out"/>
        <c:minorTickMark val="none"/>
        <c:tickLblPos val="none"/>
        <c:crossAx val="795030824"/>
        <c:crosses val="autoZero"/>
        <c:auto val="1"/>
        <c:lblAlgn val="ctr"/>
        <c:lblOffset val="100"/>
        <c:noMultiLvlLbl val="0"/>
      </c:catAx>
      <c:spPr>
        <a:solidFill>
          <a:schemeClr val="bg1"/>
        </a:solidFill>
        <a:ln>
          <a:noFill/>
        </a:ln>
        <a:effectLst/>
      </c:spPr>
    </c:plotArea>
    <c:legend>
      <c:legendPos val="t"/>
      <c:legendEntry>
        <c:idx val="2"/>
        <c:delete val="1"/>
      </c:legendEntry>
      <c:legendEntry>
        <c:idx val="3"/>
        <c:delete val="1"/>
      </c:legendEntry>
      <c:legendEntry>
        <c:idx val="4"/>
        <c:delete val="1"/>
      </c:legendEntry>
      <c:layout>
        <c:manualLayout>
          <c:xMode val="edge"/>
          <c:yMode val="edge"/>
          <c:x val="0.1217424415048631"/>
          <c:y val="8.0977947617434584E-2"/>
          <c:w val="0.13315243373736568"/>
          <c:h val="4.8244806897247146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r>
              <a:rPr lang="en-US" sz="1200" b="1" i="0" u="none" strike="noStrike" baseline="0">
                <a:solidFill>
                  <a:schemeClr val="accent1"/>
                </a:solidFill>
              </a:rPr>
              <a:t>Yacht &amp; Beach </a:t>
            </a:r>
          </a:p>
          <a:p>
            <a:pPr>
              <a:defRPr/>
            </a:pPr>
            <a:r>
              <a:rPr lang="en-US" sz="1200" b="1" i="0" u="none" strike="noStrike" baseline="0">
                <a:solidFill>
                  <a:schemeClr val="accent1"/>
                </a:solidFill>
              </a:rPr>
              <a:t> Food &amp; beverage sales volume </a:t>
            </a:r>
          </a:p>
          <a:p>
            <a:pPr>
              <a:defRPr/>
            </a:pPr>
            <a:r>
              <a:rPr lang="en-US" sz="1100" b="1" i="0" u="none" strike="noStrike" baseline="0">
                <a:solidFill>
                  <a:schemeClr val="accent1"/>
                </a:solidFill>
              </a:rPr>
              <a:t>(Thousands) </a:t>
            </a:r>
            <a:endParaRPr lang="en-US" sz="1100" b="1">
              <a:solidFill>
                <a:schemeClr val="accent1"/>
              </a:solidFill>
            </a:endParaRPr>
          </a:p>
        </c:rich>
      </c:tx>
      <c:overlay val="0"/>
      <c:spPr>
        <a:noFill/>
        <a:ln>
          <a:noFill/>
        </a:ln>
        <a:effectLst/>
      </c:spPr>
      <c:txPr>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endParaRPr lang="en-US"/>
        </a:p>
      </c:txPr>
    </c:title>
    <c:autoTitleDeleted val="0"/>
    <c:plotArea>
      <c:layout>
        <c:manualLayout>
          <c:layoutTarget val="inner"/>
          <c:xMode val="edge"/>
          <c:yMode val="edge"/>
          <c:x val="6.7374393530135593E-2"/>
          <c:y val="0.22755888356633519"/>
          <c:w val="0.8908401097993095"/>
          <c:h val="0.65480601802396265"/>
        </c:manualLayout>
      </c:layout>
      <c:barChart>
        <c:barDir val="col"/>
        <c:grouping val="stacked"/>
        <c:varyColors val="0"/>
        <c:ser>
          <c:idx val="4"/>
          <c:order val="0"/>
          <c:tx>
            <c:strRef>
              <c:f>'F&amp;B'!$A$324</c:f>
              <c:strCache>
                <c:ptCount val="1"/>
                <c:pt idx="0">
                  <c:v>Food</c:v>
                </c:pt>
              </c:strCache>
            </c:strRef>
          </c:tx>
          <c:spPr>
            <a:solidFill>
              <a:schemeClr val="accent2"/>
            </a:solidFill>
            <a:ln>
              <a:noFill/>
            </a:ln>
            <a:effectLst/>
          </c:spPr>
          <c:invertIfNegative val="0"/>
          <c:dLbls>
            <c:dLbl>
              <c:idx val="0"/>
              <c:layout>
                <c:manualLayout>
                  <c:x val="-4.0950919715575587E-3"/>
                  <c:y val="3.781436981439666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A4-4DBA-A1DA-E8E7D58E206B}"/>
                </c:ext>
              </c:extLst>
            </c:dLbl>
            <c:dLbl>
              <c:idx val="1"/>
              <c:layout>
                <c:manualLayout>
                  <c:x val="1.81096858660392E-5"/>
                  <c:y val="1.859175501652498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A4-4DBA-A1DA-E8E7D58E206B}"/>
                </c:ext>
              </c:extLst>
            </c:dLbl>
            <c:dLbl>
              <c:idx val="2"/>
              <c:layout>
                <c:manualLayout>
                  <c:x val="-1.3883743563080622E-3"/>
                  <c:y val="-9.671251280480625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A4-4DBA-A1DA-E8E7D58E206B}"/>
                </c:ext>
              </c:extLst>
            </c:dLbl>
            <c:dLbl>
              <c:idx val="3"/>
              <c:layout>
                <c:manualLayout>
                  <c:x val="-3.98842278139861E-3"/>
                  <c:y val="9.598647495199914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A4-4DBA-A1DA-E8E7D58E206B}"/>
                </c:ext>
              </c:extLst>
            </c:dLbl>
            <c:dLbl>
              <c:idx val="4"/>
              <c:layout>
                <c:manualLayout>
                  <c:x val="2.6588787340888946E-3"/>
                  <c:y val="5.423929841559016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13-4D6E-8790-F4DA88A64352}"/>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'F&amp;B'!$Q$323:$X$323</c15:sqref>
                  </c15:fullRef>
                </c:ext>
              </c:extLst>
              <c:f>'F&amp;B'!$T$323:$X$323</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'F&amp;B'!$Q$324:$X$324</c15:sqref>
                  </c15:fullRef>
                </c:ext>
              </c:extLst>
              <c:f>'F&amp;B'!$T$324:$X$324</c:f>
              <c:numCache>
                <c:formatCode>\$#,##0;\-"£"#,##0</c:formatCode>
                <c:ptCount val="5"/>
                <c:pt idx="0">
                  <c:v>1607400</c:v>
                </c:pt>
                <c:pt idx="1">
                  <c:v>1585900</c:v>
                </c:pt>
                <c:pt idx="2">
                  <c:v>1295100</c:v>
                </c:pt>
                <c:pt idx="3">
                  <c:v>1557400</c:v>
                </c:pt>
                <c:pt idx="4">
                  <c:v>2210100</c:v>
                </c:pt>
              </c:numCache>
            </c:numRef>
          </c:val>
          <c:extLst>
            <c:ext xmlns:c15="http://schemas.microsoft.com/office/drawing/2012/chart" uri="{02D57815-91ED-43cb-92C2-25804820EDAC}">
              <c15:categoryFilterExceptions>
                <c15:categoryFilterException>
                  <c15:sqref>'F&amp;B'!$Q$324</c15:sqref>
                  <c15:dLbl>
                    <c:idx val="-1"/>
                    <c:layout>
                      <c:manualLayout>
                        <c:x val="0"/>
                        <c:y val="3.0184293531559374E-2"/>
                      </c:manualLayout>
                    </c:layout>
                    <c:dLblPos val="ct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0-5FD4-49D7-8EC9-C8C2CEFC4992}"/>
                      </c:ext>
                    </c:extLst>
                  </c15:dLbl>
                </c15:categoryFilterException>
                <c15:categoryFilterException>
                  <c15:sqref>'F&amp;B'!$R$324</c15:sqref>
                  <c15:dLbl>
                    <c:idx val="-1"/>
                    <c:layout>
                      <c:manualLayout>
                        <c:x val="-2.7177948514504934E-3"/>
                        <c:y val="6.0975892492707448E-2"/>
                      </c:manualLayout>
                    </c:layout>
                    <c:dLblPos val="ct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1-5FD4-49D7-8EC9-C8C2CEFC4992}"/>
                      </c:ext>
                    </c:extLst>
                  </c15:dLbl>
                </c15:categoryFilterException>
                <c15:categoryFilterException>
                  <c15:sqref>'F&amp;B'!$S$324</c15:sqref>
                  <c15:dLbl>
                    <c:idx val="-1"/>
                    <c:layout>
                      <c:manualLayout>
                        <c:x val="-2.7254818632674381E-3"/>
                        <c:y val="6.9015999067742986E-2"/>
                      </c:manualLayout>
                    </c:layout>
                    <c:dLblPos val="ct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2-5FD4-49D7-8EC9-C8C2CEFC4992}"/>
                      </c:ext>
                    </c:extLst>
                  </c15:dLbl>
                </c15:categoryFilterException>
              </c15:categoryFilterExceptions>
            </c:ext>
            <c:ext xmlns:c16="http://schemas.microsoft.com/office/drawing/2014/chart" uri="{C3380CC4-5D6E-409C-BE32-E72D297353CC}">
              <c16:uniqueId val="{00000007-F1A4-4DBA-A1DA-E8E7D58E206B}"/>
            </c:ext>
          </c:extLst>
        </c:ser>
        <c:ser>
          <c:idx val="0"/>
          <c:order val="1"/>
          <c:tx>
            <c:strRef>
              <c:f>'F&amp;B'!$A$325</c:f>
              <c:strCache>
                <c:ptCount val="1"/>
                <c:pt idx="0">
                  <c:v>Beverage</c:v>
                </c:pt>
              </c:strCache>
            </c:strRef>
          </c:tx>
          <c:spPr>
            <a:solidFill>
              <a:schemeClr val="accent1"/>
            </a:solidFill>
            <a:ln>
              <a:noFill/>
            </a:ln>
            <a:effectLst/>
          </c:spPr>
          <c:invertIfNegative val="0"/>
          <c:dLbls>
            <c:dLbl>
              <c:idx val="0"/>
              <c:layout>
                <c:manualLayout>
                  <c:x val="-1.260789147219569E-3"/>
                  <c:y val="-1.6959354293790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A4-4DBA-A1DA-E8E7D58E206B}"/>
                </c:ext>
              </c:extLst>
            </c:dLbl>
            <c:dLbl>
              <c:idx val="1"/>
              <c:layout>
                <c:manualLayout>
                  <c:x val="-8.5258380139617771E-5"/>
                  <c:y val="-3.4449275884012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1A4-4DBA-A1DA-E8E7D58E206B}"/>
                </c:ext>
              </c:extLst>
            </c:dLbl>
            <c:dLbl>
              <c:idx val="2"/>
              <c:layout>
                <c:manualLayout>
                  <c:x val="-1.3589315160735332E-3"/>
                  <c:y val="-3.3856243284912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1A4-4DBA-A1DA-E8E7D58E206B}"/>
                </c:ext>
              </c:extLst>
            </c:dLbl>
            <c:dLbl>
              <c:idx val="3"/>
              <c:layout>
                <c:manualLayout>
                  <c:x val="-1.97753960714415E-16"/>
                  <c:y val="-1.88651834572246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1A4-4DBA-A1DA-E8E7D58E206B}"/>
                </c:ext>
              </c:extLst>
            </c:dLbl>
            <c:dLbl>
              <c:idx val="4"/>
              <c:layout>
                <c:manualLayout>
                  <c:x val="0"/>
                  <c:y val="-3.4868120410022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13-4D6E-8790-F4DA88A6435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'F&amp;B'!$Q$323:$X$323</c15:sqref>
                  </c15:fullRef>
                </c:ext>
              </c:extLst>
              <c:f>'F&amp;B'!$T$323:$X$323</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'F&amp;B'!$Q$325:$X$325</c15:sqref>
                  </c15:fullRef>
                </c:ext>
              </c:extLst>
              <c:f>'F&amp;B'!$T$325:$X$325</c:f>
              <c:numCache>
                <c:formatCode>\$#,##0;\-"£"#,##0</c:formatCode>
                <c:ptCount val="5"/>
                <c:pt idx="0">
                  <c:v>732700</c:v>
                </c:pt>
                <c:pt idx="1">
                  <c:v>733600</c:v>
                </c:pt>
                <c:pt idx="2">
                  <c:v>592200</c:v>
                </c:pt>
                <c:pt idx="3">
                  <c:v>790800</c:v>
                </c:pt>
                <c:pt idx="4">
                  <c:v>1159000</c:v>
                </c:pt>
              </c:numCache>
            </c:numRef>
          </c:val>
          <c:extLst>
            <c:ext xmlns:c15="http://schemas.microsoft.com/office/drawing/2012/chart" uri="{02D57815-91ED-43cb-92C2-25804820EDAC}">
              <c15:categoryFilterExceptions>
                <c15:categoryFilterException>
                  <c15:sqref>'F&amp;B'!$Q$325</c15:sqref>
                  <c15:dLbl>
                    <c:idx val="-1"/>
                    <c:layout>
                      <c:manualLayout>
                        <c:x val="-1.3589087812685445E-3"/>
                        <c:y val="-2.6801632447402531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3-5FD4-49D7-8EC9-C8C2CEFC4992}"/>
                      </c:ext>
                    </c:extLst>
                  </c15:dLbl>
                </c15:categoryFilterException>
                <c15:categoryFilterException>
                  <c15:sqref>'F&amp;B'!$R$325</c15:sqref>
                  <c15:dLbl>
                    <c:idx val="-1"/>
                    <c:layout>
                      <c:manualLayout>
                        <c:x val="5.4041921428722352E-3"/>
                        <c:y val="-3.4250073061372233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4-5FD4-49D7-8EC9-C8C2CEFC4992}"/>
                      </c:ext>
                    </c:extLst>
                  </c15:dLbl>
                </c15:categoryFilterException>
                <c15:categoryFilterException>
                  <c15:sqref>'F&amp;B'!$S$325</c15:sqref>
                  <c15:dLbl>
                    <c:idx val="-1"/>
                    <c:layout>
                      <c:manualLayout>
                        <c:x val="2.6857173551055486E-4"/>
                        <c:y val="-2.9771933301029872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5-5FD4-49D7-8EC9-C8C2CEFC4992}"/>
                      </c:ext>
                    </c:extLst>
                  </c15:dLbl>
                </c15:categoryFilterException>
              </c15:categoryFilterExceptions>
            </c:ext>
            <c:ext xmlns:c16="http://schemas.microsoft.com/office/drawing/2014/chart" uri="{C3380CC4-5D6E-409C-BE32-E72D297353CC}">
              <c16:uniqueId val="{0000000F-F1A4-4DBA-A1DA-E8E7D58E206B}"/>
            </c:ext>
          </c:extLst>
        </c:ser>
        <c:dLbls>
          <c:showLegendKey val="0"/>
          <c:showVal val="0"/>
          <c:showCatName val="0"/>
          <c:showSerName val="0"/>
          <c:showPercent val="0"/>
          <c:showBubbleSize val="0"/>
        </c:dLbls>
        <c:gapWidth val="80"/>
        <c:overlap val="100"/>
        <c:axId val="795029648"/>
        <c:axId val="795031608"/>
      </c:barChart>
      <c:lineChart>
        <c:grouping val="standard"/>
        <c:varyColors val="0"/>
        <c:ser>
          <c:idx val="1"/>
          <c:order val="2"/>
          <c:tx>
            <c:strRef>
              <c:f>'F&amp;B'!$A$326</c:f>
              <c:strCache>
                <c:ptCount val="1"/>
                <c:pt idx="0">
                  <c:v>Food and Beverage Revenue</c:v>
                </c:pt>
              </c:strCache>
            </c:strRef>
          </c:tx>
          <c:spPr>
            <a:ln w="28575" cap="rnd" cmpd="sng" algn="ctr">
              <a:noFill/>
              <a:prstDash val="solid"/>
              <a:round/>
            </a:ln>
            <a:effectLst/>
          </c:spPr>
          <c:marker>
            <c:symbol val="none"/>
          </c:marker>
          <c:dLbls>
            <c:dLbl>
              <c:idx val="0"/>
              <c:layout>
                <c:manualLayout>
                  <c:x val="-3.3007754721714286E-2"/>
                  <c:y val="-3.52653058236167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1A4-4DBA-A1DA-E8E7D58E206B}"/>
                </c:ext>
              </c:extLst>
            </c:dLbl>
            <c:dLbl>
              <c:idx val="1"/>
              <c:layout>
                <c:manualLayout>
                  <c:x val="-3.300775472171439E-2"/>
                  <c:y val="-3.9139541424730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1A4-4DBA-A1DA-E8E7D58E206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'F&amp;B'!$Q$323:$X$323</c15:sqref>
                  </c15:fullRef>
                </c:ext>
              </c:extLst>
              <c:f>'F&amp;B'!$T$323:$X$323</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'F&amp;B'!$Q$326:$X$326</c15:sqref>
                  </c15:fullRef>
                </c:ext>
              </c:extLst>
              <c:f>'F&amp;B'!$T$326:$X$326</c:f>
              <c:numCache>
                <c:formatCode>\$#,##0;\-"£"#,##0</c:formatCode>
                <c:ptCount val="5"/>
                <c:pt idx="0">
                  <c:v>2340100</c:v>
                </c:pt>
                <c:pt idx="1">
                  <c:v>2319500</c:v>
                </c:pt>
                <c:pt idx="2">
                  <c:v>1887300</c:v>
                </c:pt>
                <c:pt idx="3">
                  <c:v>2348400</c:v>
                </c:pt>
                <c:pt idx="4">
                  <c:v>3369100</c:v>
                </c:pt>
              </c:numCache>
            </c:numRef>
          </c:val>
          <c:smooth val="0"/>
          <c:extLst>
            <c:ext xmlns:c15="http://schemas.microsoft.com/office/drawing/2012/chart" uri="{02D57815-91ED-43cb-92C2-25804820EDAC}">
              <c15:categoryFilterExceptions>
                <c15:categoryFilterException>
                  <c15:sqref>'F&amp;B'!$Q$326</c15:sqref>
                  <c15:dLbl>
                    <c:idx val="-1"/>
                    <c:layout>
                      <c:manualLayout>
                        <c:x val="-3.0288264855186629E-2"/>
                        <c:y val="-4.6888012626957472E-2"/>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6-5FD4-49D7-8EC9-C8C2CEFC4992}"/>
                      </c:ext>
                    </c:extLst>
                  </c15:dLbl>
                </c15:categoryFilterException>
                <c15:categoryFilterException>
                  <c15:sqref>'F&amp;B'!$R$326</c15:sqref>
                  <c15:dLbl>
                    <c:idx val="-1"/>
                    <c:layout>
                      <c:manualLayout>
                        <c:x val="-3.1648116854980632E-2"/>
                        <c:y val="-4.3013777025843913E-2"/>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7-5FD4-49D7-8EC9-C8C2CEFC4992}"/>
                      </c:ext>
                    </c:extLst>
                  </c15:dLbl>
                </c15:categoryFilterException>
                <c15:categoryFilterException>
                  <c15:sqref>'F&amp;B'!$S$326</c15:sqref>
                  <c15:dLbl>
                    <c:idx val="-1"/>
                    <c:layout>
                      <c:manualLayout>
                        <c:x val="-3.1648009788450455E-2"/>
                        <c:y val="-3.913954142473032E-2"/>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8-5FD4-49D7-8EC9-C8C2CEFC4992}"/>
                      </c:ext>
                    </c:extLst>
                  </c15:dLbl>
                </c15:categoryFilterException>
              </c15:categoryFilterExceptions>
            </c:ext>
            <c:ext xmlns:c16="http://schemas.microsoft.com/office/drawing/2014/chart" uri="{C3380CC4-5D6E-409C-BE32-E72D297353CC}">
              <c16:uniqueId val="{00000015-F1A4-4DBA-A1DA-E8E7D58E206B}"/>
            </c:ext>
          </c:extLst>
        </c:ser>
        <c:dLbls>
          <c:showLegendKey val="0"/>
          <c:showVal val="0"/>
          <c:showCatName val="0"/>
          <c:showSerName val="0"/>
          <c:showPercent val="0"/>
          <c:showBubbleSize val="0"/>
        </c:dLbls>
        <c:marker val="1"/>
        <c:smooth val="0"/>
        <c:axId val="795029648"/>
        <c:axId val="795031608"/>
      </c:lineChart>
      <c:lineChart>
        <c:grouping val="standard"/>
        <c:varyColors val="0"/>
        <c:ser>
          <c:idx val="2"/>
          <c:order val="3"/>
          <c:tx>
            <c:strRef>
              <c:f>'F&amp;B'!$A$327</c:f>
              <c:strCache>
                <c:ptCount val="1"/>
                <c:pt idx="0">
                  <c:v>Food Revenue %</c:v>
                </c:pt>
              </c:strCache>
            </c:strRef>
          </c:tx>
          <c:spPr>
            <a:ln w="28575" cap="rnd" cmpd="sng" algn="ctr">
              <a:noFill/>
              <a:prstDash val="solid"/>
              <a:round/>
            </a:ln>
            <a:effectLst/>
          </c:spPr>
          <c:marker>
            <c:symbol val="none"/>
          </c:marker>
          <c:dLbls>
            <c:dLbl>
              <c:idx val="0"/>
              <c:layout>
                <c:manualLayout>
                  <c:x val="-3.0690160128354755E-2"/>
                  <c:y val="-5.07622482280710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13-4D6E-8790-F4DA88A64352}"/>
                </c:ext>
              </c:extLst>
            </c:dLbl>
            <c:dLbl>
              <c:idx val="1"/>
              <c:layout>
                <c:manualLayout>
                  <c:x val="-2.8031281394265761E-2"/>
                  <c:y val="-5.07622482280710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13-4D6E-8790-F4DA88A64352}"/>
                </c:ext>
              </c:extLst>
            </c:dLbl>
            <c:dLbl>
              <c:idx val="2"/>
              <c:layout>
                <c:manualLayout>
                  <c:x val="-2.9360720761310258E-2"/>
                  <c:y val="-5.8510719430298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13-4D6E-8790-F4DA88A64352}"/>
                </c:ext>
              </c:extLst>
            </c:dLbl>
            <c:dLbl>
              <c:idx val="3"/>
              <c:layout>
                <c:manualLayout>
                  <c:x val="-2.9360720761310258E-2"/>
                  <c:y val="-5.8510719430298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13-4D6E-8790-F4DA88A64352}"/>
                </c:ext>
              </c:extLst>
            </c:dLbl>
            <c:dLbl>
              <c:idx val="4"/>
              <c:layout>
                <c:manualLayout>
                  <c:x val="-2.8031281394265858E-2"/>
                  <c:y val="-5.4636483829184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13-4D6E-8790-F4DA88A64352}"/>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'F&amp;B'!$Q$323:$X$323</c15:sqref>
                  </c15:fullRef>
                </c:ext>
              </c:extLst>
              <c:f>'F&amp;B'!$T$323:$X$323</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'F&amp;B'!$Q$327:$X$327</c15:sqref>
                  </c15:fullRef>
                </c:ext>
              </c:extLst>
              <c:f>'F&amp;B'!$T$327:$X$327</c:f>
              <c:numCache>
                <c:formatCode>0.0%</c:formatCode>
                <c:ptCount val="5"/>
                <c:pt idx="0">
                  <c:v>0.68700000000000006</c:v>
                </c:pt>
                <c:pt idx="1">
                  <c:v>0.68400000000000005</c:v>
                </c:pt>
                <c:pt idx="2">
                  <c:v>0.68600000000000005</c:v>
                </c:pt>
                <c:pt idx="3">
                  <c:v>0.66300000000000003</c:v>
                </c:pt>
                <c:pt idx="4">
                  <c:v>0.65600000000000003</c:v>
                </c:pt>
              </c:numCache>
            </c:numRef>
          </c:val>
          <c:smooth val="0"/>
          <c:extLst>
            <c:ext xmlns:c16="http://schemas.microsoft.com/office/drawing/2014/chart" uri="{C3380CC4-5D6E-409C-BE32-E72D297353CC}">
              <c16:uniqueId val="{0000001C-F1A4-4DBA-A1DA-E8E7D58E206B}"/>
            </c:ext>
          </c:extLst>
        </c:ser>
        <c:ser>
          <c:idx val="3"/>
          <c:order val="4"/>
          <c:tx>
            <c:strRef>
              <c:f>'F&amp;B'!$A$328</c:f>
              <c:strCache>
                <c:ptCount val="1"/>
                <c:pt idx="0">
                  <c:v>Beverage Revenue %</c:v>
                </c:pt>
              </c:strCache>
            </c:strRef>
          </c:tx>
          <c:spPr>
            <a:ln w="28575" cap="rnd" cmpd="sng" algn="ctr">
              <a:noFill/>
              <a:prstDash val="solid"/>
              <a:round/>
            </a:ln>
            <a:effectLst/>
          </c:spPr>
          <c:marker>
            <c:symbol val="none"/>
          </c:marker>
          <c:dLbls>
            <c:dLbl>
              <c:idx val="0"/>
              <c:layout>
                <c:manualLayout>
                  <c:x val="-2.9909140670282393E-2"/>
                  <c:y val="-0.3142813475994686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013-4D6E-8790-F4DA88A64352}"/>
                </c:ext>
              </c:extLst>
            </c:dLbl>
            <c:dLbl>
              <c:idx val="1"/>
              <c:layout>
                <c:manualLayout>
                  <c:x val="-3.1383666884785444E-2"/>
                  <c:y val="-0.329496721542519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1A4-4DBA-A1DA-E8E7D58E206B}"/>
                </c:ext>
              </c:extLst>
            </c:dLbl>
            <c:dLbl>
              <c:idx val="2"/>
              <c:layout>
                <c:manualLayout>
                  <c:x val="-3.1117883691641667E-2"/>
                  <c:y val="-0.2636353264394309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1A4-4DBA-A1DA-E8E7D58E206B}"/>
                </c:ext>
              </c:extLst>
            </c:dLbl>
            <c:dLbl>
              <c:idx val="3"/>
              <c:layout>
                <c:manualLayout>
                  <c:x val="-3.0915278268928773E-2"/>
                  <c:y val="-0.316862442671990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1A4-4DBA-A1DA-E8E7D58E206B}"/>
                </c:ext>
              </c:extLst>
            </c:dLbl>
            <c:dLbl>
              <c:idx val="4"/>
              <c:layout>
                <c:manualLayout>
                  <c:x val="-2.6701842027221267E-2"/>
                  <c:y val="-0.4687825077347436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13-4D6E-8790-F4DA88A6435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'F&amp;B'!$Q$323:$X$323</c15:sqref>
                  </c15:fullRef>
                </c:ext>
              </c:extLst>
              <c:f>'F&amp;B'!$T$323:$X$323</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'F&amp;B'!$Q$328:$X$328</c15:sqref>
                  </c15:fullRef>
                </c:ext>
              </c:extLst>
              <c:f>'F&amp;B'!$T$328:$X$328</c:f>
              <c:numCache>
                <c:formatCode>0.0%</c:formatCode>
                <c:ptCount val="5"/>
                <c:pt idx="0">
                  <c:v>0.313</c:v>
                </c:pt>
                <c:pt idx="1">
                  <c:v>0.316</c:v>
                </c:pt>
                <c:pt idx="2">
                  <c:v>0.314</c:v>
                </c:pt>
                <c:pt idx="3">
                  <c:v>0.33700000000000002</c:v>
                </c:pt>
                <c:pt idx="4">
                  <c:v>0.34399999999999997</c:v>
                </c:pt>
              </c:numCache>
            </c:numRef>
          </c:val>
          <c:smooth val="0"/>
          <c:extLst>
            <c:ext xmlns:c15="http://schemas.microsoft.com/office/drawing/2012/chart" uri="{02D57815-91ED-43cb-92C2-25804820EDAC}">
              <c15:categoryFilterExceptions>
                <c15:categoryFilterException>
                  <c15:sqref>'F&amp;B'!$Q$328</c15:sqref>
                  <c15:dLbl>
                    <c:idx val="-1"/>
                    <c:layout>
                      <c:manualLayout>
                        <c:x val="-2.9772268814682364E-2"/>
                        <c:y val="-0.37750368662497946"/>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9-5FD4-49D7-8EC9-C8C2CEFC4992}"/>
                      </c:ext>
                    </c:extLst>
                  </c15:dLbl>
                </c15:categoryFilterException>
                <c15:categoryFilterException>
                  <c15:sqref>'F&amp;B'!$R$328</c15:sqref>
                  <c15:dLbl>
                    <c:idx val="-1"/>
                    <c:layout>
                      <c:manualLayout>
                        <c:x val="-2.336217643091008E-2"/>
                        <c:y val="-0.40335948086463175"/>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A-5FD4-49D7-8EC9-C8C2CEFC4992}"/>
                      </c:ext>
                    </c:extLst>
                  </c15:dLbl>
                </c15:categoryFilterException>
                <c15:categoryFilterException>
                  <c15:sqref>'F&amp;B'!$S$328</c15:sqref>
                  <c15:dLbl>
                    <c:idx val="-1"/>
                    <c:layout>
                      <c:manualLayout>
                        <c:x val="-2.9855085173971257E-2"/>
                        <c:y val="-0.40550312287794088"/>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B-5FD4-49D7-8EC9-C8C2CEFC4992}"/>
                      </c:ext>
                    </c:extLst>
                  </c15:dLbl>
                </c15:categoryFilterException>
              </c15:categoryFilterExceptions>
            </c:ext>
            <c:ext xmlns:c16="http://schemas.microsoft.com/office/drawing/2014/chart" uri="{C3380CC4-5D6E-409C-BE32-E72D297353CC}">
              <c16:uniqueId val="{00000024-F1A4-4DBA-A1DA-E8E7D58E206B}"/>
            </c:ext>
          </c:extLst>
        </c:ser>
        <c:dLbls>
          <c:showLegendKey val="0"/>
          <c:showVal val="0"/>
          <c:showCatName val="0"/>
          <c:showSerName val="0"/>
          <c:showPercent val="0"/>
          <c:showBubbleSize val="0"/>
        </c:dLbls>
        <c:marker val="1"/>
        <c:smooth val="0"/>
        <c:axId val="729332736"/>
        <c:axId val="795032392"/>
      </c:lineChart>
      <c:catAx>
        <c:axId val="795029648"/>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795031608"/>
        <c:crosses val="autoZero"/>
        <c:auto val="1"/>
        <c:lblAlgn val="ctr"/>
        <c:lblOffset val="100"/>
        <c:noMultiLvlLbl val="0"/>
      </c:catAx>
      <c:valAx>
        <c:axId val="795031608"/>
        <c:scaling>
          <c:orientation val="minMax"/>
        </c:scaling>
        <c:delete val="0"/>
        <c:axPos val="l"/>
        <c:majorGridlines>
          <c:spPr>
            <a:ln w="9525" cap="flat" cmpd="sng" algn="ctr">
              <a:solidFill>
                <a:schemeClr val="bg1"/>
              </a:solidFill>
              <a:prstDash val="solid"/>
              <a:round/>
            </a:ln>
            <a:effectLst/>
          </c:spPr>
        </c:majorGridlines>
        <c:numFmt formatCode="\$#,##0;\-&quot;£&quot;#,##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795029648"/>
        <c:crosses val="autoZero"/>
        <c:crossBetween val="between"/>
        <c:majorUnit val="400000"/>
        <c:dispUnits>
          <c:builtInUnit val="thousands"/>
        </c:dispUnits>
      </c:valAx>
      <c:valAx>
        <c:axId val="795032392"/>
        <c:scaling>
          <c:orientation val="minMax"/>
        </c:scaling>
        <c:delete val="1"/>
        <c:axPos val="r"/>
        <c:numFmt formatCode="0.0%" sourceLinked="1"/>
        <c:majorTickMark val="out"/>
        <c:minorTickMark val="none"/>
        <c:tickLblPos val="none"/>
        <c:crossAx val="729332736"/>
        <c:crosses val="max"/>
        <c:crossBetween val="between"/>
      </c:valAx>
      <c:catAx>
        <c:axId val="729332736"/>
        <c:scaling>
          <c:orientation val="minMax"/>
        </c:scaling>
        <c:delete val="1"/>
        <c:axPos val="b"/>
        <c:numFmt formatCode="General" sourceLinked="1"/>
        <c:majorTickMark val="out"/>
        <c:minorTickMark val="none"/>
        <c:tickLblPos val="none"/>
        <c:crossAx val="795032392"/>
        <c:crosses val="autoZero"/>
        <c:auto val="1"/>
        <c:lblAlgn val="ctr"/>
        <c:lblOffset val="100"/>
        <c:noMultiLvlLbl val="0"/>
      </c:catAx>
      <c:spPr>
        <a:noFill/>
        <a:ln>
          <a:noFill/>
        </a:ln>
        <a:effectLst/>
      </c:spPr>
    </c:plotArea>
    <c:legend>
      <c:legendPos val="t"/>
      <c:legendEntry>
        <c:idx val="2"/>
        <c:delete val="1"/>
      </c:legendEntry>
      <c:legendEntry>
        <c:idx val="3"/>
        <c:delete val="1"/>
      </c:legendEntry>
      <c:legendEntry>
        <c:idx val="4"/>
        <c:delete val="1"/>
      </c:legendEntry>
      <c:layout>
        <c:manualLayout>
          <c:xMode val="edge"/>
          <c:yMode val="edge"/>
          <c:x val="5.2890237667794833E-2"/>
          <c:y val="9.1935610814425209E-2"/>
          <c:w val="0.1327997761705727"/>
          <c:h val="7.0057466811223976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r>
              <a:rPr lang="en-US" sz="1200" b="1" i="0" u="none" strike="noStrike" baseline="0">
                <a:solidFill>
                  <a:schemeClr val="accent1"/>
                </a:solidFill>
              </a:rPr>
              <a:t>Food &amp; Beverage Loss Trend Statewide Country Clubs</a:t>
            </a:r>
            <a:r>
              <a:rPr lang="en-US" sz="1200" b="0" i="0" u="none" strike="noStrike" baseline="0">
                <a:solidFill>
                  <a:schemeClr val="accent1"/>
                </a:solidFill>
              </a:rPr>
              <a:t> </a:t>
            </a:r>
            <a:endParaRPr lang="en-US">
              <a:solidFill>
                <a:schemeClr val="accent1"/>
              </a:solidFill>
            </a:endParaRPr>
          </a:p>
        </c:rich>
      </c:tx>
      <c:overlay val="1"/>
      <c:spPr>
        <a:noFill/>
        <a:ln>
          <a:noFill/>
        </a:ln>
        <a:effectLst/>
      </c:spPr>
      <c:txPr>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endParaRPr lang="en-US"/>
        </a:p>
      </c:txPr>
    </c:title>
    <c:autoTitleDeleted val="0"/>
    <c:view3D>
      <c:rotX val="0"/>
      <c:rotY val="0"/>
      <c:depthPercent val="100"/>
      <c:rAngAx val="0"/>
      <c:perspective val="0"/>
    </c:view3D>
    <c:floor>
      <c:thickness val="0"/>
      <c:spPr>
        <a:noFill/>
        <a:ln w="9525" cap="flat" cmpd="sng" algn="ctr">
          <a:solidFill>
            <a:schemeClr val="tx1">
              <a:tint val="75000"/>
              <a:shade val="95000"/>
              <a:satMod val="105000"/>
            </a:schemeClr>
          </a:solidFill>
          <a:prstDash val="solid"/>
          <a:round/>
        </a:ln>
        <a:effectLst/>
        <a:sp3d contourW="9525">
          <a:contourClr>
            <a:schemeClr val="tx1">
              <a:tint val="75000"/>
              <a:shade val="95000"/>
              <a:satMod val="10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3817014701644114E-2"/>
          <c:y val="4.4179991792199579E-2"/>
          <c:w val="0.89323842015429156"/>
          <c:h val="0.84986565620323984"/>
        </c:manualLayout>
      </c:layout>
      <c:area3DChart>
        <c:grouping val="stacked"/>
        <c:varyColors val="0"/>
        <c:ser>
          <c:idx val="0"/>
          <c:order val="0"/>
          <c:tx>
            <c:strRef>
              <c:f>'F&amp;B'!$A$230</c:f>
              <c:strCache>
                <c:ptCount val="1"/>
                <c:pt idx="0">
                  <c:v>Cost of food and beverage</c:v>
                </c:pt>
              </c:strCache>
            </c:strRef>
          </c:tx>
          <c:spPr>
            <a:solidFill>
              <a:schemeClr val="accent1"/>
            </a:solidFill>
            <a:ln>
              <a:noFill/>
            </a:ln>
            <a:effectLst/>
            <a:sp3d/>
          </c:spPr>
          <c:dLbls>
            <c:dLbl>
              <c:idx val="0"/>
              <c:layout>
                <c:manualLayout>
                  <c:x val="2.6929013149815037E-2"/>
                  <c:y val="-2.36553743686681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C4-4223-B5B2-7BE107720B38}"/>
                </c:ext>
              </c:extLst>
            </c:dLbl>
            <c:dLbl>
              <c:idx val="1"/>
              <c:layout>
                <c:manualLayout>
                  <c:x val="-1.0806874855429198E-3"/>
                  <c:y val="-2.85181027511541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4C4-4223-B5B2-7BE107720B38}"/>
                </c:ext>
              </c:extLst>
            </c:dLbl>
            <c:dLbl>
              <c:idx val="2"/>
              <c:layout>
                <c:manualLayout>
                  <c:x val="1.6156185996304094E-4"/>
                  <c:y val="-3.11742700329999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C4-4223-B5B2-7BE107720B38}"/>
                </c:ext>
              </c:extLst>
            </c:dLbl>
            <c:dLbl>
              <c:idx val="3"/>
              <c:layout>
                <c:manualLayout>
                  <c:x val="-2.8678355816692327E-2"/>
                  <c:y val="-3.66666570428721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D6B-450E-AFE2-32E561AF8254}"/>
                </c:ext>
              </c:extLst>
            </c:dLbl>
            <c:dLbl>
              <c:idx val="4"/>
              <c:layout>
                <c:manualLayout>
                  <c:x val="-3.373738500731862E-2"/>
                  <c:y val="-1.3333329833771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6B-450E-AFE2-32E561AF8254}"/>
                </c:ext>
              </c:extLst>
            </c:dLbl>
            <c:dLbl>
              <c:idx val="7"/>
              <c:layout>
                <c:manualLayout>
                  <c:x val="-2.9143868335901654E-2"/>
                  <c:y val="-3.886922539718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C4-4223-B5B2-7BE107720B38}"/>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'F&amp;B'!$Q$229:$X$229</c15:sqref>
                  </c15:fullRef>
                </c:ext>
              </c:extLst>
              <c:f>'F&amp;B'!$T$229:$X$229</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'F&amp;B'!$Q$230:$X$230</c15:sqref>
                  </c15:fullRef>
                </c:ext>
              </c:extLst>
              <c:f>'F&amp;B'!$T$230:$X$230</c:f>
              <c:numCache>
                <c:formatCode>0.0%</c:formatCode>
                <c:ptCount val="5"/>
                <c:pt idx="0">
                  <c:v>0.45800000000000002</c:v>
                </c:pt>
                <c:pt idx="1">
                  <c:v>0.46200000000000002</c:v>
                </c:pt>
                <c:pt idx="2">
                  <c:v>0.47299999999999998</c:v>
                </c:pt>
                <c:pt idx="3">
                  <c:v>0.48699999999999999</c:v>
                </c:pt>
                <c:pt idx="4">
                  <c:v>0.49299999999999999</c:v>
                </c:pt>
              </c:numCache>
            </c:numRef>
          </c:val>
          <c:extLst>
            <c:ext xmlns:c15="http://schemas.microsoft.com/office/drawing/2012/chart" uri="{02D57815-91ED-43cb-92C2-25804820EDAC}">
              <c15:categoryFilterExceptions>
                <c15:categoryFilterException>
                  <c15:sqref>'F&amp;B'!$Q$230</c15:sqref>
                  <c15:dLbl>
                    <c:idx val="-1"/>
                    <c:layout>
                      <c:manualLayout>
                        <c:x val="3.3436198627460098E-2"/>
                        <c:y val="-2.4804192964778767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0-2FC6-41EF-A80C-C2961FFA1FA9}"/>
                      </c:ext>
                    </c:extLst>
                  </c15:dLbl>
                </c15:categoryFilterException>
                <c15:categoryFilterException>
                  <c15:sqref>'F&amp;B'!$R$230</c15:sqref>
                  <c15:dLbl>
                    <c:idx val="-1"/>
                    <c:layout>
                      <c:manualLayout>
                        <c:x val="2.0599866215572759E-2"/>
                        <c:y val="-3.2823350964999748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1-2FC6-41EF-A80C-C2961FFA1FA9}"/>
                      </c:ext>
                    </c:extLst>
                  </c15:dLbl>
                </c15:categoryFilterException>
                <c15:categoryFilterException>
                  <c15:sqref>'F&amp;B'!$S$230</c15:sqref>
                  <c15:dLbl>
                    <c:idx val="-1"/>
                    <c:layout>
                      <c:manualLayout>
                        <c:x val="2.3900107097295471E-2"/>
                        <c:y val="-2.2337264478408274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2-2FC6-41EF-A80C-C2961FFA1FA9}"/>
                      </c:ext>
                    </c:extLst>
                  </c15:dLbl>
                </c15:categoryFilterException>
              </c15:categoryFilterExceptions>
            </c:ext>
            <c:ext xmlns:c16="http://schemas.microsoft.com/office/drawing/2014/chart" uri="{C3380CC4-5D6E-409C-BE32-E72D297353CC}">
              <c16:uniqueId val="{00000007-94C4-4223-B5B2-7BE107720B38}"/>
            </c:ext>
          </c:extLst>
        </c:ser>
        <c:ser>
          <c:idx val="1"/>
          <c:order val="1"/>
          <c:tx>
            <c:strRef>
              <c:f>'F&amp;B'!$A$231</c:f>
              <c:strCache>
                <c:ptCount val="1"/>
                <c:pt idx="0">
                  <c:v>Salaries Net of Gratuities</c:v>
                </c:pt>
              </c:strCache>
            </c:strRef>
          </c:tx>
          <c:spPr>
            <a:solidFill>
              <a:schemeClr val="accent2"/>
            </a:solidFill>
            <a:ln>
              <a:noFill/>
            </a:ln>
            <a:effectLst/>
            <a:sp3d/>
          </c:spPr>
          <c:dLbls>
            <c:dLbl>
              <c:idx val="0"/>
              <c:layout>
                <c:manualLayout>
                  <c:x val="2.595183462101432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6B-450E-AFE2-32E561AF8254}"/>
                </c:ext>
              </c:extLst>
            </c:dLbl>
            <c:dLbl>
              <c:idx val="1"/>
              <c:layout>
                <c:manualLayout>
                  <c:x val="-2.0312676325316276E-3"/>
                  <c:y val="6.666664916885848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4C4-4223-B5B2-7BE107720B38}"/>
                </c:ext>
              </c:extLst>
            </c:dLbl>
            <c:dLbl>
              <c:idx val="2"/>
              <c:layout>
                <c:manualLayout>
                  <c:x val="4.839707044026558E-4"/>
                  <c:y val="1.99999947506574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4C4-4223-B5B2-7BE107720B38}"/>
                </c:ext>
              </c:extLst>
            </c:dLbl>
            <c:dLbl>
              <c:idx val="3"/>
              <c:layout>
                <c:manualLayout>
                  <c:x val="-2.7374829131993079E-2"/>
                  <c:y val="6.66666491688572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6B-450E-AFE2-32E561AF8254}"/>
                </c:ext>
              </c:extLst>
            </c:dLbl>
            <c:dLbl>
              <c:idx val="4"/>
              <c:layout>
                <c:manualLayout>
                  <c:x val="-3.503497673836934E-2"/>
                  <c:y val="3.33333245844292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6B-450E-AFE2-32E561AF8254}"/>
                </c:ext>
              </c:extLst>
            </c:dLbl>
            <c:dLbl>
              <c:idx val="7"/>
              <c:layout>
                <c:manualLayout>
                  <c:x val="-2.6513024732163649E-2"/>
                  <c:y val="-6.499998848425460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4C4-4223-B5B2-7BE107720B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'F&amp;B'!$Q$229:$X$229</c15:sqref>
                  </c15:fullRef>
                </c:ext>
              </c:extLst>
              <c:f>'F&amp;B'!$T$229:$X$229</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'F&amp;B'!$Q$231:$X$231</c15:sqref>
                  </c15:fullRef>
                </c:ext>
              </c:extLst>
              <c:f>'F&amp;B'!$T$231:$X$231</c:f>
              <c:numCache>
                <c:formatCode>0.0%</c:formatCode>
                <c:ptCount val="5"/>
                <c:pt idx="0">
                  <c:v>0.71399999999999997</c:v>
                </c:pt>
                <c:pt idx="1">
                  <c:v>0.72400000000000009</c:v>
                </c:pt>
                <c:pt idx="2">
                  <c:v>0.8640000000000001</c:v>
                </c:pt>
                <c:pt idx="3">
                  <c:v>0.85099999999999998</c:v>
                </c:pt>
                <c:pt idx="4">
                  <c:v>0.74299999999999999</c:v>
                </c:pt>
              </c:numCache>
            </c:numRef>
          </c:val>
          <c:extLst>
            <c:ext xmlns:c15="http://schemas.microsoft.com/office/drawing/2012/chart" uri="{02D57815-91ED-43cb-92C2-25804820EDAC}">
              <c15:categoryFilterExceptions>
                <c15:categoryFilterException>
                  <c15:sqref>'F&amp;B'!$Q$231</c15:sqref>
                  <c15:dLbl>
                    <c:idx val="-1"/>
                    <c:layout>
                      <c:manualLayout>
                        <c:x val="2.2842374286532886E-2"/>
                        <c:y val="5.9770106287250421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3-2FC6-41EF-A80C-C2961FFA1FA9}"/>
                      </c:ext>
                    </c:extLst>
                  </c15:dLbl>
                </c15:categoryFilterException>
                <c15:categoryFilterException>
                  <c15:sqref>'F&amp;B'!$R$231</c15:sqref>
                  <c15:dLbl>
                    <c:idx val="-1"/>
                    <c:layout>
                      <c:manualLayout>
                        <c:x val="1.9553424420471911E-2"/>
                        <c:y val="-6.1110389119023757E-17"/>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4-2FC6-41EF-A80C-C2961FFA1FA9}"/>
                      </c:ext>
                    </c:extLst>
                  </c15:dLbl>
                </c15:categoryFilterException>
                <c15:categoryFilterException>
                  <c15:sqref>'F&amp;B'!$S$231</c15:sqref>
                  <c15:dLbl>
                    <c:idx val="-1"/>
                    <c:layout>
                      <c:manualLayout>
                        <c:x val="3.2982636179186994E-2"/>
                        <c:y val="-3.3333324584429854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5-2FC6-41EF-A80C-C2961FFA1FA9}"/>
                      </c:ext>
                    </c:extLst>
                  </c15:dLbl>
                </c15:categoryFilterException>
              </c15:categoryFilterExceptions>
            </c:ext>
            <c:ext xmlns:c16="http://schemas.microsoft.com/office/drawing/2014/chart" uri="{C3380CC4-5D6E-409C-BE32-E72D297353CC}">
              <c16:uniqueId val="{0000000D-94C4-4223-B5B2-7BE107720B38}"/>
            </c:ext>
          </c:extLst>
        </c:ser>
        <c:ser>
          <c:idx val="2"/>
          <c:order val="2"/>
          <c:tx>
            <c:strRef>
              <c:f>'F&amp;B'!$A$232</c:f>
              <c:strCache>
                <c:ptCount val="1"/>
                <c:pt idx="0">
                  <c:v>PTEB</c:v>
                </c:pt>
              </c:strCache>
            </c:strRef>
          </c:tx>
          <c:spPr>
            <a:solidFill>
              <a:schemeClr val="accent3"/>
            </a:solidFill>
            <a:ln>
              <a:noFill/>
            </a:ln>
            <a:effectLst/>
            <a:sp3d/>
          </c:spPr>
          <c:dLbls>
            <c:dLbl>
              <c:idx val="0"/>
              <c:layout>
                <c:manualLayout>
                  <c:x val="2.9844609814166471E-2"/>
                  <c:y val="1.6666662292214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6B-450E-AFE2-32E561AF8254}"/>
                </c:ext>
              </c:extLst>
            </c:dLbl>
            <c:dLbl>
              <c:idx val="1"/>
              <c:layout>
                <c:manualLayout>
                  <c:x val="-6.758637100097376E-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4C4-4223-B5B2-7BE107720B38}"/>
                </c:ext>
              </c:extLst>
            </c:dLbl>
            <c:dLbl>
              <c:idx val="2"/>
              <c:layout>
                <c:manualLayout>
                  <c:x val="5.1399547483817003E-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4C4-4223-B5B2-7BE107720B38}"/>
                </c:ext>
              </c:extLst>
            </c:dLbl>
            <c:dLbl>
              <c:idx val="3"/>
              <c:layout>
                <c:manualLayout>
                  <c:x val="-2.739453927040829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6B-450E-AFE2-32E561AF8254}"/>
                </c:ext>
              </c:extLst>
            </c:dLbl>
            <c:dLbl>
              <c:idx val="4"/>
              <c:layout>
                <c:manualLayout>
                  <c:x val="-2.854701808311575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6B-450E-AFE2-32E561AF8254}"/>
                </c:ext>
              </c:extLst>
            </c:dLbl>
            <c:dLbl>
              <c:idx val="7"/>
              <c:layout>
                <c:manualLayout>
                  <c:x val="-2.783867596877193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4C4-4223-B5B2-7BE107720B38}"/>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'F&amp;B'!$Q$229:$X$229</c15:sqref>
                  </c15:fullRef>
                </c:ext>
              </c:extLst>
              <c:f>'F&amp;B'!$T$229:$X$229</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'F&amp;B'!$Q$232:$X$232</c15:sqref>
                  </c15:fullRef>
                </c:ext>
              </c:extLst>
              <c:f>'F&amp;B'!$T$232:$X$232</c:f>
              <c:numCache>
                <c:formatCode>0.0%</c:formatCode>
                <c:ptCount val="5"/>
                <c:pt idx="0">
                  <c:v>0.192</c:v>
                </c:pt>
                <c:pt idx="1">
                  <c:v>0.189</c:v>
                </c:pt>
                <c:pt idx="2">
                  <c:v>0.20899999999999999</c:v>
                </c:pt>
                <c:pt idx="3">
                  <c:v>0.215</c:v>
                </c:pt>
                <c:pt idx="4">
                  <c:v>0.17699999999999999</c:v>
                </c:pt>
              </c:numCache>
            </c:numRef>
          </c:val>
          <c:extLst>
            <c:ext xmlns:c15="http://schemas.microsoft.com/office/drawing/2012/chart" uri="{02D57815-91ED-43cb-92C2-25804820EDAC}">
              <c15:categoryFilterExceptions>
                <c15:categoryFilterException>
                  <c15:sqref>'F&amp;B'!$Q$232</c15:sqref>
                  <c15:dLbl>
                    <c:idx val="-1"/>
                    <c:layout>
                      <c:manualLayout>
                        <c:x val="2.2842374286532886E-2"/>
                        <c:y val="2.9885053143625692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6-2FC6-41EF-A80C-C2961FFA1FA9}"/>
                      </c:ext>
                    </c:extLst>
                  </c15:dLbl>
                </c15:categoryFilterException>
                <c15:categoryFilterException>
                  <c15:sqref>'F&amp;B'!$R$232</c15:sqref>
                  <c15:dLbl>
                    <c:idx val="-1"/>
                    <c:layout>
                      <c:manualLayout>
                        <c:x val="2.7374794188660678E-2"/>
                        <c:y val="-6.1110389119023757E-17"/>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7-2FC6-41EF-A80C-C2961FFA1FA9}"/>
                      </c:ext>
                    </c:extLst>
                  </c15:dLbl>
                </c15:categoryFilterException>
                <c15:categoryFilterException>
                  <c15:sqref>'F&amp;B'!$S$232</c15:sqref>
                  <c15:dLbl>
                    <c:idx val="-1"/>
                    <c:layout>
                      <c:manualLayout>
                        <c:x val="2.5255528507068605E-2"/>
                        <c:y val="3.333332458442924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8-2FC6-41EF-A80C-C2961FFA1FA9}"/>
                      </c:ext>
                    </c:extLst>
                  </c15:dLbl>
                </c15:categoryFilterException>
              </c15:categoryFilterExceptions>
            </c:ext>
            <c:ext xmlns:c16="http://schemas.microsoft.com/office/drawing/2014/chart" uri="{C3380CC4-5D6E-409C-BE32-E72D297353CC}">
              <c16:uniqueId val="{00000013-94C4-4223-B5B2-7BE107720B38}"/>
            </c:ext>
          </c:extLst>
        </c:ser>
        <c:ser>
          <c:idx val="3"/>
          <c:order val="3"/>
          <c:tx>
            <c:strRef>
              <c:f>'F&amp;B'!$A$233</c:f>
              <c:strCache>
                <c:ptCount val="1"/>
                <c:pt idx="0">
                  <c:v>Other departmental expenses</c:v>
                </c:pt>
              </c:strCache>
            </c:strRef>
          </c:tx>
          <c:spPr>
            <a:solidFill>
              <a:schemeClr val="accent4"/>
            </a:solidFill>
            <a:ln>
              <a:noFill/>
            </a:ln>
            <a:effectLst/>
            <a:sp3d/>
          </c:spPr>
          <c:dLbls>
            <c:dLbl>
              <c:idx val="0"/>
              <c:layout>
                <c:manualLayout>
                  <c:x val="2.9844609814166471E-2"/>
                  <c:y val="-3.33333245844292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6B-450E-AFE2-32E561AF8254}"/>
                </c:ext>
              </c:extLst>
            </c:dLbl>
            <c:dLbl>
              <c:idx val="1"/>
              <c:layout>
                <c:manualLayout>
                  <c:x val="6.3123505463435906E-4"/>
                  <c:y val="-3.9396315119077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4C4-4223-B5B2-7BE107720B38}"/>
                </c:ext>
              </c:extLst>
            </c:dLbl>
            <c:dLbl>
              <c:idx val="2"/>
              <c:layout>
                <c:manualLayout>
                  <c:x val="1.7807548370262609E-3"/>
                  <c:y val="3.49999908136507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4C4-4223-B5B2-7BE107720B38}"/>
                </c:ext>
              </c:extLst>
            </c:dLbl>
            <c:dLbl>
              <c:idx val="3"/>
              <c:layout>
                <c:manualLayout>
                  <c:x val="-2.8678355816692327E-2"/>
                  <c:y val="-3.33333245844292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D6B-450E-AFE2-32E561AF8254}"/>
                </c:ext>
              </c:extLst>
            </c:dLbl>
            <c:dLbl>
              <c:idx val="4"/>
              <c:layout>
                <c:manualLayout>
                  <c:x val="-3.114220154521718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D6B-450E-AFE2-32E561AF8254}"/>
                </c:ext>
              </c:extLst>
            </c:dLbl>
            <c:dLbl>
              <c:idx val="7"/>
              <c:layout>
                <c:manualLayout>
                  <c:x val="-2.3861722258947383E-2"/>
                  <c:y val="-3.24999942421273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4C4-4223-B5B2-7BE107720B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'F&amp;B'!$Q$229:$X$229</c15:sqref>
                  </c15:fullRef>
                </c:ext>
              </c:extLst>
              <c:f>'F&amp;B'!$T$229:$X$229</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'F&amp;B'!$Q$233:$X$233</c15:sqref>
                  </c15:fullRef>
                </c:ext>
              </c:extLst>
              <c:f>'F&amp;B'!$T$233:$X$233</c:f>
              <c:numCache>
                <c:formatCode>0.0%</c:formatCode>
                <c:ptCount val="5"/>
                <c:pt idx="0">
                  <c:v>0.189</c:v>
                </c:pt>
                <c:pt idx="1">
                  <c:v>0.191</c:v>
                </c:pt>
                <c:pt idx="2">
                  <c:v>0.23599999999999999</c:v>
                </c:pt>
                <c:pt idx="3">
                  <c:v>0.254</c:v>
                </c:pt>
                <c:pt idx="4">
                  <c:v>0.22</c:v>
                </c:pt>
              </c:numCache>
            </c:numRef>
          </c:val>
          <c:extLst>
            <c:ext xmlns:c15="http://schemas.microsoft.com/office/drawing/2012/chart" uri="{02D57815-91ED-43cb-92C2-25804820EDAC}">
              <c15:categoryFilterExceptions>
                <c15:categoryFilterException>
                  <c15:sqref>'F&amp;B'!$Q$233</c15:sqref>
                  <c15:dLbl>
                    <c:idx val="-1"/>
                    <c:layout>
                      <c:manualLayout>
                        <c:x val="2.6866038078376456E-2"/>
                        <c:y val="3.4488179924362826E-4"/>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9-2FC6-41EF-A80C-C2961FFA1FA9}"/>
                      </c:ext>
                    </c:extLst>
                  </c15:dLbl>
                </c15:categoryFilterException>
                <c15:categoryFilterException>
                  <c15:sqref>'F&amp;B'!$R$233</c15:sqref>
                  <c15:dLbl>
                    <c:idx val="-1"/>
                    <c:layout>
                      <c:manualLayout>
                        <c:x val="2.8678355816692137E-2"/>
                        <c:y val="-9.999997375328834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A-2FC6-41EF-A80C-C2961FFA1FA9}"/>
                      </c:ext>
                    </c:extLst>
                  </c15:dLbl>
                </c15:categoryFilterException>
                <c15:categoryFilterException>
                  <c15:sqref>'F&amp;B'!$S$233</c15:sqref>
                  <c15:dLbl>
                    <c:idx val="-1"/>
                    <c:layout>
                      <c:manualLayout>
                        <c:x val="2.7763558760777417E-2"/>
                        <c:y val="-6.1110389119023757E-17"/>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B-2FC6-41EF-A80C-C2961FFA1FA9}"/>
                      </c:ext>
                    </c:extLst>
                  </c15:dLbl>
                </c15:categoryFilterException>
              </c15:categoryFilterExceptions>
            </c:ext>
            <c:ext xmlns:c16="http://schemas.microsoft.com/office/drawing/2014/chart" uri="{C3380CC4-5D6E-409C-BE32-E72D297353CC}">
              <c16:uniqueId val="{00000019-94C4-4223-B5B2-7BE107720B38}"/>
            </c:ext>
          </c:extLst>
        </c:ser>
        <c:ser>
          <c:idx val="4"/>
          <c:order val="4"/>
          <c:tx>
            <c:strRef>
              <c:f>'F&amp;B'!$A$234</c:f>
              <c:strCache>
                <c:ptCount val="1"/>
                <c:pt idx="0">
                  <c:v>Total departmental subsidy</c:v>
                </c:pt>
              </c:strCache>
            </c:strRef>
          </c:tx>
          <c:spPr>
            <a:solidFill>
              <a:schemeClr val="accent5"/>
            </a:solidFill>
            <a:ln>
              <a:noFill/>
            </a:ln>
            <a:effectLst/>
            <a:sp3d/>
          </c:spPr>
          <c:dLbls>
            <c:dLbl>
              <c:idx val="0"/>
              <c:layout>
                <c:manualLayout>
                  <c:x val="3.2785340932520939E-2"/>
                  <c:y val="0.15429602249448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94C4-4223-B5B2-7BE107720B38}"/>
                </c:ext>
              </c:extLst>
            </c:dLbl>
            <c:dLbl>
              <c:idx val="1"/>
              <c:layout>
                <c:manualLayout>
                  <c:x val="-4.6944851951839861E-3"/>
                  <c:y val="0.154622269128013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4C4-4223-B5B2-7BE107720B38}"/>
                </c:ext>
              </c:extLst>
            </c:dLbl>
            <c:dLbl>
              <c:idx val="2"/>
              <c:layout>
                <c:manualLayout>
                  <c:x val="-9.0237711418042336E-4"/>
                  <c:y val="0.146666628171488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4C4-4223-B5B2-7BE107720B38}"/>
                </c:ext>
              </c:extLst>
            </c:dLbl>
            <c:dLbl>
              <c:idx val="3"/>
              <c:layout>
                <c:manualLayout>
                  <c:x val="-3.2589040700786519E-2"/>
                  <c:y val="0.1366666307961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D6B-450E-AFE2-32E561AF8254}"/>
                </c:ext>
              </c:extLst>
            </c:dLbl>
            <c:dLbl>
              <c:idx val="4"/>
              <c:layout>
                <c:manualLayout>
                  <c:x val="-2.8547018083115758E-2"/>
                  <c:y val="0.153333293088374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D6B-450E-AFE2-32E561AF8254}"/>
                </c:ext>
              </c:extLst>
            </c:dLbl>
            <c:dLbl>
              <c:idx val="7"/>
              <c:layout>
                <c:manualLayout>
                  <c:x val="-2.9164327205380113E-2"/>
                  <c:y val="0.142999974665358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94C4-4223-B5B2-7BE107720B38}"/>
                </c:ext>
              </c:extLst>
            </c:dLbl>
            <c:spPr>
              <a:solidFill>
                <a:schemeClr val="accent5"/>
              </a:solidFill>
              <a:ln>
                <a:solidFill>
                  <a:sysClr val="windowText" lastClr="000000"/>
                </a:solid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'F&amp;B'!$Q$229:$X$229</c15:sqref>
                  </c15:fullRef>
                </c:ext>
              </c:extLst>
              <c:f>'F&amp;B'!$T$229:$X$229</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'F&amp;B'!$Q$234:$X$234</c15:sqref>
                  </c15:fullRef>
                </c:ext>
              </c:extLst>
              <c:f>'F&amp;B'!$T$234:$X$234</c:f>
              <c:numCache>
                <c:formatCode>0.0%</c:formatCode>
                <c:ptCount val="5"/>
                <c:pt idx="0">
                  <c:v>1.5529999999999999</c:v>
                </c:pt>
                <c:pt idx="1">
                  <c:v>1.5660000000000003</c:v>
                </c:pt>
                <c:pt idx="2">
                  <c:v>1.7820000000000003</c:v>
                </c:pt>
                <c:pt idx="3">
                  <c:v>1.8069999999999999</c:v>
                </c:pt>
                <c:pt idx="4">
                  <c:v>1.633</c:v>
                </c:pt>
              </c:numCache>
            </c:numRef>
          </c:val>
          <c:extLst>
            <c:ext xmlns:c15="http://schemas.microsoft.com/office/drawing/2012/chart" uri="{02D57815-91ED-43cb-92C2-25804820EDAC}">
              <c15:categoryFilterExceptions>
                <c15:categoryFilterException>
                  <c15:sqref>'F&amp;B'!$Q$234</c15:sqref>
                  <c15:dLbl>
                    <c:idx val="-1"/>
                    <c:layout>
                      <c:manualLayout>
                        <c:x val="2.9694342755980773E-2"/>
                        <c:y val="0.16030127026213378"/>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C-2FC6-41EF-A80C-C2961FFA1FA9}"/>
                      </c:ext>
                    </c:extLst>
                  </c15:dLbl>
                </c15:categoryFilterException>
                <c15:categoryFilterException>
                  <c15:sqref>'F&amp;B'!$R$234</c15:sqref>
                  <c15:dLbl>
                    <c:idx val="-1"/>
                    <c:layout>
                      <c:manualLayout>
                        <c:x val="2.8694983925648117E-2"/>
                        <c:y val="0.1528519283853206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D-2FC6-41EF-A80C-C2961FFA1FA9}"/>
                      </c:ext>
                    </c:extLst>
                  </c15:dLbl>
                </c15:categoryFilterException>
                <c15:categoryFilterException>
                  <c15:sqref>'F&amp;B'!$S$234</c15:sqref>
                  <c15:dLbl>
                    <c:idx val="-1"/>
                    <c:layout>
                      <c:manualLayout>
                        <c:x val="3.3244453613598207E-2"/>
                        <c:y val="0.17027292118820966"/>
                      </c:manualLayout>
                    </c:layout>
                    <c:showLegendKey val="0"/>
                    <c:showVal val="1"/>
                    <c:showCatName val="0"/>
                    <c:showSerName val="0"/>
                    <c:showPercent val="0"/>
                    <c:showBubbleSize val="0"/>
                    <c:extLst xmlns:c16="http://schemas.microsoft.com/office/drawing/2014/chart">
                      <c:ext uri="{CE6537A1-D6FC-4f65-9D91-7224C49458BB}">
                        <c15:layout>
                          <c:manualLayout>
                            <c:w val="5.868118498120331E-2"/>
                            <c:h val="5.7350116181071865E-2"/>
                          </c:manualLayout>
                        </c15:layout>
                      </c:ext>
                      <c:ext xmlns:c16="http://schemas.microsoft.com/office/drawing/2014/chart" uri="{C3380CC4-5D6E-409C-BE32-E72D297353CC}">
                        <c16:uniqueId val="{0000000E-2FC6-41EF-A80C-C2961FFA1FA9}"/>
                      </c:ext>
                    </c:extLst>
                  </c15:dLbl>
                </c15:categoryFilterException>
              </c15:categoryFilterExceptions>
            </c:ext>
            <c:ext xmlns:c16="http://schemas.microsoft.com/office/drawing/2014/chart" uri="{C3380CC4-5D6E-409C-BE32-E72D297353CC}">
              <c16:uniqueId val="{00000021-94C4-4223-B5B2-7BE107720B38}"/>
            </c:ext>
          </c:extLst>
        </c:ser>
        <c:dLbls>
          <c:showLegendKey val="0"/>
          <c:showVal val="1"/>
          <c:showCatName val="0"/>
          <c:showSerName val="0"/>
          <c:showPercent val="0"/>
          <c:showBubbleSize val="0"/>
        </c:dLbls>
        <c:axId val="729328032"/>
        <c:axId val="729327248"/>
        <c:axId val="0"/>
      </c:area3DChart>
      <c:catAx>
        <c:axId val="729328032"/>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729327248"/>
        <c:crosses val="autoZero"/>
        <c:auto val="1"/>
        <c:lblAlgn val="ctr"/>
        <c:lblOffset val="100"/>
        <c:noMultiLvlLbl val="0"/>
      </c:catAx>
      <c:valAx>
        <c:axId val="729327248"/>
        <c:scaling>
          <c:orientation val="minMax"/>
          <c:max val="2"/>
          <c:min val="0"/>
        </c:scaling>
        <c:delete val="0"/>
        <c:axPos val="l"/>
        <c:numFmt formatCode="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crossAx val="729328032"/>
        <c:crosses val="autoZero"/>
        <c:crossBetween val="midCat"/>
        <c:majorUnit val="0.5"/>
      </c:valAx>
      <c:spPr>
        <a:noFill/>
        <a:ln>
          <a:noFill/>
        </a:ln>
        <a:effectLst/>
      </c:spPr>
    </c:plotArea>
    <c:legend>
      <c:legendPos val="b"/>
      <c:legendEntry>
        <c:idx val="4"/>
        <c:delete val="1"/>
      </c:legendEntry>
      <c:layout>
        <c:manualLayout>
          <c:xMode val="edge"/>
          <c:yMode val="edge"/>
          <c:x val="0.20208387156571811"/>
          <c:y val="0.89627483037406031"/>
          <c:w val="0.57225855215203902"/>
          <c:h val="5.7058515207738796E-2"/>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00000"/>
              </a:solidFill>
              <a:latin typeface="Calibri"/>
              <a:ea typeface="Calibri"/>
              <a:cs typeface="Calibri"/>
            </a:defRPr>
          </a:pPr>
          <a:endParaRPr lang="en-US"/>
        </a:p>
      </c:txPr>
    </c:legend>
    <c:plotVisOnly val="1"/>
    <c:dispBlanksAs val="zero"/>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424242753141464E-2"/>
          <c:y val="0.18058221950430955"/>
          <c:w val="0.85799050985237912"/>
          <c:h val="0.64464099733019919"/>
        </c:manualLayout>
      </c:layout>
      <c:barChart>
        <c:barDir val="col"/>
        <c:grouping val="stacked"/>
        <c:varyColors val="0"/>
        <c:ser>
          <c:idx val="0"/>
          <c:order val="0"/>
          <c:tx>
            <c:strRef>
              <c:f>'F&amp;B'!$A$355</c:f>
              <c:strCache>
                <c:ptCount val="1"/>
                <c:pt idx="0">
                  <c:v>Restaurant covers</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'F&amp;B'!$B$351:$H$351</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'F&amp;B'!$B$355:$H$355</c:f>
              <c:numCache>
                <c:formatCode>#,##0_);\(#,##0\)</c:formatCode>
                <c:ptCount val="7"/>
                <c:pt idx="0">
                  <c:v>79900</c:v>
                </c:pt>
                <c:pt idx="1">
                  <c:v>76600</c:v>
                </c:pt>
                <c:pt idx="2">
                  <c:v>137100</c:v>
                </c:pt>
                <c:pt idx="3">
                  <c:v>60100</c:v>
                </c:pt>
                <c:pt idx="4">
                  <c:v>58900</c:v>
                </c:pt>
                <c:pt idx="5">
                  <c:v>76100</c:v>
                </c:pt>
                <c:pt idx="6">
                  <c:v>48900</c:v>
                </c:pt>
              </c:numCache>
            </c:numRef>
          </c:val>
          <c:extLst>
            <c:ext xmlns:c16="http://schemas.microsoft.com/office/drawing/2014/chart" uri="{C3380CC4-5D6E-409C-BE32-E72D297353CC}">
              <c16:uniqueId val="{00000003-2602-4CC9-A128-DAED9A70C3D6}"/>
            </c:ext>
          </c:extLst>
        </c:ser>
        <c:ser>
          <c:idx val="1"/>
          <c:order val="1"/>
          <c:tx>
            <c:strRef>
              <c:f>'F&amp;B'!$A$356</c:f>
              <c:strCache>
                <c:ptCount val="1"/>
                <c:pt idx="0">
                  <c:v>Banquet/function covers</c:v>
                </c:pt>
              </c:strCache>
            </c:strRef>
          </c:tx>
          <c:spPr>
            <a:solidFill>
              <a:schemeClr val="accent1"/>
            </a:solidFill>
            <a:ln>
              <a:noFill/>
            </a:ln>
            <a:effectLst/>
          </c:spPr>
          <c:invertIfNegative val="0"/>
          <c:dLbls>
            <c:dLbl>
              <c:idx val="2"/>
              <c:layout>
                <c:manualLayout>
                  <c:x val="1.2528827815916409E-3"/>
                  <c:y val="-3.37309495149565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02-4CC9-A128-DAED9A70C3D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'F&amp;B'!$B$351:$H$351</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'F&amp;B'!$B$356:$H$356</c:f>
              <c:numCache>
                <c:formatCode>#,##0_);\(#,##0\)</c:formatCode>
                <c:ptCount val="7"/>
                <c:pt idx="0">
                  <c:v>9000</c:v>
                </c:pt>
                <c:pt idx="1">
                  <c:v>8500</c:v>
                </c:pt>
                <c:pt idx="2">
                  <c:v>7800</c:v>
                </c:pt>
                <c:pt idx="3">
                  <c:v>9100</c:v>
                </c:pt>
                <c:pt idx="4">
                  <c:v>5800</c:v>
                </c:pt>
                <c:pt idx="5">
                  <c:v>12900</c:v>
                </c:pt>
                <c:pt idx="6">
                  <c:v>13700</c:v>
                </c:pt>
              </c:numCache>
            </c:numRef>
          </c:val>
          <c:extLst>
            <c:ext xmlns:c16="http://schemas.microsoft.com/office/drawing/2014/chart" uri="{C3380CC4-5D6E-409C-BE32-E72D297353CC}">
              <c16:uniqueId val="{00000005-2602-4CC9-A128-DAED9A70C3D6}"/>
            </c:ext>
          </c:extLst>
        </c:ser>
        <c:dLbls>
          <c:showLegendKey val="0"/>
          <c:showVal val="0"/>
          <c:showCatName val="0"/>
          <c:showSerName val="0"/>
          <c:showPercent val="0"/>
          <c:showBubbleSize val="0"/>
        </c:dLbls>
        <c:gapWidth val="77"/>
        <c:overlap val="100"/>
        <c:axId val="729329600"/>
        <c:axId val="729330776"/>
      </c:barChart>
      <c:lineChart>
        <c:grouping val="stacked"/>
        <c:varyColors val="0"/>
        <c:ser>
          <c:idx val="3"/>
          <c:order val="2"/>
          <c:tx>
            <c:strRef>
              <c:f>'F&amp;B'!$A$358</c:f>
              <c:strCache>
                <c:ptCount val="1"/>
                <c:pt idx="0">
                  <c:v>Percent of covers that are banquet/function</c:v>
                </c:pt>
              </c:strCache>
            </c:strRef>
          </c:tx>
          <c:spPr>
            <a:ln w="28575" cap="rnd" cmpd="sng" algn="ctr">
              <a:noFill/>
              <a:prstDash val="solid"/>
              <a:round/>
            </a:ln>
            <a:effectLst/>
          </c:spPr>
          <c:marker>
            <c:symbol val="none"/>
          </c:marker>
          <c:dLbls>
            <c:dLbl>
              <c:idx val="0"/>
              <c:layout>
                <c:manualLayout>
                  <c:x val="-3.0897035994048548E-2"/>
                  <c:y val="-0.4369705343914008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5069098144587642E-2"/>
                      <c:h val="4.8440044959098066E-2"/>
                    </c:manualLayout>
                  </c15:layout>
                </c:ext>
                <c:ext xmlns:c16="http://schemas.microsoft.com/office/drawing/2014/chart" uri="{C3380CC4-5D6E-409C-BE32-E72D297353CC}">
                  <c16:uniqueId val="{00000000-ABEE-4D51-9DBC-E60B41EBBF33}"/>
                </c:ext>
              </c:extLst>
            </c:dLbl>
            <c:dLbl>
              <c:idx val="1"/>
              <c:layout>
                <c:manualLayout>
                  <c:x val="-3.3909543976873589E-2"/>
                  <c:y val="-0.42020834127671597"/>
                </c:manualLayout>
              </c:layout>
              <c:showLegendKey val="0"/>
              <c:showVal val="1"/>
              <c:showCatName val="0"/>
              <c:showSerName val="0"/>
              <c:showPercent val="0"/>
              <c:showBubbleSize val="0"/>
              <c:extLst>
                <c:ext xmlns:c15="http://schemas.microsoft.com/office/drawing/2012/chart" uri="{CE6537A1-D6FC-4f65-9D91-7224C49458BB}">
                  <c15:layout>
                    <c:manualLayout>
                      <c:w val="5.1809914498848426E-2"/>
                      <c:h val="5.1850105550773115E-2"/>
                    </c:manualLayout>
                  </c15:layout>
                </c:ext>
                <c:ext xmlns:c16="http://schemas.microsoft.com/office/drawing/2014/chart" uri="{C3380CC4-5D6E-409C-BE32-E72D297353CC}">
                  <c16:uniqueId val="{00000001-ABEE-4D51-9DBC-E60B41EBBF33}"/>
                </c:ext>
              </c:extLst>
            </c:dLbl>
            <c:dLbl>
              <c:idx val="2"/>
              <c:layout>
                <c:manualLayout>
                  <c:x val="-1.9372787738380744E-2"/>
                  <c:y val="-0.669669041536686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EE-4D51-9DBC-E60B41EBBF33}"/>
                </c:ext>
              </c:extLst>
            </c:dLbl>
            <c:dLbl>
              <c:idx val="3"/>
              <c:layout>
                <c:manualLayout>
                  <c:x val="-3.5134090229701646E-2"/>
                  <c:y val="-0.35397825186868637"/>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6087732096391764E-2"/>
                      <c:h val="5.8645255424278668E-2"/>
                    </c:manualLayout>
                  </c15:layout>
                </c:ext>
                <c:ext xmlns:c16="http://schemas.microsoft.com/office/drawing/2014/chart" uri="{C3380CC4-5D6E-409C-BE32-E72D297353CC}">
                  <c16:uniqueId val="{00000003-ABEE-4D51-9DBC-E60B41EBBF33}"/>
                </c:ext>
              </c:extLst>
            </c:dLbl>
            <c:dLbl>
              <c:idx val="4"/>
              <c:layout>
                <c:manualLayout>
                  <c:x val="-2.074474557431177E-2"/>
                  <c:y val="-0.371874861612660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BEE-4D51-9DBC-E60B41EBBF33}"/>
                </c:ext>
              </c:extLst>
            </c:dLbl>
            <c:dLbl>
              <c:idx val="5"/>
              <c:layout>
                <c:manualLayout>
                  <c:x val="-2.6721339110407565E-2"/>
                  <c:y val="-0.43246039362302557"/>
                </c:manualLayout>
              </c:layout>
              <c:showLegendKey val="0"/>
              <c:showVal val="1"/>
              <c:showCatName val="0"/>
              <c:showSerName val="0"/>
              <c:showPercent val="0"/>
              <c:showBubbleSize val="0"/>
              <c:extLst>
                <c:ext xmlns:c15="http://schemas.microsoft.com/office/drawing/2012/chart" uri="{CE6537A1-D6FC-4f65-9D91-7224C49458BB}">
                  <c15:layout>
                    <c:manualLayout>
                      <c:w val="4.6417261415439802E-2"/>
                      <c:h val="5.1850105550773115E-2"/>
                    </c:manualLayout>
                  </c15:layout>
                </c:ext>
                <c:ext xmlns:c16="http://schemas.microsoft.com/office/drawing/2014/chart" uri="{C3380CC4-5D6E-409C-BE32-E72D297353CC}">
                  <c16:uniqueId val="{00000005-ABEE-4D51-9DBC-E60B41EBBF33}"/>
                </c:ext>
              </c:extLst>
            </c:dLbl>
            <c:dLbl>
              <c:idx val="6"/>
              <c:layout>
                <c:manualLayout>
                  <c:x val="-2.8530744067232373E-2"/>
                  <c:y val="-0.3214940683741314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7765424686291962E-2"/>
                      <c:h val="4.8440044959098066E-2"/>
                    </c:manualLayout>
                  </c15:layout>
                </c:ext>
                <c:ext xmlns:c16="http://schemas.microsoft.com/office/drawing/2014/chart" uri="{C3380CC4-5D6E-409C-BE32-E72D297353CC}">
                  <c16:uniqueId val="{00000006-ABEE-4D51-9DBC-E60B41EBBF3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'F&amp;B'!$B$351:$H$351</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'F&amp;B'!$B$358:$H$358</c:f>
              <c:numCache>
                <c:formatCode>0%;\(0\)%</c:formatCode>
                <c:ptCount val="7"/>
                <c:pt idx="0">
                  <c:v>0.10123734533183353</c:v>
                </c:pt>
                <c:pt idx="1">
                  <c:v>9.9882491186839006E-2</c:v>
                </c:pt>
                <c:pt idx="2">
                  <c:v>5.3830227743271224E-2</c:v>
                </c:pt>
                <c:pt idx="3">
                  <c:v>0.13150289017341041</c:v>
                </c:pt>
                <c:pt idx="4">
                  <c:v>8.964451313755796E-2</c:v>
                </c:pt>
                <c:pt idx="5">
                  <c:v>0.14494382022471911</c:v>
                </c:pt>
                <c:pt idx="6">
                  <c:v>0.21884984025559107</c:v>
                </c:pt>
              </c:numCache>
            </c:numRef>
          </c:val>
          <c:smooth val="0"/>
          <c:extLst>
            <c:ext xmlns:c16="http://schemas.microsoft.com/office/drawing/2014/chart" uri="{C3380CC4-5D6E-409C-BE32-E72D297353CC}">
              <c16:uniqueId val="{0000000D-2602-4CC9-A128-DAED9A70C3D6}"/>
            </c:ext>
          </c:extLst>
        </c:ser>
        <c:dLbls>
          <c:showLegendKey val="0"/>
          <c:showVal val="0"/>
          <c:showCatName val="0"/>
          <c:showSerName val="0"/>
          <c:showPercent val="0"/>
          <c:showBubbleSize val="0"/>
        </c:dLbls>
        <c:marker val="1"/>
        <c:smooth val="0"/>
        <c:axId val="729334696"/>
        <c:axId val="729331168"/>
      </c:lineChart>
      <c:catAx>
        <c:axId val="729329600"/>
        <c:scaling>
          <c:orientation val="minMax"/>
        </c:scaling>
        <c:delete val="0"/>
        <c:axPos val="b"/>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729330776"/>
        <c:crosses val="autoZero"/>
        <c:auto val="1"/>
        <c:lblAlgn val="ctr"/>
        <c:lblOffset val="100"/>
        <c:noMultiLvlLbl val="0"/>
      </c:catAx>
      <c:valAx>
        <c:axId val="729330776"/>
        <c:scaling>
          <c:orientation val="minMax"/>
          <c:max val="150000"/>
        </c:scaling>
        <c:delete val="0"/>
        <c:axPos val="l"/>
        <c:majorGridlines>
          <c:spPr>
            <a:ln w="9525" cap="flat" cmpd="sng" algn="ctr">
              <a:solidFill>
                <a:schemeClr val="bg1"/>
              </a:solidFill>
              <a:prstDash val="solid"/>
              <a:round/>
            </a:ln>
            <a:effectLst/>
          </c:spPr>
        </c:majorGridlines>
        <c:numFmt formatCode="#,##0_);\(#,##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729329600"/>
        <c:crosses val="autoZero"/>
        <c:crossBetween val="between"/>
        <c:majorUnit val="25000"/>
      </c:valAx>
      <c:valAx>
        <c:axId val="729331168"/>
        <c:scaling>
          <c:orientation val="minMax"/>
        </c:scaling>
        <c:delete val="1"/>
        <c:axPos val="r"/>
        <c:numFmt formatCode="0%;\(0\)%" sourceLinked="1"/>
        <c:majorTickMark val="out"/>
        <c:minorTickMark val="none"/>
        <c:tickLblPos val="none"/>
        <c:crossAx val="729334696"/>
        <c:crosses val="max"/>
        <c:crossBetween val="between"/>
      </c:valAx>
      <c:catAx>
        <c:axId val="729334696"/>
        <c:scaling>
          <c:orientation val="minMax"/>
        </c:scaling>
        <c:delete val="1"/>
        <c:axPos val="b"/>
        <c:numFmt formatCode="General" sourceLinked="1"/>
        <c:majorTickMark val="out"/>
        <c:minorTickMark val="none"/>
        <c:tickLblPos val="none"/>
        <c:crossAx val="729331168"/>
        <c:crosses val="autoZero"/>
        <c:auto val="1"/>
        <c:lblAlgn val="ctr"/>
        <c:lblOffset val="100"/>
        <c:noMultiLvlLbl val="0"/>
      </c:catAx>
      <c:spPr>
        <a:noFill/>
        <a:ln w="25400">
          <a:noFill/>
        </a:ln>
        <a:effectLst/>
      </c:spPr>
    </c:plotArea>
    <c:legend>
      <c:legendPos val="t"/>
      <c:layout>
        <c:manualLayout>
          <c:xMode val="edge"/>
          <c:yMode val="edge"/>
          <c:x val="4.7459946859748976E-2"/>
          <c:y val="3.1814762926782834E-2"/>
          <c:w val="0.62256248252436353"/>
          <c:h val="7.191295029945335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noFill/>
      <a:prstDash val="solid"/>
      <a:round/>
    </a:ln>
    <a:effectLst/>
  </c:spPr>
  <c:txPr>
    <a:bodyPr/>
    <a:lstStyle/>
    <a:p>
      <a:pPr>
        <a:defRPr/>
      </a:pPr>
      <a:endParaRPr lang="en-US"/>
    </a:p>
  </c:txPr>
  <c:printSettings>
    <c:headerFooter/>
    <c:pageMargins b="0.75000000000001454" l="0.70000000000000062" r="0.70000000000000062" t="0.75000000000001454" header="0.30000000000000032" footer="0.30000000000000032"/>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Southeast  w/oBoca</a:t>
            </a:r>
          </a:p>
        </c:rich>
      </c:tx>
      <c:layout>
        <c:manualLayout>
          <c:xMode val="edge"/>
          <c:yMode val="edge"/>
          <c:x val="0.13742027113486108"/>
          <c:y val="1.020107105908294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8"/>
          <c:order val="0"/>
          <c:tx>
            <c:strRef>
              <c:f>'F&amp;B'!$B$420</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61-4F58-B7BD-9B36CE2FEA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61-4F58-B7BD-9B36CE2FEA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61-4F58-B7BD-9B36CE2FEAF4}"/>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'F&amp;B'!$C$420:$E$420</c:f>
              <c:numCache>
                <c:formatCode>#,##0_);\(#,##0\)</c:formatCode>
                <c:ptCount val="3"/>
                <c:pt idx="0">
                  <c:v>9</c:v>
                </c:pt>
                <c:pt idx="1">
                  <c:v>9</c:v>
                </c:pt>
                <c:pt idx="2">
                  <c:v>5</c:v>
                </c:pt>
              </c:numCache>
            </c:numRef>
          </c:val>
          <c:extLst>
            <c:ext xmlns:c16="http://schemas.microsoft.com/office/drawing/2014/chart" uri="{C3380CC4-5D6E-409C-BE32-E72D297353CC}">
              <c16:uniqueId val="{00000006-0A61-4F58-B7BD-9B36CE2FEAF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75962692123426367"/>
          <c:y val="0.82098243338807486"/>
          <c:w val="3.7808143344769257E-2"/>
          <c:h val="3.915190643670545E-2"/>
        </c:manualLayout>
      </c:layout>
      <c:pieChart>
        <c:varyColors val="1"/>
        <c:ser>
          <c:idx val="4"/>
          <c:order val="0"/>
          <c:tx>
            <c:strRef>
              <c:f>'F&amp;B'!$B$418</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7E-4C48-AF85-AC100027B0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7E-4C48-AF85-AC100027B0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7E-4C48-AF85-AC100027B0E6}"/>
              </c:ext>
            </c:extLst>
          </c:dPt>
          <c:cat>
            <c:strRef>
              <c:f>'F&amp;B'!$C$418:$E$418</c:f>
              <c:strCache>
                <c:ptCount val="3"/>
                <c:pt idx="0">
                  <c:v>1 kitchen</c:v>
                </c:pt>
                <c:pt idx="1">
                  <c:v>2 kitchens</c:v>
                </c:pt>
                <c:pt idx="2">
                  <c:v>3+ kitchens</c:v>
                </c:pt>
              </c:strCache>
            </c:strRef>
          </c:cat>
          <c:val>
            <c:numRef>
              <c:f>'F&amp;B'!$C$418:$E$418</c:f>
              <c:numCache>
                <c:formatCode>#,##0_);\(#,##0\)</c:formatCode>
                <c:ptCount val="3"/>
                <c:pt idx="0">
                  <c:v>0</c:v>
                </c:pt>
                <c:pt idx="1">
                  <c:v>0</c:v>
                </c:pt>
                <c:pt idx="2">
                  <c:v>0</c:v>
                </c:pt>
              </c:numCache>
            </c:numRef>
          </c:val>
          <c:extLst>
            <c:ext xmlns:c16="http://schemas.microsoft.com/office/drawing/2014/chart" uri="{C3380CC4-5D6E-409C-BE32-E72D297353CC}">
              <c16:uniqueId val="{00000006-EF7E-4C48-AF85-AC100027B0E6}"/>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33302116494154982"/>
          <c:y val="0.11850702346200612"/>
          <c:w val="0.56458479550980267"/>
          <c:h val="0.69911799254989471"/>
        </c:manualLayout>
      </c:layout>
      <c:overlay val="0"/>
      <c:spPr>
        <a:noFill/>
        <a:ln>
          <a:noFill/>
        </a:ln>
        <a:effectLst/>
      </c:spPr>
      <c:txPr>
        <a:bodyPr rot="0" spcFirstLastPara="1" vertOverflow="ellipsis" vert="horz" wrap="square" anchor="ctr" anchorCtr="1"/>
        <a:lstStyle/>
        <a:p>
          <a:pPr rtl="0">
            <a:defRPr sz="1200" b="1"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Boca Raton area</a:t>
            </a:r>
          </a:p>
        </c:rich>
      </c:tx>
      <c:layout>
        <c:manualLayout>
          <c:xMode val="edge"/>
          <c:yMode val="edge"/>
          <c:x val="0.16211430141638261"/>
          <c:y val="4.038303807916747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0"/>
          <c:order val="0"/>
          <c:tx>
            <c:strRef>
              <c:f>'F&amp;B'!$B$421</c:f>
              <c:strCache>
                <c:ptCount val="1"/>
                <c:pt idx="0">
                  <c:v>Boca Raton Area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25-4758-8D15-95C325DA6D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25-4758-8D15-95C325DA6D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25-4758-8D15-95C325DA6DB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'F&amp;B'!$C$421:$E$421</c:f>
              <c:numCache>
                <c:formatCode>#,##0_);\(#,##0\)</c:formatCode>
                <c:ptCount val="3"/>
                <c:pt idx="0">
                  <c:v>4</c:v>
                </c:pt>
                <c:pt idx="1">
                  <c:v>6</c:v>
                </c:pt>
                <c:pt idx="2">
                  <c:v>7</c:v>
                </c:pt>
              </c:numCache>
            </c:numRef>
          </c:val>
          <c:extLst>
            <c:ext xmlns:c16="http://schemas.microsoft.com/office/drawing/2014/chart" uri="{C3380CC4-5D6E-409C-BE32-E72D297353CC}">
              <c16:uniqueId val="{00000006-2625-4758-8D15-95C325DA6DB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Southwest</a:t>
            </a:r>
            <a:r>
              <a:rPr lang="en-US" baseline="0"/>
              <a:t> w/o CIRA</a:t>
            </a:r>
            <a:endParaRPr lang="en-US"/>
          </a:p>
        </c:rich>
      </c:tx>
      <c:layout>
        <c:manualLayout>
          <c:xMode val="edge"/>
          <c:yMode val="edge"/>
          <c:x val="9.9573243458057598E-2"/>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0"/>
          <c:order val="0"/>
          <c:tx>
            <c:strRef>
              <c:f>'F&amp;B'!$B$422</c:f>
              <c:strCache>
                <c:ptCount val="1"/>
                <c:pt idx="0">
                  <c:v>Southwest w/o CIRAs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C8-435B-8F54-B9E02898F5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C8-435B-8F54-B9E02898F5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C8-435B-8F54-B9E02898F5D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'F&amp;B'!$C$422:$E$422</c:f>
              <c:numCache>
                <c:formatCode>#,##0_);\(#,##0\)</c:formatCode>
                <c:ptCount val="3"/>
                <c:pt idx="0">
                  <c:v>8</c:v>
                </c:pt>
                <c:pt idx="1">
                  <c:v>14</c:v>
                </c:pt>
                <c:pt idx="2">
                  <c:v>4</c:v>
                </c:pt>
              </c:numCache>
            </c:numRef>
          </c:val>
          <c:extLst>
            <c:ext xmlns:c16="http://schemas.microsoft.com/office/drawing/2014/chart" uri="{C3380CC4-5D6E-409C-BE32-E72D297353CC}">
              <c16:uniqueId val="{00000006-0CC8-435B-8F54-B9E02898F5D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Southwest</a:t>
            </a:r>
            <a:r>
              <a:rPr lang="en-US" baseline="0"/>
              <a:t> CIRA</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0"/>
          <c:order val="0"/>
          <c:tx>
            <c:strRef>
              <c:f>'F&amp;B'!$B$423</c:f>
              <c:strCache>
                <c:ptCount val="1"/>
                <c:pt idx="0">
                  <c:v>Southwest CIRAs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DC-48DD-B065-85FF553A89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DC-48DD-B065-85FF553A89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DC-48DD-B065-85FF553A8905}"/>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'F&amp;B'!$C$423:$E$423</c:f>
              <c:numCache>
                <c:formatCode>#,##0_);\(#,##0\)</c:formatCode>
                <c:ptCount val="3"/>
                <c:pt idx="0">
                  <c:v>8</c:v>
                </c:pt>
                <c:pt idx="1">
                  <c:v>10</c:v>
                </c:pt>
                <c:pt idx="2">
                  <c:v>0</c:v>
                </c:pt>
              </c:numCache>
            </c:numRef>
          </c:val>
          <c:extLst>
            <c:ext xmlns:c16="http://schemas.microsoft.com/office/drawing/2014/chart" uri="{C3380CC4-5D6E-409C-BE32-E72D297353CC}">
              <c16:uniqueId val="{00000006-38DC-48DD-B065-85FF553A890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North</a:t>
            </a:r>
            <a:r>
              <a:rPr lang="en-US" baseline="0"/>
              <a:t> &amp; Central</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4"/>
          <c:order val="0"/>
          <c:tx>
            <c:strRef>
              <c:f>'F&amp;B'!$B$424</c:f>
              <c:strCache>
                <c:ptCount val="1"/>
                <c:pt idx="0">
                  <c:v>North &amp; Central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FB-4C36-AC85-2C28453CD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FB-4C36-AC85-2C28453CD4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FB-4C36-AC85-2C28453CD4B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'F&amp;B'!$C$424:$E$424</c:f>
              <c:numCache>
                <c:formatCode>#,##0_);\(#,##0\)</c:formatCode>
                <c:ptCount val="3"/>
                <c:pt idx="0">
                  <c:v>8</c:v>
                </c:pt>
                <c:pt idx="1">
                  <c:v>7</c:v>
                </c:pt>
                <c:pt idx="2">
                  <c:v>7</c:v>
                </c:pt>
              </c:numCache>
            </c:numRef>
          </c:val>
          <c:extLst>
            <c:ext xmlns:c16="http://schemas.microsoft.com/office/drawing/2014/chart" uri="{C3380CC4-5D6E-409C-BE32-E72D297353CC}">
              <c16:uniqueId val="{00000006-61FB-4C36-AC85-2C28453CD4B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Yacht</a:t>
            </a:r>
            <a:r>
              <a:rPr lang="en-US" baseline="0"/>
              <a:t> &amp; Beach</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4"/>
          <c:order val="0"/>
          <c:tx>
            <c:strRef>
              <c:f>'F&amp;B'!$B$425</c:f>
              <c:strCache>
                <c:ptCount val="1"/>
                <c:pt idx="0">
                  <c:v>Yacht &amp; Beach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4B-4797-A035-F88CB1DA95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4B-4797-A035-F88CB1DA95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4B-4797-A035-F88CB1DA95D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'F&amp;B'!$C$425:$E$425</c:f>
              <c:numCache>
                <c:formatCode>#,##0_);\(#,##0\)</c:formatCode>
                <c:ptCount val="3"/>
                <c:pt idx="0">
                  <c:v>2</c:v>
                </c:pt>
                <c:pt idx="1">
                  <c:v>9</c:v>
                </c:pt>
                <c:pt idx="2">
                  <c:v>1</c:v>
                </c:pt>
              </c:numCache>
            </c:numRef>
          </c:val>
          <c:extLst>
            <c:ext xmlns:c16="http://schemas.microsoft.com/office/drawing/2014/chart" uri="{C3380CC4-5D6E-409C-BE32-E72D297353CC}">
              <c16:uniqueId val="{00000006-E94B-4797-A035-F88CB1DA95D8}"/>
            </c:ext>
          </c:extLst>
        </c:ser>
        <c:dLbls>
          <c:showLegendKey val="0"/>
          <c:showVal val="0"/>
          <c:showCatName val="0"/>
          <c:showSerName val="0"/>
          <c:showPercent val="0"/>
          <c:showBubbleSize val="0"/>
          <c:showLeaderLines val="1"/>
        </c:dLbls>
        <c:firstSliceAng val="0"/>
        <c:extLst/>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Florida</a:t>
            </a:r>
            <a:r>
              <a:rPr lang="en-US" baseline="0"/>
              <a:t> Statewide</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4"/>
          <c:order val="0"/>
          <c:tx>
            <c:strRef>
              <c:f>'F&amp;B'!$B$419</c:f>
              <c:strCache>
                <c:ptCount val="1"/>
                <c:pt idx="0">
                  <c:v>State (exc YB)</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C7-4A7A-9132-FAE22757E2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C7-4A7A-9132-FAE22757E2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C7-4A7A-9132-FAE22757E265}"/>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6="http://schemas.microsoft.com/office/drawing/2014/chart" uri="{C3380CC4-5D6E-409C-BE32-E72D297353CC}">
                  <c16:uniqueId val="{00000001-99C7-4A7A-9132-FAE22757E265}"/>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'F&amp;B'!$C$418:$E$418</c:f>
              <c:strCache>
                <c:ptCount val="3"/>
                <c:pt idx="0">
                  <c:v>1 kitchen</c:v>
                </c:pt>
                <c:pt idx="1">
                  <c:v>2 kitchens</c:v>
                </c:pt>
                <c:pt idx="2">
                  <c:v>3+ kitchens</c:v>
                </c:pt>
              </c:strCache>
            </c:strRef>
          </c:cat>
          <c:val>
            <c:numRef>
              <c:f>'F&amp;B'!$C$419:$E$419</c:f>
              <c:numCache>
                <c:formatCode>#,##0_);\(#,##0\)</c:formatCode>
                <c:ptCount val="3"/>
                <c:pt idx="0">
                  <c:v>37</c:v>
                </c:pt>
                <c:pt idx="1">
                  <c:v>46</c:v>
                </c:pt>
                <c:pt idx="2">
                  <c:v>23</c:v>
                </c:pt>
              </c:numCache>
            </c:numRef>
          </c:val>
          <c:extLst>
            <c:ext xmlns:c16="http://schemas.microsoft.com/office/drawing/2014/chart" uri="{C3380CC4-5D6E-409C-BE32-E72D297353CC}">
              <c16:uniqueId val="{00000006-99C7-4A7A-9132-FAE22757E265}"/>
            </c:ext>
          </c:extLst>
        </c:ser>
        <c:dLbls>
          <c:showLegendKey val="0"/>
          <c:showVal val="0"/>
          <c:showCatName val="0"/>
          <c:showSerName val="0"/>
          <c:showPercent val="0"/>
          <c:showBubbleSize val="0"/>
          <c:showLeaderLines val="1"/>
        </c:dLbls>
        <c:firstSliceAng val="0"/>
        <c:extLst/>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Southeast  w/oBoca</a:t>
            </a:r>
          </a:p>
        </c:rich>
      </c:tx>
      <c:layout>
        <c:manualLayout>
          <c:xMode val="edge"/>
          <c:yMode val="edge"/>
          <c:x val="0.13101723892436221"/>
          <c:y val="4.038504483962341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8"/>
          <c:order val="0"/>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6-4C36-8F8F-69A0331D7E55}"/>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06-1E46-4C36-8F8F-69A0331D7E55}"/>
            </c:ext>
          </c:extLst>
        </c:ser>
        <c:ser>
          <c:idx val="9"/>
          <c:order val="1"/>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0D-1E46-4C36-8F8F-69A0331D7E55}"/>
            </c:ext>
          </c:extLst>
        </c:ser>
        <c:ser>
          <c:idx val="10"/>
          <c:order val="2"/>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14-1E46-4C36-8F8F-69A0331D7E55}"/>
            </c:ext>
          </c:extLst>
        </c:ser>
        <c:ser>
          <c:idx val="11"/>
          <c:order val="3"/>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1B-1E46-4C36-8F8F-69A0331D7E55}"/>
            </c:ext>
          </c:extLst>
        </c:ser>
        <c:ser>
          <c:idx val="12"/>
          <c:order val="4"/>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D-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F-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1-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22-1E46-4C36-8F8F-69A0331D7E55}"/>
            </c:ext>
          </c:extLst>
        </c:ser>
        <c:ser>
          <c:idx val="13"/>
          <c:order val="5"/>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4-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6-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8-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29-1E46-4C36-8F8F-69A0331D7E55}"/>
            </c:ext>
          </c:extLst>
        </c:ser>
        <c:ser>
          <c:idx val="14"/>
          <c:order val="6"/>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B-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D-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F-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30-1E46-4C36-8F8F-69A0331D7E55}"/>
            </c:ext>
          </c:extLst>
        </c:ser>
        <c:ser>
          <c:idx val="15"/>
          <c:order val="7"/>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2-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4-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6-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37-1E46-4C36-8F8F-69A0331D7E55}"/>
            </c:ext>
          </c:extLst>
        </c:ser>
        <c:ser>
          <c:idx val="4"/>
          <c:order val="8"/>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9-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B-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D-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3E-1E46-4C36-8F8F-69A0331D7E55}"/>
            </c:ext>
          </c:extLst>
        </c:ser>
        <c:ser>
          <c:idx val="5"/>
          <c:order val="9"/>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0-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2-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4-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45-1E46-4C36-8F8F-69A0331D7E55}"/>
            </c:ext>
          </c:extLst>
        </c:ser>
        <c:ser>
          <c:idx val="6"/>
          <c:order val="10"/>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7-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9-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B-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4C-1E46-4C36-8F8F-69A0331D7E55}"/>
            </c:ext>
          </c:extLst>
        </c:ser>
        <c:ser>
          <c:idx val="7"/>
          <c:order val="11"/>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E-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0-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2-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53-1E46-4C36-8F8F-69A0331D7E55}"/>
            </c:ext>
          </c:extLst>
        </c:ser>
        <c:ser>
          <c:idx val="2"/>
          <c:order val="12"/>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5-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7-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9-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5A-1E46-4C36-8F8F-69A0331D7E55}"/>
            </c:ext>
          </c:extLst>
        </c:ser>
        <c:ser>
          <c:idx val="3"/>
          <c:order val="13"/>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C-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E-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0-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61-1E46-4C36-8F8F-69A0331D7E55}"/>
            </c:ext>
          </c:extLst>
        </c:ser>
        <c:ser>
          <c:idx val="1"/>
          <c:order val="14"/>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3-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5-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7-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68-1E46-4C36-8F8F-69A0331D7E55}"/>
            </c:ext>
          </c:extLst>
        </c:ser>
        <c:ser>
          <c:idx val="0"/>
          <c:order val="15"/>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A-1E46-4C36-8F8F-69A0331D7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C-1E46-4C36-8F8F-69A0331D7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E-1E46-4C36-8F8F-69A0331D7E55}"/>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6F-1E46-4C36-8F8F-69A0331D7E5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75962692123426367"/>
          <c:y val="0.82098243338807486"/>
          <c:w val="3.7808143344769257E-2"/>
          <c:h val="3.915190643670545E-2"/>
        </c:manualLayout>
      </c:layout>
      <c:pieChart>
        <c:varyColors val="1"/>
        <c:ser>
          <c:idx val="4"/>
          <c:order val="0"/>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06-1FE8-4F37-91A3-1A72F2FC14DE}"/>
            </c:ext>
          </c:extLst>
        </c:ser>
        <c:ser>
          <c:idx val="5"/>
          <c:order val="1"/>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0D-1FE8-4F37-91A3-1A72F2FC14DE}"/>
            </c:ext>
          </c:extLst>
        </c:ser>
        <c:ser>
          <c:idx val="6"/>
          <c:order val="2"/>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14-1FE8-4F37-91A3-1A72F2FC14DE}"/>
            </c:ext>
          </c:extLst>
        </c:ser>
        <c:ser>
          <c:idx val="7"/>
          <c:order val="3"/>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1B-1FE8-4F37-91A3-1A72F2FC14DE}"/>
            </c:ext>
          </c:extLst>
        </c:ser>
        <c:ser>
          <c:idx val="2"/>
          <c:order val="4"/>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D-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F-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1-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22-1FE8-4F37-91A3-1A72F2FC14DE}"/>
            </c:ext>
          </c:extLst>
        </c:ser>
        <c:ser>
          <c:idx val="3"/>
          <c:order val="5"/>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4-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6-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8-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29-1FE8-4F37-91A3-1A72F2FC14DE}"/>
            </c:ext>
          </c:extLst>
        </c:ser>
        <c:ser>
          <c:idx val="1"/>
          <c:order val="6"/>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B-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D-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F-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30-1FE8-4F37-91A3-1A72F2FC14DE}"/>
            </c:ext>
          </c:extLst>
        </c:ser>
        <c:ser>
          <c:idx val="0"/>
          <c:order val="7"/>
          <c:tx>
            <c:strRef>
              <c:f>'F&amp;B'!$D$382</c:f>
              <c:strCache>
                <c:ptCount val="1"/>
                <c:pt idx="0">
                  <c:v>Southeast  w/o Boca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2-1FE8-4F37-91A3-1A72F2FC14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4-1FE8-4F37-91A3-1A72F2FC14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6-1FE8-4F37-91A3-1A72F2FC14DE}"/>
              </c:ext>
            </c:extLst>
          </c:dPt>
          <c:cat>
            <c:strRef>
              <c:f>'F&amp;B'!$E$380:$G$380</c:f>
              <c:strCache>
                <c:ptCount val="3"/>
                <c:pt idx="0">
                  <c:v>Flat Hourly</c:v>
                </c:pt>
                <c:pt idx="1">
                  <c:v>Gratuity + per hr</c:v>
                </c:pt>
                <c:pt idx="2">
                  <c:v>Gratuity + guaranteed rate</c:v>
                </c:pt>
              </c:strCache>
            </c:strRef>
          </c:cat>
          <c:val>
            <c:numRef>
              <c:f>'F&amp;B'!$E$382:$G$382</c:f>
              <c:numCache>
                <c:formatCode>#,##0_);\(#,##0\)</c:formatCode>
                <c:ptCount val="3"/>
                <c:pt idx="0">
                  <c:v>14</c:v>
                </c:pt>
                <c:pt idx="1">
                  <c:v>8</c:v>
                </c:pt>
                <c:pt idx="2">
                  <c:v>1</c:v>
                </c:pt>
              </c:numCache>
            </c:numRef>
          </c:val>
          <c:extLst>
            <c:ext xmlns:c16="http://schemas.microsoft.com/office/drawing/2014/chart" uri="{C3380CC4-5D6E-409C-BE32-E72D297353CC}">
              <c16:uniqueId val="{00000037-1FE8-4F37-91A3-1A72F2FC14D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13758153161656075"/>
          <c:y val="0.21851186105977366"/>
          <c:w val="0.84511979219301492"/>
          <c:h val="0.60048800885249076"/>
        </c:manualLayout>
      </c:layout>
      <c:overlay val="0"/>
      <c:spPr>
        <a:noFill/>
        <a:ln>
          <a:noFill/>
        </a:ln>
        <a:effectLst/>
      </c:spPr>
      <c:txPr>
        <a:bodyPr rot="0" spcFirstLastPara="1" vertOverflow="ellipsis" vert="horz" wrap="square" anchor="ctr" anchorCtr="1"/>
        <a:lstStyle/>
        <a:p>
          <a:pPr algn="l" rtl="0">
            <a:defRPr lang="en-US" sz="1200" b="1" i="0" u="none" strike="noStrike" kern="1200" baseline="0">
              <a:solidFill>
                <a:schemeClr val="tx1">
                  <a:lumMod val="65000"/>
                  <a:lumOff val="35000"/>
                </a:schemeClr>
              </a:solidFill>
              <a:latin typeface="Myriad Web"/>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Boca Raton area</a:t>
            </a:r>
          </a:p>
        </c:rich>
      </c:tx>
      <c:layout>
        <c:manualLayout>
          <c:xMode val="edge"/>
          <c:yMode val="edge"/>
          <c:x val="0.16211430141638261"/>
          <c:y val="4.0383038079167474E-3"/>
        </c:manualLayout>
      </c:layout>
      <c:overlay val="0"/>
      <c:spPr>
        <a:noFill/>
        <a:ln>
          <a:noFill/>
        </a:ln>
        <a:effectLst/>
      </c:sp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0"/>
          <c:order val="0"/>
          <c:tx>
            <c:strRef>
              <c:f>'F&amp;B'!$D$383</c:f>
              <c:strCache>
                <c:ptCount val="1"/>
                <c:pt idx="0">
                  <c:v>Boca Raton Area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C3-4A73-8CEF-E166C5ABCA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C3-4A73-8CEF-E166C5ABCA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C3-4A73-8CEF-E166C5ABCAC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'F&amp;B'!$E$383:$G$383</c:f>
              <c:numCache>
                <c:formatCode>#,##0_);\(#,##0\)</c:formatCode>
                <c:ptCount val="3"/>
                <c:pt idx="0">
                  <c:v>10</c:v>
                </c:pt>
                <c:pt idx="1">
                  <c:v>6</c:v>
                </c:pt>
                <c:pt idx="2">
                  <c:v>1</c:v>
                </c:pt>
              </c:numCache>
            </c:numRef>
          </c:val>
          <c:extLst>
            <c:ext xmlns:c16="http://schemas.microsoft.com/office/drawing/2014/chart" uri="{C3380CC4-5D6E-409C-BE32-E72D297353CC}">
              <c16:uniqueId val="{00000006-53C3-4A73-8CEF-E166C5ABCAC2}"/>
            </c:ext>
          </c:extLst>
        </c:ser>
        <c:ser>
          <c:idx val="4"/>
          <c:order val="1"/>
          <c:tx>
            <c:strRef>
              <c:f>'F&amp;B'!$D$383</c:f>
              <c:strCache>
                <c:ptCount val="1"/>
                <c:pt idx="0">
                  <c:v>Boca Raton Area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53C3-4A73-8CEF-E166C5ABCA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53C3-4A73-8CEF-E166C5ABCA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53C3-4A73-8CEF-E166C5ABCAC2}"/>
              </c:ext>
            </c:extLst>
          </c:dPt>
          <c:cat>
            <c:strRef>
              <c:f>'F&amp;B'!$E$380:$G$380</c:f>
              <c:strCache>
                <c:ptCount val="3"/>
                <c:pt idx="0">
                  <c:v>Flat Hourly</c:v>
                </c:pt>
                <c:pt idx="1">
                  <c:v>Gratuity + per hr</c:v>
                </c:pt>
                <c:pt idx="2">
                  <c:v>Gratuity + guaranteed rate</c:v>
                </c:pt>
              </c:strCache>
            </c:strRef>
          </c:cat>
          <c:val>
            <c:numRef>
              <c:f>'F&amp;B'!$E$383:$G$383</c:f>
              <c:numCache>
                <c:formatCode>#,##0_);\(#,##0\)</c:formatCode>
                <c:ptCount val="3"/>
                <c:pt idx="0">
                  <c:v>10</c:v>
                </c:pt>
                <c:pt idx="1">
                  <c:v>6</c:v>
                </c:pt>
                <c:pt idx="2">
                  <c:v>1</c:v>
                </c:pt>
              </c:numCache>
            </c:numRef>
          </c:val>
          <c:extLst>
            <c:ext xmlns:c16="http://schemas.microsoft.com/office/drawing/2014/chart" uri="{C3380CC4-5D6E-409C-BE32-E72D297353CC}">
              <c16:uniqueId val="{0000000D-53C3-4A73-8CEF-E166C5ABCAC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Southwest</a:t>
            </a:r>
            <a:r>
              <a:rPr lang="en-US" baseline="0"/>
              <a:t> w/o CIRA</a:t>
            </a:r>
            <a:endParaRPr lang="en-US"/>
          </a:p>
        </c:rich>
      </c:tx>
      <c:layout>
        <c:manualLayout>
          <c:xMode val="edge"/>
          <c:yMode val="edge"/>
          <c:x val="9.9573243458057598E-2"/>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0"/>
          <c:order val="0"/>
          <c:tx>
            <c:strRef>
              <c:f>'F&amp;B'!$D$384</c:f>
              <c:strCache>
                <c:ptCount val="1"/>
                <c:pt idx="0">
                  <c:v>Southwest w/o CIRAs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DE-47BD-8D7E-6FEE499DD9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DE-47BD-8D7E-6FEE499DD9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DE-47BD-8D7E-6FEE499DD9C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'F&amp;B'!$E$384:$G$384</c:f>
              <c:numCache>
                <c:formatCode>#,##0_);\(#,##0\)</c:formatCode>
                <c:ptCount val="3"/>
                <c:pt idx="0">
                  <c:v>6</c:v>
                </c:pt>
                <c:pt idx="1">
                  <c:v>16</c:v>
                </c:pt>
                <c:pt idx="2">
                  <c:v>4</c:v>
                </c:pt>
              </c:numCache>
            </c:numRef>
          </c:val>
          <c:extLst>
            <c:ext xmlns:c16="http://schemas.microsoft.com/office/drawing/2014/chart" uri="{C3380CC4-5D6E-409C-BE32-E72D297353CC}">
              <c16:uniqueId val="{00000006-3ADE-47BD-8D7E-6FEE499DD9C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Southwest</a:t>
            </a:r>
            <a:r>
              <a:rPr lang="en-US" baseline="0"/>
              <a:t> CIRA</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0"/>
          <c:order val="0"/>
          <c:tx>
            <c:strRef>
              <c:f>'F&amp;B'!$D$385</c:f>
              <c:strCache>
                <c:ptCount val="1"/>
                <c:pt idx="0">
                  <c:v>Southwest CIRAs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B0-4EB8-B5C9-465CD53BFD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B0-4EB8-B5C9-465CD53BFD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B0-4EB8-B5C9-465CD53BFDC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'F&amp;B'!$E$385:$G$385</c:f>
              <c:numCache>
                <c:formatCode>#,##0_);\(#,##0\)</c:formatCode>
                <c:ptCount val="3"/>
                <c:pt idx="0">
                  <c:v>1</c:v>
                </c:pt>
                <c:pt idx="1">
                  <c:v>15</c:v>
                </c:pt>
                <c:pt idx="2">
                  <c:v>2</c:v>
                </c:pt>
              </c:numCache>
            </c:numRef>
          </c:val>
          <c:extLst>
            <c:ext xmlns:c16="http://schemas.microsoft.com/office/drawing/2014/chart" uri="{C3380CC4-5D6E-409C-BE32-E72D297353CC}">
              <c16:uniqueId val="{00000006-76B0-4EB8-B5C9-465CD53BFDC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North</a:t>
            </a:r>
            <a:r>
              <a:rPr lang="en-US" baseline="0"/>
              <a:t> &amp; Central</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4"/>
          <c:order val="0"/>
          <c:tx>
            <c:strRef>
              <c:f>'F&amp;B'!$D$386</c:f>
              <c:strCache>
                <c:ptCount val="1"/>
                <c:pt idx="0">
                  <c:v>North &amp; Central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34-4DED-99C5-9E6A31EA43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34-4DED-99C5-9E6A31EA43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34-4DED-99C5-9E6A31EA432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'F&amp;B'!$E$386:$G$386</c:f>
              <c:numCache>
                <c:formatCode>#,##0_);\(#,##0\)</c:formatCode>
                <c:ptCount val="3"/>
                <c:pt idx="0">
                  <c:v>9</c:v>
                </c:pt>
                <c:pt idx="1">
                  <c:v>12</c:v>
                </c:pt>
                <c:pt idx="2">
                  <c:v>2</c:v>
                </c:pt>
              </c:numCache>
            </c:numRef>
          </c:val>
          <c:extLst>
            <c:ext xmlns:c16="http://schemas.microsoft.com/office/drawing/2014/chart" uri="{C3380CC4-5D6E-409C-BE32-E72D297353CC}">
              <c16:uniqueId val="{00000006-6C34-4DED-99C5-9E6A31EA432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Yacht</a:t>
            </a:r>
            <a:r>
              <a:rPr lang="en-US" baseline="0"/>
              <a:t> &amp; Beach</a:t>
            </a:r>
            <a:endParaRPr lang="en-US"/>
          </a:p>
        </c:rich>
      </c:tx>
      <c:layout>
        <c:manualLayout>
          <c:xMode val="edge"/>
          <c:yMode val="edge"/>
          <c:x val="0.14322477562897051"/>
          <c:y val="4.0383038079167466E-3"/>
        </c:manualLayout>
      </c:layout>
      <c:overlay val="0"/>
      <c:spPr>
        <a:noFill/>
        <a:ln>
          <a:noFill/>
        </a:ln>
        <a:effectLst/>
      </c:sp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4"/>
          <c:order val="0"/>
          <c:tx>
            <c:strRef>
              <c:f>'F&amp;B'!$D$387</c:f>
              <c:strCache>
                <c:ptCount val="1"/>
                <c:pt idx="0">
                  <c:v>Yacht &amp; Beach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07-4993-AFE1-EAAF975DF5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07-4993-AFE1-EAAF975DF5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07-4993-AFE1-EAAF975DF559}"/>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5A07-4993-AFE1-EAAF975DF559}"/>
                </c:ext>
              </c:extLst>
            </c:dLbl>
            <c:dLbl>
              <c:idx val="1"/>
              <c:layout>
                <c:manualLayout>
                  <c:x val="0.20326107274147703"/>
                  <c:y val="2.9655629570868099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23599983841161354"/>
                      <c:h val="0.11548842038502233"/>
                    </c:manualLayout>
                  </c15:layout>
                </c:ext>
                <c:ext xmlns:c16="http://schemas.microsoft.com/office/drawing/2014/chart" uri="{C3380CC4-5D6E-409C-BE32-E72D297353CC}">
                  <c16:uniqueId val="{00000003-5A07-4993-AFE1-EAAF975DF559}"/>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'F&amp;B'!$E$387:$G$387</c:f>
              <c:numCache>
                <c:formatCode>#,##0_);\(#,##0\)</c:formatCode>
                <c:ptCount val="3"/>
                <c:pt idx="0">
                  <c:v>5</c:v>
                </c:pt>
                <c:pt idx="1">
                  <c:v>7</c:v>
                </c:pt>
                <c:pt idx="2">
                  <c:v>0</c:v>
                </c:pt>
              </c:numCache>
            </c:numRef>
          </c:val>
          <c:extLst>
            <c:ext xmlns:c16="http://schemas.microsoft.com/office/drawing/2014/chart" uri="{C3380CC4-5D6E-409C-BE32-E72D297353CC}">
              <c16:uniqueId val="{00000006-5A07-4993-AFE1-EAAF975DF559}"/>
            </c:ext>
          </c:extLst>
        </c:ser>
        <c:ser>
          <c:idx val="0"/>
          <c:order val="1"/>
          <c:tx>
            <c:strRef>
              <c:f>'Op Rev &amp; Exp'!#REF!</c:f>
              <c:strCache>
                <c:ptCount val="1"/>
                <c:pt idx="0">
                  <c:v>#REF!</c:v>
                </c:pt>
              </c:strCache>
              <c:extLst xmlns:c15="http://schemas.microsoft.com/office/drawing/2012/chart"/>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5A07-4993-AFE1-EAAF975DF5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5A07-4993-AFE1-EAAF975DF5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5A07-4993-AFE1-EAAF975DF559}"/>
              </c:ext>
            </c:extLst>
          </c:dPt>
          <c:cat>
            <c:strRef>
              <c:f>'F&amp;B'!$E$380:$G$380</c:f>
              <c:strCache>
                <c:ptCount val="3"/>
                <c:pt idx="0">
                  <c:v>Flat Hourly</c:v>
                </c:pt>
                <c:pt idx="1">
                  <c:v>Gratuity + per hr</c:v>
                </c:pt>
                <c:pt idx="2">
                  <c:v>Gratuity + guaranteed rate</c:v>
                </c:pt>
              </c:strCache>
              <c:extLst xmlns:c15="http://schemas.microsoft.com/office/drawing/2012/chart"/>
            </c:strRef>
          </c:cat>
          <c:val>
            <c:numRef>
              <c:f>'Op Rev &amp; Exp'!#REF!</c:f>
              <c:numCache>
                <c:formatCode>General</c:formatCode>
                <c:ptCount val="1"/>
                <c:pt idx="0">
                  <c:v>1</c:v>
                </c:pt>
              </c:numCache>
              <c:extLst xmlns:c15="http://schemas.microsoft.com/office/drawing/2012/chart"/>
            </c:numRef>
          </c:val>
          <c:extLst>
            <c:ext xmlns:c16="http://schemas.microsoft.com/office/drawing/2014/chart" uri="{C3380CC4-5D6E-409C-BE32-E72D297353CC}">
              <c16:uniqueId val="{0000000D-5A07-4993-AFE1-EAAF975DF559}"/>
            </c:ext>
          </c:extLst>
        </c:ser>
        <c:dLbls>
          <c:showLegendKey val="0"/>
          <c:showVal val="0"/>
          <c:showCatName val="0"/>
          <c:showSerName val="0"/>
          <c:showPercent val="0"/>
          <c:showBubbleSize val="0"/>
          <c:showLeaderLines val="1"/>
        </c:dLbls>
        <c:firstSliceAng val="0"/>
        <c:extLst/>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Florida</a:t>
            </a:r>
            <a:r>
              <a:rPr lang="en-US" baseline="0"/>
              <a:t> Statewide</a:t>
            </a:r>
            <a:endParaRPr lang="en-US"/>
          </a:p>
        </c:rich>
      </c:tx>
      <c:layout>
        <c:manualLayout>
          <c:xMode val="edge"/>
          <c:yMode val="edge"/>
          <c:x val="0.14322477562897051"/>
          <c:y val="4.038303807916746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3694921970862015E-2"/>
          <c:y val="0.14963572245833892"/>
          <c:w val="0.85936600986557465"/>
          <c:h val="0.82780811241710728"/>
        </c:manualLayout>
      </c:layout>
      <c:pieChart>
        <c:varyColors val="1"/>
        <c:ser>
          <c:idx val="4"/>
          <c:order val="0"/>
          <c:tx>
            <c:strRef>
              <c:f>'F&amp;B'!$D$381</c:f>
              <c:strCache>
                <c:ptCount val="1"/>
                <c:pt idx="0">
                  <c:v>State (exc YB)</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A5-40D3-A7B4-1FC855C74F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A5-40D3-A7B4-1FC855C74F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A5-40D3-A7B4-1FC855C74F6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'F&amp;B'!$E$380:$G$380</c:f>
              <c:strCache>
                <c:ptCount val="3"/>
                <c:pt idx="0">
                  <c:v>Flat Hourly</c:v>
                </c:pt>
                <c:pt idx="1">
                  <c:v>Gratuity + per hr</c:v>
                </c:pt>
                <c:pt idx="2">
                  <c:v>Gratuity + guaranteed rate</c:v>
                </c:pt>
              </c:strCache>
            </c:strRef>
          </c:cat>
          <c:val>
            <c:numRef>
              <c:f>'F&amp;B'!$E$381:$G$381</c:f>
              <c:numCache>
                <c:formatCode>#,##0_);\(#,##0\)</c:formatCode>
                <c:ptCount val="3"/>
                <c:pt idx="0">
                  <c:v>40</c:v>
                </c:pt>
                <c:pt idx="1">
                  <c:v>57</c:v>
                </c:pt>
                <c:pt idx="2">
                  <c:v>10</c:v>
                </c:pt>
              </c:numCache>
            </c:numRef>
          </c:val>
          <c:extLst>
            <c:ext xmlns:c16="http://schemas.microsoft.com/office/drawing/2014/chart" uri="{C3380CC4-5D6E-409C-BE32-E72D297353CC}">
              <c16:uniqueId val="{00000006-0BA5-40D3-A7B4-1FC855C74F6B}"/>
            </c:ext>
          </c:extLst>
        </c:ser>
        <c:ser>
          <c:idx val="0"/>
          <c:order val="1"/>
          <c:tx>
            <c:strRef>
              <c:f>'Op Rev &amp; Exp'!#REF!</c:f>
              <c:strCache>
                <c:ptCount val="1"/>
                <c:pt idx="0">
                  <c:v>#REF!</c:v>
                </c:pt>
              </c:strCache>
              <c:extLst xmlns:c15="http://schemas.microsoft.com/office/drawing/2012/chart"/>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BA5-40D3-A7B4-1FC855C74F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BA5-40D3-A7B4-1FC855C74F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BA5-40D3-A7B4-1FC855C74F6B}"/>
              </c:ext>
            </c:extLst>
          </c:dPt>
          <c:cat>
            <c:strRef>
              <c:f>'F&amp;B'!$E$380:$G$380</c:f>
              <c:strCache>
                <c:ptCount val="3"/>
                <c:pt idx="0">
                  <c:v>Flat Hourly</c:v>
                </c:pt>
                <c:pt idx="1">
                  <c:v>Gratuity + per hr</c:v>
                </c:pt>
                <c:pt idx="2">
                  <c:v>Gratuity + guaranteed rate</c:v>
                </c:pt>
              </c:strCache>
            </c:strRef>
          </c:cat>
          <c:val>
            <c:numRef>
              <c:f>'Op Rev &amp; Exp'!#REF!</c:f>
              <c:numCache>
                <c:formatCode>General</c:formatCode>
                <c:ptCount val="1"/>
                <c:pt idx="0">
                  <c:v>1</c:v>
                </c:pt>
              </c:numCache>
              <c:extLst xmlns:c15="http://schemas.microsoft.com/office/drawing/2012/chart"/>
            </c:numRef>
          </c:val>
          <c:extLst>
            <c:ext xmlns:c16="http://schemas.microsoft.com/office/drawing/2014/chart" uri="{C3380CC4-5D6E-409C-BE32-E72D297353CC}">
              <c16:uniqueId val="{0000000D-0BA5-40D3-A7B4-1FC855C74F6B}"/>
            </c:ext>
          </c:extLst>
        </c:ser>
        <c:dLbls>
          <c:showLegendKey val="0"/>
          <c:showVal val="0"/>
          <c:showCatName val="0"/>
          <c:showSerName val="0"/>
          <c:showPercent val="0"/>
          <c:showBubbleSize val="0"/>
          <c:showLeaderLines val="1"/>
        </c:dLbls>
        <c:firstSliceAng val="0"/>
        <c:extLst/>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r>
              <a:rPr lang="en-US" sz="1200" b="1" i="0" u="none" strike="noStrike" baseline="0">
                <a:solidFill>
                  <a:schemeClr val="accent1"/>
                </a:solidFill>
              </a:rPr>
              <a:t>Statewide Country Clubs</a:t>
            </a:r>
            <a:r>
              <a:rPr lang="en-US" sz="1200" b="0" i="0" u="none" strike="noStrike" baseline="0">
                <a:solidFill>
                  <a:schemeClr val="accent1"/>
                </a:solidFill>
              </a:rPr>
              <a:t> </a:t>
            </a:r>
          </a:p>
          <a:p>
            <a:pPr>
              <a:defRPr/>
            </a:pPr>
            <a:r>
              <a:rPr lang="en-US" sz="1200" b="1" i="0" u="none" strike="noStrike" baseline="0">
                <a:solidFill>
                  <a:schemeClr val="accent1"/>
                </a:solidFill>
              </a:rPr>
              <a:t>Food &amp; beverage sales volume</a:t>
            </a:r>
            <a:r>
              <a:rPr lang="en-US" sz="1200" b="0" i="0" u="none" strike="noStrike" baseline="0">
                <a:solidFill>
                  <a:schemeClr val="accent1"/>
                </a:solidFill>
              </a:rPr>
              <a:t> </a:t>
            </a:r>
          </a:p>
          <a:p>
            <a:pPr>
              <a:defRPr/>
            </a:pPr>
            <a:r>
              <a:rPr lang="en-US" sz="1050" b="1" i="0" u="none" strike="noStrike" baseline="0">
                <a:solidFill>
                  <a:schemeClr val="accent1"/>
                </a:solidFill>
              </a:rPr>
              <a:t>(Thousands)</a:t>
            </a:r>
            <a:r>
              <a:rPr lang="en-US" sz="1050" b="0" i="0" u="none" strike="noStrike" baseline="0">
                <a:solidFill>
                  <a:schemeClr val="accent1"/>
                </a:solidFill>
              </a:rPr>
              <a:t> </a:t>
            </a:r>
            <a:endParaRPr lang="en-US" sz="1050">
              <a:solidFill>
                <a:schemeClr val="accent1"/>
              </a:solidFill>
            </a:endParaRPr>
          </a:p>
        </c:rich>
      </c:tx>
      <c:overlay val="0"/>
      <c:spPr>
        <a:noFill/>
        <a:ln>
          <a:noFill/>
        </a:ln>
        <a:effectLst/>
      </c:spPr>
      <c:txPr>
        <a:bodyPr rot="0" spcFirstLastPara="1" vertOverflow="ellipsis" vert="horz" wrap="square" anchor="ctr" anchorCtr="1"/>
        <a:lstStyle/>
        <a:p>
          <a:pPr>
            <a:defRPr sz="1200" b="0" i="0" u="none" strike="noStrike" kern="1200" baseline="0">
              <a:solidFill>
                <a:srgbClr val="000000"/>
              </a:solidFill>
              <a:latin typeface="Calibri"/>
              <a:ea typeface="Calibri"/>
              <a:cs typeface="Calibri"/>
            </a:defRPr>
          </a:pPr>
          <a:endParaRPr lang="en-US"/>
        </a:p>
      </c:txPr>
    </c:title>
    <c:autoTitleDeleted val="0"/>
    <c:plotArea>
      <c:layout>
        <c:manualLayout>
          <c:layoutTarget val="inner"/>
          <c:xMode val="edge"/>
          <c:yMode val="edge"/>
          <c:x val="6.7374353693342798E-2"/>
          <c:y val="0.18908700893207236"/>
          <c:w val="0.90412097785643397"/>
          <c:h val="0.7288187884858397"/>
        </c:manualLayout>
      </c:layout>
      <c:barChart>
        <c:barDir val="col"/>
        <c:grouping val="stacked"/>
        <c:varyColors val="0"/>
        <c:ser>
          <c:idx val="4"/>
          <c:order val="0"/>
          <c:tx>
            <c:strRef>
              <c:f>'F&amp;B'!$A$262</c:f>
              <c:strCache>
                <c:ptCount val="1"/>
                <c:pt idx="0">
                  <c:v>Food</c:v>
                </c:pt>
              </c:strCache>
            </c:strRef>
          </c:tx>
          <c:spPr>
            <a:solidFill>
              <a:schemeClr val="accent2"/>
            </a:solidFill>
            <a:ln>
              <a:noFill/>
            </a:ln>
            <a:effectLst/>
          </c:spPr>
          <c:invertIfNegative val="0"/>
          <c:dLbls>
            <c:dLbl>
              <c:idx val="0"/>
              <c:layout>
                <c:manualLayout>
                  <c:x val="-1.3910500857103262E-3"/>
                  <c:y val="9.44566303063087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30-492F-A984-196B194F5269}"/>
                </c:ext>
              </c:extLst>
            </c:dLbl>
            <c:dLbl>
              <c:idx val="1"/>
              <c:layout>
                <c:manualLayout>
                  <c:x val="-6.9708568244320593E-5"/>
                  <c:y val="0.10629898704729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0-492F-A984-196B194F5269}"/>
                </c:ext>
              </c:extLst>
            </c:dLbl>
            <c:dLbl>
              <c:idx val="2"/>
              <c:layout>
                <c:manualLayout>
                  <c:x val="-2.6656764581888008E-3"/>
                  <c:y val="7.33563056787054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30-492F-A984-196B194F5269}"/>
                </c:ext>
              </c:extLst>
            </c:dLbl>
            <c:dLbl>
              <c:idx val="3"/>
              <c:layout>
                <c:manualLayout>
                  <c:x val="-1.3799700393981186E-3"/>
                  <c:y val="7.9320099346471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0-492F-A984-196B194F5269}"/>
                </c:ext>
              </c:extLst>
            </c:dLbl>
            <c:dLbl>
              <c:idx val="4"/>
              <c:layout>
                <c:manualLayout>
                  <c:x val="-2.6427128992893667E-3"/>
                  <c:y val="0.12523966702308539"/>
                </c:manualLayout>
              </c:layout>
              <c:tx>
                <c:rich>
                  <a:bodyPr/>
                  <a:lstStyle/>
                  <a:p>
                    <a:r>
                      <a:rPr lang="en-US"/>
                      <a:t>$2,187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BA8F-4266-A7D4-4B73389959A4}"/>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'F&amp;B'!$Q$261:$X$261</c15:sqref>
                  </c15:fullRef>
                </c:ext>
              </c:extLst>
              <c:f>'F&amp;B'!$T$261:$X$261</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'F&amp;B'!$Q$262:$X$262</c15:sqref>
                  </c15:fullRef>
                </c:ext>
              </c:extLst>
              <c:f>'F&amp;B'!$T$262:$X$262</c:f>
              <c:numCache>
                <c:formatCode>\$#,##0;\-"£"#,##0</c:formatCode>
                <c:ptCount val="5"/>
                <c:pt idx="0">
                  <c:v>1826000</c:v>
                </c:pt>
                <c:pt idx="1">
                  <c:v>1970501</c:v>
                </c:pt>
                <c:pt idx="2">
                  <c:v>1629500</c:v>
                </c:pt>
                <c:pt idx="3">
                  <c:v>1543700</c:v>
                </c:pt>
                <c:pt idx="4">
                  <c:v>2187500</c:v>
                </c:pt>
              </c:numCache>
            </c:numRef>
          </c:val>
          <c:extLst>
            <c:ext xmlns:c15="http://schemas.microsoft.com/office/drawing/2012/chart" uri="{02D57815-91ED-43cb-92C2-25804820EDAC}">
              <c15:categoryFilterExceptions>
                <c15:categoryFilterException>
                  <c15:sqref>'F&amp;B'!$Q$262</c15:sqref>
                  <c15:dLbl>
                    <c:idx val="-1"/>
                    <c:layout>
                      <c:manualLayout>
                        <c:x val="-5.5641756465670805E-3"/>
                        <c:y val="9.1559715213703569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0-2D2C-4D58-8531-FD8A3C1A374A}"/>
                      </c:ext>
                    </c:extLst>
                  </c15:dLbl>
                </c15:categoryFilterException>
                <c15:categoryFilterException>
                  <c15:sqref>'F&amp;B'!$R$262</c15:sqref>
                  <c15:dLbl>
                    <c:idx val="-1"/>
                    <c:layout>
                      <c:manualLayout>
                        <c:x val="-2.4360642782484494E-17"/>
                        <c:y val="9.4683442301704931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1-2D2C-4D58-8531-FD8A3C1A374A}"/>
                      </c:ext>
                    </c:extLst>
                  </c15:dLbl>
                </c15:categoryFilterException>
                <c15:categoryFilterException>
                  <c15:sqref>'F&amp;B'!$S$262</c15:sqref>
                  <c15:dLbl>
                    <c:idx val="-1"/>
                    <c:layout>
                      <c:manualLayout>
                        <c:x val="-1.3207158862466367E-3"/>
                        <c:y val="0.12129370181125579"/>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2-2D2C-4D58-8531-FD8A3C1A374A}"/>
                      </c:ext>
                    </c:extLst>
                  </c15:dLbl>
                </c15:categoryFilterException>
              </c15:categoryFilterExceptions>
            </c:ext>
            <c:ext xmlns:c16="http://schemas.microsoft.com/office/drawing/2014/chart" uri="{C3380CC4-5D6E-409C-BE32-E72D297353CC}">
              <c16:uniqueId val="{00000007-A130-492F-A984-196B194F5269}"/>
            </c:ext>
          </c:extLst>
        </c:ser>
        <c:ser>
          <c:idx val="0"/>
          <c:order val="1"/>
          <c:tx>
            <c:strRef>
              <c:f>'F&amp;B'!$A$263</c:f>
              <c:strCache>
                <c:ptCount val="1"/>
                <c:pt idx="0">
                  <c:v>Beverage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'F&amp;B'!$Q$261:$X$261</c15:sqref>
                  </c15:fullRef>
                </c:ext>
              </c:extLst>
              <c:f>'F&amp;B'!$T$261:$X$261</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'F&amp;B'!$Q$263:$X$263</c15:sqref>
                  </c15:fullRef>
                </c:ext>
              </c:extLst>
              <c:f>'F&amp;B'!$T$263:$X$263</c:f>
              <c:numCache>
                <c:formatCode>\$#,##0;\-"£"#,##0</c:formatCode>
                <c:ptCount val="5"/>
                <c:pt idx="0">
                  <c:v>630900</c:v>
                </c:pt>
                <c:pt idx="1">
                  <c:v>700499</c:v>
                </c:pt>
                <c:pt idx="2">
                  <c:v>543499</c:v>
                </c:pt>
                <c:pt idx="3">
                  <c:v>634400</c:v>
                </c:pt>
                <c:pt idx="4">
                  <c:v>886600</c:v>
                </c:pt>
              </c:numCache>
            </c:numRef>
          </c:val>
          <c:extLst>
            <c:ext xmlns:c16="http://schemas.microsoft.com/office/drawing/2014/chart" uri="{C3380CC4-5D6E-409C-BE32-E72D297353CC}">
              <c16:uniqueId val="{00000008-A130-492F-A984-196B194F5269}"/>
            </c:ext>
          </c:extLst>
        </c:ser>
        <c:dLbls>
          <c:showLegendKey val="0"/>
          <c:showVal val="0"/>
          <c:showCatName val="0"/>
          <c:showSerName val="0"/>
          <c:showPercent val="0"/>
          <c:showBubbleSize val="0"/>
        </c:dLbls>
        <c:gapWidth val="80"/>
        <c:overlap val="100"/>
        <c:axId val="590630216"/>
        <c:axId val="590630608"/>
      </c:barChart>
      <c:lineChart>
        <c:grouping val="standard"/>
        <c:varyColors val="0"/>
        <c:ser>
          <c:idx val="1"/>
          <c:order val="2"/>
          <c:tx>
            <c:strRef>
              <c:f>'F&amp;B'!$A$264</c:f>
              <c:strCache>
                <c:ptCount val="1"/>
                <c:pt idx="0">
                  <c:v>Food and Beverage Revenue</c:v>
                </c:pt>
              </c:strCache>
            </c:strRef>
          </c:tx>
          <c:spPr>
            <a:ln w="28575" cap="rnd" cmpd="sng" algn="ctr">
              <a:no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'F&amp;B'!$Q$261:$X$261</c15:sqref>
                  </c15:fullRef>
                </c:ext>
              </c:extLst>
              <c:f>'F&amp;B'!$T$261:$X$261</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'F&amp;B'!$Q$264:$X$264</c15:sqref>
                  </c15:fullRef>
                </c:ext>
              </c:extLst>
              <c:f>'F&amp;B'!$T$264:$X$264</c:f>
              <c:numCache>
                <c:formatCode>\$#,##0;\-"£"#,##0</c:formatCode>
                <c:ptCount val="5"/>
                <c:pt idx="0">
                  <c:v>2456900</c:v>
                </c:pt>
                <c:pt idx="1">
                  <c:v>2671300</c:v>
                </c:pt>
                <c:pt idx="2">
                  <c:v>2173000</c:v>
                </c:pt>
                <c:pt idx="3">
                  <c:v>2178100</c:v>
                </c:pt>
                <c:pt idx="4">
                  <c:v>3074100</c:v>
                </c:pt>
              </c:numCache>
            </c:numRef>
          </c:val>
          <c:smooth val="0"/>
          <c:extLst>
            <c:ext xmlns:c16="http://schemas.microsoft.com/office/drawing/2014/chart" uri="{C3380CC4-5D6E-409C-BE32-E72D297353CC}">
              <c16:uniqueId val="{00000009-A130-492F-A984-196B194F5269}"/>
            </c:ext>
          </c:extLst>
        </c:ser>
        <c:dLbls>
          <c:showLegendKey val="0"/>
          <c:showVal val="0"/>
          <c:showCatName val="0"/>
          <c:showSerName val="0"/>
          <c:showPercent val="0"/>
          <c:showBubbleSize val="0"/>
        </c:dLbls>
        <c:marker val="1"/>
        <c:smooth val="0"/>
        <c:axId val="590630216"/>
        <c:axId val="590630608"/>
      </c:lineChart>
      <c:lineChart>
        <c:grouping val="standard"/>
        <c:varyColors val="0"/>
        <c:ser>
          <c:idx val="2"/>
          <c:order val="3"/>
          <c:tx>
            <c:strRef>
              <c:f>'F&amp;B'!$A$265</c:f>
              <c:strCache>
                <c:ptCount val="1"/>
                <c:pt idx="0">
                  <c:v>Food Revenue %</c:v>
                </c:pt>
              </c:strCache>
            </c:strRef>
          </c:tx>
          <c:spPr>
            <a:ln w="28575" cap="rnd" cmpd="sng" algn="ctr">
              <a:noFill/>
              <a:prstDash val="solid"/>
              <a:round/>
            </a:ln>
            <a:effectLst/>
          </c:spPr>
          <c:marker>
            <c:symbol val="none"/>
          </c:marker>
          <c:dLbls>
            <c:dLbl>
              <c:idx val="0"/>
              <c:layout>
                <c:manualLayout>
                  <c:x val="-2.6539196399625303E-2"/>
                  <c:y val="-3.90703619647084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8F-4266-A7D4-4B73389959A4}"/>
                </c:ext>
              </c:extLst>
            </c:dLbl>
            <c:dLbl>
              <c:idx val="1"/>
              <c:layout>
                <c:manualLayout>
                  <c:x val="-2.6539196399625327E-2"/>
                  <c:y val="-4.80160524663575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8F-4266-A7D4-4B73389959A4}"/>
                </c:ext>
              </c:extLst>
            </c:dLbl>
            <c:dLbl>
              <c:idx val="3"/>
              <c:layout>
                <c:manualLayout>
                  <c:x val="-2.787841396831597E-2"/>
                  <c:y val="-3.0124671463059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8F-4266-A7D4-4B73389959A4}"/>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'F&amp;B'!$Q$261:$X$261</c15:sqref>
                  </c15:fullRef>
                </c:ext>
              </c:extLst>
              <c:f>'F&amp;B'!$T$261:$X$261</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'F&amp;B'!$Q$265:$X$265</c15:sqref>
                  </c15:fullRef>
                </c:ext>
              </c:extLst>
              <c:f>'F&amp;B'!$T$265:$X$265</c:f>
              <c:numCache>
                <c:formatCode>0.0%</c:formatCode>
                <c:ptCount val="5"/>
                <c:pt idx="0">
                  <c:v>0.74299999999999999</c:v>
                </c:pt>
                <c:pt idx="1">
                  <c:v>0.73799999999999999</c:v>
                </c:pt>
                <c:pt idx="2">
                  <c:v>0.75</c:v>
                </c:pt>
                <c:pt idx="3">
                  <c:v>0.70899999999999996</c:v>
                </c:pt>
                <c:pt idx="4">
                  <c:v>0.71199999999999997</c:v>
                </c:pt>
              </c:numCache>
            </c:numRef>
          </c:val>
          <c:smooth val="0"/>
          <c:extLst>
            <c:ext xmlns:c16="http://schemas.microsoft.com/office/drawing/2014/chart" uri="{C3380CC4-5D6E-409C-BE32-E72D297353CC}">
              <c16:uniqueId val="{00000011-A130-492F-A984-196B194F5269}"/>
            </c:ext>
          </c:extLst>
        </c:ser>
        <c:ser>
          <c:idx val="3"/>
          <c:order val="4"/>
          <c:tx>
            <c:strRef>
              <c:f>'F&amp;B'!$A$266</c:f>
              <c:strCache>
                <c:ptCount val="1"/>
                <c:pt idx="0">
                  <c:v>Beverage Revenue %</c:v>
                </c:pt>
              </c:strCache>
            </c:strRef>
          </c:tx>
          <c:spPr>
            <a:ln w="28575" cap="rnd" cmpd="sng" algn="ctr">
              <a:noFill/>
              <a:prstDash val="solid"/>
              <a:round/>
            </a:ln>
            <a:effectLst/>
          </c:spPr>
          <c:marker>
            <c:symbol val="none"/>
          </c:marker>
          <c:dLbls>
            <c:dLbl>
              <c:idx val="0"/>
              <c:layout>
                <c:manualLayout>
                  <c:x val="-2.7337411527341805E-2"/>
                  <c:y val="-0.440036402620876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8F-4266-A7D4-4B73389959A4}"/>
                </c:ext>
              </c:extLst>
            </c:dLbl>
            <c:dLbl>
              <c:idx val="1"/>
              <c:layout>
                <c:manualLayout>
                  <c:x val="-2.8774448459565543E-2"/>
                  <c:y val="-0.47619131474414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8F-4266-A7D4-4B73389959A4}"/>
                </c:ext>
              </c:extLst>
            </c:dLbl>
            <c:dLbl>
              <c:idx val="2"/>
              <c:layout>
                <c:manualLayout>
                  <c:x val="-2.9131938967755521E-2"/>
                  <c:y val="-0.3800706920865153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8F-4266-A7D4-4B73389959A4}"/>
                </c:ext>
              </c:extLst>
            </c:dLbl>
            <c:dLbl>
              <c:idx val="3"/>
              <c:layout>
                <c:manualLayout>
                  <c:x val="-3.2305561909120713E-2"/>
                  <c:y val="-0.3681146945528023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5.0263925359226372E-2"/>
                      <c:h val="4.5339858756703988E-2"/>
                    </c:manualLayout>
                  </c15:layout>
                </c:ext>
                <c:ext xmlns:c16="http://schemas.microsoft.com/office/drawing/2014/chart" uri="{C3380CC4-5D6E-409C-BE32-E72D297353CC}">
                  <c16:uniqueId val="{00000007-BA8F-4266-A7D4-4B73389959A4}"/>
                </c:ext>
              </c:extLst>
            </c:dLbl>
            <c:dLbl>
              <c:idx val="4"/>
              <c:layout>
                <c:manualLayout>
                  <c:x val="-2.918187943455729E-2"/>
                  <c:y val="-0.5516509142683528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A8F-4266-A7D4-4B73389959A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'F&amp;B'!$Q$261:$X$261</c15:sqref>
                  </c15:fullRef>
                </c:ext>
              </c:extLst>
              <c:f>'F&amp;B'!$T$261:$X$261</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'F&amp;B'!$Q$266:$X$266</c15:sqref>
                  </c15:fullRef>
                </c:ext>
              </c:extLst>
              <c:f>'F&amp;B'!$T$266:$X$266</c:f>
              <c:numCache>
                <c:formatCode>0.0%</c:formatCode>
                <c:ptCount val="5"/>
                <c:pt idx="0">
                  <c:v>0.25700000000000001</c:v>
                </c:pt>
                <c:pt idx="1">
                  <c:v>0.26200000000000001</c:v>
                </c:pt>
                <c:pt idx="2">
                  <c:v>0.25</c:v>
                </c:pt>
                <c:pt idx="3">
                  <c:v>0.29099999999999998</c:v>
                </c:pt>
                <c:pt idx="4">
                  <c:v>0.28799999999999998</c:v>
                </c:pt>
              </c:numCache>
            </c:numRef>
          </c:val>
          <c:smooth val="0"/>
          <c:extLst>
            <c:ext xmlns:c15="http://schemas.microsoft.com/office/drawing/2012/chart" uri="{02D57815-91ED-43cb-92C2-25804820EDAC}">
              <c15:categoryFilterExceptions>
                <c15:categoryFilterException>
                  <c15:sqref>'F&amp;B'!$Q$266</c15:sqref>
                  <c15:dLbl>
                    <c:idx val="-1"/>
                    <c:layout>
                      <c:manualLayout>
                        <c:x val="-3.0065398512225526E-2"/>
                        <c:y val="-0.40946961212331245"/>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3-2D2C-4D58-8531-FD8A3C1A374A}"/>
                      </c:ext>
                    </c:extLst>
                  </c15:dLbl>
                </c15:categoryFilterException>
                <c15:categoryFilterException>
                  <c15:sqref>'F&amp;B'!$R$266</c15:sqref>
                  <c15:dLbl>
                    <c:idx val="-1"/>
                    <c:layout>
                      <c:manualLayout>
                        <c:x val="-2.781531320018394E-2"/>
                        <c:y val="-0.4334234007054181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Calibri"/>
                            <a:ea typeface="Calibri"/>
                            <a:cs typeface="Calibri"/>
                          </a:defRPr>
                        </a:pPr>
                        <a:endParaRPr lang="en-US"/>
                      </a:p>
                    </c:txPr>
                    <c:dLblPos val="r"/>
                    <c:showLegendKey val="0"/>
                    <c:showVal val="1"/>
                    <c:showCatName val="0"/>
                    <c:showSerName val="0"/>
                    <c:showPercent val="0"/>
                    <c:showBubbleSize val="0"/>
                    <c:extLst xmlns:c16="http://schemas.microsoft.com/office/drawing/2014/chart">
                      <c:ext uri="{CE6537A1-D6FC-4f65-9D91-7224C49458BB}">
                        <c15:layout>
                          <c:manualLayout>
                            <c:w val="4.1388738641680349E-2"/>
                            <c:h val="5.4285549258352953E-2"/>
                          </c:manualLayout>
                        </c15:layout>
                      </c:ext>
                      <c:ext xmlns:c16="http://schemas.microsoft.com/office/drawing/2014/chart" uri="{C3380CC4-5D6E-409C-BE32-E72D297353CC}">
                        <c16:uniqueId val="{00000004-2D2C-4D58-8531-FD8A3C1A374A}"/>
                      </c:ext>
                    </c:extLst>
                  </c15:dLbl>
                </c15:categoryFilterException>
                <c15:categoryFilterException>
                  <c15:sqref>'F&amp;B'!$S$266</c15:sqref>
                  <c15:dLbl>
                    <c:idx val="-1"/>
                    <c:layout>
                      <c:manualLayout>
                        <c:x val="-2.9596168767739704E-2"/>
                        <c:y val="-0.46902349218156042"/>
                      </c:manualLayout>
                    </c:layout>
                    <c:dLblPos val="r"/>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5-2D2C-4D58-8531-FD8A3C1A374A}"/>
                      </c:ext>
                    </c:extLst>
                  </c15:dLbl>
                </c15:categoryFilterException>
              </c15:categoryFilterExceptions>
            </c:ext>
            <c:ext xmlns:c16="http://schemas.microsoft.com/office/drawing/2014/chart" uri="{C3380CC4-5D6E-409C-BE32-E72D297353CC}">
              <c16:uniqueId val="{00000019-A130-492F-A984-196B194F5269}"/>
            </c:ext>
          </c:extLst>
        </c:ser>
        <c:dLbls>
          <c:showLegendKey val="0"/>
          <c:showVal val="0"/>
          <c:showCatName val="0"/>
          <c:showSerName val="0"/>
          <c:showPercent val="0"/>
          <c:showBubbleSize val="0"/>
        </c:dLbls>
        <c:marker val="1"/>
        <c:smooth val="0"/>
        <c:axId val="590633744"/>
        <c:axId val="590631784"/>
      </c:lineChart>
      <c:catAx>
        <c:axId val="590630216"/>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0608"/>
        <c:crosses val="autoZero"/>
        <c:auto val="1"/>
        <c:lblAlgn val="ctr"/>
        <c:lblOffset val="100"/>
        <c:noMultiLvlLbl val="0"/>
      </c:catAx>
      <c:valAx>
        <c:axId val="590630608"/>
        <c:scaling>
          <c:orientation val="minMax"/>
        </c:scaling>
        <c:delete val="0"/>
        <c:axPos val="l"/>
        <c:majorGridlines>
          <c:spPr>
            <a:ln w="9525" cap="flat" cmpd="sng" algn="ctr">
              <a:solidFill>
                <a:schemeClr val="bg1"/>
              </a:solidFill>
              <a:prstDash val="solid"/>
              <a:round/>
            </a:ln>
            <a:effectLst/>
          </c:spPr>
        </c:majorGridlines>
        <c:numFmt formatCode="\$#,##0;\-&quot;£&quot;#,##0"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0216"/>
        <c:crosses val="autoZero"/>
        <c:crossBetween val="between"/>
        <c:dispUnits>
          <c:builtInUnit val="thousands"/>
        </c:dispUnits>
      </c:valAx>
      <c:valAx>
        <c:axId val="590631784"/>
        <c:scaling>
          <c:orientation val="minMax"/>
        </c:scaling>
        <c:delete val="1"/>
        <c:axPos val="r"/>
        <c:numFmt formatCode="0.0%" sourceLinked="1"/>
        <c:majorTickMark val="out"/>
        <c:minorTickMark val="none"/>
        <c:tickLblPos val="none"/>
        <c:crossAx val="590633744"/>
        <c:crosses val="max"/>
        <c:crossBetween val="between"/>
      </c:valAx>
      <c:catAx>
        <c:axId val="590633744"/>
        <c:scaling>
          <c:orientation val="minMax"/>
        </c:scaling>
        <c:delete val="1"/>
        <c:axPos val="b"/>
        <c:numFmt formatCode="General" sourceLinked="1"/>
        <c:majorTickMark val="out"/>
        <c:minorTickMark val="none"/>
        <c:tickLblPos val="none"/>
        <c:crossAx val="590631784"/>
        <c:crosses val="autoZero"/>
        <c:auto val="1"/>
        <c:lblAlgn val="ctr"/>
        <c:lblOffset val="100"/>
        <c:noMultiLvlLbl val="0"/>
      </c:catAx>
      <c:spPr>
        <a:noFill/>
        <a:ln>
          <a:noFill/>
        </a:ln>
        <a:effectLst/>
      </c:spPr>
    </c:plotArea>
    <c:legend>
      <c:legendPos val="t"/>
      <c:legendEntry>
        <c:idx val="2"/>
        <c:delete val="1"/>
      </c:legendEntry>
      <c:legendEntry>
        <c:idx val="3"/>
        <c:delete val="1"/>
      </c:legendEntry>
      <c:legendEntry>
        <c:idx val="4"/>
        <c:delete val="1"/>
      </c:legendEntry>
      <c:layout>
        <c:manualLayout>
          <c:xMode val="edge"/>
          <c:yMode val="edge"/>
          <c:x val="5.0764668886641336E-2"/>
          <c:y val="9.4577187008058491E-2"/>
          <c:w val="0.12901744797442727"/>
          <c:h val="5.3921382172577165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r>
              <a:rPr lang="en-US" sz="1200">
                <a:solidFill>
                  <a:srgbClr val="376091"/>
                </a:solidFill>
              </a:rPr>
              <a:t>Payroll Costs per hole</a:t>
            </a:r>
            <a:r>
              <a:rPr lang="en-US" sz="1200" b="1" i="0" u="none" strike="noStrike" kern="1200" baseline="0">
                <a:solidFill>
                  <a:srgbClr val="376091"/>
                </a:solidFill>
                <a:latin typeface="Calibri"/>
                <a:ea typeface="Calibri"/>
                <a:cs typeface="Calibri"/>
              </a:rPr>
              <a:t>: multiple courses</a:t>
            </a:r>
          </a:p>
        </c:rich>
      </c:tx>
      <c:layout>
        <c:manualLayout>
          <c:xMode val="edge"/>
          <c:yMode val="edge"/>
          <c:x val="0.40686869109902063"/>
          <c:y val="5.0841445946735904E-3"/>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endParaRPr lang="en-US"/>
        </a:p>
      </c:txPr>
    </c:title>
    <c:autoTitleDeleted val="0"/>
    <c:plotArea>
      <c:layout>
        <c:manualLayout>
          <c:layoutTarget val="inner"/>
          <c:xMode val="edge"/>
          <c:yMode val="edge"/>
          <c:x val="7.1753984059172923E-2"/>
          <c:y val="7.040400002509653E-2"/>
          <c:w val="0.91284952096712513"/>
          <c:h val="0.61234183597101155"/>
        </c:manualLayout>
      </c:layout>
      <c:barChart>
        <c:barDir val="col"/>
        <c:grouping val="clustered"/>
        <c:varyColors val="0"/>
        <c:ser>
          <c:idx val="0"/>
          <c:order val="0"/>
          <c:tx>
            <c:strRef>
              <c:f>Golf!$A$389</c:f>
              <c:strCache>
                <c:ptCount val="1"/>
                <c:pt idx="0">
                  <c:v>2022</c:v>
                </c:pt>
              </c:strCache>
            </c:strRef>
          </c:tx>
          <c:spPr>
            <a:solidFill>
              <a:schemeClr val="accent1"/>
            </a:solidFill>
            <a:ln>
              <a:noFill/>
            </a:ln>
            <a:effectLst/>
          </c:spPr>
          <c:invertIfNegative val="0"/>
          <c:cat>
            <c:strRef>
              <c:f>Golf!$B$388:$G$388</c:f>
              <c:strCache>
                <c:ptCount val="6"/>
                <c:pt idx="0">
                  <c:v>Florida                        Statewide</c:v>
                </c:pt>
                <c:pt idx="1">
                  <c:v>Southeast                                 w/o Boca</c:v>
                </c:pt>
                <c:pt idx="2">
                  <c:v>Boca Raton                         Area</c:v>
                </c:pt>
                <c:pt idx="3">
                  <c:v>Southwest                         w/o CIRAs</c:v>
                </c:pt>
                <c:pt idx="4">
                  <c:v>Southwest                      CIRAs</c:v>
                </c:pt>
                <c:pt idx="5">
                  <c:v>North &amp;                         Central</c:v>
                </c:pt>
              </c:strCache>
            </c:strRef>
          </c:cat>
          <c:val>
            <c:numRef>
              <c:f>Golf!$B$389:$G$389</c:f>
              <c:numCache>
                <c:formatCode>_("$"* #,##0\ \ _);_("$"* \(#,##0\)\ \ ;_("$"* "-"??_);_(@_)</c:formatCode>
                <c:ptCount val="6"/>
                <c:pt idx="0">
                  <c:v>59500</c:v>
                </c:pt>
                <c:pt idx="1">
                  <c:v>60600</c:v>
                </c:pt>
                <c:pt idx="2">
                  <c:v>60300</c:v>
                </c:pt>
                <c:pt idx="3">
                  <c:v>60300</c:v>
                </c:pt>
                <c:pt idx="5">
                  <c:v>59600</c:v>
                </c:pt>
              </c:numCache>
            </c:numRef>
          </c:val>
          <c:extLst>
            <c:ext xmlns:c16="http://schemas.microsoft.com/office/drawing/2014/chart" uri="{C3380CC4-5D6E-409C-BE32-E72D297353CC}">
              <c16:uniqueId val="{00000000-4B28-47C1-A438-8BCB35778430}"/>
            </c:ext>
          </c:extLst>
        </c:ser>
        <c:ser>
          <c:idx val="1"/>
          <c:order val="1"/>
          <c:tx>
            <c:strRef>
              <c:f>Golf!$A$390</c:f>
              <c:strCache>
                <c:ptCount val="1"/>
                <c:pt idx="0">
                  <c:v>2021</c:v>
                </c:pt>
              </c:strCache>
            </c:strRef>
          </c:tx>
          <c:spPr>
            <a:solidFill>
              <a:schemeClr val="accent2"/>
            </a:solidFill>
            <a:ln>
              <a:noFill/>
            </a:ln>
            <a:effectLst/>
          </c:spPr>
          <c:invertIfNegative val="0"/>
          <c:cat>
            <c:strRef>
              <c:f>Golf!$B$388:$G$388</c:f>
              <c:strCache>
                <c:ptCount val="6"/>
                <c:pt idx="0">
                  <c:v>Florida                        Statewide</c:v>
                </c:pt>
                <c:pt idx="1">
                  <c:v>Southeast                                 w/o Boca</c:v>
                </c:pt>
                <c:pt idx="2">
                  <c:v>Boca Raton                         Area</c:v>
                </c:pt>
                <c:pt idx="3">
                  <c:v>Southwest                         w/o CIRAs</c:v>
                </c:pt>
                <c:pt idx="4">
                  <c:v>Southwest                      CIRAs</c:v>
                </c:pt>
                <c:pt idx="5">
                  <c:v>North &amp;                         Central</c:v>
                </c:pt>
              </c:strCache>
            </c:strRef>
          </c:cat>
          <c:val>
            <c:numRef>
              <c:f>Golf!$B$390:$G$390</c:f>
              <c:numCache>
                <c:formatCode>_("$"* #,##0\ \ _);_("$"* \(#,##0\)\ \ ;_("$"* "-"??_);_(@_)</c:formatCode>
                <c:ptCount val="6"/>
                <c:pt idx="0">
                  <c:v>54600</c:v>
                </c:pt>
                <c:pt idx="1">
                  <c:v>57100</c:v>
                </c:pt>
                <c:pt idx="2">
                  <c:v>57100</c:v>
                </c:pt>
                <c:pt idx="3">
                  <c:v>56200</c:v>
                </c:pt>
                <c:pt idx="5">
                  <c:v>48400</c:v>
                </c:pt>
              </c:numCache>
            </c:numRef>
          </c:val>
          <c:extLst>
            <c:ext xmlns:c16="http://schemas.microsoft.com/office/drawing/2014/chart" uri="{C3380CC4-5D6E-409C-BE32-E72D297353CC}">
              <c16:uniqueId val="{00000001-4B28-47C1-A438-8BCB35778430}"/>
            </c:ext>
          </c:extLst>
        </c:ser>
        <c:ser>
          <c:idx val="2"/>
          <c:order val="2"/>
          <c:tx>
            <c:strRef>
              <c:f>Golf!$A$391</c:f>
              <c:strCache>
                <c:ptCount val="1"/>
                <c:pt idx="0">
                  <c:v>2020</c:v>
                </c:pt>
              </c:strCache>
            </c:strRef>
          </c:tx>
          <c:spPr>
            <a:solidFill>
              <a:schemeClr val="accent3"/>
            </a:solidFill>
            <a:ln>
              <a:noFill/>
            </a:ln>
            <a:effectLst/>
          </c:spPr>
          <c:invertIfNegative val="0"/>
          <c:cat>
            <c:strRef>
              <c:f>Golf!$B$388:$G$388</c:f>
              <c:strCache>
                <c:ptCount val="6"/>
                <c:pt idx="0">
                  <c:v>Florida                        Statewide</c:v>
                </c:pt>
                <c:pt idx="1">
                  <c:v>Southeast                                 w/o Boca</c:v>
                </c:pt>
                <c:pt idx="2">
                  <c:v>Boca Raton                         Area</c:v>
                </c:pt>
                <c:pt idx="3">
                  <c:v>Southwest                         w/o CIRAs</c:v>
                </c:pt>
                <c:pt idx="4">
                  <c:v>Southwest                      CIRAs</c:v>
                </c:pt>
                <c:pt idx="5">
                  <c:v>North &amp;                         Central</c:v>
                </c:pt>
              </c:strCache>
            </c:strRef>
          </c:cat>
          <c:val>
            <c:numRef>
              <c:f>Golf!$B$391:$G$391</c:f>
              <c:numCache>
                <c:formatCode>_("$"* #,##0\ \ _);_("$"* \(#,##0\)\ \ ;_("$"* "-"??_);_(@_)</c:formatCode>
                <c:ptCount val="6"/>
                <c:pt idx="0">
                  <c:v>53400</c:v>
                </c:pt>
                <c:pt idx="1">
                  <c:v>49600</c:v>
                </c:pt>
                <c:pt idx="2">
                  <c:v>55700</c:v>
                </c:pt>
                <c:pt idx="3">
                  <c:v>56900</c:v>
                </c:pt>
                <c:pt idx="5">
                  <c:v>48600</c:v>
                </c:pt>
              </c:numCache>
            </c:numRef>
          </c:val>
          <c:extLst>
            <c:ext xmlns:c16="http://schemas.microsoft.com/office/drawing/2014/chart" uri="{C3380CC4-5D6E-409C-BE32-E72D297353CC}">
              <c16:uniqueId val="{00000002-4B28-47C1-A438-8BCB35778430}"/>
            </c:ext>
          </c:extLst>
        </c:ser>
        <c:dLbls>
          <c:showLegendKey val="0"/>
          <c:showVal val="0"/>
          <c:showCatName val="0"/>
          <c:showSerName val="0"/>
          <c:showPercent val="0"/>
          <c:showBubbleSize val="0"/>
        </c:dLbls>
        <c:gapWidth val="150"/>
        <c:axId val="590635312"/>
        <c:axId val="590631000"/>
      </c:barChart>
      <c:catAx>
        <c:axId val="590635312"/>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1000"/>
        <c:crossesAt val="30000"/>
        <c:auto val="1"/>
        <c:lblAlgn val="ctr"/>
        <c:lblOffset val="100"/>
        <c:noMultiLvlLbl val="0"/>
      </c:catAx>
      <c:valAx>
        <c:axId val="590631000"/>
        <c:scaling>
          <c:orientation val="minMax"/>
          <c:max val="62500"/>
          <c:min val="45000"/>
        </c:scaling>
        <c:delete val="0"/>
        <c:axPos val="l"/>
        <c:majorGridlines>
          <c:spPr>
            <a:ln w="9525" cap="flat" cmpd="sng" algn="ctr">
              <a:solidFill>
                <a:schemeClr val="tx1">
                  <a:tint val="75000"/>
                  <a:shade val="95000"/>
                  <a:satMod val="105000"/>
                </a:schemeClr>
              </a:solidFill>
              <a:prstDash val="solid"/>
              <a:round/>
            </a:ln>
            <a:effectLst/>
          </c:spPr>
        </c:majorGridlines>
        <c:numFmt formatCode="&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5312"/>
        <c:crosses val="autoZero"/>
        <c:crossBetween val="between"/>
        <c:majorUnit val="2500"/>
        <c:minorUnit val="2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noFill/>
        <a:ln w="6350">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0"/>
      <c:rotY val="0"/>
      <c:depthPercent val="100"/>
      <c:rAngAx val="0"/>
      <c:perspective val="0"/>
    </c:view3D>
    <c:floor>
      <c:thickness val="0"/>
      <c:spPr>
        <a:noFill/>
        <a:ln w="9525" cap="flat" cmpd="sng" algn="ctr">
          <a:solidFill>
            <a:schemeClr val="tx1">
              <a:tint val="75000"/>
              <a:shade val="95000"/>
              <a:satMod val="105000"/>
            </a:schemeClr>
          </a:solidFill>
          <a:prstDash val="solid"/>
          <a:round/>
        </a:ln>
        <a:effectLst/>
        <a:sp3d contourW="9525">
          <a:contourClr>
            <a:schemeClr val="tx1">
              <a:tint val="75000"/>
              <a:shade val="95000"/>
              <a:satMod val="10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053929173084675E-2"/>
          <c:y val="3.4102909567168209E-2"/>
          <c:w val="0.88972133298865896"/>
          <c:h val="0.90447031142995971"/>
        </c:manualLayout>
      </c:layout>
      <c:area3DChart>
        <c:grouping val="stacked"/>
        <c:varyColors val="0"/>
        <c:ser>
          <c:idx val="0"/>
          <c:order val="0"/>
          <c:tx>
            <c:strRef>
              <c:f>Golf!$A$153</c:f>
              <c:strCache>
                <c:ptCount val="1"/>
                <c:pt idx="0">
                  <c:v>Salaries &amp; wages</c:v>
                </c:pt>
              </c:strCache>
            </c:strRef>
          </c:tx>
          <c:spPr>
            <a:solidFill>
              <a:schemeClr val="accent1"/>
            </a:solidFill>
            <a:ln>
              <a:noFill/>
            </a:ln>
            <a:effectLst/>
            <a:sp3d/>
          </c:spPr>
          <c:dLbls>
            <c:dLbl>
              <c:idx val="0"/>
              <c:layout>
                <c:manualLayout>
                  <c:x val="2.6737604833826915E-2"/>
                  <c:y val="-4.9821983275682338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5481-473A-B91C-A49D00CBCAB3}"/>
                </c:ext>
              </c:extLst>
            </c:dLbl>
            <c:dLbl>
              <c:idx val="1"/>
              <c:layout>
                <c:manualLayout>
                  <c:x val="-7.7099676643789736E-3"/>
                  <c:y val="-4.5706731226407671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5481-473A-B91C-A49D00CBCAB3}"/>
                </c:ext>
              </c:extLst>
            </c:dLbl>
            <c:dLbl>
              <c:idx val="2"/>
              <c:layout>
                <c:manualLayout>
                  <c:x val="-9.8999264653290807E-3"/>
                  <c:y val="-5.2743407735712407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5481-473A-B91C-A49D00CBCAB3}"/>
                </c:ext>
              </c:extLst>
            </c:dLbl>
            <c:dLbl>
              <c:idx val="3"/>
              <c:layout>
                <c:manualLayout>
                  <c:x val="-3.9254661798972822E-2"/>
                  <c:y val="-4.53195972643419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81-473A-B91C-A49D00CBCAB3}"/>
                </c:ext>
              </c:extLst>
            </c:dLbl>
            <c:dLbl>
              <c:idx val="4"/>
              <c:layout>
                <c:manualLayout>
                  <c:x val="-3.402359141095064E-2"/>
                  <c:y val="-3.58553678866792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81-473A-B91C-A49D00CBCAB3}"/>
                </c:ext>
              </c:extLst>
            </c:dLbl>
            <c:dLbl>
              <c:idx val="5"/>
              <c:layout>
                <c:manualLayout>
                  <c:x val="-2.9143897996357052E-3"/>
                  <c:y val="-9.25266903914648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81-473A-B91C-A49D00CBCAB3}"/>
                </c:ext>
              </c:extLst>
            </c:dLbl>
            <c:dLbl>
              <c:idx val="6"/>
              <c:layout>
                <c:manualLayout>
                  <c:x val="-1.3114754098361107E-2"/>
                  <c:y val="-0.102016607354685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81-473A-B91C-A49D00CBCAB3}"/>
                </c:ext>
              </c:extLst>
            </c:dLbl>
            <c:dLbl>
              <c:idx val="7"/>
              <c:layout>
                <c:manualLayout>
                  <c:x val="-2.9143929436671462E-2"/>
                  <c:y val="-8.76504709500076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81-473A-B91C-A49D00CBCAB3}"/>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Golf!$R$153:$Y$153</c15:sqref>
                  </c15:fullRef>
                </c:ext>
              </c:extLst>
              <c:f>Golf!$U$153:$Y$153</c:f>
              <c:numCache>
                <c:formatCode>_("$"* #,##0_);_("$"* \(#,##0\);_("$"* "-"??_);_(@_)</c:formatCode>
                <c:ptCount val="5"/>
                <c:pt idx="0">
                  <c:v>41300</c:v>
                </c:pt>
                <c:pt idx="1">
                  <c:v>44300</c:v>
                </c:pt>
                <c:pt idx="2">
                  <c:v>44700</c:v>
                </c:pt>
                <c:pt idx="3">
                  <c:v>46000</c:v>
                </c:pt>
                <c:pt idx="4">
                  <c:v>50700</c:v>
                </c:pt>
              </c:numCache>
            </c:numRef>
          </c:val>
          <c:extLst>
            <c:ext xmlns:c15="http://schemas.microsoft.com/office/drawing/2012/chart" uri="{02D57815-91ED-43cb-92C2-25804820EDAC}">
              <c15:categoryFilterExceptions>
                <c15:categoryFilterException>
                  <c15:sqref>Golf!$R$153</c15:sqref>
                  <c15:dLbl>
                    <c:idx val="-1"/>
                    <c:layout>
                      <c:manualLayout>
                        <c:x val="3.4315312186531596E-2"/>
                        <c:y val="-3.384952587893076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0-7AFD-4C09-B30E-18F27D9155A5}"/>
                      </c:ext>
                    </c:extLst>
                  </c15:dLbl>
                </c15:categoryFilterException>
                <c15:categoryFilterException>
                  <c15:sqref>Golf!$S$153</c15:sqref>
                  <c15:dLbl>
                    <c:idx val="-1"/>
                    <c:layout>
                      <c:manualLayout>
                        <c:x val="2.7326278346061647E-2"/>
                        <c:y val="-5.6022423548196656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1-7AFD-4C09-B30E-18F27D9155A5}"/>
                      </c:ext>
                    </c:extLst>
                  </c15:dLbl>
                </c15:categoryFilterException>
                <c15:categoryFilterException>
                  <c15:sqref>Golf!$T$153</c15:sqref>
                  <c15:dLbl>
                    <c:idx val="-1"/>
                    <c:layout>
                      <c:manualLayout>
                        <c:x val="3.2117775148460086E-2"/>
                        <c:y val="-5.5050400117514345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2-7AFD-4C09-B30E-18F27D9155A5}"/>
                      </c:ext>
                    </c:extLst>
                  </c15:dLbl>
                </c15:categoryFilterException>
              </c15:categoryFilterExceptions>
            </c:ext>
            <c:ext xmlns:c16="http://schemas.microsoft.com/office/drawing/2014/chart" uri="{C3380CC4-5D6E-409C-BE32-E72D297353CC}">
              <c16:uniqueId val="{0000000B-5481-473A-B91C-A49D00CBCAB3}"/>
            </c:ext>
          </c:extLst>
        </c:ser>
        <c:ser>
          <c:idx val="1"/>
          <c:order val="1"/>
          <c:tx>
            <c:strRef>
              <c:f>Golf!$A$154</c:f>
              <c:strCache>
                <c:ptCount val="1"/>
                <c:pt idx="0">
                  <c:v>PTEB</c:v>
                </c:pt>
              </c:strCache>
            </c:strRef>
          </c:tx>
          <c:spPr>
            <a:solidFill>
              <a:schemeClr val="accent2"/>
            </a:solidFill>
            <a:ln>
              <a:noFill/>
            </a:ln>
            <a:effectLst/>
            <a:sp3d/>
          </c:spPr>
          <c:dLbls>
            <c:dLbl>
              <c:idx val="0"/>
              <c:layout>
                <c:manualLayout>
                  <c:x val="2.965199946467633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88-4C03-B1E7-C13F4822B005}"/>
                </c:ext>
              </c:extLst>
            </c:dLbl>
            <c:dLbl>
              <c:idx val="1"/>
              <c:layout>
                <c:manualLayout>
                  <c:x val="-3.3890396125786314E-3"/>
                  <c:y val="0"/>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E-5481-473A-B91C-A49D00CBCAB3}"/>
                </c:ext>
              </c:extLst>
            </c:dLbl>
            <c:dLbl>
              <c:idx val="2"/>
              <c:layout>
                <c:manualLayout>
                  <c:x val="-5.2277561658012096E-3"/>
                  <c:y val="-1.0493434759730759E-4"/>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extLst xmlns:c15="http://schemas.microsoft.com/office/drawing/2012/chart">
                <c:ext xmlns:c15="http://schemas.microsoft.com/office/drawing/2012/chart" uri="{CE6537A1-D6FC-4f65-9D91-7224C49458BB}">
                  <c15:layout>
                    <c:manualLayout>
                      <c:w val="4.9994227631370465E-2"/>
                      <c:h val="3.8920757838899922E-2"/>
                    </c:manualLayout>
                  </c15:layout>
                </c:ext>
                <c:ext xmlns:c16="http://schemas.microsoft.com/office/drawing/2014/chart" uri="{C3380CC4-5D6E-409C-BE32-E72D297353CC}">
                  <c16:uniqueId val="{0000000F-5481-473A-B91C-A49D00CBCAB3}"/>
                </c:ext>
              </c:extLst>
            </c:dLbl>
            <c:dLbl>
              <c:idx val="3"/>
              <c:layout>
                <c:manualLayout>
                  <c:x val="-3.533433771257296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481-473A-B91C-A49D00CBCAB3}"/>
                </c:ext>
              </c:extLst>
            </c:dLbl>
            <c:dLbl>
              <c:idx val="4"/>
              <c:layout>
                <c:manualLayout>
                  <c:x val="-3.6768479336198666E-2"/>
                  <c:y val="9.85586572430621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88-4C03-B1E7-C13F4822B005}"/>
                </c:ext>
              </c:extLst>
            </c:dLbl>
            <c:dLbl>
              <c:idx val="7"/>
              <c:layout>
                <c:manualLayout>
                  <c:x val="-2.6536105273753403E-2"/>
                  <c:y val="3.24713759707215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481-473A-B91C-A49D00CBCAB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Golf!$R$154:$Y$154</c15:sqref>
                  </c15:fullRef>
                </c:ext>
              </c:extLst>
              <c:f>Golf!$U$154:$Y$154</c:f>
              <c:numCache>
                <c:formatCode>_("$"* #,##0_);_("$"* \(#,##0\);_("$"* "-"??_);_(@_)</c:formatCode>
                <c:ptCount val="5"/>
                <c:pt idx="0">
                  <c:v>9100</c:v>
                </c:pt>
                <c:pt idx="1">
                  <c:v>9200</c:v>
                </c:pt>
                <c:pt idx="2">
                  <c:v>8700</c:v>
                </c:pt>
                <c:pt idx="3">
                  <c:v>8600</c:v>
                </c:pt>
                <c:pt idx="4">
                  <c:v>8800</c:v>
                </c:pt>
              </c:numCache>
            </c:numRef>
          </c:val>
          <c:extLst>
            <c:ext xmlns:c15="http://schemas.microsoft.com/office/drawing/2012/chart" uri="{02D57815-91ED-43cb-92C2-25804820EDAC}">
              <c15:categoryFilterExceptions>
                <c15:categoryFilterException>
                  <c15:sqref>Golf!$R$154</c15:sqref>
                  <c15:dLbl>
                    <c:idx val="-1"/>
                    <c:layout>
                      <c:manualLayout>
                        <c:x val="2.9428754389150543E-2"/>
                        <c:y val="-3.515982632706824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3-7AFD-4C09-B30E-18F27D9155A5}"/>
                      </c:ext>
                    </c:extLst>
                  </c15:dLbl>
                </c15:categoryFilterException>
                <c15:categoryFilterException>
                  <c15:sqref>Golf!$S$154</c15:sqref>
                  <c15:dLbl>
                    <c:idx val="-1"/>
                    <c:layout>
                      <c:manualLayout>
                        <c:x val="2.0816737312444475E-2"/>
                        <c:y val="-2.4656881055983284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4-7AFD-4C09-B30E-18F27D9155A5}"/>
                      </c:ext>
                    </c:extLst>
                  </c15:dLbl>
                </c15:categoryFilterException>
                <c15:categoryFilterException>
                  <c15:sqref>Golf!$T$154</c15:sqref>
                  <c15:dLbl>
                    <c:idx val="-1"/>
                    <c:layout>
                      <c:manualLayout>
                        <c:x val="3.6874575469338658E-2"/>
                        <c:y val="-9.623464738444761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5-7AFD-4C09-B30E-18F27D9155A5}"/>
                      </c:ext>
                    </c:extLst>
                  </c15:dLbl>
                </c15:categoryFilterException>
              </c15:categoryFilterExceptions>
            </c:ext>
            <c:ext xmlns:c16="http://schemas.microsoft.com/office/drawing/2014/chart" uri="{C3380CC4-5D6E-409C-BE32-E72D297353CC}">
              <c16:uniqueId val="{00000012-5481-473A-B91C-A49D00CBCAB3}"/>
            </c:ext>
          </c:extLst>
        </c:ser>
        <c:ser>
          <c:idx val="2"/>
          <c:order val="2"/>
          <c:tx>
            <c:strRef>
              <c:f>Golf!$A$155</c:f>
              <c:strCache>
                <c:ptCount val="1"/>
                <c:pt idx="0">
                  <c:v>Course supplies</c:v>
                </c:pt>
              </c:strCache>
            </c:strRef>
          </c:tx>
          <c:spPr>
            <a:solidFill>
              <a:schemeClr val="accent3"/>
            </a:solidFill>
            <a:ln>
              <a:noFill/>
            </a:ln>
            <a:effectLst/>
            <a:sp3d/>
          </c:spPr>
          <c:dLbls>
            <c:dLbl>
              <c:idx val="0"/>
              <c:layout>
                <c:manualLayout>
                  <c:x val="2.4907679550328118E-2"/>
                  <c:y val="-7.39189929322966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88-4C03-B1E7-C13F4822B005}"/>
                </c:ext>
              </c:extLst>
            </c:dLbl>
            <c:dLbl>
              <c:idx val="1"/>
              <c:layout>
                <c:manualLayout>
                  <c:x val="-5.2173620360081475E-3"/>
                  <c:y val="-4.6075570211648103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5-5481-473A-B91C-A49D00CBCAB3}"/>
                </c:ext>
              </c:extLst>
            </c:dLbl>
            <c:dLbl>
              <c:idx val="2"/>
              <c:layout>
                <c:manualLayout>
                  <c:x val="-7.6012317174249996E-3"/>
                  <c:y val="3.7364088694527842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6-5481-473A-B91C-A49D00CBCAB3}"/>
                </c:ext>
              </c:extLst>
            </c:dLbl>
            <c:dLbl>
              <c:idx val="3"/>
              <c:layout>
                <c:manualLayout>
                  <c:x val="-3.6859522599639948E-2"/>
                  <c:y val="3.232398241747727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481-473A-B91C-A49D00CBCAB3}"/>
                </c:ext>
              </c:extLst>
            </c:dLbl>
            <c:dLbl>
              <c:idx val="4"/>
              <c:layout>
                <c:manualLayout>
                  <c:x val="-4.0326719271959827E-2"/>
                  <c:y val="2.7103630741842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88-4C03-B1E7-C13F4822B005}"/>
                </c:ext>
              </c:extLst>
            </c:dLbl>
            <c:dLbl>
              <c:idx val="7"/>
              <c:layout>
                <c:manualLayout>
                  <c:x val="-2.884359268886256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481-473A-B91C-A49D00CBCAB3}"/>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Golf!$R$155:$Y$155</c15:sqref>
                  </c15:fullRef>
                </c:ext>
              </c:extLst>
              <c:f>Golf!$U$155:$Y$155</c:f>
              <c:numCache>
                <c:formatCode>_("$"* #,##0_);_("$"* \(#,##0\);_("$"* "-"??_);_(@_)</c:formatCode>
                <c:ptCount val="5"/>
                <c:pt idx="0">
                  <c:v>21700</c:v>
                </c:pt>
                <c:pt idx="1">
                  <c:v>22500</c:v>
                </c:pt>
                <c:pt idx="2">
                  <c:v>23200</c:v>
                </c:pt>
                <c:pt idx="3">
                  <c:v>24900</c:v>
                </c:pt>
                <c:pt idx="4">
                  <c:v>27600</c:v>
                </c:pt>
              </c:numCache>
            </c:numRef>
          </c:val>
          <c:extLst>
            <c:ext xmlns:c15="http://schemas.microsoft.com/office/drawing/2012/chart" uri="{02D57815-91ED-43cb-92C2-25804820EDAC}">
              <c15:categoryFilterExceptions>
                <c15:categoryFilterException>
                  <c15:sqref>Golf!$R$155</c15:sqref>
                  <c15:dLbl>
                    <c:idx val="-1"/>
                    <c:layout>
                      <c:manualLayout>
                        <c:x val="2.4772313296903492E-2"/>
                        <c:y val="-2.3724792408066431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6-7AFD-4C09-B30E-18F27D9155A5}"/>
                      </c:ext>
                    </c:extLst>
                  </c15:dLbl>
                </c15:categoryFilterException>
                <c15:categoryFilterException>
                  <c15:sqref>Golf!$S$155</c15:sqref>
                  <c15:dLbl>
                    <c:idx val="-1"/>
                    <c:layout>
                      <c:manualLayout>
                        <c:x val="3.2520396580566241E-2"/>
                        <c:y val="0"/>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7-7AFD-4C09-B30E-18F27D9155A5}"/>
                      </c:ext>
                    </c:extLst>
                  </c15:dLbl>
                </c15:categoryFilterException>
                <c15:categoryFilterException>
                  <c15:sqref>Golf!$T$155</c15:sqref>
                  <c15:dLbl>
                    <c:idx val="-1"/>
                    <c:layout>
                      <c:manualLayout>
                        <c:x val="3.4490144811411383E-2"/>
                        <c:y val="-9.623464738444761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8-7AFD-4C09-B30E-18F27D9155A5}"/>
                      </c:ext>
                    </c:extLst>
                  </c15:dLbl>
                </c15:categoryFilterException>
              </c15:categoryFilterExceptions>
            </c:ext>
            <c:ext xmlns:c16="http://schemas.microsoft.com/office/drawing/2014/chart" uri="{C3380CC4-5D6E-409C-BE32-E72D297353CC}">
              <c16:uniqueId val="{00000019-5481-473A-B91C-A49D00CBCAB3}"/>
            </c:ext>
          </c:extLst>
        </c:ser>
        <c:ser>
          <c:idx val="3"/>
          <c:order val="3"/>
          <c:tx>
            <c:strRef>
              <c:f>Golf!$A$156</c:f>
              <c:strCache>
                <c:ptCount val="1"/>
                <c:pt idx="0">
                  <c:v>Repairs </c:v>
                </c:pt>
              </c:strCache>
            </c:strRef>
          </c:tx>
          <c:spPr>
            <a:solidFill>
              <a:schemeClr val="accent4"/>
            </a:solidFill>
            <a:ln>
              <a:noFill/>
            </a:ln>
            <a:effectLst/>
            <a:sp3d/>
          </c:spPr>
          <c:dLbls>
            <c:dLbl>
              <c:idx val="0"/>
              <c:layout>
                <c:manualLayout>
                  <c:x val="2.8596388283733867E-2"/>
                  <c:y val="7.75761399579496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481-473A-B91C-A49D00CBCAB3}"/>
                </c:ext>
              </c:extLst>
            </c:dLbl>
            <c:dLbl>
              <c:idx val="1"/>
              <c:layout>
                <c:manualLayout>
                  <c:x val="-3.2062612458259843E-3"/>
                  <c:y val="1.4152376440357828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E-5481-473A-B91C-A49D00CBCAB3}"/>
                </c:ext>
              </c:extLst>
            </c:dLbl>
            <c:dLbl>
              <c:idx val="2"/>
              <c:layout>
                <c:manualLayout>
                  <c:x val="-5.2271791249420907E-3"/>
                  <c:y val="3.7364088694527399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F-5481-473A-B91C-A49D00CBCAB3}"/>
                </c:ext>
              </c:extLst>
            </c:dLbl>
            <c:dLbl>
              <c:idx val="3"/>
              <c:layout>
                <c:manualLayout>
                  <c:x val="-3.5030271694948628E-2"/>
                  <c:y val="4.80681703676910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481-473A-B91C-A49D00CBCAB3}"/>
                </c:ext>
              </c:extLst>
            </c:dLbl>
            <c:dLbl>
              <c:idx val="4"/>
              <c:layout>
                <c:manualLayout>
                  <c:x val="-3.6768479336198666E-2"/>
                  <c:y val="1.97117314486124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88-4C03-B1E7-C13F4822B005}"/>
                </c:ext>
              </c:extLst>
            </c:dLbl>
            <c:dLbl>
              <c:idx val="7"/>
              <c:layout>
                <c:manualLayout>
                  <c:x val="-2.884359268886239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481-473A-B91C-A49D00CBCAB3}"/>
                </c:ext>
              </c:extLst>
            </c:dLbl>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Golf!$R$156:$Y$156</c15:sqref>
                  </c15:fullRef>
                </c:ext>
              </c:extLst>
              <c:f>Golf!$U$156:$Y$156</c:f>
              <c:numCache>
                <c:formatCode>_("$"* #,##0_);_("$"* \(#,##0\);_("$"* "-"??_);_(@_)</c:formatCode>
                <c:ptCount val="5"/>
                <c:pt idx="0">
                  <c:v>6100</c:v>
                </c:pt>
                <c:pt idx="1">
                  <c:v>6500</c:v>
                </c:pt>
                <c:pt idx="2">
                  <c:v>6600</c:v>
                </c:pt>
                <c:pt idx="3">
                  <c:v>6800</c:v>
                </c:pt>
                <c:pt idx="4">
                  <c:v>7000</c:v>
                </c:pt>
              </c:numCache>
            </c:numRef>
          </c:val>
          <c:extLst>
            <c:ext xmlns:c15="http://schemas.microsoft.com/office/drawing/2012/chart" uri="{02D57815-91ED-43cb-92C2-25804820EDAC}">
              <c15:categoryFilterExceptions>
                <c15:categoryFilterException>
                  <c15:sqref>Golf!$R$156</c15:sqref>
                  <c15:dLbl>
                    <c:idx val="-1"/>
                    <c:layout>
                      <c:manualLayout>
                        <c:x val="3.1454126503840808E-2"/>
                        <c:y val="3.01609958428882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9-7AFD-4C09-B30E-18F27D9155A5}"/>
                      </c:ext>
                    </c:extLst>
                  </c15:dLbl>
                </c15:categoryFilterException>
                <c15:categoryFilterException>
                  <c15:sqref>Golf!$S$156</c15:sqref>
                  <c15:dLbl>
                    <c:idx val="-1"/>
                    <c:layout>
                      <c:manualLayout>
                        <c:x val="1.8583632473426738E-2"/>
                        <c:y val="6.0768047022342108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A-7AFD-4C09-B30E-18F27D9155A5}"/>
                      </c:ext>
                    </c:extLst>
                  </c15:dLbl>
                </c15:categoryFilterException>
                <c15:categoryFilterException>
                  <c15:sqref>Golf!$T$156</c15:sqref>
                  <c15:dLbl>
                    <c:idx val="-1"/>
                    <c:layout>
                      <c:manualLayout>
                        <c:x val="3.5746090986340434E-2"/>
                        <c:y val="2.8321589318152894E-3"/>
                      </c:manualLayout>
                    </c:layout>
                    <c:spPr>
                      <a:noFill/>
                      <a:ln>
                        <a:noFill/>
                      </a:ln>
                      <a:effectLst/>
                    </c:spPr>
                    <c:txPr>
                      <a:bodyPr rot="0" spcFirstLastPara="1" vertOverflow="ellipsis" vert="horz" wrap="square" lIns="38100" tIns="19050" rIns="38100" bIns="19050" anchor="ctr" anchorCtr="0">
                        <a:noAutofit/>
                      </a:bodyPr>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extLst xmlns:c16="http://schemas.microsoft.com/office/drawing/2014/chart">
                      <c:ext uri="{CE6537A1-D6FC-4f65-9D91-7224C49458BB}">
                        <c15:layout>
                          <c:manualLayout>
                            <c:w val="4.7630285509835515E-2"/>
                            <c:h val="3.1699760263624761E-2"/>
                          </c:manualLayout>
                        </c15:layout>
                      </c:ext>
                      <c:ext xmlns:c16="http://schemas.microsoft.com/office/drawing/2014/chart" uri="{C3380CC4-5D6E-409C-BE32-E72D297353CC}">
                        <c16:uniqueId val="{0000000B-7AFD-4C09-B30E-18F27D9155A5}"/>
                      </c:ext>
                    </c:extLst>
                  </c15:dLbl>
                </c15:categoryFilterException>
              </c15:categoryFilterExceptions>
            </c:ext>
            <c:ext xmlns:c16="http://schemas.microsoft.com/office/drawing/2014/chart" uri="{C3380CC4-5D6E-409C-BE32-E72D297353CC}">
              <c16:uniqueId val="{00000022-5481-473A-B91C-A49D00CBCAB3}"/>
            </c:ext>
          </c:extLst>
        </c:ser>
        <c:ser>
          <c:idx val="4"/>
          <c:order val="4"/>
          <c:tx>
            <c:strRef>
              <c:f>Golf!$A$157</c:f>
              <c:strCache>
                <c:ptCount val="1"/>
                <c:pt idx="0">
                  <c:v>Leased equipment</c:v>
                </c:pt>
              </c:strCache>
            </c:strRef>
          </c:tx>
          <c:spPr>
            <a:solidFill>
              <a:schemeClr val="accent5"/>
            </a:solidFill>
            <a:ln>
              <a:noFill/>
            </a:ln>
            <a:effectLst/>
            <a:sp3d/>
          </c:spPr>
          <c:dLbls>
            <c:dLbl>
              <c:idx val="0"/>
              <c:layout>
                <c:manualLayout>
                  <c:x val="2.3825264829712069E-2"/>
                  <c:y val="-1.97873965594880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5481-473A-B91C-A49D00CBCAB3}"/>
                </c:ext>
              </c:extLst>
            </c:dLbl>
            <c:dLbl>
              <c:idx val="1"/>
              <c:layout>
                <c:manualLayout>
                  <c:x val="-2.3559143519762968E-3"/>
                  <c:y val="-7.569422926736403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7-5481-473A-B91C-A49D00CBCAB3}"/>
                </c:ext>
              </c:extLst>
            </c:dLbl>
            <c:dLbl>
              <c:idx val="2"/>
              <c:layout>
                <c:manualLayout>
                  <c:x val="-6.3985915749743636E-3"/>
                  <c:y val="-3.5613474136182311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8-5481-473A-B91C-A49D00CBCAB3}"/>
                </c:ext>
              </c:extLst>
            </c:dLbl>
            <c:dLbl>
              <c:idx val="3"/>
              <c:layout>
                <c:manualLayout>
                  <c:x val="-3.4170949176930761E-2"/>
                  <c:y val="-3.24714423910748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5481-473A-B91C-A49D00CBCAB3}"/>
                </c:ext>
              </c:extLst>
            </c:dLbl>
            <c:dLbl>
              <c:idx val="4"/>
              <c:layout>
                <c:manualLayout>
                  <c:x val="-3.5582399357611615E-2"/>
                  <c:y val="7.3918992932296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88-4C03-B1E7-C13F4822B005}"/>
                </c:ext>
              </c:extLst>
            </c:dLbl>
            <c:dLbl>
              <c:idx val="7"/>
              <c:layout>
                <c:manualLayout>
                  <c:x val="-3.1151080103971385E-2"/>
                  <c:y val="-9.7414127912164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5481-473A-B91C-A49D00CBCAB3}"/>
                </c:ext>
              </c:extLst>
            </c:dLbl>
            <c:spPr>
              <a:noFill/>
              <a:ln>
                <a:noFill/>
              </a:ln>
              <a:effectLst/>
            </c:spPr>
            <c:txPr>
              <a:bodyPr rot="0" spcFirstLastPara="1" vertOverflow="ellipsis" vert="horz" wrap="square" anchor="ctr" anchorCtr="0"/>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Golf!$R$157:$Y$157</c15:sqref>
                  </c15:fullRef>
                </c:ext>
              </c:extLst>
              <c:f>Golf!$U$157:$Y$157</c:f>
              <c:numCache>
                <c:formatCode>_("$"* #,##0_);_("$"* \(#,##0\);_("$"* "-"??_);_(@_)</c:formatCode>
                <c:ptCount val="5"/>
                <c:pt idx="0">
                  <c:v>2500</c:v>
                </c:pt>
                <c:pt idx="1">
                  <c:v>2500</c:v>
                </c:pt>
                <c:pt idx="2">
                  <c:v>2100</c:v>
                </c:pt>
                <c:pt idx="3">
                  <c:v>2100</c:v>
                </c:pt>
                <c:pt idx="4">
                  <c:v>2000</c:v>
                </c:pt>
              </c:numCache>
            </c:numRef>
          </c:val>
          <c:extLst>
            <c:ext xmlns:c15="http://schemas.microsoft.com/office/drawing/2012/chart" uri="{02D57815-91ED-43cb-92C2-25804820EDAC}">
              <c15:categoryFilterExceptions>
                <c15:categoryFilterException>
                  <c15:sqref>Golf!$R$157</c15:sqref>
                  <c15:dLbl>
                    <c:idx val="-1"/>
                    <c:layout>
                      <c:manualLayout>
                        <c:x val="3.2523647850011675E-2"/>
                        <c:y val="-5.448005821353667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C-7AFD-4C09-B30E-18F27D9155A5}"/>
                      </c:ext>
                    </c:extLst>
                  </c15:dLbl>
                </c15:categoryFilterException>
                <c15:categoryFilterException>
                  <c15:sqref>Golf!$S$157</c15:sqref>
                  <c15:dLbl>
                    <c:idx val="-1"/>
                    <c:layout>
                      <c:manualLayout>
                        <c:x val="2.0846525310855107E-2"/>
                        <c:y val="-1.8921556149506197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D-7AFD-4C09-B30E-18F27D9155A5}"/>
                      </c:ext>
                    </c:extLst>
                  </c15:dLbl>
                </c15:categoryFilterException>
                <c15:categoryFilterException>
                  <c15:sqref>Golf!$T$157</c15:sqref>
                  <c15:dLbl>
                    <c:idx val="-1"/>
                    <c:layout>
                      <c:manualLayout>
                        <c:x val="3.4588409196835902E-2"/>
                        <c:y val="6.0685450672653789E-4"/>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E-7AFD-4C09-B30E-18F27D9155A5}"/>
                      </c:ext>
                    </c:extLst>
                  </c15:dLbl>
                </c15:categoryFilterException>
              </c15:categoryFilterExceptions>
            </c:ext>
            <c:ext xmlns:c16="http://schemas.microsoft.com/office/drawing/2014/chart" uri="{C3380CC4-5D6E-409C-BE32-E72D297353CC}">
              <c16:uniqueId val="{0000002B-5481-473A-B91C-A49D00CBCAB3}"/>
            </c:ext>
          </c:extLst>
        </c:ser>
        <c:ser>
          <c:idx val="5"/>
          <c:order val="5"/>
          <c:tx>
            <c:strRef>
              <c:f>Golf!$A$158</c:f>
              <c:strCache>
                <c:ptCount val="1"/>
                <c:pt idx="0">
                  <c:v>Other (incl. utilities)</c:v>
                </c:pt>
              </c:strCache>
            </c:strRef>
          </c:tx>
          <c:spPr>
            <a:solidFill>
              <a:schemeClr val="accent6"/>
            </a:solidFill>
            <a:ln>
              <a:noFill/>
            </a:ln>
            <a:effectLst/>
            <a:sp3d/>
          </c:spPr>
          <c:dLbls>
            <c:dLbl>
              <c:idx val="0"/>
              <c:layout>
                <c:manualLayout>
                  <c:x val="2.9433555285942881E-2"/>
                  <c:y val="-1.5608936321212753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F-5481-473A-B91C-A49D00CBCAB3}"/>
                </c:ext>
              </c:extLst>
            </c:dLbl>
            <c:dLbl>
              <c:idx val="1"/>
              <c:layout>
                <c:manualLayout>
                  <c:x val="-2.2875687137791194E-3"/>
                  <c:y val="-1.2765874586048661E-2"/>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30-5481-473A-B91C-A49D00CBCAB3}"/>
                </c:ext>
              </c:extLst>
            </c:dLbl>
            <c:dLbl>
              <c:idx val="2"/>
              <c:layout>
                <c:manualLayout>
                  <c:x val="-4.6025725513531915E-3"/>
                  <c:y val="-1.0956609176439602E-2"/>
                </c:manualLayout>
              </c:layout>
              <c:spPr>
                <a:noFill/>
                <a:ln w="9525">
                  <a:noFill/>
                </a:ln>
                <a:effectLst/>
              </c:spPr>
              <c:txPr>
                <a:bodyPr rot="0" spcFirstLastPara="1" vertOverflow="ellipsis" vert="horz" wrap="square" lIns="38100" tIns="19050" rIns="38100" bIns="19050" anchor="ctr" anchorCtr="0">
                  <a:noAutofit/>
                </a:bodyPr>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extLst xmlns:c15="http://schemas.microsoft.com/office/drawing/2012/chart">
                <c:ext xmlns:c15="http://schemas.microsoft.com/office/drawing/2012/chart" uri="{CE6537A1-D6FC-4f65-9D91-7224C49458BB}">
                  <c15:layout>
                    <c:manualLayout>
                      <c:w val="4.8806713319553829E-2"/>
                      <c:h val="3.8907493050324392E-2"/>
                    </c:manualLayout>
                  </c15:layout>
                </c:ext>
                <c:ext xmlns:c16="http://schemas.microsoft.com/office/drawing/2014/chart" uri="{C3380CC4-5D6E-409C-BE32-E72D297353CC}">
                  <c16:uniqueId val="{00000031-5481-473A-B91C-A49D00CBCAB3}"/>
                </c:ext>
              </c:extLst>
            </c:dLbl>
            <c:dLbl>
              <c:idx val="3"/>
              <c:layout>
                <c:manualLayout>
                  <c:x val="-3.5036442436564078E-2"/>
                  <c:y val="1.162476125190470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5481-473A-B91C-A49D00CBCAB3}"/>
                </c:ext>
              </c:extLst>
            </c:dLbl>
            <c:dLbl>
              <c:idx val="4"/>
              <c:layout>
                <c:manualLayout>
                  <c:x val="-3.5614713032618789E-2"/>
                  <c:y val="1.9332435828710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5481-473A-B91C-A49D00CBCAB3}"/>
                </c:ext>
              </c:extLst>
            </c:dLbl>
            <c:dLbl>
              <c:idx val="5"/>
              <c:layout>
                <c:manualLayout>
                  <c:x val="3.4612311226634874E-3"/>
                  <c:y val="0.16885115504775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5481-473A-B91C-A49D00CBCAB3}"/>
                </c:ext>
              </c:extLst>
            </c:dLbl>
            <c:dLbl>
              <c:idx val="6"/>
              <c:layout>
                <c:manualLayout>
                  <c:x val="1.1537437075544112E-3"/>
                  <c:y val="0.168851155047752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5481-473A-B91C-A49D00CBCAB3}"/>
                </c:ext>
              </c:extLst>
            </c:dLbl>
            <c:dLbl>
              <c:idx val="7"/>
              <c:layout>
                <c:manualLayout>
                  <c:x val="-3.4612311226635044E-2"/>
                  <c:y val="0.172098292644824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5481-473A-B91C-A49D00CBCAB3}"/>
                </c:ext>
              </c:extLst>
            </c:dLbl>
            <c:spPr>
              <a:noFill/>
              <a:ln w="9525">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Golf!$R$158:$Y$158</c15:sqref>
                  </c15:fullRef>
                </c:ext>
              </c:extLst>
              <c:f>Golf!$U$158:$Y$158</c:f>
              <c:numCache>
                <c:formatCode>_("$"* #,##0_);_("$"* \(#,##0\);_("$"* "-"??_);_(@_)</c:formatCode>
                <c:ptCount val="5"/>
                <c:pt idx="0">
                  <c:v>8500</c:v>
                </c:pt>
                <c:pt idx="1">
                  <c:v>8700</c:v>
                </c:pt>
                <c:pt idx="2">
                  <c:v>9200</c:v>
                </c:pt>
                <c:pt idx="3">
                  <c:v>10600</c:v>
                </c:pt>
                <c:pt idx="4">
                  <c:v>11100</c:v>
                </c:pt>
              </c:numCache>
            </c:numRef>
          </c:val>
          <c:extLst>
            <c:ext xmlns:c15="http://schemas.microsoft.com/office/drawing/2012/chart" uri="{02D57815-91ED-43cb-92C2-25804820EDAC}">
              <c15:categoryFilterExceptions>
                <c15:categoryFilterException>
                  <c15:sqref>Golf!$R$158</c15:sqref>
                  <c15:dLbl>
                    <c:idx val="-1"/>
                    <c:layout>
                      <c:manualLayout>
                        <c:x val="3.3821643360298567E-2"/>
                        <c:y val="-1.2976120490217626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F-7AFD-4C09-B30E-18F27D9155A5}"/>
                      </c:ext>
                    </c:extLst>
                  </c15:dLbl>
                </c15:categoryFilterException>
                <c15:categoryFilterException>
                  <c15:sqref>Golf!$S$158</c15:sqref>
                  <c15:dLbl>
                    <c:idx val="-1"/>
                    <c:layout>
                      <c:manualLayout>
                        <c:x val="2.2574605777071034E-2"/>
                        <c:y val="-2.3054138174413538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0-7AFD-4C09-B30E-18F27D9155A5}"/>
                      </c:ext>
                    </c:extLst>
                  </c15:dLbl>
                </c15:categoryFilterException>
                <c15:categoryFilterException>
                  <c15:sqref>Golf!$T$158</c15:sqref>
                  <c15:dLbl>
                    <c:idx val="-1"/>
                    <c:layout>
                      <c:manualLayout>
                        <c:x val="3.3937489452472894E-2"/>
                        <c:y val="-1.3239258911545001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1-7AFD-4C09-B30E-18F27D9155A5}"/>
                      </c:ext>
                    </c:extLst>
                  </c15:dLbl>
                </c15:categoryFilterException>
              </c15:categoryFilterExceptions>
            </c:ext>
            <c:ext xmlns:c16="http://schemas.microsoft.com/office/drawing/2014/chart" uri="{C3380CC4-5D6E-409C-BE32-E72D297353CC}">
              <c16:uniqueId val="{00000037-5481-473A-B91C-A49D00CBCAB3}"/>
            </c:ext>
          </c:extLst>
        </c:ser>
        <c:ser>
          <c:idx val="6"/>
          <c:order val="6"/>
          <c:tx>
            <c:strRef>
              <c:f>Golf!$A$159</c:f>
              <c:strCache>
                <c:ptCount val="1"/>
                <c:pt idx="0">
                  <c:v>Total G.C.M. costs per hole</c:v>
                </c:pt>
              </c:strCache>
            </c:strRef>
          </c:tx>
          <c:spPr>
            <a:solidFill>
              <a:schemeClr val="accent1">
                <a:lumMod val="60000"/>
              </a:schemeClr>
            </a:solidFill>
            <a:ln>
              <a:noFill/>
            </a:ln>
            <a:effectLst/>
            <a:sp3d/>
          </c:spPr>
          <c:dLbls>
            <c:dLbl>
              <c:idx val="0"/>
              <c:layout>
                <c:manualLayout>
                  <c:x val="3.0902706793277737E-2"/>
                  <c:y val="0.7796373933873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88-4C03-B1E7-C13F4822B005}"/>
                </c:ext>
              </c:extLst>
            </c:dLbl>
            <c:dLbl>
              <c:idx val="1"/>
              <c:layout>
                <c:manualLayout>
                  <c:x val="-6.0877170920660625E-3"/>
                  <c:y val="0.78214093354640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5481-473A-B91C-A49D00CBCAB3}"/>
                </c:ext>
              </c:extLst>
            </c:dLbl>
            <c:dLbl>
              <c:idx val="2"/>
              <c:layout>
                <c:manualLayout>
                  <c:x val="-7.293127996817441E-3"/>
                  <c:y val="0.78347040512953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5481-473A-B91C-A49D00CBCAB3}"/>
                </c:ext>
              </c:extLst>
            </c:dLbl>
            <c:dLbl>
              <c:idx val="3"/>
              <c:layout>
                <c:manualLayout>
                  <c:x val="-3.6860199124772293E-2"/>
                  <c:y val="0.77964307244958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88-4C03-B1E7-C13F4822B005}"/>
                </c:ext>
              </c:extLst>
            </c:dLbl>
            <c:dLbl>
              <c:idx val="4"/>
              <c:layout>
                <c:manualLayout>
                  <c:x val="-3.6768479336198839E-2"/>
                  <c:y val="0.781077358651267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A88-4C03-B1E7-C13F4822B005}"/>
                </c:ext>
              </c:extLst>
            </c:dLbl>
            <c:spPr>
              <a:solidFill>
                <a:srgbClr val="376091"/>
              </a:solidFill>
              <a:ln>
                <a:solidFill>
                  <a:schemeClr val="tx1"/>
                </a:solid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Golf!$R$152:$Y$152</c15:sqref>
                  </c15:fullRef>
                </c:ext>
              </c:extLst>
              <c:f>Golf!$U$152:$Y$152</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Golf!$R$159:$Y$159</c15:sqref>
                  </c15:fullRef>
                </c:ext>
              </c:extLst>
              <c:f>Golf!$U$159:$Y$159</c:f>
              <c:numCache>
                <c:formatCode>_("$"* #,##0_);_("$"* \(#,##0\);_("$"* "-"??_);_(@_)</c:formatCode>
                <c:ptCount val="5"/>
                <c:pt idx="0">
                  <c:v>89200</c:v>
                </c:pt>
                <c:pt idx="1">
                  <c:v>93700</c:v>
                </c:pt>
                <c:pt idx="2">
                  <c:v>94500</c:v>
                </c:pt>
                <c:pt idx="3">
                  <c:v>99000</c:v>
                </c:pt>
                <c:pt idx="4">
                  <c:v>107200</c:v>
                </c:pt>
              </c:numCache>
            </c:numRef>
          </c:val>
          <c:extLst>
            <c:ext xmlns:c15="http://schemas.microsoft.com/office/drawing/2012/chart" uri="{02D57815-91ED-43cb-92C2-25804820EDAC}">
              <c15:categoryFilterExceptions>
                <c15:categoryFilterException>
                  <c15:sqref>Golf!$R$159</c15:sqref>
                  <c15:dLbl>
                    <c:idx val="-1"/>
                    <c:layout>
                      <c:manualLayout>
                        <c:x val="3.3458567519080377E-2"/>
                        <c:y val="0.14287401774112804"/>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2-7AFD-4C09-B30E-18F27D9155A5}"/>
                      </c:ext>
                    </c:extLst>
                  </c15:dLbl>
                </c15:categoryFilterException>
                <c15:categoryFilterException>
                  <c15:sqref>Golf!$S$159</c15:sqref>
                  <c15:dLbl>
                    <c:idx val="-1"/>
                    <c:layout>
                      <c:manualLayout>
                        <c:x val="2.313517183551899E-2"/>
                        <c:y val="0.14846548774417107"/>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3-7AFD-4C09-B30E-18F27D9155A5}"/>
                      </c:ext>
                    </c:extLst>
                  </c15:dLbl>
                </c15:categoryFilterException>
                <c15:categoryFilterException>
                  <c15:sqref>Golf!$T$159</c15:sqref>
                  <c15:dLbl>
                    <c:idx val="-1"/>
                    <c:layout>
                      <c:manualLayout>
                        <c:x val="3.2294586211125513E-2"/>
                        <c:y val="0.78374262700601371"/>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4-7AFD-4C09-B30E-18F27D9155A5}"/>
                      </c:ext>
                    </c:extLst>
                  </c15:dLbl>
                </c15:categoryFilterException>
              </c15:categoryFilterExceptions>
            </c:ext>
            <c:ext xmlns:c16="http://schemas.microsoft.com/office/drawing/2014/chart" uri="{C3380CC4-5D6E-409C-BE32-E72D297353CC}">
              <c16:uniqueId val="{0000003E-5481-473A-B91C-A49D00CBCAB3}"/>
            </c:ext>
          </c:extLst>
        </c:ser>
        <c:dLbls>
          <c:showLegendKey val="0"/>
          <c:showVal val="1"/>
          <c:showCatName val="0"/>
          <c:showSerName val="0"/>
          <c:showPercent val="0"/>
          <c:showBubbleSize val="0"/>
        </c:dLbls>
        <c:axId val="590632176"/>
        <c:axId val="590631392"/>
        <c:axId val="0"/>
      </c:area3DChart>
      <c:catAx>
        <c:axId val="590632176"/>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1392"/>
        <c:crosses val="autoZero"/>
        <c:auto val="1"/>
        <c:lblAlgn val="ctr"/>
        <c:lblOffset val="100"/>
        <c:noMultiLvlLbl val="0"/>
      </c:catAx>
      <c:valAx>
        <c:axId val="590631392"/>
        <c:scaling>
          <c:orientation val="minMax"/>
          <c:max val="110000"/>
          <c:min val="0"/>
        </c:scaling>
        <c:delete val="0"/>
        <c:axPos val="l"/>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2176"/>
        <c:crosses val="autoZero"/>
        <c:crossBetween val="midCat"/>
        <c:majorUnit val="20000"/>
      </c:valAx>
      <c:spPr>
        <a:noFill/>
        <a:ln w="25400">
          <a:noFill/>
        </a:ln>
        <a:effectLst/>
      </c:spPr>
    </c:plotArea>
    <c:legend>
      <c:legendPos val="t"/>
      <c:layout>
        <c:manualLayout>
          <c:xMode val="edge"/>
          <c:yMode val="edge"/>
          <c:x val="0.16635185512903577"/>
          <c:y val="3.8965641202125825E-2"/>
          <c:w val="0.73100586547543212"/>
          <c:h val="4.4586824449996232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zero"/>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r>
              <a:rPr lang="en-US" sz="1200">
                <a:solidFill>
                  <a:srgbClr val="376091"/>
                </a:solidFill>
              </a:rPr>
              <a:t>Costs per hole by region</a:t>
            </a:r>
            <a:r>
              <a:rPr lang="en-US" sz="1200" b="1" i="0" u="none" strike="noStrike" kern="1200" baseline="0">
                <a:solidFill>
                  <a:srgbClr val="376091"/>
                </a:solidFill>
                <a:latin typeface="Calibri"/>
                <a:ea typeface="Calibri"/>
                <a:cs typeface="Calibri"/>
              </a:rPr>
              <a:t>: 18 hole courses</a:t>
            </a:r>
          </a:p>
        </c:rich>
      </c:tx>
      <c:layout>
        <c:manualLayout>
          <c:xMode val="edge"/>
          <c:yMode val="edge"/>
          <c:x val="0.27067922255335375"/>
          <c:y val="4.7523957297551317E-3"/>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endParaRPr lang="en-US"/>
        </a:p>
      </c:txPr>
    </c:title>
    <c:autoTitleDeleted val="0"/>
    <c:plotArea>
      <c:layout>
        <c:manualLayout>
          <c:layoutTarget val="inner"/>
          <c:xMode val="edge"/>
          <c:yMode val="edge"/>
          <c:x val="0.12773107170106471"/>
          <c:y val="6.6380827117237334E-2"/>
          <c:w val="0.85197376311372264"/>
          <c:h val="0.55107988232828409"/>
        </c:manualLayout>
      </c:layout>
      <c:barChart>
        <c:barDir val="col"/>
        <c:grouping val="clustered"/>
        <c:varyColors val="0"/>
        <c:ser>
          <c:idx val="0"/>
          <c:order val="0"/>
          <c:tx>
            <c:strRef>
              <c:f>Golf!$A$190</c:f>
              <c:strCache>
                <c:ptCount val="1"/>
                <c:pt idx="0">
                  <c:v>2022</c:v>
                </c:pt>
              </c:strCache>
            </c:strRef>
          </c:tx>
          <c:spPr>
            <a:solidFill>
              <a:schemeClr val="accent1"/>
            </a:solidFill>
            <a:ln>
              <a:noFill/>
            </a:ln>
            <a:effectLst/>
          </c:spPr>
          <c:invertIfNegative val="0"/>
          <c:cat>
            <c:strRef>
              <c:f>Golf!$B$189:$G$189</c:f>
              <c:strCache>
                <c:ptCount val="6"/>
                <c:pt idx="0">
                  <c:v>Florida Statewide</c:v>
                </c:pt>
                <c:pt idx="1">
                  <c:v>Southeast                                    w/o Boca</c:v>
                </c:pt>
                <c:pt idx="2">
                  <c:v>Boca Raton                         Area</c:v>
                </c:pt>
                <c:pt idx="3">
                  <c:v>Southwest                                w/o CIRAs</c:v>
                </c:pt>
                <c:pt idx="4">
                  <c:v>Southwest CIRAs</c:v>
                </c:pt>
                <c:pt idx="5">
                  <c:v>North &amp;                           Central</c:v>
                </c:pt>
              </c:strCache>
            </c:strRef>
          </c:cat>
          <c:val>
            <c:numRef>
              <c:f>Golf!$B$190:$G$190</c:f>
              <c:numCache>
                <c:formatCode>_("$"* #,##0\ \ _);_("$"* \(#,##0\)\ \ ;_("$"* "-"??_);_(@_)</c:formatCode>
                <c:ptCount val="6"/>
                <c:pt idx="0">
                  <c:v>118400</c:v>
                </c:pt>
                <c:pt idx="1">
                  <c:v>145900</c:v>
                </c:pt>
                <c:pt idx="2">
                  <c:v>124600</c:v>
                </c:pt>
                <c:pt idx="3">
                  <c:v>124200</c:v>
                </c:pt>
                <c:pt idx="4">
                  <c:v>99900</c:v>
                </c:pt>
                <c:pt idx="5">
                  <c:v>102900</c:v>
                </c:pt>
              </c:numCache>
            </c:numRef>
          </c:val>
          <c:extLst>
            <c:ext xmlns:c16="http://schemas.microsoft.com/office/drawing/2014/chart" uri="{C3380CC4-5D6E-409C-BE32-E72D297353CC}">
              <c16:uniqueId val="{00000000-F52E-4F62-B5A1-14ACCD0C680F}"/>
            </c:ext>
          </c:extLst>
        </c:ser>
        <c:ser>
          <c:idx val="1"/>
          <c:order val="1"/>
          <c:tx>
            <c:strRef>
              <c:f>Golf!$A$191</c:f>
              <c:strCache>
                <c:ptCount val="1"/>
                <c:pt idx="0">
                  <c:v>2021</c:v>
                </c:pt>
              </c:strCache>
            </c:strRef>
          </c:tx>
          <c:spPr>
            <a:solidFill>
              <a:schemeClr val="accent2"/>
            </a:solidFill>
            <a:ln>
              <a:noFill/>
            </a:ln>
            <a:effectLst/>
          </c:spPr>
          <c:invertIfNegative val="0"/>
          <c:cat>
            <c:strRef>
              <c:f>Golf!$B$189:$G$189</c:f>
              <c:strCache>
                <c:ptCount val="6"/>
                <c:pt idx="0">
                  <c:v>Florida Statewide</c:v>
                </c:pt>
                <c:pt idx="1">
                  <c:v>Southeast                                    w/o Boca</c:v>
                </c:pt>
                <c:pt idx="2">
                  <c:v>Boca Raton                         Area</c:v>
                </c:pt>
                <c:pt idx="3">
                  <c:v>Southwest                                w/o CIRAs</c:v>
                </c:pt>
                <c:pt idx="4">
                  <c:v>Southwest CIRAs</c:v>
                </c:pt>
                <c:pt idx="5">
                  <c:v>North &amp;                           Central</c:v>
                </c:pt>
              </c:strCache>
            </c:strRef>
          </c:cat>
          <c:val>
            <c:numRef>
              <c:f>Golf!$B$191:$G$191</c:f>
              <c:numCache>
                <c:formatCode>_("$"* #,##0\ \ _);_("$"* \(#,##0\)\ \ ;_("$"* "-"??_);_(@_)</c:formatCode>
                <c:ptCount val="6"/>
                <c:pt idx="0">
                  <c:v>107800</c:v>
                </c:pt>
                <c:pt idx="1">
                  <c:v>134900</c:v>
                </c:pt>
                <c:pt idx="2">
                  <c:v>114000</c:v>
                </c:pt>
                <c:pt idx="3">
                  <c:v>108100</c:v>
                </c:pt>
                <c:pt idx="4">
                  <c:v>92000</c:v>
                </c:pt>
                <c:pt idx="5">
                  <c:v>94200</c:v>
                </c:pt>
              </c:numCache>
            </c:numRef>
          </c:val>
          <c:extLst>
            <c:ext xmlns:c16="http://schemas.microsoft.com/office/drawing/2014/chart" uri="{C3380CC4-5D6E-409C-BE32-E72D297353CC}">
              <c16:uniqueId val="{00000001-F52E-4F62-B5A1-14ACCD0C680F}"/>
            </c:ext>
          </c:extLst>
        </c:ser>
        <c:ser>
          <c:idx val="2"/>
          <c:order val="2"/>
          <c:tx>
            <c:strRef>
              <c:f>Golf!$A$192</c:f>
              <c:strCache>
                <c:ptCount val="1"/>
                <c:pt idx="0">
                  <c:v>2020</c:v>
                </c:pt>
              </c:strCache>
            </c:strRef>
          </c:tx>
          <c:spPr>
            <a:solidFill>
              <a:schemeClr val="accent3"/>
            </a:solidFill>
            <a:ln>
              <a:noFill/>
            </a:ln>
            <a:effectLst/>
          </c:spPr>
          <c:invertIfNegative val="0"/>
          <c:cat>
            <c:strRef>
              <c:f>Golf!$B$189:$G$189</c:f>
              <c:strCache>
                <c:ptCount val="6"/>
                <c:pt idx="0">
                  <c:v>Florida Statewide</c:v>
                </c:pt>
                <c:pt idx="1">
                  <c:v>Southeast                                    w/o Boca</c:v>
                </c:pt>
                <c:pt idx="2">
                  <c:v>Boca Raton                         Area</c:v>
                </c:pt>
                <c:pt idx="3">
                  <c:v>Southwest                                w/o CIRAs</c:v>
                </c:pt>
                <c:pt idx="4">
                  <c:v>Southwest CIRAs</c:v>
                </c:pt>
                <c:pt idx="5">
                  <c:v>North &amp;                           Central</c:v>
                </c:pt>
              </c:strCache>
            </c:strRef>
          </c:cat>
          <c:val>
            <c:numRef>
              <c:f>Golf!$B$192:$G$192</c:f>
              <c:numCache>
                <c:formatCode>_("$"* #,##0\ \ _);_("$"* \(#,##0\)\ \ ;_("$"* "-"??_);_(@_)</c:formatCode>
                <c:ptCount val="6"/>
                <c:pt idx="0">
                  <c:v>101300</c:v>
                </c:pt>
                <c:pt idx="1">
                  <c:v>117200</c:v>
                </c:pt>
                <c:pt idx="2">
                  <c:v>98900</c:v>
                </c:pt>
                <c:pt idx="3">
                  <c:v>103800</c:v>
                </c:pt>
                <c:pt idx="4">
                  <c:v>88500</c:v>
                </c:pt>
                <c:pt idx="5">
                  <c:v>92800</c:v>
                </c:pt>
              </c:numCache>
            </c:numRef>
          </c:val>
          <c:extLst>
            <c:ext xmlns:c16="http://schemas.microsoft.com/office/drawing/2014/chart" uri="{C3380CC4-5D6E-409C-BE32-E72D297353CC}">
              <c16:uniqueId val="{00000002-F52E-4F62-B5A1-14ACCD0C680F}"/>
            </c:ext>
          </c:extLst>
        </c:ser>
        <c:dLbls>
          <c:showLegendKey val="0"/>
          <c:showVal val="0"/>
          <c:showCatName val="0"/>
          <c:showSerName val="0"/>
          <c:showPercent val="0"/>
          <c:showBubbleSize val="0"/>
        </c:dLbls>
        <c:gapWidth val="150"/>
        <c:axId val="590636096"/>
        <c:axId val="590628648"/>
      </c:barChart>
      <c:catAx>
        <c:axId val="590636096"/>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28648"/>
        <c:crossesAt val="50000"/>
        <c:auto val="1"/>
        <c:lblAlgn val="ctr"/>
        <c:lblOffset val="100"/>
        <c:noMultiLvlLbl val="0"/>
      </c:catAx>
      <c:valAx>
        <c:axId val="590628648"/>
        <c:scaling>
          <c:orientation val="minMax"/>
          <c:max val="150000"/>
          <c:min val="90000"/>
        </c:scaling>
        <c:delete val="0"/>
        <c:axPos val="l"/>
        <c:majorGridlines>
          <c:spPr>
            <a:ln w="9525" cap="flat" cmpd="sng" algn="ctr">
              <a:solidFill>
                <a:schemeClr val="tx1">
                  <a:tint val="75000"/>
                  <a:shade val="95000"/>
                  <a:satMod val="105000"/>
                </a:schemeClr>
              </a:solidFill>
              <a:prstDash val="solid"/>
              <a:round/>
            </a:ln>
            <a:effectLst/>
          </c:spPr>
        </c:majorGridlines>
        <c:numFmt formatCode="&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90636096"/>
        <c:crosses val="autoZero"/>
        <c:crossBetween val="between"/>
        <c:majorUnit val="10000"/>
        <c:minorUnit val="5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r>
              <a:rPr lang="en-US" sz="1200">
                <a:solidFill>
                  <a:srgbClr val="376091"/>
                </a:solidFill>
              </a:rPr>
              <a:t>Costs per hole by region</a:t>
            </a:r>
            <a:r>
              <a:rPr lang="en-US" sz="1200" b="1" i="0" u="none" strike="noStrike" kern="1200" baseline="0">
                <a:solidFill>
                  <a:srgbClr val="376091"/>
                </a:solidFill>
                <a:latin typeface="Calibri"/>
                <a:ea typeface="Calibri"/>
                <a:cs typeface="Calibri"/>
              </a:rPr>
              <a:t>: multiple courses</a:t>
            </a:r>
          </a:p>
        </c:rich>
      </c:tx>
      <c:layout>
        <c:manualLayout>
          <c:xMode val="edge"/>
          <c:yMode val="edge"/>
          <c:x val="0.2706792741901598"/>
          <c:y val="1.5160283470271218E-2"/>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endParaRPr lang="en-US"/>
        </a:p>
      </c:txPr>
    </c:title>
    <c:autoTitleDeleted val="0"/>
    <c:plotArea>
      <c:layout>
        <c:manualLayout>
          <c:layoutTarget val="inner"/>
          <c:xMode val="edge"/>
          <c:yMode val="edge"/>
          <c:x val="0.12547697335402069"/>
          <c:y val="7.6674733548384125E-2"/>
          <c:w val="0.85197376311372264"/>
          <c:h val="0.55107978863815565"/>
        </c:manualLayout>
      </c:layout>
      <c:barChart>
        <c:barDir val="col"/>
        <c:grouping val="clustered"/>
        <c:varyColors val="0"/>
        <c:ser>
          <c:idx val="0"/>
          <c:order val="0"/>
          <c:tx>
            <c:strRef>
              <c:f>Golf!$A$210</c:f>
              <c:strCache>
                <c:ptCount val="1"/>
                <c:pt idx="0">
                  <c:v>2022</c:v>
                </c:pt>
              </c:strCache>
            </c:strRef>
          </c:tx>
          <c:spPr>
            <a:solidFill>
              <a:schemeClr val="accent1"/>
            </a:solidFill>
            <a:ln>
              <a:noFill/>
            </a:ln>
            <a:effectLst/>
          </c:spPr>
          <c:invertIfNegative val="0"/>
          <c:cat>
            <c:strRef>
              <c:f>Golf!$B$209:$G$209</c:f>
              <c:strCache>
                <c:ptCount val="6"/>
                <c:pt idx="0">
                  <c:v>Florida              Statewide</c:v>
                </c:pt>
                <c:pt idx="1">
                  <c:v>Southeast                                    w/o Boca</c:v>
                </c:pt>
                <c:pt idx="2">
                  <c:v>Boca Raton                         Area</c:v>
                </c:pt>
                <c:pt idx="3">
                  <c:v>Southwest                                w/o CIRAs</c:v>
                </c:pt>
                <c:pt idx="4">
                  <c:v>Southwest                                   CIRAs</c:v>
                </c:pt>
                <c:pt idx="5">
                  <c:v>North &amp;                              Central</c:v>
                </c:pt>
              </c:strCache>
            </c:strRef>
          </c:cat>
          <c:val>
            <c:numRef>
              <c:f>Golf!$B$210:$G$210</c:f>
              <c:numCache>
                <c:formatCode>_("$"* #,##0\ \ _);_("$"* \(#,##0\)\ \ ;_("$"* "-"??_);_(@_)</c:formatCode>
                <c:ptCount val="6"/>
                <c:pt idx="0">
                  <c:v>107200</c:v>
                </c:pt>
                <c:pt idx="1">
                  <c:v>113000</c:v>
                </c:pt>
                <c:pt idx="2">
                  <c:v>101100</c:v>
                </c:pt>
                <c:pt idx="3">
                  <c:v>111300</c:v>
                </c:pt>
                <c:pt idx="5">
                  <c:v>106200</c:v>
                </c:pt>
              </c:numCache>
            </c:numRef>
          </c:val>
          <c:extLst>
            <c:ext xmlns:c16="http://schemas.microsoft.com/office/drawing/2014/chart" uri="{C3380CC4-5D6E-409C-BE32-E72D297353CC}">
              <c16:uniqueId val="{00000000-E798-4B0E-8D2B-19A3222C1A07}"/>
            </c:ext>
          </c:extLst>
        </c:ser>
        <c:ser>
          <c:idx val="1"/>
          <c:order val="1"/>
          <c:tx>
            <c:strRef>
              <c:f>Golf!$A$211</c:f>
              <c:strCache>
                <c:ptCount val="1"/>
                <c:pt idx="0">
                  <c:v>2021</c:v>
                </c:pt>
              </c:strCache>
            </c:strRef>
          </c:tx>
          <c:spPr>
            <a:solidFill>
              <a:schemeClr val="accent2"/>
            </a:solidFill>
            <a:ln>
              <a:noFill/>
            </a:ln>
            <a:effectLst/>
          </c:spPr>
          <c:invertIfNegative val="0"/>
          <c:cat>
            <c:strRef>
              <c:f>Golf!$B$209:$G$209</c:f>
              <c:strCache>
                <c:ptCount val="6"/>
                <c:pt idx="0">
                  <c:v>Florida              Statewide</c:v>
                </c:pt>
                <c:pt idx="1">
                  <c:v>Southeast                                    w/o Boca</c:v>
                </c:pt>
                <c:pt idx="2">
                  <c:v>Boca Raton                         Area</c:v>
                </c:pt>
                <c:pt idx="3">
                  <c:v>Southwest                                w/o CIRAs</c:v>
                </c:pt>
                <c:pt idx="4">
                  <c:v>Southwest                                   CIRAs</c:v>
                </c:pt>
                <c:pt idx="5">
                  <c:v>North &amp;                              Central</c:v>
                </c:pt>
              </c:strCache>
            </c:strRef>
          </c:cat>
          <c:val>
            <c:numRef>
              <c:f>Golf!$B$211:$G$211</c:f>
              <c:numCache>
                <c:formatCode>_("$"* #,##0\ \ _);_("$"* \(#,##0\)\ \ ;_("$"* "-"??_);_(@_)</c:formatCode>
                <c:ptCount val="6"/>
                <c:pt idx="0">
                  <c:v>99000</c:v>
                </c:pt>
                <c:pt idx="1">
                  <c:v>102000</c:v>
                </c:pt>
                <c:pt idx="2">
                  <c:v>98800</c:v>
                </c:pt>
                <c:pt idx="3">
                  <c:v>104600</c:v>
                </c:pt>
                <c:pt idx="5">
                  <c:v>90400</c:v>
                </c:pt>
              </c:numCache>
            </c:numRef>
          </c:val>
          <c:extLst>
            <c:ext xmlns:c16="http://schemas.microsoft.com/office/drawing/2014/chart" uri="{C3380CC4-5D6E-409C-BE32-E72D297353CC}">
              <c16:uniqueId val="{00000001-E798-4B0E-8D2B-19A3222C1A07}"/>
            </c:ext>
          </c:extLst>
        </c:ser>
        <c:ser>
          <c:idx val="2"/>
          <c:order val="2"/>
          <c:tx>
            <c:strRef>
              <c:f>Golf!$A$212</c:f>
              <c:strCache>
                <c:ptCount val="1"/>
                <c:pt idx="0">
                  <c:v>2020</c:v>
                </c:pt>
              </c:strCache>
            </c:strRef>
          </c:tx>
          <c:spPr>
            <a:solidFill>
              <a:schemeClr val="accent3"/>
            </a:solidFill>
            <a:ln>
              <a:noFill/>
            </a:ln>
            <a:effectLst/>
          </c:spPr>
          <c:invertIfNegative val="0"/>
          <c:cat>
            <c:strRef>
              <c:f>Golf!$B$209:$G$209</c:f>
              <c:strCache>
                <c:ptCount val="6"/>
                <c:pt idx="0">
                  <c:v>Florida              Statewide</c:v>
                </c:pt>
                <c:pt idx="1">
                  <c:v>Southeast                                    w/o Boca</c:v>
                </c:pt>
                <c:pt idx="2">
                  <c:v>Boca Raton                         Area</c:v>
                </c:pt>
                <c:pt idx="3">
                  <c:v>Southwest                                w/o CIRAs</c:v>
                </c:pt>
                <c:pt idx="4">
                  <c:v>Southwest                                   CIRAs</c:v>
                </c:pt>
                <c:pt idx="5">
                  <c:v>North &amp;                              Central</c:v>
                </c:pt>
              </c:strCache>
            </c:strRef>
          </c:cat>
          <c:val>
            <c:numRef>
              <c:f>Golf!$B$212:$G$212</c:f>
              <c:numCache>
                <c:formatCode>_("$"* #,##0\ \ _);_("$"* \(#,##0\)\ \ ;_("$"* "-"??_);_(@_)</c:formatCode>
                <c:ptCount val="6"/>
                <c:pt idx="0">
                  <c:v>94500</c:v>
                </c:pt>
                <c:pt idx="1">
                  <c:v>88800</c:v>
                </c:pt>
                <c:pt idx="2">
                  <c:v>95900</c:v>
                </c:pt>
                <c:pt idx="3">
                  <c:v>102500</c:v>
                </c:pt>
                <c:pt idx="5">
                  <c:v>84100</c:v>
                </c:pt>
              </c:numCache>
            </c:numRef>
          </c:val>
          <c:extLst>
            <c:ext xmlns:c16="http://schemas.microsoft.com/office/drawing/2014/chart" uri="{C3380CC4-5D6E-409C-BE32-E72D297353CC}">
              <c16:uniqueId val="{00000002-E798-4B0E-8D2B-19A3222C1A07}"/>
            </c:ext>
          </c:extLst>
        </c:ser>
        <c:dLbls>
          <c:showLegendKey val="0"/>
          <c:showVal val="0"/>
          <c:showCatName val="0"/>
          <c:showSerName val="0"/>
          <c:showPercent val="0"/>
          <c:showBubbleSize val="0"/>
        </c:dLbls>
        <c:gapWidth val="150"/>
        <c:axId val="511159024"/>
        <c:axId val="511161768"/>
      </c:barChart>
      <c:catAx>
        <c:axId val="511159024"/>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1768"/>
        <c:crossesAt val="50000"/>
        <c:auto val="1"/>
        <c:lblAlgn val="ctr"/>
        <c:lblOffset val="100"/>
        <c:noMultiLvlLbl val="0"/>
      </c:catAx>
      <c:valAx>
        <c:axId val="511161768"/>
        <c:scaling>
          <c:orientation val="minMax"/>
          <c:max val="150000"/>
          <c:min val="90000"/>
        </c:scaling>
        <c:delete val="0"/>
        <c:axPos val="l"/>
        <c:majorGridlines>
          <c:spPr>
            <a:ln w="9525" cap="flat" cmpd="sng" algn="ctr">
              <a:solidFill>
                <a:schemeClr val="tx1">
                  <a:tint val="75000"/>
                  <a:shade val="95000"/>
                  <a:satMod val="105000"/>
                </a:schemeClr>
              </a:solidFill>
              <a:prstDash val="solid"/>
              <a:round/>
            </a:ln>
            <a:effectLst/>
          </c:spPr>
        </c:majorGridlines>
        <c:numFmt formatCode="&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59024"/>
        <c:crosses val="autoZero"/>
        <c:crossBetween val="between"/>
        <c:majorUnit val="10000"/>
        <c:minorUnit val="5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r>
              <a:rPr lang="en-US" sz="1200">
                <a:solidFill>
                  <a:srgbClr val="376091"/>
                </a:solidFill>
              </a:rPr>
              <a:t>Course supplies</a:t>
            </a:r>
            <a:r>
              <a:rPr lang="en-US" sz="1200" baseline="0">
                <a:solidFill>
                  <a:srgbClr val="376091"/>
                </a:solidFill>
              </a:rPr>
              <a:t> </a:t>
            </a:r>
            <a:r>
              <a:rPr lang="en-US" sz="1200">
                <a:solidFill>
                  <a:srgbClr val="376091"/>
                </a:solidFill>
              </a:rPr>
              <a:t>per</a:t>
            </a:r>
            <a:r>
              <a:rPr lang="en-US" sz="1200" baseline="0">
                <a:solidFill>
                  <a:srgbClr val="376091"/>
                </a:solidFill>
              </a:rPr>
              <a:t> </a:t>
            </a:r>
            <a:r>
              <a:rPr lang="en-US" sz="1200">
                <a:solidFill>
                  <a:srgbClr val="376091"/>
                </a:solidFill>
              </a:rPr>
              <a:t>hole</a:t>
            </a:r>
            <a:r>
              <a:rPr lang="en-US" sz="1200" b="1" i="0" u="none" strike="noStrike" kern="1200" baseline="0">
                <a:solidFill>
                  <a:srgbClr val="376091"/>
                </a:solidFill>
                <a:latin typeface="Calibri"/>
                <a:ea typeface="Calibri"/>
                <a:cs typeface="Calibri"/>
              </a:rPr>
              <a:t>: multiple courses</a:t>
            </a:r>
          </a:p>
        </c:rich>
      </c:tx>
      <c:layout>
        <c:manualLayout>
          <c:xMode val="edge"/>
          <c:yMode val="edge"/>
          <c:x val="0.40686869109902091"/>
          <c:y val="5.0841445946735904E-3"/>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endParaRPr lang="en-US"/>
        </a:p>
      </c:txPr>
    </c:title>
    <c:autoTitleDeleted val="0"/>
    <c:plotArea>
      <c:layout>
        <c:manualLayout>
          <c:layoutTarget val="inner"/>
          <c:xMode val="edge"/>
          <c:yMode val="edge"/>
          <c:x val="7.1753984059172923E-2"/>
          <c:y val="7.040400002509653E-2"/>
          <c:w val="0.91284952096712513"/>
          <c:h val="0.61234183597101177"/>
        </c:manualLayout>
      </c:layout>
      <c:barChart>
        <c:barDir val="col"/>
        <c:grouping val="clustered"/>
        <c:varyColors val="0"/>
        <c:ser>
          <c:idx val="0"/>
          <c:order val="0"/>
          <c:tx>
            <c:strRef>
              <c:f>Golf!$A$343</c:f>
              <c:strCache>
                <c:ptCount val="1"/>
                <c:pt idx="0">
                  <c:v>2022</c:v>
                </c:pt>
              </c:strCache>
            </c:strRef>
          </c:tx>
          <c:spPr>
            <a:solidFill>
              <a:schemeClr val="accent1"/>
            </a:solidFill>
            <a:ln>
              <a:noFill/>
            </a:ln>
            <a:effectLst/>
          </c:spPr>
          <c:invertIfNegative val="0"/>
          <c:cat>
            <c:strRef>
              <c:f>Golf!$B$342:$G$342</c:f>
              <c:strCache>
                <c:ptCount val="6"/>
                <c:pt idx="0">
                  <c:v>Florida                      Statewide</c:v>
                </c:pt>
                <c:pt idx="1">
                  <c:v>Southeast                                 w/o Boca</c:v>
                </c:pt>
                <c:pt idx="2">
                  <c:v>Boca Raton                         Area</c:v>
                </c:pt>
                <c:pt idx="3">
                  <c:v>Southwest                                   w/o CIRAs</c:v>
                </c:pt>
                <c:pt idx="4">
                  <c:v>Southwest                               CIRAs</c:v>
                </c:pt>
                <c:pt idx="5">
                  <c:v>North &amp;                         Central</c:v>
                </c:pt>
              </c:strCache>
            </c:strRef>
          </c:cat>
          <c:val>
            <c:numRef>
              <c:f>Golf!$B$343:$G$343</c:f>
              <c:numCache>
                <c:formatCode>_("$"* #,##0\ \ _);_("$"* \(#,##0\)\ \ ;_("$"* "-"??_);_(@_)</c:formatCode>
                <c:ptCount val="6"/>
                <c:pt idx="0">
                  <c:v>27600</c:v>
                </c:pt>
                <c:pt idx="1">
                  <c:v>30300</c:v>
                </c:pt>
                <c:pt idx="2">
                  <c:v>23400</c:v>
                </c:pt>
                <c:pt idx="3">
                  <c:v>29400</c:v>
                </c:pt>
                <c:pt idx="5">
                  <c:v>27000</c:v>
                </c:pt>
              </c:numCache>
            </c:numRef>
          </c:val>
          <c:extLst>
            <c:ext xmlns:c16="http://schemas.microsoft.com/office/drawing/2014/chart" uri="{C3380CC4-5D6E-409C-BE32-E72D297353CC}">
              <c16:uniqueId val="{00000000-0935-45C5-8D96-E5736EA80714}"/>
            </c:ext>
          </c:extLst>
        </c:ser>
        <c:ser>
          <c:idx val="1"/>
          <c:order val="1"/>
          <c:tx>
            <c:strRef>
              <c:f>Golf!$A$344</c:f>
              <c:strCache>
                <c:ptCount val="1"/>
                <c:pt idx="0">
                  <c:v>2021</c:v>
                </c:pt>
              </c:strCache>
            </c:strRef>
          </c:tx>
          <c:spPr>
            <a:solidFill>
              <a:schemeClr val="accent2"/>
            </a:solidFill>
            <a:ln>
              <a:noFill/>
            </a:ln>
            <a:effectLst/>
          </c:spPr>
          <c:invertIfNegative val="0"/>
          <c:cat>
            <c:strRef>
              <c:f>Golf!$B$342:$G$342</c:f>
              <c:strCache>
                <c:ptCount val="6"/>
                <c:pt idx="0">
                  <c:v>Florida                      Statewide</c:v>
                </c:pt>
                <c:pt idx="1">
                  <c:v>Southeast                                 w/o Boca</c:v>
                </c:pt>
                <c:pt idx="2">
                  <c:v>Boca Raton                         Area</c:v>
                </c:pt>
                <c:pt idx="3">
                  <c:v>Southwest                                   w/o CIRAs</c:v>
                </c:pt>
                <c:pt idx="4">
                  <c:v>Southwest                               CIRAs</c:v>
                </c:pt>
                <c:pt idx="5">
                  <c:v>North &amp;                         Central</c:v>
                </c:pt>
              </c:strCache>
            </c:strRef>
          </c:cat>
          <c:val>
            <c:numRef>
              <c:f>Golf!$B$344:$G$344</c:f>
              <c:numCache>
                <c:formatCode>_("$"* #,##0\ \ _);_("$"* \(#,##0\)\ \ ;_("$"* "-"??_);_(@_)</c:formatCode>
                <c:ptCount val="6"/>
                <c:pt idx="0">
                  <c:v>24900</c:v>
                </c:pt>
                <c:pt idx="1">
                  <c:v>25500</c:v>
                </c:pt>
                <c:pt idx="2">
                  <c:v>21900</c:v>
                </c:pt>
                <c:pt idx="3">
                  <c:v>28900</c:v>
                </c:pt>
                <c:pt idx="5">
                  <c:v>21800</c:v>
                </c:pt>
              </c:numCache>
            </c:numRef>
          </c:val>
          <c:extLst>
            <c:ext xmlns:c16="http://schemas.microsoft.com/office/drawing/2014/chart" uri="{C3380CC4-5D6E-409C-BE32-E72D297353CC}">
              <c16:uniqueId val="{00000001-0935-45C5-8D96-E5736EA80714}"/>
            </c:ext>
          </c:extLst>
        </c:ser>
        <c:ser>
          <c:idx val="2"/>
          <c:order val="2"/>
          <c:tx>
            <c:strRef>
              <c:f>Golf!$A$345</c:f>
              <c:strCache>
                <c:ptCount val="1"/>
                <c:pt idx="0">
                  <c:v>2020</c:v>
                </c:pt>
              </c:strCache>
            </c:strRef>
          </c:tx>
          <c:spPr>
            <a:solidFill>
              <a:schemeClr val="accent3"/>
            </a:solidFill>
            <a:ln>
              <a:noFill/>
            </a:ln>
            <a:effectLst/>
          </c:spPr>
          <c:invertIfNegative val="0"/>
          <c:cat>
            <c:strRef>
              <c:f>Golf!$B$342:$G$342</c:f>
              <c:strCache>
                <c:ptCount val="6"/>
                <c:pt idx="0">
                  <c:v>Florida                      Statewide</c:v>
                </c:pt>
                <c:pt idx="1">
                  <c:v>Southeast                                 w/o Boca</c:v>
                </c:pt>
                <c:pt idx="2">
                  <c:v>Boca Raton                         Area</c:v>
                </c:pt>
                <c:pt idx="3">
                  <c:v>Southwest                                   w/o CIRAs</c:v>
                </c:pt>
                <c:pt idx="4">
                  <c:v>Southwest                               CIRAs</c:v>
                </c:pt>
                <c:pt idx="5">
                  <c:v>North &amp;                         Central</c:v>
                </c:pt>
              </c:strCache>
            </c:strRef>
          </c:cat>
          <c:val>
            <c:numRef>
              <c:f>Golf!$B$345:$G$345</c:f>
              <c:numCache>
                <c:formatCode>_("$"* #,##0\ \ _);_("$"* \(#,##0\)\ \ ;_("$"* "-"??_);_(@_)</c:formatCode>
                <c:ptCount val="6"/>
                <c:pt idx="0">
                  <c:v>23200</c:v>
                </c:pt>
                <c:pt idx="1">
                  <c:v>21800</c:v>
                </c:pt>
                <c:pt idx="2">
                  <c:v>21600</c:v>
                </c:pt>
                <c:pt idx="3">
                  <c:v>27100</c:v>
                </c:pt>
                <c:pt idx="5">
                  <c:v>18900</c:v>
                </c:pt>
              </c:numCache>
            </c:numRef>
          </c:val>
          <c:extLst>
            <c:ext xmlns:c16="http://schemas.microsoft.com/office/drawing/2014/chart" uri="{C3380CC4-5D6E-409C-BE32-E72D297353CC}">
              <c16:uniqueId val="{00000002-0935-45C5-8D96-E5736EA80714}"/>
            </c:ext>
          </c:extLst>
        </c:ser>
        <c:dLbls>
          <c:showLegendKey val="0"/>
          <c:showVal val="0"/>
          <c:showCatName val="0"/>
          <c:showSerName val="0"/>
          <c:showPercent val="0"/>
          <c:showBubbleSize val="0"/>
        </c:dLbls>
        <c:gapWidth val="150"/>
        <c:axId val="511163336"/>
        <c:axId val="511161376"/>
      </c:barChart>
      <c:catAx>
        <c:axId val="511163336"/>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1376"/>
        <c:crossesAt val="10000"/>
        <c:auto val="1"/>
        <c:lblAlgn val="ctr"/>
        <c:lblOffset val="100"/>
        <c:noMultiLvlLbl val="0"/>
      </c:catAx>
      <c:valAx>
        <c:axId val="511161376"/>
        <c:scaling>
          <c:orientation val="minMax"/>
          <c:max val="32500"/>
          <c:min val="17500"/>
        </c:scaling>
        <c:delete val="0"/>
        <c:axPos val="l"/>
        <c:majorGridlines>
          <c:spPr>
            <a:ln w="9525" cap="flat" cmpd="sng" algn="ctr">
              <a:solidFill>
                <a:schemeClr val="tx1">
                  <a:tint val="75000"/>
                  <a:shade val="95000"/>
                  <a:satMod val="105000"/>
                </a:schemeClr>
              </a:solidFill>
              <a:prstDash val="solid"/>
              <a:round/>
            </a:ln>
            <a:effectLst/>
          </c:spPr>
        </c:majorGridlines>
        <c:numFmt formatCode="&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3336"/>
        <c:crosses val="autoZero"/>
        <c:crossBetween val="between"/>
        <c:majorUnit val="2500"/>
        <c:minorUnit val="2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noFill/>
        <a:ln w="6350">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r>
              <a:rPr lang="en-US" sz="1200">
                <a:solidFill>
                  <a:srgbClr val="376091"/>
                </a:solidFill>
              </a:rPr>
              <a:t>Payroll costs per hole</a:t>
            </a:r>
            <a:r>
              <a:rPr lang="en-US" sz="1200" b="1" i="0" u="none" strike="noStrike" kern="1200" baseline="0">
                <a:solidFill>
                  <a:srgbClr val="376091"/>
                </a:solidFill>
                <a:latin typeface="Calibri"/>
                <a:ea typeface="Calibri"/>
                <a:cs typeface="Calibri"/>
              </a:rPr>
              <a:t>: 18 hole courses</a:t>
            </a:r>
          </a:p>
        </c:rich>
      </c:tx>
      <c:layout>
        <c:manualLayout>
          <c:xMode val="edge"/>
          <c:yMode val="edge"/>
          <c:x val="0.40686869109902091"/>
          <c:y val="5.0841445946735904E-3"/>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endParaRPr lang="en-US"/>
        </a:p>
      </c:txPr>
    </c:title>
    <c:autoTitleDeleted val="0"/>
    <c:plotArea>
      <c:layout>
        <c:manualLayout>
          <c:layoutTarget val="inner"/>
          <c:xMode val="edge"/>
          <c:yMode val="edge"/>
          <c:x val="7.1753984059172923E-2"/>
          <c:y val="7.040400002509653E-2"/>
          <c:w val="0.91284952096712513"/>
          <c:h val="0.66074593346607269"/>
        </c:manualLayout>
      </c:layout>
      <c:barChart>
        <c:barDir val="col"/>
        <c:grouping val="clustered"/>
        <c:varyColors val="0"/>
        <c:ser>
          <c:idx val="0"/>
          <c:order val="0"/>
          <c:tx>
            <c:strRef>
              <c:f>Golf!$A$297</c:f>
              <c:strCache>
                <c:ptCount val="1"/>
                <c:pt idx="0">
                  <c:v>2022</c:v>
                </c:pt>
              </c:strCache>
            </c:strRef>
          </c:tx>
          <c:spPr>
            <a:solidFill>
              <a:schemeClr val="accent1"/>
            </a:solidFill>
            <a:ln>
              <a:noFill/>
            </a:ln>
            <a:effectLst/>
          </c:spPr>
          <c:invertIfNegative val="0"/>
          <c:cat>
            <c:strRef>
              <c:f>Golf!$B$296:$G$296</c:f>
              <c:strCache>
                <c:ptCount val="6"/>
                <c:pt idx="0">
                  <c:v>Florida                        Statewide</c:v>
                </c:pt>
                <c:pt idx="1">
                  <c:v>Southeast                                  w/o Boca</c:v>
                </c:pt>
                <c:pt idx="2">
                  <c:v>Boca Raton                         Area</c:v>
                </c:pt>
                <c:pt idx="3">
                  <c:v>Southwest                         w/o CIRAs</c:v>
                </c:pt>
                <c:pt idx="4">
                  <c:v>Southwest                      CIRAs</c:v>
                </c:pt>
                <c:pt idx="5">
                  <c:v>North &amp;                         Central</c:v>
                </c:pt>
              </c:strCache>
            </c:strRef>
          </c:cat>
          <c:val>
            <c:numRef>
              <c:f>Golf!$B$297:$G$297</c:f>
              <c:numCache>
                <c:formatCode>_("$"* #,##0\ \ _);_("$"* \(#,##0\)\ \ ;_("$"* "-"??_);_(@_)</c:formatCode>
                <c:ptCount val="6"/>
                <c:pt idx="0">
                  <c:v>65600</c:v>
                </c:pt>
                <c:pt idx="1">
                  <c:v>79700</c:v>
                </c:pt>
                <c:pt idx="2">
                  <c:v>76600</c:v>
                </c:pt>
                <c:pt idx="3">
                  <c:v>65300</c:v>
                </c:pt>
                <c:pt idx="4">
                  <c:v>53700</c:v>
                </c:pt>
                <c:pt idx="5">
                  <c:v>59500</c:v>
                </c:pt>
              </c:numCache>
            </c:numRef>
          </c:val>
          <c:extLst>
            <c:ext xmlns:c16="http://schemas.microsoft.com/office/drawing/2014/chart" uri="{C3380CC4-5D6E-409C-BE32-E72D297353CC}">
              <c16:uniqueId val="{00000000-BBBC-4A41-9C29-1B5F0B757A45}"/>
            </c:ext>
          </c:extLst>
        </c:ser>
        <c:ser>
          <c:idx val="1"/>
          <c:order val="1"/>
          <c:tx>
            <c:strRef>
              <c:f>Golf!$A$298</c:f>
              <c:strCache>
                <c:ptCount val="1"/>
                <c:pt idx="0">
                  <c:v>2021</c:v>
                </c:pt>
              </c:strCache>
            </c:strRef>
          </c:tx>
          <c:spPr>
            <a:solidFill>
              <a:schemeClr val="accent2"/>
            </a:solidFill>
            <a:ln>
              <a:noFill/>
            </a:ln>
            <a:effectLst/>
          </c:spPr>
          <c:invertIfNegative val="0"/>
          <c:cat>
            <c:strRef>
              <c:f>Golf!$B$296:$G$296</c:f>
              <c:strCache>
                <c:ptCount val="6"/>
                <c:pt idx="0">
                  <c:v>Florida                        Statewide</c:v>
                </c:pt>
                <c:pt idx="1">
                  <c:v>Southeast                                  w/o Boca</c:v>
                </c:pt>
                <c:pt idx="2">
                  <c:v>Boca Raton                         Area</c:v>
                </c:pt>
                <c:pt idx="3">
                  <c:v>Southwest                         w/o CIRAs</c:v>
                </c:pt>
                <c:pt idx="4">
                  <c:v>Southwest                      CIRAs</c:v>
                </c:pt>
                <c:pt idx="5">
                  <c:v>North &amp;                         Central</c:v>
                </c:pt>
              </c:strCache>
            </c:strRef>
          </c:cat>
          <c:val>
            <c:numRef>
              <c:f>Golf!$B$298:$G$298</c:f>
              <c:numCache>
                <c:formatCode>_("$"* #,##0\ \ _);_("$"* \(#,##0\)\ \ ;_("$"* "-"??_);_(@_)</c:formatCode>
                <c:ptCount val="6"/>
                <c:pt idx="0">
                  <c:v>60600</c:v>
                </c:pt>
                <c:pt idx="1">
                  <c:v>76600</c:v>
                </c:pt>
                <c:pt idx="2">
                  <c:v>70700</c:v>
                </c:pt>
                <c:pt idx="3">
                  <c:v>57500</c:v>
                </c:pt>
                <c:pt idx="4">
                  <c:v>49400</c:v>
                </c:pt>
                <c:pt idx="5">
                  <c:v>54600</c:v>
                </c:pt>
              </c:numCache>
            </c:numRef>
          </c:val>
          <c:extLst>
            <c:ext xmlns:c16="http://schemas.microsoft.com/office/drawing/2014/chart" uri="{C3380CC4-5D6E-409C-BE32-E72D297353CC}">
              <c16:uniqueId val="{00000001-BBBC-4A41-9C29-1B5F0B757A45}"/>
            </c:ext>
          </c:extLst>
        </c:ser>
        <c:ser>
          <c:idx val="2"/>
          <c:order val="2"/>
          <c:tx>
            <c:strRef>
              <c:f>Golf!$A$299</c:f>
              <c:strCache>
                <c:ptCount val="1"/>
                <c:pt idx="0">
                  <c:v>2020</c:v>
                </c:pt>
              </c:strCache>
            </c:strRef>
          </c:tx>
          <c:spPr>
            <a:solidFill>
              <a:schemeClr val="accent3"/>
            </a:solidFill>
            <a:ln>
              <a:noFill/>
            </a:ln>
            <a:effectLst/>
          </c:spPr>
          <c:invertIfNegative val="0"/>
          <c:cat>
            <c:strRef>
              <c:f>Golf!$B$296:$G$296</c:f>
              <c:strCache>
                <c:ptCount val="6"/>
                <c:pt idx="0">
                  <c:v>Florida                        Statewide</c:v>
                </c:pt>
                <c:pt idx="1">
                  <c:v>Southeast                                  w/o Boca</c:v>
                </c:pt>
                <c:pt idx="2">
                  <c:v>Boca Raton                         Area</c:v>
                </c:pt>
                <c:pt idx="3">
                  <c:v>Southwest                         w/o CIRAs</c:v>
                </c:pt>
                <c:pt idx="4">
                  <c:v>Southwest                      CIRAs</c:v>
                </c:pt>
                <c:pt idx="5">
                  <c:v>North &amp;                         Central</c:v>
                </c:pt>
              </c:strCache>
            </c:strRef>
          </c:cat>
          <c:val>
            <c:numRef>
              <c:f>Golf!$B$299:$G$299</c:f>
              <c:numCache>
                <c:formatCode>_("$"* #,##0\ \ _);_("$"* \(#,##0\)\ \ ;_("$"* "-"??_);_(@_)</c:formatCode>
                <c:ptCount val="6"/>
                <c:pt idx="0">
                  <c:v>57100</c:v>
                </c:pt>
                <c:pt idx="1">
                  <c:v>67000</c:v>
                </c:pt>
                <c:pt idx="2">
                  <c:v>61400</c:v>
                </c:pt>
                <c:pt idx="3">
                  <c:v>56800</c:v>
                </c:pt>
                <c:pt idx="4">
                  <c:v>49300</c:v>
                </c:pt>
                <c:pt idx="5">
                  <c:v>53900</c:v>
                </c:pt>
              </c:numCache>
            </c:numRef>
          </c:val>
          <c:extLst>
            <c:ext xmlns:c16="http://schemas.microsoft.com/office/drawing/2014/chart" uri="{C3380CC4-5D6E-409C-BE32-E72D297353CC}">
              <c16:uniqueId val="{00000002-BBBC-4A41-9C29-1B5F0B757A45}"/>
            </c:ext>
          </c:extLst>
        </c:ser>
        <c:dLbls>
          <c:showLegendKey val="0"/>
          <c:showVal val="0"/>
          <c:showCatName val="0"/>
          <c:showSerName val="0"/>
          <c:showPercent val="0"/>
          <c:showBubbleSize val="0"/>
        </c:dLbls>
        <c:gapWidth val="150"/>
        <c:axId val="511162944"/>
        <c:axId val="511157456"/>
      </c:barChart>
      <c:catAx>
        <c:axId val="511162944"/>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57456"/>
        <c:crossesAt val="30000"/>
        <c:auto val="1"/>
        <c:lblAlgn val="ctr"/>
        <c:lblOffset val="100"/>
        <c:noMultiLvlLbl val="0"/>
      </c:catAx>
      <c:valAx>
        <c:axId val="511157456"/>
        <c:scaling>
          <c:orientation val="minMax"/>
          <c:max val="80000"/>
          <c:min val="45000"/>
        </c:scaling>
        <c:delete val="0"/>
        <c:axPos val="l"/>
        <c:majorGridlines>
          <c:spPr>
            <a:ln w="9525" cap="flat" cmpd="sng" algn="ctr">
              <a:solidFill>
                <a:schemeClr val="tx1">
                  <a:tint val="75000"/>
                  <a:shade val="95000"/>
                  <a:satMod val="105000"/>
                </a:schemeClr>
              </a:solidFill>
              <a:prstDash val="solid"/>
              <a:round/>
            </a:ln>
            <a:effectLst/>
          </c:spPr>
        </c:majorGridlines>
        <c:numFmt formatCode="&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2944"/>
        <c:crosses val="autoZero"/>
        <c:crossBetween val="between"/>
        <c:majorUnit val="5000"/>
        <c:minorUnit val="2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noFill/>
        <a:ln w="6350">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r>
              <a:rPr lang="en-US" sz="1200">
                <a:solidFill>
                  <a:srgbClr val="376091"/>
                </a:solidFill>
              </a:rPr>
              <a:t>Course supplies per hole</a:t>
            </a:r>
            <a:r>
              <a:rPr lang="en-US" sz="1200" b="1" i="0" u="none" strike="noStrike" kern="1200" baseline="0">
                <a:solidFill>
                  <a:srgbClr val="376091"/>
                </a:solidFill>
                <a:latin typeface="Calibri"/>
                <a:ea typeface="Calibri"/>
                <a:cs typeface="Calibri"/>
              </a:rPr>
              <a:t>: 18 hole courses</a:t>
            </a:r>
          </a:p>
        </c:rich>
      </c:tx>
      <c:layout>
        <c:manualLayout>
          <c:xMode val="edge"/>
          <c:yMode val="edge"/>
          <c:x val="0.40686869109902113"/>
          <c:y val="5.0841445946735904E-3"/>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accent1"/>
              </a:solidFill>
              <a:latin typeface="Calibri"/>
              <a:ea typeface="Calibri"/>
              <a:cs typeface="Calibri"/>
            </a:defRPr>
          </a:pPr>
          <a:endParaRPr lang="en-US"/>
        </a:p>
      </c:txPr>
    </c:title>
    <c:autoTitleDeleted val="0"/>
    <c:plotArea>
      <c:layout>
        <c:manualLayout>
          <c:layoutTarget val="inner"/>
          <c:xMode val="edge"/>
          <c:yMode val="edge"/>
          <c:x val="7.1753984059172923E-2"/>
          <c:y val="7.040400002509653E-2"/>
          <c:w val="0.91284952096712513"/>
          <c:h val="0.65567326974098428"/>
        </c:manualLayout>
      </c:layout>
      <c:barChart>
        <c:barDir val="col"/>
        <c:grouping val="clustered"/>
        <c:varyColors val="0"/>
        <c:ser>
          <c:idx val="0"/>
          <c:order val="0"/>
          <c:tx>
            <c:strRef>
              <c:f>Golf!$A$253</c:f>
              <c:strCache>
                <c:ptCount val="1"/>
                <c:pt idx="0">
                  <c:v>2022</c:v>
                </c:pt>
              </c:strCache>
            </c:strRef>
          </c:tx>
          <c:spPr>
            <a:solidFill>
              <a:schemeClr val="accent1"/>
            </a:solidFill>
            <a:ln>
              <a:noFill/>
            </a:ln>
            <a:effectLst/>
          </c:spPr>
          <c:invertIfNegative val="0"/>
          <c:cat>
            <c:strRef>
              <c:f>Golf!$B$252:$G$252</c:f>
              <c:strCache>
                <c:ptCount val="6"/>
                <c:pt idx="0">
                  <c:v>Florida                            Statewide</c:v>
                </c:pt>
                <c:pt idx="1">
                  <c:v>Southeast                                    w/o Boca</c:v>
                </c:pt>
                <c:pt idx="2">
                  <c:v>Boca Raton                         Area</c:v>
                </c:pt>
                <c:pt idx="3">
                  <c:v>Southwest                         w/o CIRAs</c:v>
                </c:pt>
                <c:pt idx="4">
                  <c:v>Southwest                      CIRAs</c:v>
                </c:pt>
                <c:pt idx="5">
                  <c:v>North &amp;                         Central</c:v>
                </c:pt>
              </c:strCache>
            </c:strRef>
          </c:cat>
          <c:val>
            <c:numRef>
              <c:f>Golf!$B$253:$G$253</c:f>
              <c:numCache>
                <c:formatCode>_("$"* #,##0\ \ _);_("$"* \(#,##0\)\ \ ;_("$"* "-"??_);_(@_)</c:formatCode>
                <c:ptCount val="6"/>
                <c:pt idx="0">
                  <c:v>29800</c:v>
                </c:pt>
                <c:pt idx="1">
                  <c:v>34900</c:v>
                </c:pt>
                <c:pt idx="2">
                  <c:v>29800</c:v>
                </c:pt>
                <c:pt idx="3">
                  <c:v>31100</c:v>
                </c:pt>
                <c:pt idx="4">
                  <c:v>28400</c:v>
                </c:pt>
                <c:pt idx="5">
                  <c:v>25000</c:v>
                </c:pt>
              </c:numCache>
            </c:numRef>
          </c:val>
          <c:extLst>
            <c:ext xmlns:c16="http://schemas.microsoft.com/office/drawing/2014/chart" uri="{C3380CC4-5D6E-409C-BE32-E72D297353CC}">
              <c16:uniqueId val="{00000000-AD65-487E-AB4F-4201E8468CA2}"/>
            </c:ext>
          </c:extLst>
        </c:ser>
        <c:ser>
          <c:idx val="1"/>
          <c:order val="1"/>
          <c:tx>
            <c:strRef>
              <c:f>Golf!$A$254</c:f>
              <c:strCache>
                <c:ptCount val="1"/>
                <c:pt idx="0">
                  <c:v>2021</c:v>
                </c:pt>
              </c:strCache>
            </c:strRef>
          </c:tx>
          <c:spPr>
            <a:solidFill>
              <a:schemeClr val="accent2"/>
            </a:solidFill>
            <a:ln>
              <a:noFill/>
            </a:ln>
            <a:effectLst/>
          </c:spPr>
          <c:invertIfNegative val="0"/>
          <c:cat>
            <c:strRef>
              <c:f>Golf!$B$252:$G$252</c:f>
              <c:strCache>
                <c:ptCount val="6"/>
                <c:pt idx="0">
                  <c:v>Florida                            Statewide</c:v>
                </c:pt>
                <c:pt idx="1">
                  <c:v>Southeast                                    w/o Boca</c:v>
                </c:pt>
                <c:pt idx="2">
                  <c:v>Boca Raton                         Area</c:v>
                </c:pt>
                <c:pt idx="3">
                  <c:v>Southwest                         w/o CIRAs</c:v>
                </c:pt>
                <c:pt idx="4">
                  <c:v>Southwest                      CIRAs</c:v>
                </c:pt>
                <c:pt idx="5">
                  <c:v>North &amp;                         Central</c:v>
                </c:pt>
              </c:strCache>
            </c:strRef>
          </c:cat>
          <c:val>
            <c:numRef>
              <c:f>Golf!$B$254:$G$254</c:f>
              <c:numCache>
                <c:formatCode>_("$"* #,##0\ \ _);_("$"* \(#,##0\)\ \ ;_("$"* "-"??_);_(@_)</c:formatCode>
                <c:ptCount val="6"/>
                <c:pt idx="0">
                  <c:v>25600</c:v>
                </c:pt>
                <c:pt idx="1">
                  <c:v>29800</c:v>
                </c:pt>
                <c:pt idx="2">
                  <c:v>25500</c:v>
                </c:pt>
                <c:pt idx="3">
                  <c:v>26000</c:v>
                </c:pt>
                <c:pt idx="4">
                  <c:v>26200</c:v>
                </c:pt>
                <c:pt idx="5">
                  <c:v>20000</c:v>
                </c:pt>
              </c:numCache>
            </c:numRef>
          </c:val>
          <c:extLst>
            <c:ext xmlns:c16="http://schemas.microsoft.com/office/drawing/2014/chart" uri="{C3380CC4-5D6E-409C-BE32-E72D297353CC}">
              <c16:uniqueId val="{00000001-AD65-487E-AB4F-4201E8468CA2}"/>
            </c:ext>
          </c:extLst>
        </c:ser>
        <c:ser>
          <c:idx val="2"/>
          <c:order val="2"/>
          <c:tx>
            <c:strRef>
              <c:f>Golf!$A$255</c:f>
              <c:strCache>
                <c:ptCount val="1"/>
                <c:pt idx="0">
                  <c:v>2020</c:v>
                </c:pt>
              </c:strCache>
            </c:strRef>
          </c:tx>
          <c:spPr>
            <a:solidFill>
              <a:schemeClr val="accent3"/>
            </a:solidFill>
            <a:ln>
              <a:noFill/>
            </a:ln>
            <a:effectLst/>
          </c:spPr>
          <c:invertIfNegative val="0"/>
          <c:cat>
            <c:strRef>
              <c:f>Golf!$B$252:$G$252</c:f>
              <c:strCache>
                <c:ptCount val="6"/>
                <c:pt idx="0">
                  <c:v>Florida                            Statewide</c:v>
                </c:pt>
                <c:pt idx="1">
                  <c:v>Southeast                                    w/o Boca</c:v>
                </c:pt>
                <c:pt idx="2">
                  <c:v>Boca Raton                         Area</c:v>
                </c:pt>
                <c:pt idx="3">
                  <c:v>Southwest                         w/o CIRAs</c:v>
                </c:pt>
                <c:pt idx="4">
                  <c:v>Southwest                      CIRAs</c:v>
                </c:pt>
                <c:pt idx="5">
                  <c:v>North &amp;                         Central</c:v>
                </c:pt>
              </c:strCache>
            </c:strRef>
          </c:cat>
          <c:val>
            <c:numRef>
              <c:f>Golf!$B$255:$G$255</c:f>
              <c:numCache>
                <c:formatCode>_("$"* #,##0\ \ _);_("$"* \(#,##0\)\ \ ;_("$"* "-"??_);_(@_)</c:formatCode>
                <c:ptCount val="6"/>
                <c:pt idx="0">
                  <c:v>22900</c:v>
                </c:pt>
                <c:pt idx="1">
                  <c:v>24900</c:v>
                </c:pt>
                <c:pt idx="2">
                  <c:v>22900</c:v>
                </c:pt>
                <c:pt idx="3">
                  <c:v>24300</c:v>
                </c:pt>
                <c:pt idx="4">
                  <c:v>23900</c:v>
                </c:pt>
                <c:pt idx="5">
                  <c:v>18400</c:v>
                </c:pt>
              </c:numCache>
            </c:numRef>
          </c:val>
          <c:extLst>
            <c:ext xmlns:c16="http://schemas.microsoft.com/office/drawing/2014/chart" uri="{C3380CC4-5D6E-409C-BE32-E72D297353CC}">
              <c16:uniqueId val="{00000002-AD65-487E-AB4F-4201E8468CA2}"/>
            </c:ext>
          </c:extLst>
        </c:ser>
        <c:dLbls>
          <c:showLegendKey val="0"/>
          <c:showVal val="0"/>
          <c:showCatName val="0"/>
          <c:showSerName val="0"/>
          <c:showPercent val="0"/>
          <c:showBubbleSize val="0"/>
        </c:dLbls>
        <c:gapWidth val="150"/>
        <c:axId val="511160200"/>
        <c:axId val="511156280"/>
      </c:barChart>
      <c:catAx>
        <c:axId val="511160200"/>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56280"/>
        <c:crossesAt val="10000"/>
        <c:auto val="1"/>
        <c:lblAlgn val="ctr"/>
        <c:lblOffset val="100"/>
        <c:noMultiLvlLbl val="0"/>
      </c:catAx>
      <c:valAx>
        <c:axId val="511156280"/>
        <c:scaling>
          <c:orientation val="minMax"/>
          <c:max val="35000"/>
          <c:min val="17500"/>
        </c:scaling>
        <c:delete val="0"/>
        <c:axPos val="l"/>
        <c:majorGridlines>
          <c:spPr>
            <a:ln w="9525" cap="flat" cmpd="sng" algn="ctr">
              <a:solidFill>
                <a:schemeClr val="tx1">
                  <a:tint val="75000"/>
                  <a:shade val="95000"/>
                  <a:satMod val="105000"/>
                </a:schemeClr>
              </a:solidFill>
              <a:prstDash val="solid"/>
              <a:round/>
            </a:ln>
            <a:effectLst/>
          </c:spPr>
        </c:majorGridlines>
        <c:numFmt formatCode="&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0200"/>
        <c:crosses val="autoZero"/>
        <c:crossBetween val="between"/>
        <c:majorUnit val="2500"/>
        <c:minorUnit val="2000"/>
      </c:valAx>
      <c:dTable>
        <c:showHorzBorder val="1"/>
        <c:showVertBorder val="1"/>
        <c:showOutline val="1"/>
        <c:showKeys val="1"/>
        <c:spPr>
          <a:noFill/>
          <a:ln w="9525" cap="flat" cmpd="sng" algn="ctr">
            <a:solidFill>
              <a:schemeClr val="tx1">
                <a:tint val="75000"/>
                <a:shade val="95000"/>
                <a:satMod val="105000"/>
              </a:schemeClr>
            </a:solidFill>
            <a:prstDash val="solid"/>
            <a:round/>
          </a:ln>
          <a:effectLst/>
        </c:spPr>
        <c:txPr>
          <a:bodyPr rot="0" spcFirstLastPara="1" vertOverflow="ellipsis" vert="horz" wrap="square" anchor="ctr" anchorCtr="1"/>
          <a:lstStyle/>
          <a:p>
            <a:pPr rtl="0">
              <a:defRPr sz="1000" b="0" i="0" u="none" strike="noStrike" kern="1200" baseline="0">
                <a:solidFill>
                  <a:srgbClr val="000000"/>
                </a:solidFill>
                <a:latin typeface="Calibri"/>
                <a:ea typeface="Calibri"/>
                <a:cs typeface="Calibri"/>
              </a:defRPr>
            </a:pPr>
            <a:endParaRPr lang="en-US"/>
          </a:p>
        </c:txPr>
      </c:dTable>
      <c:spPr>
        <a:noFill/>
        <a:ln w="6350">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0"/>
      <c:rotY val="0"/>
      <c:depthPercent val="100"/>
      <c:rAngAx val="0"/>
      <c:perspective val="0"/>
    </c:view3D>
    <c:floor>
      <c:thickness val="0"/>
      <c:spPr>
        <a:noFill/>
        <a:ln w="9525" cap="flat" cmpd="sng" algn="ctr">
          <a:solidFill>
            <a:schemeClr val="tx1">
              <a:tint val="75000"/>
              <a:shade val="95000"/>
              <a:satMod val="105000"/>
            </a:schemeClr>
          </a:solidFill>
          <a:prstDash val="solid"/>
          <a:round/>
        </a:ln>
        <a:effectLst/>
        <a:sp3d contourW="9525">
          <a:contourClr>
            <a:schemeClr val="tx1">
              <a:tint val="75000"/>
              <a:shade val="95000"/>
              <a:satMod val="10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230824838721948E-2"/>
          <c:y val="3.4102826076878069E-2"/>
          <c:w val="0.90370596855989116"/>
          <c:h val="0.89213148987839996"/>
        </c:manualLayout>
      </c:layout>
      <c:area3DChart>
        <c:grouping val="stacked"/>
        <c:varyColors val="0"/>
        <c:ser>
          <c:idx val="0"/>
          <c:order val="0"/>
          <c:tx>
            <c:strRef>
              <c:f>Golf!$A$115</c:f>
              <c:strCache>
                <c:ptCount val="1"/>
                <c:pt idx="0">
                  <c:v>Salaries &amp; wages</c:v>
                </c:pt>
              </c:strCache>
            </c:strRef>
          </c:tx>
          <c:spPr>
            <a:solidFill>
              <a:schemeClr val="accent1"/>
            </a:solidFill>
            <a:ln>
              <a:noFill/>
            </a:ln>
            <a:effectLst/>
            <a:sp3d/>
          </c:spPr>
          <c:dLbls>
            <c:dLbl>
              <c:idx val="0"/>
              <c:layout>
                <c:manualLayout>
                  <c:x val="3.2873461135558273E-2"/>
                  <c:y val="-4.99360666812700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4B-4566-941B-566DF2F94D2F}"/>
                </c:ext>
              </c:extLst>
            </c:dLbl>
            <c:dLbl>
              <c:idx val="1"/>
              <c:layout>
                <c:manualLayout>
                  <c:x val="-2.3589207136541896E-3"/>
                  <c:y val="-4.9034598384631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4B-4566-941B-566DF2F94D2F}"/>
                </c:ext>
              </c:extLst>
            </c:dLbl>
            <c:dLbl>
              <c:idx val="2"/>
              <c:layout>
                <c:manualLayout>
                  <c:x val="6.1850308742329154E-3"/>
                  <c:y val="-6.02446534643391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4B-4566-941B-566DF2F94D2F}"/>
                </c:ext>
              </c:extLst>
            </c:dLbl>
            <c:dLbl>
              <c:idx val="3"/>
              <c:layout>
                <c:manualLayout>
                  <c:x val="-1.2525446964370968E-2"/>
                  <c:y val="-5.52740974349133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4B-4566-941B-566DF2F94D2F}"/>
                </c:ext>
              </c:extLst>
            </c:dLbl>
            <c:dLbl>
              <c:idx val="4"/>
              <c:layout>
                <c:manualLayout>
                  <c:x val="-3.3302747498174995E-2"/>
                  <c:y val="-6.1329933167356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4B-4566-941B-566DF2F94D2F}"/>
                </c:ext>
              </c:extLst>
            </c:dLbl>
            <c:dLbl>
              <c:idx val="5"/>
              <c:layout>
                <c:manualLayout>
                  <c:x val="-2.9143929436671462E-2"/>
                  <c:y val="-8.76504709500076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4B-4566-941B-566DF2F94D2F}"/>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Golf!$P$115:$Y$115</c15:sqref>
                  </c15:fullRef>
                </c:ext>
              </c:extLst>
              <c:f>Golf!$U$115:$Y$115</c:f>
              <c:numCache>
                <c:formatCode>_("$"* #,##0_);_("$"* \(#,##0\);_("$"* "-"??_);_(@_)</c:formatCode>
                <c:ptCount val="5"/>
                <c:pt idx="0">
                  <c:v>44900</c:v>
                </c:pt>
                <c:pt idx="1">
                  <c:v>47900</c:v>
                </c:pt>
                <c:pt idx="2">
                  <c:v>47600</c:v>
                </c:pt>
                <c:pt idx="3">
                  <c:v>50300</c:v>
                </c:pt>
                <c:pt idx="4">
                  <c:v>54900</c:v>
                </c:pt>
              </c:numCache>
            </c:numRef>
          </c:val>
          <c:extLst>
            <c:ext xmlns:c15="http://schemas.microsoft.com/office/drawing/2012/chart" uri="{02D57815-91ED-43cb-92C2-25804820EDAC}">
              <c15:categoryFilterExceptions>
                <c15:categoryFilterException>
                  <c15:sqref>Golf!$P$115</c15:sqref>
                  <c15:dLbl>
                    <c:idx val="-1"/>
                    <c:layout>
                      <c:manualLayout>
                        <c:x val="3.190372430140858E-2"/>
                        <c:y val="-3.659214269594567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0-7AB2-422A-9F73-E80EAF681BED}"/>
                      </c:ext>
                    </c:extLst>
                  </c15:dLbl>
                </c15:categoryFilterException>
                <c15:categoryFilterException>
                  <c15:sqref>Golf!$Q$115</c15:sqref>
                  <c15:dLbl>
                    <c:idx val="-1"/>
                    <c:layout>
                      <c:manualLayout>
                        <c:x val="2.9584628709486256E-2"/>
                        <c:y val="-4.0985290613726334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1-7AB2-422A-9F73-E80EAF681BED}"/>
                      </c:ext>
                    </c:extLst>
                  </c15:dLbl>
                </c15:categoryFilterException>
                <c15:categoryFilterException>
                  <c15:sqref>Golf!$R$115</c15:sqref>
                  <c15:dLbl>
                    <c:idx val="-1"/>
                    <c:layout>
                      <c:manualLayout>
                        <c:x val="3.0973067407694021E-2"/>
                        <c:y val="-3.558720531215364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2-7AB2-422A-9F73-E80EAF681BED}"/>
                      </c:ext>
                    </c:extLst>
                  </c15:dLbl>
                </c15:categoryFilterException>
                <c15:categoryFilterException>
                  <c15:sqref>Golf!$S$115</c15:sqref>
                  <c15:dLbl>
                    <c:idx val="-1"/>
                    <c:layout>
                      <c:manualLayout>
                        <c:x val="2.3293585188833E-2"/>
                        <c:y val="-4.9821970119136305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3-7AB2-422A-9F73-E80EAF681BED}"/>
                      </c:ext>
                    </c:extLst>
                  </c15:dLbl>
                </c15:categoryFilterException>
                <c15:categoryFilterException>
                  <c15:sqref>Golf!$T$115</c15:sqref>
                  <c15:dLbl>
                    <c:idx val="-1"/>
                    <c:layout>
                      <c:manualLayout>
                        <c:x val="4.2553259079700444E-2"/>
                        <c:y val="-6.0536802120846618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4-7AB2-422A-9F73-E80EAF681BED}"/>
                      </c:ext>
                    </c:extLst>
                  </c15:dLbl>
                </c15:categoryFilterException>
              </c15:categoryFilterExceptions>
            </c:ext>
            <c:ext xmlns:c16="http://schemas.microsoft.com/office/drawing/2014/chart" uri="{C3380CC4-5D6E-409C-BE32-E72D297353CC}">
              <c16:uniqueId val="{0000000A-7178-41CE-A845-490CC0961F17}"/>
            </c:ext>
          </c:extLst>
        </c:ser>
        <c:ser>
          <c:idx val="1"/>
          <c:order val="1"/>
          <c:tx>
            <c:strRef>
              <c:f>Golf!$A$116</c:f>
              <c:strCache>
                <c:ptCount val="1"/>
                <c:pt idx="0">
                  <c:v>PTEB</c:v>
                </c:pt>
              </c:strCache>
            </c:strRef>
          </c:tx>
          <c:spPr>
            <a:solidFill>
              <a:schemeClr val="accent2"/>
            </a:solidFill>
            <a:ln>
              <a:noFill/>
            </a:ln>
            <a:effectLst/>
            <a:sp3d/>
          </c:spPr>
          <c:dLbls>
            <c:dLbl>
              <c:idx val="0"/>
              <c:layout>
                <c:manualLayout>
                  <c:x val="3.7520432244894639E-2"/>
                  <c:y val="-6.279401217316018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D-7178-41CE-A845-490CC0961F17}"/>
                </c:ext>
              </c:extLst>
            </c:dLbl>
            <c:dLbl>
              <c:idx val="1"/>
              <c:layout>
                <c:manualLayout>
                  <c:x val="-2.362190893278529E-3"/>
                  <c:y val="4.96652716062805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178-41CE-A845-490CC0961F17}"/>
                </c:ext>
              </c:extLst>
            </c:dLbl>
            <c:dLbl>
              <c:idx val="2"/>
              <c:layout>
                <c:manualLayout>
                  <c:x val="4.6102992345162666E-3"/>
                  <c:y val="-2.48433981448080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4B-4566-941B-566DF2F94D2F}"/>
                </c:ext>
              </c:extLst>
            </c:dLbl>
            <c:dLbl>
              <c:idx val="3"/>
              <c:layout>
                <c:manualLayout>
                  <c:x val="-3.664213126328589E-3"/>
                  <c:y val="2.484317015282762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4B-4566-941B-566DF2F94D2F}"/>
                </c:ext>
              </c:extLst>
            </c:dLbl>
            <c:dLbl>
              <c:idx val="4"/>
              <c:layout>
                <c:manualLayout>
                  <c:x val="-2.9688176896277365E-2"/>
                  <c:y val="-2.54291621631687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4B-4566-941B-566DF2F94D2F}"/>
                </c:ext>
              </c:extLst>
            </c:dLbl>
            <c:dLbl>
              <c:idx val="5"/>
              <c:layout>
                <c:manualLayout>
                  <c:x val="-2.6536105273753403E-2"/>
                  <c:y val="3.247137597072155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178-41CE-A845-490CC0961F1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Golf!$P$116:$Y$116</c15:sqref>
                  </c15:fullRef>
                </c:ext>
              </c:extLst>
              <c:f>Golf!$U$116:$Y$116</c:f>
              <c:numCache>
                <c:formatCode>_("$"* #,##0_);_("$"* \(#,##0\);_("$"* "-"??_);_(@_)</c:formatCode>
                <c:ptCount val="5"/>
                <c:pt idx="0">
                  <c:v>9600</c:v>
                </c:pt>
                <c:pt idx="1">
                  <c:v>10100</c:v>
                </c:pt>
                <c:pt idx="2">
                  <c:v>10100</c:v>
                </c:pt>
                <c:pt idx="3">
                  <c:v>10300</c:v>
                </c:pt>
                <c:pt idx="4">
                  <c:v>10700</c:v>
                </c:pt>
              </c:numCache>
            </c:numRef>
          </c:val>
          <c:extLst>
            <c:ext xmlns:c15="http://schemas.microsoft.com/office/drawing/2012/chart" uri="{02D57815-91ED-43cb-92C2-25804820EDAC}">
              <c15:categoryFilterExceptions>
                <c15:categoryFilterException>
                  <c15:sqref>Golf!$P$116</c15:sqref>
                  <c15:dLbl>
                    <c:idx val="-1"/>
                    <c:layout>
                      <c:manualLayout>
                        <c:x val="2.9428754389150543E-2"/>
                        <c:y val="-3.515982632706824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5-7AB2-422A-9F73-E80EAF681BED}"/>
                      </c:ext>
                    </c:extLst>
                  </c15:dLbl>
                </c15:categoryFilterException>
                <c15:categoryFilterException>
                  <c15:sqref>Golf!$Q$116</c15:sqref>
                  <c15:dLbl>
                    <c:idx val="-1"/>
                    <c:layout>
                      <c:manualLayout>
                        <c:x val="2.3168692751284779E-2"/>
                        <c:y val="2.5459359018823887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6-7AB2-422A-9F73-E80EAF681BED}"/>
                      </c:ext>
                    </c:extLst>
                  </c15:dLbl>
                </c15:categoryFilterException>
                <c15:categoryFilterException>
                  <c15:sqref>Golf!$R$116</c15:sqref>
                  <c15:dLbl>
                    <c:idx val="-1"/>
                    <c:layout>
                      <c:manualLayout>
                        <c:x val="2.2634164644084093E-2"/>
                        <c:y val="-2.48322843159683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7-7AB2-422A-9F73-E80EAF681BED}"/>
                      </c:ext>
                    </c:extLst>
                  </c15:dLbl>
                </c15:categoryFilterException>
                <c15:categoryFilterException>
                  <c15:sqref>Golf!$S$116</c15:sqref>
                  <c15:dLbl>
                    <c:idx val="-1"/>
                    <c:layout>
                      <c:manualLayout>
                        <c:x val="2.7399251937575458E-2"/>
                        <c:y val="-7.4496852947904995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8-7AB2-422A-9F73-E80EAF681BED}"/>
                      </c:ext>
                    </c:extLst>
                  </c15:dLbl>
                </c15:categoryFilterException>
                <c15:categoryFilterException>
                  <c15:sqref>Golf!$T$116</c15:sqref>
                  <c15:dLbl>
                    <c:idx val="-1"/>
                    <c:layout>
                      <c:manualLayout>
                        <c:x val="4.5716830848370561E-2"/>
                        <c:y val="-7.449692901472523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9-7AB2-422A-9F73-E80EAF681BED}"/>
                      </c:ext>
                    </c:extLst>
                  </c15:dLbl>
                </c15:categoryFilterException>
              </c15:categoryFilterExceptions>
            </c:ext>
            <c:ext xmlns:c16="http://schemas.microsoft.com/office/drawing/2014/chart" uri="{C3380CC4-5D6E-409C-BE32-E72D297353CC}">
              <c16:uniqueId val="{00000010-7178-41CE-A845-490CC0961F17}"/>
            </c:ext>
          </c:extLst>
        </c:ser>
        <c:ser>
          <c:idx val="2"/>
          <c:order val="2"/>
          <c:tx>
            <c:strRef>
              <c:f>Golf!$A$117</c:f>
              <c:strCache>
                <c:ptCount val="1"/>
                <c:pt idx="0">
                  <c:v>Course supplies</c:v>
                </c:pt>
              </c:strCache>
            </c:strRef>
          </c:tx>
          <c:spPr>
            <a:solidFill>
              <a:schemeClr val="accent3"/>
            </a:solidFill>
            <a:ln>
              <a:noFill/>
            </a:ln>
            <a:effectLst/>
            <a:sp3d/>
          </c:spPr>
          <c:dLbls>
            <c:dLbl>
              <c:idx val="0"/>
              <c:layout>
                <c:manualLayout>
                  <c:x val="3.6330661023388396E-2"/>
                  <c:y val="1.19356878468222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178-41CE-A845-490CC0961F17}"/>
                </c:ext>
              </c:extLst>
            </c:dLbl>
            <c:dLbl>
              <c:idx val="1"/>
              <c:layout>
                <c:manualLayout>
                  <c:x val="-1.0152506228290679E-3"/>
                  <c:y val="2.80793407654803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178-41CE-A845-490CC0961F17}"/>
                </c:ext>
              </c:extLst>
            </c:dLbl>
            <c:dLbl>
              <c:idx val="2"/>
              <c:layout>
                <c:manualLayout>
                  <c:x val="5.7949451618907093E-3"/>
                  <c:y val="1.24320700561911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4B-4566-941B-566DF2F94D2F}"/>
                </c:ext>
              </c:extLst>
            </c:dLbl>
            <c:dLbl>
              <c:idx val="3"/>
              <c:layout>
                <c:manualLayout>
                  <c:x val="-1.0775699094278991E-2"/>
                  <c:y val="3.9765699563131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34B-4566-941B-566DF2F94D2F}"/>
                </c:ext>
              </c:extLst>
            </c:dLbl>
            <c:dLbl>
              <c:idx val="4"/>
              <c:layout>
                <c:manualLayout>
                  <c:x val="-3.6813339351383929E-2"/>
                  <c:y val="4.3229575677386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34B-4566-941B-566DF2F94D2F}"/>
                </c:ext>
              </c:extLst>
            </c:dLbl>
            <c:dLbl>
              <c:idx val="5"/>
              <c:layout>
                <c:manualLayout>
                  <c:x val="-2.884359268886256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178-41CE-A845-490CC0961F17}"/>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Golf!$P$117:$Y$117</c15:sqref>
                  </c15:fullRef>
                </c:ext>
              </c:extLst>
              <c:f>Golf!$U$117:$Y$117</c:f>
              <c:numCache>
                <c:formatCode>_("$"* #,##0_);_("$"* \(#,##0\);_("$"* "-"??_);_(@_)</c:formatCode>
                <c:ptCount val="5"/>
                <c:pt idx="0">
                  <c:v>22100</c:v>
                </c:pt>
                <c:pt idx="1">
                  <c:v>23300</c:v>
                </c:pt>
                <c:pt idx="2">
                  <c:v>23100</c:v>
                </c:pt>
                <c:pt idx="3">
                  <c:v>25600</c:v>
                </c:pt>
                <c:pt idx="4">
                  <c:v>29800</c:v>
                </c:pt>
              </c:numCache>
            </c:numRef>
          </c:val>
          <c:extLst>
            <c:ext xmlns:c15="http://schemas.microsoft.com/office/drawing/2012/chart" uri="{02D57815-91ED-43cb-92C2-25804820EDAC}">
              <c15:categoryFilterExceptions>
                <c15:categoryFilterException>
                  <c15:sqref>Golf!$P$117</c15:sqref>
                  <c15:dLbl>
                    <c:idx val="-1"/>
                    <c:layout>
                      <c:manualLayout>
                        <c:x val="3.0554708680415526E-2"/>
                        <c:y val="-2.37249674412689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A-7AB2-422A-9F73-E80EAF681BED}"/>
                      </c:ext>
                    </c:extLst>
                  </c15:dLbl>
                </c15:categoryFilterException>
                <c15:categoryFilterException>
                  <c15:sqref>Golf!$Q$117</c15:sqref>
                  <c15:dLbl>
                    <c:idx val="-1"/>
                    <c:layout>
                      <c:manualLayout>
                        <c:x val="2.3157222956648585E-2"/>
                        <c:y val="-4.8454538673685706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B-7AB2-422A-9F73-E80EAF681BED}"/>
                      </c:ext>
                    </c:extLst>
                  </c15:dLbl>
                </c15:categoryFilterException>
                <c15:categoryFilterException>
                  <c15:sqref>Golf!$R$117</c15:sqref>
                  <c15:dLbl>
                    <c:idx val="-1"/>
                    <c:layout>
                      <c:manualLayout>
                        <c:x val="2.5016708290829786E-2"/>
                        <c:y val="-4.5525328666793688E-17"/>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C-7AB2-422A-9F73-E80EAF681BED}"/>
                      </c:ext>
                    </c:extLst>
                  </c15:dLbl>
                </c15:categoryFilterException>
                <c15:categoryFilterException>
                  <c15:sqref>Golf!$S$117</c15:sqref>
                  <c15:dLbl>
                    <c:idx val="-1"/>
                    <c:layout>
                      <c:manualLayout>
                        <c:x val="2.9781795584321185E-2"/>
                        <c:y val="-4.5525328666793688E-17"/>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D-7AB2-422A-9F73-E80EAF681BED}"/>
                      </c:ext>
                    </c:extLst>
                  </c15:dLbl>
                </c15:categoryFilterException>
                <c15:categoryFilterException>
                  <c15:sqref>Golf!$T$117</c15:sqref>
                  <c15:dLbl>
                    <c:idx val="-1"/>
                    <c:layout>
                      <c:manualLayout>
                        <c:x val="4.2673508256175767E-2"/>
                        <c:y val="-2.0655868841885938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E-7AB2-422A-9F73-E80EAF681BED}"/>
                      </c:ext>
                    </c:extLst>
                  </c15:dLbl>
                </c15:categoryFilterException>
              </c15:categoryFilterExceptions>
            </c:ext>
            <c:ext xmlns:c16="http://schemas.microsoft.com/office/drawing/2014/chart" uri="{C3380CC4-5D6E-409C-BE32-E72D297353CC}">
              <c16:uniqueId val="{00000016-7178-41CE-A845-490CC0961F17}"/>
            </c:ext>
          </c:extLst>
        </c:ser>
        <c:ser>
          <c:idx val="3"/>
          <c:order val="3"/>
          <c:tx>
            <c:strRef>
              <c:f>Golf!$A$118</c:f>
              <c:strCache>
                <c:ptCount val="1"/>
                <c:pt idx="0">
                  <c:v>Repairs </c:v>
                </c:pt>
              </c:strCache>
            </c:strRef>
          </c:tx>
          <c:spPr>
            <a:solidFill>
              <a:schemeClr val="accent4"/>
            </a:solidFill>
            <a:ln>
              <a:noFill/>
            </a:ln>
            <a:effectLst/>
            <a:sp3d/>
          </c:spPr>
          <c:dLbls>
            <c:dLbl>
              <c:idx val="0"/>
              <c:layout>
                <c:manualLayout>
                  <c:x val="3.2551145715837122E-2"/>
                  <c:y val="-1.3493474316346452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B-7178-41CE-A845-490CC0961F17}"/>
                </c:ext>
              </c:extLst>
            </c:dLbl>
            <c:dLbl>
              <c:idx val="1"/>
              <c:layout>
                <c:manualLayout>
                  <c:x val="6.456268915652415E-4"/>
                  <c:y val="9.92718395307458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34B-4566-941B-566DF2F94D2F}"/>
                </c:ext>
              </c:extLst>
            </c:dLbl>
            <c:dLbl>
              <c:idx val="2"/>
              <c:layout>
                <c:manualLayout>
                  <c:x val="9.3668222150963456E-3"/>
                  <c:y val="-2.48316574084437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34B-4566-941B-566DF2F94D2F}"/>
                </c:ext>
              </c:extLst>
            </c:dLbl>
            <c:dLbl>
              <c:idx val="3"/>
              <c:layout>
                <c:manualLayout>
                  <c:x val="-9.590389040004612E-3"/>
                  <c:y val="1.988588182201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34B-4566-941B-566DF2F94D2F}"/>
                </c:ext>
              </c:extLst>
            </c:dLbl>
            <c:dLbl>
              <c:idx val="4"/>
              <c:layout>
                <c:manualLayout>
                  <c:x val="-3.9188393503086123E-2"/>
                  <c:y val="1.78004135142180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34B-4566-941B-566DF2F94D2F}"/>
                </c:ext>
              </c:extLst>
            </c:dLbl>
            <c:dLbl>
              <c:idx val="5"/>
              <c:layout>
                <c:manualLayout>
                  <c:x val="-2.884359268886239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178-41CE-A845-490CC0961F17}"/>
                </c:ext>
              </c:extLst>
            </c:dLbl>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Golf!$P$118:$Y$118</c15:sqref>
                  </c15:fullRef>
                </c:ext>
              </c:extLst>
              <c:f>Golf!$U$118:$Y$118</c:f>
              <c:numCache>
                <c:formatCode>_("$"* #,##0_);_("$"* \(#,##0\);_("$"* "-"??_);_(@_)</c:formatCode>
                <c:ptCount val="5"/>
                <c:pt idx="0">
                  <c:v>6800</c:v>
                </c:pt>
                <c:pt idx="1">
                  <c:v>6800</c:v>
                </c:pt>
                <c:pt idx="2">
                  <c:v>7300</c:v>
                </c:pt>
                <c:pt idx="3">
                  <c:v>7900</c:v>
                </c:pt>
                <c:pt idx="4">
                  <c:v>8500</c:v>
                </c:pt>
              </c:numCache>
            </c:numRef>
          </c:val>
          <c:extLst>
            <c:ext xmlns:c15="http://schemas.microsoft.com/office/drawing/2012/chart" uri="{02D57815-91ED-43cb-92C2-25804820EDAC}">
              <c15:categoryFilterExceptions>
                <c15:categoryFilterException>
                  <c15:sqref>Golf!$P$118</c15:sqref>
                  <c15:dLbl>
                    <c:idx val="-1"/>
                    <c:layout>
                      <c:manualLayout>
                        <c:x val="2.9141155691346954E-2"/>
                        <c:y val="3.0160995842888685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F-7AB2-422A-9F73-E80EAF681BED}"/>
                      </c:ext>
                    </c:extLst>
                  </c15:dLbl>
                </c15:categoryFilterException>
                <c15:categoryFilterException>
                  <c15:sqref>Golf!$Q$118</c15:sqref>
                  <c15:dLbl>
                    <c:idx val="-1"/>
                    <c:layout>
                      <c:manualLayout>
                        <c:x val="1.9687742170761725E-2"/>
                        <c:y val="-1.2771777024422485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0-7AB2-422A-9F73-E80EAF681BED}"/>
                      </c:ext>
                    </c:extLst>
                  </c15:dLbl>
                </c15:categoryFilterException>
                <c15:categoryFilterException>
                  <c15:sqref>Golf!$R$118</c15:sqref>
                  <c15:dLbl>
                    <c:idx val="-1"/>
                    <c:layout>
                      <c:manualLayout>
                        <c:x val="2.3967357276020954E-2"/>
                        <c:y val="5.295337983031923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1-7AB2-422A-9F73-E80EAF681BED}"/>
                      </c:ext>
                    </c:extLst>
                  </c15:dLbl>
                </c15:categoryFilterException>
                <c15:categoryFilterException>
                  <c15:sqref>Golf!$S$118</c15:sqref>
                  <c15:dLbl>
                    <c:idx val="-1"/>
                    <c:layout>
                      <c:manualLayout>
                        <c:x val="2.5164069553390317E-2"/>
                        <c:y val="7.761164262627803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2-7AB2-422A-9F73-E80EAF681BED}"/>
                      </c:ext>
                    </c:extLst>
                  </c15:dLbl>
                </c15:categoryFilterException>
                <c15:categoryFilterException>
                  <c15:sqref>Golf!$T$118</c15:sqref>
                  <c15:dLbl>
                    <c:idx val="-1"/>
                    <c:layout>
                      <c:manualLayout>
                        <c:x val="4.6935828438097224E-2"/>
                        <c:y val="-3.56861433898218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3-7AB2-422A-9F73-E80EAF681BED}"/>
                      </c:ext>
                    </c:extLst>
                  </c15:dLbl>
                </c15:categoryFilterException>
              </c15:categoryFilterExceptions>
            </c:ext>
            <c:ext xmlns:c16="http://schemas.microsoft.com/office/drawing/2014/chart" uri="{C3380CC4-5D6E-409C-BE32-E72D297353CC}">
              <c16:uniqueId val="{0000001E-7178-41CE-A845-490CC0961F17}"/>
            </c:ext>
          </c:extLst>
        </c:ser>
        <c:ser>
          <c:idx val="4"/>
          <c:order val="4"/>
          <c:tx>
            <c:strRef>
              <c:f>Golf!$A$119</c:f>
              <c:strCache>
                <c:ptCount val="1"/>
                <c:pt idx="0">
                  <c:v>Leased equipment</c:v>
                </c:pt>
              </c:strCache>
            </c:strRef>
          </c:tx>
          <c:spPr>
            <a:solidFill>
              <a:schemeClr val="accent5"/>
            </a:solidFill>
            <a:ln>
              <a:noFill/>
            </a:ln>
            <a:effectLst/>
            <a:sp3d/>
          </c:spPr>
          <c:dLbls>
            <c:dLbl>
              <c:idx val="0"/>
              <c:layout>
                <c:manualLayout>
                  <c:x val="2.9056169376145274E-2"/>
                  <c:y val="-3.7172629571592701E-3"/>
                </c:manualLayout>
              </c:layout>
              <c:showLegendKey val="0"/>
              <c:showVal val="1"/>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3-7178-41CE-A845-490CC0961F17}"/>
                </c:ext>
              </c:extLst>
            </c:dLbl>
            <c:dLbl>
              <c:idx val="1"/>
              <c:layout>
                <c:manualLayout>
                  <c:x val="6.5637176747415811E-4"/>
                  <c:y val="1.71590861950071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34B-4566-941B-566DF2F94D2F}"/>
                </c:ext>
              </c:extLst>
            </c:dLbl>
            <c:dLbl>
              <c:idx val="2"/>
              <c:layout>
                <c:manualLayout>
                  <c:x val="9.3628045658433919E-3"/>
                  <c:y val="9.9796259088308348E-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34B-4566-941B-566DF2F94D2F}"/>
                </c:ext>
              </c:extLst>
            </c:dLbl>
            <c:dLbl>
              <c:idx val="3"/>
              <c:layout>
                <c:manualLayout>
                  <c:x val="-2.4550377689478405E-3"/>
                  <c:y val="9.943332142034813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34B-4566-941B-566DF2F94D2F}"/>
                </c:ext>
              </c:extLst>
            </c:dLbl>
            <c:dLbl>
              <c:idx val="4"/>
              <c:layout>
                <c:manualLayout>
                  <c:x val="-2.9688176896277365E-2"/>
                  <c:y val="1.01716648652675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34B-4566-941B-566DF2F94D2F}"/>
                </c:ext>
              </c:extLst>
            </c:dLbl>
            <c:dLbl>
              <c:idx val="5"/>
              <c:layout>
                <c:manualLayout>
                  <c:x val="-3.1151080103971385E-2"/>
                  <c:y val="-9.7414127912164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7178-41CE-A845-490CC0961F17}"/>
                </c:ext>
              </c:extLst>
            </c:dLbl>
            <c:spPr>
              <a:noFill/>
              <a:ln>
                <a:noFill/>
              </a:ln>
              <a:effectLst/>
            </c:spPr>
            <c:txPr>
              <a:bodyPr rot="0" spcFirstLastPara="1" vertOverflow="ellipsis" vert="horz" wrap="square" anchor="ctr" anchorCtr="0"/>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Golf!$P$119:$Y$119</c15:sqref>
                  </c15:fullRef>
                </c:ext>
              </c:extLst>
              <c:f>Golf!$U$119:$Y$119</c:f>
              <c:numCache>
                <c:formatCode>_("$"* #,##0_);_("$"* \(#,##0\);_("$"* "-"??_);_(@_)</c:formatCode>
                <c:ptCount val="5"/>
                <c:pt idx="0">
                  <c:v>2500</c:v>
                </c:pt>
                <c:pt idx="1">
                  <c:v>2500</c:v>
                </c:pt>
                <c:pt idx="2">
                  <c:v>2600</c:v>
                </c:pt>
                <c:pt idx="3">
                  <c:v>3100</c:v>
                </c:pt>
                <c:pt idx="4">
                  <c:v>2800</c:v>
                </c:pt>
              </c:numCache>
            </c:numRef>
          </c:val>
          <c:extLst>
            <c:ext xmlns:c15="http://schemas.microsoft.com/office/drawing/2012/chart" uri="{02D57815-91ED-43cb-92C2-25804820EDAC}">
              <c15:categoryFilterExceptions>
                <c15:categoryFilterException>
                  <c15:sqref>Golf!$P$119</c15:sqref>
                  <c15:dLbl>
                    <c:idx val="-1"/>
                    <c:layout>
                      <c:manualLayout>
                        <c:x val="3.0210677037517845E-2"/>
                        <c:y val="-5.448005821353667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4-7AB2-422A-9F73-E80EAF681BED}"/>
                      </c:ext>
                    </c:extLst>
                  </c15:dLbl>
                </c15:categoryFilterException>
                <c15:categoryFilterException>
                  <c15:sqref>Golf!$Q$119</c15:sqref>
                  <c15:dLbl>
                    <c:idx val="-1"/>
                    <c:layout>
                      <c:manualLayout>
                        <c:x val="2.8974212764042405E-2"/>
                        <c:y val="-1.8160944228257155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5-7AB2-422A-9F73-E80EAF681BED}"/>
                      </c:ext>
                    </c:extLst>
                  </c15:dLbl>
                </c15:categoryFilterException>
                <c15:categoryFilterException>
                  <c15:sqref>Golf!$R$119</c15:sqref>
                  <c15:dLbl>
                    <c:idx val="-1"/>
                    <c:layout>
                      <c:manualLayout>
                        <c:x val="2.6317821004373458E-2"/>
                        <c:y val="-1.858901787337881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6-7AB2-422A-9F73-E80EAF681BED}"/>
                      </c:ext>
                    </c:extLst>
                  </c15:dLbl>
                </c15:categoryFilterException>
                <c15:categoryFilterException>
                  <c15:sqref>Golf!$S$119</c15:sqref>
                  <c15:dLbl>
                    <c:idx val="-1"/>
                    <c:layout>
                      <c:manualLayout>
                        <c:x val="2.751453328174281E-2"/>
                        <c:y val="-1.9803257917490338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7-7AB2-422A-9F73-E80EAF681BED}"/>
                      </c:ext>
                    </c:extLst>
                  </c15:dLbl>
                </c15:categoryFilterException>
                <c15:categoryFilterException>
                  <c15:sqref>Golf!$T$119</c15:sqref>
                  <c15:dLbl>
                    <c:idx val="-1"/>
                    <c:layout>
                      <c:manualLayout>
                        <c:x val="4.5347207117106804E-2"/>
                        <c:y val="-2.7792279761396929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8-7AB2-422A-9F73-E80EAF681BED}"/>
                      </c:ext>
                    </c:extLst>
                  </c15:dLbl>
                </c15:categoryFilterException>
              </c15:categoryFilterExceptions>
            </c:ext>
            <c:ext xmlns:c16="http://schemas.microsoft.com/office/drawing/2014/chart" uri="{C3380CC4-5D6E-409C-BE32-E72D297353CC}">
              <c16:uniqueId val="{00000026-7178-41CE-A845-490CC0961F17}"/>
            </c:ext>
          </c:extLst>
        </c:ser>
        <c:ser>
          <c:idx val="5"/>
          <c:order val="5"/>
          <c:tx>
            <c:strRef>
              <c:f>Golf!$A$120</c:f>
              <c:strCache>
                <c:ptCount val="1"/>
                <c:pt idx="0">
                  <c:v>Other (incl. utilities)</c:v>
                </c:pt>
              </c:strCache>
            </c:strRef>
          </c:tx>
          <c:spPr>
            <a:solidFill>
              <a:schemeClr val="accent6"/>
            </a:solidFill>
            <a:ln>
              <a:noFill/>
            </a:ln>
            <a:effectLst/>
            <a:sp3d/>
          </c:spPr>
          <c:dLbls>
            <c:dLbl>
              <c:idx val="0"/>
              <c:layout>
                <c:manualLayout>
                  <c:x val="3.271019953914598E-2"/>
                  <c:y val="-1.305857557446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7178-41CE-A845-490CC0961F17}"/>
                </c:ext>
              </c:extLst>
            </c:dLbl>
            <c:dLbl>
              <c:idx val="1"/>
              <c:layout>
                <c:manualLayout>
                  <c:x val="-1.1560155306100065E-3"/>
                  <c:y val="-9.35552892056610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7178-41CE-A845-490CC0961F17}"/>
                </c:ext>
              </c:extLst>
            </c:dLbl>
            <c:dLbl>
              <c:idx val="2"/>
              <c:layout>
                <c:manualLayout>
                  <c:x val="1.1698918312443523E-2"/>
                  <c:y val="-1.18285649983400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7178-41CE-A845-490CC0961F17}"/>
                </c:ext>
              </c:extLst>
            </c:dLbl>
            <c:dLbl>
              <c:idx val="3"/>
              <c:layout>
                <c:manualLayout>
                  <c:x val="-1.088323334239279E-2"/>
                  <c:y val="-5.86611800427576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34B-4566-941B-566DF2F94D2F}"/>
                </c:ext>
              </c:extLst>
            </c:dLbl>
            <c:dLbl>
              <c:idx val="4"/>
              <c:layout>
                <c:manualLayout>
                  <c:x val="-3.2096986738875795E-2"/>
                  <c:y val="8.647516972463974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7178-41CE-A845-490CC0961F17}"/>
                </c:ext>
              </c:extLst>
            </c:dLbl>
            <c:dLbl>
              <c:idx val="5"/>
              <c:layout>
                <c:manualLayout>
                  <c:x val="-3.4612311226635044E-2"/>
                  <c:y val="0.172098292644824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7178-41CE-A845-490CC0961F17}"/>
                </c:ext>
              </c:extLst>
            </c:dLbl>
            <c:spPr>
              <a:noFill/>
              <a:ln w="9525">
                <a:noFill/>
              </a:ln>
              <a:effectLst/>
            </c:spPr>
            <c:txPr>
              <a:bodyPr rot="0" spcFirstLastPara="1" vertOverflow="ellipsis" vert="horz" wrap="square" lIns="0" tIns="19050" rIns="38100" bIns="19050" anchor="ctr" anchorCtr="0">
                <a:spAutoFit/>
              </a:bodyPr>
              <a:lstStyle/>
              <a:p>
                <a:pPr algn="ctr">
                  <a:defRPr lang="en-US" sz="1000" b="1"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Golf!$P$120:$Y$120</c15:sqref>
                  </c15:fullRef>
                </c:ext>
              </c:extLst>
              <c:f>Golf!$U$120:$Y$120</c:f>
              <c:numCache>
                <c:formatCode>_("$"* #,##0_);_("$"* \(#,##0\);_("$"* "-"??_);_(@_)</c:formatCode>
                <c:ptCount val="5"/>
                <c:pt idx="0">
                  <c:v>9900</c:v>
                </c:pt>
                <c:pt idx="1">
                  <c:v>10400</c:v>
                </c:pt>
                <c:pt idx="2">
                  <c:v>10600</c:v>
                </c:pt>
                <c:pt idx="3">
                  <c:v>10600</c:v>
                </c:pt>
                <c:pt idx="4">
                  <c:v>11700</c:v>
                </c:pt>
              </c:numCache>
            </c:numRef>
          </c:val>
          <c:extLst>
            <c:ext xmlns:c15="http://schemas.microsoft.com/office/drawing/2012/chart" uri="{02D57815-91ED-43cb-92C2-25804820EDAC}">
              <c15:categoryFilterExceptions>
                <c15:categoryFilterException>
                  <c15:sqref>Golf!$P$120</c15:sqref>
                  <c15:dLbl>
                    <c:idx val="-1"/>
                    <c:layout>
                      <c:manualLayout>
                        <c:x val="3.266515795405165E-2"/>
                        <c:y val="-1.2976120490217626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9-7AB2-422A-9F73-E80EAF681BED}"/>
                      </c:ext>
                    </c:extLst>
                  </c15:dLbl>
                </c15:categoryFilterException>
                <c15:categoryFilterException>
                  <c15:sqref>Golf!$Q$120</c15:sqref>
                  <c15:dLbl>
                    <c:idx val="-1"/>
                    <c:layout>
                      <c:manualLayout>
                        <c:x val="3.175675798878607E-2"/>
                        <c:y val="-1.461724634382849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A-7AB2-422A-9F73-E80EAF681BED}"/>
                      </c:ext>
                    </c:extLst>
                  </c15:dLbl>
                </c15:categoryFilterException>
                <c15:categoryFilterException>
                  <c15:sqref>Golf!$R$120</c15:sqref>
                  <c15:dLbl>
                    <c:idx val="-1"/>
                    <c:layout>
                      <c:manualLayout>
                        <c:x val="2.9225649864574908E-2"/>
                        <c:y val="-8.2902678953759162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B-7AB2-422A-9F73-E80EAF681BED}"/>
                      </c:ext>
                    </c:extLst>
                  </c15:dLbl>
                </c15:categoryFilterException>
                <c15:categoryFilterException>
                  <c15:sqref>Golf!$S$120</c15:sqref>
                  <c15:dLbl>
                    <c:idx val="-1"/>
                    <c:layout>
                      <c:manualLayout>
                        <c:x val="2.7055752928347804E-2"/>
                        <c:y val="-5.6865931083567483E-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C-7AB2-422A-9F73-E80EAF681BED}"/>
                      </c:ext>
                    </c:extLst>
                  </c15:dLbl>
                </c15:categoryFilterException>
                <c15:categoryFilterException>
                  <c15:sqref>Golf!$T$120</c15:sqref>
                  <c15:dLbl>
                    <c:idx val="-1"/>
                    <c:layout>
                      <c:manualLayout>
                        <c:x val="4.8993457398342259E-2"/>
                        <c:y val="-2.0294254161895339E-2"/>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D-7AB2-422A-9F73-E80EAF681BED}"/>
                      </c:ext>
                    </c:extLst>
                  </c15:dLbl>
                </c15:categoryFilterException>
              </c15:categoryFilterExceptions>
            </c:ext>
            <c:ext xmlns:c16="http://schemas.microsoft.com/office/drawing/2014/chart" uri="{C3380CC4-5D6E-409C-BE32-E72D297353CC}">
              <c16:uniqueId val="{00000031-7178-41CE-A845-490CC0961F17}"/>
            </c:ext>
          </c:extLst>
        </c:ser>
        <c:ser>
          <c:idx val="6"/>
          <c:order val="6"/>
          <c:tx>
            <c:strRef>
              <c:f>Golf!$A$121</c:f>
              <c:strCache>
                <c:ptCount val="1"/>
                <c:pt idx="0">
                  <c:v>Total G.C.M. Costs Per Hole</c:v>
                </c:pt>
              </c:strCache>
            </c:strRef>
          </c:tx>
          <c:spPr>
            <a:solidFill>
              <a:schemeClr val="accent1">
                <a:lumMod val="60000"/>
              </a:schemeClr>
            </a:solidFill>
            <a:ln>
              <a:noFill/>
            </a:ln>
            <a:effectLst/>
            <a:sp3d/>
          </c:spPr>
          <c:dLbls>
            <c:dLbl>
              <c:idx val="0"/>
              <c:layout>
                <c:manualLayout>
                  <c:x val="3.7460775372895189E-2"/>
                  <c:y val="0.7657992185438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34B-4566-941B-566DF2F94D2F}"/>
                </c:ext>
              </c:extLst>
            </c:dLbl>
            <c:dLbl>
              <c:idx val="1"/>
              <c:layout>
                <c:manualLayout>
                  <c:x val="-7.2035516766864966E-3"/>
                  <c:y val="0.769790380892969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34B-4566-941B-566DF2F94D2F}"/>
                </c:ext>
              </c:extLst>
            </c:dLbl>
            <c:dLbl>
              <c:idx val="2"/>
              <c:layout>
                <c:manualLayout>
                  <c:x val="1.0793461434678256E-3"/>
                  <c:y val="0.7698003605188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34B-4566-941B-566DF2F94D2F}"/>
                </c:ext>
              </c:extLst>
            </c:dLbl>
            <c:dLbl>
              <c:idx val="3"/>
              <c:layout>
                <c:manualLayout>
                  <c:x val="-1.3129847464213364E-2"/>
                  <c:y val="0.76974997794435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34B-4566-941B-566DF2F94D2F}"/>
                </c:ext>
              </c:extLst>
            </c:dLbl>
            <c:dLbl>
              <c:idx val="4"/>
              <c:layout>
                <c:manualLayout>
                  <c:x val="-3.2063231047979555E-2"/>
                  <c:y val="0.762874864895061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34B-4566-941B-566DF2F94D2F}"/>
                </c:ext>
              </c:extLst>
            </c:dLbl>
            <c:spPr>
              <a:solidFill>
                <a:srgbClr val="376091"/>
              </a:solidFill>
              <a:ln>
                <a:solidFill>
                  <a:schemeClr val="tx1"/>
                </a:solid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Golf!$P$114:$Y$114</c15:sqref>
                  </c15:fullRef>
                </c:ext>
              </c:extLst>
              <c:f>Golf!$U$114:$Y$114</c:f>
              <c:numCache>
                <c:formatCode>General</c:formatCode>
                <c:ptCount val="5"/>
                <c:pt idx="0">
                  <c:v>2018</c:v>
                </c:pt>
                <c:pt idx="1">
                  <c:v>2019</c:v>
                </c:pt>
                <c:pt idx="2">
                  <c:v>2020</c:v>
                </c:pt>
                <c:pt idx="3">
                  <c:v>2021</c:v>
                </c:pt>
                <c:pt idx="4">
                  <c:v>2022</c:v>
                </c:pt>
              </c:numCache>
            </c:numRef>
          </c:cat>
          <c:val>
            <c:numRef>
              <c:extLst>
                <c:ext xmlns:c15="http://schemas.microsoft.com/office/drawing/2012/chart" uri="{02D57815-91ED-43cb-92C2-25804820EDAC}">
                  <c15:fullRef>
                    <c15:sqref>Golf!$P$121:$Y$121</c15:sqref>
                  </c15:fullRef>
                </c:ext>
              </c:extLst>
              <c:f>Golf!$U$121:$Y$121</c:f>
              <c:numCache>
                <c:formatCode>_("$"* #,##0_);_("$"* \(#,##0\);_("$"* "-"??_);_(@_)</c:formatCode>
                <c:ptCount val="5"/>
                <c:pt idx="0">
                  <c:v>95800</c:v>
                </c:pt>
                <c:pt idx="1">
                  <c:v>101000</c:v>
                </c:pt>
                <c:pt idx="2">
                  <c:v>101300</c:v>
                </c:pt>
                <c:pt idx="3">
                  <c:v>107800</c:v>
                </c:pt>
                <c:pt idx="4">
                  <c:v>118400</c:v>
                </c:pt>
              </c:numCache>
            </c:numRef>
          </c:val>
          <c:extLst>
            <c:ext xmlns:c15="http://schemas.microsoft.com/office/drawing/2012/chart" uri="{02D57815-91ED-43cb-92C2-25804820EDAC}">
              <c15:categoryFilterExceptions>
                <c15:categoryFilterException>
                  <c15:sqref>Golf!$P$121</c15:sqref>
                  <c15:dLbl>
                    <c:idx val="-1"/>
                    <c:layout>
                      <c:manualLayout>
                        <c:x val="3.3458567519080377E-2"/>
                        <c:y val="0.14287401774112804"/>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E-7AB2-422A-9F73-E80EAF681BED}"/>
                      </c:ext>
                    </c:extLst>
                  </c15:dLbl>
                </c15:categoryFilterException>
                <c15:categoryFilterException>
                  <c15:sqref>Golf!$Q$121</c15:sqref>
                  <c15:dLbl>
                    <c:idx val="-1"/>
                    <c:layout>
                      <c:manualLayout>
                        <c:x val="3.4744039750193738E-2"/>
                        <c:y val="0.15586260810942026"/>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1F-7AB2-422A-9F73-E80EAF681BED}"/>
                      </c:ext>
                    </c:extLst>
                  </c15:dLbl>
                </c15:categoryFilterException>
                <c15:categoryFilterException>
                  <c15:sqref>Golf!$R$121</c15:sqref>
                  <c15:dLbl>
                    <c:idx val="-1"/>
                    <c:layout>
                      <c:manualLayout>
                        <c:x val="2.9969397446269645E-2"/>
                        <c:y val="0.14860440606846281"/>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20-7AB2-422A-9F73-E80EAF681BED}"/>
                      </c:ext>
                    </c:extLst>
                  </c15:dLbl>
                </c15:categoryFilterException>
                <c15:categoryFilterException>
                  <c15:sqref>Golf!$S$121</c15:sqref>
                  <c15:dLbl>
                    <c:idx val="-1"/>
                    <c:layout>
                      <c:manualLayout>
                        <c:x val="3.5805161044937139E-2"/>
                        <c:y val="0.13198139539978823"/>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21-7AB2-422A-9F73-E80EAF681BED}"/>
                      </c:ext>
                    </c:extLst>
                  </c15:dLbl>
                </c15:categoryFilterException>
                <c15:categoryFilterException>
                  <c15:sqref>Golf!$T$121</c15:sqref>
                  <c15:dLbl>
                    <c:idx val="-1"/>
                    <c:layout>
                      <c:manualLayout>
                        <c:x val="4.2851913991903377E-2"/>
                        <c:y val="0.77016805373710284"/>
                      </c:manualLayout>
                    </c:layout>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22-7AB2-422A-9F73-E80EAF681BED}"/>
                      </c:ext>
                    </c:extLst>
                  </c15:dLbl>
                </c15:categoryFilterException>
              </c15:categoryFilterExceptions>
            </c:ext>
            <c:ext xmlns:c16="http://schemas.microsoft.com/office/drawing/2014/chart" uri="{C3380CC4-5D6E-409C-BE32-E72D297353CC}">
              <c16:uniqueId val="{00000037-7178-41CE-A845-490CC0961F17}"/>
            </c:ext>
          </c:extLst>
        </c:ser>
        <c:dLbls>
          <c:showLegendKey val="0"/>
          <c:showVal val="1"/>
          <c:showCatName val="0"/>
          <c:showSerName val="0"/>
          <c:showPercent val="0"/>
          <c:showBubbleSize val="0"/>
        </c:dLbls>
        <c:axId val="511160592"/>
        <c:axId val="511160984"/>
        <c:axId val="0"/>
      </c:area3DChart>
      <c:catAx>
        <c:axId val="511160592"/>
        <c:scaling>
          <c:orientation val="minMax"/>
        </c:scaling>
        <c:delete val="0"/>
        <c:axPos val="b"/>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0984"/>
        <c:crosses val="autoZero"/>
        <c:auto val="1"/>
        <c:lblAlgn val="ctr"/>
        <c:lblOffset val="100"/>
        <c:noMultiLvlLbl val="0"/>
      </c:catAx>
      <c:valAx>
        <c:axId val="511160984"/>
        <c:scaling>
          <c:orientation val="minMax"/>
          <c:max val="120000"/>
        </c:scaling>
        <c:delete val="0"/>
        <c:axPos val="l"/>
        <c:numFmt formatCode="\$#,##0;\-&quot;£&quot;#,##0"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000" b="0" i="0" u="none" strike="noStrike" kern="1200" baseline="0">
                <a:solidFill>
                  <a:srgbClr val="000000"/>
                </a:solidFill>
                <a:latin typeface="Calibri"/>
                <a:ea typeface="Calibri"/>
                <a:cs typeface="Calibri"/>
              </a:defRPr>
            </a:pPr>
            <a:endParaRPr lang="en-US"/>
          </a:p>
        </c:txPr>
        <c:crossAx val="511160592"/>
        <c:crosses val="autoZero"/>
        <c:crossBetween val="midCat"/>
        <c:majorUnit val="20000"/>
      </c:valAx>
      <c:spPr>
        <a:noFill/>
        <a:ln w="25400">
          <a:noFill/>
        </a:ln>
        <a:effectLst/>
      </c:spPr>
    </c:plotArea>
    <c:legend>
      <c:legendPos val="t"/>
      <c:layout>
        <c:manualLayout>
          <c:xMode val="edge"/>
          <c:yMode val="edge"/>
          <c:x val="0.16635185512903577"/>
          <c:y val="3.8965641202125825E-2"/>
          <c:w val="0.73100586547543212"/>
          <c:h val="4.4586824449996232E-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0000"/>
              </a:solidFill>
              <a:latin typeface="Calibri"/>
              <a:ea typeface="Calibri"/>
              <a:cs typeface="Calibri"/>
            </a:defRPr>
          </a:pPr>
          <a:endParaRPr lang="en-US"/>
        </a:p>
      </c:txPr>
    </c:legend>
    <c:plotVisOnly val="1"/>
    <c:dispBlanksAs val="zero"/>
    <c:showDLblsOverMax val="0"/>
  </c:chart>
  <c:spPr>
    <a:solidFill>
      <a:schemeClr val="bg1"/>
    </a:solidFill>
    <a:ln w="9525" cap="flat" cmpd="sng" algn="ctr">
      <a:noFill/>
      <a:prstDash val="solid"/>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4366841644794404"/>
          <c:y val="5.7203732199448444E-2"/>
          <c:w val="0.74590660542432208"/>
          <c:h val="0.60052968598008427"/>
        </c:manualLayout>
      </c:layout>
      <c:barChart>
        <c:barDir val="col"/>
        <c:grouping val="clustered"/>
        <c:varyColors val="0"/>
        <c:ser>
          <c:idx val="1"/>
          <c:order val="0"/>
          <c:tx>
            <c:strRef>
              <c:f>'Bal Sheet'!$A$88</c:f>
              <c:strCache>
                <c:ptCount val="1"/>
                <c:pt idx="0">
                  <c:v>PP&amp;E additions per FME 2022</c:v>
                </c:pt>
              </c:strCache>
            </c:strRef>
          </c:tx>
          <c:spPr>
            <a:solidFill>
              <a:srgbClr val="007FB1"/>
            </a:solidFill>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Sheet'!$B$88:$H$88</c:f>
              <c:numCache>
                <c:formatCode>\$#,##0;\-"£"#,##0</c:formatCode>
                <c:ptCount val="7"/>
                <c:pt idx="0">
                  <c:v>5410</c:v>
                </c:pt>
                <c:pt idx="1">
                  <c:v>6730</c:v>
                </c:pt>
                <c:pt idx="2">
                  <c:v>8890</c:v>
                </c:pt>
                <c:pt idx="3">
                  <c:v>6540</c:v>
                </c:pt>
                <c:pt idx="4">
                  <c:v>1420</c:v>
                </c:pt>
                <c:pt idx="5">
                  <c:v>4030</c:v>
                </c:pt>
                <c:pt idx="6">
                  <c:v>2680</c:v>
                </c:pt>
              </c:numCache>
            </c:numRef>
          </c:val>
          <c:extLst>
            <c:ext xmlns:c16="http://schemas.microsoft.com/office/drawing/2014/chart" uri="{C3380CC4-5D6E-409C-BE32-E72D297353CC}">
              <c16:uniqueId val="{00000000-4FA4-4384-B268-E7DC6C084750}"/>
            </c:ext>
          </c:extLst>
        </c:ser>
        <c:ser>
          <c:idx val="0"/>
          <c:order val="1"/>
          <c:tx>
            <c:strRef>
              <c:f>'Bal Sheet'!$A$89</c:f>
              <c:strCache>
                <c:ptCount val="1"/>
                <c:pt idx="0">
                  <c:v>PP&amp;E additions per FME 2021</c:v>
                </c:pt>
              </c:strCache>
            </c:strRef>
          </c:tx>
          <c:spPr>
            <a:solidFill>
              <a:srgbClr val="CCE5EF"/>
            </a:solidFill>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Sheet'!$B$89:$H$89</c:f>
              <c:numCache>
                <c:formatCode>\$#,##0;\-"£"#,##0</c:formatCode>
                <c:ptCount val="7"/>
                <c:pt idx="0">
                  <c:v>4180</c:v>
                </c:pt>
                <c:pt idx="1">
                  <c:v>5650</c:v>
                </c:pt>
                <c:pt idx="2">
                  <c:v>5500</c:v>
                </c:pt>
                <c:pt idx="3">
                  <c:v>5670</c:v>
                </c:pt>
                <c:pt idx="4">
                  <c:v>1480</c:v>
                </c:pt>
                <c:pt idx="5">
                  <c:v>3400</c:v>
                </c:pt>
                <c:pt idx="6">
                  <c:v>2500</c:v>
                </c:pt>
              </c:numCache>
            </c:numRef>
          </c:val>
          <c:extLst>
            <c:ext xmlns:c16="http://schemas.microsoft.com/office/drawing/2014/chart" uri="{C3380CC4-5D6E-409C-BE32-E72D297353CC}">
              <c16:uniqueId val="{00000001-4FA4-4384-B268-E7DC6C084750}"/>
            </c:ext>
          </c:extLst>
        </c:ser>
        <c:ser>
          <c:idx val="2"/>
          <c:order val="2"/>
          <c:tx>
            <c:strRef>
              <c:f>'Bal Sheet'!$A$90</c:f>
              <c:strCache>
                <c:ptCount val="1"/>
                <c:pt idx="0">
                  <c:v>Budgeted PP&amp;E per member 2014</c:v>
                </c:pt>
              </c:strCache>
            </c:strRef>
          </c:tx>
          <c:spPr>
            <a:solidFill>
              <a:srgbClr val="0065A4"/>
            </a:solidFill>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Sheet'!$B$90:$H$90</c:f>
            </c:numRef>
          </c:val>
          <c:extLst>
            <c:ext xmlns:c16="http://schemas.microsoft.com/office/drawing/2014/chart" uri="{C3380CC4-5D6E-409C-BE32-E72D297353CC}">
              <c16:uniqueId val="{00000002-4FA4-4384-B268-E7DC6C084750}"/>
            </c:ext>
          </c:extLst>
        </c:ser>
        <c:ser>
          <c:idx val="3"/>
          <c:order val="3"/>
          <c:tx>
            <c:strRef>
              <c:f>'Bal Sheet'!$A$91</c:f>
              <c:strCache>
                <c:ptCount val="1"/>
                <c:pt idx="0">
                  <c:v>Cumulative 5 year total (2018-2022)</c:v>
                </c:pt>
              </c:strCache>
            </c:strRef>
          </c:tx>
          <c:spPr>
            <a:solidFill>
              <a:srgbClr val="005082"/>
            </a:solidFill>
          </c:spPr>
          <c:invertIfNegative val="0"/>
          <c:cat>
            <c:strRef>
              <c:f>'Bal Sheet'!$B$87:$H$87</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Sheet'!$B$91:$H$91</c:f>
              <c:numCache>
                <c:formatCode>\$#,##0;\-"£"#,##0</c:formatCode>
                <c:ptCount val="7"/>
                <c:pt idx="0">
                  <c:v>23150</c:v>
                </c:pt>
                <c:pt idx="1">
                  <c:v>31770</c:v>
                </c:pt>
                <c:pt idx="2">
                  <c:v>28910</c:v>
                </c:pt>
                <c:pt idx="3">
                  <c:v>33460</c:v>
                </c:pt>
                <c:pt idx="4">
                  <c:v>8410</c:v>
                </c:pt>
                <c:pt idx="5">
                  <c:v>16890</c:v>
                </c:pt>
                <c:pt idx="6">
                  <c:v>16220</c:v>
                </c:pt>
              </c:numCache>
            </c:numRef>
          </c:val>
          <c:extLst>
            <c:ext xmlns:c16="http://schemas.microsoft.com/office/drawing/2014/chart" uri="{C3380CC4-5D6E-409C-BE32-E72D297353CC}">
              <c16:uniqueId val="{00000003-4FA4-4384-B268-E7DC6C084750}"/>
            </c:ext>
          </c:extLst>
        </c:ser>
        <c:dLbls>
          <c:showLegendKey val="0"/>
          <c:showVal val="0"/>
          <c:showCatName val="0"/>
          <c:showSerName val="0"/>
          <c:showPercent val="0"/>
          <c:showBubbleSize val="0"/>
        </c:dLbls>
        <c:gapWidth val="150"/>
        <c:axId val="590547504"/>
        <c:axId val="590558480"/>
      </c:barChart>
      <c:catAx>
        <c:axId val="59054750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58480"/>
        <c:crosses val="autoZero"/>
        <c:auto val="1"/>
        <c:lblAlgn val="ctr"/>
        <c:lblOffset val="100"/>
        <c:noMultiLvlLbl val="0"/>
      </c:catAx>
      <c:valAx>
        <c:axId val="590558480"/>
        <c:scaling>
          <c:orientation val="minMax"/>
        </c:scaling>
        <c:delete val="0"/>
        <c:axPos val="l"/>
        <c:majorGridlines/>
        <c:numFmt formatCode="\$#,##0;\-&quot;£&quot;#,##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47504"/>
        <c:crosses val="autoZero"/>
        <c:crossBetween val="between"/>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en-US"/>
          </a:p>
        </c:txPr>
      </c:dTable>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'Bal Sheet'!$A$253</c:f>
              <c:strCache>
                <c:ptCount val="1"/>
                <c:pt idx="0">
                  <c:v>2014</c:v>
                </c:pt>
              </c:strCache>
            </c:strRef>
          </c:tx>
          <c:spPr>
            <a:solidFill>
              <a:srgbClr val="007FB1"/>
            </a:solidFill>
          </c:spPr>
          <c:invertIfNegative val="0"/>
          <c:dLbls>
            <c:delete val="1"/>
          </c:dLbls>
          <c:cat>
            <c:strRef>
              <c:f>'Bal Sheet'!$B$244:$H$244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Sheet'!$B$253:$H$253</c:f>
              <c:numCache>
                <c:formatCode>\$#,##0;\-"£"#,##0</c:formatCode>
                <c:ptCount val="7"/>
                <c:pt idx="0">
                  <c:v>6550</c:v>
                </c:pt>
                <c:pt idx="1">
                  <c:v>7880</c:v>
                </c:pt>
                <c:pt idx="2">
                  <c:v>11410</c:v>
                </c:pt>
                <c:pt idx="3">
                  <c:v>6590</c:v>
                </c:pt>
                <c:pt idx="4">
                  <c:v>2840</c:v>
                </c:pt>
                <c:pt idx="5">
                  <c:v>2830</c:v>
                </c:pt>
                <c:pt idx="6">
                  <c:v>3940</c:v>
                </c:pt>
              </c:numCache>
            </c:numRef>
          </c:val>
          <c:extLst>
            <c:ext xmlns:c16="http://schemas.microsoft.com/office/drawing/2014/chart" uri="{C3380CC4-5D6E-409C-BE32-E72D297353CC}">
              <c16:uniqueId val="{00000000-1EDB-405A-AB22-B9DFC0ED9405}"/>
            </c:ext>
          </c:extLst>
        </c:ser>
        <c:ser>
          <c:idx val="1"/>
          <c:order val="1"/>
          <c:tx>
            <c:strRef>
              <c:f>'Bal Sheet'!$A$254</c:f>
              <c:strCache>
                <c:ptCount val="1"/>
                <c:pt idx="0">
                  <c:v>2013</c:v>
                </c:pt>
              </c:strCache>
            </c:strRef>
          </c:tx>
          <c:spPr>
            <a:solidFill>
              <a:srgbClr val="CCE5EF"/>
            </a:solidFill>
          </c:spPr>
          <c:invertIfNegative val="0"/>
          <c:dLbls>
            <c:delete val="1"/>
          </c:dLbls>
          <c:cat>
            <c:strRef>
              <c:f>'Bal Sheet'!$B$244:$H$244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Sheet'!$B$254:$H$254</c:f>
              <c:numCache>
                <c:formatCode>\$#,##0;\-"£"#,##0</c:formatCode>
                <c:ptCount val="7"/>
                <c:pt idx="0">
                  <c:v>6680</c:v>
                </c:pt>
                <c:pt idx="1">
                  <c:v>8590</c:v>
                </c:pt>
                <c:pt idx="2">
                  <c:v>11060</c:v>
                </c:pt>
                <c:pt idx="3">
                  <c:v>5810</c:v>
                </c:pt>
                <c:pt idx="4">
                  <c:v>2370</c:v>
                </c:pt>
                <c:pt idx="5">
                  <c:v>4020</c:v>
                </c:pt>
                <c:pt idx="6">
                  <c:v>4310</c:v>
                </c:pt>
              </c:numCache>
            </c:numRef>
          </c:val>
          <c:extLst>
            <c:ext xmlns:c16="http://schemas.microsoft.com/office/drawing/2014/chart" uri="{C3380CC4-5D6E-409C-BE32-E72D297353CC}">
              <c16:uniqueId val="{00000001-1EDB-405A-AB22-B9DFC0ED9405}"/>
            </c:ext>
          </c:extLst>
        </c:ser>
        <c:ser>
          <c:idx val="2"/>
          <c:order val="2"/>
          <c:tx>
            <c:strRef>
              <c:f>'Bal Sheet'!$A$255</c:f>
              <c:strCache>
                <c:ptCount val="1"/>
                <c:pt idx="0">
                  <c:v>2012</c:v>
                </c:pt>
              </c:strCache>
            </c:strRef>
          </c:tx>
          <c:invertIfNegative val="0"/>
          <c:dLbls>
            <c:delete val="1"/>
          </c:dLbls>
          <c:cat>
            <c:strRef>
              <c:f>'Bal Sheet'!$B$244:$H$244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'Bal Sheet'!$B$255:$H$255</c:f>
              <c:numCache>
                <c:formatCode>\$#,##0;\-"£"#,##0</c:formatCode>
                <c:ptCount val="7"/>
                <c:pt idx="0">
                  <c:v>6890</c:v>
                </c:pt>
                <c:pt idx="1">
                  <c:v>10850</c:v>
                </c:pt>
                <c:pt idx="2">
                  <c:v>11300</c:v>
                </c:pt>
                <c:pt idx="3">
                  <c:v>5830</c:v>
                </c:pt>
                <c:pt idx="4">
                  <c:v>2480</c:v>
                </c:pt>
                <c:pt idx="5">
                  <c:v>3220</c:v>
                </c:pt>
                <c:pt idx="6">
                  <c:v>2540</c:v>
                </c:pt>
              </c:numCache>
            </c:numRef>
          </c:val>
          <c:extLst>
            <c:ext xmlns:c16="http://schemas.microsoft.com/office/drawing/2014/chart" uri="{C3380CC4-5D6E-409C-BE32-E72D297353CC}">
              <c16:uniqueId val="{00000002-1EDB-405A-AB22-B9DFC0ED9405}"/>
            </c:ext>
          </c:extLst>
        </c:ser>
        <c:dLbls>
          <c:showLegendKey val="0"/>
          <c:showVal val="1"/>
          <c:showCatName val="0"/>
          <c:showSerName val="0"/>
          <c:showPercent val="0"/>
          <c:showBubbleSize val="0"/>
        </c:dLbls>
        <c:gapWidth val="85"/>
        <c:axId val="590558872"/>
        <c:axId val="590551816"/>
      </c:barChart>
      <c:catAx>
        <c:axId val="5905588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51816"/>
        <c:crosses val="autoZero"/>
        <c:auto val="1"/>
        <c:lblAlgn val="ctr"/>
        <c:lblOffset val="100"/>
        <c:noMultiLvlLbl val="0"/>
      </c:catAx>
      <c:valAx>
        <c:axId val="590551816"/>
        <c:scaling>
          <c:orientation val="minMax"/>
        </c:scaling>
        <c:delete val="0"/>
        <c:axPos val="l"/>
        <c:majorGridlines/>
        <c:numFmt formatCode="\$#,##0;\-&quot;£&quot;#,##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58872"/>
        <c:crosses val="autoZero"/>
        <c:crossBetween val="between"/>
      </c:valAx>
      <c:dTable>
        <c:showHorzBorder val="1"/>
        <c:showVertBorder val="1"/>
        <c:showOutline val="1"/>
        <c:showKeys val="1"/>
      </c:dTable>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077932566121542E-2"/>
          <c:y val="3.7603792328669526E-2"/>
          <c:w val="0.89081950333131432"/>
          <c:h val="0.67237960623256277"/>
        </c:manualLayout>
      </c:layout>
      <c:barChart>
        <c:barDir val="col"/>
        <c:grouping val="clustered"/>
        <c:varyColors val="0"/>
        <c:ser>
          <c:idx val="1"/>
          <c:order val="0"/>
          <c:tx>
            <c:strRef>
              <c:f>'Op Rev &amp; Exp'!$A$65</c:f>
              <c:strCache>
                <c:ptCount val="1"/>
                <c:pt idx="0">
                  <c:v>2014</c:v>
                </c:pt>
              </c:strCache>
            </c:strRef>
          </c:tx>
          <c:spPr>
            <a:solidFill>
              <a:srgbClr val="007FB1"/>
            </a:solidFill>
          </c:spPr>
          <c:invertIfNegative val="0"/>
          <c:dLbls>
            <c:delete val="1"/>
          </c:dLbls>
          <c:cat>
            <c:strRef>
              <c:f>'Op Rev &amp; Exp'!$B$56:$H$56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Exp'!$B$65:$H$65</c:f>
              <c:numCache>
                <c:formatCode>_("$"* #,##0\ \ _);_("$"* \(#,##0\)\ \ ;_("$"* "-"??_);_(@_)</c:formatCode>
                <c:ptCount val="7"/>
                <c:pt idx="0">
                  <c:v>8300</c:v>
                </c:pt>
                <c:pt idx="1">
                  <c:v>10900</c:v>
                </c:pt>
                <c:pt idx="2">
                  <c:v>12200</c:v>
                </c:pt>
                <c:pt idx="3">
                  <c:v>9100</c:v>
                </c:pt>
                <c:pt idx="4">
                  <c:v>3800</c:v>
                </c:pt>
                <c:pt idx="5">
                  <c:v>6800</c:v>
                </c:pt>
                <c:pt idx="6">
                  <c:v>4600</c:v>
                </c:pt>
              </c:numCache>
            </c:numRef>
          </c:val>
          <c:extLst>
            <c:ext xmlns:c16="http://schemas.microsoft.com/office/drawing/2014/chart" uri="{C3380CC4-5D6E-409C-BE32-E72D297353CC}">
              <c16:uniqueId val="{00000000-26BA-4C17-A3BA-5E316CC02072}"/>
            </c:ext>
          </c:extLst>
        </c:ser>
        <c:ser>
          <c:idx val="0"/>
          <c:order val="1"/>
          <c:tx>
            <c:strRef>
              <c:f>'Op Rev &amp; Exp'!$A$66</c:f>
              <c:strCache>
                <c:ptCount val="1"/>
                <c:pt idx="0">
                  <c:v>2013</c:v>
                </c:pt>
              </c:strCache>
            </c:strRef>
          </c:tx>
          <c:spPr>
            <a:solidFill>
              <a:srgbClr val="CCE5EF"/>
            </a:solidFill>
          </c:spPr>
          <c:invertIfNegative val="0"/>
          <c:dLbls>
            <c:delete val="1"/>
          </c:dLbls>
          <c:cat>
            <c:strRef>
              <c:f>'Op Rev &amp; Exp'!$B$56:$H$56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Exp'!$B$66:$H$66</c:f>
              <c:numCache>
                <c:formatCode>_("$"* #,##0\ \ _);_("$"* \(#,##0\)\ \ ;_("$"* "-"??_);_(@_)</c:formatCode>
                <c:ptCount val="7"/>
                <c:pt idx="0">
                  <c:v>8100</c:v>
                </c:pt>
                <c:pt idx="1">
                  <c:v>10600</c:v>
                </c:pt>
                <c:pt idx="2">
                  <c:v>11900</c:v>
                </c:pt>
                <c:pt idx="3">
                  <c:v>8600</c:v>
                </c:pt>
                <c:pt idx="4">
                  <c:v>3700</c:v>
                </c:pt>
                <c:pt idx="5">
                  <c:v>6600</c:v>
                </c:pt>
                <c:pt idx="6">
                  <c:v>4100</c:v>
                </c:pt>
              </c:numCache>
            </c:numRef>
          </c:val>
          <c:extLst>
            <c:ext xmlns:c16="http://schemas.microsoft.com/office/drawing/2014/chart" uri="{C3380CC4-5D6E-409C-BE32-E72D297353CC}">
              <c16:uniqueId val="{00000001-26BA-4C17-A3BA-5E316CC02072}"/>
            </c:ext>
          </c:extLst>
        </c:ser>
        <c:ser>
          <c:idx val="2"/>
          <c:order val="2"/>
          <c:tx>
            <c:strRef>
              <c:f>'Op Rev &amp; Exp'!$A$67</c:f>
              <c:strCache>
                <c:ptCount val="1"/>
                <c:pt idx="0">
                  <c:v>2012</c:v>
                </c:pt>
              </c:strCache>
            </c:strRef>
          </c:tx>
          <c:spPr>
            <a:solidFill>
              <a:srgbClr val="0065A4"/>
            </a:solidFill>
          </c:spPr>
          <c:invertIfNegative val="0"/>
          <c:dLbls>
            <c:delete val="1"/>
          </c:dLbls>
          <c:cat>
            <c:strRef>
              <c:f>'Op Rev &amp; Exp'!$B$56:$H$56</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Exp'!$B$67:$H$67</c:f>
              <c:numCache>
                <c:formatCode>_("$"* #,##0\ \ _);_("$"* \(#,##0\)\ \ ;_("$"* "-"??_);_(@_)</c:formatCode>
                <c:ptCount val="7"/>
                <c:pt idx="0">
                  <c:v>7800</c:v>
                </c:pt>
                <c:pt idx="1">
                  <c:v>10300</c:v>
                </c:pt>
                <c:pt idx="2">
                  <c:v>11700</c:v>
                </c:pt>
                <c:pt idx="3">
                  <c:v>8500</c:v>
                </c:pt>
                <c:pt idx="4">
                  <c:v>3400</c:v>
                </c:pt>
                <c:pt idx="5">
                  <c:v>6400</c:v>
                </c:pt>
                <c:pt idx="6">
                  <c:v>4000</c:v>
                </c:pt>
              </c:numCache>
            </c:numRef>
          </c:val>
          <c:extLst>
            <c:ext xmlns:c16="http://schemas.microsoft.com/office/drawing/2014/chart" uri="{C3380CC4-5D6E-409C-BE32-E72D297353CC}">
              <c16:uniqueId val="{00000002-26BA-4C17-A3BA-5E316CC02072}"/>
            </c:ext>
          </c:extLst>
        </c:ser>
        <c:dLbls>
          <c:showLegendKey val="0"/>
          <c:showVal val="1"/>
          <c:showCatName val="0"/>
          <c:showSerName val="0"/>
          <c:showPercent val="0"/>
          <c:showBubbleSize val="0"/>
        </c:dLbls>
        <c:gapWidth val="150"/>
        <c:axId val="590551424"/>
        <c:axId val="590547112"/>
      </c:barChart>
      <c:catAx>
        <c:axId val="59055142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47112"/>
        <c:crosses val="autoZero"/>
        <c:auto val="1"/>
        <c:lblAlgn val="ctr"/>
        <c:lblOffset val="100"/>
        <c:noMultiLvlLbl val="0"/>
      </c:catAx>
      <c:valAx>
        <c:axId val="590547112"/>
        <c:scaling>
          <c:orientation val="minMax"/>
        </c:scaling>
        <c:delete val="0"/>
        <c:axPos val="l"/>
        <c:majorGridlines/>
        <c:numFmt formatCode="\$#,##0;\-&quot;£&quot;#,##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51424"/>
        <c:crosses val="autoZero"/>
        <c:crossBetween val="between"/>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en-US"/>
          </a:p>
        </c:txPr>
      </c:dTable>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'Op Rev &amp; Exp'!$A$102</c:f>
              <c:strCache>
                <c:ptCount val="1"/>
                <c:pt idx="0">
                  <c:v>2014</c:v>
                </c:pt>
              </c:strCache>
            </c:strRef>
          </c:tx>
          <c:spPr>
            <a:solidFill>
              <a:srgbClr val="007FB1"/>
            </a:solidFill>
          </c:spPr>
          <c:invertIfNegative val="0"/>
          <c:cat>
            <c:strRef>
              <c:f>'Op Rev &amp; Exp'!$B$93:$H$93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Exp'!$B$102:$H$102</c:f>
              <c:numCache>
                <c:formatCode>_(* #,##0.0\ \ _);_(* \(#,##0.0\)\ \ ;_(* "-"??_);_(@_)</c:formatCode>
                <c:ptCount val="7"/>
                <c:pt idx="0">
                  <c:v>4.2</c:v>
                </c:pt>
                <c:pt idx="1">
                  <c:v>3.3</c:v>
                </c:pt>
                <c:pt idx="2">
                  <c:v>3</c:v>
                </c:pt>
                <c:pt idx="3">
                  <c:v>4</c:v>
                </c:pt>
                <c:pt idx="4">
                  <c:v>8.3000000000000007</c:v>
                </c:pt>
                <c:pt idx="5">
                  <c:v>4.9000000000000004</c:v>
                </c:pt>
                <c:pt idx="6">
                  <c:v>6.6</c:v>
                </c:pt>
              </c:numCache>
            </c:numRef>
          </c:val>
          <c:extLst>
            <c:ext xmlns:c16="http://schemas.microsoft.com/office/drawing/2014/chart" uri="{C3380CC4-5D6E-409C-BE32-E72D297353CC}">
              <c16:uniqueId val="{00000000-CA45-4992-A2A2-B735B994BDED}"/>
            </c:ext>
          </c:extLst>
        </c:ser>
        <c:ser>
          <c:idx val="1"/>
          <c:order val="1"/>
          <c:tx>
            <c:strRef>
              <c:f>'Op Rev &amp; Exp'!$A$103</c:f>
              <c:strCache>
                <c:ptCount val="1"/>
                <c:pt idx="0">
                  <c:v>2013</c:v>
                </c:pt>
              </c:strCache>
            </c:strRef>
          </c:tx>
          <c:spPr>
            <a:solidFill>
              <a:srgbClr val="CCE5EF"/>
            </a:solidFill>
          </c:spPr>
          <c:invertIfNegative val="0"/>
          <c:cat>
            <c:strRef>
              <c:f>'Op Rev &amp; Exp'!$B$93:$H$93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Exp'!$B$103:$H$103</c:f>
              <c:numCache>
                <c:formatCode>_(* #,##0.0\ \ _);_(* \(#,##0.0\)\ \ ;_(* "-"??_);_(@_)</c:formatCode>
                <c:ptCount val="7"/>
                <c:pt idx="0">
                  <c:v>4.3</c:v>
                </c:pt>
                <c:pt idx="1">
                  <c:v>3.3</c:v>
                </c:pt>
                <c:pt idx="2">
                  <c:v>3</c:v>
                </c:pt>
                <c:pt idx="3">
                  <c:v>4.0999999999999996</c:v>
                </c:pt>
                <c:pt idx="4">
                  <c:v>8.3000000000000007</c:v>
                </c:pt>
                <c:pt idx="5">
                  <c:v>4.9000000000000004</c:v>
                </c:pt>
                <c:pt idx="6">
                  <c:v>7.2</c:v>
                </c:pt>
              </c:numCache>
            </c:numRef>
          </c:val>
          <c:extLst>
            <c:ext xmlns:c16="http://schemas.microsoft.com/office/drawing/2014/chart" uri="{C3380CC4-5D6E-409C-BE32-E72D297353CC}">
              <c16:uniqueId val="{00000001-CA45-4992-A2A2-B735B994BDED}"/>
            </c:ext>
          </c:extLst>
        </c:ser>
        <c:ser>
          <c:idx val="2"/>
          <c:order val="2"/>
          <c:tx>
            <c:strRef>
              <c:f>'Op Rev &amp; Exp'!$A$104</c:f>
              <c:strCache>
                <c:ptCount val="1"/>
                <c:pt idx="0">
                  <c:v>2012</c:v>
                </c:pt>
              </c:strCache>
            </c:strRef>
          </c:tx>
          <c:spPr>
            <a:solidFill>
              <a:srgbClr val="0065A4"/>
            </a:solidFill>
          </c:spPr>
          <c:invertIfNegative val="0"/>
          <c:cat>
            <c:strRef>
              <c:f>'Op Rev &amp; Exp'!$B$93:$H$93</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'Op Rev &amp; Exp'!$B$104:$H$104</c:f>
              <c:numCache>
                <c:formatCode>_(* #,##0.0\ \ _);_(* \(#,##0.0\)\ \ ;_(* "-"??_);_(@_)</c:formatCode>
                <c:ptCount val="7"/>
                <c:pt idx="0">
                  <c:v>4.4000000000000004</c:v>
                </c:pt>
                <c:pt idx="1">
                  <c:v>3.6</c:v>
                </c:pt>
                <c:pt idx="2">
                  <c:v>3</c:v>
                </c:pt>
                <c:pt idx="3">
                  <c:v>4.0999999999999996</c:v>
                </c:pt>
                <c:pt idx="4">
                  <c:v>8.9</c:v>
                </c:pt>
                <c:pt idx="5">
                  <c:v>5</c:v>
                </c:pt>
                <c:pt idx="6">
                  <c:v>7.7</c:v>
                </c:pt>
              </c:numCache>
            </c:numRef>
          </c:val>
          <c:extLst>
            <c:ext xmlns:c16="http://schemas.microsoft.com/office/drawing/2014/chart" uri="{C3380CC4-5D6E-409C-BE32-E72D297353CC}">
              <c16:uniqueId val="{00000002-CA45-4992-A2A2-B735B994BDED}"/>
            </c:ext>
          </c:extLst>
        </c:ser>
        <c:dLbls>
          <c:showLegendKey val="0"/>
          <c:showVal val="0"/>
          <c:showCatName val="0"/>
          <c:showSerName val="0"/>
          <c:showPercent val="0"/>
          <c:showBubbleSize val="0"/>
        </c:dLbls>
        <c:gapWidth val="150"/>
        <c:axId val="590554560"/>
        <c:axId val="590549464"/>
      </c:barChart>
      <c:catAx>
        <c:axId val="5905545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49464"/>
        <c:crosses val="autoZero"/>
        <c:auto val="1"/>
        <c:lblAlgn val="ctr"/>
        <c:lblOffset val="100"/>
        <c:noMultiLvlLbl val="0"/>
      </c:catAx>
      <c:valAx>
        <c:axId val="590549464"/>
        <c:scaling>
          <c:orientation val="minMax"/>
        </c:scaling>
        <c:delete val="0"/>
        <c:axPos val="l"/>
        <c:majorGridlines/>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54560"/>
        <c:crosses val="autoZero"/>
        <c:crossBetween val="between"/>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en-US"/>
          </a:p>
        </c:txPr>
      </c:dTable>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'F&amp;B'!$A$13</c:f>
              <c:strCache>
                <c:ptCount val="1"/>
                <c:pt idx="0">
                  <c:v>2014</c:v>
                </c:pt>
              </c:strCache>
            </c:strRef>
          </c:tx>
          <c:spPr>
            <a:solidFill>
              <a:srgbClr val="007FB1"/>
            </a:solidFill>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'F&amp;B'!$B$13:$H$13</c:f>
              <c:numCache>
                <c:formatCode>_("$"* #,##0_);_("$"* \(#,##0\);_("$"* "-"??_);_(@_)</c:formatCode>
                <c:ptCount val="7"/>
                <c:pt idx="0">
                  <c:v>3100</c:v>
                </c:pt>
                <c:pt idx="1">
                  <c:v>4000</c:v>
                </c:pt>
                <c:pt idx="2">
                  <c:v>4200</c:v>
                </c:pt>
                <c:pt idx="3">
                  <c:v>3100</c:v>
                </c:pt>
                <c:pt idx="4">
                  <c:v>1500</c:v>
                </c:pt>
                <c:pt idx="5">
                  <c:v>3000</c:v>
                </c:pt>
                <c:pt idx="6">
                  <c:v>3100</c:v>
                </c:pt>
              </c:numCache>
            </c:numRef>
          </c:val>
          <c:extLst>
            <c:ext xmlns:c16="http://schemas.microsoft.com/office/drawing/2014/chart" uri="{C3380CC4-5D6E-409C-BE32-E72D297353CC}">
              <c16:uniqueId val="{00000000-8D39-45C4-B6B6-C5D741D19CC7}"/>
            </c:ext>
          </c:extLst>
        </c:ser>
        <c:ser>
          <c:idx val="1"/>
          <c:order val="1"/>
          <c:tx>
            <c:strRef>
              <c:f>'F&amp;B'!$A$14</c:f>
              <c:strCache>
                <c:ptCount val="1"/>
                <c:pt idx="0">
                  <c:v>2013</c:v>
                </c:pt>
              </c:strCache>
            </c:strRef>
          </c:tx>
          <c:spPr>
            <a:solidFill>
              <a:srgbClr val="CCE5EF"/>
            </a:solidFill>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'F&amp;B'!$B$14:$H$14</c:f>
              <c:numCache>
                <c:formatCode>_("$"* #,##0_);_("$"* \(#,##0\);_("$"* "-"??_);_(@_)</c:formatCode>
                <c:ptCount val="7"/>
                <c:pt idx="0">
                  <c:v>3000</c:v>
                </c:pt>
                <c:pt idx="1">
                  <c:v>3800</c:v>
                </c:pt>
                <c:pt idx="2">
                  <c:v>4100</c:v>
                </c:pt>
                <c:pt idx="3">
                  <c:v>2900</c:v>
                </c:pt>
                <c:pt idx="4">
                  <c:v>1400</c:v>
                </c:pt>
                <c:pt idx="5">
                  <c:v>2800</c:v>
                </c:pt>
                <c:pt idx="6">
                  <c:v>2700</c:v>
                </c:pt>
              </c:numCache>
            </c:numRef>
          </c:val>
          <c:extLst>
            <c:ext xmlns:c16="http://schemas.microsoft.com/office/drawing/2014/chart" uri="{C3380CC4-5D6E-409C-BE32-E72D297353CC}">
              <c16:uniqueId val="{00000001-8D39-45C4-B6B6-C5D741D19CC7}"/>
            </c:ext>
          </c:extLst>
        </c:ser>
        <c:ser>
          <c:idx val="2"/>
          <c:order val="2"/>
          <c:tx>
            <c:strRef>
              <c:f>'F&amp;B'!$A$15</c:f>
              <c:strCache>
                <c:ptCount val="1"/>
                <c:pt idx="0">
                  <c:v>2012</c:v>
                </c:pt>
              </c:strCache>
            </c:strRef>
          </c:tx>
          <c:spPr>
            <a:solidFill>
              <a:srgbClr val="0065A4"/>
            </a:solidFill>
          </c:spPr>
          <c:invertIfNegative val="0"/>
          <c:cat>
            <c:strRef>
              <c:f>'F&amp;B'!$B$4:$H$4</c:f>
              <c:strCache>
                <c:ptCount val="7"/>
                <c:pt idx="0">
                  <c:v>Florida               Statewide</c:v>
                </c:pt>
                <c:pt idx="1">
                  <c:v>Southeast                        w/o Boca</c:v>
                </c:pt>
                <c:pt idx="2">
                  <c:v>Boca  Raton                       Area</c:v>
                </c:pt>
                <c:pt idx="3">
                  <c:v>Southwest                         w/o CIRAs</c:v>
                </c:pt>
                <c:pt idx="4">
                  <c:v>Southwest                      CIRAs</c:v>
                </c:pt>
                <c:pt idx="5">
                  <c:v>North &amp;                 Central</c:v>
                </c:pt>
                <c:pt idx="6">
                  <c:v>Yacht &amp;                         Beach</c:v>
                </c:pt>
              </c:strCache>
            </c:strRef>
          </c:cat>
          <c:val>
            <c:numRef>
              <c:f>'F&amp;B'!$B$15:$H$15</c:f>
              <c:numCache>
                <c:formatCode>_("$"* #,##0_);_("$"* \(#,##0\);_("$"* "-"??_);_(@_)</c:formatCode>
                <c:ptCount val="7"/>
                <c:pt idx="0">
                  <c:v>2700</c:v>
                </c:pt>
                <c:pt idx="1">
                  <c:v>3500</c:v>
                </c:pt>
                <c:pt idx="2">
                  <c:v>3900</c:v>
                </c:pt>
                <c:pt idx="3">
                  <c:v>2700</c:v>
                </c:pt>
                <c:pt idx="4">
                  <c:v>1200</c:v>
                </c:pt>
                <c:pt idx="5">
                  <c:v>2700</c:v>
                </c:pt>
                <c:pt idx="6">
                  <c:v>2400</c:v>
                </c:pt>
              </c:numCache>
            </c:numRef>
          </c:val>
          <c:extLst>
            <c:ext xmlns:c16="http://schemas.microsoft.com/office/drawing/2014/chart" uri="{C3380CC4-5D6E-409C-BE32-E72D297353CC}">
              <c16:uniqueId val="{00000002-8D39-45C4-B6B6-C5D741D19CC7}"/>
            </c:ext>
          </c:extLst>
        </c:ser>
        <c:dLbls>
          <c:showLegendKey val="0"/>
          <c:showVal val="0"/>
          <c:showCatName val="0"/>
          <c:showSerName val="0"/>
          <c:showPercent val="0"/>
          <c:showBubbleSize val="0"/>
        </c:dLbls>
        <c:gapWidth val="150"/>
        <c:axId val="590549856"/>
        <c:axId val="590548680"/>
      </c:barChart>
      <c:catAx>
        <c:axId val="59054985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48680"/>
        <c:crosses val="autoZero"/>
        <c:auto val="1"/>
        <c:lblAlgn val="ctr"/>
        <c:lblOffset val="100"/>
        <c:noMultiLvlLbl val="0"/>
      </c:catAx>
      <c:valAx>
        <c:axId val="590548680"/>
        <c:scaling>
          <c:orientation val="minMax"/>
        </c:scaling>
        <c:delete val="0"/>
        <c:axPos val="l"/>
        <c:majorGridlines/>
        <c:numFmt formatCode="\$#,##0;\-&quot;£&quot;#,##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90549856"/>
        <c:crosses val="autoZero"/>
        <c:crossBetween val="between"/>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en-US"/>
          </a:p>
        </c:txPr>
      </c:dTable>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465" l="0.70000000000000062" r="0.70000000000000062" t="0.75000000000001465"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chart" Target="../charts/chart43.xml"/><Relationship Id="rId18" Type="http://schemas.openxmlformats.org/officeDocument/2006/relationships/chart" Target="../charts/chart48.xml"/><Relationship Id="rId3" Type="http://schemas.openxmlformats.org/officeDocument/2006/relationships/chart" Target="../charts/chart33.xml"/><Relationship Id="rId21" Type="http://schemas.openxmlformats.org/officeDocument/2006/relationships/chart" Target="../charts/chart51.xml"/><Relationship Id="rId7" Type="http://schemas.openxmlformats.org/officeDocument/2006/relationships/chart" Target="../charts/chart37.xml"/><Relationship Id="rId12" Type="http://schemas.openxmlformats.org/officeDocument/2006/relationships/chart" Target="../charts/chart42.xml"/><Relationship Id="rId17" Type="http://schemas.openxmlformats.org/officeDocument/2006/relationships/chart" Target="../charts/chart47.xml"/><Relationship Id="rId2" Type="http://schemas.openxmlformats.org/officeDocument/2006/relationships/chart" Target="../charts/chart32.xml"/><Relationship Id="rId16" Type="http://schemas.openxmlformats.org/officeDocument/2006/relationships/chart" Target="../charts/chart46.xml"/><Relationship Id="rId20" Type="http://schemas.openxmlformats.org/officeDocument/2006/relationships/chart" Target="../charts/chart50.xml"/><Relationship Id="rId1" Type="http://schemas.openxmlformats.org/officeDocument/2006/relationships/chart" Target="../charts/chart31.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chart" Target="../charts/chart45.xml"/><Relationship Id="rId23" Type="http://schemas.openxmlformats.org/officeDocument/2006/relationships/chart" Target="../charts/chart53.xml"/><Relationship Id="rId10" Type="http://schemas.openxmlformats.org/officeDocument/2006/relationships/chart" Target="../charts/chart40.xml"/><Relationship Id="rId19" Type="http://schemas.openxmlformats.org/officeDocument/2006/relationships/chart" Target="../charts/chart49.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 Id="rId22" Type="http://schemas.openxmlformats.org/officeDocument/2006/relationships/chart" Target="../charts/chart52.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61.xml"/><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 Id="rId5" Type="http://schemas.openxmlformats.org/officeDocument/2006/relationships/chart" Target="../charts/chart66.xml"/><Relationship Id="rId4" Type="http://schemas.openxmlformats.org/officeDocument/2006/relationships/chart" Target="../charts/chart65.xml"/></Relationships>
</file>

<file path=xl/drawings/drawing1.xml><?xml version="1.0" encoding="utf-8"?>
<xdr:wsDr xmlns:xdr="http://schemas.openxmlformats.org/drawingml/2006/spreadsheetDrawing" xmlns:a="http://schemas.openxmlformats.org/drawingml/2006/main">
  <xdr:twoCellAnchor>
    <xdr:from>
      <xdr:col>15</xdr:col>
      <xdr:colOff>19050</xdr:colOff>
      <xdr:row>17</xdr:row>
      <xdr:rowOff>66675</xdr:rowOff>
    </xdr:from>
    <xdr:to>
      <xdr:col>19</xdr:col>
      <xdr:colOff>337906</xdr:colOff>
      <xdr:row>38</xdr:row>
      <xdr:rowOff>37134</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695325</xdr:colOff>
      <xdr:row>2</xdr:row>
      <xdr:rowOff>157162</xdr:rowOff>
    </xdr:from>
    <xdr:to>
      <xdr:col>16</xdr:col>
      <xdr:colOff>695325</xdr:colOff>
      <xdr:row>17</xdr:row>
      <xdr:rowOff>42862</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200791</xdr:colOff>
      <xdr:row>353</xdr:row>
      <xdr:rowOff>11205</xdr:rowOff>
    </xdr:from>
    <xdr:to>
      <xdr:col>7</xdr:col>
      <xdr:colOff>670972</xdr:colOff>
      <xdr:row>378</xdr:row>
      <xdr:rowOff>101156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00791" y="66237970"/>
          <a:ext cx="7731593" cy="4572304"/>
        </a:xfrm>
        <a:prstGeom prst="rect">
          <a:avLst/>
        </a:prstGeom>
      </xdr:spPr>
    </xdr:pic>
    <xdr:clientData/>
  </xdr:twoCellAnchor>
  <xdr:twoCellAnchor editAs="oneCell">
    <xdr:from>
      <xdr:col>8</xdr:col>
      <xdr:colOff>705971</xdr:colOff>
      <xdr:row>353</xdr:row>
      <xdr:rowOff>168088</xdr:rowOff>
    </xdr:from>
    <xdr:to>
      <xdr:col>18</xdr:col>
      <xdr:colOff>223158</xdr:colOff>
      <xdr:row>369</xdr:row>
      <xdr:rowOff>44823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a:stretch>
          <a:fillRect/>
        </a:stretch>
      </xdr:blipFill>
      <xdr:spPr>
        <a:xfrm>
          <a:off x="8650942" y="66361235"/>
          <a:ext cx="6924275" cy="2745441"/>
        </a:xfrm>
        <a:prstGeom prst="rect">
          <a:avLst/>
        </a:prstGeom>
      </xdr:spPr>
    </xdr:pic>
    <xdr:clientData/>
  </xdr:twoCellAnchor>
  <xdr:twoCellAnchor editAs="oneCell">
    <xdr:from>
      <xdr:col>19</xdr:col>
      <xdr:colOff>22413</xdr:colOff>
      <xdr:row>353</xdr:row>
      <xdr:rowOff>100854</xdr:rowOff>
    </xdr:from>
    <xdr:to>
      <xdr:col>34</xdr:col>
      <xdr:colOff>318214</xdr:colOff>
      <xdr:row>373</xdr:row>
      <xdr:rowOff>124496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16002001" y="66294001"/>
          <a:ext cx="9238095" cy="36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269</xdr:row>
      <xdr:rowOff>0</xdr:rowOff>
    </xdr:from>
    <xdr:to>
      <xdr:col>2</xdr:col>
      <xdr:colOff>416859</xdr:colOff>
      <xdr:row>292</xdr:row>
      <xdr:rowOff>178173</xdr:rowOff>
    </xdr:to>
    <xdr:sp macro="" textlink="">
      <xdr:nvSpPr>
        <xdr:cNvPr id="31745" name="x_Picture 6" descr="data:image/png;base64,iVBORw0KGgoAAAANSUhEUgAAA2wAAALnCAYAAAD1bMT+AAAAAXNSR0IArs4c6QAAIABJREFUeF7svQeUnNd153krd3d17kZOJIicCIIAA0gQIAACjCKVRSpasizZsmWNbM3u2fXx2sdnZj2a9ZndGctWpEQqWUwiKTGIESCYAJIAiEiQyDl0ztWV9vzuq1v9daG70aiCCIKoOqdPdVV93/teuuF/0/NN/ZsVaSnklQ4UcHdKAvr0gbuQ8olEIhHpTSYkHo9Lbzqpz0r7fSI+n/h8Pgn4/fqdP+2TdDotgZTouz/TpN8XdPf43F9K/O7dx7cpkURcUqmku8fvl2AwqO2mUin98weHHl86qQ1ln+fLPDf77vPp83glXVclc4t+70/2H7vrl+ur92Xt2bj0N19Kgnrh6fNn7QhzxUhz2rO2/alC1k/El0wNuf7M6eCvFA24dZCc69Lus1txWzudabeWDF8/+XTubXg2PzZf9mybz+z8Zn5w++/0V/a6tLtgMCJh3+hSZJrIfb4v4MaR+1w+c20o6UZus2j9HGz9s/sgc0/KP/jaDrkwxR8/BDOQyvCJvt2Zu++HGqTRDfdk913mhlx+kd3Xmd/tnrQEBuUtZ57glPJrOZtO5zTK8/N/pdyjC3h+/s92PIV59tJ6blf68XvPw4zfBDL8O5d/nInv2e+DiIVChlW8932aAX86JaFAUOK9MUmmU+JTWeuTRDolyP1QKCQpE6AZ+dqnR/izOlCurBmo++hE/KksTKf1Lyu1fEPrAENNR/53ulaH0i6Gswy+jJ4xnGsHuiZdwNjdZDr9tPgqzsBwZsAHYDPl9+zffcKGh+BNgJ/NOx30qarqAJYpsd73WLxXAsGg+ENBBVQ8K5lRn2EgyWSGIyUdE0knU+JL0RhaCH/uHqUND2Bz36SkprpSAZsBNO+7AsDQUATlyzLE4QAGFc45QloVFs/rbAAbzwxoi2cGbDraXOmcBuwUxvLeL8A28PoNDthsSr3KqHf8NmPnArB5p/VsAVsQzJrpjFdwngmw2fiKgG04bO7DfA2g7ewAm/FrZiV3/1tLwwJsgjHKFL/85hil0zeoOeQMbWKk8xXIv1BuL0DAprIz7eSvvXJ5hvdzrsEoyx/zW7biXR+AGYB2MFim0kkFU/4AxgufxDMoLRAISCKRUTAy+6RPPpnheniQqQ+kYSvvA28YjfvMjWc/KcMBi0O1Whjp+rOGdvREHctZvmcN/2c/dAc3C9S/8nps8aYLdgZ8U/5mZXogoDQYgDr9eyewh399HzBzQscxDPMT5b7jWQM0Adh4JVLJPpDm9yuIU8Ujw0TM4+LPWF6zgM4AWwY0mV+jo71VAnhp/P4sI9L/gwGB4QHgDCzkrrKyKmg8A1j53azWXstoLlAzpUgBF/qCB3INF7BlLayS7qdv5HqSYK79BHfOIM47YENZ81qpchgYmNvNiT8Ldt0QMuueo+zlYlLbl95he+HtYIDNrjfjwGAU7vXmDnSN7c/BPGw8fzBv4EDtDXTtYN7TC5YrFTt+FjMwtMI1kELk9Wcr/xnAYDAYYLOOmSEk5XN0mc9LPeQZ/p/P/V4+kP/9w1NY829/6DtzPWze+T3TM52M8Q+4fvwyEF/IXauih+1Ms/zB/R3aSSWSEgg63UWNwSlnuEZv4T0YDOsADNjnetjwEA1Fv0QcedvTtgCHGX0pkewtaIIKA1ynRyKdTWd4dp/Bw+Jczu5d568QIioCtrNZsov+Wt/kv12ZztdD5u5zAnswwDXU9ypuziCw1auWTqub35iQ3gfDCPilt9cxDB8AzecsTspQ0o6J4WnLJSgVZBlLSrQkkr0OMAhA5Dl6byDTRmabnNYOIXs48TwhcTABb4ieMVIToBbOZyA3kExnw+m81u2BPCy5YUl8Hkhd8oI2C2Pg+dnvPdu+EMCmfKrQkMhhADY3dw6g9QkX99mXw/HPxDtzhVMhgI35z4ZEesLKvFxlOIDNCdSzEz59CvNFz8Mu6gnw8s8BFXQPQXjD5oxsQoPglTMBNpv0QgCb49upPit3XitZmIetEO9AXt313DQYWDN+MLz2z278RcA2vFm9MK5KSTqRlGDQGZbRXXw+v0RCYdVfVJdJpJ1pE30oMygD+iq+fakhDe5Bn18jmgYyyGtqSnLo+4cy5Nscn0lmD7YWXn0pf4eB0U8+Giy6Zf7jz9fRUbwvPwfRh2HefJd+Z6VCprOzK3iuTxfmYQNkncnKol6yZEo9XsRlm+cLJhUIR1woZMonyZQDW/bH95FgaFDey3Njse5sLpwxAAWi5rHz9w/5yfVWJTyhnJB8LmBTwJnpgQloC4sELPgTfQrLQCGTWabmAYL9w+4IKXIvb//tPp4/mNfOKQZnJ/BPm8xzBdhO64cbVcbBmX0skJxXlkEHBs8vG47QPRNgMw/rYG3Z3s0FXNl9kslhs/sHU5gG8gQO1f+zvX44c1G85sKbAQ0pHMJD5sLAM/zBExpu9xCSW8grow7m3YQLiS/kVSD/Kvj5hfT97Iw0Az3Jyw+H05N8lePhtF285v2eAafrhAMBSSZTkkgkpLK8QsaOGSPlpeUOwKVd2J/zJqnk7GcgIa9+KIN9Mp5Qw3gAg6mfEFz4iUs9IW+OHLp8Df5O/yhsztQAnm9KTkZIK02cZSikS7XJRF/5XZRTvv0o3pdfStVFOW+TvrOyQJIpTGAq+BgkcRMisJBGwhaD/oBz/adS6lnrjZN7lvFwZQAWVh9fBtHotZmiEKflFpmSk4w7AEB4ZSioRUf4ieficSspKekDCx6Fhy8hV6+HzQvW7HleD0sucOP6QKK/wjUQaMtt1wsSBpo7L3DzFv3wArc+RlnY+p0zD9swAJsJHGP0yqyDgwM2s6gMCrYyPwyW2K9rnIsYM/d418Bm0KsYDxew6VgKk1nFuy/SGXCK2OmAx+thN8Bm33kNTsp/BgjJ9U7nmQwDhQM246T5LmKB/EsfWyhozLfvhQE2zf725PANpPzm8rYir8l/rT6Id6ZSCQmFgpJOpBRUXTJpklw+Z66MrB8lyVivhAMRNXGaDuENoWU8CtjOECFFgTct7oaOBbWogTyl7+RRZiOt1PjugMxw3rUEXAYoDef6gdp1ReSG97zc687Veub7fL0P8JtnhFrxvvwi+y7oeZv0nVXnEbCdocIg1pxUSkLBoOaZYe1J9MaVAYXDYf0bP26ipP0u34ykW6o6+oI+/YxFyFmZYFOZXLmMgmJiviQcUfDHdQA0ntfR1SWtra3S3tmhNJ2bF6bfZagdD5sCPms3U7HQGKQBRi9Y8k44RUPMu8lzjIF6w2W8gM1yTqz/1r6X+XiBA/MwUEjomRSxYTOzc+Fh8zwslalEZV+lMxMMQ+8TOplQXIB+yJetvukFxLZuXiUmN6Q0VzEdaMzkCAz0ynooPHDLqxx7AZt3vb0K00CE1z9spe/JxaIBw96RF82FGhLtYaG5oGwg40/uXjwtIiBnU+Z6jnP3YUEe+kIrrMF3qbqT7ysTzpTv7X/M+3J5w2B5qhZiT1+8vMX4UxGw/TFX6fy3nZKkGrKTvUkJB0MyZ8ZMufbqa2R03SiJdXZJKpZ03jWrZE2hGk+3k/6hAUM4FJIk+XCplL5rFJHfrwDO5w9IojdZOGCT/ACXC0e8wAFb2hWNyi8g8yIELBnd+6Kdr0v/dtV5LTrieIfTOgbMwUgkBaZBLHW8OyapREIqouUyfvx4GTNyjERCJS4pNi2S8KU0142Ya/4gaPMwWa4ECk5/i5PzpuGNC5eWSGlpqbr8Ozo6pK2jQ95+++3skQDePhpKpyCT5awN5AnzFj0xEOEdZyDg2Kcp++gflP0fCLBpCKWn/3of1i5PSEAucPMCtlzgZtcWVLSiIMBma9+nngwE2Fw4hwvlMI+AVSdNhn2SymitZxtS6l3PwbxsXsDWD/xlJo9jFYx52JppMZpMuX1XarnvlWvhtiMevGDS2xevwmzjy+130Wp+/hWn89EDA2wDeXi9vMZCsO27fvsxJ+fWDE8KAHJCLZVHWZRBphEDbPnkkGRzCvwuLPxscwwc48zksuYpyJWW8nz+2fY39/rB9sxgxpnBchRNFuWuK5+LgO18UOb790zVccQnsa6YetjmzZotS66+Vuqr6qStsVmiJVEnNzOGHTxi3pc7amhwmz16EaGWsVhM33kRhcRxS8FgSFNRCimub7pTPjPm5Wv53G/35BtaV8gz3b1UfHJV0ouv4gwMZwZ89V9dnK6pq5VYd4+EImGtOoRnqaqiMhurHAyHsr9jzelNxCWOu70kItHScjnV2CDdnV0yfeYMOXzwkHq5AFWNzU1SXhbVz3jHIqUl0tzYJLX1dfo5mYxrTlpLS4vU1NTIiVMnZcToUerlgjkAdkiqJV66orRMSiMlcuzQYbl19c0yZtRo2bl1m3S1dsm+PXulJ5GUmpG1kgz4pL2n0ykWIcra9kpZWZm0NDfKiNo6BTwtTU1SX10l3Z09yojKSst1rmBOfJ54ySTpiffKwkWLtPDIlm1bZde772p4JKCOa/Du0TcsW1Vl5dLa3KxzNG3KVFm1YqV0tLdLVVWVJHvj0t3dLdFoVEFgaXlUEsmkfj7RcELq6mukO9YjT/zhaWltb5NwWamcammS8uoqjR1nDmi3NBSW0mBYOlvb5I7bbpdNb7yp7XZ1xyQQDslll1wq869coH08fuKEHDp0SLZs2aKALlTivIjMP3Pb09Oj18V6e/X5zfQ9FtPvmAPa5Z15s5BAK15inxm/hYvCwAGGPIO17Orq0nurq6vVc9ne3q7tcR3XKDgOhx1QxsKUAZ367u9/rhIWdMB6V3uXXD57jiy9bom0NbdIrDsmW7dvlXcP7xVfxHlYialXAETeWOb8OcZaXl4uLU3NMmHsOJ2/xlMNMmXKFDl48KBEK8r7GQpyQ2cRgvS5rq5O7rzjDmloaJDKykrpaGuXirKoJGK98uqrr8qu996VsePGSXeiV9o7O6W8ulI6urv0SApvaKbXg8b3CUnrXi/JJIr3dHerN5m9znz0dHVLRVWljq0r1qPt6T5NxHU+CxF4w2EQxWs+uDPA2keDpdLe1qZ7IRQOZ3kMdKd8N5WSSFmpNDU16V6HHqDLlvY25UHQFtEERBpo2HkgoPQxZuQo3ZempHEWJvyjJxbTCrrIBGiqMlrpVA+q1YWCum87u7uktblF+WjDyVPaDy2EEPC7Y1cCft3XwTAJqFhjfBLr6ZExY8fKsaNHdRwaVREMSjKRkEhJiTQ1Nuo7xru29nYpp+/BoLQ0t6mRLRIOa99SyaSGavl9PqmuqVE+XBaNyqmTJyVaXq6egY7OTqmvq5OOrnaVP43Ig7o66eru1ud2dnXJiPp6aW5pkarKSuWT9KM3Hpe62lpp7+jQ63fv2SPVVVXaLv1nrmmffnB9bV2dGnPgx7U1NXo//WJ8jQ0NMmLECOWX8BZ4JjwYRVgjRfx+6e51SjL0z3oiP4KRsF6jESGJhGAPQn6zFsZTaQtZ19bWpuPrB+Q+uNu52LM8ZoC9zp4PB4KS6OmVmVNnyIrrl0p1aVRS8YQEUs7QyTm1/V6ZUESgwmCGXK5n/+zbt09OnDihso99Cb3BO2bPni2VldXS3RVzdQA0ly7p0kugg54e1YHgPbTD/kS3YP/yf2tLi+qHmn6SSOh3rnCKT58BX6qoqNDfkMG0wbW8o3vQH/Y+9Mu9XMuehy/Ys7jWeB7P7uzsVN2EF21AK5U11dLc0Ki0FfIHVLbWVddIc5urII4+0dvdo3JcZX46pZ8ZL/fX19erjsO4eK+FR7S36xh48T/6LWPjeq5TmV8aVv20+CrOwHBnwLfon+5O7969WzcZRGgbjwbY3HyHIDGighhQWHmx6eJxl+cFQSN4jFjYmArCTpxQ4jFhxCYHINBuV0enlFeUaTsQEQIPomloanSCqqJC7+W63q5uKQtF1II0asRIVSre2/aOpDviUl9bJyXlFdLY0SzHW5okVB6RSEVUuhMx6ejqlIqKqIYLNDeeklRvQqqi5eLHNZZKS20NbZ1yxOX3y9GjR2X02DEKniDkRVddpblt77y7S44eO6bXoThD/GXhiEQkJJVlUQWwgLOFV14pt6xaLQf3H9B48nhPTBkeDAyCNfA0fcYMGTl6lLy6/lUFms+veVHe2fOeKvBt3Z1SUh5VxUctWYAYwGFPr5SXlMrXv/JVeXntS7JhwwaprKqRez73WRk9erSwjgCqkWNG6/uhw4fliSeeUIbJ7yhdrEtptEz7wrqdPHlcysqj+r833431hknyvQJn4tUz5XxZQwtJZV35rIqG36/rzDN4vu0FGK8xf1Uk/X69nzXO5uD4Xb4hEZDevEOOZyAM9q7b7pQpEy+Rw/sPqCCaOHaCjBgzUh5+8jHZuXeXNLe2SnVtjfgjIWlobNSxVlZX6RrDtAF5iXhcQS97IRIKSXcsJv6wA1T2ygVsKKKs+awZM+Suu+6Sd3bs1HlgTiaNGy/zLp0t+4/uk98+9qis3/imAsYQwDjjKdUCOZljL9QokHmQeRS4XgUcHuJ4XPeQ5hb5/BL0O7AYCIUknnTJ3yVRRyeMT9eG64dL7cXrPlQzwJ5J9yQVJEB/KCaACXipnsGUTukegd7h68FQSAFMTW2tKv+qeLC/AgG9B/CG4ocyUhKJSHdHZxbcxRMJNQzBk9izyAC1vHf0SEV5uf6PAkU/Ro4cqe3CB6BlroUXNDY2ZhUl+sq1ZWUlwlmbADw98zKVlroR9eo1aG5tUd5XUlaqRitoAEMfxhgUPeTThLET5MiRI8pP9KDgVErplfHRH/6H98GX4NmmTNIflLu6kXX6HGiO59TV1EpTS7MaIDFMUlQBYwkGTPrH9/QDwEk/y0pK5cixo2qg5Dr6S2g94+AdOuY++g+fpb2e3pgCZOaoLOIMgMwfwJr+d/V063zhnWfdMGLyjmGPuQXIdbV36P/NzY06JuaatWYOmHPGbXK7CNg+VGTfbzBewJYCsE2ZISuWLJWq0qikexMSTFkqQa6UcEkiDqwNnpoCDe3Zs0f3FgYG9hV7EZorKSmTWbPmZA29Vl1bC50RQplMKs2xl9HlkJvQJS/4DddBD1wDUEK2dba1S1tnhwIjgFIMw04krAZN+A/yjugpPmMQxYgEH6AtNULHYkpXRufwGL6zYwigDQy48CIFbN3dOi50FPggfYWW1BgEoCwvd3UNMAL5/fq/VRJXnhkIaP/hJdCj6bm0gY5rhhXuZz54Bn99fVI/4Yd3gxZHdk5nwPcPr/8sfd9992WrL0KgWAysTCxPQxhOnjxZjh07JidPntRNzAZkQ5eVlUtFRaWCszlz5qjnYuLEifLMM8/I2rVrnSBC+Hd3a8fZ1IcPH9ZnxOO9wjloY8aMkda2Nj3wEWGIBRLi5LkQQmk4ooQaCQTl1ptWy87tO2Tv7t1SGY7KjVcslrnTZku0pka2vLtdXtv8lhxpOSlxf1Ji6YT0piESn9RUVcvRwwdlTN0ImTdntrQ1Nas1+Mj+o8qQpk6dqgIYQh41ZowcPHxIBTeeroVXXyUnG07JWxs3Zr1KWF/qq2ukp7lDIoGwEjPM5obF18mNS5fJq2vXydVXXSUb33hT3nrrLWVWzAPK+6lTp+Saa6+Va5cslg1vbZBFi6+S197cIK+/+YbE0klJB/1SXlEhDc1NznocDEmcPLuuHhlVUyd//tU/k00b3pR169bJR+76mIwYNVI2b94sL728Tp+DVWvatGmy+tZb5JVXXpFnnn1WmRJAmfkcP2mirh2KHEnLxmDNmp49SiGzdmZp53vGwJ/mCIqocmHgDAZoDA2myfcwLQAjzIrfLPw0621Lu+qfgVBY9xR7QC3VvqAqkMl4SmoqKuVrX/lTObR7n2zZuFlKQxEFsDPmzpJoXaU8s+Y52bZzh5RVVki0qkK9B1jFK6qrpLWpWfdmZUWFnDp+QnzJtEQjJdLT2SU19XXS0tOpCmhu7piFg+FJqywvl3lz5srSpUvl4QceVO8l/Z83e458/U++osLr0JEj8sqG12X3wf0inOEXCUl33FnPDBB6vWEGDDtjPVJWUe7KI/fGdU/6U2lV8DR/MxTSNUV59OHBiJZJV29M2rs6ndUyECwCtnPKEi+cxthDsbZurQp36aWXKm8yKzN8+r333lP+Af1BW3iA21pblTbYW+w7DEjQnOa7JJLiS6ZUGcIINmXyZdrm5i1vK6jC+4+hANDGXgTYlQYiMn7seA1RZ59ioHv33XddfjFh62PGZBU8DErTp09XXovSl0wm5O2tmyVaWSGzps9QA1lHa5u8vW2r8lJkAH2B1067bIpMmzlDQeT+QwelpbFJFStCMkvDJcrvGDOyBcs/z0Y55DmEtTMPyCZ4AWARmm3v6pCy8lKZc/k8Hcv2d3bK8SNHZfS4seqNHzthvBw7fET27N+n/IL+MOdcv2vHTlUc6S/v1yy6St7bu0dqq6pl4qWXaL/hSfAc7sNwp8fEpFy4fnlpma7Jl774RXnskd/Krt3vKThWI0ym0jFRHkSx8BnFj/tVoezpdhEvoZCMqKtR75rxXvgECizX148a6e7zvHKDr4rGnguH3gfqaSrtU7pFN8KgO+s0wMYRR9zpQof7oEFflcOhZmDTpk1KZzNmzFBaRgdAhu/atUv1ppkzZ8sll1yi30NvZvgFkJjxQOVXBkQBcvgNngQdQrPwLCKmkG3IXd4xeGBIAdBhoMEQgm6IYRyQicfewJoBLfQU9Ez0VHSUcePGZfU19B4DifRx69atqidV11Zp3+EbtINxh/6iHxGBM3fu3CzQok1oFvrihW7T0tSq7cLvuI85segw2mXOMFihV3Mv+q/NhwNwRQq8sCnw/e297ycHnkk/9NBDSoAINQQCBMXmYkMj8Nh0t912m4Z+vf7660pgznqQlJ7umBId3ofFixfLiy++qBsSYoQIzMqJgoAVg2dAyBAWVsaUegrCcujIYRk/cYL0UviDsMaODhVsWF7oB4rp6PoRMnvaDFn34hppa2mVO1feJt+6+8+kQqJCdHW79MhzG1+Rh556TLbvf1ciFaUSjpaot4zi+tWV5bLo8itkwpjRcvL4CakoKZeO5nYlcMAm4Yp61ptP5OlnnpHjDSfVigO4Qql4e+sWDceBQBGmlaUVEu/sEfKYCNU5eey4XHftYlly7WL5/eO/k9tuvkV2v7NL5wzi1DBKv09B4dJly2T5ihvlvl/dLytvvkne2LxRXn9jg6RCAfGVhBSwATxYD5R5kn5DKZ/URivk43d9VHraO7WdeQuulCeffkreeOMNnVuAMGAT5nLPPffIZZddJj/48Y90vgnVganClGBgtD967ChlQBZyYAyZNTSwYIANhsa68xxjjuT7sdaMj2ealZd+q5XY59M9oAegBwL67g2ZYF14TpC9QIhgIqEhTUG/AyNdHd2y/IalsnjhVfLLn94nSxcvUdC9cf0b0tTSJJ/+8ufkhVfXysuvviLN7W0K2kKlEVUs8QqUlZYqUAX8AfQAQyXBkFrqWzvapbS2ShIUwMrQndfD5orVuJj9Ky6fL0uWLJGf/vgnsn//fg1xWrzoat1Pa19cIytW3yTBkoj87Fe/kM07t8vo8WOloaVZ95T3pXmImQI17DP2O3PWjfKZSKnXbvTIUU7IZryazMexkyfk2InjLuQz5ELddG9kqqC+v2yj+LQPwgywR0r9EQ3TmzlzpoK2+fPmy5a3N8vOnTuVX7PPoVkLEYJvEgkBzTW0NEkyHHDV3lJptWqzP7vaOtQDvWrlTaqo/fjen8jho0dFgn6J4J1PJXVfp5MiVaXlMnPKNJk0aZKMGjVK6fvXv/618oJbb71VIzegPxQ0lL9Zs2ZpP+E3eMDv+8X9Ghp01VVXKZjCGIiRCXlkodm0uWrVKgVcBsK2bdsm7+7aLRF/SG695RY1pmAkJOqAtug3cgpa/dWvfqXf3XDDDSrPeDZgFgPcDTfeILPmztL+HjhwQNsYO3as8k3e4VVr1qwRnofiSpuf+cxnlOc99thjyq8Y080336zzzdiQV/BXnrF9+3ZV/vgOPsuYNK84ndYw9s9/9nPyy5//Qg4fPaJ9QEk1bxuhnER3HD95woG50lKVtQDtkXX1avhL9rj2mHv4LPKrtr5e0xEsf9kbQVAEbB8Eyj13ffACNjxssy6bISs9HjZCIQ2w9T/eI3PcUKbwz2Bl6de88KJGHF21cJEaajAOTLr0En1/5bVX9RiBK65coPK6sblBKqKV4guIym2MIXxPBwA2vI+oGylNLY2yc/s7+l5fN1K6ezpl7JjxUj+iViLhUomUhKQ3ltBjmkpLotIT6xK/LyipdELCoRLN+yIMs6IyKp0d3co/wsGItLSRltIrW7a9LdWVNTJ/weXS0dYp5ZVRaW/tkNJoicRjCYnFe+TNDW/JhEnjlU/s2b9Htm7eKoFwQBYtWCQjx4yUg/sOyhsb35DlS5dr6ko4EJbR40ZLWaRMOns6hWJo8AZ0WvgEhqNtO7bK7nf3yKgxI6UkXCqHjx6SsaPHyaWXXSInjp2URCoul106RUPB4Z1UWxhs3ovfF49JGDC38n/7/f9MI8B+97vfqRdtwYIF6rkBtGGpRNAjbD75kU/KA489oJ4cBCfAwMUZt8njjz8uV1xxhXzsYx9TYY3ARQnFwoEg51r+2NxYIGj3hRdeUG/CjUtvkB3btktTe6vceNNKiaeTcvDoEdm8bavm0rFx1Trj88k1Vy6SdDwh727fqbkF3/7yn8uyiQslneiVJPkaEpAT6Vb591/eK0+te1780bAEysLS1tEubS3NsuyG62XejFmyddNGOX74qFSVVcqKpcsl3pvUfhKKiVWSnANAjobo+H1SN2qkWlX3Hzig+WwIbQQp+UuBtF/C/oB6AU8cOy5Lrr9ell23RJ55+mn5yO13yJpnn9dcMubTQiIBN9dff73MnTdH1q1bK8tWLpN1r70qGza2CioQAAAgAElEQVRvlEBZifQkeiUQCatipK58raiSFEmkZFR1rXzqro/JJeMnqEB+6NHHZOPmLS68MJMbRn6JguNomXznO9+RX/7617J3794sAGdNWQ8Y3MEjBzU0EysQSghKidrjMmENtGnn2vE8xm6x3yhiWLkYl+bKhULZ+HSURP7oB8CS/pmHzSxiCuJ8Lt6deSZEKxFPae4k3/Fbe1ObfPzOu2TO1Jny85/8VL751a9reGzLySZ56LcPyVe/9efy+sYNsmHTW2qJD0dLxR8M6hwSi44lmz6Ul5TJjGnTZOeWbdJ0qkGuv/paaWxrkVPd7UMCtgSezVivLLxigdx0001y/333KcCvra5RD9tXPvsFeeJ3v5OlK5bL6Jrx8uALv5VfPfgbKa+tlnY8EUFXpdM8dl7AxjzjASaHJ97dIxWlUbn6yoXqpR07eowCdY3fTyZk4+ZN8vzaNXLs1EkJl5VIOuDCTor2uXOn/FxoLakiFktpLu6IujpVHJYvXy4oWdAj+WOV0XIXgp7JKcVDhYcYo9PIsWOky5fUMOyOllZpaWiUSeMmqEGDsOOVy1coj//Z/fdJdV2tRhvgOT5w5LD0JOJqZIj6whr6reGFdXUKXABNvJAJyANAzKJFi+T5559XwAE/xwO2YsUKWf/Geg035wVfuOWWW3Rfv/zyy7Jjxw7lN8gLABmACMB15513yjvvvCP/8atfy4K58+XGG29Ug9sjjzyi0QyAG/gt8uf2229XYAW/5btHH31UDYvw+18/8Bupra9VAxega+XKlfLcc88pWIQPwoP+7u/+Tr8DeMEf+bvmmmvkox/9qPz4xz9WUAYQxGtI/3gOIfAY0LjW8noYH2OG5xF2T8TDuDFjZcUNy+SRhx9W0AxPxhCIfCCUn9y/g4cPa56O5tq1NKvRDQV65vQZMn7cGHnsgQd0HVin7p4e9QhcsfBKlVOb3n5b28gtFpMbAl7kIRca5ff1l6If5NIDKJyHbZoDbCXlIr2kHPizVai5i2Mg+hfrcDBusHN4X3vlFakbMUIWLlig1bObGxtl/MSJ0tbSIq+tXy/VlZUy/8r5EvKHpKG5weW0BkS6O7qltLxUWhpbpLquWnwpn/Qme/W6Q0cPyb7d+ySWiMmnP3OPbNu2RWpq6jR1paGhSY4fPyo+X0DmzJkljY3NGvYbCBBxFZTRo8dq7YM9e/ZJNEoIc720tbdo++1d7Vpkhagl+jFzzkxpb2nPAq1QSUg6Wjvk+Knjsve9vTLvinlq6Nj09ibZu3uv+IN+mT1ztkydPlUO7j8o615ZJwsXLJTtO7dLOBiW+Qvmy+iRoyWejEtPV48aYDDswM/279kvG9/eKHXVdbLomkVSUVYh29/ZLrt37ZbZ82ZLT2ePtLS3yKTxk6QKr16aUOmQFtEr6BzkjNc073OUi/dfUPPv+8Yv/im9cOFC+d73vqdCDGGIRRJLIEKJEBcEz8c//nEVvggchCNKOEJt3rzLVUAjKBF4CC4UBKySfI9wnDBhgn6P9RQP3Pz58+X3v/+9Wn8/escdKgzLqypVKeiIx2Tk2NGyZcd2eeGltSqoSOjG+rvkuutl77vvycE9+2TWtOnyz3/79zJeqiUQS0mPxMUXKZNWicnPn3pAHnr699Ka7JC4Ly2hsoh0trfJbbeslvEjR8tvfvkLObz/oIypHy2f+8xn1doB4e585x2ZNWe2nGg4JT+5914Zf+kkFZyJVEquv2GJHD15QoWyCtCSiFp7U3FXThdw0dnerkDghuuXyEsvvChXXrFARtbXy6kTJxXkkLtg4aF4ufx+n/zhySdk2fKl8uK6l2Tj9i1SVl0pzZ3tqpATu818AzoAKd2t7TJ5/ET53KfvlrnTZ+o8b9q6QwirQ7EhBJXwH9aRAjIobV/92p9pHpuGBUWjqljRF8AHFqbnXnxBZs2ZqcoJnkDCmWiLtTLXv4E2rjHAxm/qPY26WHQrQmKx4owTJQIFjWeax87C/CzxN+RzoQ4wvZ5kXAEbuSCaMwdO7Y6rF+uWFatkx6a3ZeqES+TNV1+XFTcslwcffkAWXLdINrz9puzev08i5WVaFKa1q0NiyYTmjGDdjpaWyeSJk2T18pWy973dcmT/QQVFhC8+/+ZrAwI2K5dOsRv2+aIFV6qV/6f33qvhVIRo1FfVyCdu/4iOEYCNAlw5olb+/Sc/khPNjbqGgO6hAFtJRVTpKxWLa0hkZWlUJk+6RL22rMW4MWN03Y41nNTQLHL0akeOEF84qB5EQmWLr4tzBgBs1aXV0t7apmG7GNbuvOMj8tRTT8nCBVdq4Yl3du7UcPIRdc5oRjgwRjeMKZcvulJOdLXpnjpx+Kg89/Qf5Mbrb5CJY8fpPZdffrm8teENefrZZ2Tl6lUK2NiHa195WQsjESYYTvldPklbu0ydPk0+/tGPqeWdEPRLJl8q//2/fVfmXj5Pvvj5L8iDDz8km97aqAaZxddcK7fdcbs89NuHNeSyurJKLps6RRbMv0IL+Dz3zLOakwpfxYJ/zVVXyw9+9EO17H/jr/5SC00BAO/+xKc11xMZA8jbuHGjK9QUiymQAkD99re/VSDDC8MkoBaZd+/Pfibbdu1QfnPbLbfKlYsWypO/f0J2790jkyZMlFFjRqtn4Q/PPqNGRULmO9s7NDftP//td2TDm2/I66++Jl/+069oTjXXffbuezTXdNuWrRpGv33rNqkfOUIO7NsvH7nrTl0HjC+zZsxUw8/qZctVJgJ2kX/wStIDiOyYPOUyfcbCq65SD99r61/XMG5y2wCjX/7C5+XYvoPywK9+KUePH9PxLlm2VL10zz73nIaO4vXX0v8cGZNBZlbNNvdIh4uTii7sUXsBW1o9bNMyOWzlmsPmBWzuCAh/vwrU+HkGOr/PZgWDBN5xQo6hMV7IQ2QTEVRTpk4eMiTSmwrBvegBeIbxZlPUZ+ac2Wr0pX2M+RhpMOxqLv7IkbrPCaXG6MpzMUphBKFf0OjEceNl544d7lgnv19/R+9Ex0HHsogi2uca9BaM1+gbV11zldLbtp3bpCRUIol0QoHU1BlTtcgZ9QUun3O5vPL6KxIJRuTqxVfLiNoR0trRqkCUcVx55ZUK3tAJ0APgM/QZfQjjEryYZ2NEYszwaBwjPB/9CGdB8VWcgeHOgO//euJ76WuvvVZ+8IMfKDgi9PHBBx9UMPBXf/VXCqzYiAA2QieJV8bD9oc//EE34N2fuUdDWe69914lRjYwFkiABhbPefPm6Wblj/wFQk4gRA2p6+iU2ooKJUi8a3sPHZDDJ4/L1UuuUy/bfzz8YDbcrqaySqsEEq7zxuvr1cP0D3/1HblhzDzxUZs2INIjKdnbdkzue+w38vja50SiAemMx6SkokytMnNmzZA502bIji1vy55d78rEsePl+kXXy7FjJ9QKvHHTJlUyCJV74MEHZcTY0ZroXVZeLldfe428s9uFuOCRwnujinggqPPW29ktvnRaFl1xpVy1cKGsfe4FVTbmzJ6tibMIZPWwEYrU3KTr03zqlBzat1fuvPMO9bCt3/yWVNbXSnus2xWvKHEJsySmo8wnunpkRFWNLJp3hVw6boKGyoRKy7X6GMoYysqW7dvcYeN+n4JlFJbHfve4MkOtOkhuV0WFelKXLL1eE9jj8ZgyYAAbSgRgDWYCkLBCI1Z4hN/44zdy/PBCegGblQFmfJbAC6OFWeo8Zao9wbi0sp0voDkZnZ3dmvOlBUe0AIlPK8qFfUEd843XLZER5VVSFY7Kjs1b5FMf/bi8t/c9OdneIG+/s03e3btb7yeclnfmjyIC9E0r0olPVi1foYCaeP8De/bJo0/+Xg61NUo8cHpIpAG27vYOXYPrrrlWVq9aJT+796dKG4Rr4onobm7TsC/CH2dfcbncfOft8j++97+ksb1VARuFBIYCbJqPEovJyNp67Rc5RFfMmafhv8TZz5g2XY0G+w4dlBNNDdom3o2Wjjbdg9BV8XVxzgCAraejVxWz2upqpesvf+lP5LHfPqr7Fa/av/zzd+Ubf/EXMmn8BAU4E0aPVaWGqorHWhrl8TXPypQZ02XGlKnywjPPyYqly2T/e3vkyIGDyiPIY/vNgw/IkhuXqSFk78ED8ubmjeIPh1x+Sbfzks8mJPOyy5QHPvHUU3LrzTdLTV2d/PiHP5Sqmhr54uc/Lw889JA0NTTI5ClTZOpll0koEpEX1rygPAgP9oJFC9U49crrr8mjDz+in8kBI3dt+dJl8tP779PiQZ+6+zNy9NBh5XOXTpgku3a+o3IHUPPss8/q+FAu6T98D4BqXjoUP2gGvvCjn/xYjp06Iddct1gPGyZ37s31GzR64uabVsnseXM1V+7NTRtlzfMvSN3IEQpOkQ+Eu9eOqJe1L7won/zMp+WFZ5+Tl197VW5avkJz4Kgyh3ed/DSKKJBLe+3112muG5EEfCZElBLsyD/6By/FM/fW5k1aefIv//qbymMJ6X/+xRcVyLLGRBKo0e3GZXLzkhvl9ZfXaYVlvJhpn09D5ClgRS54sDSivHAgwKZeTSqLX5zk86EYtS/p0yqREX9YD8o+E2BL6rllfeCdiI+hXgARvNlE4OBNQvZjxAesVVaWy5Qpk6WkNKJ6wkBFR9B7MO5rlWo9CiCoup+CtsOHZN/+/RpiiXEIoMXz8HYDpAA8eNzRTQCNx48fV8M67fA/6SddnZ2ye9e7qr9hhMIQjLMAsAYfAACid6AHWbEQ5KrVXECHII926mXTJJ7slf17D8i8+XOlvKxCXlv/qly/eImse+UlrYZ+1TWLNCH9wKH90nCyUQ3WkydN1pQhHBx4znFGaLXrdFr789JLL6nuB30TaQXfufrqq3U8pSXopSxAAWdJfih2cXEQw50B3//x2P+XJnSFsA+IatmyZeqRgUi//e1vq+eMEJo77rhDPWxsSAj34YcfVuX+nns+qwT0wAMPKNGizNIe+Qt4fNioKPcQGERJKCSbG08eFbfe2bFdwd/f/+M/qIAjFBKl+719e9XyipCEuAnRuezSyXLd1dfIU088qVWyPrX6DvnGnV+UylCZ9KQT0uVLyNt7dsm/3/9jeX3rWzJl7gxp6epQFzZjC4cCctvqVRqKsm3zJhk1YrQkexKyY+sOAbS+u2e3jBo9WnPnsJbipYLIUURmzp6lApnKi1he6VNZVYX0ZnKJyA2pKCmTRVcskPlz5soLf3hWrcClJSUq9AFAnT3EW7vqXRq209Mt4+vr5Utf+Ly8vOF1WfPKOimrrVKQSZgSSeZK/CQVh8MSDUakt71Tx15XWS1pStyWlKsXSfMf2loVPBASiYXnm9/6a1X6H3rkEeexAkBEIjo+QPiiRVdqCNOzzz+jigKgCuailcoyFd5gdjAZy2ODYQO2LCcRa7kVK7GcNxQpfreqSlYpis8G3jQvEYXCH9Iy25pbkiRs0lV748W4U4mUlAZCEvEFZNZlU2XRvCvV20joFsUzL5l2qew/ckBeWf+avLphvYbWRqsqtfAHobCafE+Bm+4etSSSDzeqtl5efmmd7D92WJIUXeCM9Yzg8h4469LFXOjrVYsWyZLF18n3/+3fta9Uh8OyH6CCZjIl7d2dsmL1KvVa/P1/+ScZNW6MAisD9mpd9B6ynjkjicpYjSdPuSpzsV7NTbz9tts0HI0CCOyTNza+pTl6VL8k5JO8N0At1nb6UnxdnDPAkRfkVFCMKIzxIxSSv/3236ihDKDfcPyErFuzVu75zN3qdd/1zjty6cRJLvcpnpDa0SPlv/y//4/Mmj9PPnHXR+WN19arUexH3/+BNDU0yte/9jVt8z9+8xv1DsGPmtpa5a23N0lre7sqYtWRqIbv3rxqlZxqbJTnn31Wjp88Kf/0j/8o77z7rvzhqaekpKxMvv5nfyaPPv64SCol8+bPl1h3tzzz3HNy/ORx3ceWuI+BDys14YbIDIAJuaOET373u99VRe5b3/qWWsrJ4yJMfP369epZ3L5zhzz4mwfk2usWax4oXqeX1qzNHleDoY1QZjx5FFV54qknZdLkS2T8hAnKD5FN8CWs8hha4KVEIsDPmFO+10iCslKZMG68fOITn3De9UBA+2vGKEIqV69erbluGCjx6mHohBcRonn76tvlX3/wr+rt/+ZffEMeeehhpfNpM6Yrz3x1/esa7XHXxz8mt998h/zf/+OfZcu2bVpcCv6pOYTk5jY0yrWXz5fP3XO3VNVUKwD83ZNPyN79+1SOtXS2i498uQxgyz2nsuhhu/D5RjaHzR8WzWGbMk1uup4qkX0eNhulA2r9AZueojYEaMOThUcKHQ5eoOfUplJKBwsWzJe6uhrp7ukSn/glEPRLMpESf8Anfl9AemLdEvAHpau7U8qjFRIpCUt7W4eEIyEFK21d7XL8xEnZsm2LVFfXSEtLs6RSFOYYIU1NzVKLhz1AtUaqihPxQ/79GAkE/HLs2HFZteomWf/K65rusuqm1RItL5NTJxvksccflSvmL9CUk/Wvb5DWthZZsXyldHZ1aH82vLFexlEo6ZIJsmvXTlnz0lrNAYbO0XsJvwbwkRpEuDVAkhBmgBYGH+ibd7ztl156mRZEOnTwsLa7csVNUj+iTlLJtPj8IuteellC4aBcf90S/Z35WX3zKjl65JjOYYpy0sVXcQaGOQO+OX95q4ZEYp178skndYNqPHx3t1otAHJYKRA+bFL+JyQSosVKwYscATYfid0AAggb4MaGJ4wMYUR7bHrCU2AC3/zmNxW4fP+H31er4ZRpUxXcRUpL5b09u1X4YIFBkLvjA+Lq/sa9TAlorJLJnrisXrJczz4jgX3ne+/Ky6+/pjkJ6aCrNtRJydiIq+LI0VxYPUbVj1CLEco4gDSUKUsfLinJFsZA2UcpAKAAUsktwELCd6WZczxw7J1saZa58+bJ9i1btWT8tVcu0hjy//jlr+TYwcMyd/ZsBUE8r6XDVT4LRyI6xkP798uEESPk7k9/Sp5b84IWq/BFQtLU0Sa1o0bIkRPHdW54WYXBILq6xzIaLanUxHosT1rt6OgRWbb8Rllx001y4NBBzdnwHsTqzWcgHEKZdSbxeKA94876cXlmWpAlndY1Zl5YG/IqrJQuv1mxEStja+e3Dbgf9dBbJ0CygIYk6czFKBQAmVPHjmvxmelTpspHbrlN9u3Z46qVlpXJxEnjpbW9RWbOni3f/8mP5PipkxouyD4i8V4rTnnas+fwDIRXAosfKXSea6zYiJbXF5966ABsq1feJD/8/g90D+j48JgG/BKOBDV/5OrF16qy+F+/+9/0uVi2sabb+AZK+A+JX3qpqOV3RyVQ/Y25piolnmryQbFmctYhc0v4iJZTT7jiLVatc5j0XrzsQzQDADbpTYmPszBENPIBQIABbPVNq5RXP/3UU2qUYS/hacJjxf5BQcGD/5uHHlTA9NGP3Cnr1r6kYfDrXnpJFZc//dM/VZ5///33696bM3euhhPicYP/YiWur6mVL33+C9LbE5PnX3xBlRhCvwE0n/z0p+Tn990v8xdcoVXf9h3Yr6Ga8CiOx4DHVtfXaVt4xOCT8Hd4HpEd7HsAG99/4Qtf0NBBlCqMgViu4UEcKQAN3Lb0FnnwqYc1hPPjn/qkVnfEwKaVZiWtUQ54zmZMnSaXXDZZ5wHe/41vfENpbN/BAy4csbVVI0A4Qw1Pwqc+82nNSXvyD0/reOknuc6EcH7+85+X2TNmykMPPKhtIFvsaBsAGh6+X/ziF9pP8xyoJ40jFxIJWbtmjdzzyU/LIw89pNb6ZcuXa54bwBOv3JSpU/UMNirCvrDmRXl761YNy1TjHIWUggHx+9KycOECBZcUmmEuMdhpYaxed+QKr8EKjxS9axcuQ9BcNL87+6wkGJFkV0zmTJkmyxcvcTlssTgwKmsozA2JZE90d3eqkQL6thQILYLV3a17EjrDgMK+53c9t6yyMuul1vz6IbKAIpFSjeDp7U1IOk1OPiXyk1qwrre3Ryqqa2TtujWao1ZbW605a2PGjJLp02dKU1OD7Ny5S4JBQoAnyNatb0td3Qg9CmT79p3yJ3/yRXnrjY2a88b3s2fPlLa2Dtm8eaNUV9fK0qVL5MUX10pbW4ssXny9lJeXSXNzqx5ldPz4Sbn66kXqeMAghG6KPAWcQu/QLGOFhuGF6DgYkwhnhA9wDfwCfgXNnzzZIJs2vaX6zNy5syUarZDDhw9q/5cvXyaJRErBYX39SJk0aYJ61rRQWzAionpQ8VWcgTPPgG/Cl5akLczxtddeU9CE4EEgAALYmPzhUoZg8bZxvZ2dBmGbi5mKOyiy/IbgI3yQTQ4D4Dtcx4TtUS4Vi2lrR5tLOA/4VeBYGVYstwhLLJq0h9Ax6ybeO44NAPRhWU2nJFsO2Qp7oPhasredMwTY4HcrzKG/p9yRAwYurByrnbkBAeOSZ4yAIvrN/XbeB0p6sCKqoSztDc16uPeCOfNk1bLl8sDPf6mhQl/90pflVFOji8v2ixaiwGtInsLjjz0qvW1t8sXPf06eeeE52fD2Jq2+Rh7fiPFj9ADXbOhlprqgFq1IOYABoEjFkjJ65Bg3X12dOq/kYuwh8f2tNzX80ns4puUvuK1B0YqhzwCxgzBzi48A6u2MNsC0nSWk4JJCKT53rtqQgA0vmgS1F1Y5MRc4YZHHE/vJj31c9yAFQwD9mkPJ2VIBn1r5sGg/8czT0tTaIh2xbgF86wG9vbF+yoqRhJ2DlgqEJZ0JCjLlJWt51vPQfKqEEn6xauVK+d7/+ld30HAJB1unJJEkh8ydZ4VlDsD23//lX3RPkOuCkmhJ3rnATT144tfz17xnwJhQJKSD/3keFk71SGbOgWEcVjb5zGRevOLDOAOEs4V9ERHyPpNJBRpYgd98800NESRknTBB+DWAjf0CH+U7eDw8F1qCR5N/TCg896OcqRJISf/Nm5XWAIMoJuxBikyhtPDiyJG7P/VpfTYeMfgAYYhEX8CniVxg/2KAQ44Qco9yBM/ACLb2pZfUoMZz+c54P7LIDBLwX0AaedDwaEKk8IZpkY4uVyWR/jNePM5Eg8B36A90w3gtFAnjIWOiDWjps/fco/1jXMg8rsWgNn3mDPWyocARbmiFo6jAyNiRG0SjXHn5fPkdhZ82btT+AWiZJ8AmfzwHAyfziWIMnyAiAtrGi0lo//697pxOjJb0m0gPiouMmzBedu/bqyCNY0PwnDFXzAF8obq6ShpbGqW6pjJbBZQ5ZCy8rLT6h3HvF8eE7BSJcRxMKqXh+ZzJOHfqdFlx3Q0K2Hy95GRh7PWW9Hc5bA7EpyRa4YoSsZ8A+QAVeAT7HnpiT6OXWSEf9hR8QSN1yBXt7hlyKSy6xhsOCY1jwOBdK2f7JKt3YkTh+TgLuIdr7DxgIgP4HkcBdHXdddfptfwPDcPP4HFczzX0nXEwPkCn5ZUBROFF8DTeTeeF9jAEayXWMnd2Jb/RBs/BmIJODP2Z0VaPBqiuVrpmvmib/+k3ujL3oLMyb/BEIh1Mf9aK2GpsKwK2Ij0PbwZ8E75yQxrCYIOzwbBu2oHX3vPW3Llp7qR2rjFFnsewsSEGO6yTjY8QhVj53kLkICg2PsSFUNMDCsPkNblcKZQIO5/LzvbyPg9BCYGgjFh/yT8zAQahwEzsrA/LV9Dy55mDvu0cMPPauRytzOHFmYMRGTd9ZZy8I8QhRgsFMEWZA7TLq6oVkFWWlEnEH5Rpky+Tj9x8q9z7/R9Ke0ur/J//+X+XNeteUiUGzw/HAixafI3MnDVLvv/v35PycFi+9vWvytqX18mrb70hZZXlcrK1WT1t5M8RTqQgKAPQHAN2f4GUX8vYcogs8zpn3lw9XoFQoEcee1RBoVUpNO9Of8BG/gJetsFBm4U2GmDzhj8yr8yVndlngNnuOZP3J6UVq9zaeMMF7bOFa1BU4ZbVq3Xd9723R63v7MVoaUQaT52UaxdfrUD1kccf00T/tq5OwftJcj6gzQknRxDe0EetmBVwyk1uH+gPt5CzgmKF53n1TTcpYKP6HvtQgVq8Ry2IgNMbVyzXAgn/+m//5rzCHHZNlbbMAaVZT6fHrE04JdUgDbAxdyiZ7GXatCMU+J29bYYHFDz7bXikXrzqwzYDFBQAsHGwPPuCPYJRDMXGDoOFN1uyPqCKfYMhjWvtbEa+w3Js3wMm4H0oVZYcz35nP9IWyogWE2APhiIKzHihxNjZmfBeLPF25pD1AyXKigpwths5WuRd8b0dQAvtoNwgI+gnz2R8hOKbFdyq0vZmKjeiSNFX+IIr6OToHv4EcOJ6FE/6g/FNK2eWlmUP1Wa8PFfPYwoFFVAhGOCr5JnSf4wv0ByWdY7VGDd2rCS6Y9kDqpGjtKOe8lgsO1f0G5pm3LRjpcB7qESZcjwG2YdcwbPW0tbqlPCyUjlx6pRMvGSSeuqbmpuVn2mBpnivVFdXSjIek/b2Vu07Y4VHMAf8MVaTfR+2vV8cj5NpWkQE40ogJOlYUuZcNk2WXw9gq5B0LK652/6M4HFv/mzxGYASe479A51Br+xtABDAg30M2LC0CM0vzxQOgf7ZYxybM9TL7rEoHeMh0ABHNxn4gzZ5DrRpx2BAS/SLzwpuUinlWdwDD0InZX/TVzv4Wg+zDgazOfPcA63TPs+GduBTGPyhF9qgTcs7g275M3AHP+V+7rFCapp7zxmo4XB2nvSMXYzL3d3KM3gOn8lrgx8Z/4MX0KaLSkpIaaQvAqi4p4szcKYZ8M38T7elLT4ZBg/B2pkuCCevlZPGrDS7CUTuYbOa1cGAlm1uA3kG8GjTzmmLREKOiJK9agXyh/wiSdFyr0EOTo4EtVwr1Xuqyquku7dbTh47qWViF1y+QEvwk9vmy5ShBkCh/CJYCWUjJ4r8Iz4TcoYnj+/tAFPaJU+KgiUB4ViApD6fd8rP+qYi5LQAACAASURBVII+2bVjlxw4fEB/j1ZGJdYVk7Q/rWVj9ZDndErP9oBhkic1ecIk+cI9n5X1616RzRs3yRc/+zl5+ZVXNBEWEIHgXXbjjbJy1U3yy1/+XGI9XfLZz96t+WscnE1eSWt3p5Z7J6SOeXRs1r00SRywljnLK+QL6potvvZ6WXnTcjl46Ig8/ezT6qLXc0eSaUn7tFC+pNAO0nZgpisE6wDb4NvEHe4YyHrMDHyzhvzB5A2YsdYwrOEqC07gANj8gwI2BTM+vyo0FDagCAIeBP5KOFg3GJAbly+VCRMnyk9/cb8qV5rDFvBrMQMN5fQApP6AjVQwAFvf873nsTHPnEfFcQ14zzgQ/ec/u0/BO+vC+TCce0myMvsa6/rkqVPkV//xa3fMAjmIeBp9JlzdPJunjf+hF/0uIwwRAggD7ocu7WVCwirgGd1pgZni66KcAT2rB6ZCmDTFdXpcOC17yI7agG4APOwnC2e20GWuZR8DzLgHvo9iwR/3oXSgAEHfKEhcT7vmgSPMkcq4GB2soJLluPCZPWvPMkCEMoPyQ7sAEgo6YWBiP9NP+sG1Fo7OdxjnsHrzgjb4A8wRVUAuGs+iXcuhpf8WSWGRIIwFxYsxoKRZtd6oHk3Tqt/zXTxzXibx8yiKhLCboQ7PG/RmyqOCVsLp8W5Q0ClzHqVVrLOzN1EwMTYabdOeHmje0Chl4YgeAsz9GOj0UGCUP7wn8V7tF+eu4XHjd9YFIxAKH6FinEHV2+2OYjHjKHNnBlAzsF2UBHIRDFpDDJMpd3B2d0xmXzpdC3RhQCb6JuQz2ebzRHqYEdNFhhhY4x3ZhkcJMIMRhb3IXrNqj9CY0QB7luJbQ73Y5zzDDJAGdAwEspfRGfhjr7vIFRcuyDUWKWWf9TzZnh6lH65nfxtPsIJnRp+qN2WMLugp9MEifuB5vOBlJm9NRzVw6dWLbcymA1uKiIU3q25m4ceZHD94HIDNCzoBb1aBW/vOOXWqAGBhdvpZ8b04D4PtA9+M7zjAxgtvEl42BLfmapWWZkIvqlXgsPEgYISoubgRgtwHkSE4zQtg8dDmBWCDm9sdQW5etk4So33uoGQOXMRF3JuIuXK0QZ9W6zl24qhW6ampq5bW5jbp7O7Q77GEjqwfpflCCD3AE9ZmFGUO5cZ7h8vewRWfFmrgnc/qQQlwRklakgA3gFo6Icl4Srp6OvXgx+5Yl55xxIGHNVW1Egj5pamhWd00PB/mQTVDzjpqa2oWXzItdVXVctftd8jUSyaroj9+9BgFEYRvUkiEkMex48dpfsK6l9dqPPblC+bLI4/+Vp5ft1aq6mollk5KGmEcLVPmpGlmGe+QVfVyYXs+ZchYuG+/7SPSFeuSn/3sfmloOiXjx0+UoyeOSlm0QgEboIQQCJcz1kcQzrM1OGKzHDZjRqyz5bIZkzIrmXmH7OB1C40cnKEjRIIKqLxAKvs/eWbxhAoFPfNk8mQNi+TMO6yAgN3a6iqpq6tVS/1Tf3hagVppRbmuMVZwQLsXIPX35PkkoIDt9IIgyuz14Gyf5kziYcPLx/EIFJhxdNChXr5YwilWlOGGsf/mwQddyIRWEe0DjF4vp846i+pzBgQDYqY48rsWysl4qE34IHC41sJ2LwKdpDjEQWYA+k8lnOFEjw3p6VHlCoAD2DCliHerkAYdA4i4DpDDyw56RqmBhk1xsVBnfofXcR9hhoQAKS8vKVUDmIWam7Jl1mUDTfSF/1FUTDEzwx88DmBicsKAJm0ATowOoAsDgPwGX1JDYW88G8KPgkQfGRfXcg/XGu0YkOKz8TAqFZuiSB8pp69GKkKZMyHd8BEzNOrB1+GQtq9nz1XX6LEz3MM1BlhNsVTAVVam88//XGfXKm/zB/ScTULflddmPOnwBEKqtZ8i2i889rTP853hLCHpeK+EMpV6LdKBcZgSy3OLrw/nDGhYfyIlabyxgZAWHZk9ZYYCtqqSqKR6kyq/7OBs3fdqJHVmSf4PUrk5HstWeDRggtxh31pEhxktDCRxPzUAMJgP9TKDpNGg6QSmR2BUtbxs9q3mXvb0KJ+wVBpozQwQ8BJ+I1oAvkN7JgvNEWAVKeEFtAVdMR6rem3GGgWchGSm3bmvZmh2xUBcvr7ptLRtvMkqXdIPeJT1gXvMkK1e8J4e9exxn4VQQr+8lGdmDzXX2SmeiHZBnYh2ftbLd+m3V6seyaZG0BOKguA2gYi10ja+hViYy5iNbWEwphBAcGYttU3PdWapMcuEhjpWRiXZ6/LK7M+EpFk5ELK22WnHhTA64gL0VVRUOa9RxkNhwpj+84eyYYRm1hUjrGAIq7QLt+EFIdozLGSS8ZiyYCE3MBLaUje8L6hgjoNna6uq9diBqmi5lpAfWT9CwQUAeO+B/SqAmWMUAM5YO9V4UhKJXqmuq5FnX3xey0qHy8v0XLUY+XUlJf14oYE2r4ct2ZvQsAVCeAjdpA3GXFlVpaFRgNncUDxvAKQ7RnPwlykath5caeEDpkxZPpsxNVPYuGfol/r3+sVw5wI3qmxiFEC5YR/iESV2fdrUqbp24aBfDhzYr2eUNZJXE/BrtUwUIC38kTO+/u2zl4JqHPCeReMFjChT7IX58y7XYxJSCQeW8LwRComXOM4h3fG4KlOEVL24do3uWW8OmwlInb+MG09zEBLxbFEcnuP1mJmQNIuhKWK5AuLDqY4UR3XmGfCpd9/vC2aVG/PeKLAIOE+M0Sn0Y0YAsx6ztyyiwkLKoXn2IbyPdiyCAs+UVUU0uRAtKZVkpiiU7V/2KbSAMgN4sj6gZJkypZ48QoeSCe0n15vypN5pny+bswn9I5Poi9fSTntUSjSLtXmdzWBk3jULg6d9A3HGoyzU2Awj6g3QarVBHXeWlwUDLu8uY92Hf0PjRG7g4TDZYcoZgIk+M34vUDRji8qxtOjcofhaLg/Pi2W8HhSF6U3EFaDRnirPmVArACX5u/FYjxY+YqyWs2aKthldz7yPildciDOgHvaEC6mn4Fk6npDZU2ZqJeTqsnIXfZQ5fI8IJq8e4EBbWqOP2DveEHz0Gz6b19oLRLwGHfWAiW/IYyG8YZRe3UEBG/UO0qlsPpzJOzMUmYfN+Ar72uiHPhoP4p3v+c5SaiyagDZNDzFatpBJM6BoaGdZmdKP3QedG/2boYh+mNPCwh+53lJkaId7rJ9Wd8GiG0xum46r8lz1jwtx9xX7fD5mwDfub1akzTqrYV6ZWHsjNANdJjDMGmGhcl7Lrm1ENrVZ+Cy/jcHxPe3Zxsc6isLt9dqwqU3A8T3XWniOWU4R7hARfz3dLm/BBDljMCuQEYpZGS1kxrxGfAa00Scbp43bC0roD/NCO5ZrYFZegizxAFlFw662di2nTVnpsaNG64GqEHAnFtKUYyrYTKFRhHRHZ5tEykq0ZHvCl5ayygrp7HVeNTyEuS/LrcLTZhY2CzvAAmvufZ6l85aIZ8uKeD1Nfe2avW3g7WchNQaUDfTa/PC7heuZ98cAsDGowTa2e3J/UJebyxbKHKLJHDM2KjYRxkB5brynkVBAjh8/pkcmUNoaIdAVj+kB2lir8brysna9IY/4LVF29XdPJ72gTpW9tEgJxypEo+rJNU+GgrAUVnGXs1kWjSqIp/CJehuwYBIWlmnbG5ppwA0Lo9GL0YftV2+4hfYxY6yweTUaPB+Mo/jMD8AMpH0ST2YOmcdTSxGQSCQLsownQqso75ajYh4f+2y5xuwrC6Fk3xJ2CM/ld+63irWWowXQoNoiHjcLm7YcKmiE7/izvDbaJFLDIjIAWgAfQv2Mt3O9WbrhLZYLZ/nPjJF+WE4IVWRNafLyHaMNU7z4zBgYI/dbxIdFDpgnDl4K3Vr4lI2B+9XwlzHsGa+rr6vTPtJ/89R5w7gMtJniaEql5uUlknpAeUkk4opfZbzqGHF4+YOumiS5uOptDLicOl1XKh8LERYaOKLXmVw1D4CByw/ATi124Y80AwqYEikJE6rY0yszp06XpYREllbo2a198tQAW5+Jln3uQpkdnRoYs64aXZmHy7zDXl2AgllDvcxbZfdyrekLqsOFQtmQyGzoccbrZQDIaJM2TO+DJ5nuYYAS2vKmEwDAoCuTo0az5oyAXq1ICTyBNnnBA6BpaM6MPblAlev4zaISeJZGQ2W8djzT9FfutX7YWLJhmPGhi779kbZNsdkLdAZ8o761LG0WSsZgIY1edzChH+apYrOzoc3rZeE25mVBEJmlz2tZRMCqMMx4wmgP4c2h0JR5NdBknhyIweKruQ9i4Bort4rgcvlTzvLoZTJZD1omLMYUYLPg0j+usb6TC+C1ohiRmvve+3yI2BQYVw43rKExAAoOcRxRXatKfeOpUxIOhnR8JJLDEFzVQldMgjAgnl8SoehKTHrjCSmNlkrS75P2rg4JhsL6ORbrlZSa0gjnJJQTi5Z9JsfKJb7CEFBqmCeqRZoViRwqAwfed5uvvpBIZ3Fz0KXvPakKIfOLFxTQQAVIvGz89X1v97nlJcQAIQAY1pIbp7VrEIlgVe/LW6mR7yncQtz3Kcr4l5dn80Co2Mk5TF0d7Xr+Sigc0XlqaGqSaGW5VFRWyZFjR6SkLKpojfAxDQbp9+4OPueVa+Xy5vWhULHGev5d5pw69ogeIN5F6CMHZSKIAtLe3iHBSEjKyyukN8FaE3ri1ksfknnPWjj9KKiEbVEgAKGZlliMIjzk1FARjlh+kqgJ0cKwwLPce1IBOiGdg81v8fvc/fzh+iwSCjtruIEceCJhi3jDLOzR/odHaCn++noFPOxhqwhM9TI97zLDF+HdeLYsV8R4ofHprNWdkMoK50lCJsATuRc5AH+DV8KXoB9kC99DQxqyCVjLVD+FJ/Is+sQ1XGuRDfxGfw1cmfdPgUswqP0ENPKZ5xlftyNhDMjQJi+vYpXIWOaZPwudMvBjBkyTiaogRlwIlckmDvJmzGZVN+8gzzHDoEWkmPfcABXjjZNXk3bXYlyy4l3xTCVI8tc0dNXvwhytTTMi+pIJPYOvpIScHp/09nLmKEUTsPST0oASWuQDHy6671tPPwdWxxMS9Aekp7NLpk6eoueFRsNlurf4XsE/Hjb3X78UAedxdikxZnQxYwf7Hzo1WjSwYVFI0Iy1P5j+692vACYzzisf4bgNzcV0xcssMou2jIYNpPE7PMQ879AE0UoAK36zSCwHQF3IsvEoi8iykG0zUBk4gyein8F3zGjFdwbYjPdxvQE30zlNn7XcPPrrDRG36BiLyuLZjIH+8n9ZiQv7Lr6KMzCcGfCN/44LiTw/r6ELXgyvT2cKuxuqlcKsG3auiT3BvF9Wot4xyr7n51ZopOgHxUPsHBNyzLQ4CO96wGX/5EtXgp/wPfc+VLEQbdVbjXDIA3dce0Odp/LH+T0zNwOcQ5Lb3YHGynzgaaTfzNdA8+dCLtlnLpnXhT+6z8yP+zt9D3mfl+ud86yo83JmcgNt/ixnMHf9cq9z638+5v18rXfxueeWjiz7tBAeODwuO9hVhYbzDOz1H36fzsXzcz3fuXx7+L05+ysH6n+/okQD8G0TKVYwyuTC+8+/i/R8buk5j/n0u3QSzVUTnxZHC5DviWGX4mQBF6XjDYnUL9IUwypc9TsX5/gV3ouzp7sPyh3nYv4+KGMp9uOPPwO+Sd++GZXzPCnsKNCZg5vzqY7Tb37yVXzzfz6ClRBx5zTJVF2kWIpnPu17AIUXmMFAAQ5W7dGb1zRQ+XeGOqgXaJDqQlYV0qoOASDoT997P6dPrhPoff7c16+B9qM7S6b/PkVRccVXMsnUmlDd93+uIpY96y0jIfidQ7Pd3Pdv39bNvtfPA8yzPTuXVHOF0ECKqeUi2trmOOHe5/k/zQlYfH5/p+gHcj769l2+/O/c3Nefr+TymcE/F6rw5tLp2bQHH8SgY/wwl769fPxs2s1Hntr85T5HDU4D8B1XRqvP4DmAE/8DuV+L/TyXfDalOWC2fy0vEnEWSDvPmoq2fgbR/hE3jn/k74G1iJVCPJgOOA4c4fNh//4cYOY/PkooPuEDMwO+6X99K3Fa541gzh1gy5fgzw1g8zIWn8YFDt4fGJSFNmoummc7eH1+uUr+aYAte19/IKOenAEAxgcbsDmL32ACQEMaB5D26tXMRBpq+fycM8+8lOY9nJt7ANsANiqjW8jk2QoIe/bZUrRVxrQz9YqKzLlUZD5Ihog/7rj69l2+/O/c3AfdGv2ezfvZ0lvu9YUqjEk9diPDd3KI0GX79A+lzn2+CzkvXH7a/A02HxzAMhD/yz2mpMhH/rj09kGb3yRH9WQMmdnCa5qG4Nfqoy7nvM+P4yJOPGaeQgzmGQNwPgaK3GrVF2s5+yJgO1vN6eK+3jf/awC28+dhc955JzDP/t0rw7yeo+FbeB0Dzv/5KP3qycnDQwjrtDL9tg29nplcd7mpBX1b1uDd6QpDriIx8Pxm5s8denAO1I481a/TPH9962fzOrAl3c0fL2+4qdfL5vVMKmDzHEDOPXGOksj3/JNzwDtCmf6f1/k/b+aaPPdLsb85ldnOJ//Ol++eO89evvILA1YyE3ru5S/qWfOEUOt5lYOELnsjJwrpx0AeSm97muuby6c8/KfIP86j/Dpf/Ij9EPBpoa2s/pA1FrtvKIqWtXXmgDWv+Mpn/9j9Z0rNGExMZiOJztf8nefnOvrWA5fy0h+L57VdfPPm+/WGJ887YENhdjHWZ/veFw6X3/0upOTsn9uXA5X1gmUEvOVMDSbI+wt+z/ljA3C1XEboPa/MLnd5UWdW2Aaen77YdgvtOz/vg6/70KFIfYDNDqdWA0BO/p4yxQxYMy+bWUrxruXmmnkZoa3nwP04M2I7kzAzUH5+5t1LPw70Fvtx4cxDf8PNuQFA+YT+5cs/h8O3ztSfQkMiAWzWf6N7b06YhWJ7Q969/AEgZTmr+Y5nsPk7c3t9xqoi3V44dHsu+Wwq3qN8O1u9Wf934ZBoBeS09T1v8FzXfPaP1xh6Zkk48BUmt/N5/rmcx/PxfJ0/XaUz629n4oPF38+f/Hs/1893vKfxvAE2J+hOL9ow/AnwMIE8PFwqeLOsLZ8F9xYVyRxMTY4YYQr9csUyFlrvgdWpvmpNzgLWZ+OykEoNyRkgFFCrDppPTAuUnE7wuYqMF7D1zW/WvqMhgbT7fr73JeW5/g+kuOg8+lPiY74y85pVrPRg68wr0388ixYTb+Ox6pDMK+OjyqaFQDrP3MAMc9DQUutPvyilgW2Ug4Vyetf1/Z734vPe333+x5pvox8rQjR8vnluFIRCgcpQnqvhKiBWTCifCAfoWz1sHr4Cn4G/5AI1b9Eib3GhoQ06Q8/zcOZvaEDqxIM+5Tzw7z/Wvi62Ozz+5EJk41kjm5Zv1mAfB9jUmODxvvU7vCbrQc4/hNQMofmCNaf75f/8Cz3n22lfal4uZAqL915EM+Dr6Gw5rzlseq7jOQlJy8epnwklyPP5euRzJgdNcww4X80AwwAC1JuDoCGKnOXhz1gGM4oCiodLJh8cQFq1QSfwcR2d7ho2xcMUmUEBm/bTPG1n6+Es7Poso8q4uwYS1AgZb8hq/yA6byGWvqqaVmzFW0zAn+qbV1eshCqbFo/YB4xtHb3PyU2KzvbHG1IxiMFgIODsLT5Dhcp8PRTF+wrbfxf6/Cngyahm5zO4VOkjT+2p0By0Qu6n35bDlpurZoaW/seAZAw9nhB6VqCQogl6vMcQ85c7Pu9nV6XYPEtFPnKh0/PZ9h85FkF2o0ek0T2c5prU9BI1U2Y9b+4Xr4fNiqTlTbpZNTnfSocWyJkn68iX5Xxg7nMOA9JxLiLEURxqQTPg625rPq/bxQmcfJO2Cxq71z2XVzQzbnSr8qgWrQznGiw2O7e3CthySsp7Q+S4PleWWxt9lSQzoG2Q5PghPTynMfFzNZ9n087Q1qWBDpu21h2jc8cbeOfcfjdBoPOY+TK3UqQLSeib59PWKEcanVYCPOdIgtwQyMGEWTYkM2NhPJsZK15bnIEsDXwArLPnk3ufKeR4qJ2i1v2c8Ol+x3l4bvYW9/C26Q3FzmdX5gpfr9lxoPa8/XP9P39HOuQz3uI9524GkF0htdemJSlpzWVz55txRqr7Ts+eVfnmInqcAdH7Ksy7Uwj90YuBjtQ4dzP0wW/JVaLNl4MW7zufhsrzsW6+eHdX2g5d5ZA/CN0OkeYwQA5LtMOslQkkk3qNnXbf3+V+9gTS3RuTQMAnfn9QQiEOWw5JR0ebxOOcIl8uyWRaf0+nfRKPxySRSInfzyHFYe0X/dBDR5PJ7IGEfG995XBSOwiV7/jjdxgZB0NyICvP5fmJRK+278OC6gvo+5lyqIZiWCpQE0npivXoIc82v3bQazzlDgyn73Y4JYe6cqgic6//i0964r16MLcvGNBr7WBIO7yVg8eZn4HeQ6HIEDHSZ14vi43PgqBMiIV37nMPKqePdkgs1/E/1/C/HaZu4+az7SGeZc+ze+yQWduXdniu97D0wUZxepEWd6V3zdj7HHobCgSls9sdnMkzaJ/DOTn01w4m5l7rP/3jXjtA2w6ap7+87MBPa8vGY/svwAHkgczc5GuiFMkeYm90QP/Z1/SfPcUe4jc7iJ6+sfdt3rnOSxfcr4I0sy9tfHbgJ/fSph1qbM+x+eKdA0dpn/nhPvvM/3Y9vzOvfKZN7z6xA1bt0FHu53+uN95kNMP3hbxY+5MnT2YPZK+orJSTJ07o4dKM0+aP59qzGZftefpuh0nb2mbzSTIKFPTKyw6etc92WDMHv9p8c/g042UNT5w4oYfDDvUqVGGiT4yBvvBu+4R5YRx2EC3rxVxzKKwdrGuHxcKf4FNpvzvENxAOScgfkM6ebokEQxJLxFWp5Hve+czv7E+bk0LW0A6rZh753/rMobrG501G0GfjT8wxvBkZwYvx2mHf9Cta4g7yZm28dGyHiSM7aMO73l7ZaAf2DjW2gY4e8eYq83xbH+O5jI8/DkmXgF8PDme9+J31sf1la+aVh/TVu4/tsGQ7zJd3xmsy09rKd33s8GU7EJw5q6uvl8OHDsmYMWP0sHXTL2wvGk+yPnAoOuNl3qFVDiqHLtk/3M/vto8YP9fynR3abHLXxsac8kzbC/mOjfvohx3gzGfWhO94JmPXPdbVlT3Y3vimzTuHQUPvtm+MDzAexpsrG403qh6W4OD4PgDWB/77g7LcXC/veGmvtLxcOtvatM/MLQpWS1NTVg8x2rG+236ir8w168BcHj16VEaNGqV70HvovM0TY+Fa4zHefcqcVdXWyqnjx7My2A7E9gWD0t7Sov1j3mib/WT0Xcj6fTDuPTch6u93SHzxee//uvlaW5rSEAvMwUAYDN2UMmMYptSpwptRak0pK2TTG+OCQdmp9wgfa9uUIVP4IXITRDALU+T53gSNKRSMAwFBe6bEmgA2wc791ibjsPGacCwUkNJXExAwZxiNKWSnTp1SZm+AmWeZYmzjgcGZADNAY+DAFFqusfExh3xvylShCpEXsHnnwvrCHJsCNNAeoS9cYwqPgRwDpfTPq8Aa4DBl0Qv8TOAaWDPBUcj+Y95YF9pkn9jeV0FWWqoKAWtmijn9NTBm31kfudeEGH1iXAYobG5y95MB0HzHQP9MUSgtK9P/e7q7dUy8GJ/1hX1iwpN1sBf9tP1mIIp+MT5bHy9w4V5TeLzA2Qu4TdmiDdtDRsu5Y7W+GJA0BYtncA9jMKXBC9hsvvOdO+4z4MozmEveGxoaVOFjXSsqKnQOoCuv0cEAHPRqIN7W2MCcKVc2R9xjY+LZfDZ6MD7Gs2zv8ZspP6ZcGmDiM30tlL7ph1fxMtBGf3iWKVisvyln8C/6yHfO4OX6YmOz8ZucMCMf82R8wOjAu3/yWUcDyTYOAywoe/zvfRkw4DvbT8Y3Uaq9hjOjHdowI4ZXeeZ/UyBtX9v+t3X39i2fsdkeYc7YmzyPufcaUvkfOcK6sVd5JnvCDK22nl4DiwEZo2+bOwMLRheF8ibaYf7ol4Fo6IXn8jK5Z3PjNVTyHfehlLMHMZ7Bn2mvuqZGOjs6dA8amLbrDOQwL01NTTpX3G+05qVN49v5rg33Ga3a/mFsXgMy68Fz2GcmD4wedCzV1dk18xr5aJs1M76bu6eMlrx8PJ9xsB7Mq+lDxq95HjTEvHv5lhmreL7JfuPRtFVVXa1rYzoK80KbZmQ2vcrmDv7BcwDigD3mIFpeLslEQlpaWnT90ZHoD/vB5CnzYsaMfMZdvKc4AxfiDPhSyXgaBcWs2BAETM8YhTFArzLuZfAmzPIdvFnWTWk3DxMMwaxouQKRvnit2sY86IMBMmN4JnhNweB3nmVeB1O2vJ4FUyJMIOQ7NusD7ZgizP/MNf0wJm+C2ebAC1JMkYO5m4XKhLIp2QboTEHyWkkLtZB6rccDzYMpBnadV7DQT5tf+95ApilPBpgZM+vNZ6/HxWuRNEBuipApf4WsD8IKQWPKEM8wj5pXidfQknRalQxT1EwIIVjoC22Z9dv2GPd4FTnra6GGAGunHCGW8WTZ3JoSAe2yx5hXXl7A5v1sY+I++m00SXsGSs2YY7+xXvadgQbmyxQjE6x85ndbV+6x35gzA8W0x/+mjNr1ZpTxgnTbS+eCPukb68Y4WUcszAZImSMD6Kbo2X72GikMvBn/8c6N8THjQ7yz37zzzxqZ1ZjrUWKYZ6/3zvt8G7fxskL2vxdAefeq8ZRcGlZQjUEvYxRA2TIPkO0D5o92UbQYi8kLo1vzPLEvUcIKeTEXBixsn5mRwvrB/BofMaWYz6wD+81kmxkp6I/RMe17DQO2P83jY3LE5olr7TvbB4WMjzZMoUZ5Zr69z2QMeHV4LqDOQLaBMe63eTDwbUYG2vLyb9vT9NeMOIUaBGgTmgI8GV9H35g4aZIq9ibH2Qu2l+gfND6dJgAAIABJREFUY+E+89Dz2Yw18AkMUiZD+GyGDdpjvU2f4X/zPvIMAxcmk22v5LtGXvnopXvj7/TRvG38T3/YZ6yF7TEDX2astT3n9W57Zfq5lH8Gnr2RLOwzoysDxKYfmX5lvN9AtRl9WEPWijWhbaOdEN77REL5gdGKyftRo0crPykpLZWW5uaskZ05Arzxamps1Dbpm60/URCF7s981714X3EGzscM+OK9PenGxkaBaHpjsWwYmAE2s+AYczSFzZjNuWB4ECGEXxaNSkd7uxI8TBbCNCZmlhmzXplV15R4Y5amcJqF36xaXqu9F0QYIzSFyMCgl2EVsjA2X7RbWVUl6VRKrUbM74gRI7JhXqZsm1AyhZXxW3gBzIn/TRhYCJBX0Bo4MCWkUGBgyrHNgQkoE7T0wRRVxmCM3NbFBNNg62MWYO/8e5UfA/B8Z2voBeiFWuhVoSCkJhbTtUARqKuryyoS5t2xsZlCZvvLAAffs9dMyHIfa2f04wVt3v8NvOS7xzR0KxrV/ppwNCUMOkJpNiFre8HWyLxLXsBm1lSuNcMBv0Ofts8Yp4X9eA06jMHoxujVnp0LuMya77XSeufA7udZBnAMXOR6bvKdO+sv74wXZcqsuYSZ2T4zhcoLaEwRtv0wWB9yASrXeQErbdsaosygpKJ88mceBwNP3GvgxPhUofuf+5lP+C182HgM39m+MlpmzVkLA9cWymX8iX3C/7af+J17TCm0cZvxw7yJhayf7S8Dt/Ab5ggeyzt9sLA71sL6w3jNMMMach9z6t1rXpq3vtpY+Y29Ar8weuZ5ufy30PVhT0J7eM/bWlt1nWxs0IaGrvr90trSov03+WARM9xv+zZ3nm0+TB7a3jJ6MKBdyPp4DTDMMzL+yOHD6k0xIyZrx94zgxJ9hxbM2EFYOutm3n72Jv+bF5XrDKQxVtMnrN/sEa8xy9bJaKiQ8dGGGX1MJpoh1faUyT7eLYrIZIUZLcKRiIIVox8D3EafXgOn9dvkZCH9Z66YG/iOGh2jUYll0jLMAGI0xvoZ6DaPnMk79ih99UYAWPSAGUYMFDIv5hSgbcZ2+PBhGT16tMri7q6ubFQO4J7rWd+RI0c6sBcMytEjR1R/yvWiFzIXxXuLM/BBnwHfpo1vphEAs2fPVisY/8+YMSMreEzIeq2jprR7GXu+A7UYb/NaQLxe0EW7ZkWByC1kDQLmHqyLBk5MsfEqjdxvoRd2P5/Nq2LWObO8mvXSrK2FClxTMplX2kb40G+UCMYJw8FSRJ8QUqYAMiaEMQzdazE2SxbjMjDh9WwwL1zDuExhyndtuI/18M4rn02ZN0ZuXjxTcLwKmlfJ9fbDFBvatvBb+pvrkTGGTtumNFnYhj2vkPGxLpYDwfMxXpiC4B2HFyyatdH2nXnTzIKLIsE1CEMLufIq3V7AVkjfTaGin/TbPH70izwRBC97ynLIvJ425tXCKS1khe9sDHxnYTxcB50RtsKYxo8fr922kD3aN+uxWZPZ90Z3NgfQnCmVZgnnPvMa0LaBAVNo+I01og0Et+XBmUJja5HvPNIPA0wW9sezmDeUSgvpoX0LwzHvg62jARQDVKb4Wtu2P2y/ej+bQYlxv/baazJ58mQZO3ZsFnybtdpo3bzyfIbGCw2JMhCOwsazGJPlCnmt6ShkNbW1bt3NYxqJqPJt+4t76Rfjpy3zJli4pCnNBkS9YDbf9cPDjOWefUBooK0B+2T8hAkKcngZjzIFzz6b8sv9yD/ycBjPxIkTs+GgXGOeXm+fbf7hWcbnbYymYHtlZT5jpF2LrsCIMAnPVEZ2mNJ87NgxOXDggMybN0/HTA6mGggrK/vlJprxC7nC2lo4mu0B8+yYDKT9QiM06D90Dbg9dOiQKuUWysvzGRt0xnpB53v27JGZM2e6XKoMzdEfFHrAMfRhhgT2JHuMNeP3cePG6brZC485Sj3PYSzeXFo+27rlsy52D3zI+KOth4UKwyf5n+dYHht9Nm8oe4q14MXeY+zoYfA5b36nGQdNNzIdwStT8h2DeW+ZY9bHDBysCX0wg0SuzLN9Td/g0ew31oG9yB4lP5G1BQBa+KqXh1muIfsLAyljYn/bmNg3tE3/LIqEOWI+2dfk906fPl33VvFVnIGLZQZ8e3a/m4ZQYS5vvfWWKmW33367MtFcQZQbOmXhT4VMFgRqbnWIDwZLuzt27Pj/2XvvKDmrI/3/6dzTE5VACAQCIRGECCIjcg42GWwTHdcJr9Pu2t7g7579Y8/Z9W+Ds732mmBsTDLJ5BwUQEKASEIoIVAOk0Pn3/nU2zV6mZU0klojBPR7Tp+eefsN99atW1VPVd26evPNN/Xqq6+acuH8oYceqkMOOUTDiYAUi/0eUg+9M8F9rYkbeNzrHjgEuCsyhJEJBLzAFa+xKyc3Wj1dppr+cS/vfP311/XCCy/ojDPOMIWEEuF/aH7OOedo4sSJ/QUYHMS4YnNvIl44jHAHpL7mJuw9dLAbBlXVtD8cIXQjxI11+OGBBx7QhAkTrP0AH9rmhqobCJ7u5R5Gvh0QhNNAeC7381yUN+OF8Yph5JEI+uVRyPAC+23tI8pg2nPP6S9/+Us/H6L0UTjHH3+8vdujTmGwTPv5oGRQOA64HUx6hMQjUK6I3AEQjnZta9u5D1q+9tprevTRR8244n3w9qmnnmrj4kYX3xgNHL5WzwGVe0LdSeFj4ECGceC5Lh+OPfbY/igk1ziNeAftcd7jufTXjXiP2NFOj+7BI17gwueujzfPQzHD53hXAQwof85D5/B6mG2lIQYKz+GdL730ku6//357FG0ZO3asLrnkkv51Q94/N865BuPBPfgOFtyp4U4uB/ZuGId5AdnHc/Ak33jjjTrqqKN03HHHmcHqBmB4foeNNXdybWvfuY/+8243fn0s4Ke33367P/2XuT1u3Dib54wF4w5f8LdHdhkrzmGUMycw9qBrmOcd5PNu7uNTzeEAnnn4xBNP2Du9SAXG70EHHRQU56is1YMXoTdzwSM6tAl+wiAE+HD93nvvbbLI+cNljmc88D/vcmeD8/xAwFZN37gX+bSiAkgWLFigU045xWgLD86fP18PP/ywDj/8cJtz6HA+6FGPfnpUyqMf8Kavi4YGOKfov6f+evTdDXKXU9vaD5+ntOnee+815+T555/fLzt5D/OaDAf47e6777Y+outNVtXXGwDFmYFtcuaZZ9ozHHhDB0DCypUrjT/pP311x66DbfoNL3L4esDtwX/wE8+DD6An7VqyZIl9mMfOH8ho+OWII47QyFGjTI75XMMWmD59umbNmqWrrrrK5g/tdfuElHfPaNhYBsO2jk34PtoL7d1JjI3i893tK3d0I8c8w8llMfqaucOHsWOMGBf0qDsAGBdkxMyZM40+zDN+mzJliunaO+64Q7NnzzaZ4hG4008/3YA4/HPrrbcaDaEP7TzmmGOsjbWjRoGPCwUi5VKhjCJACTz00EM2ya655hoT5EwSFCGTx/PA3ehAoLiiroZYvIMJ6F4whPfCBQv0zDPP2DmEN4ICJYMQcI+QC2UPl6NwECxeWQghyrMRoAhxvK/PPfecCVWMIgwPNzr8XhR9OOXFDbNq+se9tB9w9sc//lFf//rXddTRR5uCuuWWW3Tffffp7/7u7+wcnmtPo6N/GG2AtHeXLjUBiRKGJrTTU0t8/Y0DBVe+HhFyo2Rb++CAjfaEU8OgGZ+f//znppgw4jH6EKgOpLzNjIWvmwh7OT1VaZddd7XmkebAe7gGwQ/NEP6ANsbeaenePvparcHH/Y899pgpCowBj9zwP3zPXHBjxiMDGAGeHsY5nAkeraLKYGslUj1u773N2OAdHv1yY97TZ7Z1XPw+xh/jetq0aTYO0G7OnDmaPHmyKUI3XDw9zA0W5rGnq7rhgvJ0w9ONbH5zAxBwzrhccMEFBmbgMZ5BdI+xgC89CuZggHF3LzNt8znHc5E5vDPsAee8zwHajEyiTThqiPy7seXrGapNyYZX6QcOqueff96MSuiIoQHP8fEULPrBOLpHmbZ4CqGn+Tn4dcOK8UGGenQduvA/BzLWMwX4/s1vfqPTTjtNRx99tLXJgbLPO8bEo17huVgND/mCf9riRZF492233WbOMgxI3rl06VLTDTgBMKJYb0L0ytMgGTcAPUYnkZ4TTzyxf+0k/AMNDWhQaKUiOzxdrpr2G7iPx7Vk8WKTp/TnsMMO07x580wOXXnllSZHMeihMXxLmxkD5i3jRr/dOYaeoJ0UtmAec9B++MAdNBjcHO8sWdKf1h6OJrvjb3vMcY/gAGaYCzj3oC/8hHMBJ8MXvvCF/jVDriOgA/1yxyTjA63cccP/yKqVK1b0VzMcKOs926Ga8XF9ytx66qmnjIaf/vSnNX78+GBtF1Gc9nZrK2OCUX7xxRdryuGHa83q1aZTiNzAV/z+mc98xtLmcFy6/AEsuCFPmwF2nh3A/GT8PYLqa9pMt1ZSMavpH89FLnhkijGnry+//HI/+GKskCvwIH1DtgBYvOAIwAX5/eSTT+qb3/ymtZ0+eeo54xZ2Yrnjq9rsAvqNbIUOr7zyim6//XYDTtDcI/38hnx2Xc1vPlc8PTos65ARyFLm34MPPqhPfvKTBqps6UQkYmMK3+IkOvnkkw2kL1u2zOTeI488YmN63nnn2fuQOQA87DXm7R/+8AdrF7xD37Ebq10DW83Y1+6tUWBHU8BSIpk8eCIBSSgshCICg0mMMYbBzERhInp6k6e6VeuB87QA3sekRsFgGC5atMgMA8CWRzgQ2IBLhAIpFnhBmeCkEnAOBYxXledwHQYHBhPGA4IagYQRhIcPA5C+oQiY/Chk+sgz3LuIsKo25cgNSzxsN9xwg4EzjB7oduedd1pk5/vf/74ZowBKIov0ifYgmGine45pF+PDeNBOrkV4H3nkkTrwwANNoeGJxKjGS8V78JRVc4SVuIN02o4ixCD63//9XzOQSINAUeL15XfeDT2hIZFS96jRHhTU4sWL7Tx/cz99g0Z8M64I8j//+c8m8LmH5/Es96y6x7uavnEvShG+B+Rceuml1o94IqG777rL2nDhhReawQCvoJRRttABGsN3zBt3bqCAic4xLq6QoAc8DU/yYf6EPY7hdSPb0hf4G88obb3uuuvsXT/72c+M7/HmQlP4iX651xpjgvY7GOM86SXMDQxAxpHr4Sn4jPsxku65+26bV5/61KdsXno6ErSD9xhvjF1P40NRY8CQrgSfQifoMnfuXDsPf5900knGM9zDM6EPCtzLXd90001mrBAxxCngjgho6RUKt4Vufo+vl2HsMCgxGr785S9rr3Hj+oEFhha8Ch9gIOy77742v+AD7uFeT+GiTe6c8Cg/hgfvwdDmfp7H/8x5DDUHgcins88+2wwcxpM5Q3+RAbwTHgQUQUP+5zw8Wc3BPKa9uxOZqRQEoF/Qgf6iC8howPHAOeY2BhTtIioAD2FM0R7ahuzGUcC8gT8Ya/iKfuNEgK886gF93Pjc1j64/kCeMA+Q9cdNnWpRcwAOgI33wKPITmhGm2kTcgajj3t9jRTfnIfvmSPMZQAbvI2sYgz4nb+fffZZ40l+h4bMPfjfjUhkVbVGNc8gvRn6/+pXv9LUqVMtssBzr7/+eqM7fWDO0Df4EgcO7UTOoA89LdpTDz31jTnPmHGeKIY7VMJpo9WmdHrUHB3Gs/if98L78D16G4DjkVnmw+c//3lzqHIeeeN6D165+uqrba555JDxp+986DvylPFkTOA/dAc8x3VuzyB3eL5nGmwr7/l9tMtpR5/oK87Gb3/720GF4VRK995zj7URfkT2AVqYB7SXMYXXGLcvfelLNu/oA/2EPugUj2xDC19b5lkK1bTf0yyJejG/v/GNb/SvFWOsaDNzAFmEzQWPwS/IMMYGBwLfACt3+qAj4at77rnHwBfywlNhmYM4qZmDX/7KV8zpAR+fe+65BnKR62Q1MF607ac//Wm/3OA6dPQxxx4L0jReqtY+q4Z2tXtrFNjRFIg8+shDZSYKhgLGGooYoETUgb9RvkQbEDx4Qby6k6dCcU01BxMO5efpWihMFCH/M9l9vQffGHW//OUvTbh/5StfsfYhaDgQbgg6hAUGBAIGA5DfEZA8CzCD8MEjyYGARDEjaKABQhEDEgHs1QOrzeH3KCTvJuTP+xB8tAlhiPH1z//8z/ZOPMS2/mjECDsPbf7qr/5Kjz/+uI0Hgh1DjzQY+obwxIuFYf65z33OjEc8W149CWHPefrni+x5r6/N2pqUQgfm7tlnnBiPm2++uX/NAV55ogO0DSCMMUFffG0O5xH2GHV8o4hIFaXvGHN40DBGSBulH9ADvgTQYVC4UYXSgq4YSNUuOqY/tI8PtOa5jA/8Q3/wAsJD0BLPMP3BEeDAgjHEAPF0YdqLYcX8gPbMHdqNYvM0El+LV62zAx5mXAH+8O9ll13Wr+wxMN2DivHC3EYZY7gCBjBkmD/wDPxB5BcvMGOBgQM9MGzoD+1EkcKHKGKMJniM8xhB8CrtoA3MPQ76/e8/+pFFy1Hc8ChzGiMfWkBfgAwgBvpxDUqbcQZAQ2NSs/mba5mzGMK7jRljBRbgAV9/Wo38YS54IQp4jigX7eGAFzEskTn0Dx5FxmCcACBxMuGEgS8AWRhZgC7ACrTFMCFdjedBf/if/nL+q1/9qs1D5gL3IVtx2GBgY3hyjj5iePNOPPPQ350hgAb670CxWhrAI/An40906ac/+Yn9T4TNC18wJk8//bRFnZm30AG+YKzRGdCD8UJOOVDAqcF8wviGn4hi81wvclItoPEIO+mMGHQ8m3FiLHkfTgfozXzgN4A3PIaRydicddZZNmbwAP8jcxgL7mX+M3b0EZ2EHEJ/MCegyZ/+9CfjkRNOOMH+JjKLAwc+ZU5wn0eqqxkflxM4XwCl//qv/2r0JCKDcQuP3HXXXTa/oTfzENnrjiVkFfz0wx/+0K5DZ/zjP/6jOUV4BkYwcs1S8Cql8z110te9bmv7kdHwBwAGnoe+yL9rr73WADTzHp5jnuG4Ydy4Dl5ibjCW6Aqug67/8A//YO20rIVkUj3d3fZ86PKd73zHnHzwKXOS/kELHEx8I0d83ppDcfx4c1JUc/h6V5w2AGPGGxkLT8FznhJI/+kLtAasQVd4C35EDiA/0DO0FcDHefiKPnMv/Aiv+tpgzvOManWIZ3zA18gynyeALNpEW3HGQTecL8x5MizQh+gC7CXklq8txDZBVuOkY/4gw5kj0McznuBB+ILz2GDoH+Qi/QT4QiNbBtLYqMcefdTmKu9hftNvl33YGjy3dtQo8HGhQGTG9OfKCBeMVYxswBAKC+MZxcYEIdqFgcakZbL4AmwPjVdDrHDaCIYCqQ60B6H82c99znK9Mco9VQrQg1L53Oc/bwveATsoSjw4CDwMRoxsBAsKGqGCMsfIQLAgSBDsGBwONjB8EEYoW4xGW/TLHlyV/USq6Z+DPxT+L37xCzOUPZ3M1+f99V//tb0fQQ0QPeLII/XgAw+YckX4IbAQZkRQEHo//vGPddFFF5lAhx70FcOK9EToieEBkEABouAQar5A3teP0SeE4mAphQMjqSgMTxEDsKGAifDBJyhLgDHKEEHPtYAyvKYoHCI5GKNEgOAhjDqMdv5G4DMmGCCTDz5Yb7z+uj0PDz8RRQfsfHukbXukRKIgAC0YMRgRtJdUIYAGfAiNGSeMZ4AK70YhwyMoLYANRiGGM0YRDg76C21Reswd5gye+PB6Cvc2V5vSh1JzXsEAYHwx1ngfhhy8D53gLYAwYI22onTpy29/+1ubX4AM+BNQwf0Yh9D68ssv7y+JjnEHLyIrcLIgK3g2z4QvMeaZQzgS+Bu+gEegH4Y69yNTSHNmDsPfGG1ERQCLRL4nHXSQnnj8cTOQAZHwN+38/Be+8L4y4PCbF8moZn4yTvAp44msIKKH/KB9tBWjGz5EJpK2TKTj97//vQFQ6AYA/exnP2t8jeGIl/prX/uazUMMIJ4Fn3t0ijGi39wDrTmPtxq+4TxgYOrxx+u1V1+189CWb8YL+QwtGB/mE/O6WkBAH3y9HPPaS8ezns6NJ2Qx8gMwBh8hhzDi4C8+8PsVV1xh/I2RzTgeOGmS3nzjDZND8Ar3Ivcw4Dw6Hi7osq1j6OuemYs4SphXGPgAJmQ+84EsAAxC+Bl5w7hyHlBABJ8sB5wUyCCAl6fhA/QAn/CGp3rCr8hX+AZaMA70CwPbgZ6nXELXaiOIjK+vAwTMME8waAEf/I/c528cepxn3qDjaCN8gw5gfgHk0JPwE3zO38ge6ITO8wiRrx3yyEu1DlnGGocS74HWb731lkWT4HOezRyBn9DfOCTQc/AIDg5oB4Bh3NDVACL0AXIWvkL+INOQScgbolPMJ/gKZxnXYMcwnow7/2P4W1GMMWNsqcFgG9MPxpf0z4uO+PpdxoDxwF5iniBDGAfoDQ3gR+jNnMfhhfyBhxgjdAy6CH5G99POW//0J5M1PA9g7WvIvKjVYG3c3O+0nbZgf0Bj+IJ3oHOZS8xn+BpZji6BnoBQ7A/mB2PGGKAnGVvmBBkKjAn9YEzcGeCZOTjA4E3kGB/mI+AQ+ce8YszhP+jFeGLf8H7mpusnaIYMrtahXg3tavfWKLCjKRB5de7LZTwXeN88DQZP/a9//WszXhH2TC4MGBQaAt0jBNtjjZevsUExkXrD2i4MZSYpnvgDDjzQznEdypIcdzwytBGjEmCAEYSA8SIVCDSMJwQLioL2A4oAbCi3r193nV6dO9eED8IGYwth7qmf4ep+1RrUtAXFjVHzP//zP6ZIEIoodYQ669r+8z//0xQ+ig0BR/7+ww89ZMISAIOywaMKUKP9AE7SKEkN+OUvfmHK6u///u/1ox/9yCJ4GN/QAg8jCsrzzn1BPLT0whKDpeQNLJwQBmykAWEk8Q74AgGNkYTn8k+33GKGw9/87d9aehLKCOMOAY2hgRB37zVtYZwYTyIJCHCEPwIaBYYBhmBGafnaBJSyrz2sZtKgGKAtwAuwDA+yxoax8XP0i35jlBLtgOdQ9LQJwwJlhVGOR5HzGB94P+E72owB65EnjERfjxAufLCtfWBMaT8gknGAh+F7lCtgh/ZAMzzMKF4MAQwI+J72M/fhRby3//3f/21GBMatlzfnb6/KhjcUwwMexrlC+WX6DA0ZI4xyZAY8y/yDbxlblCyG7+9+9zvzMrNOgjShB+6/3wxIDDQMUeiIs+KRhx82Q+Bf/uVfbH7Ar1dfc405c+Bp2u1rjKpV2O5QwVs/c8YMawc8TD88Cs452ogs4vj/fvQji7bAE/QZAwXwBM9gDH/ve98z3vyP//gPizwx3+EZDE6MDPgJI3nCxIn64x/+YPOCawAOgF3oBRDEiGEcmUfIBcYEOQFt+Q06VwvYvLAMz4GW8CT0xniDt3gHW76wvhRjDN6F1zGuiIoAIDHcmBvwCX3gnoMmT9Zvf/Mbo5dH2aEpAMPLscMb1baf5+O0wMGC8wj6uZOIv+kTch7gjJz36p/MC84jgzCqAcTMWQA7Y40+IFrA3OVar9DIPMIJgw5iniMPvHIqcwr5wZos6ApQ5buaw6Ne0ArZQSTJq6bCJ8h6xgVZRR+YN8wR5rOvHWZe4XQAKLmRi3OMAz4mUuEOPHeGMaerTYfkmfDvf/3XfxnfeFEqZAggClkDeCFiyPybPWuWtR/6A5AZuyuvusradvttt9mz0A/oCtdvOAGRfcwJ0g1xCtFuHDyUyUfm4LyCVgA9dAzj7GsbqwWkyABkPKDeo1XMb/QCThl3ziKj0XsAVaL46GkiTL72kWcgO5gfyBT6iD5ifSZ9Z0yR38h2v4d+bBf7pKVFc1580ewPQD+ZRhykxuOc4hwOGA7sDeyJq66+2mwUwBc6GluN9qMjiPRiqzEffU0edoRHbxlzaIVtiW3kdQew7bgGWc/B+DFH0WmMM3Yh/AvdvPJotRk21czN2r01CuxoClhKpC92RdliZGIcMHmZDAhVJhsGGcLC86Y91a9ahYtw9cW/7lUhPI8A5v14ChGqCD7ehTCkLZddfrktYGXy8xtRDs5zDUIDpYoRgTGBoYMRhqcfoYJBwbNRcvSJCAjKAc8bhiBVI2mTe5yrHRT6CKgCgPzgBz8www9jF+VLWwFfGNKegkMUDo8Xxux3v/tdaycCHwOW9Qf/9m//Zl58ohk8E0VApBGBx+8YKrSdvuEBRll6upPnzdMnjNXBUpIcsHE9tOV6T8uAhuSYI0ChF4AYRYhyRLhi9GBEcD0CnD4hoFEEGDsYfvzt/WXMidAB6rjeI6AY+TzT2+qFF7xMcDXjg5GJoQ04xqjzdEgUAjwFjYk2oFTIuV/6zjsGhACVKDbaiCLlXsYFI4l0HGiDkURf8ArTdpQRhgbtZv5U632n3zwLMIAhD+1JWeaYMX26tRPHBoYOtAUoMSbMcRQgfeVeDFw8v4yZVwOkv16ggeuYQ9CJMQZ8MX5cwztcoTK34AOicvAuaUzwzBe/+EV7F2uKcDggU1D6XM+cw2iEdzkHQITfuQ4nBB53vNAYOjiMvMoffOTbYFQz/sgWxsaBO95xdzqQbuXAFz6hrcwj2kT0FL6GJkRmoRtzHEcD/aVtP/nJT8z4xDCBvwBmGMfQnIwF+J/7Mfa4DpDmWyZAA4xuTz2i/9AcvuT90AEwWG1KJH2ADzH+oL+vWQW4MAYAAk8JhHdpEzTgd3gGfqc9ABvkDGMOb8H36BPmCXIZAxbghsHNO6ErfRjMYTTY2Lr+4PkALIDw4YDiBx6wdmGsA7IAl4wf/Ii8R87feMMNdg38zBxF7zCfPaUVIOQVOwFoOKIwbIlKI1eJNGOUAkCgBf1mjjP24aIXg/Vhc78zNl7UgU2En3ziCdN5AE3avO+ECdZXAJj3AVmBipo+AAAgAElEQVSA3AKgwluAe3QLjgfWhyFPccgCAtAjzCtfD+SFRhhj5ka14wPwwlkJfegH/MU5ns28QAeip+ARZD7XElnCcQB4Q2YBehlfZAsyDhrzQTfRXniO/hOZQT7BpwAfxgCnCePCfIXH0UHIQPQM9NkeoNR1q8tz5jQ8gRzxaqmcYy4jj+kj74UnaRN9xymDLYDuAIAyhjjg6CP6HbkAvbxqqS8VqTYlErkOb9Mm+B0a0i5oDn8wH+AB7DAcBcg35DX3kJlC23GuY3NwD/1E/sF3yD+AnKeGwuc48bBZeAe08KwTZCPOOZ7hkUnoxVjSbwAu4Bvnw2mnny4qZ7rjopr5Vbu3RoEPEwUizz37dBlww0TwBdakLyEk8MihWJksGK8Ydkxe94x6cYFqOuxVnHyxvoMuBCttwIOJUGGCI9gRGAhBjBUmO4YNAgOgghBBwLu3CoHtH5SUGxcO8BCSGI0IF64DOKAIXWkhsHhmNQcKCo8Ynj2UCUoVeqKcMKIRzihRjAGUMUIQmgAGMOj4YAhCB4wixgPhipFBP/B0Y8RhqAB+EJi+xgvDBCBBf8LRUH73MRxMYQ0EeG48YPjQTpSM572jNPGcegoRCgylyHkENQYTitIrQPo+ObSR8UNAY2B52WYUNmOJEY/RgZLy99IOlFe1HjaMAIA80WXboLaytxVtPefcc9XZ0WGGIN5y5gVABOOb93MO2tK24084QXdW0lMBqRgkABTSQ+FJlAt8y1jRB8Zje6QUE114+qmnbF7g4ceoZ8yY03iUoat7Nr36FjxHG5hzzDNoDujEyCCVhT7Rfgwd2k87mQu8A1BBvznHXEXRMj/pG3/D24AP3o+CRWawJsUjjvAL4M2rCzKPoTm0Akg6IOMd8Du8Ah8AAPCucq/LHY/0VzM/4SlfpwO9AIfukSeqwvx3AwpegTbwNPOTdnA9/Et74XPojSzlmV5yHQMHrzk0BLABCpn/8DnzAsCLgc28Rv54ehjvRkbxPu5zmUwbeD9GVLURRu6Hjl7pzh0JOPGgB2PLuNIu+sX4wsOATr59SwuMKnjaIxzIBPjQI4VEDOgXwBN+xCCnkE21a4g8Q4P5hVMLWp18yimW7obcBGwih+gD4JY2IU9oN+OFDIb3MTihNe33yrSABGhAv7geHQK9GFf4kHlO/xgXUsToF/OKd/gao8Hk65byrhcfee/ddw0sMx7II8YO+QXf0Q/GC15DTzA/AZbMQXgVGYfeYE6jNzgwqH1O8b8743x9cLWADVrRRoxzHyt4Hrqh2xgb9CLAHl2JDkCXAVAw4D0d1zNVkBeu3zyKic5EdmDoM6boFeYksgRZjd2ArAMowg/QxPVUtUUraIM7tHzLB9oALzFf4EfGjjGh3fAZcpa20D4cPfAj13haLfIOmYNjy9MtvfAQ13n9AHe6bikPbew6ngdN0AMOEuF13gEPcJ4P8g0aMq+9rgFzGuc3NOZa5BX6kX7zTJzrXgcBfmVeYKsBDLFNkIsczCl+g1fQMdDTI8ukQmKX8S6cg9AK+Uy7t4dDoRra1e6tUWBHUyDS3dVRxtBHwbhR78oGAwOljEGFcYGA8eIgXOuL9atpNArODVevtoTg5t0IQIQ8kxyB4SktCD6EihvvtIXraQ/XMZG9LC7CgPYjEFDYCFKuIx2JkDsCm8nvBriVnw1tClytwuV+2kBfEDoAAQdLCEXe78YrbcSw4PA9Smgz6YS0i/57KgjnGROe6eXGSV1ijY0boAAajMxq+gCNPYXSPYgeZaXdXjoaGkNbBDH98tx999ijeLgP45S/PbWNvzEoMGDpv5fIh2b0lXH0ktrQBV7hOl/XWK2HkedAJ3iMMXLQRl8ZA87RDugPz0Fb7qFfzAXaQxsp4Y/xyfhhIPhYQjvGimt5hhvHjAk0qzbKxvP48Bwq/REdpk202QvDOJ9gwNEuaE+baDdGEYAS458S20QQPQKCYedpPihrlDKygsP3oOLZGIc8F15D2QIiKbOOAkYpo3R9nLife5mj8IJHdWiLl4/mPZynjcgfPOLQDoPAweT2ALv0wzMF4Df4GT7kvV50yJw56bRVM/OIu0X60mmtXbPG2gcQoe+MPXzvG1/DU7RzNGW8K0VEqD5J5I55yzvhPXeo0E/mAlVKX3n5ZXsm73LDBKOcc8wR5iU8VC3/u0PG16rCS/STsYBnGV/mqNPeI3HOX7SNdvg6We7zMvnMF2gAT3CeAxlFaiu02h5V+uA1xoFS+zhXcGxBw7pMRuvXrQuKOI0cqcWLFtnffPjdC1fQDngNejp/OyiHr2k/YwRN4EG2nWH8PDIBHRg3UkBZ8+xOBJ4F3apNWfPiH/Al7YBn6CM8SjuRUbSd3/mbfqPXvDIp7TD9PWqUpY1yH+MRLn0PT3lbPeJBX+njYBkYW6L7Pe0W3oHujAdtweEI7+Akol3MP/pnxn+lMinzKywrAXZeYh45jKziGu71tYu0CRnM2MB33MN10AR+pl+8x9dSbkkfNnUNz4Ke9I02QDffZoD20Db43KtYmgOYPr/9to0LPOZ04FpkBxkdjA8gl+dDG+a8yx/64ksEqgXU0Bp5w1yh3b6+M7y2FRqi26EXwIvxACDzv9tWjAk6iHPMJy/CBa/6dkzch5Nm1cqV/etmXX5AN/qM/PTsJuwds8ciEUsz9grZ8Cj0Rua4PVrNGNburVHgw0KBSC7bW2bSuEcFAeCTgMmIkHBAw4RkYjKhfDNSX+uyrR32iI17i3iHK1M3aP0dtMUBiCsTFCKCzo19JjfhcpSYr9nyvWm4lmdwL8+mn5764et0MDbc+ETQVlsli355RIt3YiC4kcX/tMmNL9rm7XYvYn8fGhqsX66kPG8ew5FNxN1jT86771HjYMsLuwwEblti8A0EbAMjbgh895ZTvc+jOV6Jkt/gFQd3nEdol0slowW/8UzG0McWXkRQ+0bhKAGewzMYJ9rtkbVqwKgb7BSYKVb2vaL9GD0YZbzD1l1Eo/Y7NGaMUEiMCx8vvsE4+vpOB2HwFh+UENfxPPrqqaXVtp32u0J3YIyBiXKHhq7UMTLhHdoLzYmkw9eABuYzoIoIlu+Rx5hyv4MSj7ABTGhzNBYz49Qjnh4VY/zoK1FrIhPMJVKYeJ7dF43aOxhHxhPDDeWNzMHogXfhZehDv6AXNCUVDPo7MHWepP/VpmRjjHh6lRtxDlrccQTIgB8cLPqchmfhBU9bY2x9TYynxNFX6EJ/+R1auMPBf/OURIw51vIwjziYJ+vWrrU++jpU/oau3Mv+hdVGqGgv/XZnnTvJvBCJV96lPfALfMz1nn3g8pT/oSMFe1xOOQ96yin9dGePv6daQABfeTQJeYFh52nbPha0CZnoMpN7HDA24bhoa+uXyZ5qxvxgrDjY8xK+9HWzXOMOQYxK+sI1AEb65zI7rNu2VT9yH+0AfMB/fACpHOwT5zLcedUjHW4IQxMAHPPI9/WDhxhfrzLo/IjM5T7o5JWbq5VRrrO9/Wa0Vxwx9IHf3Wni8hgZAo3NiUxRj8pG4J5G6wDQDXeu428Hy+5kYn56lNrHgiIeOLXo+/YYH9eH0Iw2M++9+Aj9ge7OD05bLyJDv43fsLEqYJY24USjD6RHwleUsHcZwbyHx/h9e0SYvP1ug/B+nuvgmXchf5FD7jBwJwdtQN+Qhs/8gN7u5LTMqUoFR35zBw8g1p19yBPGw4u78TxLk2Yvzp4e66enPbqDBPkIuKR9bp9WM7dq99Yo8GGiQGTlimVlDBIMIiaiK28mLYLVQs/Zvv51UEwcX/tkQipdV1V/mdgoegeGXgEJwcFvtMM3TWaCo5Dcq+beRa5xo8A9NHgUffE3RjfPRWh4OpcrL56HIvBCEC4E+XYDo5oOImC6erpVKJc0YvhItXa1q6mhWQUVVVZZPbkeNSTr1VfKqrOzQ6Oad2E7S3XnWfzPguacGtMNdn1Pb7fq6jJKKmH/Z/NZRUplNaSICka1rmONRjaNUm+uS/FYUulYXH1EXwo5qQhwLCuqmMr8U44qVgGIm+vfpgAb4+MeNWju3kR/lpe25turwWEQQHc3xPkNIe8eQ5QHAIIx4dkY04wL/yOgDUSkUvYKj8xWm9LCs7xSlhtEbpjB/77mzBWkR3A5D1/SRhQTRp/Tijnkhix9JjJCBA6l56mQvKvadE6ntStZBwZENhgTaAUfQ0PaSZvwjJKCxEFffI8f92hzzsfVjSyAFVEMxsHTfrxYh6fFeUSVPnmVTKJDpFJ7VM9pyLvYsJd2Qgfa5p59ZAHPZqzhD5Q7dKYt9JM+uQxyA7Oa+cm9GMAY226oOq3ce0zb3EEE+KUAh2+8y/200aMAbsz7/xiG8IVHzH0/P6/Gx+/QFyPEjT2XvXicmVf8704pj5pDb3gJ+lVzuAPBjWePtEF73kF/ido7UGOuOIjwdU++Fxz9dGefOyg8euPON5/DHu2qpu0uBzwtFFq6EewGuct3nxMewfesBtpDW+BJqg7Df/SZ9dG+/Qp95jr0CM/1LQm4zkGayzH4wq/3/cKq6WPY+GdMPOLHeWhL39GLRNc5nI+Ya+544Jtr4RfaDggnkuO86Aa663vPVGEsqwVsXsUTwxs+gdbML4/c+vM552s0Xbe4kyf8m8tNT9l0wOeZBp6eaCmklT0hbT5Rdr8S2WeeAYSQx9VGQN0ZDM18Gwd3fjvoR3YR8YMGblO4o48x8UIv9I3xIS2X60iD9KwM6BbOdKHfjH21GRoOJn3eQDd3bLvsYl57wRjXCbSZ381ZV5lD5sBTAJzDG4lzbTKekMpFZdJ1Jk88VbQUC+y8aCTe7zRx52MiHje9z9jhdOgHqWI5Qot6e7tVilQzu2r31iiwaQqUByGOs150sAu3I5EjHR0d9rqISvbYaDn4Dh8RbWhRtHKdKUtFVebOSHQ7NunD9Sgos7GBQ5DwWzSV0NLly7Rs3Wply0XlImX1FvNCUCXqEurL96ocYS87aAjtt/w7Uma84uKbVjBOsVJEMTbkLAX/p6IJHTBhgoY3tqivu1vRckQJ1iGWZICtJvE+XPxWa22NAjUK1ChQo0CNAjsDBXABlyOB5WLf2D32CezISLlk9lEMewPQyXcpsJm4NhuXimZABVZUYMtg10Qrf/t3YBltuCawk3jPxxq0lauwvSPAa4j+f23+nYG3hroNgf284S3OR/Avx2A4LELQowzPVjEGW9nJQQHbpsCav6eo2McesLm4YfBd4DDoCKIM+2Q9/ZjuefhBLVi2VMVEVOVETD3FvHKlnGIphFuxIrAc/m3pN++L9ws33g0DIRBNMJal5rp6XXHZp3Ty8SfY+XxfVslIzEBbFEgXSMvaUaNAjQI1CtQoUKNAjQI1CmwxBQywKaoSxv9GAVsQDHDAliwGRjIfTA8AWyGKHbPBDgmM6E0ANoBcpXUOCnn3x/aoBizUAJvxIfzk4MwdDmHAxjmu82/nNe4DrOFc2FFHpLOjbaNAcrBImzewFmELKMHgDQRsDHB9Y6MeeOJR3XLXHXpj8QIpnVCiIWMpkrliTgKsEWFj0BE8W/NtXi0EW8AwLggD4RgAt0wypb/6/Bd19qlnmLcr29WjRIyoXFnFfEEJEGPtqFGgRoEaBWoUqFGgRoEaBbaCAm6seoTNcZdBqEipP4IR2CalSkQicGxzLWAtiGwMMHoHNYI9E+njGyGyYRqUTpsZzBpge1+EDUqFAdsGjLMB1A0MbwTOiq2YMFVeukWALUCW72+YA7qPczpkGIX7mAGS7HzF20RBi4XvvqP57yzSms52FeMRi7BFEnElkjHleroMSG1NKqSnTgZRvA2CziNs4UibSmUdNeVw7b7raPV29yihqOpY25SjgElOqUSwsL521ChQo0CNAjUK1ChQo0CNAltCgcBBvfHoggM3zzjy523Jep+BqWlmSIcaFArG9S/l2ZL2fiSvqQawmZ1KfurHN0K5qbTILeUV8M8OBWzd7evfF2HbGACzBL1ykKs88PC1b1vawY/adU68gYDNQVu+VFQkHlM5GVcxFrH1a32sYYtGlE7GpVxesW0EbEyzQoxw7ob8b8SnAbZKnriKJVvwm+/ts4haY6Ze8Uols3g0ptLHd65+1Fix1p8aBWoUqFGgRoEaBXYIBQBf/XZGKFWRl4cjb24L9adMVlrna9s82uaN7o/ShdbCuZniaZB+7Q4MbuwQmm71S7YHYNvql360btgUDw3mXDBnxA4Gu5HNAbYAjGzwoNhEGsAgALaPK2hzsAZdGLyBaZFQLxKLWq52OR41kFaORZQnHbJEpcayMoooVtrSNWvvv64YDVIKwqDRmczbA2DjbyvTG40plUxapI3/g4qHNcT20RI/td7UKFCjQI0CNQrUKDC0FPAlIF54IbwkpB+wVYqQkAmEnYLNYvZQxWbytfbhqEEpusEm6V+n1o/QKoUyQqBvaHu5kz+9Bti2ywCFQVvYhvaH+xq2gS8LF2HcLg0Z5CGbBGzkZgZHMNE2HBtCgKRF1gDbBuGzMcBmG/IWC+or5K3kLamQsSRl+Usq5QpKiUWL25oSWeoXfv3yLDRYMBlle+szGfu5VChaadxcb5+V0rX9YD7GFT53xASrvaNGgRoFahSoUaBGgY8iBd4P2jZUd9wA2CpAjf3dYgFY27BuTUqQCdRvswR/BMazg7ZK9fJwdXK7wH/fcQUfdsrxqxqw7ZS92mGNCqfu9lcorWSphSNsA6PAQRqkp5MOVk9y+3VnGwCbV0sJFn3WANsGwMaw4G0yoVOphERKJHutEGmj0EipXO5f30b0K2YRtm0b0A1VmTY8YGDOOHuosJdLtqfX9geyjaHZKLqyQXFhx/HatnWydleNAjUK1ChQo0CNAjUK7LQUwIYJCovggN6wts2LMgDSioA2vkO7CQWV9iq5XG47sWGUZSxVtgao/O92VWBgBb/t6KIPO90A1ABbVUMyELD5kqKNRdnCqbq8tBgNtpUoDzS6q2rR5m82wEZ6nO8yT8SFzRNtE+BEQuVyJIjKVDbf5HHZfE7pZJ3KZdL6KEm/6YMIE5tnAhQ4eA4Ahufz7Rs1OoCwiFQ+b5soslEo1/vh17ChJvfSLp7D9Zxjg0Z/B/fzLL6H6hiYEsl7woCN/8OhVAdYgaAJjlgVE45iJfRvzZo1Rg82CvXNJfk2uRaJ9KcfDKRDuD1DRaOP+nPhv80dPg4fFB38/b5RcXjDYv7+oNvnMoC5SzSYDVzZkBWeZhNclxsfFP0Gey9t9g1++Q5vNLwlssc3qvb3+D3+rC15xmBtHMrfB/KXv8vpsLO3fyhp82F4NvKLzY9dzy5btsw2a/fNyNG5PpbOk2E+r43vzj/Kvkm823nI1/Xr19vm5W4zbUsvsGGoUm12DoAt5Kh2GzabzStZX6dCsai6xga9u2qVWkaNMBuyWC6rpMChzZ6wkVI5cHRHyvZ3uVSwImn8VqKidTyqZCqtUl9Wvb29xqMFfhvihWxs0s77+DBX3H6191d0FnYsf0NP5oTPK+YK96xYscKWoPAsaI8TnbnFhw3rcabzPH7zTcV9A/HNjU0hXzKd6TYwz+eZvnn7YBurb6wuxbbwwof1ns0BNniRMfUsOWiZSKdULJeULxYVT8eVjRSGnP/CtI0Us33l9vZWE8owDoCtvb3dmM7+LwWgAAaAMWAiZw6+Obc1BwzFs2BQGNiBIN8QxA03/sZY6+np6TeIeLcrD29XWNl4WyAyB8+ijUN5BEJrwxo2E16h/dg2BpL8nAmaKgAbAjJaLGrtmjWKbgKwFTez/d9Aj8FQ0umj+uzBAM9ggG6o6RIGEOF3hYHBULdhc8//sAM25JkraMba5dJA4LIpGrhBHDaCw2P2QfPPYLwB/zsvhY33GmAbjHI7x++DATZ+DwM2b3UNqO0c4zdYK9xew04aCsDmVaodrNEeA12VhpHNA/+0trerrj6j7p4+tQxvUVdvrwqRoorlggLfMmE3NrsqW9aRRdeKJeVzOTWk6qxQGnvIsqwDAzqVSErxmHpyuSE1mAG39IEjHARwW5XfNya7w/MDO7Strc0CEOg7bF8AG7YtvzFG/I093NHRYe8jyIE9y/WbOxLxYFsmrsfudcAGgNwS+/fjDNgsYIHOrgRanG+9aB90ZQzIjsNWZ0kTTgaz92NRW97U3ddd2STet5kY2u/IqhUry03NDTboADUOgBrrqmCe+vp6A1JlimRUOmDAqFRQsRwJ5thm1kHBRDAgjA0T8zwEh3sAOA+TcZ1PAr7dKxSOFPmkccPIlY1H5PxaVzIerRtMqFXz+8Aqkf6sgfmvG3vHwLL8W9sOGCteLGvt6g0RNku9LCAEA5E5OGArDanA29o+fdiu3xQg2lkMm40Z0YO1eUeOwYcdsHnE0oGaK2/m35Z4SDcWYeNZnk2ws0cYN8YrWxtl3JH8VnvX+ykwGGBz/gxHfN1BsTNE6GvjuXkK7AjAFuwFuyHTJLA8gmJn2CIUOuvoaFMakCVZxKmnu1upupTiqbhF2cqVMFl/tW0FQCXb26d4PKFUPKFcX9bsSGzIZDqtnp5uKZ4YUvsFOQwNbVlLJGJy2QMWDoKtj6mUGffYtZ5xQVstelipyo2d67YqfSCaRhYJAA7ANXz4cHs+divP4RqA3OaOiIJMM67z5S+83wMsHinf1DM8QvpxnEdWBIelQZEgM86XMXn1UmhSKBXFsqYUjtl4VJ29PYSAFU0mVMpl1ZhIb3OVd9+ea2u+I319feXW1lYtmP+2Fiycb+M2cfw+mjBhgoYPawlSJUoFpRJBqhJHXbqSvpRIqbewecCGUIdhIQyov7OzUy0tLRo2fLjWrF5toJBUPrwBMJyn9Lm3IKwoPIRMG3wiGJgE9YbSuxyw7QyG6cDSoOF01wCwBRG6bdmHzTwBxbLWhQCbpa8WC4pX9ofYHA2ClMhtXED3cZzhG+nzYBGQwSJwQ03Gge3bGeZEuM8fBcA2MFUs/P9gKSlOi3BapQO2cDraUPPJtj5/YKS2FlnbVkp+MPcNBthcJ4ezW8IR5cEiAB9Mr2pvDVNg6FIiKSgSTklkPY+/uVLfoFhSfV2dyvmcEjGysaJSX6/K2ZwiLU1SZ7tKbHPEkyJxM4ZtFUs0rlgiLqUyynX3KEa0KZFUsVgI7EmVtb61VfX1jUMK2ABibvci27BhOQBfnnHG7wAj2gVw4ht71tM23Qbmfs7xG/djdxNV437GCIBmULdUsve4029z3JzLBmDRgSDPg1ZlIuNkPwyyZOPjDtgs+LMRwNafmBavRH4TERGyInfPgB7jVCyosUzwqnLSMuYqVXOG6DvS2tZRnj7jOXW0tWv8PuOMN5YsXKCW5iYdf9wxymf7lEzElG5ulvJZFqFJqYSybW2KJTPKx9IqRjYdtoWpYVIYFE/CSy+9pH322Ufj991Xr7z8sv221157GYhz4AXzQUi8y9zDM/jwuwM0Pwdj+3q2MGO70fNBKhQfs3C7wgDOdlX3zQstiWDrqkWaR6AUeV+EzTxqCDXK6LLheSXStqlJXwNs1Sn3nR2whSNsm0tdq44K2373hx2wuQc27FgKZwAMJn9c5nE/16L4+dvl17ZTdsfcGU7pDMuaWsrcjqF/tW/ZUsDmDgV/X5hvq21D7f6howDjNFSALVjOEcTTsDWwZbAnfDNmiok0pFPKdXepnM2qjmhQLEEqV3BDpk4iMscSFoxdInDRWJAaSRZXOiXlC+rt7lYpGrM1cPmI1JvLKhKNK55MqFzYfA2FaimLnQkIQy57BM2jaQQbHCz5e5CHLsfdXmWOeXoiv3OPR+sITHA959y55+tJuX+wNYZEJrkXO5r7SLtMV1I4t6jvDjK26OKP1kX9S4JCtScCgzxUZMJKv0ssrLIKp5Wf3FKvNxt86IGaA8HInX++u0w49qBJkzRlyqEGGua+OEtvvv6qGuszGjG8RQ11dZp0wATl+3oVIxw4bJgKa1YpXteobLRO+UhikyPpDE9aJAz12GOPWeh36tSpeuSRRywkDIDj29OAPL0IkOeFQ8KGsU8EZ3D3dPg1XozECwIMJZsNBGAmvDbxwo2tjbUqM9vYQHteMfa+oiNxImwshK0AtcEMpxpg20biV24bLGI1GP2re3v1dw/W/urfsPknfNgBm68LcW/owHTAwejrC9eRVZ4lwDf/ezr5UI9BNc/39KCBTrOaQV8NVXfcvYMBtnBLBkZTTdcNYVGvHUeFj+6bhjIlkoqQsRIbwUaD/dWibDMUAmwqauFb87T4jTeVyBdVX44oU5L61reqJVWnaC6nRDavQj6rcjSmOAUdYgl15nPKEmmrSyvZ0qJiPK6OfE55UhMzdeop5BRJJDVmzBgdfuDkyjYAQzOGHhUj+uXBBy8OQvCBtWkEFjzIwHXIbV/qE7ZRCS74mmeWH40aNcpsYk+pDAPDyZMna5/x49XV2bnZjsWiQWQPG55nYVsnUymLrNEm/q4dm6ZAuOhI4HkIfSLEqApK1MUDR0ElatmjknqLOTXE0pa4uyM3loj85aFHyyNHDtceu40xcMZiz/Z1a7Ry+Xtat2a1Wtessmo9+++7t3K9XRoxrEV7HnCAhbLVPFLZQmKzgA2F4Dm8gLbp06dr0aJFGj9+vBYuXKhjjz1Wu+++u3kJYHI3fPw+Jse6deu0du1aoyeRONbYMXkckHnVHvdM+ELOLU1HqoahNwfYBi7o3Gj1T0tJ3HbIVi4B2Nb1V4kksuYRNvrl4Xzv4/tSNCOEg2spkdWM/2AG+c5g0IRT9MLAgvMfdPs+7IDNFbA7m+Alj0a442hz/OVFk1x2+ULz8Dq2avhzqO/1NRueou48VQNsQ0357fP8wQCb87AvR3CnqMuUwTIMtk8ra0/ZVgpgcw1VhA2wFi/GrcgagK0AYLNPwUqdY0v++Y83670FizSZLKpIXOuXvKuVCxZp/OgxivdmtSRouxwAACAASURBVEs8rQL1DVjrVZ9Wn6Ja19ejLiKDmZRa9hirxIhmvfnOUq3saNdeB+yncjqlxcuWWSTun771HXv/UB0O0qAjMs2zxbBd77nnHsuEGDt2rNlZ2KOAMGzVJUuWWLSLio9eORJARmACe/btt9/WAQccYLYsa9kAegA65Onq1at18skn68wzz7QMs80dRNi8kAlzdcTIkXb5W/PmmX09WIZVWVtXNHCo6PxBPdfDJdjmG9tHmYqmhx1xuErxILrG581lS/TW4oWq32W41iuvXGzHQbZIsVwos3DRojXhUGC5IJVzevS+27V+zXKNaKnX+rVrtNuuo3XccVNVLpQVH7W7cn1x5aKbiLBFSurpzWr48BZjSpj5rbfe0t13391fHvWKz3ymP7rW09lhzO3hYyYI4G7BggV6e9FiA2kTJ07UpEmTNGqX0cao+VwA8mB2X6CJxwNDyNeyDSUzDAbYfMO9TW7V0A/YtiUBlowCj7AlNGLEMEWjANmcfRMt7Wzvel+qpW1oyTvL5J5XwFoNtG0ziwwGeAYDdNv84i28kfZ5up0b1WHjmkpc8IkXDmJNgjkaBlQv9c1MfW+cYLP34NhU0SGeFT4G/g8fJiIxZXNBXv+Hsaw/sgdljYeT9bmuuB24DZYSGV6Xi1HAGgQ+7nTawmHe6GUDDZmNVqWtcu77WoutAWxbwjuujiIur6ohRO3eTVJgMMDmEWAMSQx/X5JQA2wfDqYCEAwlYEsW4oqUIxXAVlYhVjDgVoqWFFVRD917t2K9fbr8k+dLiYTWPPS45k2fqSMPmKQ0Nkq+LPX22dq1IEWyoDVdHVpfLCmXqdPkq6+y1Mi35r6qRatW6aRzzlU0ntTj056xJTXXXfs5K5A3VAf8D2hyexL+bxk2TO8sWaKbb75Zn7niKssQw3bO5/uUoCJka6tefPFFNTQ26uijj+1vGvZpJpPWyhUrNPv5mTriiCO06x57qb29Uy1NjQYH2tau0Z2336qxe+2tM848S919WVsnGNad4b2PPbCR7cubzuCd1Ia4++579dgTj/evi3s/fUKbjldRpdyf6VXSt/Z7e43Z1r43fD17I3PEbR/BDTlwFkaJlHXIIYfo4k9dot12H2NpkV0q666nHtb9zzyl2KhhaktGlK1g3oE2vtWIqHRyYCTPLaPgPeHN498fsQueuaFdkddff75cX9+s9tacIsWkhjWNUndnu+KxgpqaI3rkkdt04P5jdNBB++r5GdNVyEd18innSsW0FG+U6oYpmy2pt7fbPArZQlBGPxonTNuheCKleCKqSCxm3omGpnrdf//9+stf/qLPffazmnLQQUpEY0FJ0lSy3+Bpbgyq6Pzptjs0evRojd93goaNHGWgbL/9D1RHZ7c9b+SIYWprXWeRtxkzZmjevHk64YQTbBLBzF7if3sxx9Y8Z+C6w03fu3Vr1zasdQtSUmwftmhCI0YOs4W7hWIuWMAbKam3J6tUOqFUsk6puqRtm2dLDgFslX1AEqmgepOnd7mR6fnYbvQTxkcB+N553p/wHn1h0Oy/k+uNEeoHxq3vQ8K97r1ycOPvDdPL0wy4j4Ox93K7WzMmW3vtxsqumzEZSgXyfHTOQzv6S6qEebxGjOhvZzhl1+ntKb/e94HXbEl7N5aqFL6PccWrB708D99SlLO9qk8BlPIq2rqBlErRhHk7C8WIcnm22QgWMBezfSrk+1SXiKo+Fbe1B/ABz25qbjGwYguxU+mgJHEipUKxrGgiGQDGeELdvdn+xdntnV2qzySVKpeUy3ZvM2CjP75GgH0jC/m8Vbvlncgjn/+eZu0Vvzyt2iuqhiND4QILvkYtfJ9XtIXGXtmWOfjKK6/0LyL3SNmWRPm51ks/wy84pGgf4I9546DI1/F6ZoF5zwslu274sOFatXIlJQA0avRota1bp8b6BvsNB1YuVwj2z0xljDbZAtXP4GMEQmUT2gpPe3TM5Pgga2BVLBivt4wY2b9fJ8ZNNheszcC4sJQfSnD39AQViCOyOULfurp7FIknjC8Yo0QyqKTGGNY3Npi8KpWCqrfuyIxVMhJsTKOx91Vto83Qiz6E1wO6887KNEcq7odK2pCvKUEWcV04xd6zN8LrP/nbCws431uxp8qeoYwl7xjqLWW2RDYMds1ggI1+eBQVmUuEgDUyuWw2oBNrkkKHzyt3EvlP7ozh//AWQQPl1MbW7fiaUI9cf9BOsMFoukN/Nyc74YEKT1eqGkIz5iXz35ebuKziPCAEWZNIbr5s/Ob6EkTYErZZNut7ivGycrGyivGipUYqUtRjD96r3No1uvYzn5HWt6nzqWe1ePrzOnifiYFTMJ02azXXtk7J4cOkRFSlvh5Nf2Oe9pxyuPa86FIpXa9FC9/Rq4vf0clnnKVUJqkXZr2sJ594TN/52pf7N9geCrp7hLkfGGWzZrsg72/6/R907vkXWYG+dDwmlfNCHsLfz82YqUxjk44+5lh19wb7BGfScZXyea1duUyzZzyro6eeqGjTaDU2phTJFZRMFKV8n67/+Y81Zo89ddYln1JftqRsOaE8NIakpbziODqVF3KwHA3WO6MHMPWxgyORqP7rP3+i19543f5GDvb19Rp4oyBdLtdnchg9nU5Q/CRI6ySdEhmN7DXw19BgMgwe8ow2t3GQsTzXAG1vr1qamtTZ3W0u2pG77KLO9natXb/ezg8bMUIL5s/XqF13VUMmo5WrV2vM6NFWdIXnemVMt+v8uV6fYrBx3VbruRgpqxgJqoCm8jELQkUwjmNR9Smv3lyvDtx/gv7mO99WXTIlys20Sbr+iYf05ILX1ddYr0hdUqvXr9PIlmFWxbSns8vmFc7RnnxW6fqM2ro6FYE/sA9tywqp0Js1eyxWl1I3S80Usf0GC9mcooooEUuomMvbtUkqUUYiNl6R22/7Vbk+06JsT1LFQlKJSL2yvb2KRHqVrqOgR6vG7tWk8fuM1pzZsxQpZ3TciedIubTKxZRae0pKNjSbvECJwRCmeCnXSuXGRFy92T4TECN3HWkvveGmG8UGnZdfdImOO+KIwMhav84AG8ozEQuq6bz88svmqbjoksu0x7i9DWiuXL5G7y1fpmXLV+q0007T+nVrNOfFWbYJJOmW3HPxxRfrqKOOMibEiPwoH/2AbRP7sEFvaGoTuWJ8AdTYt63Igtd4ANbCIMkNDS8Jy/9eatYXwaKAGSOM4k0dfp8DPt93xAy5SmEFNwh9T7+Ba4A879tBkhvWlp9d2Sh9R49v2HjbmEGLEYcw4jc2oXVQ4YA4TEOEO/RwI3Fr10BtSd95L2kazIeBgC1WDqqsTps+Q8/NnKVzL7hEEw44SKl6gL+0cmWb6jNpNdenlUIn5XpVzPbYNh8UUIolghz5fCHYYDfP5qfRqNLpBvXmcyqXWFOZV1tHl3bbfTezLd59b6WGDRtugC1e6FO+CsD2zjvvmPL0BeAO/mmTgwBfH+YpKigrAy3ZrM2LcGo18wC+doOfMXSl4nvu+OapPmd41qpVq/TGG29ot912M3p4hGywlDHa4NGKlStXmlLdf//9+xWkbaESOuiTV9rldHtHh1avXmu8Nnb3PczD2tvTY+1BKbpjgw1W6VMqVWf95XwkHlEigdoPFu4PdEJsCW8NBtgAWbaonirDbDybDDzW7y1dovrGZu02ZqwZHcyDHitOFWRH4CxwXi2VqVKctA11+yhgUC6brohEYxbddVDsc8f7YRkY+cBY8jV27lzxNYIGLisV2dAV/I6cChcD8OdBY/52AAF9uJ4xCacO+vmBNN0ieu7giwYDbD4PGAs2/4Wvdx09OtTKIMJM/12uOWB23cszoOfGSozz/k05BVx/7GCSfLheR+n8fL6/7LzzLXMChzf/DxVgszVsReRTJNinKkZaJN/lIHsnUtBf7r1TsZ5uXXXFFVJfTt2PPqX5T0/TYeP3k+JJFbuzirHmqrtdkcaURdpKfV2as2CB9jj8cI2+9HIpktBrb83XvPdW6axzPynU/syZc/Tk44/qu3/9tR0C2OBh5oA7wNA5N950s86/+DLtt99EJS1kQuYSa8cKeuqZ6UrU1euYqUebdOVjJntZal/bqjkzn9GUo49T4y6jgqqDPQWli11Sb7tu/9PN2m33sTrjvAvUVYgpF0kpHwmK7qGv4+W8kqU+RaExwQ4DbEFeaEvLSLPF//O/fqrXX3/dtt4KHHZBhfdYIgicFEt5m3ct9UGxP/jF5R6ONOYqwA25DP+gl9Cxvq2C22EEYriPuc7zfHsBaIVs5R57T0uL3evOVZwGvHdYJQLsjjTfCgFZsiWArZrYKhG0fLRoBfrS+ZhsoVo0pnIsqp5IXn25bh24/3j93Xe+rUwCwBbRekX0m6cf1kOL5infkFEfNk6hqPp0ne0bWMzmghRYKoKW8sF8iEcVxzHOlg2RqJLRuEq9WcNKndleZZobDRAC+Ap9WaummknUGYDL9eRs3BK+BGzd+gXlZKJeKtUrUkwr1xdRKokHnZ3k+1QorVE8Th5tj2Y8N00qpXXi8WdK8RGSMurq6lNdY4tNNAaYncDNGCcVC6Saz9nCRyr7DGtp0ry35+u2O243JmppatYVl16uTCqt7q4O86DWJRNKJhNav26dHn/8cWOE8847T9lcXoQvGxuHa9bsWXro4Ud15ZVX2rq7O26/VYceeqilT7IQ9FOf+pQOOuggU9YfZIRtR0j+wQCbl3vFSKXca7YyaSw6ZWuYgnVMYS8Hk8r3yQsDKTdQg9B+pr97YY9pGPh5WVtfN+XGowM493qHQVm4Cigv2FyEi98GGrRDTfMtMWoxqFGWHESH3aAb2LbNGSRePhiht62HtzUcYXPgbUI82ysVciZYf/qzn+vJZ6frsiuu0eVXXK71rX1q7+qyqHVTfb3G7jFGe48do+ZMUuV8nwG2dJI9dAIhnUxVNpCOREWkq1gM9irJ9hXU2d2lF2bP0fCRI9TXl1N7Z4dOPeV0pRNRRasEbDhpMCSJICJ3EJbwhUdLkB/uIdxjjz104IEHaty4cebdChs18BFKCV71uVCXydh+Qb75K/2Elh518UgzdAYgke5NxVsHYM7Lmxs/V3Tcs3z5chsL0r55B/f77xYFikYtnebhhx/WwQcfrH333Vc33nijzeP169t0xFFH6vipJ6q3N4h+DB/epHXrOoz/ivlAQWfq6lRiAX8+r7pMStlCEI0KR9XCkYzBAOemAJs7ItwzTcEq6MVWMfQLRxxA/tApRypdV280CyKXAeB3cJRg75vOTlOqyVRc5UK+v2ow8kSxIGLmoABau/J3ORMGaw64vL9eDMsNXY/K+dxxMOdjamZZZZ88lz/+HgdtHrV1R822zt8dcd9ggA2+A2AzrxgH6DN8BLpflvrV3BLsHeUGrdPHeYj/w3LOaRU+v6msAo+Kh9OKeZfrDdcrO4JOO+072Ae3GDjLvIy7f+Okg/ZDBdgC/LEh7Z3IgKV3MR9tfbz08AP3q6u1VZ+76hqpo0tvP/O85s2cpcP2mai6QkR1hYQydRmpp1MqZ6VoQT3ZTr26dLFGHzxJe33607at1NzFS7SQlMgzzjBj+JWXXtRLs2fpS9dcM6Rr2MJOoCBSFewbjLxH9l508aUWYYsr4Et4kmjY48+9oGhdkw4/7lDDAeApgmAE4fI90pwXZujQw6co05JSLiuNaZDQ9J2rlmvh/DftmalMo/qUVJHU0QhReylezhlgi5WIxBSseibP3RRgw6HK3G1vbzU9PWaPMcbKK1ctN77IdgUbbJuOqOhNfuecZ3R49oA7F+m/16XIV6pi0ndfL2mRu4rzyx1gRO/gRZclXG/PqThOXUa7vHU7ZbAlBR80YGNJVjqWUK6n13AMf2PvEKgiera6bb0aRwwzXATvFPvY3iKmlAJnYiEmZZoaVcjlLVBWl0jZnoMUOykViLqmzdFJgMUyN8rl9eUSrpESxkpMhR4pTlAKwB4rSNEOy9zMdazS7NmzVS4kdMjkY9SQHilFM1KyLijBGoloxfKVGrnrLiY4unq6g/BrPq9ddh1pj1vf0aWnnnpKPdk+M2ymTZumk487XpP2P0DNTfWGVHt7uhSPRVTMZTV71guaP3++rrrqKqXSgYEVS6Y0fcbzeu656fr6179qRufvfvc7nXvuuWYQYAhccMEF2m3MGLWuX79Rr95OK3y3oWGDATY3XEeOGmVP9+iap1EUCkEKEIdXKXJPqCtMV778HzZGTGBX1kh50wemS3IeRg2vyfGUMs8Lx/DyPUjCyt0Vs0VuKlE+B3FerKIaQLO15HYjLhwFcyEdpgOOCwAEB6m5biTCvx4N8HROX8TMOPGbA+FwCtHm2hn2UA80fDydLwzY3HNlla1yfQJyscj5f37zW2Wahqk7V9Lffu8HWr5qrVatXaMFb72tXC6rES2NmjzpAO271+5KREhj7FOE6FwkSGcm5dFSCzL1Wrp0qea/vVBj9xynMWP3VG9fVjNmPK8Vq1YZYNtz3F4644xT1dvdq/pEpKoIG/TzKAq84EYzNPNSzBiavv8NaR4eMTNjZvhwS/mER7mOOeBRBXiM+7jelZdHn4nW8XEaQ0MAG5XLuMaVn/P1psbQASBtxWtL+wBs3O/7+3iKJm1AGf75z3+262jv/vtP1B57jtXLr7yuRUuW6uRTTtfhRxyqrt6SWluDFOZ4NKJCrk/lYkF1pB4Ws7bZZz0p7KS6lkv/J2rk7ww7KDbah02kRDpg836wVQxeVeiz9z7jNO3ZaVqwcKEmHjjZUh9HjdhFe4wda6+gXz4PioXAw8jWMuYIzOf6x8PoTPpIIkjL21hmgM83BxL0h745bxAJZxw5D235jf89pYx56g4XBwthoECbTBFXNrx1wO+Rt0EB79YKoe18/WCAjXEg8su3yzjW8KA/TB9XMjRo1sDImhu3/s27PEIRluMesXQ95E66TUXetjMJPtyPGwDY+tMjK0slhhKwAcgoMsI32XyW1sXesBbzCoDcnffcq3nz5uu8s89TtqNHi99YqIWvz9eE3cep0Naj+nxMw4k+dLWqt3OtdhnRoHK8rMVrlmnYvuM07sjD1NeQ0cJ1a7Rw5XIdNmWK+rI9Wrp4kVa9t0w/+JsfDHmVSPrBfPYIG3oGJ+ENN9yg8eP20t7j9jLZY7I8Vadyol5PznxJxWSjho+dqHKyXnnFlc2T311QtFzU3DmzdNghk5XONCgZKaptxRJNGrerzjt1qhbOe00vvPCCMvWNOv3sc22ZAqnHBDQAawbaCmSBFFWKJzcL2OLJIMOsu7vTnIHHTj3WbLEZM6cFALMYOMc8C8WXaDAHvVgKc5YPUTJf8uEAC8CEvMTe6QdhsZiBMeQ4GSc8i6VK1LBweUh2HH/PfuEFA3GeyeKgkHZ4RtJm7Z8qZm+1EbZCQ8a2q6inXkZvXvuNH6+Rw0bozTff0Lq2NiXr08pHI4okY+q0rEXGL6oo4DaZVi+bcCfjtnysryfI6mmqa7CIeban17JhmhoaDUuRIZPKpABsreWAj1K2zinbw0700mtz5ykezylZl1NdumRr2tauXicg4aiRe6pcTCtfjKoD72c6qQkT9zfDb/iokbZ2hTTIQqmsZH2dSmUmcFnPTp+mF+e8rLPOPUeTD5yohx9+SiuXr9BxRx2pfffZW3WpmDo7Os0gzNSl9M6ihVag5PTTT7dKkuYtzxe0bPlyvfzyXB199NFCod9333365Cc/GeQOP/ecTjrpJPOkw1SD7RRfxXjvFLcOBtgwSKDbqF12sfb6hor8TepUXSbIU/aJGk5d8bVpHqX0FCVPfcHAwSANe6G4x4EYXihSAl3guRfdFfPAdBhf9+Xr3XwTSp5HxIpvr6oXjvAN5UAMNFjDYM3oWQGsYcBGGgDt5VrymX3dnRspbgx7u7k3nBoJvT11YLC+hYHdQEPHowgO2KAZY8e7PMJGRPvm39+kVavX6OTTz9L1v/+jLrj4Mk0+5FC1dbSrvq5B69atMWN/t11GaGRLo0XYsn291jSPTHV2dQc57ek6q571xJNP68BJk3XlNdeaM6ejo1MLlyxWqSiNn7CvmpuHqbuzQy2ZZFWADf6DT/gg7F3xuFHuUV7GgI8b2OG1ax7dYg3au+++awqGD4oEL6SlD0aC/W7MSI3FrMota82I2kEDZB8pkURUPfLi6XebG0OPJHENgA2luN9++/V7I20j1ErZZr5xvLBWjUyCm266QWeffZauvvZasarhl7/9nVKZJl14yaXq7svbYtWerm4Nb2m0dFbATpI1Zbku8qhUT7o4aUnakObnCtUjSgP5fWBfHNjgQXVPrM9RV+o4MHCkUbWM30499WS9+dqbmvPKyzr8yGPNMVCXrNMpp5xkVdWYP40Nmf5xBeSRbkSJax83Cg1A995cILvCQN3/HqjwfT64A4rrbN0lgK+yZpD+eJSNd8ED7i2Gvxhb+uDr1HiG74Hkqc0ODsNRucHm8Qf1+2CAzZ1NAFciNlzvwJo2t7V19O87NbBQjjsjPFsDelpkt1JxzwB4ZWNfB2cbcwo6oAsDZb/ug0qL/6DG6/+8l2IXOYqMRfsj/3jjccxiRA8lYKO4SN7SH6Uke42VIkoWMUpjQSGSSFx3/eVBvfH2Yp1x7oVq78pq3puLNO/NhRq/53h1d+NsKyoTjyjfvlbZdSt0zCETNXbsrurobVXTLiOUzyRUrEtp6ZrVemfZUh0x5VAV+3r03qIFWv7eMn3rm98b0sLqLv82Bthuuv532n/CPhq/9ziTS9miFE3VKxfL6N4nZqqtmFJy+O4qJoiUJdTHGqkSLqaSXn1pto44ZJJ2aa7TmvcWa/fh9Tpk4l5SX5tWvbtEq1YsM1nz3b/9nqXpIVuwiwPAlle02Bc4gmNJq9uyqQibO1RJfSfr7MyzzzQWuv+B+0yHkBLp6Y/IN+wV5Cp2o6c6A8iYw75XMnYac9icm5FIsBa5sq2AZ67QXuTmMcccY8978skn7XrXb+eff74BuptuuMEy8zjcNnG7wu2ZnRWwFevTKnX1qCmR1OiRu+qkqcdpj6Yxeu7FZ/X87BeVJRKKrIsTrOpUc3OjkpGEejra1VLfbMXWYqmkOvt6rOJpc0OjYpG4utoJkknDh4+wcbAsh96sGpsbFOnNrzafSD4bV2OmSR3tJXV3dumPt9yoYS1pvbf8LdWlI0olgkXVpUJUsUhGUdULWZvOpAxhf+aqK9WXy1oIrw00n663fTXImV387gq1trfr1dff0LIVK3Tm2Wdr4sTxeu7Z5zXvtde17/i9NX7cOO215x7GlBGV1ZRJafWqFZo5c6bWrlppBjBGwa5jdrfo3OwXXzIvx+5jRpuxBGKnfc8++6yVWT388MMNLHzUvXSDATY3OJhUeG0wLk488cT+NWysFWEyeaqYTw43TMOThQmNUQpdAyMqOMJebA9hY5yRrnbWWWeZEUY7qfZJ2heAmoNrAHVUS2Kysv6QMTzyyCP7QSDXcY7ILNECQLofO2KNgwuNgcbXxqJt3i5o7uCTfiEEOeBTDA2Meg4EFgIOmvCNB4rDU/h8rd/mBFZ4nAYaP25soUxQ3gMBGxE2Usz+3z//UOd/8iIde8KJ+p/f3ah161v1zW9/17aHaGpIiVoK5WLeikWUcr1WJCQdT6ieBbVtbRo2apTa1q2357d3deuWW27RG2++Zf3+6teuU31TsxrqM2ptpzBJRolUTOvWtaupIWPKhyj5tlaJZFwooQxfQkcvkOAGHbSEXymhTJoJPMRvKBHay1hBexQOz3EHB0rMU3U9r963HmEO0TdSK6Ex4wQfs2aAeeEglj7x3M0dKDUHiMgzZClr2GijFVUaOXIDSIlGjYdYt0cUM5vt1bp1a3XSKSdrr3331x13/0WFSFIHHDxFs+a8YsYQ7Tn4wAO0524jlFBJqWhBsVJeyvUEqUvRhK0DczDjfO3/D5qSUilusCnAxjvoF9HH9957zwDxBRdebHR5c958fe6LX9KTTz1tsuH00041INzd0W5byQCgAcW77DJS8996y+7F6IAmC+e/ZTQ/9PAj+qOc7ghyh4cZOZXom4M0B9HwCfKDb+jJmmr+Z8yQlYwtH88OgB4ewfO0W8bHHQMOPlxOMH47Qj5tlrm24MfBAJsbanzDczhO6xsa1N7WZksQWts6TI4h46dMmWLGRTiDgia4Yy4sqwB/ztubSmsPO8HCjgSe6bJtR6fEbwFJd+wllQgbIM2OUAESxsidTi5j4N3tVXQEwJaNly39MVUsKV2MWKQtbiXx4iorprsfelxru3O68guXq71XembaQj0/+zUdsP/BKrNuJx1VJFJUfs1ytb23UBeeNlWHHjQ2qJ+elAoUbyjl9Mbbb2n5e+/qrFNPVrJc1GtzXtBLs1/Sp6/8vErB6rAhOTaXEvn7G67Xpy+5QOP3n0iVPetzMZpQV1m6/s5ntGRdr/acdLR6ohn1leLKE7go5pXv69PcF2dq6pRJao5ltXtLWvuM3U0r33lbM556VPvvs6ca6tJauXK5Le9xmUKxkVi5UEmJpHqkLPq2OcCWaWiqFPeIWjG+AyYdYDJr6btL9MADD1hKJHYH8xq7mrmLncicPuyww8xhydzDNoOHuBYdivMTnUvWDPY2ctuXCiBLFy9ebOcvvfRSe+bcuXNtD2Yibuecc47JWJ531513mm3PfHbZ4fp5Zwds5UxadfmSorm89t93giaM20e7DhthuuSZGdMsk7CnmNfkww5RqpKp8d6Sd7Ti3fd08AGTNGx4s8rJuF57/XUr4jRmtz3UyD5+ubw6O7u1rkKXfffbT13d3UEdir5yazkO+s9FlEmSJiWtXtmqX/36Z5py2EE65rhDpFLWqkAiDMp5qgvGlE4SHo3rvr/82fJj//rb31IkRkW5iFq7OtTcMsIW7xUU0YpVq/Xy3NfUxEVTPwAAIABJREFU09un3nzBUnj23ntvS2skFFhfl9GY0btoysEHqak+rWxvt5oyafV0d6q5qcEMqfVrVgdRoGjM1m4g8FGmDDYd2XPPPY0RUb4cMCAGGdd8lI/BABuKligEdPjZz35mhvvXvvY17TthgpFl2rQZ+sMf/mAppXw8ZcUNNleUfGNkAaAxZDB+Pe95oFHHvUxw1iBecsklNtacQxCQVsvaQ8bs9ttvt+d94xvfsGeS6oVwAuQxWb2gCYYzaa/0g+d5mtmOqBTpKW/hSIMrP77d++7GHAYEws7W3cRi/eCMfj/00EPGkxdeeKGlSqJMiUZh+LAm6eyzzw62qsjnt7hYTtgI4j7o7F5nTwPkPPMkDNisYlS2V3NfmqM/3XqLvnHdtzR27300Y+YLuuX2O3Xddddpj732VK43Z4UpbF1QMdjkNCJS65JKpVNWYQrhS38ZrxkvzDLPHemQ7DVz0ORDNPXEE2ybie6eHjU1NVu/fT0T0bpqABtFNjBMAAW+wNlz7N2RYOtuhg83A5Fx9MXTbtB75Jb5wHzxqKUDroHAmf8H5tyHUyI9vdUjC5uTPwBExoXx8MIwyDfaybhBd9rD7xhaZBPwHTipTtGSpUu0+J0lUjKj8fsfrDPPu0ANzWndcc8zeumVuQZWTz7hOE0av7uiRNjKOTWkooqXcirmC+rJU2lsQ3+8rcz3sMG8qT5QuYz2sJbYUmuyff1RcKcbFdNoL9H8V199VWefc5716c35b+vqz16tWS++prffmqcTph6rsXvsboCto73V5MEF53/CwMD9996n116bq09feZVFIJ9++mlLs7nuG9+wyBtj7VF3j8zDG6zZdXBG+xhTXx9oawgKBQOCtItvjBE2rSUtFRnFveHonRfSgN/QNTwPQwdDxrzsleppjB9/7+yAYjDAxu/miGlvt3mzNyXMJT304IPmINl3wn7mWIBW8C2OjPD6Ua71SBt8wjzkWSyHgMYYeg52kQvMVaexp4sPlL0Ovj/Ken1L+1YqBOsHWZ/OQTqVZ3Agk9HZQ7WGjcIiADa+AWypUkQJ9t2tAKii4rrpjruVVVJXff4Kkdz8yBNLNGPGSzp48pGKNjVobTKvYrygvlXvacUbc3XFuafrmMl72bq0QrGgKFH0Ul5zX3tF7y5epPPPOUNNyYRefPZZPfHoE7rub36gopW9HprD5z40Hlh05OYbb9Al55+rCexLjO2ruPLRuDpK0q9veUJvrejQwSecrfZ8XH3luCioWsxLXe3r9cqsmTrt6Mka31zW0ZP31CMPPKLF89/QJRd8QqOGN+rOW2/VMUcdYYGHAIeXraAJgM0+JINHygbYNld0pLF5mMnnurqU7e3W1tFm823ywZPM9lj13ior0IdjDD5BTj///PM2Bz/xiU9YVAy9hO2GLgGEcT+6FGDy7LRpVvqe/ZRdHiJfsXWQjZdddpnZHnPmzDGnHTKC5yBLsNmfeOwxyyxBzuA4RYa6/h2Y3bSxEf4g17Apk1ZLOaJkoaijphyh1jVrlVTU9MGLc+Zodes67bbXWB1z4vFWy4M+L3/nXSsscuQhh1k/u/p6NW/+m6YzR48eYxUisaO6uno08/nntff4fXTs0Sdo0XuLLRMm0pldU65L1quto1vNTSNtUeT69e264fr/1cWXXKB99t5dZRY3ouzr6qUyuTUUJQnIN3vGdD3/wjR97gtfsiIjsVhCXX1ZK/Xd1tWtGMUIIlHdevudVtUrVd+ghqZmY5JHH31URateVtTokaN09FFTlEnGbLPu5qZGpRLkREcsZzkZi6qOSjWdXWYgAjz4ptMUB2ABtAt7QAcE8EXSQzOVd46nDgbYoBOTDKX5wx/+0IyS73//+2aUMEnuuPMu3XrrrQaiAAzQzCNAeFRhHoxKlDCTlMkFWMMYwSvO5MRYQVFDd4QDihYQAkj5whe+YPch7DCwHnnkEVtjiAHKol28NN/61resjexrQnSBFFjejUEAkKM9tBGFToidMecchtxQHxszWt0zb7xXV2cK0tdv0E/aiaKEH+FRrkHgYWxDp6uvvtrazvrMZ555Rq+99poJU4AchwNRT0ndXB/DXnyEq6dsMbb873MkDNi4x9ew/foXPzeeOPu8T2j4iFFasXK1bv/zXZZi/Mnzz1e2N6toLCjqQDoHRSDIpc/2dKu7q1Mtw4b3V1yknzf8/mbr/5VXXWORNlKm/vGf/sHKyrd2dJpSoLJhJp1RHxWSkrGqABu8ibcvvAYyHBVlPDAQGSuuQy7Qf0998/HyHHqUEN5A+NzBOOPImPDBQ4iCgv/cEGUO+GaojCuRH56DUb+xynjh8aQ9OJc8msO4eOSOftAvruHdRPD4nHLKKUbbFSuWaeoJU9XKmq/mkTrxtLOUaW7S9Nlv6p3la6yAB20889STtM8uCXW09anYtU7NmbjSIgKUVa6c6C+rHy6O42logynNwQAb/fnt9Tdozdr1OviQw4y2xx5/gtauW6/Zc17WxAMOCiKIkbJOP/UUjRk9QrlsXj0drbr++v/VYYceasbAA/fda5kAF116mUVLSbFEAVKQirFirnjqMXMPYwG5xPhyHR/6wjXMCSviUknJQ8Yhy8gI4DcyALgfxwPOJmjhazr4nXcxZzFCAHhkCAAiucYr4XK/O3GGWkZV8/wtAWz0xau/AcygPQ65qVOnmkOGg+dg2DGPuAZaMCeQd+gU5KPrIrzvOOuQ9chCxh9D0ddwYvDAi1zPPPJqzzzTixIgR3jPzg6IqxmbLbm3bX1rUDK+ssbQ1wMxDq4Phg6wSflYYDInSmUlrIphKQASrG+LxHXvQ4+pvaegK666Qr156dmn5mnO86/q0ElHqFRfpzXRPkWSZRXXr9LSV+fo6vPP0iEHja/sCVxQORpVKRbVGwve0ttvv6WzTz1ZmVRCr73wvJ544kl96Wvf3CGADf72dfNe1v8PN92oT116kfbC+V2UegsRRdJJUaLvd39+QfNXdmm/I07Q+t6SCpGE0hmqakqta9dq7qxpOmfqobpw6l66+Ze/IoVFX/jsZ22Jz4xpz2nZu+/oa1/9Sn8kmeJO5jwvF01WUts3yJAI5t6mUiIpSBKk8O9tsvKZ554xWXjZ5Zfotttu07uL3rUoHrbbvffea3PR9RvzngJXfKPbsU94J1lsyEX01J133WWROObs73//e8voAOjdddddZsNRfwJ9eMcdd5icBIByP44b5Owdt91mv7vD7cMG2BId3RrTMkyXnn+hXp71ono7u8yWY/nX6/Pe1Elnnq765kY9/uSTZkeP22Os9h8/QaOah+nBBx+UEhFlGuoND2FvvPl6sNZv9K5jbFsGgB4O7yeefkbvLF2qSK7YUWb/hhJV3aJJlYpR85r/9Mc/1jXX4s0cb/t6lYsBw5KQSQW4OFgwLr0wY7pmTn9GX/zyX9nCSIpY9OTyqm9oUq5UUoRzrM9Y16oVK1fZPk2jd9vNUqOCNCRAQb12GT5CzU0ZpeMsysurVCyQf2XvYZ8g3xxxU5v0bolw+yheMxhgQ8EhYDAyMPJQjNzzT4C3pUt17333m2AHwPGNcr322msNLN15553mAWXfPCbxqaeeaueYkChiDChX0l//+tfNa4qnGqOGycrzvvrVr9q1rvSvv/56M3ovuugi/fu//3uwr086bSmt/IYChy9gZhgXBQSQxHiaNWuWKXl+R0h98YtffF+1yqEY3zBgCwMo0rsApNDzjDPOMCFEnwGf0BtjDk8Shj1jgEIFxLL/IPRFAEIT+vf/s3ce4HZWVd7/n37O7fcmIYUE0ggkoReVXqWpiChdqgxFrFjmc75xRp3RGcex4agIAiof2AUUFOkIhBBKEnpCQnpPbm+nf89vvWddXu4kOTE314B6nic595zzvvvde+29117/VfkOBkY7YcC2LePxgH6uBfxBI5gifYAhf+pTnzLBhsQB0JrxMA5ou3DBy7r++9+z36ZMq8RN9fZbDCq/X3LZh9Tc0FwpvG7JmwdSKPt+dBcz9jXM9pprrrFxcTg8/MgjWrFilb785S/bnBPLiiCxoXWTWhpbzKUvnUoMCbAhPAKMAKQOujyOza0p0JgX8WYed8Zndxd2jR78jbYARVbbMBYbyH7nVjMOJNzyAGZufYamrAOEfuabPYGgyR5ya4EdrqFsjG7B4hkcfvzjIEVQxfrq7iXhZA/sJ8A164w+1zc0aNbsx3XIoYfpbUccpXI0ozlzn9fCpSs1bsJE7XfATK1Ytk5TJo42V6V0JK9H7r1bbetX6uRjjtLTT88xwHbgIW8zJQwAwxUNnqWrmkv5lgBbPkdJmJjiiaTWrN+gOU89YxnlRo3dVXtOn6kNm1rNne61Zcs0dtx4jR2zi3K93YqUS9pj8u7mejv7icfN1fbkk080YYD2dt1td7PM3HvfA6bYIUkVvIK1jas3tIcHQTfmm2tR9rCe2YfMObyMveYWNujY092tr3zlKyaUAOA8QzE0x9UPmkMT5h7FC8IKAI81du655xpgA1TzXOaa+9iDnu11W/byzrimGmBz6y7v8Dx4Gko2tPBXXnmlUukgWzDrhr2D1h6+DK1uuOEGU/wQV24Z6saNsz2AcAevZw/9wz/8g4FfeCP04hkA8sMOO8zOK/YEe8qTGqDcYK+jBITuf+uvjes36Pvf/74pMqEbdIV/nP/BD1qmbc6H4QJs0N6zRNrZYKn8STVftHTmxaj081/doc6uXp139iVKRzJ65O5H9OrcVzVlzESl0xn1q6BYtKTOVUuUzPfpHXtjdd3N6rEJZV46pUImqYVrVunlxa/aOBvqa7Tg+edM/vjkp//RXLqH6xV2xQ27yXNm/vjHN+vdJ59i8mwkkZYSGfUppfZ8XL+65xGtaMupfuxE7TZ1hlauXmv1jUnatfq1BSr0tuuKs4/Xwz+/Sd3rl+mcc8/XHtOm6Xe/u9vkiosvvtiU2P14tg16DWTmRC6OFFUuFreaJRK+BA8l1GTu/Lkme+y9zwx7ztw5c22Pclb97Gc/M/4Fr0RGQZ5A7oLvouBiv/EbXlF8Zi/Pmj3b+CPWMjwiUKDgBYUymn3vsiS5KM466ywdccQRJiuxj5EJnps3z2QW9r0r0eA17sUSDrfZ3BwPh4VN8Zh6lLO0/jOnT9XHr/6wGjO1ykViWifpxof+oAdWLFY2FpHaOnTaCe/UzKl7avGChYqUypZE8bVlS/Xwo3/SYccejblL995/v3q6ujR6xCi989jj1NPWYV4iGKMbW5oNvKL8I7Y7VZOxeqlPPDlbEyburr1mztAvfv0bc0WP5Es9ZiujXhJuS4D4ttYOfefaa3XhhRdqjz2mBIH8BtjIxhVRsUCmLYrhSo8/8ohmPfEnXXHFFVblnc1DET9SNVOlPZJIWFp/kH5Pdz9wX/UNCcsh1J0lYNa+Cmo6YfUtZC37HNnrrFAqlVMJK61UJB/OzTlcm344260G2ED1ACgECxg7wIANizADOFu3PggkR2DjMEa44RDlQEa4Acjh64wWhk3GIUzAKAcBTIv2sZoh6ABS0KIgOPE3h/fll19ujIcXz8GPmc2MgMPzAXN8BoihtcXSB+PgkEFTgaBGyQY08wi/uOohBNFPBCuA33C+XJi3PRLKiIkAghAHKMJlF6EC8z/aJoQLKybc1DQgwNF3NMu4Cpx33nn2vbtbwMwQVnAF9cQNnqEp7A5UbZyABubiwQcftDmmL8wVtGSuoFe4LiHXPjl7ls4960wrSs+c1tU3Wmwhc3DRJRdr2tQ9BwAbz+dgDu9HZ64UP0aARXhGYGBezcq0dr3148QTT7R+sKbiyYQiqAYrAJD53N4YNtYMApxnOHWXUndhCcducNhwsPDucUjukuhZO93FFF62uRcuR4A3b5/nci/z/fLLL1vb7irLAe8HvrcVDmLnO7f2QUcOTWjEnuMZ9I3PnqiBuYOmxHbxGwx8Q0ebTnr3uzVml3F69MlnLcB/4tQ9NWPvvVVTJ+V6TImnuhSxJdKC+XM165H7tWHtCjsUT3//ORq/+0QTgHmOx+vRN3fv29K6Q3AIAzb4tblEpkkkE9QXpCZRf6GoF158WWs3timWzOioY45VMpXRhrY2PTvvBeMZmVRCz86ZrWKuT0cd/g4r0P7ErMe08OWXjB6ABOJXH3j4EVMiLV+xygSDxx/7kx32KHrgbRz+HjOH8EDcBgICwgrt8DvgAL7BnoPuzAl9xTWcZ7B/8QaAj6GEgi4olBAQWb8IHQjHWIngiXx2l1badOUU74Pnv9oe/kv/Xg2w+X5yvgTfAsyy1j/9mc9Y4gjWJfsAlyh4Cjyf13e/+12zBsPfmQv+5oxBo/6DH/zA5ox1d/3119tvAGnmEt6DcMe5Ay8BXMNn4WEohBA00fx/7nOf+6uPUa+2HnBrxlMJno+ygnXJOTRx0iStWb3a+NRwATbqsBkf51+kENRfA6zFAWwlK6b9mztu10vzX9TRBx+hmlxMC598Xq2LV2tS864qZ4uW5yAZK6rY2apof7fGNNersalGvbjxF3MqNTcqOXq0FSxe092pvfffT23tm7Ru9Splc/26+qOfqEaiIf3uSjvn94CfcJbIXceM1phdx6tYjqmvHFU+WqNiukl/fPQpre8pqXHsJLV39xmwHdlYo1zHBk2fNFaH7j9dr8x5SLH2pTr/jHdp/B57mYvnM/NfsGRdp556stavW2c1UP28tVhjBf9wAyXXQ1x5lUv5LQK2fLFsst5pp73blCr3P3i/7ZnpM/Y05eXD9z1syid4J3vKz3POa+SFb3zjG+bGyBoCmHHOAeTcg4DcFOxPnoHHFPS65JJLTHmJxQ55zhVgyKHwbs42ZDr2/p23326ukpzhtOleDy4bVZN/hgOwheuwbQ2w9cciGpup1XGHHaZsV49eW/Cq1WGbOnmKRo8do/kvvqAJkycqkojrqWeetti0FrwLDzhI/Z3d5qlAvo/axjodctBBlvQRMAwt6usb1dbZof0OPECT95imO+6804BcJF/oLQdECtIdWwxaW5uuvfZ/dOGFF1cAW8lwU4wTuUySiQpgS2DiflBPPPG4MWlLsR6LWwrKZDqlzq4eS7ucztQolkwY0CNzJBkjyRaXLxGnRP0mgBpF4vOc+JbcgKxmuF9Zpq8KWDOhv6JNCWt2hrQj3+I3VwNsnlQBQeJrX/uaCS4IGWwuNurxJ5wYxBxNmGCCNYcs4A1NPlYS3jkMcKMEYH3729824ZsNySZnE2LuBtyTGAQ3GbSjgBk/eHmOvwA3gD40p4B8BOjvfe97JojSLtqez3/+8yYEkAgFBslBTh8ZK4c8/aBtGME51GkZxlcYsA1+DMIOwh/gFqbmCVEQ+NhL7CO0yJaJLh43IQetCgcqDNCtUwA2mBWAzQNv/aCoauEI1UHx+CzmgX1DwC/zjzAJGABA8Dd05DMuqMSIXvOpT1lWMbMKkKJ340YThg46+GCdf+4HA63pFl4eLwFIQSGA1oznMm+kzP/RzTebxQptPJp1QCUlN1o3tlkdMI/12V7ARn/JkuaCJxkpAVWM0TWim7Ns+XfsC+I/iINifrCsAcCYLweB7mbEemM9AGoA6CgdPB4KkIBgyhihBfSHBuwfdyv04PFwDBx7g37yHXNCfxC6PGaU9YNLpyXDaGzU6lWrDBizXyihcOrp71eqpkZLlq/Q3HnPqaFphI4+5jjV10ir1ndpzKh6dbX3a0RDWv3dPWqqTWnZ4oV67OGHDcyMGT9e0cTrByV9ZU4ZAwfr1lw6twTYKGpdyOasMDepiR9+5E967qUFmjxtuln+9thrTy1ZsU5z5z+v2rpG7X/gAerr7tSzTz2hkU0NOuGYI5WJS8uXLdEvfnqbeVtg2Tr1tPfq3//9y9a3mXvva67VADbW16WXXmpKHVyPXcED/QECHIzwpL332UdPzp5tIAxX7XDMG23iPYAVCIUFyhUseMw19D/jjDN04403WlwmfAvwB4iAl2LRpi32O/PE2nGwW82ldBhZ1zY1XQ2wuTuwx42xNwCu0BrFHnGJvkao2Qjv+eQnP2nP/upXv2ouUewZgDK0hFYIatAaYY5z4LbbbjP+gLIDfgo/RKnFWYNWHyEPYZL55B7mAJACv+S3v+VXX09QtJg5Yc1yfu4yerSKhYIBaH4bTsAWL8YVIfFJtKRCrKxCrKBCHFdJaoSVdM8ffq91S1fo/cedrJZiXC8/MEsbX16i6SN3VTyaUBcuftGSGmJlxfP9Un+P4qm4shFpZU+XFm5q06HvOU3Zmjq9sGyZDj/+mIE6bChxPn5NsNaG67UlwIbygLT+uGtPmjxViqfUX4woq7SK6Qbded+jem1dp6btfaA2tncKj4OmdEyTRjdo95G16tm4SstefFqnHLq39j14fy1ftFS/vOMuTZo2U+naOjtHKBlAYjBi1gBnZStQHlWJ5CaVuL2EclUBG8rwI4883GqqPjP3GTtzG5vqjWf+6YE/2f5EjgKMcW6hrOLsI66e8wlZDmsZZxP9QkZhzwO0nn72WbN6ch7iKQS9WIPcg6wDyMN6xLkK36VteA5yIvLmfX/8oykaPF7b4jFjMTuDvKTO1uZ2RwC2OKFauagimIUrhbOxsGXzvVu1sPXGI9q9ZZQO3ndfvTz/ea1fvUa57l5TVh9x5JFasWqlWrs6dOSxx6gmWau2rlY99+xcpaJx7TlpikaMaFY5HtWcZ58x69vE3Scbb4RPrly5WouWvKZdx4/X2AkT9ODDDymZSSuSy/YFFrZy0WLQMLGBmr/z7f/RBRderGl7TMN9VqUihCT7TwWwxQIL22OPPKSnnnrSDjGInAeQURQvU2uIPp4IhDI08HZvoWTZ50xgooZTBShSKwgrG2AtWKCBG+TgAy/QMpjOwf53jf9wbdg3e7vVABtzwAZAkECriTYbgfALX/iCbZjLr7jKBBFcsthEHKz4H7PJ2dBoM7GW4fKIsI2QTxsISe7yhykcCxygio0LKOQ+rC0I/mhfPIkCmxCAhhvM17/+dTtMcOMAFH7xi1+0+zmwOWiwsLGR2QBY6ziQcMdEuMLticOaPv8lX26x8dTf4Wd77BTCGoII7wghbr3BMgItSe7i5Q7YnFgdaQ/GxrgtpqdSPLja2BxQsud4nj/Lk4AE+7VoWm0YLe1DUzTZuLoef9wxBtDDgf/0DbcvmCyC01YZZuW5zOt1111n84EghfBKKYl5c+cOJJ9BGHYQ6xY/jwvYXsDmsVaeUIL9wPgYjwuSCNBhEOKJZByU8Q7gYv0ChDwuBhp6vTNoEHZPhGYoEhDYmUOAGUoMLAIAHa/FB1igT25p8fTbPIOxY53BEstzoAl0wI2P/ntclhcbbWxqMnAKsONATdc0aOzE3fTQrKe0aNFrdrgiEDfVxtXZk1dvd7eaGuoVKRYEiFr+2mJN2HWcamoyVpx1yp57qlwoqae/b6CshCV2qrhuuhvnlubfAVtrR7tGNbeYaxMWNgNsCBq4TkTjuvW2n1ox2Q9dcQWhHlqwZK0en/201m9q1eix4238vV3tpqzbb8Y07TFpN8uEFinmdP0PrjNeA8Dad7/99ZNbbzP3ygsvusT41zNPz9FLLz5vgj08Ab5DPADgGcUJaxFLDTSFt8B3UFoAJJgjt5qzd9gP8BTmBuBAv9hf8EvmGJDCb+wxtNO05VlvAe+05TEYHkT/Zo9jqwbYGJNnR4Ve0JB1ijCGC8/0GXsPJGcBIACYEeCgJ3SH1wGWAcGACngLZwt/A8IR6LCwsXZRIGAx55yhDTT58H4EQKyZ8CwsbPBR+BPJqujD3/SrkksAGnjCETJGAtg4g0xx1tw8kIl2R2aJxMIWL2JlA7BR8alsMW3FeFn5KMmMSrrr9tsVy2V16dnnSdmSNvzhAa2YM08HjpssNTSov1RQT7FfI1Jxq1Gm9k1SJiM11ItSMffMna8zP/5J5VJp3f/Ekzrp9Pcqlk5p7tNP2xq45jPXDOv0Oy/kIdDOz1jW6E9+8hOdf87Z2n3KVLN6kVSFf6S5+/kfX9Lzr63S7nvso2SmRqNHNCjf3a5p45q0csF8PfrHO3TZOe/TAfvuoXmzZ+nBx+Zo/NQZ2mufA/Tb39+j8WPH6ryz3qP+rh4rkB0D2KqkIulGInGLicN6kqhiYaMOG2cL4AD5KVfI2Tg6u9pNjtu4ZqMpKtmjjBXehlKdPQ6PY3+xjriG+9i/HjPOWdnV02P8geuQMTjf3IWZ8xMeigxE21zvZbY4Z1DubqrEH9tZwRouFKw9+Ky75w83YItFokrnY7IK51Hc/V53idx7xh5bdInsSUSUicU1efx4rV25RoWeHuX78krGo5qyx55qbd+kpStXadK0yUpQD69cVOvqDcr392nXkWNMMZHIpC1pGFY1aDt+3AQ7ize2blI+V1CmtkYtu4zSi68ssIz8kUJ/1ixsADZ8EnFH5AD+7re/pw9edLGmTKaI6yDAZhXdZVlvHn7oIc2d+4zFKrlmmclpaGgK6jjEggrq1BlwIdQsbKWSxbQUMafjXglgiwQAjJTOJDlBs+pCF9oFXm4WDgDb6zE1w7pr38SNVwNsnqmMzYZmnkWBcAGzQ1uy/wEHmVaUTcYGZaN+6UtfMisJAIKNykGMJonNBOBASEVA5cUm5SDHDM6BCvhgg7LJ2cRYzbDCha0dWKRoFz9tAATaU4Ai7o5scIAChz3vgD2EWhgkB7UL2RzkuERVM5nviKkLxxvxNxsKBsOY3ILFdw4MPFgehoRw6Jp86IjgglDtggY0dUEQAcZdj7ytbek/fXLrDdez75z58pm5gHnyTPrMM1kXaMH2nDZ1AERRj6pj00Y1trQoV0lywVoJvwa7JHt8JO0yPwi8xARR48+KYJaKxqihhQMerqVPfKa9obhEOqjw8YcBHM9Baxi2aLmlwL/jM7RGsIZGblVyvuMg3LI2mGY5AAAgAElEQVRkVookcw0HG2uVte91AlnT7CNoz7qmDdp0wObz5KDNFSku6LOn2CvsQ57LvXz2sYXBninHFNN9jz2lles2aGRTow479B1qqYurta1T5Xxe43YZoQ3r1qu+NqNkPKAFbdFvCpj39veppj7IpEvf3NLnY/a1MhTAhlLuV7/+jbqzJZ157vkqxzNaunK1Zs15Rq++tkwz995f9Q21lnxm3OhR2mP3cVK+T9nudrU01Orpp+bo5Ref18mnkhRnpF5asNBKupx40ilmvcZtctPG9RZfy15EyHerNHSFb6GQYs/xmbHCTyZPmWKJqjzmDOEAPgh/hOaAMXgbVlWUEAAJ/gao8ze8E2EYkA5wBBC6ddxjKFkzb3WXSE/rD33QhMOPCXGYP2+eCXa4xMLvoBsKDIAu65h9wTwAmF2Z4UoplIMo5fgeCyg0ghehzIHn44EAr+KMgifSLjySM4Azyct44AHyt550BO013gF4GhjvD9WMhJ7DC9hkYI2MjsSrlaKACZKEYAkK4tnuufsulTo6dcEHPkDaR62+4y6tfnae9hs3QYnGRvXUZ9Ta06WGWETpckH5jqDearQmo9XdPZr96hKd/qEr1Juu0aPzn9MxJ56sZE1Gzzz1lJ5/fr7Ou+CD23JEbvc1YcDmcb3wDNYiSUfO/MD7zUuoGE0qW4oqi3U9Lt16+9N6/rU1mrb3wapratLee2WU75LmPfaoutct1eH77qGTj32HNq1fr+t+eLOaR0/QMSe/RwuXrNAf73tA7zrlJB164DTFcmT2zdo/4ntJ4Adoo3wLr2g0v9UYNgpzwxdzuX47k1KZVOAVUsrbHp26+1ST21xBCI/zxEmc7exRvnNFlSujzZsOJWYddVo32dnhMWhcwz8UBZxhnK20wTOQh2iLfW4ukLjXkbQmEeAEj8mnLc/2O5yALRcpaGsWtq0Btu5EQMdUPK50LCnl8ooUykrGYwa2sqW8MvX16itk1dHRqbq6Wo1qbFGREJBSVBs2rFckk7S963Il9QuhAbQaMWKUWtvbVEeSxbZ21dRlFClni+hHgjgVghxKRXV0tuk73/m+LrzgEu02cYq5K+LCSJIRcFORdKuxkmLxqO67915jpqSKh+DuA8tkw+TTiXSQNahSjNYTA9jkZPNKZGosyQH1KUCgZL8BvLkg7ha2wByMUiEuyny8Idi1Elez3bvyLXxjNcDG5LNJyKSJEA39U9R+qgR2QkdozeZgIwGm0FQT44GQzWtz6fOZP4RuTwXrGRuZc+ae9hygu7XDBVbWCBvWa7lZXFM8PiDohqeDdmCQri10yxRtVXMX3FHTylihc1g4cM08zxj8N2PzZAMIx16eAMbFIYrZ2y0+ME+0K7w7iPPsg9s6PgeN9CWcNdLH7wVUmRcHDwPMtb/XmAVrhHuLuay985k+IbBtDbDxu5eC8CQfHnNlWd8yaWsLxh22OgzQMxa4j22vhc3cuLeQzIPfiPOC97DmXHjmnc/hgGbm1uMGwxY6LxLq8Ug+1w6yoA33QmOsOuwD9gDrlnlhrh3why1X7krqmfRwL/bMlAj/vKBtOEMeNKTPDgzaurN66Mn5mrLXTO01bbIa0xHlevpVzvUaACKbWn9vt0j9zR7MNI9QtqtX/fmCGkeMUG9vn0qlgsrCLYkY5qj11eO6/BCtDtg6NbK5SfEBC1vcfPmj8YjisbTmvfCCnpr3ouI1DWoZs6vedugRWrpitf74wMPadcIkzZixl6ZObFZdIohjLvTlDLQxBlyBujralMrUqqah0Q6+3mxOmXS9amsz5jbf0d4aJPFJpbS2Ut4BYAHtUJDgFYACiv3FGMftuqvVvWHduQWMNYoAwzyguCAJCb+FkzYh8MBH+c0Lxzpgd4t7mNdViwHcUfxpKO1Us7A5kGcsrEdoyPmBpZd1DmBjXXMOOH/0jJLQCB4Cz/PfAmVuw4BgRt95hgM82vcz32UA1r0XKzclUMV67gqNoYz/rX5vrj9r637wC2sbylfW+3BZ2ExmjAQ5Bix7OG565SQowiQyVOq//92divb06APnnmUJC9ruuksr5z6rfcbvZhY2AF5vIad6kCfIL9dfyVsQ0bpsVnNXrtGJ539QfbUNmvXySzryhHcqVVerp+bMMQXLh6+6alin0JUurEnWMmcd69q8jX78I33w7Pdrwu67W1kVLF9Y19pL1GGbo4UrN+mk009Rpk5a8OIm5To36YXZD2j3ETX64qcuUuvGLt18y62auMcMTZg6Q1kltGgZqfKf0PFHHaYzTpiuYm9ZmWKvUuU+RRHEzWgRV1EJixEkY2SptOWkI1jYgjIbhcBa1t0Z1FPbZYQppPq7gjqlfOdKSmQtZBbkEjxGOKNMlk+n7Z97GbEP0zU1xiPD8pifkZyZ7Gva8szu7t7v52aCIu8VZSHvHoYAjQfLHpub6B3hEukWtsEukSQd2WfmtC1a2DqTMcUzCaNNY7pGhX7AdUTpZJChPp5JqauvV5n62uBsLRQVLZbVuna9xu0yOgiJiUUsjhPZvL+ndyArdH9vVlky84Of4jHDPPFUUpFSt5VflyLEHARJPto62vWda7+riy66VLtPxm0mAGy4QPIqlqhNU1IkEdODDzyoZ+fON5dIW9TEnxLErYjWrluj3m58rFOWPcUnA6GGqt9s6T4OxULRLGoWRIngROrwWMzaMUHLAi3/Dtg2t2CrATY2JZvFkwqwiYjzsY1fLJqVE5oDytC0EPSICxAbFeGFl4NwNqofvC7sOiPz31i8fIcA5IDDEzlU46xh4MNmRVgenLrf6yI5I91WUFPt2Vv63UGm9y1s0XPBAsHOg3Bhcp54AHcp6O5a/MHP2By42t5+ch+HCbT2FPfMPcwYOvp88U5fHejEYxE7gGDSlj6+u8v2XTIRV21jo/q6uoLzOGThDveRZ4UFNLTwtJ9Cy1SpCUS7xKf6Z5+zUhkmlB4SYPP5cFBE39zq5nPnv/FcDiUfu1vjjF9Vaqsxp04rt2gZz6vEpfl69zaM6RaLJhwBDlBCQHfibLA2VFuf0I/9Rrwme4frcQ8LC7gOhN2V0w/W/mJULy1v1djxY9VIgpGugqK5XjVkYooVspYav37MaAmQ09+vmuZR6urq06aObo0aG2TsK5VySiSDOmx+EG/rGkTZg6sj62tLgC3bX1RDS4uWrlqvpavXq6MvpwPffqhQSG5oL2juvBfMajVtYq2Ul7o2dSgTL6s+HVe+r9sKriP+9fRllSKrXL5ga6a3Byt3RKkk8YcdtrbYa+6+59ZQ1iNWN4q1emF6eB3r3eICK+CBPQA94C/cixACTZgfz/7Ib+4my7UA8tFjxgyAPwfkrgzZlhiMbaX1cF1XDbA5iHe6OE287lc2mw9i10U5oFZ793MjzM8H95/foLFbgPjdEzX5fnPXcPfOYI69dENYSTVctHlLtBtyicTS5lYMaOeKo+ECbOVIUcVooNCLluOKlrGYJBUrB0Wkyfj/m1/+Qh1rVuncd5+k+qi08KEHtO6VFzVjwlg1RTPqbc+pJppSrJQPwF+S9JJZUyh3ZVJ6et0azTjheHUA0pYs0QFHHqZ0c4PmzZ+vRx5+WF/5l38znDdcL9Yee8TlGwdsKNdu/fHNOvSAvQOrc12jIukGtRUSWt8b0e8fm6ueaK2OPPFwLV+Z00MP3q+08mqIZdUQ6dM+k8dq3do1ds+hx52itW3dem7BEtU0jtDcZ5/WAdOn6sozD1S5V6op9SlT6lGilLVhmhUzAmCLWjwf/dtSWn9c0vmdTOzGv3q6Ak+gmGzfUjg78LjoH/Du4Tr2MGvIvTI8SRrfeXZdu79SM9bPDj8feYa79NM2+9UAXjo9oDgz2bSuzp7tZxz8gBdtb4t3wo4EbO4SGU46sjXA1pGKKZpOWn20fHefUrG4YpVSOpwnhJgFtagDmaIAXesb1bpho8Y0B+VOuos5UwImE4lAgZgNPLVS8ZQZqKIoAVAS1NYYaIuU25cGFjZAWxwNSUStHZ369neu0wUXXaape+5jxbILJYSaSgxbCTMigC2uWY8/rifnzLEYg0DQCxBzX3ePFi1+Vb+947dqampUHE1Kb69pewgKnzF9T9U3NFmdjULF+gZgG9CYU6S3UBAaAhcYwwlH/m5hC1hUNcDm1o8aimf39SmNf7hlBS3ZPMXiQY0dNqSnR8cli8XjB7EDLq7jOw5tv8dBB+9sUBdwWLD+mzO8AffWSkwPfedQgWG4pcGFa3ddo68IVwhWvMIHdTil/XAx7HDSEXcVqwZE2YgIiowFdwkX6p2e0CmcQc7XvFvWwv7c1Vx+NgeGndF5P2G6vNyV0zMPou0iCxVj5O/ddt9dG9as1iiE0L4+tXe0qb7WdJ8Dr8EukS6UMh7+WYza6NHmWolwRV8sno3sicQrdPWorqFOxXxRuXxesWRqyIDNAZoJDhVLkR8snn54c4Db15qD/825BvJb2OLkQj3P8oQMDngJwsZVF1qyTqGNW9LcrXGw54BbLZgT6IQWlBgfd9GkPf72g9AOZ+gGwEzXK1qTUjuVWQpZNWQSSkVLyvd2KF4qms97sYcY1riK5Ygi0bgiyRplSyX150qmmc9le5RKJwZiTHmO71MH2FvaW6wL/DOscHZzkynrcPdIpRIDMWyxRApPKLV19WrEmLFW4iWPK/WGPnPx6OjOmya+uSlh2Sx7O7pUl06ooSatro5NSkQj5hpf39ykto2tah61i9X2w+W+p6fLshfX1JK4qjwgXHgcqPMqwDP70PcSPAd+4kKF7wt3yXHAAY9j7vkMf3I3V+c70Im55j74J5/dncUtxtsidAwX79qWdqsBNk+6wFqGFrxYk1ghKUruaf1dOeLr23mcn1F85n5XJvn54b+H94W7Z5lysZKt1HknvNXnIazV35axDtc1zh8D6aj6K8xPt/WeLbZaliWJGjFypF2CZc3WeSRi1mZoNLyAraBypKRYKQBs9k4xplLcVHzPzJ6jP/z2dk0aPUqZUk5dq5cr0tOlCSOa1L+xXQ3FWrWka1Xo7VEp36e62rR6s71qL+YVHz1Sq/I59Tc1qK+2RhvyOTWNH6uVG9dZRvJxY8fqgjPPG1bAxlr0c8IVB5xrnO+3/eRH6u9qNV7Sm5el9O8spRVvmaA1PdLkvQ/R5Jm76fqb7tI+e8/U3lN3U6l7o5a8NFfznnhYRx/2Nr3nvafryafnauGy1drY3qVcUarJpHXu+96lKbumVFuS0hXAhoUtiuxEnyLkUY+qVPGKIDM7BhBkqUgkqm9881qL/Y3HE+rs7tbIlmatWb/O1kJTU4OFpFhugVLgXeV70z1H4P3sM1dEu+wFP/Darq50wfJTLhSDpBgYZrL9SsbillTQ3zHFN48cod6ubm1sa9WIpmZ7poeVeHw9/JPvfe9X301YHAPj7Pa851VQIoqCM6II/yIxA1l9yqs/36t9Z+xpFrb6mloVIjFtVEm33Pt7Pbp0kbqTUbVmezVq7GitW7XGakkXc0WtXb1Gu0+aqPauTktoRr+gFTyU0IX2DZs0pmWknff1yAuUsynhShnEj9MfXoFnW+BdVttQryKhL7lXrivnyDSXqFW6rklr2/pUUEa3/fpunX3updp9ykyVRM2FgHniszzwHpEeeOA+zX9urmXvM5eRTMYOMBb5XXf9VsuXLNf55587kJoa/3MyxeCLHqBoqa4xKC5MdhMGwd91jSDRDbY4TEgqBq46vJhMXDEYEHWcXDvMYcD9rjFwlyIYmGvvPIAfQEK7HivkQjPf+4LxFOh+CNNfFrIXZuU5XuNpWxbWcFxTDbD5wWmZChNB4hd/AdoiBCP+/bXDKIBmkDXBP9YS6ZV36qtiCfBgX2fCbjFycLj5PpL4B23ejhqBt/d6u0NNOrKjera97cA34BdYF7Cy8Tegyy0BzrOqtY/gD2MGHBDjQ7u43bgL8ObuD9I7B24PHFhWC6lsx3glGVN5QJjhkOfFPYFreWXfbyUDaLU+m6KvlFd7e6tGNI80rS38Bj7pIIjnEHdBj4L+Bp/53vpkLu4kLgjc8v3Kgb8rGYIrPgEmlIQ16jtubVYf7V/jFdUAm5+3rGN4GvvVMtz+/dywtYg45Fr+8Ek6mGW+QekVWkiBaDYUO4FpbYMWK3ucP3H5dQWUKxRcucf3AA54jQPh7VvbxFQFXAXu4yn+jQ4V/gKYJI6Zf1H7V7IkSMHfUhRDAPaCULkY9jT/8ri7p5LKwWOjkaC2m/GP13s7dvSYiu/H9o1gKHeRFG/VyhUqk6chllEuVqPuSK26yhn14j1G8pE7H1Nzywhl0intNm60WmoSmjfnMRX7u3XOe07QHqMyiuS6lc0VhBwOj8TNO01MGFl24xFLwueZIr2/7nFG3WP2Ipnb3X0eWXfevOcs9wB8OJidYJaCdfL6egvK6wztFW7fn7Mt70N76ut3b+/zjR4VWkCHANsEexolBGtwxl7TNGn3iZZFne83dndpwdKlWrFxvVpzvSpQK9A2sdMxeHeD0uvnEzJPsM5fX++VMg1mOds8NcLf06fIi7+8qNzZm1V/PqpUXYtKySaNGr+H7v/TszrtzAs0bvweBthKSpr1zR5qDw5es554VIsWL7QEEOFgawQWMv+RepX0vxZIGotp9hNPWK0W0qB7AWSESILDcQXiQDBEWVtr6BuzKe+AIwAHVqIBYSCkfXOLjPu7u3sKbXO9W39cK+dubHz2+BZPJOEWEXdB8hgmfneA5+5UO1uDWg2wsXkR/ug3/R9wRysFGTjDLn47agP9rbXj1hPG7evJXQQ84cjOognzbbFpFXdWT1kfttTsrL7x3Lc6YHO3bVxkSK7iyhy3zFVzibQzo5IRkv2ICzAJLeBbHg+6M+dn689G+MqrvaPVhD/GmjXAFsQfMLdAsIqUEAhaIQEhAGrBoWV7h0KwBuSCw+2NggWQ7/V6nC4Q/L0u59BWRzXA5nyD+Qy7u7O+PdZzaD14694dVpgEo6is281krx4oduwKk8qwPSP29lLBXVbNW6bi1s3f4ZhD5BvOIQdsKLoBbFhKhwbYqvfa23d5zITZSsyxiblDBP4eg1q9J8NzRSaZCBJnRdLqLkpruqSXl2/U84tWaPHqTaprHmWybn1djXo727V+1VKtXPqa9py8my5+/yFqJklFIYjvDnvGuKeIu+dvqffUs4QGyMzcY9bvSogL7blFe3hG/9ffatjTzNeue7iUiWlU2bxGAoVkoHpx7DXYkm7nVwU8e657v29LOvHBcDrS8eT3yv2ge/KyJutUiNcoWTfCLGxT9tpXB73tCEseGhy8gXbzdcBW0p133q5SuWB1uFxI8QB+sv+RZQbA5oVoH3zgAYspIPUyixE3IupDkGmL78gqiKZo44YNBqSoIr9i+XIDbmx0GACxCixMB1ZuJXA/XI9VceHZTa/hgEYHad5n3xjhWBZnglzj7jJMGgCSSUPjuLPTClcDbPTRGSTvLiA6yPDv/vq33vCMMOyO57T12CcXxLf25OGmv7sqsYZZt54cwfdGNZfL4aHa663+NQA25hBFEW5z8CBoytxvS4yiC1wuGONRgHLKvAiKQbKQN/OLYHaUQg7YAgtbxoDbYOttoBl/4xEU1vCaBtEscrwHArC/nAqD41X+bmEb2uqoBthonXn0mCiPgeV75npn84+hjX5od3sR43Arr1uC/3fbgxUWdl4MMdO1exe5IjrsTu/Wft7d8wl+4xa2vwRgq3a+VeNvQ71/aDO89buxsFF+BLfwfDStbDSj9d0FzXt1pR575gU9t+A1TdpzpvFzMgn2dbebZW3siEYdcuB+OmRmixLdOSUVxI+F3YLdDbNa/1mDPqfcjzwa5rvVAF+19v/Wf3eX8DCY9nki3Q4ZNii4EAZrmzOW+fkVBm0GAP9MAkfKG+aXlUhJyUxwd39J7T05Xf+jW1SKJJUtkoQfrSdgzV1tAm0nB2o8nrT4lLPOOsuYAkIKTJyNRj0vXIVI3+7uhGT2IRifOjgIJyS5oF6XpUYtFq34MJY2iEJ7FNsjGQaAjXZJhkEMHBkMPRA6HBDqAqkHnzsAQwCiLy600nsHeJ7O2v3suYf7PUbFhXKfND67xYo2duarGmBzV093Uw2DCvfP3pn9f6s/O7yh/XBx7di20He4LbSeMMYtw/QxbB3e2QLXXwNgM0tSpdwD69mTuriFfmtr3OOoXPsdVgC4oPxm3iO4ppOkagCwZYM6OmEviM313+MNOFO2Vph98L1/d4fcsauhGmDzs85jNz2MgF5Ui3HcsT19c7ZmoM1cmoIyQ9vyCl8/1DqyznvC8dXhpEruAeBxnVyPhc1jxofbwuaAwYXcwe9DPf+GaqHblvna0jXURosX+oIQoHhK5VSj+uNpresoaNGKtVq2tlXLVwdljxKxiJob6jR+l2arNTlpQpOUKyme71EyEtRdHQzYoE218xlXSkvqRVhTLGau+AOxZfF41fuHMv6/5XvNik0WR+L3jBBBZlRzp6wQJswN3LLmgC3gFRXPkj+DkJHy6pUEckmJtNURKJLpJFOnOc/MVSyVtJSUQdOY1ihoXbDaCeQ+4dve/rwymVrL9OVZn0jjyeKhECluQhdddJFlQiFm6p577jGrG0lKCMh77NFHzeKGyZ7yAJiPAXPU+sJsT0pmimsC4mA6+M/zTqwav/McPgPgWPC07S4AWNQQJNw9gHgQDhmSa7CwaQsLlGeOM7JXTPQwNbTmJGKgXo8HqtNPD4z0jfJn0HuHX1oNsA3WYG3OIrTDO/U31GCYyYYtmQ7eqjHcvwSp3F0YJjMYuFfTcA53/97qgI15Zgy+r5zW0M1dqasBNnctc0WXl4RwK9twz8H2th8Uzo6qtT1Ihw/vHIhhywdZFv21uUxu5s9vqaq3LugGVrShx1ps7zj/mu+rBtjcihYWtH1e3Xr/10yfbRmbee8C2LYxHvTPvX5rfXClYFiZHBb+3fXdS4G4NeYvBdi87+7R4+/+fTULWrXfhwr4tmV+t3RNopxXKlEi04vK5biKiRoVk/UWa9dTlPoK0sbWnMmpDXU1GtlUT+FjNdZm1FgbVV9PfyU2bcv8r9r4SSTFNZ5LAT7sSaPo986kz1Bo+2a5NxxC5Pxu4Fwj0Uk+yNxpmeyJrxyIEX+jZ4xHtoXjzP0+3i2uOwTiBvbH6yeo/RUpr+sNAGE8pt7+rKLJlNJNSWE4StdI2TyxBYHxH8AWLZN+tVDBk9TDJqVv0B2ADP/cLIvljMD5c8891wAbCRnuuusuA0y4SbJ5AWn8A2RRrBSifOYznzG3RwpnYhU77bTTzDWSrFQsRoIp58yZY5oLFisgigK/LFbugTlhvcOvlwruCEBY9U4//XSrdUTxZ4AhRTm9yJ9rhPH55Tuy6NCfY445xtw2AXBkb6MwsLuH0P+dHaNUDbB5hju3+tjiCNWt2pkaqjfLphxKPzwOMHwQuRWL9zcLfQe7xXo8485m6G91wMb+CmeCDO+vbRFow0DPrbWeqMSB4FDW53Dea2n9SzG1dXRqRHMYsJElEpdI1yuWAxfHQQJtkCAFJSDOJW8EZNFypYzLgMby9eQ3OzTL3nAS6C3QdjXA5sqEMAgIK6l2tsLnLUDiYe3i5sIdTLCLBLVsw0oUt4giowHYvAzGcHbQ6+Z5nwa/V1s/1Vz6wuBkOMexubYBbMl8l0UvFcoRZZVUNpK0BCTleMZk6tq01N0n1aWlOMlU8iUV+nuUikn92T4lExlLCx92gfR52xYPnSgJT4pFMyhwXuDtVo2mf2k6vZWf5+vPld0u05mRB5BF1kR7obCp/PmGDC+bGX0lkdZm7/PLt3DIRUqbihi+FEtFLdVzkTpEUak/l7Wq6GVTjQLQqJwNYKu8V7SihSJZGhNBxsZKUT1ADMyBGDYAF0VLAVB8B2ADNF122WVvyGLU1NysNatX64YbbrCizVjsfv/739tCPvnkk20YADSsZGSZBEwBuvh9+fLlZjEDUN1222066KCDzG+YjJQ8kzpH9913n8455xwDX4DIo446SmPGjBmINXHXRnfr5DrSonrmN64lxo5nDJig49QACupU7axXNcDm/QpvYmfytsyGGPS7s8b9ZnmuC+VhDeLAnqu4H26tr8PNXP0gCPtgD3a/2Jm0fKsDti3RNSyYbI2+HnsSBvl+ULur986cn609O2xhG/kGC1vS6snE4pXMcZ6M4Q3ZyWi5UnjXzpVBsW0lzwYXALcBzWUIwBmNt9EN7c1Kw53dr2qALeyRMdibYLC1ZGePZWc831x6Q69w6aHw9+EsiJu7fnv7Hras0Ub4bGd+3OXa07PzHbIOctlfArBt7nwLf1ft/KumUKxmgdpeum7LfQbYir0BD4rGVYgklFfC3ovRpMqRoL5lZ1e7yOVbm6LcQV5xyiCoqL7+fsVS9aay8rkLnxvbsr8KxUAp7JZw5F5engV9uF1et4VOb+VrtrQ+LcFiviAKf8t4QJDjQ2YpqyC3sJHNAFi5cq3zDM6/0Lk32JNkUJIuWxu5tmI5W8hbzR5rMgJYKylfzCmawNwKQCta/NrrgI1sSMFD48laq10AA8AVEiED4MZGI14N0ER8W8uIEXb97+++W0uWLNEZZ5whCgtzH66LuDQSx3b99dfb9XtNn66777pLixYtMpdKAB9mX8AgWSZpA8tdc0uL/njPPQbayDSJG+all15q7o5PPvmkxcBdeeWVuuWWW3T44YebZY4Unaeceqo62tsHyg2w6F1A8vg33C5/+ctfWprtffbZx+7jhaukB1/vbMBTDbC5m5UL7oMZ3M7u/1t5M4eZbJiuYfBW7cCpdmANlT5hl5nBmjv3ex/qM4Zy/1sdsHkMiWveBltXq82/J0SChuFC4x6HsDM1yFXntRwN6rC1BeUI4CX5XL8ptAq5/sBVtKIpHBBsB1nZShTL5bty9N1GAGMAACAASURBVPV8khYIUHEiqSRdCVxOgnTfQdrl4HesdG/utCxVqbhTL6gG2PxcpJNh9yA+u0V4pw5gJz48iOkPFjhp1nkB2Dwj5ODYNgR73wfh+4aS6dTjZMNgOmytAah5aR+3lu5swBaesmr8sZp8sjMBGzFsiWK/eZ0VFVeJItXRhJk3CqWoCrjMlUqqy6SVisdUyPWqmOtTMhYkriO5Xm+ubPcN9tBx4F1NPmCtcY2X7cG7zWuYVbt3J26dt9SjmcNwLdaBzoOBsHZVygEELCBkaRs8Sg9ws/POalkEgM2B2dYOMvNQkSKbNmwsWw20aEQ9PX1qbGoyEFVTH9Q/q61JacPGTUon41YtvberU0XqaJDsn5SiVh+tZEDKY9gonNvb02MWMtoCgGFB4/WrX/7SLGWUAcCKhSkX10UsaoAyYtawyOF6CAj7xS9+YVat4447zq7zf9zL96TApnwAAI2EJAAsMk0CHufNm2cb5t3vfrfmz58/cJ0nSHG/7rfU6hnUWRgaLqYAM1KC85l54N19bV2I9EM2bGHxeDxzY43H1dnRERRATyYNmEJXL3LK94BYfmPNkB3OwbkzCa7lum2tVM+B4zGEPA+tH+PxQtlebB2rqBcR5pmA922JIaQvHpDt4NXLT3hyGa8v5ElmoBd/s3b4h9YKSyvPDadb3xFB94OB3uC1iOV61C67WKZU9hgFUompZN5wE+7q7BzwWfcEI/Sdv6Hdn1OAcnP7gOeMHDXKLMn0lXZRkvR0dxtdqx2o1fbWUAGbaxeZJ+aXfy6wMPee0dVdF32t8dnLHWCd5z72jYNYB0zMNzTgPq7jHtY9/fa9sSXr9ba4tNDXcEwQ4/G4R1+3/u7gMBzz5haQwZp1AzORiM2Xa1kZB9fxmd8Q5MLztzkrMfucdUQfrDRLRZtL+5bIacNGZVLpgTFQ9NP2TrkQCIrxoJh0PB4boK0nJYnEourO9ilGLZu+nEa2jFBnW7vxbgqsDxQ9B6j9L8AWrKwo9Z+qLbIh/O7709/DNApbn0xoD2Xh9UfuTIFyW4ZdDbBVa4M14KVj4JOc56xPALyvt2ptbO136OeAg31Bm+wD1lj4e3g4Y+Hc4Hs+s1+rudR5eQK3dLsbsp+f3M/4GKd7CXlab2qLJeIxe16B7DuxuBWnH0jhH4uqXCBFQCBUF/JZlUsFc42LRSNBHdhEUuVokAiEPng2R8/syDWMmed7whD65te5ZxC/w6uQt6A9Z6m1Xym/4EnfPIbNLWzVzgfnH/AAnsn9nMXMM30m1wD71Z/jReV5nvNJlPWcH9CNM4yYrl3Hj7dM4BS1J6Ec4SqEoSCHsI6cn/Fc5EXOfk+cQp+RAz1TOPc7Dw/XzPV4bfrMvXh34aGFB5a3zzohDIZroRlnKp5eyCDQm/a4nt+4jjEzNt6ZR7I+eqbwrr6cgTVS7ZfKEes3Y8nl+w2wAdZr6jIq9HSrv69HdSNGKZctqqiI0Qp3Rs+p4LHA0NnqEtfXm4GBNcL43bPHAZsn0ON5rmTxc8X3CWPE2AEdaJdxnH/++WbI8JAZ+sHecpoMPptoy3k/70Fx54x9F/7bZSPu9zXJNR6C5PKdz4OvS/rIs8O81EMEWGMYX5BB8ZZ773vfa/Pz3//93xbyRCFwxkO+C7zwvvrVr5o8+dGPftRCpnjRlp9lQ+FLwb0lAtUNeOe6evXs/Hm6/Y67tHTFctU3NFkuDpIoZjIJdbR3qrGpoaJtLKlzwzo1jB6FyUvZQk6pRDCn0Mfp6fJcBK1nJUY2Uih1lTu7uhSNwgxzqjNLVq8Rra2twxYQg04nkuru7FJ9XZ1qajPq2NRqRE1maoxh8RAeYNW8R41SX2+vHnvsMT3zzDNmOWMRYEVbvHjxAIiCyGwMFvy0adOss7feeuuASyQTwzVPPfWUCQ08j80DMKMUAL8zYQhOxx57rPWBSQLI0SYJT5hUrHUvv/SSgTni1nCx5Frf6EOfuJ3XQjXA5iDaBVZbZpUabCxcmC1zxhx6UWU/FJl3MnRCe5gjzMAYVTxu9HNmEk7CAuOkkCPzD5OrFuPnAgNtwiyYS5ixKwDY8DW1tWrdtMkOTJ4Fo6Ftz3y4NeqHAZszHwdsLqx6+nXWqLsS8LcDFJQNAFn6RC1ADh+3wg5Vi+WM1wXswWOhH9DfhWwOS+YMOjE30NuFDJ9Xz2BKW9UElmor14UEaOYCiysFwoy7Wjtb+n2ogM3niXmgLcbrtXm8ZIcL2cxnOBEI43DtmYN0vvPDwgE97fmaCQMk30tO77A10w/AanRxq6crB1xQ5Hm+1nm+A9IwCNxcjJuP1ZUy7FenjdPHk5qE18mW+umgzpU+3l+jc39WjbW4vwfAz9rPQ/8gpb9n7HXgzD1vAKFJElwB9uLq7e0x4NfR2qZMOq1sT1a1JKoi3rbSOVz1vajuQH9LbtuoRunt+31zCgkXMpw/OMgOW6C8bMyb2kJaOQscQEMhzkyE2m3tN+sSvujAgnEjOzD/nO3uorV91A+UAq4wYb3CC10A5Rl85qx3EOVrm+8QFKu5hLnyjzXqQirnEO1xxnkdV99PLoga3ynkTVNue46q8TGKwCfMssKqdMHZ9m4sqppUUpFyXrm+XpWKBaNxT2+f4qm0kccVnS5Hhc8Er5/p55MLv/B/6OGKJucZLvi6Ymp7ARvtI2dBB2iNPIeynDFBYxTrZO22z01NpshjPXCG+zW8u6zgPJf+cR1eWOQwQCHPesGbyZWNtL1w4UIDeDwDeYTx0xfah16uNHMQ4zRzvuf0oU1kS0Jbjj/+eKN3uCwT/eEz7QBokDt5HmE3AADkH84/+u+eXgCylqZG9XZ3GfBOpDPCRdGyl0eRkciWW5DKRQPrPZ0dSiUTqs2kbH2xZ6KJtLp6+yxMiLG74sDpQ+1igC3jcaUB+SBKxWIgE1csbFsDbIwVGn7jG9+w+cM4gqGDeSRJ35FHHqn/83/+z4DyzmVK5HXGyDzzLMYNqOQVBm5ehN3BvJelYXwuH7ligbnzl69Z2mJe2Q8eVsXe5Vkut3INXnV424EnPv3pT1uI0uc//3k99NBDOvjgg83Aw3oAwAHYfvjDH5oX32c/+1kboysnnMb+vr28CcBWzPablf2aaz6lJUuXa68Ze6upZYQWLV5iAO7MM96vq666Qs0VsFbIst8TKvQH+z5bjg0UPk8QQgCoLBYUh5eUiqbYQZauqUkrl88p0pNdW27taNfYUbsqW8yqlC8amqvN1Ku1vV2zZs3ShPG7af9991N3d68K+bwtXD/AeWcifSJYWPzOZLDZyArpjA+wBFFhiAApGDCTzQQzWYA5rGVnnnmmJk+ZEtCxXDa3SNf0ssnHjRtnQbM8G8EdyxIaiOXLlunmm2828AaidoGLZrCw4R55yimnWEwbdeE2bdxYlaFv/2T+Ze6sBtiwMrL4XavgQhO9c+sWzNyLojJ3/M0/NHV8hsZoLwDKfr8f8l7+wDNxuoWD9j2j5tYo4VoEB2FhzY7XzWPTO6N2zSPrzA/RrbW/OcA2wCyjUWMIbplxYTgsgHEwsPb8IORZrkWslrp8W1aAC7AuaG/uHteo0hfolM5klMtmBw4Y7nFa+AHN2odBuXZqW/qyuWvckkpbAEX2HOuJ53ms6va2zX1DBWxubaId+sRntzB7lkXewwDcNc+mtY7HzUoZFjTdosTvtOVAh7mCHrWkTi6VjP5+KLk1yzV4DthcSbAlGvn8Owign95X1pdb9bjOwWTYQhwGoC6shK1Abjn0+XLBhGuYT/a5vwZbg3xsrnSBFrSHAsX2QXeXYvDgzkArW9/QoEKuGGSKBIil0yr0BWVPLI1/NLA0GHAukdW6qC4EsLp65Xr7lE6mLONaLQdZX7/qamoNFFKXzfiVAbaStTXwKg2/hc1Bqgsf4bPPaR4Gz2HFwFAVOkPZW9ty71AtbG7B9hga+JNr0eHltD+Ul8dgOa/w84fnshehL/IEPBkBk7OKNT1u111tX1ejf1jJ5RZkB9uumKIPtOOKE7fSF3NZZfsDQTqWykiRmHKliIqlssUvRWJxW/N9Pd1SqaDamoxlBcS6ElcAdBNJ8gQEde6gmyvwwooXX28uYPqZy/euUHE6p9JpE/D43vkI/d5ewOa8FEGYbN5Ywbyskp+Xu0+cqAWvvGJ0YC6QvZyv8Rk+SR8QtH1NIJcgtyGT0Ve8qrC2IXPwDBLL4SkF7VFSUqcXvoySknmHdnieABBRvPs88hvrALnSQZsDOwAbIOxd73qXLUnWie9tUzRX4vt+9atfGc/nOsbhSfQADC7v7rfffjZnPb39BiSgD/y0qzsANlwH0AMwIEONaKG2ZtzAV39PYN3imd19/QaiSIRHgjuMDc6XvcA5dEK+Ni+1ctnogyyw7777GkD0frPWBlvYuI7n/OhHPzJvNaxNVuu4Uk/4H//xH8176Dvf+Y49F/qSHwIQjZyNNxp9RTZnLNAPKx3zijUL2kBX1hoJ/nyeWCs8F8MK7R5yyCEGwCj1BQg84YQT7HpoyJ7lmdCBz4AvaDH4RU4JgBrWWIAboPqaa67RVVddpfe85z166aWX9MlPflKXX365YQiu/8QnPqHPfe5zOvroo9/gceY0CwPIP59PwdtKuuP23+iGG36oD1/9UR16+BFqbAq8Cb957bV6bdFi6yOKgrt+e4em7zlN++23jzlRP/74bLX3F3Tc8cdq0WtL9dKLL6qro8O8Uw458AAzkLVt2qAlry3SoYe+Qwfuf4Ais565rwyRQKtrVq6xQSYSSU3cbZKWLV+px/70qLk+XnjhRdaJV15aYO8Td5+sxqZA08/CZ8LCwheLh4lhY/G3m9bRXpAAhIUJsVjY3EcbXM8GgdgM0Cwa8bhpeGDAaBX4m4XgTBXCu+YNgMjEo61hcbjGE00Cv8FQ+M0FMLcu/fkT9ea5oxpgg/HBvKCRZ8B0AAAN3WzPd25Zc9cDP3gBx8TvAXRhjA6k+Jt72LTMo2eE8kPELXJboxbzB4ODqbk2hflxqwZzBuNyjS/fMw7XdA4WMgc/y9eeWxm4PgzYuJ7x0ncYR1jrQj98rdE3P7Rp04Hl5jTwf87qcMDhAn5YKDQNXCW2kn64RRias09c4+iaKtcyuitSWOv45/QpfC19sIOlu9v2HocH88v3aFSHmnRnqIDN58HBhQvLbuHBXQG+4UDKBT7/7KAOOrsg5EI4e8ZpSzsoqxws+XNcUHCQT3vm0kjsVSUb69ZoT/tYbXkBwt0tk+eEgRlr1K0Fdk88rmQqNfCMsNXH+88768s18G5Rc+HOQf1goTb82a2VLlA6v6YPhWy/MlicezpVk6kLLLBoBdEOSmptbbdgfCp54m6PMMlZYns2GlNXfy8mFMsg3NfVrUQ0olFNLUrFIups7RCtBO6hgLRSJYbtjYAtqtiwukT6vg+DYKeP8xToCT2crqyFsAJhe/feX+K+oQI276Oth4oV3oUwQiOGyh98LTvPgRe5OyR9Z+3gIu7X+Zp2C0A1Grolgz671cYVU+7pQZthsMQ93j7CN3szlqox4TlbJCYpplg8rUg8okwy8JoqZEsqFfqViJSViEcVV7BeNra97oLmAJF15Xvdnw1P97nyM9hlKmhCXzmXkXtcIRW4IseNB2wvYGOc8Fjef/KTn5hMdsmllxpZAYbMBYI8Ajp99fAWlLvIDdTZ9VAGlL54UqG0xwLC9QA3LD4AA5LUcS3y2tNPP22hLIA8eCLWp7lz55qykPFB8yOOOMLGzLPdZZ1+Yk1BZgBkcGYC4kgy98gjj5isgkLf5xNau9eQe2TgicX3p556qu1rzjz6i6eXKxAwPkyZOlWPPTZba9ets3ExdsBlXW0QLuLuubQPeEP2XLjgZTMeuDIO0IUn2qOPPmphQrgnch/3IJsBeGiXOQDgYAGnL8ynZTrfZ7+tAjbmCfpdcsklJi9ce+21NnfklqBPvDDK0A/O9//4j/+wPA/MCcAQoPOxj33MZMgPf/jD1gb/GB/y0syZM20+nn/+eVsbP/7xj81aCACnTQA442V+mE+u49n0HfdGwD8gi/nGogr9mJv//M//tPG6AsOwxyuv6F//9V91xRVXmJX0Bz/4gdVw5t2zYwIi2b98B+j88pe/rE996lOGb/zlHlWurK/GI7b8e0kd7a267LIPqb6+QTfdfLNZPPtyeaWSKa1cs8aMTQcdcKBefXWBvvivn9c/XHap3nvaaZYx/ytf/ZrmLViq//7Wd3T7r3+lG2/4gUaNbNHM6dN1+KFv1/+75WatW7VSUyZN0nnnnKVJE3dT5Nv/89UyiwfEu3LFCkOpbKz99tlf6zds0F2/+51pLE4+6VS9+uoidfV0m4CdSdeaAH/gAQfY4vJDigXOKzhoA79+Z3CeuRHwxMZhIYYFHyaczTFjxgwTEFmkCDNYwrwgoPumO8DgfhYvm58Fx2Jhk/M9E8fkwCAw/bIIcfdgAbMAGSd9fyu/qgE2tFaMFfpBT+gKs3Mmz4ZydwWYlLuR+O98hwYGAM18M5cO0KFb2MrFpjQhssLMXSO/NfryHDYpa4Nneb07B2kWJ9PaarFb/X19A9ZctxxVs2A4YPM1CQMIAzbWKfSAsaNd4kWbbvnjPezO4ZY205z29b2BEWzPOgrHG4Zp6QI4axgmjc//vLlzTSPJeqfUBe9+IDMuFxId6PkBtD398nsYLy7Osx5/3A5MEvuQgIeDErq5QL+9zxgqYGO/c3B47KTzHRewad+FHXgOvMwVDM63oCP3Q2ePu+A++OKA5jqVskOHthgzggVKjMH0hw70h/WEwFLNJYznwpPge24RdWUUe409ayCQmJ1s1vYKY3a3MFdYhBUXPnb6guuLA3ePi2DevI+8DwYj4fsZP/1hn6JxdYufC01d7W2WnromU6sI8WrZrGrq6rVuwyb96dHHtXjpUjU2tainr1+xBHTuU7e51ow2S1kvoA/Xob5+jWxq0snHHadJE8YpVpQSMSnb0/O/AVuoqFuk7Jkot3cFbv0+t2o6MHee53vVLZy+X/k9TM/h6dWOa3WogA3e6CV3cG9jvaIhH6pl30dIO/BA33cWE5TLmQWGcw26s6cnTZ6sdZU4Y/Y3QAAhzuOLtkQxVxK6wmyw4swVPB5bRF/Ys/xDsCamH1c4RZPKl8oqReKKpzIY21QoSStWrNGYMbuoJhlTX3e3JZwgCUV763otXbxILy1YaOMDACDEumKENeSKT4sJLZEzIIghBYgg+EJ7LD0ozf2c52/AA20hX7nyc3sBG/fxbGQoABVC+FFHH20x1S5HYLmBJyIUMycozQEeyFxYTfBqgh8in7E2SAaHoM8YAWe+Zn79618b2OJMBOidffbZBmZ4McfIpgjx8G2ADDQDdHioC9ewBgFatMkaoN/0CQsMwjN8ljZc0YynFbFhbpFEBv3pT39q/UKOBETQLv1AVkIGgv64b5540km6776HzOPlmKOPtHEx5re/7WC7hr+JteJ75vWCCy7QylVrzHiArME1737XKdY/wAheZ5wp7tXBOGkDLzXWOWMAXDEfWKA4N4iX25qFDdphAfzIRz5imdmxGobjFllD8HTavPPOO82NkGR+xF8BogBphBlx3pEoEFD5T//0TwbmmJ+LL77YPrM2vvCFL1iWd/Ycc47hhd8Ao1jGaJd+0O7XvvY1ffzjH7d1wHORKQDSrB1qNCPf4MoY3o/MPxZCLGj8Tl8BgzzX3Se//e1v2xn+b//2bzb3tIGFi1gy9oLz6W11+d46py2pq32TPvvZT+uAAw7S5Vd92PJ5ROMJrVy9VruOGztw+0svvqCPXv1hffYzn9LJJ77T9ss//+uXtHxTj2666Tpdd/0t+sVPf6pPfPxqHX/0UVK5oGOOOFTnn3OmPvGRq1Vbl9EXP//Pitx8883lBQtetgXQ29ettk2tttn3229fG+CNN91gmgEYwQ3X36i3vePtyhcLNmFs0MPefoS5B4WRsGsvwvElLD5fGOHgU4TBPD6/aMIr7hO8I5SA5F0T7honF8y8bTamJ41wrTQaFZ4Hc/eEGTALFh3f49KzYf36geC+HXf8/eVbqgbY0GYgOLKJYLAsZmjGizlk8yIEetIW2vN4AHcBgzmxIQC8zA0Mhfkw6wsHWMXlgeewSWgDJgfzq3Zg0hcrLNnQYMAMoRlG7IAJsMj3Bx18sGn0PJ7LBdTB1oHBM+AWKrcMuIXN1yi/c2DCGOk7/eUfv7PGOPRYOzBSDzrme+jorhpDmXXWI/vM//l4wgKiJWHo6TGXBhga18DsKOpuNTkqPuXuyucunkPpl9/L+mA93HjjjXZgwvguvPBCO+Dcr34ozxkqYOOQZ36YJ17OiMOugvSfcXAAowxiLt2l1zXyrDOEC/aLK5/cpcY1cm555ncOcg4ZNMkOsJgz5onDmL3FenKetiUawZPQHiNkscfoP313C7MfWDyDfYJgxkGP9jXMM8MgwYE731km3ebmgQB6jxNgvAgOaKcdZGwObPjhDu1wd0Fx43FCJkhns+rL9qu+vlHFckR9/Tk1NDdr6bIVuvXnv9DkKdO0x/QZIp9esRzVa0uWaeWa1Zo+faYaG+ulaFm5bL+WLVqkfG+PTjvpJO06qkWl/oKipSKljCzBVWBhKwRZIiO4nAWplMu4BA0qCTCU9Tj4XudzbkEbDIzdVTUcT+sg13nMjuzPjm5rqIANnogwDm/4zW9+Y2cMwhTKUAD+UIEbe5D16/uBNe2eNO7RAU0Q0t0NEoGQ/YeAicyxtZdbheg3HgMI7+wx5hk+wf3IEyg26INbP+B/CP+M3fZINKkiadxTNYokIurqlVrb2zTv2fnmArXbriNUzOaVjkdUk4xrwcvPm8XHPZRM+X3ggYELZcWjxGnnijdPNML4oLd7mqCUgde4IuYd73iH9tl3X4u7HipgM4XdyJEm9OMKh7sjVhfOGlzDqY170003GR886eSTzQ31m9/8phkAAAO4rV151VWWQ+D+++83HgLYuvrqq00O++lttxl4AshhLcFdj88ANtzZ8MaCVwGW4KtXXHmlTecvfv5z4+HwTe6jFBTzBRDgjII2PBueSowTABIauaUL/unhHtAI2rkM+9vf/tbOd6w/3M9YASRYiMiH8Nz8+fYZgPX4rNm2zk86EfB2j1YuW2pgZ97cZ025Ckh6YvaT9ux3nnyKzZvVryyU9PisR3XGaadbllzWK7kV4K+sNf5xLTIG40RZCqChr/B/9gE0bm4ZuVXABn+iDc5s+oXlixf0cXdJ1hzjxRpFP8mo7rGjuBtyPrE+SQiICyWAl3OS37B24aKIlRWLGWAKIInV7F/+5V9sPnk+dZeZIwAe8wgoA8Ced955Jusj9+EWCqjGbZJzCyAWfrEvAV+0wX7H4gtYB9C64vRLX/qStcFvPAeAR11n+uyygVvWhs6fS1q5ZLE+8YmP6cQTT9blV16h3v68rWtqWmfSGfMsqa3N6Ln5c/Xxj31E//J//1nHvfMEU0J+8Ytf1vOL1+qmW67XN7/+Az3+6CO6+YfXa8zIOnW2dejIQ9+mL37+/+r955yp/k3rdcpJxyvy9JMvlO+55/c2IDSdG9atVXd3p8btikVlD/32d6DfmRo7fld997vf1QEHHqi6hnqtXr1S++yzn2ZO30epRNoYM/8cSLnbjmfXccHFwQBgyt0o/NDwdPkOGvBRRqvMdR5L1NDYaHOIqwXfIVy7+ZlNh8aE1/p16waAhWcTgsHTR4AE7xYcWkkbvaMPwr9Ue9UAG4sXIAVz8uxKbtWCMfEbzJB54QACnAO2wlkYERRh2mxcXm7VdLcQGDP9AEyw2WAwaHJgptUsDNDfXTvQRKFpQitFG/QBJg/DRFvjYIvfuC+s1d4SvQcDNrewhV0iyHqIxhCmA0MfPWaMuZrh1rZ0yRI7lC2RTVOTHVDQEWYA0+IAGsqLscGE3V1tsEafw5v1y+EOAwco4JqBSwD0hUYweXMr6+0dOOzdQuQWp+3tI4B8/rx5A7Go7DkOIdYDfae/Q3kNFbB5TJZnB/MYyjBg83gK9j37gHdfd7zDM5hXBAPPnsUa4z6u9/hMdy9k3bGuoYEri8JxcnznILLa+md+2X8IbvQDVwnGQhvQFyGEPrqlGB7JHAx259ichY37oIdnUHP3PmhOOxykbm30fT34fbB1kpg/d92kaGu2WNLG9g41N7coXZNRd19eDXVJrVzfrZ//6tdqaBqhvfbex6wPiVStVq5arWUrV2nPadOVTEVVk45ZKYClCxeqe1Orzj7jfRrTUqtItiyy8BHzQ1kZDrjNAbbhtrC5BcZBMPSBd7hCxYWAzVnYuNY9ToayR4bz3h0B2O644w4DOQAp1jvKXwA+1phwjOT2jMPd+dw1GeXdAw88YMoLhHzWOHHvaOrPPOssvbZ4scXU8HwExGr8yUEPexxhlbawpvBc9h6uegAp9jd72nkH16OwQNiMJ1JSPKVIPKV4KqnenLRg8VItWLhQNeka7TV9T40d1SIVcsokKaac0GsLX9bsJx63c5Jzj3Z5jlvCXKnq55Qrx9iP8H94AHFBCNcI027hAiSg8HTa7xDANmqUgT/AEzwDqx7ZIeFPno2bv+kPfAUBGlBHH6Hphy67TM8/95x9T9I4LF+4KCJnIC8wdsAQ8ghgkzXDtZwzABnPCI5AD0jhemgAz+RsBAC6+yQuf5yRyDXIJ6wRgCZyDe0ArrD+eCIVl3OgN2Ogz7/73e+MLwL48RhatXKlySGsB5TW9J/1h8GCuaurq9FZZ52tu++8Q6tWLNPlV1yhp5+cbdawiy651OSi5StX68ijjtZdf7hHiWRa43adoBdefE7HH32sCsWcgUpoxjpGjuUsQgFCP5AxsPoBfo47/ng98/TTRiuef9TRx24VsLmMC5DiLMMCxcvj8NlPxOwhT7Bv+Pytb33L6EA/DQI1RAAAIABJREFUsIgh+9AHLG2AH6ygyCJYzwBmrFvkoa985SsWWwbIxbLFZ+hPmNU///M/G6A76aST7Bncx3jZX/zG/ZxV3IviFGsiVjkH0qxveAwgjme8853vtJrL0AFFtiv4uYe5/K//+i+jP4lW+I515S8/O91LZXv4UnBPScWebn3so1ervq5R//mtbwbB2rGgJtviRYtMIco4Wzeu1zWf/Lg+99l/1CnvPc3u/eyn/0krW7P64Y/+R9d9/2d66MF7ddP116kundDaFcv0iY9coU9+5MM65pjDtGbZEl15+aWKPHjfrDKDfs973mWWtRXLlmjOnCc0YmSzTj/9NP3iFz9Te0ebPnD2B2zDUuxvlzGjNXXqZO0+YaLS0aRqa+uUzRXUnysoiXtAxW8WWS5FJrBYRIVc1mq6mcBcKgZuOkWyzeSt8La7SLqLmifBoC0EagCaZ5KBecHYCMJEeGBxeZ0290mHUXvAPRPEJKJVQXhx7UpYqNv+Sdu5d1YDbFiOOFRgrO76xd8Ao+uuu84YGZsKjRFMEO0FBy4gxQ87mBvCKYegx20wf+6eyu8InbipsPlpH+3T2HHjqsYwMAce8MvGw8RNkCjAHND9s5/9zDYjmhwXWt2vf1t8kLcVsJGwBqbBHiD2gnXFWGHMHDocivQJwZ5YHFL/oulCCzeUV093YGGzGNA4gnkAiF0ghDYPPPiwZs+eo0MPPVwHHnCwBbhOnTpNK1etUqImqQMPOUgz9ppqfKKU6w/SrBNA3dsnlWMByK7UrTJLhX2mDgjWiXBSAAdfmDGCv9lDaDA3bNpoMQM/+cmPdNr7TrdxG+jJUvRYSpDd1h4UteQQhco/TxARK5cUI/O1pfx7PQ6Jvc++dndAnsdhwprlQK6WZdSVMAa8EomBmD93C3V3aV8HMGkXwj321RN9+LricOCfC9thVwrao0/MD/10C5S7dvtzHcAhwGztxfVuKXu9X2SvDDJxITAUcLVSVAmyzMUSViqaLGSkio6XcioXg1TFYQWYAwhXbvgz3NLMmOPJlHJWwpVkdyWVyQRSLFrqcZIksDYAkN6W89RoJHB3ZyXF4kktX7VaTc0tamhpUnt3TslMUus39enuP96vfFkat9tEtXZ2aZfRYy3OZ9269SY4tbW1KpEsKxmPaN3K1ertaNVFZ5+lXRqSKvUWFC3mFClTVrZQKbJdUnHAwhYUDU0iKA9lA1a5FwGVucS64S7I0MM9PzybLbwwnAmN88atuMPYvSE3PVTAhkIQa4gnmMKyhiWAfcke8hTV29tR7mcf0Ba8EF6MQA0wvODCC23dcuZ4IjP6wtmGRp/9UC2pAPOGgg4vEdpBMIav81xkEqweWCbwZuA8oj23uLEOsiT3SKUVJWYtmYZhat2mTs164inNfnKOKcKbmhotBXwh262GdFItjXXqaNtgCQmwfCB/8YK/NjXWV1ziIirmAh6UzqSsbJMngMLtD3oA9q797vfszOKFZZPkEihWEeZd6TSUGDbacK8cB1IeduLgDdkAQAM9UB7CtwGMABWUoLjOIbTjxunCPrICL+YW2QEQRd8BDswt1hyAAC88fLDE4DqHrAHvYm7c9ZaYK0AkylbkGCyOWCGRQ1jfgD6sOfSHfemAjbGhkGyrxMX5Huc53AdA4jvkSwAKgNEVNMwVCm6AmSmUzzlHD/zxHq1cvlQXfehDenb2E/a8Cy++xJStS5at0Jlnna1f3X6HtTdy1Gjr1/tOP83OWOoHc6YC2OCNzBmAjfODsbLPWItYOpFJGAeA9x2HHr5VwObnC2CMGsfEqAG+4Gkel4gcyLOQ71n/X//61432zB3rEzDMeLGu4WrImoYWWNCwlEJPnyNcKJkX9h+gjDWKDMpnrgWIYfkkpo7f4Ru0yzORRVHGAAQBcngRhXkI9OQe6ixjgaMPADjWBq6a0IXvsczSFqCd+DWscuyH4XCJZGPe/Zvf6N///cv6ylf/U8eecJJ6ujpV29Ck2269Vdd+61sGdCdO3E2f/Pgn9MELztMZ7/+Asj3duuzKjygfa9BNt1yn6753q+75w9366S0/Vl0Ghc4r+qfPfkpXX3WZTjjmSJPrPnzVFYrcfOOPyiwQ15ivW7fGFsCUqZNMm4D2Ip/P2qKBYTKJS5cvMw3L4W9/uxpiCXNJobp7oVLtPaiZgxNMQZFSVg21SfX1tqm7k/puNaqtrxXFurO5shKRehULgUmWBRiJBlnoeJ6nFA3cUTi0g/gAExYqgd4IfEN5edpeDhgWt1s6XGhmYXtclWsLPb7L4+oc3bvQ5ocU4/BU6GGLjo8DAaiay1S1sVUDbBxwbHa0Q+5uBQ3ZYGQGYiPizuAaUlwHWOxc48zRXSJxh7BDKuQS6WCYfsKECfbE7I67GFafakHnHiiNsIMmDOZLqlZeMCu0tzwD7Qwb0OMS2XweLAzj5Te0bR7L6DWBoI+P2wEIz4RZWZaueODayZg46NEmUTcGQRUawGww18OkLJEEr3LZmA4A76hjjrTMTy6g0zZrl5gjvvdkPB4/5IoDs5y1jFJHR49KxbJS6bhicVy9SHecVllFG9OiV1/Tffc/pH32PkhnvO90kXDs29/6gfbd/2D98s7b9eKqV/XuM07WR/7hYhX6WqX+Lo1tbtGGVWs0orFF2Z6SIrEU6RuUaa5Ta0erurPUm9lFG9rXqr4uYcCusa5RhTwgJK9Mul4RUj6UI2rr6NJtP7tVe86YrhPf+U7d8rNbtGrtKl151eUqFsqqT9cr19ajlnJK0VhKyuaVi5bUUxdXT1Jq7+/VyPoRKvd2KdLdqzEtLSoW8mrt7FCmtkaxSEzZbOCy6AD8zwFsaNHcimwgpFKLjTllLliHHFDwOLcWsUbClg+u9dTkCBZoqT17rce40jaHB+sP7TBabH7zeAPadKuv71nWHjwDHooigpcLEa75BHiR/Wn/A/ZVS2OTstk+ZXP9FZBWVqq2TpFEWq3d/YrX1CmViurl5Zu0ZkOrZk6ZqElNCaL/jWdCC4RNX+/sCw5bhCho6zyNvlra876cypmUXl7dq+WvvaoZe0zRlNF1WrBgke793W9VyvWpLp2yrHbTp+2pww8/UiNH7qLuXhIgyABjKRtopUeNHa/ubF6lRK0KMam1V7rz9/dq3wPfrkl7NGrlGmJwotptjJUWtdeLi/sVScY0ZUJCy5b36E/3/kFnvOtkTRxdp1i2pHvvvlOvvDBfl192aeAhUF+n9vY23fyjn6h5l5E69ZR3K5OIW/p/hEgEb4RqBEbmwq2fLrgzfvg9lnGEOvgbLxds+RvaQSvOI9YC1/KCT8L/mHM/Jzy+lmsJcIfXsv7gIQgtHgLgCgnu9bPBBTH4P9p01ip8mHGQdY9xcCa7Z4l7qrCG6aOX2/HEUPA7zkvGAt8lnov++TlKnz0tuSf3ck+TMLD8c9P6o9j7+c9/bsImfUf4RrDEWkwykGoWfvrvYQ3MG59Zy7hVuWugK1oZA39jleE8e+/pp1tcM8KmxxPjnocAx/70/efjZF4dwEFHfmfs0JhnY31AsHVghDyCxh+BDx7iIJ315PwqR1Za0m0n0kpkalWOptXW3aunn5mvh/70iM3poW8/RMteW6wxu4zQ0oWv6MjDDlGut0uPPTZLM/Y5wMDAfvvuq4MP2N9SwJeKWVPCxKMRcwfG46mleaSBU3IIILiyNvc74CAtfPU1jRoz1uQy9rlb3qAfY3PgvKUYNmgTVlwPVs44z3C5CPoz5/Avj2GDp/EZnskLIMPz4H2sb+fJrjSjTx6T6C6hXOMunx5jDr3DyhL2GfuENrmWPcy43W3cvVPc28uVWO7B4v3wd1fQ+Zj9PRyOwHh4FvuNfUqb0NaTpPG9t0fZBmQlfuc6zm/WkHtEkA0UujB2xgLd+Ed/Xf6Epn4WcR3PZFzQwRNkueGC62pq698A2KCny5W8u6wGH8Nyxrphb7BWoB1nE5ZolOSAQcAQ/AWlPb/BP7CWuQyGNQzFAPIiigxcEF3Bj0UUYMyZi7sk12JRg6cA2ABzuE8iJ3Id3zEmwCr7Fx6CvAXABSy7NdBlZOQzwBz7G48raI/FD1mM2HrObXjm9773PZMDeS57l34g14YtatzrVuxqMvbWfy9Z7g/AMNa0/fY9wPY8fX3hpRd13jnnmhGEfUM/XlnwkvFHxvT/bv25Dnr7Ubruhut13XXX6/4/3qObbrxB48eN0NxnnrN4to9/9Gq9/6z3K9/Vqfvvv1eRrs72svvfMyCPT2CRejpz9xVnsTFxbp5vbKhXqaPDxlNQSjmqvEfw5Q4E22gkL+V7lEmWFS3nTJsaoa5Kri+oP5LIqL9H2mXEOKtFQDa3Ta0bbMEhfLM5X/eBr9Q7qbjCuVtKAneEIbxgDu5yxHNd6PJNy5gZLws3rEFlAvzwhW4sEF5+OLMQuc+BmjO8sEueCwhD6L7RamuFs9kc/EPz6SCXvnC4srARKmAuMBA2GpoK+g5TRsjlt60BNs8YySZHaGGzsZk46KBXNQuJM3TmGa2Y+7fTHvRD28UBji+yx5EwZ87oHSyz+ZxRuzXBLYpbA2xYhLieeaP/WBE9MyR0YtPD7GAmfuC7ZYb+jZ8wbgCU8T1MH2ZAmyY4kn2zUguLdeJBviYUtJF2OqFioaRUmsKopDvPKpHiu5w2btpkG/mgA9+mM886R62behSNovzI6bFZT+nBx59Qu2KaOnOaLjrnvWpIlxTNtas5E1f72nUa2dgilajnQZ2gjHJY1ZJRFaIldfR1qFzO6/+z96ZBclZX3ufJPbP2kkobYhGSECDEIttgg8EGbGMDxm7bPbZpL7Rfv91vTES/3TET0eHpD/2ho2O+zHimX0d0R7/hoW132+52e8MLxixmB4PZN4GQhBDat1LtVVm5TvzOk//SpVxVKSqRS0JPRlRkVubz3Ofec8899/zPdnvaczY+OuxFhOoJzjkqeXnqZIJ1lXQrIJ7P888/1y7aeJG9+som27LlVfvyLV+0M1etspFS2dLVurUNVay9nrEELrXONqv25m3P+KgV2joMf0yb1a02MmKl0VE/RDnVUTBLJ61eJidy/oCNMBcd3Mtmpwqa8nwhwOF9eYTlJVK+gpQaeY5Z18w576EnlzXKNSjGKk/NNWzOCpWUrJrymDYODWUtca3ky5SMzbdbsVT2TX350iXWls9akvyses3GixM2NDZqi5etsGo6a0PFmlXSOTs4NGr3PPCo7esfssvftcEu6GuzvkLG1xkbF8+CDqwVxoa1nc1ZXgqNEz59dfdBO1Bvs30Do7bn9a22bFGnXXXZuy1Xr9iBndssRz+GhyxRrdgiwo8WLbF8W7sV2jstlc7Z5NiIFYxKs4PWt+x0Gy5VrZptt2q6AdjuvM/Wrr/IhsfG7YWXXnYL+DnnrHF+43Ww/7Bt3rbVrr7mg5aulu35Jx6zz9zwETutN2uV4TH79S9+ak889rBdf911npfS1tlhz730st15z93G8UZ/+Zd/Yb2dXZZORcWS2DN4yUOqgjmEczHfrFcpmQAKvodGktHMD0on7aCQcEQMFdIABOQ+6jxRxqHcU67nd/iAsBt4kWfoCBQpp+wfACk8OfAiAEzKGlZl5DGWakAnRi54EMVXgBL+UUVU7kMJFI9rXDwXOigfi3sxGvG/cjxkKOBevpMhSeHtbxWwQWuiINhj5PWRBZ/nh6G6M+1zyEEUW1V5k2cdgxdRD9BVMp77oQOeAMA2oW88kz7zGeUWmYtyFoYu8lm6DbSQIqv+8Tue7Dt+9SvPv0JG044O4/27v/s75z8ZPWhLOtPI2LAfUZHOt1sym7dKPWXlesJ27T1gL738suXSObtgw/nW09lmKxa12dNPP2tLerutp6PgBpZqIu2Gr6uuvMJOW7bUDh86YPlcxnKZtFUqJf/MWt665TXPi1nUh5FvyBXCPXv2eYghfEKYHvwOkMVLw5igjUI+ZwNs8AEyYbohHNrIsCW9ge8EHJhXAStFHKiAEfwpg6raVrSOACC0pF3mI0xvCOWzeJLrxOvqpwqy6P/QWCbdTYY46YqS4byH34kPxKsCbnyvwnd+T6M6qAAubaggDPfQd/Z+FVATKJCskPGC+wUetA8JXMrA7NErjSOH1Db3853G7vrNRBQJJAPEdMAmDxv9R4/DO0vYr+oaALp0Lh18xRrC6IHhHCMVHjH0QuaWEETCRNELkXsYTlhrGLJoj3xyZCBrmc/kmZG2gWEb7zWedzx3rHE8efAu92PkB+zgKQaEIzORtYQSit/oP4YKABqADcAnIwEVJRkbDibAI2APemII4Te8bDxXuei0pZDQVnRv7g3nmHw6QKNAOyAScAa9eKHbslfgmYZmF2y4yI4MjtlnP/c5e/ChBz2k/JYvfdG6ugp2YN8h+86/3mo3XPcxu+RdF/qB2/2HDliiUp70sv5hmBAMICUEplAomiweOgeKCmGd+Sg8xj1sDtYI2YlsqH7myMiAdbRlLZ2oWLlWdmVwvFT2cs6LehbbcP+g9XR3O6MgeCE6IZCEnOmwyMiCEilM4QYQ9TOqSjnfl2LjWQxS9LXgJWxgDJW2ldBiomCm0NMTCimBOVlDwoRHCX7akiCbb/+bATasJihxKG0CnPQFpsEVzhjY7NhwESwsSMILVKyFvs4F2Eg8ptw5NGLjZiGzmHTAop452/hkFWMeCGehohCWGPqL8sMiQDnBnY5wZzOlTZQqt1L39LhSwnwAuBBY9B9LEguA0My5AFueJPGGNZ4FpQINzBs8Af2wRCGIFD7E9/Ku4BnRgd4qYKGCEyxUxkGoKfSQlZbnwU8IOQ8h5HyvbKFh3SduMGm1csX6Bwfs1lu/6UrLf//L/9WIauQwxW2vbbGf//w2W3fB5bZ3oMfGSxm77tpL7MzTzGpFs1xq0iaGD1tvZ94rS+58Y7dd++GP2MjEpN334GN29tp1tv6iiz3XqDgybuXJCUvlspbLt9kknux0xrKppJWqdfu37/yrPfHoY7Zu9WrLJ9OWqlbtxaeesY9f/zH71Ff+xHbXR6w932W1iVHrqqetXqRgRtWqqZQ98dwzPl8fvOJKO/D6Dtu5/TV73/sus66Vy6x/sN+6lyy28gRGovkDNkJayN3ztciG1ghnlNySR0LzBd2V36cNXOteuW4Ko3RPSqPkPh5XyQqFS8ryKpkkoEa7Ck+UHHAPHIdy12pTubPZTN6qdRSjhJUnSzY6POj5XLlc1pLphJUqNUvnclZOpq2MMSydt83bd9ptv7rLBkfG7dr3v9cqB3fahtVn+oYkBYuSwpOl6Pw4VXiVRVuGI9b3s6++Zlv7J2z3oQHbs/N1O3vlMrvpumttzcrlVhkbtUKqZp1tBSsVJyyTyvghr7VK1c+YqtYSNjEyZPlU1QYG+23x0pU2UqpZPddh1XTCBifMfnbnfbbi9NX2xu7d9sRTz9h5F5xrF1yw3kshs5ZQuu998CH7zB990pb2dtnWF5+zz3z8o3ZGX4fZeDHysG163joKBbf89vQttu/++w/s0JF+OzI46tbHVza9bPv3RQAbZZU1R16JwCrjRWFAPinJHkUCmcY6ZW1joEEh33DhhQ4SAPjcozLjXINVme/Yo8ifEM+Qe4LsxEh1+hlnuFLHYbd4uJAnrHF4DuAML9Am8oLPPAfllhA/2qUkNd45jF7y4qiUN4YJjA+MDwu59ih5kfgf2YXRC9mOgYm5Z5xcr/LoUlSkXCIbW/GwCRwjt1FGeBa0umDDBi/gIUPmbPIfmY/sJqqD/kIz5Dd0kCdR4VsKu8STiccaHub5ePV4AbKZW4WxsS6hl4C8QpiV18XvobcdmuAtxGPPnoixkPkjD4aQKu5XyDbzz340MNBviVTSsoVOB1/FctXBG1pJ/8CQH4O0cuUKW3XGaZasle23Dz/oYO2aq66wV7e8anffc69HK914/Q0+D/v27naeoO3h0RFXyFecdobt2LnHjwzo6Oq24dFxy+ULNjp0xNavOt1y2aTdd++9zofsU+evX+/0oJibDDWzATYBJM2TgJRkI7RkHmRs5Dr6x0vnmAm8CnyEnq4wDE3gQQZy7busP/ZbVR6WY4C+MOd8z4vnCCTRLt/TP60FeWLC9gU2FVEho5m8pWHI7EzGBcYtgMSzaFuAPfTcCuQpBN114saeIWAq3uFajVHrXDo3/4eOA/GnQJvGI8MbxoK5AJvzQZm0o6PnlCIH6YtHWRw54utH0QiKOCNSgzQQvRgz6xM5IsAqQ5H4Q3mdPI+1Ij5RwR6dEcdYuJaxQEOeTZvIRV5yEAmk0x7fodMROgkIArRp7uShlMdMMg59EA8bh4IDFrkOuvOSkW6+erfuEwjUmKCrqrOq4J7mjHmFZqwbxs25peNFoqsSNlmMaNLbffRg8QMHD1hfzyJLZxX0X7fEgf176wolkis1VGRoPLSYyHJLBycmRh2MRYeZZq1qgDUAXMLzWjhUNWNlK+SyNjkxHnmfOrsslSnY8GQUl76sp9OeffpJr4KDwMGSifCGsEygzkbxvJcg2RsGjJgwAozzfcEUIqgWfjh+KV+hYNdnudqhkVz3jBEaqfgK94cCTJuEvmtmgWz2ezPAxsJjUbLZyzPKPQpfJGSKGHOUBDYmQAWuaoQTmz1zPxdgU8l7rqOkK4yIpVibYrMcBnnhEDr0gT8SZCnTTEgNXkA2XcIsuYYFoTA0GRrgFeiE0sBGzrNZzHgusLbMBdjIx5ECLw+bBA3totQhqLAE8XyFxgFMvZLUxoucfwTgGS/KFRYqKWsopiRkY8miDZTLyLKJN240KoSTK1g2S6UqHE8Zvw7a7tix3R588H7L5ZP25S9+3ja/uskeefQBO/PMlXbDJ79km7ZWbceuYbt4w1m2coXZyCChauSVoVxUbNcbW+2HP/pPK+TbrK2jx8q1jF330U/YOeecZYcPlm1RW8Zz3wjrIT+oWC5aMp10JWT3rjfslz//ha1ddZZ95OprLV0zS1Zqdvcdv7aJoRH77H/5ou3Ljluut8PGB0esr3ORpTk4drzsAPTF5563X992u609e5Ud2LPXuno67eYvfdGSi7ts196d1rdsqaHZyCsti+JbCYlkzlB2xdvatOFxNhkZoliHgGYUQRUhEo+6cjQ87POGUg4vaf0yxwp9dgDX4D+AOEp+ZEyKwm55R4lgvQD04RtZn6XMyDBEv8qlqldPxAp57jnrrLOr4AdHV6sVmywXrVguuYeykkhZLZ23ei5vuw/022+ffMbGSxXbuGG9nbe0x5Ll6KgBLIqAC2108DFWTBT50Cugvuw62G/5FWfZE8+9ZDu3b7Pz1qyyyy650MaPHLbNLz5rkyMjzhvDgwN2+mmn2yUb320dHV02Ol6yuiWskM9Yula0IwOHrXvJMhudrFki32m1TMoGJgiJvMfWrd9g6Vybbd66xQ+6XX/+WUYwQqlktmnTZjvUf8SuvOIKK4+P2JMPP2ifuO4aO6233eqESN/+C5sYHbT9e/a4Ir50xXL73g9+6O+HDx/xAgQvPPeshyjLao2VFqUfmqoiHWsJGSJvOfkTJLaj4GPFZa0yx1/80pdcyWUeKXqAhwVwgJICcEKW8hzltnAdeTfw1NXXXONhjPAIXrLf3HOP72n0gTnhPuYB+cT+Br8BDLBio4ggT5DF8B99o034iH5hkaZdrkW5x4CDDIGHFEaofYWx8FxkF4oSFmvAm0rGs7YkL8MCO/P1sKEkId8wCmJVp6/QGlkH8JI3ebb9mfULaJMSyD4FfWlDXm74GXqhWNJP1hT7FzIXbyfvWPBZ36wD7qNPPJucKazZtCvFm3mTAi8jMO1zdAoHMUvBRDlkDgj7wpCs8FTaiZRNqi4PRKGVbR1WriZstEgOZ4fl2okk4izCAevqaPdD5n/78AN2eP9eSyWq9okbr3cvGfPN/R/50Ic8T25gcMiyefIyMzZanPR1vnz5EhsjWMnMdu4dsieeed6WLT/Nrrx0raU40mTwoOeQucLX2zt1SLEMzXPlsGlPC71pMlQzZ9BCZ98pvFIhgPCcol6kCwl4SCEWfSWXpQ+FACL0gIaGbp4jAAONuIf+8FzGybxLj6Jd6Urqv4BbyHt8F77EB9N1Pl1HxT8MggI9fC9eld7AcyVzVUlaHjP1hX4qvQZaSLeVkVdOEclmgQqF3oqeAnPq3/SDs6d72GRk1Fwq9FT/S9fhfxm1WCsCTtKP5zK80DfxGPcJMOnZYSi45IHC0LWnaryiF20q5YXfuJ49lbBL+knIJaBNdMFIhXyQFxIZSA4c+zLhngpDVJ9CHp8vdgjvk4ND3+l4IMYHf8u7Gt5D3Y90Nk0WieWU2eW564QCp6PaJQDYIoXpEpbOpC0xOjI0FRIpwosIUk7CBcrE8Lt/l03aZHncqsmaA7W6ERaY9pw2ihAkPVCybtUS1Rlrli+0WSLbbts4oHvLDo/NvmDtGfbg/ZHVESHLgsRaqbK0yvkI45JlbWjVOyXihYvLLeGNIwZk/eA7xiymlRDRO5MFY8viIuEkV7g2CK6Hbtoww6IFszFNq4ANpURFQWB05YDxPaVP2cxQBNg8cOdiScSCLGDiVr9GWf+ZcthkNYIGuNJRlLhfVUCVAzTXolDRB5JIiWfGGo1SDdDk2bi5AfIAIDZyASQd6KyiJfAmeXCAPgAW3kL4aS7Alkpmfi+HjaMmVCWSMwBVDVIeZp5Dv1CyNly43jdyniFrH9dxD8oTMdkICxRn+i2rZGQkSVhpctiKxQnLZ3OWy0WhbNlU2j07KI8ktUKH7/3bv1pHW5v19x/yEIWbPvFxs2zBBkYqtv/gsK08bZUVCmnrPzhu7W05yxdSNlFk86/a7p2v2/e//10rFDrsS1/4c1ux8kwbGzYrjdUsX69YoStrVqyYJat+/odhhMombceLz9uvf/ULt5ivxGqbTHFwlr22+VWONW6qAAAgAElEQVS79+577APXXmPnXb7R8y4ODh6xfFeXe4Vqk1Vb2tNnNjRhr72w2e74+S9t2Yrl9vHPfNLyPZ02Up2wXGe7l4QnZKgVwAaNZwJsUhxk/Z0NsMnaqZwlFEGFYDEX9E25SLShTVqAjXU/F2CTEWwmwFaarFiu0DYjYCuVig6iu3p7jCCCEgc7ZfJWrNXt8OCIFcs16+3ssFU9bYRJuFeF9SPARt9RHgAkkksKqWNNsrHXUmnDdr1ld78N9R+005cvdU/Xru3b7KWnn7Qjhw5a36JeGxkatjPOONPe/Z7LrKdnkY1Tcj+VtkJb1uqVMevvP2C9S5Z7DpvlO80yOesfK9ttt99pZ64+x9aee54r8pl8zlYspVptlA66adMu35zOPmuV7X1juz39+CP2hU9/ys5c1mWVsQm765c/93DMFcuW2Os7d7gim8m12fKVp9lTTz3jcutH//kDu+zSS11eMH68bNAARR1lnjAevD4fvPpq2/Lqq56jhFzA6836BXQDopDFeLiwikKfO+64w70seC7x1APgWN/kYACCuAYaI6/4HoDiESGZzFQhDAAZhhpkhZRnFHQMYswXHhyS8uFfnRUFAIRWtMdzlU+FNw5AxzPlLVaUATyuku7IF2Q5BR4AduRbIov5HV7mXgcYjTMcleMyX8BGu8orInSatqUjEGnRbI9mfHhEoS9gFGOfKqMCAuFT1qgKi6kAlsLToRsyH7oCqtnDoJ0fOVEsehED9g95C7hPIIJ3+k6RKUJVAQAYFXj97vHHPeeHfYSwMWQAMkI5X5EsoLDTWFQ1udBm9WTGxooVS2QzXglwYpJCKXnLJDlC51V77KGH7aILzrVNLzxrZ6w8zXbvfMOuvuYD9uhDD9uq1Ws9D4eibaztYqVuiUzOCu1527F/1MqWtQqh0aOT9uRzL7mh4/qrL7eLluVsz9YX3FiDcQCjJXPOHioZOBdgE9BiPArpVpgkvCaPC78r/E+pHpJ94h1FEel/Kfvh3j9dn5HXTe3THxm94VHmRMc6UOyLCArmlflAH5ABTECGduTt4rMiCgS0FB0hQ1sI3EMlXoAo9MqG7dFHGav1PfdofUELecF4h29DPQV9F8OCdFn1m37Jk6iwSY0nNPYL4DTzsOkYpBBwhSAO3UJhhwKd8gzKK6t5FYiTl2p62/RP+xxjpv+6VjwQptCEfCEvGfJAMkM4RF4s3nEqIC8x6iAPQx1e3lxkBfs4a59+IO8xuvFSCpTmbC699Fh+C0MrQ+/nTABN9JM3s72jyybL5HaDOehblN9NUM/oyJh1drY7fxAaneFQUlxhE+OjfnC2BqIwP1ks2eRReiGo3OOKXU5nU1ZORpZ5gBpVuwBrVIJLE3fsZSCLBP9attBGoLe9tGmr3fbru+3AYNHWbzjfdm170c5Zc5YLA5iH+Gs2OQbPM3m+PGuysoTeqWaAphnRFfsrUKq2BeJgAvomxV+TLuATEfTocQZSPrkvLPktgSGLCvfwezMPVGiZmmkszTxsbPoICzZt2kIh4bkwPbkAKDcK92TDZLNDOWAc9E3gBOvlTICN8aAgaNMl2R7LtzbIZhs2dOcZCn1gw8WSrZBELMNsuPSFvhKvD+2YDwS5BD3jYWy0hcLDWLQBNQuJZK4RJGx69BsLk4QF7bL44Um3RjZKwAPI6M+737PR+wp94QU2de4nLGrb1q2+uQA2+Z9qVNpgImGW8eTyiYkRy+US7kUrlwYtYZOWzuJp4dDgirV1dNvvHvmNvfDsc16Z9brrb7BaGe9M1cqcY1VJWVuBcKxuGzqSsHxhsbW1521kfMyKkwO2fNlie/2NVy1pKTvztDV2cP+ItWUXW1dn2vr3D9nixd1mE2NmhZTZwBGzw/tx09nYqy9ZLpG09CUXEd/jFdCsWMZVZfuefc5WnHGmWQfhMTWz0/rMettt//iYTUyWrCORs+5k3rKJvO3Z8pp1L+21jpUrrH/wsCXSKevt6baBwQHLZwtekVOWRBkAjrVKJCGRWMW5n7mhLSko8rIpH5J5mh4SqY0eHpAyx/US/igJrsw0qkbKK8f18CR8IxkkWcH1ak8bliICJFfhJQ49pbBLkpDIUsVGho9YZbJo+Vzk9aXcc77Q7qXzyQumsAFhiXwuVRNWK02aTYxaJmEOWAQ0k4mkFSeLU4quAJvWs5QgypAPTFYsW0g7RmdLYMNIWc3/JkZH3JAQhZVmLU2ODsIejx/x+6NDVsiSd3zAevuW2ygVf/GwpfN2aHDUfvqLX9ng2IStXXeuDTbKREMrPHJLF/f5PKWzbV5sBcC267Vt9t//7Ku2cmm3TQwM2V13/NJz6G750hfs//5/v24HDh6yv/zf/ner1Gv2gx/80CMDfvzD/7Tly5ZN5T6w9pBFgLn3XHqp/du//uvUYbmsYwAWBkHAHbIRAxPyDpBASCOKO+saAAFYY90jAzjSBt7kmQA2zx8ZH/cwbJ6nQjTQFiUXC+/tt9/u1fJQzngGyhx5GEQLQFOABgAF+YnMw2JMSB4KBwYewAiyA48bz1bkgvYS9iCVmqc/HklB7vDEhANS7uUaeQRkxZe3gHtaBWzIO4WCUlIdrxp8iNeMSIlmif08f3Ffn21+5RXnYQDTGzt2+H06ozUEACjpqtQITZRjS1U56Mb8UpiAUH08nih45OGwLyHTaUtrW0oy9NR80ibGTPJzUKjxxgL4oZm8+PIKsFbLJSJqylZo77B0tmCThAwns1Ynn2li3Hp7e6w4XrRnnnzS9u563T77mU/b7b+4zWqVslVKRfvCV75iP3JjWrtd+YGrraun10YnSjZeNmvr6rHnNr1qL2/dYZOJrE0m0tbevdQODQzb8y+9bBvPPcu+cM0ltv3Fx33Pg6/IB1IhMSmlcwE2yTp4xNdjA/zzP7zMCz7kN3QAvBiiI78xFwqjFMgJjVO0E3q8pNSHOh1rQbolIIj5EW/ymdAxjC30FSMELzxf5KCGHic9X8+QbiZvnr7nfgE2yXxXhhvet/Cdfip8kbUmBV3hkSoQIpCD8Qf5QD8VKshveNGhH7/JG0Nboo36pj2E/xUhEkZlCOBN6Z3ZKAdwthw28bj4XnzMcwCQM3nOZFjWnIQAT/MpJ0R4vyJkZtJTBbr0m8CojpyaDgo1TvZ17bHIBMmrcO1Knmlefb+ukFsdnVWqkGnxt+Z3ep+aYYW5fqe/ql0gwz28LL1bfZwO5CaKVcvmIzAG+Ma4459JhyDH36tIU1q75k4EB2w0JtAhyxv/CyHDDPpdbmoHEsm6lRM1L+PtYI3Nvpa0NACtVrEsOWtJYrxSXi56/MiwPfPKNvvd8y9ZNdVu6zdssLHhQ7ZsaZ8n4DJplBGFsXX215133u1MxcLwczcWLZmqouOhZO1HYz7nQ3BNmitIjTOQGBuCKKwgiRAP3bmESMhTJmZTmJzOBxGw1aJmQ4GmtCvrUzNA0ypgk4cNpYG2WKSKGQZ0yIrCb/QbDxb9kxWXfs7lYYOhAE+0BZ8AlGBSrJZH+vunQgVmmxtZpBQrjgKgyk8oGzA9Qg5FjAXL8xTjrHhhVWXSAlVYgMDoXIAt4WpqFJYHYEOBc8BFCEY67aCLdrB+6js8XyhxbJLrzl3rYxTQ0ObDooWfUPgJ7YRG0IXvJYiNnK9y2iaLo9bePmmFTrwqb9hkbaclMwetWttnmey4JRMTNlkcsVJx0pYuWmYJ67Xdu7a416pcq1gyuchq1TMsUV9r1fJqq1aXWTrT556Zqk1YuTxiPd0Zy2OhPTLkhUi6C0vt8OARa1vUYfmsWe3gIS8GUnrwQXv8hz+2JZNlqx86bPnihJ22aIkdGRi03iVLbWCyZO2L+2zf0LAdHByyrkUrrWPdWlv73z5vtnqpDRA3mS3YyPCILSp02eRhCmcscySwfd9uy7QXrLur26qTE0YHc8kIZM0XsBGypoIe2uTZVGThZO3NVXQk9MTJoksoo6p/wX8C/lyLUQB+VLVPnWE4NacNL5wUIfhhtqIjgLGBgSFbTtGRZcusQKVQsovrUWGn0bGoeh2HrKZyeWr52/7D/XZ4YNBK1RqnMlg3fFaMDrJX9T/xGOuYtaFwMCkHMkZt37nLDg4OerVOeKM4PuyhWx3tBevirMoSeZzZRn5Bt3V193o4O0CTpOLxsWHrak/akf4DtmjpCpsolS2Z77BaIm37jwzbj3/6czvnvPNt7Xnnu/KKjO0/dNgNIHivOB5mZHTC19/2za/Y3h077L/e8iXrzKesODRov334IQdsn/yjmzw/imMsvvJf/8wODxyxe+651/NTX3z+OT/vhnnA2Mc7x1DwGY8LwIvnQUcULjzehNWwpgFazCf3ADSQjcgc6ER1Wh1gS1/hAwARBiNAHAfowrd8RxK/QAX3EIII+CDBn+uhN3KVOeV3FGr6ArggGoE+AfAwTNEe/yOvkSmARgpKsD6wKsswgfEH+YOnV7ldAj9s7LTDmHl3Q1Mm4/eGoE3eDXhnvh42xkQoMc9BKWWt6UgY8o7ZA+d60eewWiV9RIljzckjwTNUlU8KI7wEncj/g04c+wINAcHoEKxR+sM84sUkKkF5nDKiyCDM/gYfQBuFszNPyHzuUzEj7SPaR8nhT9SiI0DyVHDFO+Y5noSUZ6zIIfJdXX6c0XPPPGWbXnzBPnDF5fbwQw9ae4HqlINuPPjN/ffZsqUrojzUTNZKVbMyxbCybXbwyJCNTlZtsFi2yVrKJipJ27x1u+07fNjOX7XC/uiyc23bC79zWmAoxUgA36vojeSb9nnGCB2UJjEdsMnbAr+jz9Ae44eP8dph2NAagQ7iId5Dw0CoUEtBFh+EHiPmmP4AsAFg6BHwtAr/cA9jYa3Sd0KFea4MEfKWhm2G/BaGFAoIKmJKem94/fS+8htrg7UGb/DH3sB6xoNPziDtMQZeePBZ3xiaZYzmeh03gGEHOc1LRjyuo//yTOt7fcf6YJ7g1xBgOlBG754DsAF2BFhDUCSdB75gfQlcupeZCKOGp1KeMump9FVgi2sUYk1fdI0MGgodlj4p4Muc8Ez+1z0CNNP1YTlAZpoXhejCQ+ov34V5iZpb+ke/ptNgPpghvEdGnJmAL9chC2VkUHQE+zPXT0xM+hmO2MHHxqiTQepYxfIFisuQAhblzXt4ZCPKLzE0eKTum0AmM2U5kZAVikY54XeFVCgk0is7phJ+rhMaGQoE5y2l62XL1cqWrE2ajR4xK0/a9je2eynq3uUrra13mW3ds89e3vKaffITn3KhWq3WvPwlC1UHYWONvPvu37iSCxMhMM5etWYqB8WVpGqpJZrLbc2EslF4IYhGaVqEFBPCYmXz5Z0XfWFz5R0aacPBSoqyR+4UfYW5lRgL7VR9DgbjXlVonGsArQI2wnJQDiTg5BVASZFVCEZmDDCFQKUsAfLgzeZhY8HKa0cBEJLu2QDJBziWpHP4ClDz1JNPeigj9HbvQ6PMu+YHJUmHcTLvOrSYRa/CCgrH4Xd4iJwA+tDMwwaNuZ5wEiXGMl8SkswrVlY2Meii71lMH/jglU5b6Ma6UfVKrqWPXAP9oR8eIIrpsJ440+3Q/iFLVTqtVB637p6SFXqHrFLdYuOVzWbJ161Uf8My6SM2MXnIlha6vdT/G3vfsK7OPuvrXGXDYwcslUaP77Px0dOtvfA+y2cvs6HhPqvaEqOCajJrNjx6xLo7EjY2NGBtWc6e6bOR/cPW3ttrQ+kJq1UmLHe43zq6e6z445/Zf/79/2mrSjU7O52zzNCwZThjsVix9u4e2zM4bJOplK1Yt9Ze23vIRiYztuKK99rG/+tvzFZ02O4sgG6lHRo6aIs7FltbhdL241bJJD0MspyoO/DM1+qWS6QsXU+1BNjgGYwSrFsBZ1nQWXt4KuYq6y9BiJCHD/CYwAc6VFoKojZflfVHkVMVW22wUh60nuFHFCNyqmiXdSbDiSvICSzJBbtk40bbeMlF1tPTZZViVNYfz2uiXrV8e1vk7W7rsPHJov3uiafsqaefsXG8mB0dNgHgqUXtqj8K26KveGVUeYtn8pvCnO974H7rHxhwuca5feTaUJ0U6z8lxf1VNZsolezc89a7B2DJkmU2USxZHa9ENmGJyrgN9B+wxUuX2USJIikFL76w71C//fgnt1n34j679L2XW6lS8f7t3rnL5cP69efboiVLrN44d2/Lpk22b/du+29f+bIt7uywznzWtm3d7McKyCs6jNFjcZ+NjI7awcP9UXWyQwe9UAiyjL2DNcfcoVj6rpRMOu2ZR+Qvii0FTFin8A3rFpmD4gV9uA6LPl4ehSwh41AUUeLJo4CeKJUKGUOxJd9NngzmBTlCu4TqQW/kB+3Bp+wNfKfjVuBbFFLuwcOP4Yh+IVcBQIwH/uS5Ap/aO5QDTLvIdlnm8U5RjEml/Okb1/I7z4ZnBdxbAWysGZRUnVeJwodSimcKvm1mkGQcMghCX+6BtrKqs6ZUtRH6CSwwFirL4cmjkif7GSCcEFjGDADHywhNADIo/ZLRUvAiz3F0FAg0wNNJERloTUgttIdOKk8PzzCn0JK5Gjh8yNKJmhcMwvjCodljHA9k5CvlrVKr2vZtr9uaNWfbvn177L5777FVp59uI4NDds7a1fb8iy94IR2MNoTmYiykEiRKHLmthFfmO7r8gPn9gxXr6knbwSGzO3/zkJdzv+i81XbOopxte+kp9xhjWIDfCOPEoCwv/7F62LhevMF8sl7IjcNLzJ8MocwJ6017pEIoWT9SiuWF4zeBKcnF0OMmQxdzAhjCOIGxBcMvsp1rAdzwvRfvWb3a+VqAR+uAMdJ/RcYIpDAe+Cr0fsCT/M/3CpWbTQeTXkz76Bn0D34FkCEzFB0EPRgrVQkJ1YP+jBt+hW9ZI3x3w4032sgwaRCRV1EAg3HC8/K6yXGiao5cq/Uq7yD/JzlWq4mHLRwb98DPjIu9YKYXY6LN3/MGNY4lYc7kuJH3T9WvaU/hywJzIdgKvXAyhIbPUbRKeA80Yj51ndZtCJLQ31iTvFSBl8/Sn0M5RP/5f7awxbcKKKCXG/MD4I4MkTHDt9GgmMyb2q+778zGRiass7Ng4xPFhoc5PK4sqt/h3mRy2NjECLsgV4WGsWaiILNBzClw65y3Rum6yI+XIJTGAdukZWoc2jthW5942LZvfclWn32mnbPxYrN01qx3iZWGx+wnt99tO3YP2Ic/9nF7+KFHfRGQ7wNBOYwbAfqzn/3CrVCrz17rmx05FCw2QiG6ujps0eIeP6AZRVh5BTCMJg+Ey6KEmAgEFo2qRrH5ymODQEcxx1qKcg044DqYGqsP1QpJFmfj5jPCQ+EfLDTCTxROgbIA0zAOWRD5js0ACyAxtQgkJlVnewDyeBabM8ISVC6lYC4GEqDi2QBM/tdGyZhRJFSqmkUqS1BE4/amFlDagy70H8sx90nYaGG/VQaffn0YJiGhJCGP4GLxSkjpXUK/mQVXi1YCCMZXjDzftbd1uvDCU4MCgLIkD42Ei0ICRFvaYH7gq0988mgc9VumQy1nk8N45wiHHLJ04ZBZ+g0rJbZYpbrVyrbT0qkjZqlRPxbDN6kaoccZS9YptoOFc8KSiV5L1M63Wv1Cq1cvtEpttQO2ej1tNTzcyQlL2YSl6uUoXLmaslQ1Z5PppI21UTxoyE5DgI2M2eFf/Mru/5//n9U2b7OLKeM+OmY5fPX1tFUJteOga6xD6aSVEzkbnkjb+uuvszP+9JNmV15spY6U7a2MW6Ji1p5ut2wRcZS0UuroYdoYdmjTnXGJTEuATWcjzkZ7KWez/R5aaMV7CtcRD4rXBMxCHmw253P1T4odhi9K0xP6kKxVrVqrOGiiPz1dHR4CSJ/wtJX5vVJ3ZbBeN4sOsdbJZr/fm2bjJ4/YODMzsrpxgubRzzj72CQIx0ym3WtAkadkmoqXeAOrNjna70orSiZeAYqREP5+qH/INm1+1Z57/gXzw9Mbe0TYwxrWfjazelSNkuI2G85bZ2etWGHZJJWzxn0/4dXontUSPMMDOqL1gDdjjklgXat4CLIEkIdiLAPWsRjEms3x8fy9Wf9afbZCvubrYVP4G/sxFSoBmeyT7Mnk/8qbNd9+KjRKyrjAAfsmc8v/fnTFihUezor8Boirgh06zVwvGfNkvHSeaiiHvM+1vyTrNStixPOCADkP9U4kWRWJKI2jXrfHHn3cLr3s3d7m7377qA0NDtglF15kfYt7bff+A/a7Z56zVavPtvPPPW8qFF8RJJkcHtG0lWp1K5aqVpws22ixbMXJkhXLFbNKyfra03bakkWuv6HP4BVU2B0gVpU05/KwyYMoQxfyjf7joSQPiKrNCifn/ZFHHnHABnABXBFuCrjD0IWeAA8wD/LaoJega6B/oT8B6NE50asAYlyP/kXeJTnJAGUML8rhVIU/dCR0GdpGf2Jdo6e+7/LL7dlnnnF9ET5hzPQLkEl/MV7cf999DrbwPmKggl/pB9c106/co9oIvYfG6HEcf4Qhlj7wHeOiLxRJA9jSP4x1GAvREwmpRu5gkMGQoGIuGAagE5XRMTyR1yqPP3RGx0C3hCboXSrgoYge+I4XY0ZOc6/mcSav1HzXYXzfcaYAm9pcG5nDOjP3sDHZhBbwLisLcd8Ky5i1q/VkQ3E8+qRUveqALVXH8jtmLzx4h40N7rNz1p5lfRvONQPVZ7JewGBs35Ddfv9ztnXHIduze59bJgBKUaxpxgHaT3/6MxdA558XWV0OHDjkGwPWtIgha/alL3/BhTfWNYUDYBlSwRLGBYAT4meRCqCxeABKLCQWN5YQFtwtt9zi4RCyxOAFZOGw6FDsWRRcx+JHiAA2AViEZdBfBKismPQTQYqAo48sdq6hPwgxFixCjX4AjmgXi6xCuZoJlLnOYUMoAgIZP5ubYpkVmtkM8EBD+qQKe9BIwltWg1ZYWS7qMKRh+mdn1CC+PBREssjM1geuDb0ksvzJhU+apSolIYChC0quNjjmMLQccp+sangUR0ej8IZ5vepZmxhKWSZNEYAJS+cHLZE6YNXkXqvUd1vdDloqPeohkX4Ifb0Wrbd6yhIO2HDzD1nS2q1aW231+hqr1c6xSnWlVepdXrW1niqZJScbgK1qqXrC0pWsJWo5q2BpbCcnqWR9GF7IY3tpkx1+8mkrHOq39nzBbHAwMgGhIXO2BlVZKfOXTFstkbJ6OWepc9eZXbrObFWfDeYSNlQtWaaWsc50wdITkapdSdoUaOP/dL1mqbcBsM2L7sFN2txm4j8uc6tW45yi6e/83mz9NOufV/lKJYlP8DPYXNGjYmeF4k5RDi+ASoCHaYh4niN1AXkEUc4O2OZ6PgY2HyOgqIHYBNyi+yJLuu8lPCcRFWRCdhNKDE/Wi8OWSlDFq+AeQ8BXJp+3UrkenYu1eImzDrnN2pP0XuFYlpRZsVq2GocapzPWls04aCyNj1mJA927GuEuSHrfZt4M2NLw7RwvPA/y3OgMPRQ/efCbzV8zD1Gz+W319xMdsMkQhuxkvqGrzilUgaVWaCDPhcuQSmUKTLGnoxCzLylCSMZXeUrpWzPAKA+7AKHWvDw0fD/bi3UzOTY21ScAWzKZcqBGxkgV80Wt7msYYwzn61Fgqi2Xj3LX02nbsf+we8sIQ04nCUaKKr5SIY6z2Lxfvv7g+8hA3li1LgEmxsZt2bIlbrBGF8HLhh6hc2K1X80G2BQCqbA4jZ/7iHBCH8L7x54IKMEADthBD0I/Q+/i4GVAFDrPzTff7NEqFKABLNMPjOCALkAGoIlcTQAZUUvoLuhY9BudiNxBAD+6HqHN9IuwYaIUAIPwFEAOrxuec2jLeqZPgBXAH+k1fIdhXDyAzkL/8NpBX/QxgKYM+3PxKGtQwJ5no/+hHwJSoRH8Rj/pE/RCl0N/A3wyf4RuMxb0Q8Cxzh0UWMUDzPeqLYBRn7VE2CV6OPepiI5SeBiXz1k2SglSZNJ0wHa85Ucrazu+N9oXp78iY2S0yo++AsAG08NchBcwwTAy7l6YYC63YZI4a0BbjST0xoOxtuJhA7DVR83Kg/bSQ3favj3brLe7zdo626x7cbetPOdcs9PX2UtP77Pv/+RO95z5oXwrdMBzzRf7N795qytNa9ess4sv3mibN29xgUCZ5+XLl9p3vvMtW71mlYMcQJqsJrfeequDKDxqWERY7PwxTiwhG9/1Lg/DQwCxCBH2LBySRgFKxCFLiLE5ULIegIU1j0VDuyx2rEIAGgQEQgAFgXtZdFwDOKRfAEIWHlXAEHAIREAy9zAeeeKwEjEGBCLPCcuuzsTgzTxsCFTGiMBlLplfAbdjieflHsAxGyP0lIdKIWTNAFOzRRmCr5k+q/2ZQJw2l7meEQI2Kefa0KEdZ2ExRrnXpaBLCLOxwgcKJZKXDUHs96XnNIvMPfx60oqj1caGj5eiaunUJJHhVnffQ9ESybIr1AQec1RG5GrgmRxMSP7PEVeUrb7YqrXFVqkvskqtw8FaJUHIBGcf8ldy71qqlnXvGoCtaikrpQhjS1re6q58p8kts0oEEqqTZigWrtD7QYhmeHT4DHijAMXQWFSMpJCyIuGXBG7WzdrqGWuvpS3NcBBKqZqVOT4gLcU7EkAcYdBKDlszhbrZhiUQpomazSoZ8vlsn2dbn3Mxgap8AdgIeaW/VIXiHD48bchm91s1wFIIGpkHctlm8l7pmXOOH1ntHqrpm0N095uBYNKqDhTdr9sIga9ZfWLU6rWoIBXWXvfup9N+EHGtUvc8HoAWe0X0Hs0/7/BD0Zky6QpqmgIsAFd2E76mZ5VIYWYTiwBbtATkYWsG2JQfIlmhMH/6yRpvptA3469m8q3V35vx79vRfqshkfJISdYiG8NwoFb6yD7JXsM8sP9q/+KZAnPIZ4WSwYeaU/dKN8mhCz3sYT+1zuba3+DR4kQE2Bg5u/QAACAASURBVMKwaF8jDQ9bW6HgijjtRMAtMVXMI9feYclcwQhCKHMuVWnSw6DxWGfTKctQH4CiHch/HW5Npd6GAROda3yCSrKL/LrQCKuS9wrlng2wKQRSOUVh5AoeNrw85GoBwtGLCN2F7v/LZz/rhZj++Z//2Q3Z3A9oR7cBbHDMAtU1oQPnswLCiFgCkFFplRd6FwAMsId+AQj6+te/bhSQwRPOObEAues++lH7l1tvnQrtRt/6y7/6K3v0kUcctKlq60c/+lH3hP34Rz/ydj//+c877/hZY4sXezEePFjwCACSd0Uczcaj0hmgL9djkAeA0ldV5UW3AnwSag29iES69kMfcv0ScEcxGECkDmOnP+QromsCXBkv/IFeVmhr83EB5qAZOqaMCgohlAfUwVuj6IgAG88QT8cetlYkzx/oXoWOTH/cNLVSl3lIJEzN5KOYK9xLFshmAosiI5G1N7L0sqm6l80mLFMbM+tI2MSrT9srzz1mwwN7raubA+PavNJZMdFt9cUbbO9Q1dasOccBzsR4FK+KpYqFeccdd9qV78d1faF1dnXYvb95wPuJ1YJk3rvu+rWVK5MN79sBzy0D5Hz729+eKuf7j//4j24dAhwhBBAweM8QKnyPSxsBR7Iyi5H7WSyuHDRKClO9C+EHkFW1NUIvsARhuWFB0z4LlrBOkt2xDF18ySX2jf/xP6ZKLHPCOx42BMo//MM/uOBAeWAxYpkBsJHLR0gJh/WyEOd6NQNshB5gxVJVI8ajEs8s6GYKCdZpACvWHkCkwhzokzxXrbB2aMGcyYvWzAMSxjHP1I/ZAJtCbXJU9mqcnadNV7H/tAcvKFwIumkDZL342gDYtPCqTFbcW5FqnOfl58K55yRasbVqlLSPUh15QvQ8gs9I9KX0Pyo9ACxnVQ9dTFsV5T9RskQK8AVgI+wt2QBrWUvW8u6hqSbrlspEnpTi5KilMwnr6sw5EC2VJmxsfPjo6FxLjtY7LzxkXb2dfnbYeK1ik1iWqUVZS1qumrBsOWGpaioyFvmtNePfUrrmHjeEUCYZ5cbOt+hIM4NBs00rvD8Eb1P0x1Q+rVR0eE8z/juW/k33GB8NzaxEXs7Gy5XggNccuNSdM2blwLnG77Wi6iiE0e2RJ0xgKLLkZzHyBM8PDSjOn+UJmxwfdyUZy77C0tvaorznegNleVRkI89Zz6mkzIZKAP6UexfIxatTzrxuliFXlPAyQr9mAWxcl5x2rtJ0QtAHGWEiMFzxPU6A4ljmp4Xl3fKtzfrX6gPejpBI+oBc5M/lSKMAA2u61ZcUWdqBt2ifOVVRIRVhgM8Zi8Ai1yuvZK4+iL7h2pdx0OVuE/4qFyfd2MDxMGApXR+2oT1MHkLoQlgz56zVqZJbq1utWrJUom75dMqyKWpuI68bYA1jWqNkOu94sb19dop0wcq1SNlXQYiwgAP9mSuHjT1N3hp9Ztz0Fa8VAA1dCJ0JXYB0GZ4DyMAQjGFaufzoCRi9+Z6IJI7J4FqOyEBvArCRToLOA1gD2HGMEKCL62750z+1/+frX/ccPL7/3ve+5+NCn0JXQ9dijmn/v3z1q370AgZ4dDh0Qt65BkM4sohjJZTCAb3ENzJcq+DZXPwBbbiea3t6e+2JxhEUeA+psg3wQreiOAueQ/Q/+sEYAHSMDb2QcFH0J/Qxxs537Ht+Bue5507lz6pglPYVxq+if+Jn8awbn8h4aBzIzPdhzqryy1pdg/H9x4cCvn9Na3pqr50O2Br/J8ZGh+swI4qpNjNZgRTnP1t3USDTbLIIhUTWahyc3QhRofBItjZh5eG91r68y2zfVnvlyUeskK3b6SuX2YED++zxTa9b/szL7D1X3+AHssKkk1SnqyWso6PTwcttt/3cbv78FzzZHcHz7LPP266du6My60mze+75tX3s+ut8wRLeiJCg/3iy8FQRI8x5KjqQ+5vf/KZbjAiJJDwRNzbPwb2NRYYFhyVsKra4t3fqHB6sPR+/6SYnx2O//a27/SnzjGCDhlhWEHACbiT8cw/nk2EFwnOJRYqwTQAQlYPw+iHwsIyg9CBsqAbGotf5bnOxSzPAhvUKASePmCxFSkBvxoo6+BdLEBY2Weqk9LSauCnAOJdiMv236Up2M/poE5e1XWALfsPDhuBU2IOsUx4qkst5hUeBO41VINP73iJgc7CFZ8Fd41RaTXn5fSkQeFv8GYmyn2sYgS+8DnhWcpasLI4AW0PRrnGWGtelKlZLNq4Xgep44tKNsErWqvlhjAiJslWsgsKTcKjXUAiic3g8L7XKUR1mmVoE1EBbtVTNDiZHrZysWbaeskwtZVmL3t37XqtbukIMH31leIzDrJyqTXnaWgVszRSqY1F45zRKMcczvKYDutl4sFn/IqMHHrQIpMMLUvYIrcoCehqeLQcZyFuUtcYfhWWORSE9lv5F2YYKxiD8KgJRYXjGm8bT4P2hoQFXrFAWqqWoal42k3ZFolSKDA7uWTNC6I962KguXOhud34jJBJvWoUqe1WMExHdQ/kSetg0nmaATeBBAI0+0aaq47H2mylszWTk8fz9WPi3lee3CtjEtwLD/C8wpT2ilf4dXRfR8Tm8pMzSPvOLjFLFOa4JPRHN6KccvJkAm+T+XP2H3yPDJ/zupdf88qk13Mh/QkCTW8+aYp3gMR8aGbFyMm31ZMI93ckEhu66e6wT1bIDtsjYEFlUuIc1oMrGUTXKtA0Njfj6kyGWa1Upr1lIpArVKC+de+XVVU4/XrOzVq3yYhl4jAAdgC90LvQY9B2M1/zheeJ3wNZf/MVfeJQU4YDoYlz73e9+d+rsQVJb0CmIMGL+0IsAgPQdwIM3i2cQkqnKqdqfuZboIfQbopjQ4TxiplHAh0gowjP5jjEq3YF+I3MBn82OnIAWLsuyWTfoU/n6uWef9fBMoqiI3FLFP4q9oO8RculREcnk1DmP6HLoegAzns24MM6TBw9gU1im0jUI60T34CgDaKaUDOVvKhUFmo2OTTQqDkbnQqoiuQqDHG8PfStr+1S/NwJsUf64IkZC46u+07vLAHLYJLRDxVWWrLmImiSoioN2KX2ayFnF/7CqoYDWLVOftLbaqKUxEh943fZse94GD+y2yuSocQ5comuJVZeutw3v+5ANDAw2yrVG54RlMwWPyf7NPQ+41aa7u9cZe3hozK0VHvs8Pmrr16+zK97/Ps/TIh8MzxmMjTsfEITXDjc4wIiFDSBjsSAoED54ulggfAegwmXP4mZBEsbIeR8kg2It4RoSSHkhQAiHDEPnFOONlYcKYCS9AtToL+GQADMsTAgNACSLHCGnAhbEH/McFXwBBDaz4DcDbCxqYqZVYET5VwhoFdeYa47FE/RDlYsEgFRBqZWFF44vVETV5lsBZzP1QyFQtKNneV5Ove6KW1S0IbKM8h30UTEV+Ei5DLLg6l6FAeHdbeVF/zBQJBxxRedusIGj2PIejV+etWoDIKJaA4IKVi93+8kZvqUn8dZNehhlIgkIaCgOjRDKSBhEinA9AJqEuCUyaUtlc17UYpwwtsZBqU43TuYAfPHeAG+AuMl0zQ7nK1ZPJ6yjnLRCqW5J8CQhmlQHy0T5f9xPkZGogETNyqm65y7hZcsk0m6kma+HrRXah8pfaBEPP4cARUpd+N1cOS7H1DeqQQqseWXGRo5WQ0offRbh59MhlfLZjulJM1/UCFUMbX1hlIZv+Ak4J8oX9r4mo/Bc+LNYqxjVG5k/8s0AlFSKTSYT7h3LkPP4ptdRAFxL1Gy8ODoFSFkLmRRrDi9zFPoVKhwoq9MjSJoFJKu6Wgge3EvROHfvWMLCW6DuCX9rq4BNhi4pm8hUKY06h7RVImg9CmxLpsvArPcQiGt+mxkUtb/M18OGp4wKq1OywRn0aNSFh0bKS09Yrx+nFO1FiUzWaqx55L1bwGpWr5X8PU3EhYdCJxrKXJS/pjw20RSZQKifV1vO5aZCQKGRPG3H4mETYBMtWc+AJQCXKl4zr8wp4Ai9CRqTJrHq7LM9hw59hqq8XIP+RcENgBF6HLob/SOaCa8UBnJ0NnQc2kUnQv/hWp6L7sUzKOoBaGEeFXkAoNNxKlyPLqe0Fp6N1w1DOSGSiogROKPeADSVM6KZ/BZ/0xeeid7JHzlqqsANfQmL5Dt0UGinSufojBTE2fTSS1O58dxPv7mHVBrGp/oKeVIwGqX46bvCaelzmG8pwwg50HwvLxy0UXhs7GFrVfIc3/tnAmwRhIteMwK2/sMH61h8eMF4MKhyepoJ3KSVLWWTVk3WrGTtVk4WrOzZMCigZpl6zXozdSsN7LU2ih/kalZ5bbNtev4Jy2WTtnrDuy27ZqNZG5UfR11xw9OGQBsfixThfK6jEffNuQ0FK+Sxlgz6GQZtbXk/bLj/yCFf8Aip8DBqGJfCEPsb56zQnkqzU5XnwP79ztzc44sHa0ajqAZ9UAy8DsKTNSWstIhA0gGDCCQEJ+3JMkOJ6F07d3r7SgZGieWwUQ78VREP2kCoAK4QDLSDcPHk5DlezQAbC5s+6lBp5crRB+UDzNU+wieylJemkr4F2MLch1ZZOwRm4edmIZvNnqtch+mAjfvg8/Gx4lQ4ydQmOOXtiKy66kO4+fqG6zldrYVENip6HAViCc7xAXhFmUIOfjivzRXYqEIkfzU+++/UJCtZnSM06pOGEQWvg4dZWtbq1azfX2ts/LVE2epJ/iaNUo4VDjv2qmhZS2Df9XxU7s96kYmjG1pDcZ8qUBGdv1hJZyxTT1j3eII0ObNK3WrphI20Z6yYT9l4veJArb1cswKHQbryUvcCJERTtwrYmlkQm/HP9N9Db9Z0wDAdvDXjven3z3R9BoWtYWJTUQ3O1hFwO8qTntEVWdcbPIf6Vm2SozPn+OtJpqsBgo5Cn6MWvUhhdKAW9IjQLboM4B6plWy8NGmFXM4KubwfC4C3ACXWvR+NsLjE1O4TeCwBgoC/qUoneGUbRorG9Q1d9035ayEdmwE2yWrGobA95YDIu3Is8/hOvaZVwIZ8CD1eCivX3tnM4NiMrtqHpbBOD5FnT2VvUq6aDGyS1c08bOHzQ/DWrF+RRkU1xbAg1tGsz8i4QjGe6OB5VpBXPKb8EwfeE26cz1mxNOHFhXwJJGpe9RRjRwQAG8Y1j61IWLXGe1RsqEpURo0oprLlMlFqQ2jwlMdTIG62HDaFQSqfU/ndOpQdozf919EKKpPv0SmNo3cE1vlNYYaED1IllDWHDkakCm2ja3IdeVzoNrRL33mOZDl6D/qKDCvTvafay3lX2O2jjz7qbfJ82sQDh/Fe5yeiH6KD0TbtoWsRkindd7b5lmEWGvAsReeg13EeK7+r1gM6G0CN71gXOkdW5ySq1DugjHMUBajIu9P/9A3Aym8Y+aGZjMlhZI9oQw6bjtzi9xCwKYrgmHg5vugPToEQsLk4CTYzTKQhYJPnLXH40AEHbITfKbZXxS506N5sI0E5TCQmfMMvJRseNit4PluynnBFrTo6YN1Zs0Jb2mxy1Gr9e931b51Ui8ybZbttT/+wWxqOHIm8bEuXrrD+w5wrE+VBjI6QIxEdREzIEAuvXOLQQCy5lLue9MWB1QIhwALA4oNHS+czpDMZ/46FyyJWTheLh3LAPIfxhgqgDplmEfFsLRgWpBYJn1n8LGhZe1ThhxAIXtynNjh/C6Co85hkHWFRI7h0lpJAYrMNpxlgo98IFMbNvNJPedu06OfiVO6nLwo18fj7anUqLv7t5PLp4WP6P1SipyvUzRTy2QCbFLhKOTJQ0K7KKTNG+EDnzIT9kADXvFIoopUXmzUqcyJZtUSyFoE1XGYNO4tbZFHSa7kGWMs3ABsArm7ZfNnqiXGrVwFtpUauG6FnALucJf2+qChQPVmzCLBNTgE2whXzJC7XEg5e6/WktRW6LJmIDn6lGiTeuKjoQwS2onaiYhcUUctVU9ZZSlqSIiRAxrTZUN5sLEv4I+DPrK0B2DINwMaltJlOtuZhm84z0+ei2fqZ/vv09qQIzaTYHcu8N+sfgE19AHr7mmzYAABu6ZQfpY1ZPtIRw/BIKm2S7ztHR+Yaf1R9bnqVyciij8fXC4MmovBLXq6EkgvZCJPkmAc/rqGOYa1xHtDEmOeeZVLkfYxbjmNcgpdXi2xgVNqaLCJ7kadRaGetjJchysuIrOqNQidBwZE3tddkErSWpyvwzeblWOb2nXBNq4CNfVBgKdQfoG/o8ZkvrQRC5MGiv1EYceRx0DlW2peUjzzd4zTb86UMT/eqT3m9G7w/4/0AtkYIJMqXH8sxdeHUIvYqsJ5ryllKFOTJ5q1E3u84ekjOqrWyhx6He0sEQtkTGp41wiE5WgOPdTKq2IoZrzY+ZD1dbb5GddaY9kR5pebysKnoiAzMykHFaIyhV/unR6Mkk/6dwp/xvqEXLFm61Pbu2eM6DToTwElnswrE6OxRzlBj/pYtX+6ADr0EEKU6CgprDMGndCSFGqIjhSAF/YTIJPQv5g29D08fNFROmAzUIY19PmYJedc0yqgt/U+6n84y47pQXxBg4h1aqdCIjjYgjFNhoKH3X9WppWfp/DbpqYr8YR6U3uLgOJWZKiJHX6U30p76Nd+1F993fCkgwBbtrb8P2Hy/b+hJ6kliZHhwtjolx9BbVwMbVb+9jl3D8h+Jrai6XRQKRSGSyEJc8XBJ9l8Kj1QokIAX4fde09SQGcpfRlpEqx6OYxjmCXwJgs0Pvk2lpryMoVfoBO563LXpmzuq+RQ/i6+jEDlq5kXVABt/fPZrGxUd3a99dC14DpCbaBohaR76ptBKAFgUavkmD8XUGlNxkaNTNCUkGv07KjSivKQM0ZouYZKR563xp7wjlwHkvzVChqa+51y3FoqOvJOZaHqRjt8b69sh+2YpK6wN5E1l/md4nuYx7NvUPcFxBFMbTqPK41G+m0l+z++YgncyLxyvsbUK2I5Xv06adsP1M8P6UM7mm8aje45x/UaytmFxb9yrSquRTjW7DgSAmQuwvR2FYRZyro4FcC1k/+JnxxQ4FgrMKCcaN4YArUXAdixdia85nhSIAdvxpG7c9vGmgKzkC5XDdrzHF7cfU+BEpkAM2E7k2Wm9bzFgO7UN+q1zUNzCiUSBGLCdSLMxj77EgG0eRItvOWEoEAO2E2Yq4o6cghSIAds7e9JjwBYDtnc2h59ao4sB20k+3zFgO8kn8BTvfgzYTnEGiIe/oBSIAduCkv+4P/ydDtia5aI2y2E+7hMQPyCmwNtIgRiwvY3EXIimYsC2EFSPn/l2USAGbG8XJeN2Ygq8dQrEgO2t0+xkuiMGbC2UaDiZJjru6ylBgRiwneTTHAO2k3wCT/Hux4DtFGeAePgLSoEYsC0o+Y/7w9/pgO24EzB+QEyBE4gCMWA7gSZjPl2JAdt8qBbfc6JQIAZsJ8pMxP04FSkQA7Z39qzHgO2dPb/x6E4tCsSA7SSf7xiwneQTeIp3PwZspzgDxMNfUArEgG1ByX/cHx4DtuNO4vgBMQX+YBRoGbBx5heHJHJYIsKBzxxWDZDoW7LERoaH/TPXLeKQxEOH/EA/HQDI4X/8ceAiyhuHInKINAf/6UR7HV7IeU28uJ8DoHnpoELa4OBG7qONnp4e4+Bq7qUfgwMD3u7AwIAfLqhDJZslrR7vmWCMOvE+Ohi87oc50i8OmKTPHMS98vTTvSuHDh70sWWyWRsbHXWa7du3z+/hwEjeoRPv/BYeBH68x3Iitg8vcAgodOVzd0+P8yB8Cg/pgFTxHvSC5vAYPM1nrhFduQ6eiw42Lfvcxa/ZKaADyDlcdc/u3X7APYe16uByHUDK/GguOACWP2jNPMWv+VMA/uQAVw6a5eBZeJpDa4cGB52PkRXMh9YHspF1gizlYFzkMnKJdYBcZ456Fy1y2aNDh5FTXd3dtnvXLpdN/M88hzKctmiDOWXd0C5zz/+8M89aU9yLPOd/+hi/WqMA88kBvswxeyL7Ya1a9b0QWsMbOox48+bNduaZZ/r8c74nPLOQL/iAfY2+0Cd4Dl7is8DmgQMHnJ/gY65Hdhfg14EB5zV4knfWAffBc7zgU76HLuG9PAOeZN/gd/YJfucPOrEeoBn3q62FopHWpg4MDw+6pr/Skxj3wYMHvc+scQ6r5jvWZPyKKRBTYGEogKxp7+iwgSNHXMdkPbKmWcfIslC/dP2otYOzzTdVhD4vhIYOaUSgsTnwGx3gwXRod0NpQ+iyGUghQ2gigBGUPoj2dhcu3IeQ5F7+QnDDMxDCixcvdqGLkscgabOtvd0OHjjggpXno6isW7fOf6ePvPhtoQHNTICNyeJ7xg+doPGePXt8/NCF35cuXTq1CceAbfbFxuYNHeFF5n3FihXW398/pVhCS21qXMv/0Bu+gA/5zO/a6OEl2uNdyuzCLPWT46kdnZ0ODlASpOi88cYb/hl5gXxgbULfM844w+kOz0N71messLc2z1JE4VnJWuiNHEXWQl/mArkC3ZGl0D5fKFhpctJ5nev5nc2E+UHmSpGeAgF9fT6ftIdiyLsUXOaRl/qiPYN31hBym3fkvAxvPDeu8Nba3HO3ADHzB7BhjqEx84MsfO2112z9+vU+r8hHZCPrUAcqwxsL+dLByPADfIIcweg2MT7uY4GPGZv2f3g37DtyBb5EhnMt8oYxYnyA1wFlfIZHoRX3cj1gFqAIXaCXdA/oIWMTfVrol8A2fQGU03cBM9YX42G8a9eu9d8ZC7Rg7fP/QhusF5p+8fNjCiwkBaTns1ZZj8gX5BGf2YNxeGn/5JqWAZs2VYQmwgJBgJBEuD7zzDMuLLiGTQBhwfeXXHKJe41OP/10W7ZsmQtSlACEIsBky5Ytfs3pZ5xhVq9Peeyw7PLCuivvEwOU8myJhP+GkGVD8oEmEvbUk0/a1q1b7UMf+pALaK5ncxKYW+gJE4qWkiLARh+//vWvT1mboRWWsb6+Prvlllt8LLGHbe7Zg4bQCBqLznfffbcrofDilVdeaaeddporo7KayvLq32WzNj425somCgK/sZHLGxArlXPTHzrxYj1C/+eff96+9a1vuSIBLeVJfs973mMf/ehHXVAhsFw4JRKuVMWv+VMAmYuSi2yVl+Gpp56yD3zgAx7x8MD99/taWLVqlSupKHZ4JKSgwveKbMBrUa1U3PjBWgFkMYcogPJEI1sFCPiN6wTkkqmUTRaL3jYv7uM35PXSZcv8N/YP+ivemP/I4zuhAPMCLXfu3Gn/9E//5OsOGrO+oP2nP/1p++AHP+jrk72aOWF/UeSMjFkLRU3kq2T4Qw895Dx3zbXX2vDQkL300ksuH84999wpo5x71woFHwdjUhSFjLOMe+/eva5jwPMbLrzQPXEKHeQe7mdvUCQA9INHJesVCXAi8KjWlwy5t99+u911111OD+lizPN1113n8hV+EHBH1srYvlDzGz83psCpTAGlhECDnt5exy+KMsTw8vDDD7tsAitdfPHFrQM2BBwbuDxodADw9eKLL7o37ayzzvKN4eyzz3YhSWeuueYaB1BY9hCobA4oC4A62vr5z3/uncMjhpBEQaZNBA3XsqGgVKBoyLKGtRDBjlKN0OY6We8fffRRtzp97nOf87YkaGVNW2iGEUCTtw+Fhs9sLt/5znccUJxzzjkO0NhUuR56CoTEHrbZZ1AhK9AUnoB+v/71rx0YQEM259WrVzvfyWLLRg6/seFp40ZRePzxx/37a6+91nkLno1D9poDNmgsrwpyAaXixhtv9DmQp13eYxQwZAR0hsaxBbg16YRMRJlDVuzYscNeeOEFe/bZZ+29732vK3G//e1v3Qh0xRVXeNgZyi80x6CGnOSPEDnWDfzOizlCBiPfmVeUQCn2vLOesA7u27vX1xx/yGfWE/ONIsx3GPYefPBBl+UbN270tagQTYFEgbvWqHDq3s06gr7sEQC2T33qUy6zkGfwxOuvv+5ycOXKlS4DMZbwGzwgsLeQ1AP8w7/07dZbb3UDwGc/+9kp3kFnwJBJX7mO8bKvI7d5sY8yTnhNkTpc+5vf/MbbgrfZV5evWOFhSfA59JGRD6ALv8ObvKTn0K726YWkD+uTNcj4GDeylXWJjkVflY7CZ9YsY0MXYi0y79A3fsUUiCmwMBRABiFrFdGl9DDk2I9+9CPHRKxthTe37GELw1x4OOEKzzz9tCu37373u+1d73qXC1uE4r333uvKAdZdvG/8ft99900J2uXLl7twRJiywSM0afPSSy/1+7DOo4BceOGFDmAI5wD4IYgAd08//bRv+FdddZULJbx1XI/QZRP6whe+MJWLRL8RYgsd8gGbhGEfCv2k34zlJz/5iXsG+Yyyi5UMugBq5R2KAdvsi00eAhYEf2zI8Bf88773vc83Lv6ee+453/jY9M477zy3wqK0SnFZs2aNK7d898lPftKVUm2IC7PUT46nsu7wcpM3iKJEjgxyAIUCviW0F286axnlEUMNc7Br1y43riA34tf8KaCcFpRZANvLL7/s6wCZDGh+7LHHXFbiZYH+bBDMC5+lzCGnUQKlDDNnKPi/+93vXK4io2kDwxLtXnTRRS7TN23a5G0x7wBB5lQAnbZpl00J6+HVV189ZUxDOUb+IQtPhLCz+VN/4e9Uvi1g/Mc//rH98R//se+jyEX21VdffdWBOICddUe4MoYU1h3ge6EBs4fy9vTYa9u2+Z5HfzACowNgfEBngPfgSfgOYwQgBf5izIBVxghQgRaMDePAT3/6U5f36BkoRBiPAXlcq9xJaIB+gXyC35H38lazhvi80ICHkPNiI80D2txzzz0Oui+77DJf68hTQCm6A/PM2AGuGL/Z0xQ+uvCcGvcgpsCpRwHVrFAOP3q+8sd/8IMfuHxDV2I/BSu1DNgQXGzYCl3gYY888ogrwH/+538+lYOGYCAUDeCF+GEa9QAAIABJREFU0ACwYeX95S9/6ZsFigUbPFZ1hAkhUghYFAqUAoTRhg0bXNnAU4eA5nsEEZs7QvWVV15xIcoAaQuBTdso2ijln/nMZ6ZCs2gPAXYiJN3SF+XwCbCxabAZfO973/MxQItf/epXLoAZO2P66le/6htvDNhmX+gKb4QvYHr4D5rCR2zC8BSKLJscSsD27dsdHAPM4I3LL7/ceVVeBuZJCwieZvOLX7NTAHqj+MiDxrp84oknnIaANFz+0Jg1z5xgPScJd/trr/l9cVGX1rhLMfLICUIh4W+MFQDnG264wYEYBi2+Q2bjXSZyAdojX2+77TaXOawHFGXaQa4CzrgegxxGEOYSwxIKrwqOsK4wwKH4886zMXQA0DCuIeMJa2NTwnjCfawnRUioMFRrFIjvltHyZz/7mX3lK1/xvRGDlIpUMf8333yz750AFOaK+WVeme+FfKFbIDvgVxlneYdPkS3wLfKZPRHQ/8ADD0zxD2PEeEtEBQYDwBpGA+Q8UTfcSwgwOogK30hxUkETRQTB++wlCuVW/qU8wQtFI+V8KncPYyR0AbAhZ1mXGEZYi9Do05/5jHf19e3b3dAdRzAs1MzFz40pEBU+kndNhfCUroXRlDWMPEZ2IXtaBmyqlIcyrHAKHoRARBFDIEoo4HVDGUD4IWSx8AHICM0hrAHlAOGMpQuL75q1a+1b//Iv3i6bCXlbtPXv//7vDvDYVNjU5c1DiCKUsJbdf//9/tsNN95oP7vtNhdYKIMoBYAf7kewLTRgE23YKPijX6pICB2wQANGoQcKF/RSkjSbLHSLAdvsSx8mlxWUzR/asUFjecUry+8omRgaPvyRj9ijjzzi9GQjhk+vvOoq+/fvf3+qYhi8g2cTJZT5ii2Uc4tdFD74WZXXkAsoEV/84hf9Rv4HDGzbts2V+U984hO+PvkOhWKhFcaTfVOB9vA9chdZotBzFFcUVowWeCjwNGD8Yg74//3vf78r9N/4xjdcweV+ZBA8z5yhMCNTAd5cD/Ai3A65y1wju3gGIA7Fn40Jpfv666/3dfXd737XARtKNfOMjGMt4YELK92d7PRf6P4rFBkjJx62v/qrv3IFgTlkPrxybne3fw9oYc6YDxQEvKULvf60P+L5wzOI8RK+Qz7wTsQJAI7r0CfYI8NiIfAYQBU+RK7wGQMExgY8cld94AP2ox/+0I3A0IH1QKgg8h8jEu8f/vCHvTIqucyKyoFuKoy2kHOsKpgq1MT64/Of/MmfuEccIznv7HHoYxhpkAF8xxwvtP6zkLSLnx1TYKEpICMQcgYDqao1K3IRucaaZp88//zzWwdsDBiFGIssAAihx4bA5sBGjgdD4QhsBnQQCyveMKxAgDSUBNzzWF0RmCh0KNR8jyIHKGHTB6AxIKzCCEuEONYjQnNk6SWkB2st4RNsOAhnWd3+7M/+7E0VkpSwu5CTNhtgAxCg9Nx5550+NsYL2tZGy7j+/u//3pWxGLDNPoOymGqjhUfJm4Ev3/2e93jyOnH/KKRs6oB/VYTESAA4wxUtBRU+5DqAv/IiFpJ/ToZnq0Q2CjkhSyj3rFEUB8J2CPtFYLE+b7rppqkqbfKKngxjPFH7iLxFUUW5xdNwwQUXuMUOmYE8Vll3woCRp3i7iJAApHEvnnzmCr4HsCHr2UDYPLgfhRh5T3gayvMdd9zh8hqgiCKN7OL5/NEuSiP7wbe//W0Pz0OeYWRjL2DDon02K54NcFvoKr4n6rwea78Uuod3E+8LRUZIFSB0jnf24Y985CP2f/zN39jePXtckWc+mK+w0MaxPu/tvk5HQKBLfP/73/e0BnQDeBm5/OUvf9n3efiZvR/gRTQE8gQwgn7wH//xH/axj33MwRayHqMQ46dt+B46sA7kLQPIsS/TFteQs4ysZw2wD8Pb7M86fuLtHvNbaU/F1zBEcnTKs8884/KV6CXWJ/KWKAbW1de+9jUfCx5VxgB9FhqQv5WxxtfGFHinUQCZs7ivz47097v8UTQhuj/7Me/opqRueVXX4eHheitEUOKtSuWrDDeKMVYwLFkoAVjtUNgAGChiKpfLhk0bgDG8cfyOoEFA80KxRgGgLaxnClPjHtpGWAMAEaQqSALoY5BYjPkdBYFNiL+wPDvXn+geEpXNRshiJYMOTCoKExZyNq+5Xgudg9AKb70d94YFZtiE2dgACsw7iiubLpZm/uAH+BB+g+4ADQwJ0B6DBDyLlZf78AhgZY03vLlnCXmAbIC28rShPKi0NoBASfPwNPRWmW6V9n87+OBUbQP6IwsJY4Sn8aQh+JGvGMZYHyp3jmzkGuYGOYOlnmgJIiBoB/nJXCKfaYN1hCFDpcI1X7yj0PI99yOvuJ53D+tIJKamQ3IeOcY+ITnOBWGFylN1/lodt870oR3mhH0ZgydzqOM0iEghZFBHb6hCqKI+Wu1DK/fDA8hdABm8gh4BION/DJgYExgHoEuFiuBT5UEit1XRl34IbHEP/M07xk90CHgeAMv1/A8AVHEcdAjWSSjLToQq02HJb/qt//EOMsfoSKxx6IaxBiO41hXfL/Q5e63wRnxvTIGTnQKqOKvjolibGCqRdchpwtfZs/H6I9daBmyqlgThVJFJZ1uh8CIQVKVMh1TqUDjAFNZactoIT0OYInSkBKtiCm3rPCyEps4DAn1yD9crh47fUQp4Fsq5+sf3PHe6R+tkADRhgRSVwWaMqtAZA7bZKaAcHp2xA1/AN/ADCmR48Lr4V3lTKuOMssvGz2YIeIP/WETw10IfnHqiCyxVGqSf0E9rW2cjIYRY59BeyoOUfe6Jc9ham2Hkm0IMoTmfpZij4KrKqc6hQmajDPPH7/A4XmbuQ+mjPQAdYWeS71KIQ8DGOlMRH827jHtsTvLecF0YVs9oMYToSIDWRh/fzZyo4qH2P2iv3AnmmXll7Wnd6foT4cgSeEN5Y/BveJwE/KnwR/qu3A9VdIT/VKWUsSBLVKpfxxpwrYAX36mwCDSCv1W1VDoG10A7gdqF9gBrjel4FK016MHaxXjNGKCDCqawvnTcQSxfYxkRU2DhKKCQSFVzlZ6KToRBVA4urd3E2NhYSx42CUlV9ApBG2SQcENghEKCzwA2LEDEnmM1o4Mo035oXD7vApP2JJTwhtAe9zFAAUHa0nN1IC8DF1jkN1nGlOCnXLETvQoZNNAkyjqtUr6MtZmH52QApMdzuciiCr/A9LKS8j+LAUskAEznSLG5KTQGuutAXx0EzG9SglU173j2/53QNmtOhhNoKpDLHEjRUq6V1rtCdk4EpfFkngOFbsHrbAJSSmWJ5zuFDevQTjwNeB7gdQxpeGDC89yQv3jEdMaewJfAAe8qoiSZr9LFYZI139GOjFAqXqX1h7xbaIX4ZJ57GVFDgKa5FnjDq6q5Ya+BB5TjfSLsjeIteIE/FePiMzIbwIlc538Z58R7jEVHE2jfl+FW88o1MvZq7PLOwefoIrzUNjThs4qDLXTRDq1L5pN1o7xq+qcK2FpfCjGWzqZzFE92Ho/7H1PgZKUAaxN5o/WLnFLev4wsAnOs28ShQ4daAmzKNZCFRyFoOiMMQiI8pns66Bid1aGYOt9EnZOglqIt75ssrxI+AmOhZQwLEr+r4qTcjqGQXWhBe6wMxoYBnRDMTCD9Dr2FzapUnSzjPFZ6vNXrUAJRGmXJgC/k9ZGCSZt8FhCToYHrtOlJORVA1vcnekjtW6XX2329jj6YrjRqLcrrorngOmjLvKFsoUTGr/lTAL6F5yV/obeUW36TN0IgmrWCIUIhrFwrb7IUVYxqUmolW6fLGa2nmdaHfuOdZymcXhUBeQ79Ya1p3c2fAqf2nZpXzY/AtKjCXikvi4yrmjMdrbCQFIQH4Df6Bs/Rf/ocKjbiG8kO6RyS9SHYkgFA8gc+B7jonCP2WZ4BDaAL+6uMDAK7ulf7xkLShzmS1zA0fmnNay7lNZVBTJ52nVe3kGOInx1T4FSlAOsXAxkyR7ImjHDQ+aaSaYnNmze3BNhkxZMwkzVKwgwBiNAIFWX9xj0AEuLqw8MfEciydql8LoKGmHNehPEwQHmfpDRo0mVh4x4Jc+XPqH8ChCd6SIAs1Brb9LE26/+pDtjk+RXPCThIKeRdoTPhRh0quCwoHfCuZHwWmkJzT1VhcyzjlkFGfDhdYeJ7hchJlih0mt/iHItjofLs18h7IgODDGkoodogZATiN60PASZkLF4YKXYCUaGXVLJVcjdUbPVceUpD2cznsNKeogFCHjnV5Vdrs28OiEPjiOgZeq6VWx7On4xaC22QknwQmFToLv8rlDYMewzBmvg5BFja9/UduoZAbBgFIK+bjBsyVigyR7Ra6AiWMDc49J6G+5fWk2SBoo2glZ+TGb9iCsQUWBAKSOaEOEpGbMk8GTiRZ4kXX3yxJcBGY1KwZJVSCBRCgz+ELH/yhqkj8rwJdKA4cw3/c70EqSyw8sJJWMvKhhDlGsChcpMgAP/ruWGfQgvviRD2MRenqCgAtA0nUqEZ4cY7UzunusIzfROWtVShedr0xYMCD1JsddCvNjvxmnIt45CtueWcFJ0QsIlnZXwQDZV/Gnrkm3mQF0TKnkQPhdbyyIdyUzk4UmoZkqIWQk8LCj8gTTJeOZ8Kq5puqJNCLANJaFDSfIcej/B37ReS1erTSUTuE66rAGLtu6FhRHugDFcyqDKvkpkLDUYgpgy29A9wpZw2/lfIkPLKxOcCU9yPoUEgSzI85FGlWYSRQTLyaY/VpIaGiXAfWchJ15qRnHWlrmEEE6007/Rf+fCa2/gc0YWcvfjZMQWi2h8yNE1fv8qdndKZtm7d2hJg4wECWqEnTZutzqsKPVzqHN/JgstnlGN5LlRynzblZVJIhLwdGhwCSuFrCo3UBqQY9VBJVOibwOaJzDRh6Ge40dBngeETuf8L3TcZAEIragjYBfKnAzbxiELKwrCbMETmRFBqFprGcz1fHsnQwBBa8sPck+mWYO5plqN5Io/9ROgbNA29AqpGBd/KW4HMVWg7fZbMDK+R0q+8MoVFhgqjQJpkU+hVk8wPwx7lzQu9PuHaVNsnAh1P1j4IaGsu4AXmQHs1Cvv0edLejUyUsXQhx6+QP4w3yOMQ+MuARv+U+yEPEvxLFETIo5I9kuEaqzzG4VqQbAqjWkIwuJA00bOl57CWQqOYjB6Sv1r34frimoX2oJ4INIz7EFNgoSgQhm2H+7RkVhih4sbRHTt2tATYlAgsxUAbOw9X8rJiqxV6ow1dm3hoUVVyMd+pwIOswGFSrTxnCPAwXIH79J3AjpRvKdcK9zhZBJa8gKEHgok8ETbThWL0Y32u5jzcaOXBUf4C/MmfLJBh1TB4GL7TRiePHNfAZzFgm3smZAkPQ/L4LvT8hqE6Ag66ppkH+Vj54FS9DnmqYiOqLCtDlfJfQoObCn8IPHuicyO/M8yXAbARKimPjBTGcN74jvakQMubI+NJaHDi2pBHpodHnqrz1+q4p4ON0LsJzfEwhR6YMIpD+3OrfWjlfnhWnjUAmXIuBawkq6VbMD6BOslugTOukVIkHYT2VUVRkT38Jh1BHmTtGVoXyjMRz7YyxlbuDY244V6ksVA4RZFPIXCVsaRZSkUrfYvvjSkQU2BuCiC/QmO21qUiYKYbXBN79uxpCbCd7BOiUAgpGvLUMS558FoZowSqBP/0DTRW+Jsr/NMtwOH/zJE8AgqJkfInBZE5lSURYKbNjM+yrLYyx/G9MQViCsQUiCkQUyCmQEyBmAIxBY4XBRK7du06pQGbLMMAp9CqK6uyLGpvxwQIrIUhQAttoXs7xnU82wgB7UyhO7IIyxochj7qO8Xyc63O8pFl9e2c3+NJh7jtmAIxBWIKxBSIKRBTIKZATIFTkwKJ/fv3n9KADW+LQgVC5V1hmmHo1nxZZDpQm287p+J9CkXR2GcKkQuTwcM8KIFuedXwpunwYIXyvh3zeyrOSzzmmAIxBWIKxBSIKRBTIKZATIE/DAUSu3fvPuUBG6RWnLtiRxXr3+o0hB482gpjzmOw0Jy602k0HbDxv6qHKhcjDDvVWV6aV51roWI5OkC4eU/iK2IKxBSIKRBTIKZATIGYAjEFYgr84SmQ2L59+ykN2FDylcekEvoo+Sj0YT7bfKdGBVFUWCGswAaIiA+GnZuyM3nUQhCn/DQVUgAQyytHKGRPT4+fRaQiOKqaxjV8jnMI58vZ8X0xBWIKxBSIKRBTIKZATIGYAn8ICiSOHDlySgM2FH5VaqHyGYBKZ5VMP4dlPhMS5sYJAAIuVFp5Pm2eSveE5YoZ93SPWwjYBH4V+sh8MpcANiqGAd54qRgJcx17OU8lborHGlMgpkBMgZgCMQViCsQUOPkokKjHdbOnZm1gYMAog6vwOR0g28q0Ko+KNhR2ifcOLx4liuOQvGP3sM0EruRRo5XwM6XM+/v73VMKYOMA2WXLlrmnTRU7w+tbmeP43pgCMQViCsQUiCkQUyCmQEyBmALHiwKJSqVySnvY8MrobJfDhw+7co+Sr8M6Wz3rTB4ihUQCFmib8294rs5YO14TfLK3q2MXQu9amKOmMFboqjPSAGUcwr5//34/K4o5hd7Lly9/k0ct9rCd7NwR9z+mQEyBmAIxBWIKxBSIKfDOp0CiVqvVVQqddwAMFfQIJ8MrcbKXPVcpdxR7wuKUs6Ry+qowyNhR8vHK4PXCA6YCFSHY4jeFUFJxkDZpW4d16+Bv2g/P/OJ/7oOuvM4888wpT89cbBYe8sx16q88SuHBlzocOjyg9ljmT54rgcfweAP6HVZhBAwp5+9Y2j6WJaSwVK4dHBy07u5uB1ZbtmyxnTt3+sGpZ599tq1bt86/h8YHDx60pUuXevMz5SHiYduzZ4+3tXfvXjvjjDNs0aJFDuo0f5rXMGyVtnR4s2grT5zWBPMO6JZzenR01AEhzwSEKzSTfoYObOUz0mfGBI/pdx09ENKLduEvHfjKbxgV+vr6fF3CX7TBZ57JtdzT0dExdTZdfM7csXBgfE1MgZgCMQViCsQUiCkQU+DEpUCiWCw6YEO5lDKrg4f57u1SyheKBKE3RuNCYRdICT1gMwG2ELxIcVfBChR0AAZAQCBDRS1QlHUdz5svYDt06JAr9YBnQAEvATOeocOfdci3jijQuJvN31xFNxQ6qOqLAmvyZvE9IKGVF88HZNC2PJ0Cbvfee+9UTiEA6b3vfa/noYWl/hlnK4BN57iJbiHopW0d+8A7/ME8iw8E0JgD6CAgN50etCnPLWtKQJDreb4AJO2I5sy3XqpYyvPEA/ptprBOHUnBc5rNfytzF98bUyCmQEyBmAIxBWIKxBSIKXD8KTCVw4ZS+OCDD9qKFSs81wfFVODg+Hfj+D0BpRjFNfQKSSkWWBG4mQmwKQdNirzuoV28JHg88PTg9eBavleYXlg6fr6ADS+TgMHKlStdYUex5099UQGT0JsS5mnNRV1dxzUCsfL6yFOnsFDl2wE+8DYxTvillRdjoC2ejbeIF+N9+umnnR8//elPG+MGuK5Zs8YBiOaLfENCHlsBbKrayXOhX+ix1LjkceNaATj6wBxs377dPXnMC9fJC3jgwAEPyeT6q666yucKur3xxhv+Pc+CZ8466yy/VzTnuiNHjti2bdum5nnJkiW2cePGKc/f448/7uBRAPb111/3drmXsM9Vq1a5AYZXDNha4c743pgCMQViCsQUiCkQUyCmwMJTwAEbiuhrr71mt956q51++ul28803OwgBkLTqQVnoIYYhkQIEUmTlXZkLsIXhhVLquQ9lHfrwQjkGzIRAkM8KJ2zVwwYoxAuF1wVvHt4mQuDoA8o8oIBnCLCFIOxYFPbpoZC6n/bC8D7GSj8AHABTPGKAg1Ze0FJAiL7SPgDkiSeesH379tkHP/hBByuMmT9oLi9V6AGcfjTDsYZEhh5GzZnAK//LSxWCYegunmHNANiYF7x/73//+/2eF1980Z599lkHn+eff7597nOfs1deecV++ctfOkDr7e31v4997GNTnkUBZoDqXXfd5d8DiBcvXmw33XSTtwuA//a3v+1z/dd//dcOyB544AF/HqGQADmuXb9+vc8dgDZ+xRSIKRBTIKZATIGYAjEFYgqcvBRwwAZYQ+G77777XJn82te+5ooenpWTPQdGCjm5afwBDvAeoiyrsMiJDNgUMgh4of/8jwLP/PAZkDA97DOsTNkMsCm8kOs01yrGwf/yXtEmYIl8MDxAKuIhT+x8l4BAM+8AR7xtmzZtskceecQBy+rVqz3fjxw2/lcIqnLAeG4rHjaeB5BXDiOARzl1Aqw8mxfADC8Z+XDcw73f+MY37JJLLrEbb7zRATtgDoANgGaOAFOAz7/92791r9ltt91mX/3qVx1ocz2gCj6UEYE1d//999vWrVvt85//vF/HmJnn/5+9swCzskz7+H16OggpwUBFRRBRbF11jdW1u7Fj1/h07da1u3t17e7uDsROVJSQjgGmT3/X737PPb7OAoMMhzMDz3tdc83MOW887/+p+38nz4PwQfw4jj76aLXS2bhGuXLxxRcrYdtss81a7rmwfeOucwg4BBwCDgGHgEPAIeAQKDwCStgQEBE0sW4gHO63335KBhAA2xL4C/8K828BbnMIuwi1L7/8slqHsNisueaaKiibsD6vpCOFdok0IkO/TJgwQS0oWFKwhFrSDUPAYp34H7JhSTXmh5Dd36xJRprMrdNipiBIuPlZqnzcFCET7R0fZq205C20e9SoUfLCCy+oKyRECLdDi/fivDXWWGORJR0xCyqWMJ77/fff63syH8Bgyy23lA022ED/x/JFspPttttOSTN9ctddd6kb5DbbbKPEEeufxRUyvm677TYdYwceeKCSt6+++kqthjxv6NChSuzoJ4uh4/1xeYSwHnTQQfo5fcB70z6sdljzULJsuOGG6ibq7yOsbrRl880313FirpYdfZ669jkEHAIOAYeAQ8Ah4BBwCMwdgcDEiROzuF9BYCA3aPZx08IVa34JKToLoFgsEJwhFh9++KESjgEDBsjKK6+spKajJx2BKEHSsMRYTByfWV0xrE7+frJi336r2/z6ivO4tyW/gBhZeQOugxhyT9pAnTraQJwUpGFBCGFb48QIG31kmRJ//PFHefbZZ5XQQDxIPkJMG9Y2yBHufrTJkpS0x8JmJIt2YjmEkBlZNXdaiCPWMSxlWNm22morHUP0Ae6JzBn+7t27t1rFwGfkyJHq1ohldJdddlHi9/XXX6uFkv7jfXCVxBoG5oxL+gEyigIFyx1EEUIHMcOSxj2JeQP7d999V4kf96AfuB6iR1ZNnsX45mgvoW6r/9z3DgGHgEPAIeAQcAg4BBwC+UUg8PDDD2c///xzFTQRCBGW+XvYsGEtMVj5bUL+744AbvW8EMItTboRjvm5RNI6Ow9rxeJO648lBhc4yAxEBRdEs3RBciATkChLlmFWNrOstOXS6o8h413BCUseST4gM5APv9UNIs9nHBB8rDjtOfwukbj88U6ffvqpvPbaa7L99tvL4MGD9f8PPvhAtt12WyUodlgJikVB2LgHZAzCZolIwHzgwIEyduxY+eijj5SwQoiI2xs0aJBsuummStiwNEKu6AMILiQJ8geGzCksblgKIVuQNYgm97nyyitlxx131OvoU0gx1jt+Q1h5Xyx24A1hfPDBBzUWDnL2zDPPqGslBA8LG26kjz76qJLJtddeW5/B2DF3y/b0kbvWIeAQcAg4BBwCDgGHgEOgcAgEnnjiiexvv/2mLle4g5FtjqQjZOczC1Thmpf/J0MYzEIFYUBw5r1xYzPLEwK4uc7xHQQGIRyBGOGZrJq4XRoxtKQYJvibpQayh8AOASQOivsirHOdpWe3LIRYXXg+sYW43+H+SEwU33Nf3PHMPRLhHAsPbTPCZq6cbRXmtqQaFsNmmS55L57BD/eEKEJGLK0951sylfb0krkD+gnnvffeq2Rw4403VuKBKyBWP8gaigSeazXwjGRaH1o2TnCGgNEv86vDZteBNW6GzAHmA/eB7Ky77rqajREciR8DcyxYEGUI3H/+8x89h2QjVmYB7Gi3WcKwtGFlw2JIuyC5POeee+6R3XffXa1htNOygWI94+fMM8/UsULbvv32W3XpZZ7SJ7hWQmiZq+AzYsQIJYR8xkEbGDfOwtae0emudQg4BBwCDgGHgEPAIVB4BAL19fWaJRKB+b333tN4IbMG2OeFb2b+WkDcnlnNIAlWOBuh2mqqmZshwr0RHCNUXINgDGGyosvcj3PteiNZEACEcr5D4PfX0GpdT8uKcWPtgqhBlPwZO3m+FeHmcysKbuUH/IlH2kLPT0jtXNrJD1YivjcXTH+CjEXhMmsEk2eQ0IP/SX5D+yFKPJ/PITpYslZddVW1KEFirNaduTAaeTPiBGEDu/kRNog3/WV9ZFkxzdUUAg8h54Ak0Q7cISFjtOvGG29UIoaFjWdBLCFXZLrkeyPlECn6C2LFMxg3PIN4Ue7FYVlZcb3EfXf48OE6tsw6zDX0AySeeDrcRRkX999/vyoaIGyMW6yC66yzjt6zs2d5bWvsuu8dAg4Bh4BDwCHgEHAILOkItNRh40WxLEBYcL3DSmQuaksyCGY5g3wgYEMQEN7NwmYWNSNU/kyKEDRIGUI01/C3WZ4sAyDEw6xo5qYGnhA2BHFzCfTfn2u5Fz+WRdCSU5hFkPP5HlJlZQX8rpvm9rkgfWeErbWrKJ9jRaKdPANCYgXW/SRpQZ4xr3PABtwZe1idIBg8k3g1XPsYj1ifwBqSSnZPqwdnhaYNc0ugwveMXcgusV9tWdj8Vqj5xf5B7nlvSKtZQiFnEDri1zjoO6zUuFHSdtpLlkl++Awix33oO2LTzL2Ua63wNolxcE2GBFqWUDCwA7x4Lu6ivCvuk7QJQgveTCV4AAAgAElEQVSOxPkRk8r9DKv29JG71iHgEHAIOAQcAg4Bh4BDoHAIBOLxeBbBDoJisUCQEktsUbimLZ4n+y1bCMJYSBDGIQ4QAgRhc1mkRZZ90W/JMhLnLzDNfc0KxPeWUMNcIi2Zx7xijMzy5C/k7K+vZuhYUWc/WnM7b2HR5P7+enJGSnjGorCwcT/uD8khEQekEAKM+yNky0iMnefHw76bGwZ8Z9bJ+RE2CJr1rz8jqL23WU4tftHa4f/fMLE6aoY1Y8BKBPCZuTzytxX99hM1v0WbsWgFtW3sQPTA3EoK0DY7LGaxtYXVZYlc2JHvrnMIOAQcAg4Bh4BDwCHQMRAIZDKZrFlpjIzQNKwcWAcQIpfkw19zDCGZ98aKhDUMwuaP8QIHf8wb/5uQ7o9Ds1gyIzqtY9j4Hvc1v5BtJMuf4t3c6bjerG48kzYZ0bA2+K8zMrUgWRztXHuGn7wYgfFn0uR55qK3KGIcLVaMdmCBwpLEfXH1g6jQB0aa+B8ibe+O9chIkRE5I2+QmwWxsPmT0cyNgJpbq7nD0k4bM2Zls9hFsDF3WP+cseQofmJnbrbmvsl4M6upZTX1n2/WQ7N20g5+mLvgw9+MXyuUTaydxRsuyfPXvZtDwCHgEHAIOAQcAg6BJR2BP7hE+okbFgq/NWNJBcKfRRGrB9n9eG9Im8UU+YmV32XOyJoJz36iZHiZ26O5NoIxzyTpCIe549kz/Pc0gd3vhsln/v9bk4zWFpW2rGB+K2DrZ9s7+C1H1l4jrm0lNWlr3ECIIDlGXPwxV5Auy0JJO2kH5/qtj7THnyXSrFSWdIQYsLYsbPZ+di8jU0aOzR3Vvrc+mFucoFm4jIC3fi/eySy4/iyXNtds3nGduTTamDFsILHmimtZPv3v4HeDdElH2hqB7nuHgEPAIeAQcAg4BBwCHRuBQCKRyFryBoRcBE009gh6ZuHp2K/QvtZZ/BZ3gbBhYUPgtRg+q/VlFiwjUfZUs0wZkWvtkoZgbTFsRgJ5JunxIRdtpcX3u/u1tnQZUTRh3U+s7Lu2CJtfoJ/bua3dKxelu6VhaMSFuDOzbPpddM1SaGTMYgctlsxIsWFvCUSogQbJmR9h8xPcuREwP+Z2fz+R9fe7JZ0xomckjDFg2Sv5zsiukVU/CfaPZj/WrV1D7Rn8JmukxbiZGy/tWhRlF9o3u9zVDgGHgEPAIeAQcAg4BBwC7UUgMGXKlCxxW7hPmVafm5oGH0FxST/McgNxQOCFRPHD3xbj5rc++UmeWbsQws1Vz9zsLBGJue5B2HBV475YfrCctD6MQNj9rGA25/nva8/yu1LaNXbuglhXaJMRjdbukUb6eA+/Sx7PNvfZ9rrMgjPJOXDlsyLWEBDLBAlWuOaa+59Z48zd1NwI/WQV0sf3JO+gZlpbSUf87qb+zJPmrmmZIy3e0IibxSbaNeBuig4jchbDZvcAb7PUGa72btzfLGa8J9egRIGMcQ0EDFz8pSVQroARn9k4M1K4IP2/pM9t934OAYeAQ8Ah4BBwCDgEOjsCgbFjx2Y7+0u0p/1tZdFry0LVnmdz7dJAiNuLUXuux1I3P8LWnnu7ax0CDgGHgEPAIeAQcAg4BBwC+UYgMHHixKWasLUFcL4Jm7OCtNUD7fseQu4IW/swdFc7BBwCDgGHgEPAIeAQcAgUDgF1iSzc4wv/5LaSZuSbsLVOBV94RJasFtB/jrAtWX3q3sYh4BBwCDgEHAIOAYfA0oRAYNKkSUs1YWudVbF15+ebsLX1/KVpMObjXYkTc4QtH8i6ezoEHAIOAYeAQ8Ah4BBwCCwOBJxLZBso55uwOZfI/A5z5xKZX3zd3R0CDgGHgEPAIeAQcAg4BPKLgLOwZedvYMw3YXMWtvwOcGdhyy++7u4OAYeAQ8Ah4BBwCDgEHAL5RSAwefLkpdolsi0LV74JW367192ddPfOJdKNA4eAQ8Ah4BBwCDgEHAIOgc6KgHOJbKPn8k3Y2iKMnXVgdZR2O5fIjtITrh0OAYeAQ8Ah4BBwCDgEHAILg8BSb2FbGNDcNZ0Lgfr6ei3Mvcwyy2jD/cW+XZbOztWXrrUOAYeAQ8Ah4BBwCDgEljYEHGFb2np8KXtfyjbU1dUpYevZs6dgMYWw4SoJWXMWzqVsQLjXdQg4BBwCDgGHgEPAIdDJEHCErZN1mGvun0OApC4QtvLycunRo4cSNkgchM0dDgGHgEPAIeAQcAg4BBwCDoGOjoAjbB29h1z72oUAFjRcIiFsWNiwqiUSCUfY2oWqu9gh4BBwCDgEHAIOAYeAQ2BxIeAI2+JC2j2nIAjE43FpaGiQqqoq6d27t7YhmUwqccP65mLYCtIt7qEOAYeAQ8Ah4BBwCDgEHAILiIAjbAsIlDutcyJAvFpjY6MSNks60jnfxLXaIeAQcAg4BBwCDgGHgENgaUTAEbalsdeXoncmZm3OnDlSWloq3bt3b7GwUVDb4tmWIjjcqzoEHAIOAYeAQ8Ah4BBwCHQyBBxh62Qd5pr75xDA7bGmpkYgaJWVlZohkhg26rOReMSf4v/P3dmd7RBwCDgEHAIOAYfA4kAgG/jfpwSyi+PJ7hkOgY6BgCNsHaMfXCvyhEBbafshdO5wCDgEHAIOAYeAQ2DxItCahLUmYP7vM76m8TnnBsX77Q6HwNKAgCNsS0MvL8Xv6AjbUtz57tUdAg4Bh4BDYJ4IFDrpFsQLIgbx4lgQwuYncaFsfgmbU+i6ydOREHCErSP1hmvLIkegLcK2yB/obugQcAg4BBwCDoFOgEBHIGxzI2p+6Iyg+S1s9n2+LWyOsHWCQbwUNdERtqWos5fGV3WEbWnsdffODgGHgEPAIdAWAiTe6ixHIWLYnPzQWUbH0tFOR9iWjn5eat+yrQW30BrGpbZj3Is7BBwCDgGHQEER6Aj734LGoM2NsOUbPGdhyzfC7v5/BgFH2P4MWu7cToeAI2ydrstcgx0CDgGHgENgKUBgQcmaHwqzCeIiWQgStxR0i3vFDoqAI2wdtGNcsxYNAo6wLRoc3V0cAg4Bh4BDYMlCoNAWJMv0aPFp83N7bJ2YxBKW5JO0dQQL5JI14tzbtAcBR9jag567tsMj4Ahbh+8i10CHgEPAIeAQKAACbe2P+W6S38JmxGtuqf79KfyDuTT+mYBIOpBfK1tnivHLd1+5+xcegcD06dOz9fX1Ul5eLs3NzVpUmALDyWRS0um0uAFb+E7qyC2gIDXjBk0UhagpSM3/HPzvDofA/BBgfWG8oOktKirSccQaxBGNRqXgAkUgoG1qampqGc8UWy8tLdXPZ82aJV27dtVxP3v2bInH41JWViaxWEzX0I7QftoBvsxH8GZdt/mabw079+d5/GatoA1gwg+f0cf0N+0B16qqKj1/6tSp0qtXL8W9kAd40T7aThsZq3xG/9rnhWxfW8+2vmdu8VNXV9cyjhmrNs/Y8xm/YI8sUFtbq+/JexfyoA02VmgHfcC4YazQVt6pkAfPb2xs1HFMmxoaGqSioqJFbqKtfMZ7cI7NQ34jd5WUlBSy+dqGmTNnap/TJsaLrV2LQ/aDiDHGeHY8mZCMZCUUiehn9DvzrSgalTCJ/zMZTfsfCYYkm85IMp2SdDiYV7dI+pb1nD61/Whxrp9tDQ7asswyy8iMGTNkzpw5Oh/69u0ro0ePlh49eujYY87QlzaXrP3sWfyd74O+5Yd22PzlufQvmObzsLHFuGa9Zpwz5unXLl26tPQp6yJzkTYxj5kDtifls322v/Bc25/5m2fbHPA/PzBjxowsjWVQ8hK8FJumLZL53tDzCYa7d/4RYNNn4iNYLbvssjJ58mQdP2z4LB6FFljzj4B7QnsQYMEyobw1YWNcFXr9MQLJBgNJswWWdzbixgbA3yz4LPSci6CxODaktrCn/UYc2QBs0+Y6Noh848vzbS/xb9i2LiBkLLfccoqfn5zRTvYlMC/k0ZqwGXE3Ab2jK6UQNBHm2NuZX4xR2s4Y5V3of1u/jcQjCxiZYOwU8pgbYWPs0P6OQNhsPCAIMoaNvIGlKSrAG9zBElz5nx/OLfT4KTRhAzMT6EORsESRGSSriq9EOiUlsSKJhMISzGQlGU+IpNISC4YlzNolInFJq5UtX0dHJ2yMH+Y3MheKw5qaGsWTOcJ4Y863JktGCEx5li/s7L7zImzMD/bLfB6mbGXv43msdcXFxS3KQvAyYsTnrDf0OeOPscn6mc/jTxO2iRMnZmHhLDgsPhC26urqljY6gTuf3dX5783YQZPD4sACgMXByD8TgEHvDofAvBAwqwXrDOOFMcQaZIJkvglFWz3D+KVNrI8cprFkozFCxgJvlhezSJiwVmiBzAgnbfVbuHiXxaJB92lVzbLGs4280SawZONk36HvIWoof7D4FHr/aU3Y6Gs+QxDqDB4otBfrGXMLIYT5xD6P4AKJYNyC+9ixY5Ucm9UThRvCSqEJm2nkbR0wBQDz0pQkbc3hfH5vlgLT5IMrB3sgc5/2Mo5tH6Q/+Izvuca8CfLZxvndu9CETRVHkbA0JxKSyqQlUhRTixl4gWVDXb2UFhVLUTgimURKMomkRCSohE3wxghklmrCxhgCJ8Ya85vxxTzGejRp0qQW66UpzVi7LC5vce2tcyNsi8tCzrsaJqboYe6hKLS92tZys46DJ/MSPPO9R3J/nsM6Yvuz9cvcFKqB7777LsuiDTu3RZAF3C5aXJ1aqAXLPbd9CJibwLfffivvv/++bLfddmqiN2Eg3wO+fa13VxcaAVtQWWcQKlm0/BahQreP59uC/tprrwk/trgi+O60004yZMiQFoJhiz4khL8LTdhoP5uPaRdNsATvxTE3zQXMb+njuYYL2H799dfy8ccfyy+//KLt3GCDDWTrrbdWodbcqws1DqzdZu21PmWsmqa6UG1bkOcyRiFeo0aNkkceeUTd39jncTft2bOn/OUvf5F11llHpk+frnjzfrwrpJl3LPThJ2wmaDJGTFYptAXWhDvmFT9YOx577DEdy5Ah1gGUmKuttprsvPPOsuqqq+q4MfJcaJfTQhM2SFpxaan8OnaMfP7Vl1LXUK9ELJXN6Dhce8ha0rVLF+lWWS2xQEgJWyCVkUAmK+lMRiQWXqoJG+tjv379dF967733ZMKECUrY1lprLfnrX//a4nJryjJzcza34nzvAX4eYUo6cztcHAoX26v96wgKlI8++khWWGEF6d+/v+7vuOB/8MEHsvzyy8vAgQMVQwv1yecaSLv8hM2/HtA3rflX4O23387yYZ8+fVrcZSyOwEyp+Wywu3fnRgBNzk8//SRXXnmlvPrqq3LeeefpxgSRY2IUOsagc6O75LeeBQsh0Sxs5mpmC22hEYDsmPLh1ltvlZdffllWX3116d69uwpn/Oy1117yt7/9zdMINzSooMt7mVtwod+BjQc8wdYsAH6LRT7bB/m2OAWz1tAGi6UbM2aMXHPNNdoEFIUQBcbCyiuvLP/4xz9atMH5bGNb9zZtP+1CwIVsFjr2qK022/e0k/Y/+uijct111ymukDX6YsqUKTqWd9ttNxX6WKsZs1iTGfeLw2V2Qd6j9VhlLNM+3sss3wtyn3ycA0bML34zzn/99Vc5//zzVQhbaaWVdJwzZhAMt9pqK1lllVX0XIi0udvlo10Les9CEjYsaY3NzVJZXSWffPapvPHWmxIpLpJl+/WVZM5ld71hw6R7VRfpUlklRUrYUuoWGUx7bn+BoshSTdgYSy+++KI8+OCDsuKKK+o6j9w1bdo0GTp0qJx44oktliR/7JrFK+Zbodjausa4pN9s/qIkyufBPGNfARMO1ovvvvtO7rrrLtl+++1l22231T2Rz2666SZVvv79739XAxZWONsv89VG8zCyPYbnGbk0BZX/2YHnnnsuS6fBLC0oFhcKbmCBcPlqrLtv50cAjcD48eNV6EJYZWM69thj9cXyHVDa+dFzb8CihNDAZuKPATN3s7ktWosTNQQvc9t76KGHVCA75JBDVFOOy8nRRx8tW265pQpjCMLm6uF3PVmc7Z3bs9i0LJDaYgb8LjL5bB8bs+0rtMESdvB82nX33XerttNwZC1BACFo/uSTTy54DBvY+AkbhJJ3QNCwjTWf+LX33hAzLGxvvPGGPPvss3LMMcfIoEGDdOyOHDlS7rvvPrVmonRAuLIEZIV2RfW/d2vFMf3BuOLdkFUKedA2S9zAOoGmnr1wiy22kAMPPFDJHMSMNrOW8D8KHeYhn+c7hqctbApN2BKZtFR2qZaPPxkhn375hay51hBZZ/31tG/VJTqVlvLiEnWJlHjOJTIb0Dg2CQYkFcgu1YSNMfSvf/1Lx9Tpp5+uikQUL2+++aa888478s9//lPXUIiAxQsaCVkcSZNsHTHrGuPRFC62NrU1RtvzPe/MGoEHATwH8vbjjz/KJZdcoooqjAu0jc8wOmyzzTb6GfMSZWy+Ca3F2Jli05Kd+HH7A2F79tlnlbBhHqQjOZEXtEUo3ybT9nSGu7bwCLBgfPjhh/LDDz+oduKJJ56QfffdV83KaCkK7dJUeIRcC9pCwE/YzP3QtIGFXn9YEy1hwx133KGbIOSsW7du6n6CdRnXk0033bQldpNFmIWXdbUjxHCawEibLLGLxdjlG1+zlFoQPEItbWBdQCA75ZRTdOM8+OCDVaOJZhgt6Lhx4zSQvqMI5JZRDQuUxTT6E7i0NcYL9b3Fp7/yyiu6NoM3hM2Supx77rmK8RlnnKF9YjGb9JvFYBWq7TzXb10zgmzkByGHMVLIAxLGeLW2QdiOP/549Vhaf/31de1g7KDIRMkD0bd3srjvQra/0ISNhCHFFWXy3vvvy4jPP5V+yy8vfZbrq2MR3AautrrESDqCRa05IYFkWv+PSciLdVvKCdu7776r1rWzzjpLBg8erMpzW3NRLrJP4QUFabPM75bxlv/z7ZI7L8LGvFkcChfzEjCFJdjgogy5xUiFhwHtYJ1EoYXiEKsbZNb2/XzOTwsJMcJm+/M8CduLLz2bDQbCstxyK2jnpdNZXcB/XyhzRS/EShta+UJ/vfl8vpK7d0dGgImA2Z2Bh3bihhtuUFMzmlxze+rI7XdtKzwClmWRTQVNocWoMKbyTSgW5O1ZuNn4GNu4RZIQA/KD8E57sSjvvvvuuvCjyeM9WEtJpNER4oBov6XrNndNS5aQbw2ixbCZVhVrG9jR52CFpnPXXXdV0kt/W2pjNlCEcc4r5GEWFD9hY0xa6vaOZImaG060H7xxV3/uuefk1FNP1dg1sGaM3njjjWrNvOKKK1RItiyn5qJc6KQj8yNsrROkFWKcGE6mdGI/xJXXiD1eAygh1l13XRUGUWSiuUdgRdtvpRUK0XaeSVKPQqX1h3Alskkpq6pUK/tb77wtWNxI169kbeAg2XTjTdS6Fg2EJJDOSDAjEgkElcCpMiwWbpFMFxbD+RXenluWSOLuguKtVYXO8cCcfuGFF9TFj/mAi/l//vMfHWPI8Yw5ksLxt1mlLVtwW4QNXPx18hYGXz/xsJgss5BbRvqFue+fuYa5yFxjLqIIpM+OO+44Vbj26d1TyRr4/Dz6V7n00kvlr1turfOydVr9QG6k2W9VKFFuYqEPL31/Q2OdpBIJicSiUlxUlgtNw3XU80jxDu934IWXHs+GQ1FZrt9KEgrFJJ0SqarqkquVk5KskOUvJRLIEbYsF4ZF9Dd34HMjcwvdcndhB0XANnzLZsNkMy05vz/55BM54YQTVGtu6aFZIC6//HIVDMxSO6/X6+gCTwftliWqWZZaFyHYXCDZDM0KVMiXNQLB2Iaw/fzzz6qMIObnt99+05g2rMsXXnihEgw2eDTubAIIv4UWyCzYnHgl2mzaV3Mza2t+thd7c4WxjccCzk3bi6Zzww03VEwZB3yOFQKr/YABA9p0icz3+mF4mVskVkDayNpmYQPtxSif11tMBIQNKxsWNksqBnm/+uqrNW7wpJNOkt69e6tAg0aevjD3nHy2r617+9P6m5sxuONOy9xCkTK/I9/jg33PrOjMKcraXHTRRaqA2GyzzfQ7E5AtuyiCI+daNty2MMjX9wjjieZGmTFtuq5dtBNMLa4m3/E7StjSCSkqKdIkLbhCb7/9Dio8awKc+iYpLyuTYE7WDGSDQtFs2s0P1/NDAe2FPbKBzFylVyNxNbO9OpvMCfDROY8EnMu2mErkt+xFWwpL1sk777xTzjzzTNlkk03Uzfn555/X/rz55puVmAwfPrylxjJjD+UCey0eDpHQ73XQwILDfoOrFSlXUd/XD4a3nTsv/C3ZlSnvbT+yLIz5tpAznuk/9mV9h0BAFSjnnHOO7LrLTjJs6FqSSiZkZs0suenW22SPvfaTDTfZVDJZL4uy7Y8BqFk2I0FJ6W/+zwrULSzZwNxIW2tONBeOFMgoUSsti8jMGZOkS7duEm8OKmnDcNbc3CjRolwdzCzlD4ISeOqZ+7KxWImssPwqItmoJJoDUl3dVQKBrARDxCGRPjUxF8KWK4ocoPCeI2wLu2B09OvMbcM0zaYFtw3nlltu0bieHXbYQQs2ItCSJQs3p/33379loszrPQutoero+C/p7bM6Mn6rBe/M/4y9tjasfONjWQJpx/3336+JGo488kgN8EYzTQwW/u9o1XErN2EHrR5CR0eI42TTIWYJwsaGaZrDxTH3jBiasM3/ll6Zv7Gw0bYjjjhCXU0RIsCUrJGHHXaYBs7P78j3O9BWi/+wsiWMS+IV7T3yPQbbc38IJgTNXCIvuOACdQPi86+++kouvvhitQ6zfjNWEeYs5qXQygYTsIx0mYsmQrOV0miLsOV7fKCYYX5B3CC4uERCgnGrwtOE7yzbnBVbt+LlCM2FDBmA9NTOrtE1jbWKOWquY+CGcG+CbnvG4LyvzUgGOTMckJ9/+knjrnbYficl4VXllfpsIwmehcEjbB6rCKpMCqmwjxamjZkWkvK/V1t5AeZDS+wvZC2XETSEB4i0gy0uQIPbiuHGSoQikdg1YiaRwRhTZO3G0obigEzG1o+8C3McUqxKxaBH2BRHH2FrTYI93INq4bR+8M7JzLdwublWm+LFXIctthMinM8DxQ59x/N4d56PFZJ9Z4/dd5U9dtlJv/vl1zFy8WWXy3bb7yx/3XobCYUjEk96qfaD4hG01oSNdqcl0i7CVlpcLI0NNTL6l+9UYZaVMiVstDOTSUs81eiN9d8J2/3ZkpIyWXGFAZJOhZSwdeu2jNfQUEYaGmpFAljYcvW0nIUtn+Orw93bil9bTBGbOpOPyY5QiosNmsRDDz1UBQM2LIJg+ZvfhRa4OxygrkF/QABhGNc4DgQY869HYLCi7IWEzCwrCItoMkmfjFuTuZWRzAF3J8Y/Qg/CJXOGeaLFXxOJQja/pa7dxIkTlbBxGAGxeKV8NrC1S5sJ4SaIYJ0kBgOBgrgfSDBWHjAmFqjQSRlov2Uupc24GtGnuMVydIQYxfn1H/OJMitPP/20Zi9krOIBAWlAcGHOoW22dR6hxkgea3xHWL+N9Bths5gTBK22CFs+xzb35vnMc3Mtxr2UeEBwJUskuDJm0PJTQoH0/rQfQdKKGue7jfO7fzKdUKsg/W5KMhvvtC+fLrFKloIi6UxSfv7pF/XW2WarrRXTsjKvLrDfuua9R841zCxsuqDkz2AAuWFdx2uCtcispcx7xQZTTAEP9puXXnpJnnrqKc0ACwFC9iLWmjWfGNVhw4bpfKft9LMpE9V6lPTaT1+YVdGzWv4RU+sHj7BheQvmLJvzJ2y0z7+G2DwBV9rE2pTPg/c1a57l5kDBSmjDjjv8Xbb+6xYi2Yz8PPoXueb6G+Qvm2+lhC1WVNxS4kSH2AJb2Noai3/8PhaNSiqVkClTx2lMXVNjRq1rnjU+Kh5DhrBhIAtK4PEn78kWF5WrSySELZ0KSo8evXLmwKREYziyOsKWz0HVke/NYDdNMgILizmTjs2cjf3xxx/XLHkIWCywaOUQDtCUU0+JNMbucAjMCwHGEi4KHCyolvKd/y3wvNDoWX24J598UhM3QC4QIllUqWGFBnPNNdfUDYiNiHcwTWa+g7rbwoY5i0DJ5r3ccstpmwtB2PzEjTaY8A2WuPHg2gOB4DzWDSwUCLltaZjbev/2fs/ah6BmGdYs/ghNNm3Lt0tpe9tvddg+/fRT1bjTZgQ2XJEgyIxdXFLBHsEUYZki2mZxybdLYVvvZxp5fzwr45n9h7GDpbOQh8UFGbGnXSh2sBpbbC7upYyXXXbZRTbffHNdG8z1sJDjB8F82pyZMnX6NB0PFqdpClnmaH5jXDMSDAclLWmZPHmqeipQdw0ZIhKJqqBtLnt/tLT97qrnEY2cUKueXhC6Bftt8Vl+tz//WOJ7TQtfWal7k38tN9fuKNkrC3iYZwouz5999pnGqtJWFANHHXWU9h9zhDlP/yK/WbkZteLE8ZDLH2EzaMDL4maZK7QBGdEUX/mC0Ig188xqZyJv4H670Ybry4CV+nu1Emvr5KWXX5bBg4fK6gMHioTC0tTsKWKMrKEYUP7E76xHvP7XJfLPELagNNZ7xbmnT5+sawRj3mL91IIsXv9YCFrgw4/f0Bi2nj2Wk8aGpKRTAenZs4+a4/ChDIbScyFsML6cb6WLYcvXWOsQ97WsNebKZMKWuXqgZWKTZ2JgXUMIYJHjhyO/C36HgMg1oh0IMK4QglnMTWgwjZzVgmrH7dt9qQlWaFgtix7ac8Y/Yx/hi3dAQONzNkQENMskWEiBjJe3dtI+NHimdOFzs5q3G6T53MAEbisjwKn0r/1YcWyrb2ZpmNESo/nPt0tbW+9Ou83iwLlmYWOd0300W1gNe1vtNyGN9Zi2s1ajaENIwdLGGDZtN2PcsqLadR3BQuxPXGCWd9rMO1k/tIVDPr83osNYx2LAPsg4po0Iy7TTiD/th2j6Y7oFI14AACAASURBVHvy2bb53ZsMjTVNc2TStKm6djEmaJ/Foud774ZsQdh4LhjhadG7Z2/FqkXemEvclK4hauExsrZgBO1/iZxIKJOz2OWA8ifZgMhBwLtUVUtFGXFF6RaiXRzzXGAL7TbM81mf2JvMLZf+gxAZQeJ/3oPf9KllLlUykjbi4cUD6pqGha3VwGlJfWEWNl8g1PyStvAMi1ujTy1RixE28/rI1xwwpYO1AwzoN5QDKyzfTxpqvbUwGwzJ2HHjpHv3XhIiljPluUPaoQRtnoRtIVufDUtxUYUkEmn5ZfQY6dlrGSkqDknXrlWSSntZlFvmYM7DMfDTz98QXicV5d1l+rTZ0tiQkF69euuGGo83SnFJ2EfYsEN7pjlH2BaykzrZZSwE/jSwTDpzC7AMWeaHb9+ZkGMTdX6vXGgNeifrjiWuuZZml4XJMu/xkvxvdbsK+dJmXTHiZRuOJQwwhQZCGsIwc4N5QNvzHwPSNjII5MxDSzpiMWyLi2jMjbAZaeM7rJJgjPYTvNjILfumCbmFXD/8SUfoezZR+h6yszhcStvu4fmfgXAGrpYwAVJmyjaEPbBHwQDx4VxcUs2yuTgIfVvvN7fkQ4xpi2GjHwo5Pqwwr61jlnzLynpAjm3NMDz5zp+EoS0M8vV9Kigyra5GRo8fm8tMl1ECDwGw3/lUOCHoJ1NxiZUUKUY8syRWrPPLYp/SCY8h/G5h89AwOxreX1llWbCNP/ebyzxXv2BLNkRNauIjb6xFy/ftJ8v3W07KckXodU0IhnRO5TsGsa112pPT4y0Jr1hTLXuqxa3ZHmDCvxEnjStuk7B5SC8sYTP5Dsz87pEQSFNo5Gt8c18wsJhDnsc74zbKOs6eEyIUkjjKYFiAQi2QdQ2SyYiUVpTnQhqwqDEucmMRPLK5uL+W0bgQb5GNSH0tCpJymTG1Vnr3XUZS6RqJxjLqJky/FcVKvXEdbNaIucDnX4zIBoMhKYpVyJhfJ8jMGbXSr+/yUlmFti0odfU1jrAtRF8sKZcwyU3TYPEa5s5kWnorjssEYAFjE+MaBIW2FjRH2JaUkbJw70H/I9QwXrC2WOY9Iz6FHh8s8pbVzQQviz/B9YTsZliuLKEAxAghko2eecG1hTzMFQVCifsJ89ESgLS4XiyGBvoFD+tTc8+DICDosonT/+ZqyHrSlgY73+MD/EyYtKQc5lVg69xigG+hH2Gkl762tZn3sIyAJsQxZqlPxA8CDWu7resL/fBFcKGf2JhbJO9E2/iBgBaSsIGpuY8yHswyZG0z65spnxjnvBOKCoTGfCddmB82ELYfxv4sP475paW/zWLDGLe6vIugG+d6C03qkU5INhDQOa8WoEDA2wPSnvCcTnq5E1qn9jCBGSE2i59aLgnJn/qtRDCk1xoh8btJejk1stJ/+RVk5f4rSdfqam0LmSH5UTe70vyu720RNsYTexS/GXNW45J5bbGoppgxN07L/kr7gwBtSUdyKJCq/vekIznCplzY7xKYy86ZDc436YiRNJsX9DM/9DFzp635296xZ1ZQs+LyzqaE1fdOe1k+U8mMFJUU61ofTyYkFIy0KLl+H39mdyQJiXfM27+idebIuWSSzEakpLiXTJhQJ2N/niarrtFfQpFp0pyYIel0UoqLSyVJCHyAPbFRJBCXwKgfv81GwjElbD98P1qmTJ4p/fuvLP36LSvVXcokkyVDZLJV0hFnYWvvQOos17eecH6XSBYCC1ZG2DJ3Cgb9gsYfdYSg9s7SF0tiOxEcEV7YnI3wm7Bgi3uh35s2mt+/xabRRtqHsGaaO77DQkFCEs5nM8pvlrW2kbH5it8+7lm01eLvjBS3fZeFP8MIo78v/STLsoexkVq9HMYCBBMX2bY0/PlePyzhBf3N+EQoR9iwGnH5Tn2+8Mh7VyLAQQw4GI9+N2OwNa8II8aW5KUjWLft3f3aefP2MFfftmJE8z0+LE26kVvwpm0Iy5ZO3IgmWJu1wyzK7JuFOnCJDJfE5JfJ4yUWjkg2GJBAJivR4iJJxRMSjITJCKLCuxGkRf07WhSRpnizEiBLfANJymYDKlhrpuCcVPw/NcHUJTKrrpEL1S4JSlZyyRxyzzCxOpSTzcFBk44UlXiufQkvc3GEYt7BoCRS+U3r31YMqcVO2hxhPljJFMaYuRBb3CRymX2eSDRLSdSLwcsEwIIjrL/533/MzSXQI3VcN+9aZP5ab7YXmJJocXgoMPdQQpm7tx8n+s/KbjAPTZliisy6hnopKcLCNa+4tPnFq7VN2LLZYikuErnpxnfk7tufkvU3WEvWHFYpZVVJaaqvkxAlFzIxkUBaAiEMZ3EJTJo0IYs5MBoplYkTpsujjzwhu+++pwwa1E+0z+iUXPrO332Ac40xC3QbK46BZL61uD4pq83VKOFvBhKDy19oluvYbFj4/OZU20wA1rL4WG0WK8zKdWyqtuHyDDZb//1bZ7Ap1MLpnusQcAgs3QiY65qtUZBYhEFTfrCZ2MHmwgbMRkSsFwdkx9ZV06ja7yUdWdsDeE8EBNNKm2uXkSowNY3u3PYHw4nrOdfwRPjGmqqCTS7rmWUwzTch6Cx958fWj5efdJml0vrDv//bmLZYHJMPjOQwF8xNzuZKZ8Fmfu30WzHt/ex8v3zCXEd2sXXAxnyL62A6rWtFa7czcDMrsb8YMH2A+JYUrw7Zn3co/LMOiHM/n2e3FiNbi7qeNSMjjfEGfceicJFWwWpobtAYuKJwTLL6HlkJS8gjHLiPCQlNUhKWiL5fUsjsmJDiSIn+n9Azo0K1Ya7jqGuaI5XFlZJINklxpLiFiuSKWOXO8plW8pvVP89DHMtkRupmz5byqmpFI5HISDQWkeZkRqKRoDQ1paS4mNT2cPe0NMypk8rqCr2uvr5OysorZdYsr3QIh81jW4vNisYY5G/Go+1L/j0rzy+6kLc3y60XC27zi3e0fSSRbJRoxCuNUFtXKxXlVfp+rG2lpZ71v6YGS3qV/p2Ie1kzCY9rbhYhZ81DD46W44+6UIYftJesuR7jcbKgK8G6FglUqMEsEJomEmyEsE3yEbZp8ugjT+YI27JtE7YFgAH/+PmZ/c1nvvWtWm+S5ibj16hZELVp5LmHLfi2cPkXRPvMglrzHVS7APC4UxwCDoGlGAEWfwQxE/z9axnCqmVetXXNCJ1ten6y4idw48ePb0njvyTDa+s7GyrYoA03Yd/2Cgvetmyfrb833MAeIYL9iv3Gjy3XWPr2tqw6SzLerd/NL6DZdybc+Mco49vcg/2kgkQT1JBSYTlHqC25j/Ul3yEP2DwxTw7/XFkSMLeEJODGu/LTmpyazON/Xxun/GbcoszxH2AH/mZhNbcwCE4gSA68jkXYaLuftBlho8AxY6coZsoraBqEDxe1oMxumCVVpdVK0kIShp4pWUtk49JY1yQl5cUSDcRaPscZMCmhXIQWcVpBaUo2SkmkRJ8/q7ZGulZ00b9pQ4vbJA00X7hOTtgyibhWIQ8q6SAeLq01yJJpypn8/nLZNAYWYqqgrhmpmT5NunRfBt4mgaBXcF0tj5FIyzyem2LF5r5fMVPIuTv3bvzdcpYgqQtZghNptaZqeIQS25TEE01SUVYs8USzxKJFkkwlJZlIt6xzvH8ymZXKynKZNGmKzr/yMsoqNEpFRYmQr4q4uYceGC/HHnmFDD94d1lr/YykAuMkEg5KMhGQSLaLR9jCk0RCdRC2KdlgwCxs0+TRRyFsu8ugQYuGsFlnsGiwkLDZUWiZhZoFBt95CnnS2X7yZosQL/3uu+9q6mE0ppb5xsiWncdGa8HVfkHHnt/aQmeLViEHi3u2Q8Ah4BBgbaRoLIW3hwwZomsjQqx5B7C2UWsHLSZWH7TsrHWUzKBmGesp6cK1blEwKNQ2I4W/aT2XBoQR9sHlu+++E2phURvSsnb6135qPZF9ErdVtKB4b2A9w110xIgRKiQPHjxYBUPcMlE4sj8ZYWMPstTLloFsacB3Xu9oWnJILy5sjEvGM1lJwQ58V1111ZbLjZT5yRZF0hnLyAb0GQW9uZddRz9QloIi6swJSwSzJOBu7mt+C7q9F99RYgHlC/OZum4cpnA2BQUkbtSoUTrfOcfi5xjr4LXeeuvpdfTLzz//rKVIfvc8aisNeX5R1nipVgSNJ1qCh6ykJZOCRIRzprispHOpz5PptGLz3Q/fS1VFlYQiIdl4o01k+oxp0r0b9b08KtrU3ChTJk2RSVMmycDVBkpVNdaOgPwyfqxMmDFd1hiylhQHi6Qh0SDjfh0jK/Xvr2spZM3Io5+wee1bEg6Qz6WNl4DMnDlLunbtrqj9OnaifPvt9yqzb775hgJhA89wKCt1tbOlvKJcambOlI8/Hilduy0jAwYMUI82DvYfZPmNNtpIxyrjjjnNHmXz3q9cLCSSnjXWI+O/9ymWNZ1p2rSJEyfI7Nm1moxkjTXWkLLyckmlKKDOXIzL7NkzJRSK6N4zZ06t7ieD1lhTucqkSdNUCbj8citK9+6eFfKbb0ZJ9+499H9gffiBiXLsEdfL8IN3kyEbNkgq+ItEScITD0s4u4wEcYWMjBcJzTbCFpFopEwmTpjiEbbd9pBBg/vMx8Jmw3jBoGaBhYGzmNOZFPD86aefNHMZjHz99dfX4p10OgTtv//9rwby77DDDnLWWWfpRnrLLbdoYUAOFn02S0sNzSba+rAsbuaT7/fX59zW7gcL9ibuLIeAQ8AhsOgQeOyxx+SOO+7QWnRYdv7v//5Ptt9+e13bWAv5/dBDD8n999/fUvsQAe3f//63Erwrr7xSicUBBxyg1yKk3XXXXXLNNdfoGrekkzaLvbJ9gyLcCAUUKf7HP/6he4YV/4VEXHbZZSq0crCvkB2R+mTUKXvkkUcUL7Al3TT1tMj8uffee/8hON7tHf87/o0AYHG75JJL5LnnntM9n338mGOOkb///e8t1mKuNu07ZI36ZIcccohccMEFcuONN8rtt9+u15166qlak4+xDJGjrpTt3RYXtuhmYmHu5HcLRbg16xqy0W233aZjEiUC8sw///lPxcAf5jFhwgSVp5555hlVLBxxxBG6fnzwwQeKe+/evVWGYj7cc889Kjwfd9xxqtxQsl3uWaQLcqgfJmn65vb0HJHEhIMpIuBL80AsWSql8/jIo45WMt+797IydOgQOeWU06TXsr1VBG+onS3hcFROP/1U+fDDj6WxsV523XV3Oe/f58sbr74up599lsxsbJCTTj1Fhh9woLz8ysvyyksvy9lnn62YR0NhKY4V/8G6Zi1doghbOinpbEDSGersFslnn38jDzz0iJIsxuMWW2whJ//rBCkri0k6GZdwJCgTxo2Rs845T7755ntJJNNKxk4++WT59ttv5aKLLlLZnt977bWXPP/88/Lyyy/r2uu3/hZ6HTWy5mczXsJRz1WU47NPPpF//etfMmnqNAkEg7LZZlvKueedJz16edlpg5JU5cJNN9+i+3hG4y+zcuwxx8vf/vY3Of30s4U17tBDDtf9+bPPPtcacIzDwUMGCz62D98/VY49/GY56OBdZc2NaiQd/EmixCJC2DK9NXYtFPlVJFwjgUkTp2mWSI+w4RKZi2Eb3MubIy0/vIBpY7xUqAt6mPmTxYKXp8FYzNgcYeK80J577qnCx0cffSSHH364rLvuunLVVVfJFVdcIW+88Yb+ZvGhzom5WLLAsUGgYeZebLIIM3yGRgpSiAUOIshAaT1AljSXigXtD3eeQ8Ah0DEQuOGGG3Q9PO2001SwgqC99dZbLQWjWeMgGgh2rF8XXnihfPHFF3LrrbfK66+/rlo9BDWyVV5//fVy6aWX6lp34oknFjxD5eJAmDXcEmkg9FPAHJLG3xCHo48++g/NwGKBBvSdd96Rq6++Wi1AF198seKPBYcC0ptssonsuuuueg+IMGTDCAJWoEILGosD1z/7DJSoYITC4NFHH1WiC26QLvZs9nZIGAfadfqAa4YPH65kA3Jx7bXXyqGHHqrjlvFO8V+8fRB0UN7yN0TDXFI7ilvVn8VqXudb5ktcQRF8GZ9YLQ466CA544wzlERAaMHTSmKwDqD0QRhGKH7qqaeU8N57772y4oorqpWTvth33331WqyWu+222++KnJxguqje4U/dZ26ErSXt3u8Z+bhnqtnzHtAEJCjoAxl59cWX5YQTT5Zzzz1X9thjLyGJRnNzQkKhgMZWIaK++NwLcvHFF8q+++6v8us999wnp5xykowZM05++PFH6dqrh8yaM1vv8cADD6h3A1hXlFVIU1OjlBR77pHzOjo3cQPjpCSbmyVSRLZLksWl5LjjT5Qp02YoptQrmzjxN7nrzpsklcpIorleSsuK5YZrr5Zzzj9PLr3kKgmGIrrvMAYxyHzzzTfqKYIy4bzzzlPihsKFPYmxDQn0uzv/qTGzCE9um7Bl5azTTpMvv/paTjz5FPl59Gi5994H5djjjpM99tpDW5LNNksi3iA7bL+TvuONN94slZVVUlZaITfffLO8+ea7uj//8P2PctNNN8tTTz2j+Jx/3r+lqmuJpLIiD94/XY497A45+OCdZcjGUyUV/l6T2qSbi3KELSGhyM8i4ZlG2LCwkXRkqjz6yFM5l8hef7Sw/aFA9p8jbKZFQuvGBrrzzjvrJskLIpCg8WGBQXh5++23VROE6ZGF+rfffpObbrpJtt12W9Uks5izCay11loq6LBgsYCzEKF9wpUITR2gYIVjcdp6661b4jlYFK2O2CLse3crh4BDwCHwpxHwtMO9VVBAeEXpxAaHZ4A/5THE5PPPP1eBlvUMjwQIGkSN61nTICpPP/20atwHDRr0h6ROf7phnewC8MEtjPd+5ZVX5JRTTpETTjhBhV2O1gmnTj/9dLVcIuTi5YEi0dzJEHSxeHIN1h1vY86qdcKy4vIZe1dHzxKZ725sHecHRuzZjEkUq+y/7NtYirBmQtYQ1sCNff7yyy9Xaxv7O/s6wjLukbi64bbat29ftaCgzDBvGXunjlB2YFHgy/tbqQW7H0oBhF8UCrjrYsEAh4cffljHOPgh+LIesAag6MatGmslFmNIM8QO2YvrIW2ElmAFQO6iT7wadmbJKkAgG1Qo8L9JRzxPRq9d6RQELCyZVEKCZGhIpynSKfGGOrnmmuvk8iuuluEHHyobrr++DBk6VFZeZRW9LtHUJNHiYrns4ovl3vvvlzdff12a4nHZ7m9/k0MPP1zmzJolIz/7TNZZd5hMnDxJtttuO8UMuRQZsqK8QhObBNpwfuz0hC0TFwl68nxdXaPMmDFbjjjyH5JIZeSQQw5T48fAgavJphsPk2QyLdFIQGrn1MiH778rZ517jpzwf6dIU3NCPeBQemHZZS+zOYy1F4UCxhfGoa2bGFYYn4U8jLBZDKfnFmnWNU9z0FxfrwrTFVcZIFdffY2cd8HFctW118nBBx8o9fUNUlkWlRkzJ8uOO+ysCoV99tlP16yddtxVFSdPPvmsWrc/GfGZ8pObbrpF96aNNxomtQ0isRII2ww59rD/yPCDd5G1NvlN0qHvJIKFrblYoql+WoMtFP1JJDwNwjZ9LlkiiWFbNITNXB/Y3FigETToXDrSLFzPPvuskiw2TeIL0ARttdVWSu7QekDK2Hw5mFTHHnusulGedNJJqrVDUGHjHTZsmGrq9ttvP/nss8/0PrgNQe5Y+HQBoPaEDlCs7J17uhVysLtnOwQcAu1HwNZHBC0sZhCEww47rOXGlrgBAoGVgnUNVz3WtRdeeEHJGfdA2EUb2r9/f1W4QfYsE2L7W9lx72D4mPD+4YcfysEHH6w15xASwAMs/K5nKPNwHRs4cKBadVDs4UaKsIaVDSH4ySeflAMPPFDWXnvtP2Tn67hIFK5l7O0WP8mearWgENTAcJ999lH3PvrBrGJY4vCawZrJPo37EAoIfpAPEJrpI/Z1rEPEXUHYLFtn4d520T/ZMptC2lAMWBZsi9MHR5Taf/3rX1usbpwL7jvuuKPOf0gaJAwXNFx6+e6+++5TGQt5iLhOhGi8lzh+J9qFjGHzUsm3jmGzJCO0s7GpXq1c2UxaXdIIpsIdknF03XU3yN3/fVBWWmWA1NfWybL9+spll1wqPXr1lBnTpkvvZXvJ/x13grzy2qvy5utvyIRJE+XwQw+T3fbYXVZasb+S319/Ha2WHxKw4GIJdqaEmVuNLT9af4x7WvTjIv93zMisGZOluhuxepSuaZCmpqRsv8PO8s13P8qGG2ysY2r/A/aVww8dLl27ViihqaudJQ11s+Tgww6XGdPnyK9jxqkSEfke7xCIG/sVikc8GjCyMH7Zj1DCKBFqbm7JeJr/95z7E+jf3yP4LI7NT9gykmxokEhJmYz55Vc5/KijZer0WXLtDTfKpn/ZWKl8U+Ms+fqrz+SUk09TBUqfPn2VsJ515rn6rmeccY5+vu6wDdRa/sMPP8rdd98h5HqJFmPf9AjbcYfcI8MP2UnW2nSMpEPfSCQUzRG25UUCCQnFvs8RNk06goWtRCZOqJFHH3pRdt99Vxk0pIsELJdpC69pPVzbhto2SjZUFmbcVB5//HE1mdriS0djUoWUoWkjWBE2irYNFyC+x22CzRdXSa7lPMgZLB3yhp8smy1CDQMG/2wEGtNSW92WuQX3tv0W7gyHgEPAIZAPBAjKrpNvvv5BhVW0aQi3RbEyJQrJRFZC4axMmz5JE2lsstFWcscdt0g8EZdYLCJffvmlTJ48VTX0rJNsnBMmTJLvv/9eSRza0SX7yLTEQ7HGNzc1ycOPPCa33HSz7HfA/iooWDp5AsOTqZSgIGTvuOvuO2XbbbZWBR4WHVzr2R9GjBipf2+55ZbyxBNPyIDVVlXi0btXb0mlU3q/xoZmKS314luW9sNfaw8s2OvxfmEPR0iBcGAVglggDPODMhasiQ/cZ5+9ZOedd9W9G4UtLr942KDAQGMP9pAPwhy4jj2/sZEU4b+XuuisfeAPy/BkpT864L326quKYzKVUcX1ttttJ5mMV74CcrzH7rtKc3OjvPziK/L+hx+oGypWNBRAWJrNiwn8cPGFDFdWV8mlF1+m64cnDxWKtFntr//tPT9po31NjY1SXFIs9XV1GkNVVFQsH380QsKREunbdzm5++671QWNd99mm630hmB05plnKunH84D06siTeDFgICBh0+yamTpeWXtZK7BCEqaz7/77ycYbbzzXwsh+gtm55//vSUfSucQuM6bNkqHrDJPl+q0ojz72hFxx9TVCXPA777wlvXt2l2wmoRkOn33qcR2Pa6y5jsycNVu9D4gDZPzhzgvRQ8FCf+DOjBUYCzFeJCuu1F+6VHeRRDIhsVxK/ELM37YJm0i2OS61DfXyr5NOlrvuuV9OO+Ms+fdF/5b6xoSUlkQ1F2kqnZSRIz6RZXr2kKamZvXqWKn/KnLLLbepde633yZqun/WwQ022FB+/PknGf3Tz7LXvofKFltvoC6Rxx16pww/ZBdZa+OJkg79kHOJjEg420OCksolHamVwKQpv6mFLRYtlQnj6uWR+z6S3XbfSQatE5JgCP7nFRac19HWgDWLFosL1jEmECZC/F2tTtr+++8vr732mpr1YeZ0Kta2I488UgNAmUTXXXedMlbOxSeUGDg2XbROLGi4D0DocI3kcyYr93SHQ8Ah0HkQQGixtN2dp9UL1lLey/+DIDJp8m8ybepMWWfounLOOZfI7XddKo899ohssN7WEgwEJRgQSWUy8sxz98s555wn55xxrey5544SCGUkk41LNhuUUDAiV155tbqbLbNMT3n0kcelvLxC10k0xrFYVDNaGbvw1mTzMFjwWOQFe8vFeZYXVz1n9myNG/j005GyzjrDyDMtW262uTQ2J1RoLa+sUHeecCQkc+qb1EPjtwkT5M47bpPlll1G3U9qZtbofhQMhdSthX3l409GyPjxE1ScPeCA4bL/fvt6KZ1TKQ0K52B3bGsPXJyI/Olnzc2M8Gduknt5hF72XFxGIWsoX/kfazB7tRVph6yRzICEMFyzwgrLydPPPCmrDlhdlbZY2jwPmKD2E+5FaOPfeusd1dDjVYPFjvTZ0Vjo91wUf6bNHehc0nrzurVa669cSLPOGkjx6k8+/FBOOPFfah279Ior5aBDDlOLANc0NqekvCQs++21l4wbO1qz9b3yystqXcZKv9fe+ypu4I3ipm+/5TVm8P3335dZtXNkt513k5NPPqHAY9efF4FO8YXa+MZlY0ODlFCqIABxq1fixrz/+afRUl7RVaoqu8mnn32ingVXXnm5GhxMMQ8Rw+125MiRSvK32GJLlRdPP+1USaUzui5CPLwyKMur0ov6WSS7QfFfyrNaTXCvjIAdBV4/2zN/AyL1zXEpLoqJpJN4msrk8b9p3G4mK/LmOx/I7XfdKxdefIn85+57ZPNN19XyCMVFYTn3jFPkpVdeludefl3SgaBssN76ctThR8ipp5zipfcPh+Tqq65RJQ2Kx/sffEDl9zWHDJELL7lIGpubpbSoqFV2xsU7Mf0xbDb6vOLsuUQ3lNWpb5Bjjz9OjUz7H3iQXHDxhVJZVS2JZEqikbCEsiIN9fVSO3u2LNOzp655rG0//DhK3nvvPV33MB59+LHnsoyy6ZXXXpPy0lJJpovl3oful+efniHHHHKj7LfvjrLuZnFJB0dLKOsVg9eOaMmampXA5Gnjci6RxTJhbLM8cu+Xsvse28oa64gEQ/UiEpsvaWtrs/IH0mIehYCxieK+iNsjGkwWEksywmKOSwpWNiYabhMwUzQkxBbgosJkYkNg8YakscgT4IiFDVcYTNw8l2yT86sBt3iHh3uaQ8Ah0BoBS6aBlp7FzR8TxHdLQq1EK+TcmrBls2k54siDJZ0Kyj57Hi333ne3jB77odxw47USzHaRjz74UmMrBqy2qum9TgAAIABJREFUrJx7wQly6y13yGsvfSWDB/WXhuY6KS0NS3M8LWPHjJc777xLNcLvv/exei40NDSrlQhXv2g07NXUCeASnpVMJiWBQDYnRLe1gnfkMYvglFU3qbffekuVgdv+bTt1gb/wwotl4OBBcsvNd8h/771HLRRHHH24TJtao5a3QDgkLz//rKQT9VIci4i5kzz04EPy2Refyx577q0eHlv/bTv5+uuvZd31N1ALBVrjdFYkFMiJlySwm6seviPj9nvbPAFl4Y940iNquD0hqJHoCysYxADBGOUrezREjr0e68Wmm26qVg+y9nHN2eecKwMHDtD9ep2111Vt/Ztvvq3nQNrYz7fccmu9d2VFtVx11WVaLypWFNIEgr8XxVr49yjYlbmwjBaLkiYBycqkMWPlXyedII8/9YIcddThMvyQQ6VLt55S1bWbjPj0C/niq6/l2H/+Q+648Wp59snHlMRi2fjm+x9Uub3mkKH6SsR1InMdd/wJ6uG03Ir9VTEBCYTcVJdT3Ledg2ChwWP+pnNZ+XLuXFlPEdLCkgIizU1xz/IYyOh+EAhm5acff1Rr4bjxU+WIw4+SN996XV588XlNJsS4uvmWGzVrIeVQ8Oo68ICDlAi/+uqbOp523GF7fQTWyf3230cOOfgwzRT79dff6zo68pPPVP7s08dz4fMYmuFE8TGL/bP2LjQI7bowkF349ZtL07nLG+bMkqJIUOINtSpzf/LJp7Lr3vvKiy+/LXXxpLqfksDmq88+kU03Wl9eef4peeTRR+X4U0+XOY2NcuUll2m402EHDdf3+fjDEeqmS+gTuE6eOkX6r7SS7klnX3Ce9O7ZU+oaGqSytIQycAU5DDqzmGr2Vd0fMxLIKVexELIP9OzdWy69/DJ1zY4WxWTi5Mny4vPPy3Zbbye/jR2nBiisi2usOVgVT0PXWUutuIxXrNwHHTJcPWSqunZRT4KddtpJ3n3/S7n51vvllZd/k38deYvss/dOMmSDZslkf1XLY3ERPLrWwyZTLpKNSGDchJ+zgUBIimKlMml8Qh5/4BvZcy+PsEmg/YTNesLqp7DoEoxHmmoWb0gYbjzEbUDGMJ3yomySfIavNRo7EpJAxtCiQO4gbASNE2sAOWMjJSMNsR1Y53CFZANwh0PAIdA5EDBiY7Gl/vTVneMN2m6ln7yhyXvxpWfkogsvl9k1GVl22T5y8OF/l3333kcefvhFueSiq9VVZ6NN1pGLLz1N3n33PXn4/jelqqpYGptnS0UFmuaQXHbZFTJq1E/qFnTtNTeqoDtz5mwVjInLikRyceW5zdnD1XbJAmuI24ZsPmdkpG5WjZRXV4pkA3LFpZfKk08+rXHKy/dfUTO/9V12BTnmuGO1jtMFF12o9XTOv+AC6dmzl1x15WUSC3kCMsesmho59fTTVSEIYUPQfe+Dj1RDfNAhh8rwAw7w9k6LUheRyFJuYUtn0i1KFcYVWQpJ6ELiETxp2OMJWcCtEQ8bCATZD0lAUlwc07hLiAm170gsUlJcppmer7/+RiWBWDkQsEnLjuCz/34HyoEH7qtEbU5trVRVVbRrBBX64tlz6tSyhisviofiaEQkHJQvR36qafyRl1ZbfaAWNl5j8FA59Igj5Ymnn5OnnnlW7v/vf6Rn10q56PxzFFfWzZ13213+ecwxak2C+GJtgxSfd/6/NXnbCy+/ookkiGv75z+OVAtx4Q5zyeN3a8I2l1YZSZK0ukhCxi6/4np1N5s+Y6oMH36AWjduvfVmufCiCzSMBlkRgfujD0eonEhadpLZ9eyxjMyprZO77rpdfvn1Z7nqymtUnnzggUdU5txg/Y3k6qsv/70Rf+BFfstgYQlbu7h2QKS2KSElxVEJ5CxspLMf+cF7cvvtd8r3o3+VcLRCjj7+BNl1l7/LmWddICM+eF9uuPYqCWcTcgVZ3b/4Srr37i3L9uil3hwrr+Blgr3qiqs1luvSyy6Ru+/6r1x7/XUSKyqSbbbZRk496wwpikalvrFRKktKCmbl9dHv34uiZzzCht8x69kee+yhnn8Qtp69yZwfkH3221equ3aVs888U4445Ag5+MDhGktOwsRIUUS9Ai6/8gpd41BmaSmzf1+gMX2z62br+sjn1V2Xk/sfvF9eeH6mnHjEzbLfvrvI0I0S0hwfJcl4QrKZRikryQ08I2yTpo7NoiuMRopl4ri4PPHgt7LHntvIwLUXDWGDlZuVy++vjYbHag9BxPxpPqnhQGA4fu9svvi1w2w5iNnArEgWKg6CzCFnaOat0CaMnpgOkpGw2brDIeAQ6JgIIDygbLFU3awRZllbEjLw+cknPdCasOGG8vnnX8mcWVnp3buHLL9ShcQiYRk7tkYDuvGFr+oSk98m/iCTJ0+TdYb8JZfUizD5hBKzN15/Syorq9XTYNQPo1XwiMdTKpQNGLCKurrwoxnZMEhlM0rYaFu2HRrawo8oz8KWSjRLOFqk6am/+eY7aUrEddPst9wK2sR3331fItGorL/+uhJPZWXUjz+qy+jy/XpLMJuWQCCjLmkUPX3hJa/kzEorD9AkBLfcdofuQ9vvuJP06dVLambVqgBcUVnmOXAt5Ra26TNnaIIQS5SBtwyxQQg9CGxY1vgbqwWkgr2cjIccTU0Nuj+/9vorunf3Xbavuq56StqXtRyP1WY98cST1MX3uGP/TwXvrl0rW8Zz4SxE7Z8BmWxA53Pa4tdyafbjDfUqAGItD4bC0hhPSCAUkzXWHCK1dfUydvwE2WTDdQS6MHHcr4o56+jqgwZLcUmJprfHLRDlOO691V26qYXkpltvU8KGFaCyotRzu2qX1N8eDNq2sLFe4dpJvB1WLdzLYrGwviPHqFFjZMrkaVLdpVLWXHOQflZfXytffPmZkrVYNCb1DfXy/XejVJZcffXBSpBzNbXlrrvulMFrrqGFjnGLfOONd9Q6fPZZ58qAAf1zFtyObGFbePyzgYAk8BYIknKEYZDIjYWMTB0/WX749Rfp1ae/9F1pRXQIMurHMTJp/DjZdKN1leQ11tXJZ9/9INHSUhm4yqrqWhlvbNYkG48/6sWtkm8CV/3b7rhdZtbUqPKl7/L9ZBpZIrt1E6IYO4qFDQjMwmaETeMcZ8+WWXPmSFO8Wa3Tq66+mkRiMRnzyy/Svbq7KlrTiZTO12AkqO9c3dUruo48g2cBsQ177bmXTJ05VWNziaM+9PATZKNN1peHHhwvRxx4mRy4zx7y1+1LJRKdKKlEUuLNsyUWSXkdbIRt2swJWTbtUDCqhA0L2+57/E1WHyqSCc6SSJDCivOOY1sQgywLtmVmROtDh6ItY0GxpCScY/FufjcoI3mcx0Ju1dTRwpGqlvvNK3PUkqihX/jp6a50CHQ8BNiM1ec9EvmfrK1L/vzNSFNzvRQXVajbfCIpEo3FqTokIqWSiGfVlXFmzUzp2pXkAGGprwtKcVFEQhGR2rqZEosVSTgUFRJqaMbJYk+QaWrKSHFxK+vZ/2iJObNzW9imTZooy+TSRccbGyVW6hUCzuJpFQrqhhnGxKibZ1rC4RDGOD0SzQlNU03dJu8ItuxHuD0SQ0idHOII7WjIaaR1c8+htyB7YMebebkWtdcdKffy/rIJWpC5grjBpM7reaXfxx0NGSCZikskHJEMcRuBsF4H4fCXtcCVV/vJ395ODbyHP2ucyj7ExBRFtN4YWJZXVbUMmab6einWNPNBmV1H8o0SCYZEkomMhDIJKYr5rDyBoFrrAkHcoKOKpWafFJGGhiYpLvUU2Km0SBhFTkEH5gJa2IxUeuxSJJtqKaSdyUR0HmbUhS2tY41kNKl0QsKhsEyfMV26d+vuW+eC0tQUl2gkJqEw+HsumYEWJIKa1IU539jIvaLeM5dQC1tTCjf5lMSCWQllU5JJovwKi4SKFISshKUukZZsJqQueoyXDPOavggFJCVhdYmsKinVuK5YKKwKiIa6Rikt8/Yiw8+mrmVm5PNCxgDP1cLWaj1MJxISYv5kMpJMp1rmEnGgVRUVEswGZNaMGVLdrdsfZtLUaVPVCIXCyr8HWXqf5nizRGJFur8883SNHLLnxbLXnjvIBlsEJBqbJOFgSIKBuGRSdd59jbB9/d2namGLRUtk+uSsPPf4T7LvfjvKoGGLxsLGsyBaNLx1Gn2IGwu6kTl7Y1vgsbRZGtDW64q//gsLHAsfLhSQPjYM7ovGaUnQ0hd0TXUPdwjkGQHmK64/KF+Ys6bIYV4jbCy5R0ZmzJymbnuSjUk83iQZqZdUCiJRLpFwsZSUlMrkKeOlZ69qzSYZDlZIeXml1MyaLMUlkRYXMtzaUXSlU2jsg2phs9TfLe6PAdsq/S49nZmwiXSvrlJLjVpqS4qFBFrxBJrioNQ11KvlFo+M5qaE7kPFxd4Gyt6Dpj3eXK9E1xSB7CPRaJEkUkndR8orq9UyAabV1dUqCFtcdry5UUqLYwXTEC+KedFe7TZCDBhbHBt7vBXG5XMyw6FYBVcrcM5nWOXIskmfhMIBvQfzv1fPPmqZq6rqovICn1PMfOWVB+j106bO0HpOXIcbnOe9U6gsh+3vAeas1pfLkQ3J4WlyEd+PHjNWItEi6d2nr2SDIVUq4JabiDdLUSgj8cYGxR9rZSAcUczCkZjiyL3BasX+K2uK9Z59llWLFVaPoqKoJk0oHH7zs7B565LJdZopsrlB362oKNLyDr16ryBzZtdJVtL6Pqx5xLBBwpAHOZ9xM37cBP2/tLRS71tV2UVqZs3QpCNknUwlUXAVS00NbrZVkoinlDi37D9/qEPckWLYFn4MZgNBiZVV6PpXXVYiVWUxqZs9U8eGZIOSDkekoSkpVT16SjqVVcyjIZGyopCEMimZNGWyVHTvJYlsVsqLSjQXRY+u3RTvbDqj1nRqWzLfY8VF6uXAmhqIhlUZw7paGosWbP1EcadJzgIBCQW8fTOU0+Yx+hh7fKYJbIJBqa2v0zFRVlGuFrbmxkY9v6ykRPde1q/a+nqv/Eh1lY43ztcjGNCMkaXl5Xo/fqZMb5SikuXkkxFT5ZIzH5NDD9lHBq3bII1N30tQAlIUw/rY+EfCNvLzD5SwFReVyYwpIi89/avsf8COi8wl0l//hk2VwYFFzIQJAEHDxKLCS1hha3/6fb/2zl+/wWqWGCmzCbYkJCpY+GnornQIdC4EcD0j2RALPEKauTGbm1Xneps/ttZcIOf1Dl27VsusWXOkvi4uRUUxKS4NSH19nVrXysoqlGhIICVNzbWSTmeka3UfCQZDal2DcFitNSwQYDdl8gyN9Y3FSvQ71ka0yNqOAO5/qo9uEdIgep35KIlGtIRBr2X7aE3OcWN/k8bmJhXqIV3qYpuLSWDPCWSDutew71CbE5IM6UDRB0bsL8TE8D17FWQPHBPplGLJmLTabwgd8aaGggkci6Lf2kvYGpq8LHAIxlZTEJwgC+zrYIyQxjnszxA19njG4axZM1U4xhrCZ2BeVlqh56VSucLJ6bQSZawi2pfJjJ7Ldbil0jeFIxzt74H6ujke0QoEFD/kHv7nb8Ya77ryKqvqmBszdrwk0hl990g0Jk2NDRINpKREs8CGdeziOslRWlbRosAm9KSsvFKFyngqrYIlNdkmTZogxZpWvVCEt23CRgykkXJqsjFGolFPOcU719UnJRYtllhRRJLJuI67Xr16SElpkcYOMUcZPxAQsKXOGOOxtKRcLbulpTGJREPy2/iJ+hy+597lZZWKecvRUQlbO/oO61lScuthOimxkEgwk1IsmYcSK5J0NiRTZs1W/JhvmUSzNNbOkpJISN3+ahriWkuMUGDW1UA6ozhXV1bpeGR+Iu9HGKORiJK6dJAQMe88SSULtn7CzWiHRlAGAjoHIWBK1HKEDUMTcbbllZXSf+WVlGROmTZVikpKNNNjKt6sbsW8O3sFyawoaRCNoTz0xhwJEXv1Xlbnc0l5md4fLpQJlEgiVS3ffF0r99z2mhx92NGy/uZ42vykhC0aSUs2TR6RVi6R6m4QjGrSkace/l723GtrWW0tHHNmSzhQ2i6XSHNrap1QwFLO0haA8lvZjMDhVmFaFs7xEze/uxSbLYcRNa5noLgMke3fUNwdHAKLGwF/nFdr6/vibkt7n6cBzK0Ov6cBG5itc7jsZTJeAiWUaJ6beFYikZASC/sc1yasE2R75AAjBFzNoEbetZwhzUvd78WtaTNycWtY3NQVSK8tcNB8ewFusRAENQ6toqpS3b+olxbI4UG9n6JcvZ9kIiHRMPEwAXUdS6YzUlZeKvX1jVLmc+GBRFdXV6obJfgDH2nAwdpcJNPJtEQjnZvwtjt8Kael9hM2utRCFvgbDTsB+BwQESuuzTj0wiVwacMdMih1dQ0qZNMf5pXjV/paexsa4lJaxjzp7Mfv60OGchsabCoSJ25La6QFPUVCPKkWJM6OJzzFC1n9MqmEhIIBLSat8znqYVJb63k1QTpU068xbd71HNOm18gy3bt0DpdIw6PY87ZIp+Lee5Hqn7Q/WZGaWch7nhtpItHskbGSUskSIyXIjnFdH7Gec2TSXIabbVZmzZ4p1VVdc8h4lr3aOY1ab6zl6Kguke0gbIyteCYXw2brKHuKKvUC0tjUJEUl5VKfTEkRbpIKXFaiQcBj/8hKPBuUeFqkKBTRcZiKJ714w1xm/EDOgSOeSEo0BmFrkJJy+k2kOZGQUpRoBZrC83SJ9AK9vR+O3JxsbGr0MllTtB4X+0RcoqGgKlB1XOLZEQpqgit1q9XyJN6Ryrl0Nyc9y21lRbnEmbIhkWefmSVHH3CV7L3XjjJs07RmiQTngDRLNAwd9hG23yb9olkicYkkhu2x+7+WPfbcTl0iA8FFlyWyQH3iHusQcAg4BPKKgMXompXAEqjwUHMDM2USyiX7+48xPp6GvKjIExI8d/BlVGBDG4fwlVu59Vci4bk8Ipx43greBhFv9oS5aDSoxC2313iXduAYNnDhx1yQLJ5Zmx2AhHrvxWaHAMrf6hZfWiY106dLl+7dVehvpqB4kRenE8e1NIyQlxWo7FQw7UGabrKAAYYXcd8QJw4oqoIwzyGgnq0WTJFd+IEQW1FjL6GDhzkB+536aCOGzStYnIuLbGzU/kEg4YD8kvrGUyR4B2NYXfJyrmicD+Hix7xmLOQB11/Omz2nRqoqsbSlVJPvuVh68wSyYqRDcY95QntzM5aAcKepw4b3AFZfDsYtuFBug6x8HKl4XMLgSNxkMimJZFrHuX5n8XsamxrX7Jp2BFQyzkgC9z113QppcWksahym2KasBUfQV5gbkoNLceGOjKSSzerOGA7FJIC3VcqzdPA30FiMHzUU4/FGJbHNTfVK9I2w1dc1S1l5jojlFABY44jnZU3gHtSqxNWvutojZjUza6VLVwwCGYknmpTAeZ4dEGRvqdTSEZidODo0YZu3hZTYK7Csw727okJUKWCaPC37DLlPSpdySJa5emYlG09Ign2kqEQtaAwfcCwKBaSpYbaUxUJe3GCkTGrqG9TCBglJ5tZGjcnOkbRZNbOlumuVKh1YH8oqy1XvMmv2bOleVZV3wmbhU1ZCyNYrW/rqGhukvMTbXwP4GudKbbCB6vwJh3VOhiKsN14RF9V/SloCmbSkE0lv7opIXV294ux5B4V1PwFWyCoHSa8iYW8wJTOidRUffGC8nHD4TXLwQXtpWv+sjFGlYibdIKFAszf+LIbNEbbCLVfuyQ4Bh0DnRsBPpoyAIUyQzZb/11tvvZYXpHgr7p9YEHbYYYcWYQp30O++/1L69u0nq686VCoqKsUzCLGdQryyMnVKjYwc+Ymksw2y2WZ/kS7VPVR4+/jjD6WiokxWXXV1dXXq3au3vPnmuzJw4GDp2rXKK5htRwckbGxo4MQmapZHSBn/m4aSoqXUVqOeFweC1/PPPy9VFZWy/rD1pTvENiAyddp0GTN2rEyaPlmzRK615lrSFPdiCEpixeLZyUQ++2iEjBn9i/RdfgVZfa21paSsSMaPnyxffvWFXkc2QqoTkzUOFxjKzWCR1ODxHBmBvNWrNciIdCcdxwuYdATiBh70DXHlWIURcD8a8bF89913mhGO9P3WP7ipUqKH7M6KZy5jGgKbJRMZNep7rZu1yoCVZPPNvMyRWDY//vhjicWKFXfcqRC4vvjiK9lkk42UYyMAQaCjsY7PlrGg2/ua5xCZ5yCjy/VbVtP4ByNhefuNN3WsVXfrLptvsaUno2VFPvlkpNZMIyv25pv/RT8nZX9xcZHU19VKcVFUxoz+WTNw0i8rDVhVunTtqmsG9W7pr912202FzMmTp8qU6TM0rgjSXF1V3mEsbE2NcRVuy8qqtcbatGkztLyGKnFiEXn3nXdk7LhfZY011pChaw9RHBCif/xpnHzz9XeyTI9usummG+fIflwyWQRmCjhHZMLECfLF51/pvdZeez3p27ePksFnnn1WUqlmLbRtHg0jR36h60y8OSl9+vSYz9ppJKmQHgrWhjZcWpWBBuTHUaN0Dm+19daSiMclGIrJyC9GyccffyIbrzdUhg0bIvUzp6kiq7GxSd75+GPpvezystqQIVJWUiRxlCjZlIQDFI0WmTWjRt4Z8bk0p7Ky2447q+dBoimue9+smTWy3XbbeplcMyJvv/uObLDhhmp9I0kJcV8c+U464rf0W2dCwliziHEmo2M05hXwHvnpSBk7+ld1Od5yiy1UKQARmzZ5srz1zjvqvUGpEuqwJVIprwQHNU2DAYk3NMmIESNk8rTpOm579+mjY3Hs2AlaomztddaR3r176g703PMvyTprD5NlenVT0uYIWyfdO12zHQIOgc6JAC7YCLAQDQgYxVoRTh988EEVmkjlSxFOcx2jqPDOO+8q77z9nlx3/VUyafIY6d17Wdnh73vJ0UcfoVngZs2eJtVVXWTixKlyyslnCwJuc6JGNtxwffn3BZfL2DET5Jhjj5Lp06fKIYccJqeccoq8/trbWgvr+utvkmg0In/I2dIBCRu97c8i2Prvt956S0466SQtIM5v8KWG55133ikVZeWSTWXllltukxVW6i+3/+d2eezJJ6Rm9iypqK7Qc1bpv4rn/plNSywYlheeeVauvOIyCaQyUtsYl6OOP0H2P2i4XHTRpfLQQw9Iz2V6aP21Lbf8i5x//sXSvWsX2XvvvaV7t0JaIvI4JxaAsCEYM34Z0xCzG2+6SRt09VVXyT333atjmnqq1GEiPf+1114rkGxiOSAH1BOjgC6HWXxIgX3ttVdrnTbc1yhJceSRR8pjjz6hhZ979eqjdfQ22mgjLZCMcuKII46Qrl1IYOIpwTNZz121ox/+TNbvvvuuFnjv16+fPPDAfTouH7jnHrnxppuVxGUCQbnu+htl0OAh8sDDj2gdRixtaOwpIn7AvnspFiU5K9uUyRPliEMP0YQikOj1N9pY++nGm25RHIkhpC7tPvvuK1dccZWMGf+bXH/9tWqhx826SwWFswt1ZKSxoVbXuqIiL7vrr6PHaR3eqVOna+Hl3n16yVtvvi3nn3+uWmIZa0ceeZgcdNBBSlIPPeyfWkwdK9kuu+ykxdoZE2YNnzR5ko6jER+PVHwGDx6qNXwnTZwiJ518okyfPln+eczR8n/Hn6jlUFB2sU6HgiElxmVlnuWuY1rYFoywYV2D9FPKAWs1tYtxvX3xxVflpNPOlz59+kpT7Uw57aQTZfudtpWP3nlbrrjiSvlu9Gjp0auv7LrPPvKPo47IwZCSiGRl3C8/yEWXXCzvj/xGZtc3yd677aG4fv7JSK2niLbhuOOOk/3331+f9+rrr8lZZ58tK620okyeMUPDlULBoJYTWBwukShOIPB4quC9wpj48uuvtE7hkKFD5adRo3T//H/2rgI6qrNpP9mNe4K7u7s7xYq7a5Dg7u5OkOAEgrtLKW6F4sWtuEtcdze7/3nm7g1LkNDyUfr9X+45bcjm7pV5552ZZ5TAizWObVu3Rq8+fXDrxg2MHz8eN27dklrnunXrYvDQIbB3cITJqJdxB/qoCAwaNEQAGxu5sJZt/IRJUjtZs2ZdcTA2bNREZrWdOXsOCxcuxKxZs+Hs5gkb+wTA9qOkT8J9EyiQQIH/MQpYzpbkqx8+fFgMJc5Zoaft119/FUVBsMG0qF69esHf31+iYfPnL8S0qTNx7folDBzcDatXrceDP99hy+Yd8EzMiJMOL1+9xo3rdzGg32iMHjMcIWFPBeANGzIRhw4ek4Yk2bNnxfXrN2Uw59gxE6Urn7d3d3h4WNRgfNLo4Ic/PkqhGvE0JiQl0dFRoiorV66UIctUoDTEaMhdvHhRBt9WqVIF+fMWwKL5i/DTTz+hVNky6DugP4qWKIpGzZuiZ+8eEt2ZOWUGAgLeIgkNBAA9u3rj9fMXGD54KPxXr8HlO/fRrVdvAXf58uXDy+cvUKhQAZnFRkN34vhxMtTZwf69J511GLqoaPHEam1+PP2+act9BWCbO2cOVq1ahfMXzqN7t+6YM3cuHj18KEC2Wo3qAqY7dOiA6tWrC6jif/RcN2vWTEBY5cqVBcwpKbxKUwwOdN++fauAuz17d+HEiRNYtGgR/JatkPMIStg8p1WrVujYsSPGjh0v62PDXvTmI8ZobvX/TQT4vl+2HGlE5w3pyMH2nI128OCvePfyOTp2aIeMmbOibr36GDZyFMqUq4RO3l0xYMAAiTDy/adOnSqAbt1qf3lgRkgYrZgzc4Zck0YgI/iz5swVI/TAwcPShIcZADRWvTp2FoO9ROkyaNO6haT/2rF5x/d9/XiurrT1Dwh4A0/PpDhx/DhmzZyL7Tu2o0D+QjJjl3Jg0KBB4AiI7j26yrtGRIRi5MiR8j6v34Rg/LiJmL9gHh48+FMcZBymHhIaJHKE8nj06NHo6NVZ6if9/deI/Hj3NhDnL5xFoUL5cPfebQyvyVItAAAgAElEQVQdMhxTpkxB+vSZRdbYsbbKEkn8K1MiLbv9fobUJpM4W+bPn4/t23fL+x44cADuHh5o3Lg5rGzcMXr0GAzo3R36yFD4L1uM6TOm4PbtO5jp64s+/QbBaGMDX9/5SJosETRGPRysrbB14xoMHzkSM+Ytxat3QZgzY5YAkkvnzksUL2P6DNIMig4Hb29vlK9YAV4dOwqQ/pFt/blHli9fDj8/P3gmTiS0yJ4jJ0aOGC77cs5MH/l59PBhAe7MAKBcmjNvnkQJ6Qxdv3EDMmbKLIAt6N0bBL57gxYtFDmVJ19+4S/vrt2lK+SFC39INs3xE6fk86PHT8jMxF69+iBZykQJEbYfKn8Sbp5AgQQK/M9RQI0KMf2Chj+96FQMHBZMLzEjbFWrVpWBwXPnzsX06dPl55IlyzB50jSkTJUMq1fPx+Sp0zBlwhLs2rUXOXKlgmciDh0Gpk6ZhRnTluD8+d8RFvUYVatWhlf7vnBydMWhw7+gQIF80qSBRvLRIycxb948uLs7IyxMD2dnJXfe7B61WBvVO/tjAQejkDxY30Tgps6NIv1mzJghw0hpeNFTS8BGsEvQS0BcumQZlC9TXlJJu3TzhlfnTujZr5cozoZNmyAsIhR7du5GTIwODlpbqXWrUqE8smfKgnVbtmDm5KlYsWkbevQbiEO/HkDGTOnFE83UvoiwUAGKUyaNlTVgQxPpeujp8SF//xPu4e+5o+IBbA/u3xewxbQeRsPoeGjXrp2k29EAobeZBhlBGT3K/Df/o9FLjzsBG5uOrFixQv6uduJs3bq1NM3Zvn07tm3fIufT0bFv736hMyNAOXLkkFlG9+/fF4OTR1SkQXiEThB2s1MjKd+TRP+JazPaSA/+1atXBUAR5M6YPhUXz5xEvXr1MGbcBHh18Ua7du1x8/afGDV2HLp4d0WjRo0wedI4dOrkLTQ/dfwY0qdLY55HF4PmTRpLmjW9+/yvcbPmsk/OX7gk/EsHCNMIORaABvTiZUslde3f1HTEYIhGVKReIoOUX0ylrVixshjWBJx0yBQsmB+LlywUXlywYJ4AMwIxZ5fE2LN7F8aNn4BZs2Zg3759KFq0MNjQRm/QY/DgwcJjjLDRIVS5cjWJ9nLu2vUbV5EmTQoZup0xQ2YBd0uWLFdSs02Mxlg0tflXA7bPb+KgwEDZO6QLgQL3KQE9M0Kq16iD8pXrYM6cSZg0dir27dqGaZPGo1//PuLsmrd0KRYsXIopPj7YtGkTsmXPAhsrowC2sSOHYPfevfBfvx0GaFG+VBmJpEeFhct+LZi/gPAfnSy7du3C4qVLZC4b97WJoM1cS2cvjaG+30F5o7bnp1yhbiQt2EE0W47somOyZMsmKZCM3h45eBh79+xB44YNRZeTJ7hvTp4+jeMnjiv7ceoUNG3eHProSLg622Prpg1o1aoN1qxZg+o/10LRosVQsdJPkl1w/Phv0hn3ydPnqF27Dg4fPS6OwHz5skvTEZMmIcL2/VY/4coJFEigQAIF4lBAbbTA1AemQxJgMI2Ls+VoRD158kTAGiMSTBeh8UoPH9Mo5s5ZiIyZ0sDPzwfLlvth9ox1WLRoMUqUygWDMRzWGmu0a9cFF87dxZEjh6E3PUOTJo2RP29ZtG3TEcNHDML1639g/PiJ0n7YzTWRGNTOzm6w6AXxrwVsfDDLcSxUqjSsmLZy7do1MZ6YkkKjbciQIZJeM23aNPGGFy1cDF06doHRaEKFyhUxbeYMzJo7B+V/qoB+A/rj8uWL2LJ5M1IlTQ4T5wY9foSObdohS/qMWLBsGXZt2Yaeg0dh7uKlePzgvoBBSbnq0hG//rIfXbp0Qs7s2eHs7CQDtnnoopRuZxHh4fLciZJ8ODD1v25zxAPYHj96JB5zRoe5DnXq1BFAQM907dq1xdv8888/S4SN7eNpDC9evBjdu3cX4Ewjjmmte/fulYgPDwK/8uXLI3XqlNiyZQsOHzkILy8vMZ7Ybp0GJZtDMFK3YcMGuU7q1GmlFkwFzGw6Yu/wI+uHvn6lCdAoI7g/ydfkX4LRFSv8cP3iWbRs3gwdOnZCJ+/uGDthIo6fPIP+gwajX/8Bklbm3cULI0eMxb5f9mLlcj9kyZxRmt68e/sWLZo2kUgvjUvWDjVs0hRDhw5FqtRp5TNGlWggnjj5mxjPZStUlLTixIncZdCxg82PpKERYaFB0qWVNWysXaT8IihjLSOjGXSCNW/eXNLAZ8/1wbatW9G7dw+JzDKjoFjxcvCdNxf+K1dh0iSCtllSy8YuuuER4SIzGL31X7FKUiKbN28t/FqubAXMmeuDP/+8ja7duuDe3fsS0W3YsKnQLEP6dLGpt592dv1batj4HJ/fxOyEyygRR20wAsZayHXr1+PSxYto3qItmrbsjKFDe2Pq+JlYttgXC+fNwqDBAyT1b+iYMVjqtxJde/XCmbNnUSBfHmhhgF4XCq/WrXDrzm1s2X1IUiJ7endT6FqqtDhfDDq9/GSqLvmuSrWqCAkNRaZMGf7xCBsdPHSqku+ZoUH9Qrly4tRJbNy4ERkzZ0ajBg2kpMFn+kycPn0afXv3Fl4i2CQ/DB0+HA8fPxKnQrMWzeHdtRv7OMMKesz1mSnZMgTGFSpXQb26dWFj6yCp9SNHjpU5kq1atxNH1Jt3geJEIHB1T+SMGBOwdm1C05Gvl6YJZyZQIIECCRT4mxSwbCrASxC00einocUaCwIMpvU0bNhQUYJDh4qxQYXRtWt3LPdbjWzZM8LPbyZWrFyFEUPmYsrk6WjeqgYMRiXvvkunPjh1/Do2bFwLk/YVvDq2Q4Wy9TBq5HiEhQfi6dOHYKt/pm5Ur1ZLPIghIeFyr2LFlAL9Txsd/PTHRtj4BHHnaVq2cT9//rxEIKj8+/btK2mSNOxpfDRu2ASNGzSGh4cnChYujGmzpmPKjOkoXaEcuvXoinfv3mD9unVI7OaBGEMU3rx4iXYtWiFNsuSYO9MHW3fuRt+R47Fs9VqUKVNGUqrYLezS5QvYt2cv6tSphcULFyJLlszo0rkjcuXMgajIaNhbdOn7ru7hv8mTf+lrX5ESScuVvNykSROJDBGw0fPMdMX5CxdIIT7XhqCEPM40VgKwFi1aSOoao3MED6xz40HQwggbG7aI4XTymNQkcU3btmkvwMNkspJ7MHrE9NQjR44hQ4YMqFG9JgoXzi/zshhhs+ic/Zde+586We1Qp96Pc8LIz6xhW+63FLu2bMCUSRPR2bsrvLr2QL9+/XHsxGn0HTAQo8eMRdPmLdGyVXP4zpmLE8ePYf2a1RJhY4fJ8OAgtG/fXujO9K1Lly6hd7/+Qv/qNWpKpJ/efaYWnj5zVtZm5569El1humXBAnn/FSmR7LnHwczKeCc7/FS5Mt6+DcClyxdx98494bt8+fIIwGJKpI/PDJEBTKvNnCU3Zs7wwYaN6zBv3hwxmosXLwpHR3uJsPE9JQ3Oz18iswRsTN2dPGkizp2/ADc3J1z+4yIOHzoqvL1v3wFxPHTq2EUyJGKjbP+lETZLPi9bpoyAhpOnToGR87r1GiNvwTJYvnwe5vsswaL5swWweXftLO++cMUK+M5fjHFTp0pGQ/68uWGMiYQuMgTjRgzHpT8uY7H/RgSEhKNj2/ZSAjB/zmw8fvwUYSGh0kSHzhs6K89dOC/t8BmhylMwP5wcHBAeGQlXziD8jpvRcm4zb0PdQj6jXNq0ZbPU2iZKkgRtWrUSh9DqFSsFsHXp1EmyAw4dOiRAbuHixQJQqVNr1q6F9l5eSJrIUwCb7xwfTJ8+U5y0hYsWFweDi6uHRIEfPHgiNW1Pnr4QJ+NPVauL4+b48ZPoN3AEqtUokwDYvuP6J1w6gQIJFPifpwC9mh8CHabuULATYFFJ1K9fX1ru7965BxzQSaOTnQ4ZWaPnbc+ePVi2bDlGjhgDG1sNtm71x/SZMzHPZy127dqDPPnSI8akDM9d4OsHn5nLcOTIIcRYvZFucQP7j0OP7t2UFt6uDhg7ZpwYPWzWQCXk4OCEFMlTYvFSJZXsY8D2NYv48Xt+zbf+yjnqEGoVuKmdItVaJ0bZaGgy2sLoJBsD0ANPT2e5MmVRq1Y95M2TT5Rol65dMGrcWDFwS5UrK53jNq7fwMFNcLSxQ0hQACqWLYci+Qtgod9y+C1cjAk+87B52y7kyZNZxiA8e/4KUyZNRrFiRcQzH/juHYKCAtHVuzMaNWoYa1zESNtmDaz+2/v6xwPYOA+MtVNMp6peo6o4HiZOmoTDhw4J6JowfhLatG2LypUqSbSRwK1Rk8biRfbu4o269epKTRqjSunTMmphwqsXL8WQfvTksYCKxUsXSSMORjXZ1ITjAjhKoFfPnpKeyhqcu3f+hI2dPRrUb4R2HdrD3t4aHD32QwNEsYwe/z4hn9ORw+gio8X58xeEv/8yPLhzC40a1EOtOvUwatx4SYl89SZQatkIxpq3aCmppePHjRXnz++/nUIiT3fodVFSz9e9a1eh4ZXr13Hk4EG07eAltV21a9WFk4uzNH8YMGggPD0Ti7F+6PBR4duKFSuiX78+sFPna8W3aT/HJ99kbSs1bMr8OSXSp4vWo1bNOlK7R/DFlFim5wmAWLwAQ4cMkqjHihXLMWTIUKRMkRbL/PyxeNFCjJ84AQcO7EfOnNnFSWbvYIsZ02cJaGCUl860zp29UaVqdYwdM8r8xkaps2LKqquru1w7adLkMjeQPCtjJD56x7hdGTVKkMs8KeSvIBBLsn4tKd9/hxGeL3eI5F4iUHrz+rU4WEhP1jsyJbFmrXooV7E6Ro4cjYljR2H/nl2Y7zsbo8eMRMZMmTB7ni9GjZmA3fv3SSpt4fz5oTHpoddFYs6safBbsRI79h5ESLgeTRrUx8B+/eHVoQMMOjq1HDBy2DCJ7Lm6u0ujKA7aLlykGPoM7A8PN2XsxH+iS6RK+vcs/J4mSrmCvew7pmTL6JtoPfr16YsLly5i1ZqV4giiEyXg7TvZS5s3bhL5RSfT7p07cejIEfxx5Qq2btsq6fir1qyWZkh0FrHz8M5d29GkYROcOn0a+fLll87QRYoWl2ZYPFjzvH3HLgFqTN9fu3490qRMg9AIE9ZuXvbXukQ+f/XQRG+WjbW9DM7evOYqGjWujtyFmV8ZAg04m4Jk/bQnNpbJ4jLsX/r9U0z34f2+i7yIT0j91/79c5v4x3vT/2tJmvDg35UCauMJ9SZUKBS2ymycf+D4WOrHuanlnnpvoOkNiteOKUpsfc50yOioCEkPCQ4OxNFDR+Hk5oq+ffpg85Zt4qE7fOSYGA8sbh4+bBiOHz2CBg1r4/ffz8IKduKpu3HzClavXinnX7lyDUMGj5BrGmIi8Msv+7B40XJpk4yYaNy9eVO6etEjuHP3XkkjSpcho3jW167fKAa3jZ2tKBhLOfr5OWKW3ccsZcbH8uOr5fJnT/yywXHj+nVRjkzrIi1YY8b3ZLev2nXqwXfeInh36yrpeS3btJZauGrVqggwbtGimRi07IpHw7Vvn14YOWw49uzeLT+X+a+Es3siTJ4+A+nSpRY7a/YcX9y/e09S+rp27SrG9aVLF1C2bFkxoB3s7aDXcwYeZ+z8+5texLtzviLCxhpA1hWVK1dGImFMRWNBfePGjZHEPbFELObMm4v+AwejVr06aNm6LZxdXWTdWKvJ7oYdO3hhlf9yxETr0apFM6xZtRoLly6DV+euOPX7Gbx4/hRrV69EymRJodVqsH3zJomwcd0J1NOlzyBAJm2GjBgweAiionVwcbITq+RrDd14afG3TlAbP8TdG+9/t4zCP3r0RNJGM2fKim3bN+HN65fCV5QbBCZbt+2Qjpldu/UQEMv6GUYqma7LdvMr/ZcLcGNKKmvg9uzcIZFJGuM0Sq9duyG/Fy5cVFqSnz19GpOmTJH0a9Yh0VilrOVMuJ49u8PVnTOxaPjHef64fPGljW719+w3rpsxJloGpkv+oUaDiNBQ1K5dVwAFGzbR4GdaLR03bdq0EmcUxxf4+ftjYL9+2LNnP7r37I3DBw7KUETSianQy/1XYMiQQXj+/CWaN28qIJ8gjjWx02f6oHyZstDpdXj9UqktpEyhg4Yp7UWLFpX7sdaY0ZHPHxbvzWKkrzlUZuVcZnY6lUmGCg8rvGy+Tlx6m7/HtVKTIPlRfE1j6Fii/Cc9mc7M6OHJkyeFFuSvW7fviow7euSQjDShI2zxkiUCcrl3fRcshJuHB3x9fXHtymXs2b0T3p0748HDP9Gnb39Ur90QNnaO2LNjB3znzEbpkiVEJ127ehWzZ/tIqvSRI0dx5vffUa5iJZw6fQ5z5i9AsqSJODlFuix+JeU+S90P3SXKfrSUCUFBIXB384Q6k04XHYORw0Zg3cb12L5zm9SA870Z7Wd0jHWmTOUkrx09fETS66kPWIvLEgfyGNMrGeVt376t0LZL584oWaqU8CZr2UaMGCXXom3AyG6/fgOEztT7vx44gNy5cuHM+RvwW7Uaa1bfwKh+q9CyRX0UKq2Ho9NrREdGwWSMgLUmWnlvdQ7b42f3uFNga+Mgg7O3rL2Gxk1+Rq5CAKyDoQU7jX0BsH2FwP8spWM9En9vw/O6P1ZYf80O/RHnJAC2H0H1hHv+dQooAyY1sTO34gI3eoW/6xFX0cYKlLj3Nf9uYZyYoIHGyloUKJVOND2L1rbSfnrsqJGSK8/UC3r2Hj55iukzZuDq1ZvivfTu3gOlihfBs6dPMWrkcEk5Y/oSFVyt2rWxdcsWSfmhN5RRB6Y7Mi2FyoHewJ69euHVs6dIljgxFi+cjyt/XIPPnNnYsWMn5s73hY21HSpX+Qm9+vQT2mptbKHVKkM/edA+kvbo6gfy3hZALa4RFksnc82L2cqQr3/CYIu9rvl+cX+PXdNPGnvvV5xpXuwSx7QoGrZsR71p40ZpJHDh4mWULVcBw0eNRqqUybB9x26sW70KT58+RZnSJeV7THNheioBARWtrVYj0R2ewxbq3br3RLXq1eWGt2/fFU8wa1l4PxaoMxLKFtSsC1TmNalDy5XhztbaH62Bvs3c+YD8n4gkcOiuTheJ58+fCh0JXLt06QxnFxf8duIEZk2fLc0FcuXJLbyWNkN6bN+1G+s2rMe1mzekVq1/n75IlSIlWjZvCqPOgNUrV+Ddm7eYv3ARjvx2ViJB3bp6o26tGoiODEeMLhqDBg5AxvRp0XfQIEwYOx6HDh/hmFp06OiNFq1aCKfq9SbYaa3ijTJ8P/nxsUyQLgJyKD+590gf1k+x82XAuyBplsEIDps7MC2UwJQgmOmSdMqw1pXpozQcWUdDwMcGBoy0EbSx8Qv3xdy5s5EmRUpMnToZp06dklSvTp26oEnz5oIGwkNDpbsknRsDBw7BAukUuFMyAAjwvLp0UAZLWxlhFUcOqvs17ucfeHzIL1bK9+MelI2WR9zfFdvNqKS0clCXkUO0lcHKbLnOjAUCijTp0+PJw4cCQpnayAYqbEBUvWZNPH7wCFOnTsfjR0/FgOa+LlqyGHxmzcbho4fE4UL+Y/OSHbu2SxStS7euspdpOCf2TIzJEyaJQU1ZwfQ3Gu4EOGzgxMhbfPpHYx58Hhd2vDeLPx94IGCL0RgEgmnN9NIalfPj0p005vmSPhorqzWwNmrey/BPMDr3L+nK9ETWoLIei5FLWzs7XLv2B6ZNm4KnT58gY8ZM6NLVG4UKFsH1mzfkHDoFmCpOXilXthwmjB+PX/bvxfx5vkidOpVENles2Yj06TOgWtUqaNuqJZwcbDh6HAt85+HZk0cCho8cOyHpvW6eiVCnXiP07N0T+hiADV/jEf/xbl1jHH3NurL3gM0EjZUWMcYYGZxu0MVAY9LIuAY/v+X47cwZjJ8wBilSJRcHFGU/nQSs86Ou4V7k3qWjkABebX5FIMYGQNTtBHKkD50hjMiRf+mo4h5lNJMOB9bJ8brc40wH5z6mbZAnXynMmj8NG9Y/x4g+/qhfrxqyFwiCje0zxOgNsLM1fgzYnr18IICNETYVsDVsZI6waX8EYPuyAvqM4yHehf3fO+ETYfv/PSIkvPG/nAKWba/5qFSe/I/GBxUn06m+6/HVAsUy6qQ8EY0QNj+wsraBFiZora2goVa1MuL+ndvy7KnTpVNOttJI44Z374KRNFkyJEqSCPpoPeztbBAVqXTWYjt+/o0tu9n2nxFGfmZnby9pYkxL48EUDi0nYpuMMOqisWv7Dpm3VLpiRbx59hxbtm8Tw7BVm9ZInTa90vWMreE+UZ7+IWBTKa1GDSwp/6EhqrqFv5p86qU++sKXATlT8lgDxcJ1GhmkA9+HUcSg4FBky55dVHRoWCRcnB0Q8DZAmrzky5tbGbprayu0JI1puLKByNtXr4TeOfPkha2dg6QM8bhx45YAZ3rY2RCDkc3169fL4Ge2YU+RIpmAXDXCphid/+WHSv7PvAjpHxkVLm3Ar1+7IhGHJBJ1MMHAND8bRxw9eBBFihWHk6srdDF6aK1t8PLNGwEg9Nq7ubgInZ4/ewqTPgZpuSdMRhmNcP/5S+gNMciZPbOYrJHhoTKQdsVyPwEuDi4ueHjvHtauWw8HZxe0bN0enok9Zc110QY42ln/wDX4WCa8N9w/Y8eYgMuXr4lzJlXqZAL6OTeMsoH0IpDjXlYP7nnyOvmfKZU09AhmyNMZMpCOihH/5507Ag4zZM4qX40Mi5Df6eThWIpsOXLi6uUrOHHilHj9mbKdOn0qZbDxp/g41rMTD3+bQdv7s77efhOW44xEFQXSOafR4PmTJ/KeGTJnRmRYGBycnYXXGF0nfVzc1ZmIGkRHROHhg8cC2NJnyiDv8/rVK4lbsRkL9z/p8MfVK/KIufPk/uCFNq3fKA1gSF/SmcY1actoCCOe8R7fGLBQ4Nr7SJkK3D7qI2JeJwFsFg9lzV3zhWcgWKM+ZeYB5SLXng5DHiEhgTAYdPLebh7uSJaU8s1K5GuULlqiTKQfaW5nYytg5NXrFyID+LtGa4PXAaF4+y4A2bJkkP3LFveenh7YunGD6KkCRYogNDBQmsI8f/UaXbr2RKo0qRASFgUXZ/tvSonka39s5X4YYTPBJOvJCJs+2gAbG0XWP3/yEhHRkciYMT001orwI6ilXkiXLp3sT8t0fX5OPlIbJ/Fcgl/SivThwSwE6hz+Tl2jHsykUet7uXeZ1k+AWLlKfeQulBurVt7DkB7L0LBBDeQrHgkX13ew1mhhb2dCdGSAchk1wvbi9aNPALaqSkqkVSiswMGB8aRE/l2m/WSE7es3/P8LhRmvRPi7JyQAtr9LuYTv/XMUoDJhVI0HDRIKRfWIG237Lk/11Yjj04CNBpplSoYAILoNzZ5XMTicnBAZFS0gi/n0eoMRbwODkDyJJ2gQM50yOEiZG0TwoKZuqO/Lwacurq4fvH54WBicnDhs1ghjZCQ09vbKNGHzoY/SwYafqZ7u2JSaD6n4bwdsfFoaHQLgra0RGBAAD09PSKqPtS1CwyIArTUcHRRFrIvSCR/ZMNfG7ABgN0dXV2ehK+vZrAh2WbBmzZEHGoSFR0pXORrPVLhcD/VgNy+mP6qHGvBV2fS/HrCRX+NJB2aEjWDZbDkodI6Ogq2dPSJCwuHowuHLmlj0ygGzJistNGYnAbt4mmL0sLWxlWgAU4ftba1hZW1rTgsjUIuUAdoeru6yf8KCAuHs5oro8HDYOTkjKipaHBdW4jEHog3KHLEfmxIZP2Cj0cf/GGFjYyAnRwfodEbY2ir0MhiMCAsLEXCh8iuNO0aGadyphh8dW/T2q+fxmuRLJQ37fdp4jM6gRI+SpYCJDRbEsWOCPkoPGzNfmwyAlTUQHa2DnYPt3wdsKvN/ECb5evuNX48x6MAgNfczwYSdozI7ks8u7dhtbPD6xQskTZFCPg8xN3UiANHYkCfNgEXyBE2AtZXscwIOptOrDkFVzEcZooSOjK4FhwbD00UZ02FJa1XvUG7Em5L/d21f3pTrr0jw2NTG/zRg+5TOZM0g6UI5GRwSCDd3RbeEhoXCxVmpLQsNDxOQZ621BkFPSFCw8CSzNHgodYc2iIEGEZE66KMi4ebuAj2bMjnaISY6ClpbG4mcymR0K9aOcXagA6J1Bmi5/2PTQD/1lPF/ppLe0tJVtLESvVUPQ4wB1lpbpYe+pSNCAwQHhcDNwzXWUUwdzIONebjXqA/oOCboY10lD7UplvqTfyOf8Dz+x8Ny31vOalX5kT85ZJsJjxs3vMDg7kvRqOHPyF8iCg6Or8SZBVMktFbK2JtYwHb3/nUThaCdrSNePNFj2/obaNqsJvIU4VuHAeCm+Ioatvjpm3BGAgUSKJBAgY8owLx6eqco+JhCQEVBgUbDRW1C8d3IZorT1jrW+Pi6lEitxk5S6wgErG00iAwNl4hEssSJxDCg55fvZGPvAEMMh8SGwNHJSaIFRr0OYaHBcHZyEGVIjx2NLYJW0kD1DpMOVBw8pNGFGZjZaLTSrp7n8bthoRHiGaR3mXoySqeDRmMtho/yGYGk2aDSKJ5UjRqfkPf+KymRNDg/ZbD+tZWKr2ieCpTvT4OKdTdqXSO7Bzq7uMHO3hEGEyT9hDUG7i7OSleuxw9FwZL2/NzJ0V75fmSE1G+QjuFR0fDwTCygT/VCk5a8F5WxWqROujEtjXTkfXgujTmurRIh+JHHN6ZEflR78+Gakn4y0NyoV+wGo8Gc3qe8vy5ShwwZMuGPq1clikvavwsMgKOzsxgxKsiIiohQHDMG5fqMugWFhCBSFwNrO1tZl1SpU8DGSovAoHdInya1RDt5f6nBtHcQhwTTIKN1OllzXp/pk/Hx0PdbnfhTIlX+dXZmSmSkzP/iXiYQ43uSxyIiwmK99ZQD6mgLGoysS+NPykiCPp7PSAnP8fR0h7OTEx49eiC04HqEhIRJhM7TI7F8lyHXPeEAACAASURBVPtFaXhiK7KB8xr5HHwGDt42GGPMKZEfUkl15MTlLsvUZqUGS6nF+ruHqwtnTRpj5Zvafp37j/uU668OXOe/SQv+jfuRP2N0Ci3V+Y1scEFaBYeGSGob352yNDwyQuQI+ZIHz+e1QgICRQ7yd+5tXpPfIT0pB3jPLx2fTfX+CoKQbgYNwLQ+rZmVtGZAEfe6PFels5ISqRzWRou09k/ck3uOPMUomqpXuP7iHLSxgZOLo0SW+Jma/kk+Iy+R/tx7pC9poYIQXo+8xPpAo0aLxImTIjwkGMmSJ0Hwu0AZWs6gFddSrZ/zSJxEnD6PHz+Xn06ubsr6Ug/F0zjlc6QUepishX4KJxrN7tP3gI1rKvfR2kKvi4FRb5T3pHOODiEHBzsEBgcIj/C9yFfUpaQBf2caLfmDmS7cM4yM8Z2oW3gd0pHf4WeqzaLqbjUaznPIT7wuQTL5WRwwYYDRJjkOHriLRTMOoVPHlshbLAIa7WOpYbPW6mFnQ0hvAdguXD4tgM3B3hmvnxuxc9NtNG9RH/mKAVbar4ywfQVzJpySQIEECiRQIC4FKNTZup31AzTQVIXN88Tj+tEwsf8wDb8RsEVHxYjx6MimHlrAVmONiMgwJPZwF2OVwp7KjmmTrm5uCA4OR6LEiRGp0+Ppo4fImycXbt+6IQqBClRVpvwOla36GZUFjWFejwYJf5I2VkaTYvy9o5HsJIrn5eu38hm/T4+mos6UAaKWgE35g2oh/DsBG9PEaBxQ2ZEWVI40tMgnSZImx4uXr5EkeQoxOkgjTzdXMVTZ+IUAjZ5S1v+8fvVCvsuaE/IVr8nIHNMqE9HgMBskVKiq91k17IRMRqPQWwV0NPCotHXRkf9hhvyrl/tPAjZLJ4Xyb9KVvMmOezRASHdGIElD1oLYWdshIipKjF07B2X4OXmN9IzSs5OhnXxmZTLBw02JIgUFBMJao5EonJOrC94FBcLD1U3AL2s82LkwaSICDiWl8s6f98QoNMQo1yXIZsMXgkfNt1jMf5XUH50fP2AjT5JX2LWV/46O0pvBkh2idZHC16lSpRDeonHIfUseo4FNg5HfIb/TmUXepEOHez9Llix4/PihuFsY9UiWLJkYpjRESe+XLxSAp0aItFoFeDOix8+4frb2NuJEouPlczWnH3KXWuum5BT8JwAbHVY8aPDyfblfyUt8RxXI8d2Yksb3Yj0pgZca0WDkkPRSO3DSCcAaVHdPD5GTlME0mNkER/7t7CzAhYY3AV1kaJhcV5UpXA/Shv9R3vJeXzr+EvtJ5oXZ0WVS6PcesJHSRnw9YFPOjw+w8Z3V9D7Sk3STPWo0Cu9xr7KbMZtlkO5MzSWfqCCYkTQ6SEhD0ojrQxkgOic4BPZ2dJgZYS2NYxRep3OMYXBmLQhIsbMFG3+4uLrLtd3cPREcHCqpwN/q8DJBBWyKlntfw6bsTe4fkecaG+ERa9aci49NAytr8pgBAUGBQhf1ndXILFNCmR7Ja5Af1U6T3Fd0Aqr7SOlEaSuOEtXpSlqSp1VaqwO8SUfSkN8NDbeCZ4rcuH0rCicPPkD3zt2Qs1AITHgArZUGHu72H6dEXr91KTbC9upZDLZvuImmzeogb9F/BrB9qfnQhxvlc7UO36awvllm//ALfBgQ/uhxPpnuEs93fvg7JTzA/xIFaGhwyDSNcx4UZhSAkksfj8L8Zjp9I2BzsHeRSI2Lo4M0G3F1dEZYeIg0t1C6R9qLMcYUSDZqiIjQQW8wIEpvQI6sWfDq5XOJstH4p0JRvd98L36meohJCxoZPAhE+DsVBWnn6uIOHVMrzdEoOuAIbnQGxThUj09GK9UIy9+MsCkGy8eyOa7X/VNeeH43Pu8qaUJFSiWnNqcRZRcaKpExGgGMvtDQZ/QhRdIkYtQSsJE+/D4VZ2DAW1Go7EJIPiPd7BydBLDxGlwnXpPnU6mqgJlrJ6lZBBgmGjc6MUp4Hv/GlK4fe3yb/vu0wfl+PVWvPPmIESHyEP+j0SJRDRtHMWRoVEdGR5jrYVyF/6ys2EVTMZQ4SPfNG+X7SZIkg621jRL9MejFyHGRyIdRPvPwcEOIOdqughTyOHmI66K1sYbJ3G3gx05ViB+wScMfrVZSOWX/mfebRLfp4GHL9TevxFimcU3jkjUw5E8VLLNBDv/O2W0EbqQBeS8g4K2sA2tnuRakY+JESYXeAQFBAm4k9cpkkkHUlCXJk6WMXUOup6S6fgqwmfe05gMDzQzYzMBDmmZYscXExzwYd19/bp8zQk76UFbyHVXQSj4g7fhefAf+je/DvxPMcq/T2cTUWgIz/o3/vX73VgENzq7KAOwMGaSdupXGWt6b4EKyEIxGhW8TeYrM5b14Pu9DecN7kIfjazoSd++/TzFXeCMu/ZQUdQXwkoUNVtaIYXt4aTZCwPZxSh+vQxorESWNnK8CP2vjx2Db8pnIJ6RtLEAzgzaRpdZa2Uv8u8hXWEnUliCNUV/SwpbjFrRKK/w3b9/C3t4RyVOmEL0SFBgiOoq8aq3VQq9nyqOdRG6Z4q+mDPI64WGRsLU3p1VrrBAYECx0Jl/EpwM+J1+FJgRsdFsI4T8GbDY21rKOBh1TbMmwCohjpDtKr4PJFIMUqVIq9XmvXsVGIcmT1DPUJfKcZserRPVjYkRXCOA3Z1rwM4I4vj9BHunNvcrfVQcDdRRBL2kvn+ts8S7MDidPPIG/7yl0aN8MWfK+Q4zxTxgNMXB0YAg7XHl9tYbt1dsnUsNmrbWTpiNKW/+q0iXyq2vYvkFjJQC2byCeOQysXOETTQEsL/1B2oKlN53f+zal/y1vkPDd/20KUOBJypMYeO+ZlEYGhSCNj+96/Adq2CLMzQ8CAgOQyN1TZgupyfJqHYlOpxfjyMiuXhpAz9R+iXjxHTVSdyHRRak7Uw61lu3tmzdIzIiQxaHWclFxc0Cs0WCSehQdPc72NIZZYM3W80bzQFoa2u8vYC4bfN+w4bPyQf3Op5uOfLbgPU6a1Ofl/Occccp9oyIjZaaP0tJSuSjr/hQ6UWG/h4s6vRERoSFidFjeXjEclOfnsGE2x+ChrIkDwiOilEG7+hilo6bWSgxcAgfSkXwp3mBzmYxKR/7tq+dYfVcm/oaLf0UNDg04HgLWWLxnNthZd2RlZS3AI1rHlEklCqmmJ0XrddKcwLI2RtU1YaGMytnDEMNaGo2AEAJlVQYoA6cdlXwxjeKcUBsQxW1U9A1v/41fjb+GTa2HkvJJyjMBb8weYFmPMhbCsu2/wmNKJJGGLg/1fQnoVIeCUg+kpOuZOMvMaISWC0EgYGT3RevYdEglUmceQWECnj9/jZQplXb1qiPl46xG87t90iFj4QW2Yo3Tx8dnrxfn1KgoRmztYxs8fKpuTKUhDV/JKjBvQHlPixtJExyZm6ZWR0EMaokqme9LTmbtnsxXo6S24CvSl+dSF6mREbUm6asZRb2Rmi7+KfoRXEhzKo3UgPGZ1Pb879v0x5WLiqyTZ7Z4GNGO8ezhoMBAaRpkeYhcdVToosBH5TCaHVAcraHcLEYawXCTK/VcNvKdF6/fIFnSJLGNsyzrtN6voRJRDAsPk72tAnDViWEpl7+avh+c+KH855+Up1bb+hsRrYuCna0dTEYlqsgukaydjW2aRcD7Ga+P+k7kO/KDGq1Wh3Grf1dklXPsPuUTqJkh/DcdA2r0Ta2RkzRlWzupYVu96hEGeC+SGrbCZQxwdnkb29b/o5TIJ8//jI2wEbBtWn0FjRrXkBo2K81/poZN9XSqLW750BQ8LB4ODAmFh7sLqGwlt9veJrZzEredUgyqpPVIYb6drbmYXlk5duyytlE2sSrYeB0SOK6xR7RMz4xl9xdeI67A5GfvW/F+WHjKd1FSjexilYiKwuN2tFMFDe+nhqaVZ9YrHnCzsLB8Hslzt7ISIcaDTM2D70IPkLrgwpZMCWH5jLltKe8XGakX4yM4iALfCeYaSMSw8FuMQ9a0xIiQ5/wTek6YNsX78Hksr8/nUsPoKm3VZ+W91LxxPovlRHn1vS2LM5WcecXbo76PWuirvhevIWFrs5GuXkct/LS8h7pJ/t5GT/jW/xcKWBpylu9E3iGvqmCQXmqmyljyjfCyreL1YyMAGxtFAfC7anE1/xZrPAJ4/eYlkiZRjJ1ovQFMibR1cISdtRXCI8Lh7OD0QdMRUXharRgJRhH6TnIPHXtesHZBA7x98yoWkEkzEWfnWFDCjpHvGz4oxflqvjxHCtBiEfPJbANERTD9iulP3G8WU3o+V2cSa2BYUu+9Q4dtvyknaPAp9XPKNWMMLDxXQGFQwDu4W3S2U4FmZJQiO0OkmN1FgCU7CPKIiIyAo4MjdJHh0DC9097e3EhEAegqKFOK29V7Kp5iVS7Y2NrLu4dF6mBnZyu0ZOdNygl3NyWdTK1Nk9QbRiUjwmGrAkCzgRsVrdRnqQbwX5mv9g3lO1+9BSkzqWMYGaAeoQGu1t2I99iggB6mKFL20whWUmYV4K42TVGiLiykt+BvGe9ggEGvNCEQQEb9FxwsKbwEyrE6z95eOvBRjrvFdupTXoOdHhlR4zU4AiBlyuQWliQj5YphToeF1AjZ24mugpUy1kPVp6pulfRdAkQzlVRdQf3I63xtbasqH1QdQv5RU15VfWJpXKmptwpdCfQVfrQEEqpXXW08w/o+BSzxUOjHFv6qgRcLGiSi/P5Qwarl/VW7g2dxzdXW4Jb3V2kRHW2uI9QrelNqtBwUkEeHA735qnc/9q4mRdaRfpRx5u38iU6bCmBgF1o2/uChi4qQxjFMA7Z1dEZkWDhsndzllSOj2ImQ3XIJiPSyprY2ZiNfOsMob27SK7ypGiZhYeFSiyo8ZLaL4tJbtdv4Od9Hre1lFMhOq4HWljWQkcq+pjcs1n5T6t3EdpL1sEO0wQQbNiYR28okzTGUhkN6OZdrpkbRLTv9WSzbB//8vL/vQ/qFBATA1dND9lNwwFu4eSYB6zqNts6wttUK3aKiDXCyU/gtKPCdgCxV/tGZxMXiPo/Um2Bro9BTxz3vYA82pqLtJt2DY5uCaGO/rzRpso51gLFZjYOTI6LN7fUN5kY4YcEhcHFzlqZZESHBcGTn18go2Dqy66EG794FwjORh8hcNnriczM6x0gb11WVzSKnXF2Fr9SaQ9rels1dVFdbZGiIdAJVO4KSRjF6vayretDxKU4J9TPRq4xSGRFjor2s0CM8NFxkiquzi9SSO9jbIyo6CvZ2DgotzNA4OkonDW5UOvC5VTvUUrbExQqyNuaGJOq7xuUN8g/f2dKWVnmbnysp0g6IMUEA29o1T9Dbax7atW0iTUeYEmmjtUaMgbV35gwONcL2TwC2uC/0+PFjGRpbrHhJ5M6bGzoDENuIS+nsqhgIWnqhKeyV4k8tvaSqx8JA0GEFKxtbCXVaeuMti1hp3KhFpOpzqMWQ/Mlz1Y1JwaDmSfNcVciri2YpUPh3fk4BonaPoWGntpJWO95R0KqeMnWB+VNajbq7xzIJQSPPVQc1qsqEoXmiczL6tm3bJB2qZMmSwgwMQSueXxNev3mDpEmSi0IMDmKdB5W64iDhITaPRXFmJIWvrZ3Mp7CMsJFp+Q40CvgMqsGrAra4TKoyrwgPC2+VqmDUDWrpFf2ch9QSkPG6fAYVeKuKmgyv1vXE28Hpc1I24fP/dxRQI3JK+tGHZjQHUV++fFnml3EoLXlSTWm7dvWWpBpWqVJRoYkVcOnSH9i/fx+qVKkic4+U/W00O3psBJg5ORJ4aXDlyg2ERUYhb66cEhG4cPYcfjt9Em7OTrIf2D6bNWvXb97Crdu3ce/eQwEgNevURfYsGc2GkhFhoaHy3BzeSmXHtIpixYvHApfNmzZJfUG5cuWQN18+6ZxIR9X+Xw/j3oP7yJQ+o7yD+uofpbr9TcBGZ5DIMCdXaXbg4zNP9l/PHr0VL31sqy4jDh48ILUQufLkEcP/7bu3MscsMjpK2uJnzJRZnEsajVY6tLm7uEELIy6cP499+/bJjK+y5cqJ8UFlf+zoUUmVZcttrgPpyOPWzZuiP3LkzI2s2XIgbfq0CgjWxcDeRolgPLh/XwbEUkZUrFgRHu6uQveA169w5swZGUjcqm07qacgWHz7NkDmYfEoUKCAtG/meqiRuc9tmO8N2OI66fgc5Ndly5ZJ2hbnbjHti0Dt2bMX8g7cC5w/xdoztoXnsGDqJtaD8XrZsmVDyZIlYDIZZdwBm+Dw+HX/fty+dReFChWSIbBqFPfpkycy947fr1ChElzd2BUS2L//EB49eSL74+fq1eHsQiejCvZNAvoox48fPw57eweUKl0WKVKkkrV6/ToQ586dRWRYMEqULIaUKVIrDTBMJhw4dBA3rt9CgwYNJO2INXM6cSyqTk7WoSjR0FjE8ZkFiuvQUXU6TydQ2rFjh8w74+B18igP6iHqKPIIdTzbu6vORn6fzh/OZSpSpJA8H9/5xcsXopOdHF1kuO6tW3cEYBcsWFAcRWynz/uwfob0Yhpfi5bN5N/S+CAwUNauRIkSck1LXchnor3APcLPS5cuLXWZvC+/d/TYYdHZ2bNnR+5cec2U0EhdMO/D61Fu8Ig0O3TMHfTjibBxbIgeGltrZYQDI3o0MsPDZQ7Vzr37UK1WA9T4uTbsbKykW+DZ02dw9+5tecacubKL/fbu3Wvz3mXEBXh4/x5279wFN3cPVK5aDSlSppbnZ80Q9yzpWKtWrVjjnwCdMpHvw5EbNPxpB7Dzq7ntiTSz4ayru/cfyBiDMmXLyvsGBYVJ/duly5eF70uUKhHLKecvXMalc2eRNWtm2S/kJ9phauOrr1GSXwZs7+nH9zbpo2HFNEudDvv27MGqtRvQpdcglCxTHJFhbHqiAN6DBw9K5L5YsWLirFOcJx6SAn7gwGEUKFIUHu6JJELr5sguoO+f9MXz5zh79qzMkUuXPr384czp00paqJViJ1euXBlp0qbFu4BAHD3xG27duY3aNWshd84s0EfRQaiFPjISNg72iAoLk7U2xAAFCxdFyjRpYW2rRFWPHDmOR3/ewU+VKyJduowi23mPHbt24s97D2RAPHmPswZVOanY0AqQlCCLXgctHQJmxcWIp9SuOzri2OHDMsya9ZqcqcfPggMC8ODBA1y/fh1JkqXCT9WqisSJjDTCEKOUJlAs3Lt7G6fPnEJQUKDY2dmyZBN9ev/On7hw4YLYvD9Vrap0vrSxljp6piCrDUS4X/g9S1uCdgMHq3P/c29XqFAhlvAcn8FIGmUx9Zja7fr06dO4efOm8Gz16tU/iCZH6dh05B8HbF9OabFs262+BIfB9u7dG+29OmLS1FnQ2FjDxdyWOTpaicBwvorYTyyK15gQHc6aA0dESOGoE0w6PayYE2ulFc8iDbXPNSiIG9Gy3IifQtDq31XQoSpNyxCpGprn93koOeUBkkfNw9Kjp743hS5zzi29oyJEuTlslFx/ywgeFd2qVatkHg034MqVK4XBGjVqJII+JkaPsPBguLFgO7ZJKgclMiJHA4Y58lRAyqyXqGimn5lEAaqhYr2ekQW7DzwfcWmieqrFa2b2cFgqPlW5qF2F4gIpnqsqThVA8zMKZjW3Ws0NVucmqSBYbadq6e1U1ychyvY1KuV/4xxLz7n6xuTLcePGiSKnk4iOmcmTJ6Nx48ZyCpuctGrZTgzRxYsXi4Des3cXfH19ZW9x/hflVLdu3eDurtTscB+FhCrezFO/nUGF8j+hcbPmWLJwAZycHVDn51r448ollC1VUs7n0E2CDQ7KPnnqFPLkKSBgpFHTZqhTszqY7pgkSSLJHqBRzOfgu1AecJgrhTyVFgfgUklQofTr108MzF8PHML4ydOkvTpnzLRq1QKdO7eHTmeCUernbJTBtF+as6QS6zMpkWzpzL1HA5qDZE+fPicKqEnjZhg6ZBByZMkqoIaDQwcMGohOnTph2MiRMhC8e88eouAyZMooSpXPTfBERxGvy2P8qJHYvWuXAD3Knc6dO4uhzvlnHGKrylkOxW3cpAl8Zs0SOUgj7vGTZ2jX3gtDR4yErY3yovw/u5dNmjheDG6CGirRhQt8BcB09+4iyp5rkyFzFsyeM09m3w0YoAzO5XW5Xhz4midPrng3z/cGbHwAFUBQ/hJkkBc4y4d6pGTJ0hg7dqy8G+nLAcqsgaKTsG/fvmIo8FzWT5B3CHTbtGkjQ9mTJ09q5g8jfOfNE75PmTK1gLr27bzg1bEj7t65I3uAqVDszFmxYmUMGTJEnId+y5dDw7rL6GgUzJ8P/fv1Qb58uSTSRg+9QReF4cOH4+RvZ6Qtf5as2TF06EhkyJgZw4ePwJkzpxEdEYrUaZJj+vSZyJY9pwyj3b1nn9TKuCfylN+LFC4AU4zJYki5YghbWWulNulrD1XXkKfofCDo5bBcgkoa7JQLLVq0kMtxaDB5mUOaKUPUg/qIvLFlyxasWuUv+9NoYvMThf9mzZqNJUuWIFGiJLHzvHidnTt3C3C2tbEXg5G8vmXrJpQuXVJk09y5c3HkyBFZAxrqqiOUe49gZcaMGbJ21J+cC8g1LFeuDCZNmYw9e3YJuKHunDx5qjgbtm7dLoN86ewl/4wYPgpVqlSOfY/QUDqSHd47eD4iohl401K35ryzCNg52CEsKBjLVyyT/X7xj+vwSJoas+b6om7N6ti0eRvmzZ0rDoVsmTOhVesWaNG0OUJD6XxVIn/HDx/G5MmT8PLZc1m/wiXKYNjwkVL/Q9nMbsE8KCdmz56ljEJwcsDChYtlHaZNm4bmzZvKOTIewk6DGH00li71E7mgMyhNWsaMHS+Oh7VrN2Lz5s14+eqNyNUx48YLYFm5cjVWrlwBN2cHqSEcPHiwrL+lM/nDaNCnucwyJVuVP4pMMNPPBLx8/hTJkyUX4aQLD8ekSROwcf0GvA4IhnPidJgywwf1av0ke/Hsb+cwavQwZM1CGdRfmVkoUk2D3n36wd9/NRb7LUetmjXExrM2mbMurK3FSUXeo74jnSpUrCiOQA56Js8RsLIOkoOec+XKhbm+87Hrl1/h5OQCJwd7jB87BsWLFoLJECVOM3bcXDBnDtZt3CAR1ERJkqFP/0EoXrIUtm7fgZnTpwExUUiW1FPkZ9VqNUQuTJs+Ey4ubtIsiM9Rr26t2PEbYsdpCdQM0JjTzNnSWDJJGCE1H5s3bJBB32qTHa59q7Zt8eu+fcInlIMeiZKhQ8fuqNugIZydlQg3KcUUTO/OnXD8xFFkyJBe6mvbt20nDthWzVuKE9DV1R0h4WHYtnWH1PJx0DXBFXmHIJO6l8DLMlWbzkcOsqfdyf1GXdWkSROxEyhrab9zX3fo0EFsdt6Hn/OgrKas4EBuYgTKcg5z0Gv+ZYBNNezVyAwJTbTMhU2bPgNWrtmIosUK4fGjF3j16gWKFy0oL/ji2Qu8C3iDLBkywdHZAXdv3kB4RBg83T2QNmN6SQJ/+PAxNLb2MkeHilbtJkSCEgCQ8FRkJA4FLb2NBEyqcUfFxvOowKnYabjRcKAy50HQoII2MhoVllrwnidPHgEhFKxUhrwWkT8jYFwQLh4Xm9/hefR+UXjy/SnQuHF4PheSHl16z/k778nNRKU5evRo+Pn5YdiwYTJRnQCO70OPMwUbPY4RkaF4/fol8uUrABdnduGJwauXb8VjzPvx+fksmTOnsYiwxeDZ8yeSNpE0SQqJKHCiPY1QKhU+v/oMVPJ8Zt6TB+9LWtDroRoQNIz4u9pGl94c0pmKgv/x3xkzZpQ14Ln0gNF4pueL9CTNeJBWXDsqHvX+fCYafaQHDVZGINVws5o2+mlRmvDp/xIF4kZ+ybcU9nXq1BHeJN9wn5YqVQp9+vSRgbLz5s3DoYPHULVqVezZs1Na4Xft5i17cejQwQKgOFT1559/RuLEnrKf2S2P6U+Msg0cNASrV61H9Zq1sNp/BV68fIZ6teqgVOkS6NHVG5mzZZO5QUwtq1bjZ5kfNnu2LxwcHeHo7GgxQ8qI58+eoV27diJ/vL29MWLECOTOnRujRo0S4U9FQkOZz07FS8XRtl0HxMAG3Xr0FDDFPbJn1xZZdn0064ne16Z+BCy+WLtnWeOqcJGf3wox8hs0aCLGroO9E1o0b4qKFStgzrTpYvzeuHsLK/xWoEXbNti7Zw+8u3UVuVWoSGE0bNwYnb27iGHEtFAeISFB8Fu4UCI5qpKjnKRDz9/fX+QkDVMaHGJgzJ2Lnj174tKlS9i6dSvmL1iErdt2YMv2HSJfOZeLdhKNSQI2fi9r1qwCZAjYKA+bNmooNCRP9OrbTwBfkaLF0atXL9FLlON8Rt6Xz8Q6ti8d3xuwqY4qlb/Xrl0rAI3GB2VraGi4PCvXnnTr2LGjRIToIaaHm4Y+dRR13uzZsyWiRCBcv35dea3ICM5bshVDj+dVrVpdrseIF3X0lClTxGFAIEIvNNeuWbNmMmD4xs1b6Nd/II6dPIGpkydizpxZqFa1EiLCQwSscZ169OghRoudgxPm+S5Ez559kS17Lnh364Ea1aqgSKHcGNC3D/oNHCTR1Vat2qFipUoSeSHQ4bP0798PVqw/0bLWx1xDx5xcibB9uQabdKP+pZ61LFlgJIfGE73k3O+0HQja6tatKwY+gRwjHTRuCQRUpySNNu5T2guMwnPAMtOkqc9orE2cMFmctR06dBQANmbMGJE1uXLlEfnB0RvkSzoRJk4aL8B6woRxwu9cawLBGjVqyNqopSR0kLRu3Vr+Y+Sd1+S/a9euidZt26BkyeLyHOTbFi1ayfe7du0uwI6RKhq7hQoWEQPYkZkBkhbJ8of3KWcf8rFlbZ4JMTrO1LKVnxHh4cI71P15ChTGnfuvULBIcZQvWxbdu3dFwfwF0Kdvb1lTOrCWLlyMJMkSC4DnUPSZ02dgzhwf+C1diqCQMHTpre/soAAAIABJREFU0QcbN22Rvcl9S76m04HyjbQuVaqEgIEVK1aIPOdPZkpwLTlr0crKgOdPHqFLl64CVBs0aiwgIW26DCI7e/XqJ+9KPuW+SZMuvcgxb+9uUhoydFB/DB48UNaf31MipsrxJWc+/x4XrPGzuDVUHDvBmWNK3roRj+7cRYsWzZAkUWKkTp8FL4P0KFepCjq0aYG9e/dg9owZOHHyCH6uUQ3bt29VGlc5OOHKlWv4uWZdPH36DP6r16NRo3pgYIqAjWCHum3mzJkiF58+e4pDBw8Jb9N24j6iDqMs9jSnru//5Rd4d+uO/kNGIGnylDiwfx+82rZGkUL5YYgKg7WdHV4+fiy8TtuvXMWKmDhlBipXrYG2Xp3QsbM3UqVIhpGD+sKrfWvkyJ0HAwcNkv3LiL3P3HkCemi/ka5JPD2kOY5VjEkigyaDPjbVVqV3qLlDKO1v6jzSn3KfDg0GKsjza9asEbuRa7lx83b8duYSfBcsQf4CWeQypD9rZls2byb3WbdurUS+0qRKLQDKZ8YsybJhl8oFixdh0MAhsLa1kT1ORyH1BeU+9ydtb9quPMh7tMMZlOH+pW1AGUC9S71E25WOLcpRylryGB0m586dE/lHZwsj7JTftHcta9j+4ZTIj5W7pYJT6qu0Ur9gY22DEydPyELSQ7x5yw7UatAE3Xv0wvq167Bo8QL4zpmLnDmyo3eP7tDpo7Bs0RIsXDQfu7Zvg0GvQ7bMWTB+wlgpyqNH9/rdB0iZKo14pfgfFRJTC2jgUNhSWRNAUGiRqFTIZG4yAolKoUAPJIWsIPH27SU1wjKiw0WiAcXrknFoVPG7BCFUkETmNKIYKiUYobChIOYC07NBYc5n43sTsJAZmSZBRiLj3bt3TwQRlQINCaZR0QChYcHv0/NDwUuBxutTsRDMEbClSp1UQFbduvUx22ceHj16huHDRuHPPx8gS+Zsgv6ZckKl4OrmBIOBObIG+Z3KwcM9KTJlyiLv8dtvvwn9SDs+B2nHDcJUDDIlmZjPTg80vQsEkD4+PiLkeD7fj4CS5/BdSGumotFI5nlUXDQgaDAwYsjrU5iSlgSC3NhcGxrX9GISRJLpuZko0GlQ0GCjwcDjU1G3/yWQkvCu7ykQF7DRK00hS4OP3Z+ovOgtJ9/R2CDv0aB8/SpAnCcHDvyKe/f+RP0GdUVIV65cUX7S6CVoUzvYUQlQjq1ctRILFi7Gm9eBSJM+AzauW4tbt2+gVbMWyJc/D3LnyC5GVPlKlSS1o0HjJsiWPTvq1WskqSr1G9ZHdGQ0HB3spFMknTX0KtNA7tGzJ9q1bSuKiTKAUQZG1UeMHInBgwZJigq9jL1690fVmnUxbfpEDBg4UjzGx48eRbZsGaGPjoGtrZbOcTliDbLPd/+wYKcPZTo9ljt37Jb9nT17bnnOVi3bIFnSxLh/8zZGjx4pcu3Phw9kD7dt307mco0cPUqUfbESxTFtxgz06dcXDes3hB4xYNWGwaCDg1Yr3tyLFy+KjKbs5R6XegWtVlLP6P0keCVgpeIjOOSzHDx0BM+ev8TCJUslksTalKiIKDFcVvovl9RHNT2wQf26cs21q1aKHOfaVqj8Exo0bCzjAWgE01Dn8/L9yCeLFi2Id4v9U4BN9fwz8ti2bVsxWmmgtmvXQVK6eDAlki3i7927LylpBG3UbcQ1/BsNDabocY1oMDASRqM9LDREjHgawVevXhf6Uz83a9pC7sVh75Th3Df16jVArtzZEfguVFJdk6VKggkTpmPs6JHw81uCVi2aiKHE/TJn5nSJsF24eBmZsmRDocLFULp0eeQvUBgjR4+F//JlKFemKKpWroR0GTNJqq+f30rMnDULZcpXQNVq1UUX+S1bClcn1udYSYqdND1hbiHTqOIBbKSLdIVjV0Z6taUhh0Z4gDqPepsgiE4S6lY6CWhgMZWQ+48edEbJ6UglcCIIYGSeUTpGQGgIMx1VPegEVbJfTLERob1794r8YW2X37IVEkWjs6h8hdLYsGET1q9fK7YJD+pZevbVTBR+RiOccoz6tnjx4vKc3A9169ZGvwH9MX3WdNlXtevWlkgo5Vy3rj0EoHl18ELLVi3x9OlzAeAe7m4SLXGwV+rSVJfOlwAb60wZ/YgIDUZEeCjq168n382dvzDaePVC+sxZpcNg/gJ50ap5C0wYNwp1a9fFnbu3sG3TFuTMnQOGqEgxjA/s2YtRo0dg2JChuHLjJo6e+h1DRowWYMYuorQHuL9pizDbgDqfthflI/82YcIEiZCx74E0S4yJwqkTR1C/fkPZ963atpd3PnvuAqZPny4OAsrwadOnYsCAodizbz+YIu/l1UnoN33KWFlTRqV4X4JcyzKPLwkAFbBZlgHHBWxM+ZNIEk/SR+Pe7Vto3aaVBB6SpsqAASMmw8k1EZzs7DB+wmhcvXQBj5/cR768uSWCy4ZLV69cE11z+Y/rePsmEENGjEStWnXh7GwNey0ERDOVnjYWbVXaUAQUtHHpmOD7c/9SHlCX0UG5aNEiTJvug76DhkkH47y5s6NFk3pSl+joxPmSJuzfuR1dunTB1Gkz0KhlS7Rq2RYv3wSie+8+6NSlOwYN6IO+3TujU4c2OH/pMmb5+KBfv0GoU7cuhg4fis7ePSQ9c8f2bUiXmt1JlVpro1EvgI2DtWNYZ07kqdEo/2afg6gokT9cB+pmgkY1ZZVRKtrpazZsQN9e/bF5+z4sW74KZcoWk+tzrvfNmzdAeZ8yVVKUKFFc0oxr16op6ZEuji5iN/bu1Qe/n7+AuXN8UapMaXFCMmBDgEuZx7Ij2tgyukWnExuCjhDSjiCN/5G/SEfyJ/ckAR7XgJ9zj1NH02YmSKMdTV3OjDleg7a/g1MiGXP9DwK2991YPsfYSsGfvaQREezQIKFipIdu7LhJgK0jRo4ah+DAACHImFEjUL16NVQqVx716tdC2ZKlhZF/qlARKVOmwKIFvuIFI4LuN2Agrt25j1k+c0TwMoJG0MRNR3DDDU8hR9DATcp0BzXdhQKRf6dXisCCi8rvkBlUwKWm5RE0UMASeRNocWNzM1CYM12KRgEFCQU6wQcFJpUpPZpUChTw9NYRnBHBE4jwHC4gDyoGKkvSh6k/jHAtX75cwAoXmwzBd/Ly8pIwPz0NBJZZsmRCn77d5XlOn/4du3ftw6FDxzBt6kz06zcA2bLmEHBTrnwZbNiwDrZ2FMs0xmLQvUdXuf7MGXNRqdJPkgJCAU8gxqgXaUCmpMKkoue/qXSYQ85zaEByvahICLCoaKi86M2hwUMQR4al15fvT0alUUaji8xLGhCEMvWLxhKNCHosCPb4LNxUPJfGA8EfPbX8Pg0prqPabvtri8/jtbwSTvivpgCNMrWZgJqrz+gyeY37jhEIOkJojNEZwjoTyoBxYyfJe1MeUTDnyJlNeKtatSo4duyYeOPoeGGETTmMuHL1igjl4iVKYeeOvUiROg38lizEwUMHMbBvf2TPkRWBb9+IYcg9QI/hhMlTYGNri7CwKNy4eRPTZ/mgfp2aksvP4v9LFy/KfqBDgwqWIIVghfzPvUjnE/cWlQgdH9wvQ4eNQqVqNTFu/EhMnjJb9tiqFf4oXDhXLED7yCD7G4AtKDgIb98EiEHEFCPSevKkqWjSuCGiQ8Lw6sVzvA14Jx7cNu3bYdjoUUIpr45eIlPdEnmK3Jw6fRqKFi0uf9PDABtYwxZKdJGglJ51ytPuPXrIOWzAwt/ppaR8rVuvntS18T7MGnjy9Ll4zgcOHijns3EV56zRIbRo4Xwx+sgDdHg1alhfsjA2rV8nPEFZyxq2zFmyyVwvOu74fnSsMdJGPUJHFaNPXzq+N2DjvSn/yEuUlcx24PsxAsSjZ8/eokv4t9SpU8pgZPIJwSr1S48e3aQpCfUXaUh53KBBvdgumIABUZERsHdwBGvVpkyZJmvGc6nfatWsJxko1I8EM3TuEVhnyZJRvADHTl1A/Yb1kClDemzbshFJErnB1s4aJl00Jk2eILResngZihYvgfIVf0KmLDlQolRZTJsxE75z56Bwnmxo0bwJ0mfIiMLFimP+wqUYNXYcSpcpKx5rGlLcm6xBZNYrW4ArjTDMUQtz45ivFV505FDX0gDjfuF+I31ptJNPqHtpL1CnU89Q51MnE+BzL1OOUD9S3y1ZskjkA/evIUZp2sW5VDyOHz8Z65Dk89NQJpir+XNtsQFo0LHxF+/F5iE0uOlApQFIWvNQs5NoCFIX8m+8H9eb/FCnXm3Ry30H9BV9Sj1KsM5IwcIFi+XZqbtpdNOBS8eui7OTNHuTZkfvgpA0kTIb79OAjYOG9dCwi2dosAxZjggNFduEjoCzF6+jXuPW8OrSHcmTJhFDN3XK5GjTpjXm+czG7TvXsXv7ThQolNdcZ2XCkz/viv1CmfEuOAz1GjfHiDHjkTxZYqmT4rtyLWjUrli+FFev3RSaMzpBJw3tq86dOsgzR7LJk6MtThw9iJYtW8v61K3fUJwEN27ekeeZOHGq0KB3n/6yb7Zu3ynyfNSoMQLYBvTtAR+fmcILXCfaNyrdP1U/aslncQGbSkcmuyn0VBoIvH7xDEkTJ1KmYRr0Is9XrvDH3YfP0aRlF/QdPBzpU6fEufO/w05rJfYua9gWLPBF8hQpsGK5P44eO4EiRUtiyuTpGD56HNq3ayKLxggbj8ePHon8pC1Jm3H+/PkC0OgsoP5jcIG8r/I6o+a+C5egWJkKSudHgx6zZ05Fgbw5JdWSx8ZV/mKvM5Pkp2rV4DN3AQ4dPYk27Tthju98yVYYPrgHRgweiO07dmLytOkC0rr36o3+/ftg+Igx8iy05zKkTxu7f6XxjLVWabCg1QpQowOJDU7UY8eWLfLcjIrR5qVtStncsGFDce6TD06fOYfFfhvgt2IlqlSpAPYPIyA8duw4Bg7oh0yZ04n8f/LkMQYPGiDf1WhscHD/fowdMw4Ozk6YOdMHuXKrdZ8Q2U+sQF4hv6k9E/iTzjwCRzWqxvMoP/gfgRmja1IaMGCAfEa7nLYx7Wym29NJzD2qlmT8gKYj8QM2dQFYs0CGIejg5qMhcvDQMZy9fA2LlyxH5Qol0bJVB1iZYpAtW1bs37MX8xfMQXhwKMpXKI+cWTMhZ84cOHHsiBg0vXp0h1enzkiXJQeW+a2QiBYRORUEi1fJqEyvY6oBwRJBIn8yOkbPN401RnEIEIjiydD0XNMTQWamx1atWaPgpgJkSgg/pwCkMUDlxwWgAuBmp8HITULvFw0KerSI1LnxGSmjEUbvEAUqAZeaG8/8bXpOCWz4nGQKMjqvzw1DJuA1KZTJvDRi+NzNmjXB6DHD4L9yOSZNnIZNG7di8WI/nD93SVK9uBEJsqjIV/gvhYOjLcJZ8+bujAED+2Dvnl+wauV6FC5cVMArGYqAiECVBi2fk8xJQ5dRQjLsrl27hKH5zFwHAlM+Ez3f9IrwnfhuBLQUGqQL35sKjimRNMzIyPQU8h140LAg8KOhTO8i353pj/QO8XuMPjKCR2FKhUUvCze4Oqvra5V1wnn/fylAA4tCVW0ZzDfl79yT3FPkRe4v7gfyuszxAVC5UjX5SYXNPVuwUH7hsy1bNonBuHv3buHtzJkzKunFNhoBawIiJk6WGjgObl6+dAkcHO3w5MEj5M6bCxd+PyMKgoYH98S7oGBkz5EDT5++FA9kpqzZ4LdksdIW3hQjsoKGNvmdzhCm6NEBROcIPfzcI71pgHfvLl5AAre27TqijVcXdOvVV5TFmjWrsMJvObJnzwpnBy2CAsOQyEOpHfmWCJvCNRrxcm/cuFWUpYuzm9Qs9e7VCzHhEbhy7ary3H37SOoj9+7o8ePEuRZjBVFYlX6qjLYd2sPVmYpZ6QCojdFLAxVmQRAkUIZTFhJcMXX09zNnRHlSvpMmXEtG83iv02fO4s7dPzHDZzby5M4hTQ+cHWylHmq+71zxMtNBx5TzGtWrihNp2eJFcn2C9irVa6BosRJIkza90I8gmLKMoJ66g5ENy26hn9o93xuwqTW8vLfaHpr/pgFD45b1ejQIWrZsLsCMvEY6UkaST2lIEJzQiCDQoDxnEwC1e2RgwGt4sHudubPc3bv3xGBmVzrK6uHDRovRdPnyFZHlvXr2Fj1aoEB+XLl2Az379RddOHXKBPTt3U1SIa01JsQYomRPcO0WL/NDpcrV8HOtukiZOj2y58yDOXMXYM3qFShTohDKlCiKNGnTScRzwqRpmDVnLqpVr4FmLVqJDl7lv1w64bETK4wGpVGB6p23J0D6/FiaLxndpAv1GfcXwRYBDg0tHnQeUg/TSKS+Y6YKHac8hzyq8OJGoXNEZJhSQy8dZzVie7DmitcmDzEayrUhIOvQvqPIn+bNG3+AkminUE/yfOp5Pg9BOPUc15eeezoUaJ/Q/pDIccVyIi+GDB8iupjv8ejRE7Ex1qxeJ8Znh/Yd0LVbV9y5c0/sCHUuHjv8ESAxi/gD+aBwgpnVzYCNTSL0BMlKg7PI0FBs2LgOq9dtxqHD59BjwBCMGzNann3h/HkS6Xjz4iU0WqMAtmw5Mssg5aiIcOzdvVNstMIFCyBpyjRY5LcSs30Xyh5VO31TvjDiRVp3aN9GnmX/r4cEqBLssIaN0Up2FI+KCMbxowcxfPhIsS2bNm8pfHv9xm2Rv9OmzRIZ2qt3P9kbjLBRzs6fvxANG9bHqOEDZL/wmQhE+Rxq6uzXpEQSklm2xVcGCrwHbAJ4JcJmlAgbzI6GTav8MWn6HNy89xbtu3TH8MGDkDSZI14/f4MmTRsgaRIPbN68SQC9r+98ZMmaE1mz5cKA/kPRpoMXBg/qwTF0sI0jgFYsXy5BCL5L9Ro1pJaYsozZHefPnRMQS+cf+Xvths3YvPMXODg6oUrF8ujVvQuGDRmA6PBg2Dk44uzxo0Lz4SNGoX6Txpg8bRaOn/od9Rs1w/JVa9C2ZXN4ezVDnx7dcOv2HUydMRM1atZFJ++uGDNmJLr17C9gbc+uHUiTOpWsF/evkg6p6L3YpkGsR7Cykk6R1MM2Dg44+9tvwvPUv2oQhlkzBHKUiw8fPcW7YAOW+q1A1aoVYWOrRNjoGHn08D4KFMgjzYCqVPkJBfLnxcqVq2CI1os8pINk9tx5AvS7de8pspX7h44I7iXuK2Z1qV3N6bSiLuN+py1Bu5w6g8/C3xml5z7lHmONMR0sdMpQ/9CRQDBN/uP53J90GEZGAybbfzTCpg4+VVn28z+5HkwZqlG9Jh49fiIeF4bIDXoTlq5cg+ZNG4shv2TxIvEiVqlUEbN9ZorSHTliGFo0bSKRG87dIKBInzY1mrdsjdTpMwpgo0eUhGJ6IgEZjR0CN4IeCkoqGwJFMgPrWphHSuONhCXQoBdGbYxBpU2DgedSYVAQ8FpcEBp6VJRM0+Pv9OYQBFIIE5AyFYULTkOR6YVU/uzoRMDDkCuvQwFCwErgRY8If/KdqQTIKDQ66Q2jEUmFRyZQI3N8Nwocpg4NGjQAnbt4YezY0Vi1ai327d2P8eMn4/mzl1izZr3Smabaz5JLvmHDWri6ve8s2bNXN+lctWL5Kql/Ix1IfyoNgiluCIIuGjkEUGQ6FZDyPNWDQC8slRqfmd4E0o0Al8CVzEmm5flS83Djhrwj/83vcAPQiGA6CiNoDCtToDDKSYVEEE1FSIOABi0BM9eI/6bBlZAS+f8XgH3tm8Xt3Eq+4X/8nAqX+4g8TJ5jrQr3G/cTnQMEATVq1JTzDx86iKvXrktEnIBtyJBBsn/VpiW5cuVQalDCwtC+Q1tcuviH8Oejx89l7/K8ihXKiXe2YIF8cm82Bfi52s9o0LiRgD12xWU+fuMmzUQBLVu2RGatMWXt+rVrogxoZA0eMgSNGzWSPUU5wYgSnSZUxDTW6CyhXJk8ZQZy5S+IMeMmiKeQHtkL584hVcrE0nafntJ4I2yfRBzva1jYnpx7mumjL1++Vmh1+KgA1jz/x955gEdVfG383U1PCL0IgtiooggKKqJIUQEVRJpSBVG62LCDvaIgTbFiBQuKoiCKoP6t2BtY6b2XEFI3+z2/2ZxwWUOR4IfovT6YZPfeuTPvnH7OzBxTRyPuuVvJqcX1zZdfONn3yKMT1LN3bz06YYJuue1WZzi0bNVKDU4+yWUvZsx4W1lud9sEpaVt0fzvvlOZ0qWdwjNZgbww+Xt8vXp64vHHnTLle+Qucmj6jBl6/fVp6nlxbz359ES1P79tAclcd90NeuXlF51jgWGCfO1yUWf3fpwyNjOoU6uOzju/rVq1Pld1jq3rKhFwMlmbjFHcoEEDl0HZ0/V3O2y8H1qG9qh2wHAgwkzpE9mnL7/82hn2GPzoIxx7nFmqOypWrOC6P3/+Ly5wgJyFbphDdiaMOIOpznCCT9AXdY8/XvffN8K1decdd7v549gXgpjgDZbgig7ufUkfffDRxxr78Hj179vLWa7Zmawfp0QwpPFjRmnE/Q86/XtIxco6u/U56nRhN9U8po4u6ztAzz49UbWPqqJBA/vphBMb6ORTG+va62/WHXffo5NPaRRZS1epkssOxgQDzuALh3IUYDe62BjlZmUrNpGNCvZ8jqh3O3jWt+J04Yg6w2/xYjcmeBZ7A2MKXYXBj41gdElAk8Apep5lDKwVfPjhcapTp3bB+WfMDfqdihf6jV2BjsNhwxHBiYOGWSNYoiTrycIu68Fn6EscB+iPObULR4i5I1hhJW0ENqloGTxkkK694Vp17tBZpzc9Qw3qn6CLurHZR1dddc01GjRggFqdc45yMnM0a85sxQUjxxRnpGcphdK3/OvPdBwpiw6Dtdu5KE9bN21wcowx4qR+8dV3Wrpykz769EuNHzva0ecXcz93czZ92hv67NOPnRN35JGHu+38uS7u2cMFfmbOeEsLlyzXee066OI+l7r+/vzbzzqr+VlauGSh2p7bVue3P1/33HmX0rana94P89ShcwcNv2m4+vTt445EiTiauZo79xMNHjBYzVq00L333a/+/frphx/naezY8W4uzjqrpe686w716NFbq1at1h133aWB/QaqQcMTNG7sQ+rVq6eTy7YcBBluxxDtjv+9GTYvfu4Ug/xNR1jGExsXp41rVqt02VJauzKyV0E4lKsZ776vrRkxmvHubL0+9VXVqn6Yfp7/m264cagrlR83bowLFGCfntLodFd+jyNa+9jjNP7hCTqhfh0lxkobN2xwvMs8jX7oISfjwL3hSSdp/rx5jsZISkC32I/YbPAvVR+ffP6t1m/aqCsHD1LTJo110/VDlcrumznZ+mDObA0aMFDXXn+9LuzWXW3Ov0AVKlXRwMFXqH3nC9Xvsj668ZpB6tent/5YsFDDb7vdZdgo/7952PCCoCMBsrJlSrvgABvE4LDFsWEgRzzFxkU2tElOLsi4bd6wwfEXth5VLsg/xkPGC2cHHoLWfpz3q15/822NHvuITmtU3wUg0HlkmdO2blaVKoeKIzdIzGzZtMkFPZYsWeoy2Jnp29WkWVOXXRsx4kEXmOU+bF9sXRIX2JdgBy8iI3BeqeRDPxEwgx+x0dHP6C94GDuaag1kBu/jQpZisxIIg8YoS4fn4xIS//q2/itWL3IHZ8fFJrqDs1+d9JM6dmoVOTg7ZotiRAQrciBjYdeOHXEiTO09yd3+zszc7nZ9uvzyQZo69Q3ddNMNqlKlqmOSMWPHO0eGSUVg4pSxbfOkSc+71CERBjI2pzY62WVXEKwIKox7SohYXMpkUq5BRAYlhtGPw4aiwMNH+OLMETFDIQM2GRscL9LzZIko76MEidIdhKN3F0SLvnIvXjdOIPczUQhkDCgimBgHTBTKkigNyhEFSltmZFHTi9GFY8T3OJhkmjAQcHRwaIiKMrEYlkSLGD+fI6SJvuHcMBbaYHMEUvyMZebMd90Yrr32eqe0weiaq69Vw5NOdETODneRko4E13ei3swHSgCnDGJDIWNMUnIDAUNclpmgNhoFDr4YNxi3OI70iXFA0DhY4MTiYZw6og84nfQPxqMeGeMIJxbMmFMilxA3cwgWthUxzMnnzA+MQiQMZUvGjXn0r38HArYJEA6K7ahqhuqeDs628kdz3u2gU3Ou4Cm+w4ggi0MgATpCCPNeeIo2oF8u+JX1LcgAom3IA6J8RMgw5siob9iwTsuWrXD0ilEGfyMjkGf8RIZB62+9NU2jHnxIy1eucLwAT3Iv8goZBA0TMYZXCBLB5zgqKFX4BflGlo8ADVFBAk3wMXwNT/Hd3C++cvx/9933qnbtmm7dg53L5c7bKjhZdg+nqxZKSpx5xoHbgUjgbPjwgk2VkAm8v8uFF7mtpz/5+GNn3CL7+g8Y4MpD4XX4GewnPPaoGwcYID9xdhn3rcNvcQ4v2Xz4mjWwBMG4B8MQWQlGBLyYB+QJ88M8IKO45+13Zmrej/P12mtT3NziTBIBRXaRqSdDgsOB7EZmkS09tGJlvTVjupMvOHIYdlQQECxC9qJccaB3tfPw/xfnYbRwWT8o04SWoAccZJwOdBABLH46nTpmjJPhlPrzOUYFspygAsFH023QOvPA7qKMF91BYGD27PedLsZwwWBk3uGHb775zrVPcBIDx+1i2rq1m2feVe3oI933D4160LWXkZGuTp0udLoSg5INYqDVE05s6HQdMp21ns8+97QLRpzRtLkLWHAuHrIfJ5T5xHhibR62RiSoGqnZ4mypYMwOx6ZQ+yQQ2GkHZNtEDH5m/GyKwPyjc3gP/MxFcJfMGPIBXmSNGZ/Bn/yNbUEGExuFtY7YN9At9IWBBp0b7TNOeIgxY6ghVwhuYgzaWk2eYY4ILKFPeRfzaMsmmDfoGZyRH9yLHcT7S5QqrgYnNNTLU15Rr54Xq9clvdWtS1dlZme57dqffvYZndm8he64806HIZ8nxifk2wITg5/uAAAgAElEQVTYd7uSDZHz2hxmnAsbCOuP3393c0LF0HF162l7ZpZKFC/ldDm4EBBzRvW01x3tIacwYOd+/qmbW5ao4LjiDOPITn7xZRfk+eqLrzX1jdfUuuU5WrZiqfu7z2WX6OIevRQbF6MXJ7+kLl0v1HPPvqCu3bpo9ao1LqhGWSN8O+zmm5WZleVkIxnOU089zb0bm5DsybnntnH2FBm04bfcoluGD3cyv0ePbgWfM3/IH+MP9MaeDs62g8e9tLfjSJUIfmzL785ODErffP21c6h+/+VXHV2jptau2+RK65nfI4/g2I1MNWt2hpNVkye/4Owd+JLdMt95Z5ZzFvr1H+jkH3IKXEeOfCCyCUtcnJN70A16CL6DrpCl0Ak4UEWGHCDJgA1I5hv5u2DB765aol69urrjttvVf0Bf59TdedvtWrxsqc47t61mzHxb9eufqGuGDtWwYbfoxx+/1+BBAzTs5hudTdq1Ww9HrytXrXE6jHdRYcZnnP/IAd6RypY85ZBB9pyzZvzMWXE4oJT/IpvRETia6HN4kzljfOA1e84HbofLh0aP1U8/fu/0AZUnn3/+qcMHGitTppTDm2AINj9zTPLj6KOO0qOPPaa+ffs7mqA99DmyjmQCPIuswSmDR7GLaZvAJbyNHsY2AFt0B3ISu5g5gUdtnTU2NnYxdG8VgCSLkDdlypXXthwybAs1/Kpn3cHZxzZkY7PVCofyFB8XUjjEWdhARmAtToHV65Y6hy0+LqnAYevU+UzVPJ4wwf45OBvAucgeYTQRqbJdBwES7xVAcFRweMikYAwgLBFqEB8DB1CEAKCjwBFaGAMwJhfgYVgQOQds7kHh4zUzgQgTIg1MAtkjiAIFg2LC0UN5oZgwuADXTr2H6XD4EAT0hwgY/UXYY2QR9URQoETpM44Pz9MXDBi8b6L2GCy8B6eH+xDgMBrRY3aUIn1KFgAHCgFI+hdHDQLAeKDfRPUQiChtnB0IDcXBuhYIFoUCHhi6jBdnlXfRD76zjATGDziDJcqdCxwgOBifz2iXZ1AyED394X2MFQZCaeHo4QQiAGAw7od5+RuljWKkPwgJDAzmjJIuGNeOYrDddKAPHFuMLAQtBiDKCUMOwYUwxRlE+DAOGOlAG1T/X4bbv/U90ZuFMM7CPtvT+L0BFif8QyFHt7ZVPgaQBVlwjrhwDi2gAl3Cpzgi0K0d9oncIJiC04ACglYJMHHB7/AuyhVegT9sF0Pagj8xgDEIkR+U+XChzHgf92OcQesYspRpEKVDRsID0D1rZ+BjZCZRR7fhR/fuTg7AR/AlMgW5hhPIe21Hu+iznPaE4a6+h8/oA/KFf/AtfYAXeS9YY1Qgq/iMCC78inLFOENBgREKD74nc8K4UGqUu7gtwr/5xilJ5D5yAgWHjMIwRN4id5B7KEwMRhwKZCUKlgg0coj2MXiRXTgpOGnIYQxnK3NER5Cx53MMXtrFMCFgyBzbsSm0abvX7itu+/M5o28qSZgDZC+yEmOBoBm0hCxHFmOYgA1BPfQr5e1kbpgzZCpzw5zicBFkpC3uwdhDV4MHMpZ5xMhDfrMkAL1Ke+CLnsQxhleZU4wXDBO3vvHee928M1/obZwx9BG8wD3obJwx/tFvAnjoRqLm0ALjQ74T0MCoZB4scBN9rtreYOwti7TnGRe6DtsCZ8yWGaB7uR9bAx5FbxMY5f2WvcdZ5Vl0MkYhAUfoFDyhOWga24NnwIbvMVxph/FCg2DJHDE2sqXIBsYODTNuAqLwk/EUjjoGK84TMgB5gJ6mL9A8uhy8kQHIG2wF+gFfMufYQcgG9Db8i56Olpm7w9ICYtAOfcGGQbdjW8GzyFaC48gjjFF4C3rjnXyGbMNmwWZCVtq6NAI1yD+z3zCEwRmaAH/Gi/3F+Ai8IDt4J/sVIKfBChlNX8DO8IGvsZuQQcgZaJU5oE2CxdAleBPYx4CHnnGI4QuqKGx3wL2hrz3dQ5tgzXxBd8wL8omsNjxGoIUMOBcBGPgQHYMdiX3DnIEJNMZcIx9xZOAf6I25MBvOKsqwt8AJeQH/gh99QBZCh7QJnxEAI0iFk4IOgiaRJ9AXPEFwjAANDgl6CxqHf6EBbDPkAn0hUIFtzt847tjVjMEqVhiblw/td2+VlP1OP7GHcfTRgQRS4AMCmOgF+o3cQkZAU/AsGSxsZr5DjzAusnP0A3zhQeQlY4G30I3oZ/Q3PIR+gDahDfQp7yIQhY2ODEAXQStgSZAQ+kCngzt9Yc7QK9A7GBPsQccwD1bSiRykr+guZGw4EHQZtmefWaTrBz2hzp3OU/1Ts5VSbJ3bVDGct10JcZFjzgoctqUr/ggTRSXDtnJptqa88KM6djovP8O2QQmxrDfYU4Zt9yRrOzNh4MAMOCZcdkYboOIsYUChMLjHu70q90LoAIMhg0CCgGkPkI25AIJnYXAIEuVLmzwLIQMm7QI+TIrxxUWKGmLBqLBz1Kx+2fpOXyEy2sXJwnlA+KIUmVAUFJEKYxx7DgFH2QVMAcOiMGAK+oixw8U9EAHEgiDnHTiLdrA37RKRs3VbjJmx0w8UApjRBgKKdhDsMA9jRcAhvFDm4GTGMMQLNigM765I9I1+8g6r5XYL/Jctc31mHAh8nqV/KBswZyzcTz/4aY4U3zN+nHEzcvlJmzAm7YAlF/PL/RAz7zHligIwBreDxb1rO/YkMP3v/7kIoGChF4tkeqPOe9trnuGK3oDGaB0lglDGiKAcwgwV+Iz3Q6vQu+0kB7/BEwQd+Jy+YdSi9FB2yAm7oFHb2dSOmYAf7ExG+NnJ27y8gkM57TPej8LF2EW5wp/wMrSNnKM9DEf42PiMd1s01fqAIof36S/9sfExHm9p1d7i6b0PuQevGrZkBwiwYQAyDtt5j/fgUCJj+d1q/1GMjBMeB0fwxkjmc4wnLuQazyI7eQ8yBNnNmHmG37mQASYfkVPoEdpBVuLk0i5RfHQJFwqW/oCjySuwY0wYfMgYt5aADEJSkpOpvB8dgKFDZv9AX4UZ1egdDFGCC0R1GQOYI6MZG/TMT+iKcYMvDjeGjDk+zA+GLLSOEcbzyF/oD4yRs6aHaIPvoGH7HLq0Enj0K+2hS9ArzAPOGYE93ocRigNDf7gsaMg4eA5HzUtjyHs7PN5Lv/siG4y+bL2zF0/6AY4YwRhT9A96srP/0KXQgq13pS2eNxvFDiLH2ceGoQ34L7JlfrKjY/4xPsvcGA17ZRW4Mke8Dz0JVtAfxiiGPAY0OECf9I+2GA/YQbc8C69YgAFc6TMyjN8Zl50RZTJqb501MPKuCzZ+oPIJox2DFt1v9hKyCzqkdNQuZC+yEzuEvtAn2uVeggt20YYFbKFpCzhZH+BZxsU/6Bb7DbmH0wdmYAvtMEZkoddBQGYZP5tshp7AHHsDTO0ICMNob85h25N8MNkSfR8BEgKA2GfQERgbX1jJLvoAXmSezZ4iAM/94AOu9J/xcy//TPcwJ/xupeWWpTIaMefIziakf7yL+wi44JyhK6E7ZDD0bfaq2V7MF3OJToKe+ce94AvtganLLNqh2G6DrRiHM/QHTXrPvfMGasENHiDgil5Ad3NxD+9FpiBfeJ4L+UayB72EnOMikYLuhDbgF6N56Ir70RN2dAZzTX/AjO/RDVYNA67Y+ehk43/aN9ub7+kvfYIeGTf9MrpFV5ms9DqoK1alqdQhqW6XyGv6TVCnjufqxNNyncOWuT1DodxtSkrIX55gGbZ1G1cUOGw7SiJb7LcMW/Qak90ZA9HGmxEGCgGhZ0YdRAUhIayMyQAI4ixs10DbTp72aYO2yAIhDGFqMwjoG8wC8yBwmUwYhffRtil73s3E0S8YDiGEkrLJYIIQGPSNtiBeYzwTBtGRQnuWz+mD1yj0TjLfMW4TwLZ7GH2HURACCHqeQdnAoGQBicqBjZdZeAYCNYFsQsGrtAoTSNELub0HWHuFnFdY0W/aheijL4Q0RO+dB7sHYxgsuZhjxgDD0mfvuTp7Epz+9/9sBAorizQDbU89L4znrbTS+MwblDB6tYCR0RG0C19bAMicH/gNQwAjgcw8SgolYAEmC/KYfImmS3MKTSnYWY70m8wSRgt8AU/Dw8gKC36Y42LvMAVrTp+X98wQAS8bN+MpysX7LDJsMgnj3YIsJkOsP/Yu6xdz6M6vS0x0ctSUOhhiABg/WwaDOfEa1ybfrWqC+8Ddu76AtugnBi3KGr1heJmCNaObPqADmL9dXV4joqj4FQV7m0fohcuChcyHGS7RZ1F6+w7NQ8veMmMziriP7AuBS1urzXvskG70nxlINgbmyjv30BvP8Dn9sAAIMtsMdjPkoUfmCUPIdr1kHvgHX9FHOzfUxmvvtzkwZ5O/TRcUxvtezC0IY58ZPdGW2RO2pfeuMtJ2Liu4R9sz6EJwhq4IktIGtAl+vIt38Ddj5zPozvpv5a5eWqQ9C3gQhCC7YOvv7LvoqhLjdfrGeyyo6Z0rr70BbyKTzADdHY3Sf++z3o046I/1yXbUNj1tgQNsJPAxeyRa//M9vG1jAjPjbWjCzrM1jMzo5idOI9US9AnMvHRuY7L7oRfbIdRo2wJDXtqAXszY5mdRbQyjPxuXNzDhtaOiNzgxPmaeGJs30GK/U20ALgT6Cxu7tQ8G0IXJbHAAb3cWWGxsAQ9DL8aPBLosK2jyhrkCD9OP3sCaVz9ZX0wfGb8blsa7Xrli2Wtz/Ow79K4FiWjHaxfbPfSbcWBHwoNg5tVHOH4WLIIWoVWv3DD7Gpq1yjxrmyVMYIHcMhlswV3Tcd7NoGyzILP9vTawBVJMrrE1zcZ0afKkX3Xb0Bd0Yec2Ou4kduxdrZysbMUEsxUbJAfnybAtXPJLOBBgh6NkrVqWo6kvzteFF7VSbc6v3g8lkcbs3lR8tFdNfyAeUz4MloEaY9mEmwe8u3S1GUVGkCYIbMt/JhdlQnTWG2UCTBy5whTAriItKCb6iuLDAzdBY/1mTDBA9DocPjdjlHvphzG2RQwgehiOv2FKvqd9I0ZvP6OZnYwh/3geZoaIvZEye4dlIc3o4qeX0E25m8KMruc2/MwQM4fLooy0ZW14FZ05iYydMXnXLplii94BkndYiSr9hCZo26vci2oc+c///yMAXRD9JDrF3HvLdaCjwhTRrgwyKz3hezMGURrwD0oH+QKvoGiQC1aSy9/cY5kVk1nwrWUr3CLhuDgnuFEi8B/0jyMAH/HPzmwxRQadm3MAPdOuGbdWDcA7+Zx7eZ/xH9/zuWWqaMei6/QVeWalFTYW2gZPZITJosKCIH9llhmjrfGhXVP69I0+mTPLuxkjMgdMTMbzmclBk8kmz7kHHuZv5DGGO/PFO2gfeYzz5ZWB3ANOjMvm0QxgPjejmnfSJz5DX5gMhwagM6+yJ6hl2SSTzQSJiGabov4rmO3Pey0wBa70DZlpwTqwgxaJFGOscJGhYZ4ia5UjVRrgA/b8bsatGaY8Y0ekWECSZ/menxhLFujjXitFt8i7VbB4HWST4VZOb3RCvy3jSpvMr2VUjO75Hh1NnzHuTQfyPusn93BZ1Hx3eEM75uxbhQqf0YZF+Ok74yKLAH58j2Fn+o6/ebfpKXO0TC/yHfwL/4O9BY55H+0QdTd+pg3mhX/YD7zDKm/MTuBv4xHewTwbH5tMYcyWvXMHA1dh/dN2N8eWKWHukKtWhUT71nfTr/b3rjCEd5gPw593GJ/BmxjC0KAFlsCC92Ik8w7T0fQJ3jY5TIYWDHgODKAZk2fILuaDeeEZs3Vo2zLqzAn3mS1D+94MCn2CvpgL8KGftGlOiH1GOSx9YExWuQDGtI0cM1rbV55GVkMTJvu9GSb67h0zWCPX+cl3yEHkkiUN6CP/LDsFZvSZ+bUgoNnZJjdMTzFvZJugGcaHzDA5yBjByqopmG/TU4ybeeZZC2jyPp5FbpoTbNjynPEWspO2wNKqHIx+LNjJvNkcmkzib3BibPzOPEAH4AJezB2fkRixbDOfm943x4t+cJ/pUNqnDfCzCjXGDSZmf8PDtAX9Qn+MAZ1jvgltGX+anDC/wewJ3ss4jdfNjjFbwnRaYnJ5FS9XUx9+sFhPjfmfLru0m445MU3BmKUK5eSKvZv+tIZt7lcfhYPBWCUlFtPalXma9sqv6tK1g+qeFFAgbrNiA0Qi970kMjqTBKgAZqAyCGNEfhoxQhwQhpVB8pw30+T12q0Mz4wGYy7asnSypT4B0Vu2Zx6x1wEyh8KY2JQf7dl3lnHbFSPDpGZocA+C28qrGHt0ZBQi4Z85o15n0t6xq+ipCV2eR/jwN4ISPA0zi/J7DWC+gxEguOjoh0W+7XNT2rRtTjDP87kpNlPU3qyfN7rBOLzOpTG5YeGNcHIfhG1C3YSACaxo53FfBar/3IFHgHI4SpNw3KBb6MEyCHuKcHrpGf4wJ4DPoU0roTMjhu/hQ/jRHB14A5kA76Fg+Z33Y7xxnwl0+oWwRh5Af7wDfjBjn+gfPMD3Fr2GH5FhyA2+h68xJlAkKEF+px/0y3iUn9yPEYay4CfPEYTh/ZatR1mhMOEjM97oD21R/kM79L8ol7c9O4ycvtM/3mly0KodLNAGftxvxi7tgK9l2olamvxAAfM97VqwzgJWYMY7oA3GzZhNBiMjeIcXa9q3OeJZi37y0+SuVWigjC0yC50x9xZs4v3MHXN5IC/mnb7wkz6aE2aRYAtCICtNv1jgw7JfJjst6muOPeM1R47neY8Zixag4DPm1Awic8bBk/fxj995zhwgCw5aAILSTbC08izea8aiOaDwgWV9wJv3WwCEfnt1uhnd5hDubn64l3eYEWVj5m/DEDygKTMQmXN4ju+9wQV4yVtCS1sWcLR1RrRldGRywQKy0CPtoRPBnfGZ42tGMkYiPGNrCZEztMN7eDe/01d0ttlL3M9nvNeMaZs/xoFxakarZboYK/2IzoxHY2kyyda8GZ70CzzAiHFZJp3+Ge+YU81cQwuW8YEuGR+OLE4r/Wfc5lxZds4cCPpo82XOogUheAd95F76ZOPnXbZxhGFmgW9bNsNc4VzyLPjTDmPhPnOwCwvg/xV5YPLQMpVmxFu/+cn7wNKCWziX2GXIMi7m3Zwz6xvjhHZ4Bt4x+xY+5DPTC+AFtuYgQze8C/zM4cbxYf5oj+/tMvpmDOBv5Y08Z0Ey5pKxWfklePI9eJosMTsaTGnLShQtuWIZN3NmzRE3pxEaMflhfgFt8Bx9h8bBCn5i3GDMeMCIfiGzoAerrjAaxWmlNJLn+YxMOzqBflsmzvS/yQPmwexf7rUKMPQTF1hbUMF4BLqmL2bjcw9trFqTrlBsBX3z9Qa98dJPunJQP5dhC2uRcrNzlJjAKePpkemwksjfF84ryLCtWRHS6y/9vF8zbLzLSgrMc47OOHkZwLs2yZuy9mZluB/wzbmxLI61Y06Ilc4Ulk7mXjMY+J02mFSI3etMecuMohmV582Z410WZbO2veP0pkZ5jn+MFWFUWHmOOS9gZlEJi8bRfrQjHF2q4c3aefttWTpv5N2etcijN7PpxcKb1rf26RtjsFImm28buwk8r7PpdaStb4b97miD5xi3ZdWiSxr+iiD17/1nIABNYTjgtKF4oBMUh0UG95RhM+FsRp2X3rzlT9AohiXf2/pI+MkMI+gX/rWoPoLaosP8hEfNKDEFAx3CH9AkzyOQuc+yP/C3GXB8zrugYX43A4Q+2P3wpikz3kUfzOkwxWtKzyKUCH4MH9rmu8gW4pEItSnHosw07aHIUMS0a+tpGbeVQ1nZl5WTgw9jMj63EhSLvpqRi7L1lqcY9rbmFwzIwHiju7zXjGsUMf3DGDHFbLLcjDiUIwYrz/EuizyDP/RgBiA4m4HEHFhkeE8GbVGw3dtnrUTOjCQzOMELTHGIwIgxMFdgAo0zHjNkTQeDA/NjnxuNgiW6D8PF5pE5ByPm0ugKfWhZFJ6F5gxDfgdX9DJ95nveZ2WA3vXR3Ms7jZ4tAm96Eh1EXxifRd7pMzRh2XPwsyzX7rD0Ru4tmGi2Ae+jDcZHVhVaYfy2Rt0CRtAO/YEeGBefe505y05C2xZMtIycySjjF4xi5sDkho3Hyt8s206f7J3gCfa8x+YWXuR9ZDoscGrOHbRB/5AL5uxZAMLm1zKWu8OONsyJtNJG669l1Jlfy2AbDrRttMK4mGtwYA7pD2M058JK2hivOYSMF30AHYCV4W16wSoWuN+yQ1YybEEF5AL0RXDInG8LXtgaN+YbXOw9xic2Z3vLo7u6z4LopmvAwio3GItlsS1QZNkob4Ca/sGHJrss+2ulirRDm9EZKr5nrqEXCyQabowXGrG1vBaohLa5aMvsW2SL2XuWLYQ/DCuzyZgnK2/me6NZ0+dmb/O3lbAaD3nxs+SAOV02R8ZPjIHx8DcyDzrDcaLE3gJ90B/0YBjwjNGJ2RiWYOAexgeP8xwyFPpkDJYVA1/jLQskQZ+me3kvOJtjCC3Thvcz3sPn9BfsKlSspnB8Rb0363c9/tD76ndZD9VrlKXYuOWuJDI2JkcxgUg1QYHDtmb9sp3WsLHpSIeOZ0c2HQluVVDUz+97ho13FWZYex0YCJBJAghzYkzomWIxw82cFxOkFoHkeXPiLDIDs1jUxtbAWbTcUrEmRADTe1k0yD5z23CWKVOwcN6Iie+9Y/H+bYqRybbxeAW6GZfe9TUwJjjwDOPgnzlQtG2RDHNszNkyB87bb3OSTEgYYdIO/TGcrB9eJ9Daic6iGR7ebKf3dy8W0U6kN4NWWObV2rYsnN3jXcdmkULu3Z1zV1RB6z///4MAfOR1tqIjmt7oemE98gr3aOfO6N8MPZMZ/G2ZH+MpK6kxJ8/Lc+agWfbOS3de2jeeQSbBx7aWxOjeSs1srZBFra3c0f5GoKNMvbgg21CqFqm1bIBlQCyIYc4Q49ofRocZAV5srbzHZCbjteyNV54aNlbWY7gZjiYTrZqAn1b25/3dK0e8MsRKWc1RZcze9cZ2rz1vsoN+eDP99hw0QP+9+mpP9Pd3c4nxQ7QeNMy82JjBz/gYu9GI4R4tcy3QaT8t6GBOqnfNBYYY+g98zDi3+fUGB5lbPufdRhf89OpAmxdvJYgXR2vDnjM68wb9uN9KHPfkrEXroei/vXoHLKKrX2y84Mu4GJ9VBXFvtP738q3JDuaR8ZpzaHaABTG877R5sp9Gj97xe9fNYNAiL5gbo2v6YPjwOe9F/lig1uhnT/Rt9GfOps2Fd8zWT9oyOrV3eYPp0faM2UeWsbBnwcZwYm68dMjn0I8FvSzDjCyBxsyhwIYy+rT5jq7uMR3AM5bN4X2Wrdpf8rMwOjf8eR8YmV1n+Nr6qGj7jvu9tONth/EYL5r9SHtemejlleiEiGXA7R6jN3Az59Bktuk6r0zx6kLaML5x/oY7bzRyNBh9ZFxe/cfn5gB6bXFrw6tz6LdVE0TrEu7jGcuqmR6PxinaVvAmgKLnxmSN8eiu5Ad06U2qRNuz0XIqFFbBLpE3DH7Sbet//CmZbtMRSiJZwxZURuQxy7AtW7mgIMPGpiOvPP+DOnZqrWMbSIHg/tnW/+9Wan77PgI+Aj4CPgI+Aj4CPgI+Aj4CPgI+Av90BMxhY5fIK/qMU6+LOzuHjZLIuJhYt0tkXEzkHE7fYfunz6bfPx8BHwEfAR8BHwEfAR8BHwEfAR+BfxUCvsP2r5pOfzA+Aj4CPgI+Aj4CPgI+Aj4CPgI+Av8mBHyH7d80m/5YfAR8BHwEfAR8BHwEfAR8BHwEfAT+VQj4Dtu/ajr9wfgI+Aj4CPgI+Aj4CPgI+Aj4CPgI/JsQ8B22f9Ns+mPxEfAR8BHwEfAR8BHwEfAR8BHwEfhXIeA7bP+q6fQH4yPgI+Aj4CPgI+Aj4CPgI+Aj4CPwb0LggDhsUp4Cu0AxrMi5C1zR94T/RuR33Z8/v7Swe6P7tqv2/sYh+E37CPgI+Aj4CPgI+Aj4CPgI+Aj4CPzLENgnh23lmsVhKai42ERxDhsHZ3fs1CpycHbMFsUoeTcHZ+dxQEDEGfN6OYHIn3kKup98z9Hb7goH3Qe57nvevH8ur1O1qzZ5X0E38vtV2L3e+7jf7tnxDu8d+2sE+wcHvxUfAR8BHwEfAR8BHwEfAR8BHwEfgX8mAvvksC1e9ptz2BLik7VqWY5emzxPnS+MOGwK7Ong7DzxH25ZIIw7k++e5TtsIYdTcGeHLR+7XAX/Foct2n2yXvHafXXY/uy05RUMdf+5nP9MovJ75SPgI+Aj4CPgI+Aj4CPgI+Aj4COwfxDYJ4dt7Ybl4XA4sFOGrUPHsyIZtkCaAkrcTYYNJwiHjSxbUArn58wKMmyRgeFE7VxWmCfKJSMOVNEyVIU5aDvBaSk+z4dRycCCb/amTDMyDj/Dtn9I1m/FR8BHwEfAR8BHwEfAR8BHwEfgv4PAPjls0SWRr076SR06tlSdE6le3KqgkvbgsP3ZKdvh+EQcm8JLCW1iYos4Q5GyzIjjR+Yr/yd/B6L+5vuA5/s/vTni/pmP5/1pt/rr2Yo4Xf7jPgI+Aj4CPgI+Aj4CPgI+Aj4C/1EE9slh++b7z8PBYKySEotp3aqwpr3yq7p2a6tjG+xNSWTEVSpsk44dWTXLRkUXJPJgvvvjnKh9uFxGb1cuVkAKhPPfUZgLVojr5e2HW2uX7/B5bt1Vdm4feu8/4iPgI+Aj4CPgI+Aj4CPgI+Aj4CPwH0Jgnxy2H+Z9FQ4EYpzDtmZFyDlsF3Vpo+Ma7tlhM2fNclyW58L9iuNx824ClEByWcYtvKOqMFDEnFW4kELGvdn60Qgj+v27ch7zN0vxd5D8D3GUP1QfAR8BHwEfAR8BHwEfAR8BH4H9iMA+OWxF2SXSHDZ2fMz2lBJS5JhAIaUlwNgVMrBjvRs7RgbyyH5RybgfHDbvOjVvc97fzdPy/sRZw0Hb6eGRtbAAACAASURBVL7oPSKtphM3NLLrpbmef16btx9n02/KR8BHwEfAR8BHwEfAR8BHwEfAR+BfhcA+OWyr1i4p2NZ/5dLs/G39z96rXSJxbdgJMkdSliJb9eP7xEtKkRRrHl1QygxE7o18n5f/XZ4UjHKY/uqU8A5KF73X3hzE5pw83r3j6IEdrhjeZ3SbVrYZud++9Z22vzph/v0+Aj4CPgI+Aj4CPgI+Aj4CPgL/TQT2yWFbtnKBK4lkW3/OYXvl+R/UsVNrt4YtENz9tv7msG3IlNZk5qhMyTilhaRgZkiJaZk6vHyKy6JtychRoFicc+jWp21S5dRSSsbryQ1LsQGXfcvODik+PsY5dHwVCkkxMREHb0vadpVITXafZ2RkKykp3n2elZ2jWAUUFxMb2UskIOXkZ9v4kZWbo9jYWNEq93ML2b2srJzIMzEBZYekUDishLiIl7d181aVKlncuWTpWzYrpTi/5zt37hffYftvspc/ah8BHwEfAR8BHwEfAR8BHwEfgaIhcEActuw86cUZc/XKnOnKS4xT+ratKptQTCdWOVJtmp2p2jUPUW6stM5zUHVOdq4OiYlVfCCSecvzZMS2pucoKSlOccECf65QVDKypZR4ifLLjMw8JSUGXQYPp5CfmVm5SkqIVWYorOSYgLamZ0qhPJUpnlxwkIB37V1WZlh5uTkqUSxe4dw8ZWakKzUVhzM/l1awts132IpGpv7TPgI+Aj4CPgI+Aj4CPgI+Aj4C/00E/t8dNhyjbZnSY6+8o7e+/EhValVTKJSjmPRsHV/2UF10bhulJAak4lJ6IFI2SeaLLFfpHCmQLQVSpO35C8Nw4FziLX/Tkg1bQwoEAiqdGilH5O8yxWPcPavWbVflcsnOYduWLiWnSGs3ZSkhKUHJiTvvXsn6OmoYk/OrL3NypZRY2shUfFKiihfbkX2jb5nbsxXMy1VqseT8owLsOAA/w/bfZC1/1D4CPgI+Aj4CPgI+Aj4CPgI+AkVH4IA4bBl50oTJc/TlmkXqMegSHRov4ebEpEuVUqSv5i7Th99+rsYXtdUPi37XHwt+U9fW5yv7j5Wa9+33ykqM09asDMXFxal58+aqUi5eP/y2RgsWLNDSpUtVs2ZN1a9/vEqmSrM/+FarVq1SYmKiNm7cqErlK6h1i9PcMrgFi1fr6+++1YbNm1SxSmWd2LCBqpRN0k+L1ujtt99WyWLFdULd43XYoZVVMjVev89frG+++17ZeQElJCSoZYumqnxIvD5+/wulb16vRg1PUNVDKyjgznb7s8Nm01XELVOKPut+Cz4CPgI+Aj4CPgI+Aj4CPgI+Aj4CBwUCB8Rhy8yTxkyao8mfvacqx1VXamqqysYkqV6pyrqg2XH64Yd1euSFp1SuQW39unaF4uPjdeXFvbX0g281ZdKLqnlyAyWVLqXvv/9eRx11lLp2bas33pitZcuWqWzZss5pq1+/vho1OlnTpr2lr776So0aNVJmZqbm//C9hg65UtvTtumZ559TsRLFdeiRh0uxQTVp2lSx8bF64YVJSk5MUnJ8glatWKku7TuqbOkSGnHPA6pc+TCVKF1OGzZsUJtWZ6pejRKaM/srLfj5ezU/rZFOqFvLZQMjB3Kb07Zjp0i+8R22g4I3/E76CPgI+Aj4CPgI+Aj4CPgI+AgccAQOiMO2KUN6duYXeuHTWcpJjdXaNetVJpio9vVP05U9z1JMUJo47Ws9Pmeaih9eST169FDD0kn65bOleuGpZ3T5LTerauWAnnntc82d+5natm2nd955W0lJKWrcuJFz0g47rLI6dOigDz74QAsWLNLVV/dSero0+sGxatmkmY46+gg9OGq0ylQoo1OanKFiJYup/nGV9O5H8/TkExPV5PTGqlq5qt58faqannK6TjrxBD368KMqWbyE6hx/gipXqqQGdSvrkNTI+XGb1mepZFKMSqWwYYnHYXMe2s7b+/sO2wGne78DPgI+Aj4CPgI+Aj4CPgI+Aj4CBwUC/+8OG9v5b8yQnnrzY32yZoFad+ukY0oluZLI4BbpqBKRNWlTPlyo4c89rEp1qmvw4MtUI0Za/PV6vTjxWbW77BKdeFwJTf9oiT76+H86/bQmevGlySpZopTq1T9eiQlJik+I0+mn1dQb0z7T0iXLdOs1nbQqTRp20wh1OLet2p9VXdM/Xqaffp2n1Rs2anP6FrXv0Em5ytXkSS+pRrWjdETVI7VmxXKdUKeemtUvq18WSR9//LF++22BSpRIVcN6ddXoxKNUpUTkWAIcN366M+Msw+Y7bAcFI/id9BHwEfAR8BHwEfAR8BHwEfAR+CcicEActq0h6aHnZmjm/G/U7PzzVKXq4VJahkpszdWpx1XWtm3SxCnTNHflH8pJjtOpjZqo7enHaenX6/X8U0+rfc/uOrx6Bc2Y8ZFWr1qhli1basZbb6pBgwY69dSaWr8+rFAopGqHxerxZ9/T0uUrdPONPbVqjTR+7AS1bdlStWsfrsXL1uuQimW1ZOUavTB5kqrVqKFTT2uscePGaUC//qpapZSyMqRiCdL2dCknM0cxgaC2pWdp/Lgxql+ntq4e2Eab10srF/6qY6pV1SGlEp3DVpBl85y+ZgdoRzJswYhn6hw6tkzhYjsUz2nibisV/s7/3D3oPc3NS1J8bue+2ee7ujf/e+/h4Xugzr9w6z+Rzv0++QgcPAj4zPa3z9U+QbxPD/3tQzkAL4g6b/RPesejXwrrnV9icgDmzH+lj8AOBP6aKNtLfvcB/msI/IVJsFvxCLLD0qQXlumKPuPU6+LOOv6UTIW1yB07FsrdprgYt2WilJcqheMUWLzst3BsbLwSE1LcOWwvP/e9OnRsrbon4Xzs/hw2Mmzpkh59aaZenz1b23JylRMOKpSZo+NrHqNzWpypdWtW6KNPP9HF/fvo9yVL9PasOep6YXflbM/VS5Mn66gjD1Nm5nYFA9JpjU5Ro4Y19eMPf+idmTOUkZHutuIfMmSIUooX0zPPTlZYAXXreaHS0nI0evRonde6lSpXOVQz335HGdu3K21rulsnd9lllykxUZo+fbZ++eUXt0lJ7dq1ddrppyo5JUVff/OVPv9srlv3xjltndq3V91a5TVtyrta9NsvOues5jr1xGOcsxZxnfIimTbng5l3lp99Ix+Xl+9gBTPyHbHIGXTun/sKpIJSXlJkAoK0BYK8ITZyX4ETx3d76fCF898bTTBRijRc4BxG3ERzBwO7UtB/jVz9u30E/pMIePmqgJd2iAcPX+9Y8FroM/9J9Io+aKAuLLz1Jz/COyfe1+bvTLyvPTm4/ZU8hd0hOLYW204r9QQg/wRMIQbfwQ3Cvk79fnluN2QZ1X407s6IyLdH/tyVP09JYc/vaGO/DGafGtlVv/a2sejA9t4+9++4D12yQ/7twKJQ+Rewg6y8UnOHhfvvQOSvjaJI/Ge2d8Qp2HlDi72wv0MK/nWHbdXaJWEYPz4uScsXZ7qDszt0bKU6J+JLbFVQOBiFTyruRqakn5as1cp1mxSfUlwKxGtz2jYlJMTp0EMqKE55WrF8sRrVr6Y1W6Wff1+s6sccrrnfLNarU15W104dVLpYsuJigqpSubxbR5YRkub/8LPy8nKdM3XccXUUFyf9vmiN8gJBHXV4OWWGpO9+XKBDD63otvef98ty5eXlKTcjR+FwWI1OPNoR8uat0ooVq5WWvk0VKlXU4ZVSIscCbM7WH4sWKj4hWdu3b1e9Y2uqVIK0bNlGbd20UbWOPEIli8XkZ9dMNFr2zNgEZHhLghTKPzMgiGOGEiwelUDbGsExL9+Ri+E5DjrAMYsrPEO3UxpvFxk6iMZLdUYouyCYaPEY4ztsf43D/bt9BPIRiLDdzgozYLwYrQngx3ye3CE9kAj/bYOjKMRkEHtl2o5AVFTLvsNWCNQ4bGhxSNOQi9STyBsI3OHR5W++5UE8f013Uebxv/xskQxGB9zOm6AZlr7D9u+nKgv87ayBInxcuMOGDWnOmrl5LP757+qgIvOfJWqiGW8v7G8ctty/mmHDYQuHA4qNSdDKpdma+uJ8dex0lmrXl8KBNAWUuEuHzQ6qRuRDCl5yiIgSiTrNmEBkTRj38Qw/p7/3rWbPnq2rBg3U0YcmuXsZI+4LP/PCUlwg8rtXMVvSyn7SXmSd2Y5/fJefn3Iw5uRJ2SEpIW5He/QhK0+KD0b6s2O9WqSvPJ+bKyXGesk5tyDHZt5YgcNWkGHDYaMHxaIcNrKVnBKeEpnavc2wFcgd0I1seLJTNm6vHbZIQxHm3nH5BuO/X7D7I/x7ENjZYctXlHvlsO3gQ5//9n1ufIdt37EzbRDJsFE94jtsRUVzX54vLK6z+3b+nOEsLF676zb+aSVxfoZtX+iGZ3yHbV+R2/Fckflvrx22P9vf++Sw/frHj+G8PCkuNlHrVoX11qu/q0vX1qpVb88OG10IObIJiErLjNyIQxYbG3F6PAUWOzldsOjPSzfp559/1YnHH6eqFZLdvRlZESctLkauRDI2GHFRADVSuLGjytDryFk2kp/5Lo3CYSkUYlwR5y+Q7/HmhHHg8lxGj/vJEOKcmcNY4DS6vGOkPwb1Dsh3mAqReGR0SSS9LRZVEonDRoYtuiSysAjHX1jDZp6rdXOXGbY/Ewyf+AZj0Zneb+G/iYDvsB3YefcdtqLibyWR5rAVUhK5U5UHx9ug2NFP+VrXz7AVaRKKZjD+uSRyz9WpvsNWpAn7Bz3sO2xFn4wi8V90FQLd+Qv29z45bN//9KVz2CiJxGGb/tof6trtfB3bQAoFNis2QEao8JJI1nSFczMUCAYVDiYoR0GXvyFjRWkQmTUyV3yak5OpuLhE0UnLzG3PimSw4mN2ZMecg5YXUiCcp5iYgEK5uYrBA2SBXnakLDAunqwfWbNcxcQEFQqHFBuIUU4ox615S4xPUG5OjmKpozRHDw8uEFmFFlKegq4fwQKHzVSVZfcCobASYiPoR/6Pcov83PH/cH7JJA6bpfgoc6Sf+aWPBQ2QeWOtWoJnXRtIWR9NkHrT04U5bvZ2z9q1wuj2TylZc9h2vjm/AKbolO+34CPwH0PA6zAUlOLtqsbCI8ytKIWPfP7bd6LxHbZ9x860QcToY2W4KQxPFQc37c5hc4/8t9fAFHUG/Of9DNu+0oDvsO0rcvvpub3Q9QX+R/4vXmp3ftBfLYlctPRXVxJJhm318ly98fIv6nxhKx1zwp43HQngmISypXBIio2UTuIEuaRPWIoN5CkQylY4J1sB0mWxMdq2ebvCcQlKSilWsFgShzFA1ot73Bb6eFU5kTSbS43xWf4aMW91bkDK5T5coZj8IkjSajzHz5h8cygUUl4opGBcvBQMKpQXcuvdQoGAgjFJ7nXZuTlKjI0rKAwJ5eYoPjbamfKmoSMzEHlD/qYhziijP/nr2nZSdjhylDPmt+mUHY6dFW8WtkYtqgzStV/ILpS+w7afONBvxkdg7xHYs8MWFXApWMO2o1rad9j2Hu/oO32Hbd+xK9xhs/oUj6MW7bDlO3iOgl12zXfYijoL/+3nfYdtX+ffd9j2Fbn9+NyunLa9SJjsk8O2dsPycCAQs9OmIx07nelKIve0S6Rz2PKyIt4Zu0OG2CwxTjE4Pq5mMTfizHFffoZLIWod46VAbKSoIixlZmW7Lfbj4nF8Qi5LRtlFOCdHgYQEUmuR9FV8vrOTkxNpLyFeWVmZiiUDFyAjl+845WRF6jLxBIP56Ts3R+b0RdZORzoZVG4o1x0dEBcbqxjux18MhUXq0Zul4/NoIyFyd/S2/tyV31er14zkHf+8rX+BI1qYQ5f/zJ4cQu+6tAJC2XkhaWHGzQ6Hcz8SsN+Uj8B/BIFdOmyUjLkvPQ6b48sdJUxmpvgO274Ti++w7Tt2Ozts3k1Hoio3duuw0cp/e9OCos7AjtBNdEuF62/vXTtswsKcnj0/T1t7LqEs+gh334LvsO0rwr7Dtq/IeZ/bFf3tmX8c7xTo+fw2/4L9vU8O2/JVC8MxMXFKiE/WskUZevGZb9W+w7k6rqEUjNv9LpGRDFt+RikQr1BOSOGYeMWSKWMNWVa6YnDAqHlUWFmbNimhVHnnRG3ZvE0lSpXceYdDHKXsbMXEx+8AoqBmvpDJsZ1GWIuWkaHEpMSIJ8ZuIfQBh41/OHcxcVIM/QooJydXgZhgJCuXR0ZuhzGVl5OjoCulxLnyLH7bxRa6kfmJLmOM/syMt0I+L3DoOA6A/lnJpBWX5kcxWdzoxotjx3dJHuy8u3YZTr7Dtj/Y2W/DR2BXCOzeYYtSBC4bEeF/vyRy/9CU77AVHceI0efddKQQh80puch9BbvMuXVsbpX3f3qXuaLPwL4bjBGHq6jPF30ERWvBd9j2FT/fYdtX5PaPw1bAf94s29/tsC1bucBl2HDYOIeNbf07dmrt1rAFgrs/h80JizDZLiQHWzDuMEbcJh6uNpIsXK4UCGnZH7/rjTdmKlsBbdyarrRt23XccXV1Sa/uWrdus8qVK+mQTE/PclmzhIRI/BkfDHsHZyo7M0OJxYq5z0M5ucoNBBUbH6twKOzWvNGnrMztbv1cLNtChkLatm27nnhqoo6uVkN169bTw488qosv6a3DKldSXF6OYhNjlZGWrsTERAXi4pSXi9OW4JxHdrmMT0hw6+cCgYDi4uJcNo6/k5KS3O8xMTHKzs7UK6+8omAwXmeeeaZSUpKUlJRQoMy2b89UcjJlo6zny1FaWrpKly6tnGzW5Em5eZu1eXOanpjwmk499XSd1qRu/rb/EaWYkxWkmlMxcRlatWa5Nm0IqUb1mopxxwOwljBXgdhYZWVFDtpLSExUVlaO6zPn0s16b447j+6ibt1VsmSqtm/PUkpygr+GZn/wvN/GfxKBPTpsgbAytm1TUkqqcnNDGjtunDZtStPWtDSVr1hJV111lfKys5xc+PLLL/W///1Pffr0UYkSJbR161YVL168AFeOKklPT9fMmTOVkZGhzp07KysrSxMnTnTyp0WLFqpRo4ZWrFihTz75xMkg2oH/7fL+frBMWG5urtMFyEx+MobPP/9cr7/+uoKxMeL7Zi1auPH/9ttv+ujDD7VgwQI1O6OpzjjjDCfTI0pEysnOVjgU0qOPPqqlS5eqbPnyOv+C9qpeo5rmzftZL7zwgurVq+eeK1eujD744H8O83POaeWayMjIypfpkSbRAQlUhRzElxl9fzqP04i7IKCYp9ysDMUmxEf0eYz028+/6tWpb2ntug2OXtu1a6dzzjnHzcObb76pdevW6fTTT3e0CI3yzy1FCIXc0Tvope+++0EffvihunXr5vRpdna27r77blWpUkV9+/Z1z/z666/66aef1KlTB4c0MVhoP6JfD+YL+ylP69escbTHOMPBGDVt2lSdOnfWokVLHJ0vWrxURx99tC666CIVL1Xa4ZcQH6PszGzFBvP06ssv6bvvvnO2SbESJdWsWTPVrFlTjz/xlMO59yWXqmTJ4vroo0+0ZVu6Tj75ZJUuFZEtttnagUNxzw6b22RBcvQ0YcIEnX322Tr++OMdbbz62uv64osvdOyxx+q8885TmTJllJmZ6fgeWoLG2I0c2QqNtm/fXg0bNnTtPfzww+5IpwsuuEBHHXWUNmzYoDlz5qhly5ZO9rrKrX/w9VcdttzcDMWyCx9JlEBYa9eu07PPTNaatesdZsg+8ClWrJieeeYZLV68WOXKlVP37tiMEdscvMAUbN566y199NFHzo4Fw6pVq2r9+vV69913tWjRIvXo0UNHHnmkVq1a5e7lbGSuzZs3F7R3YOEloRNSXm5+hV1iotatW6+pU6e6MbXv0MnJqzffmqH33nvPyaRW556nWrVquOK8nKwcJeKj5IX0x2+/OcySU4urVatWOr5ePWHzIwe//PJr9ejZU8cee4w2btnmeLVs2bKqdUxNt4bt1Slr1bfrCHXt0k6nNGOZ1lKFQ3kK523/88HZRXfY8hkuEOs2E7HoMa6Wc7fy8hTOSFcgMVZzZr6tdh0vUlpGtoKxiQoHgo4g7rvnHnW56CLXeZJrXCS3MjPz3DlsiUmBiPOXf2Vt366E5GTlUbYYG3DvzdierWAwoJSEOIWV6xw2u7759hv1ubSvGjU+Q40aNdY1Q6/VbXfcpe5dOiuR/S3ZYp+tJPPXvKVt2SzW9RUvVcrFsLZs3qziJUo5YwHDgdLJjO1ZSkhIUEZWtjO4Nm9Zp/btOyg7M6i3356p1OKJ2rR5nUqWKC0cYoDJyMhResYGlS1TxjlhWzanq0TxFCc1s0NrNWf2/9T/0tvUrevFuvmWAUpIiEQxs7MDCoYTxZK6Zat+1thxoxQfc4gGDRyiUsUTlJDCOXBsa0kWLqjsrCyF8vKcAuR5COf6G25wRDdqzFi1aH5GATZ+SdaBFRn+2w9eBAp12HbKRETGlp2RoU8/n+sUQPXqtVWrdh0dXb2GOnbqoGpHHOaU2ciRI51sGTNmjFOcTs7kb5qEoYKcRDm2adPGGSU//vijpkyZonvuuccpT4y8Bx54QK+++qpTODglqampzqj5t13XX3+9Jk2apOOOr+uwaNuunXPYwOK9d991xlp62jY99thjzrBLS0tTqZKlnFy8/tprnRLFKPvok090cqNT1X/AAGcIYviB+x133KE2bc5V3779naHctWtXVap0SAGMW7duU0pKSn6A8OBGd08OW/b2LMXFx0TWoAdCUm4Oi9OVk5GuseMe1k3Dbte557VTpUqVdNJJJ6lt27YaOnSo5s+fXwAMjhfOhhl8zE8wGNQ333yjW265zTl40Gzt2jV1zTXXOj2FgYiB16FDBxfYwBjEAMTQITCL80wbnPd68F55ytyWpiefeFxXXz1U7S5opypVqqp6rZpq0KCBxo0fr9mzP1St2rW1adMm1a1fT+PGjonYWPmbuq1Y+Lt69uiurVvTVOfYY5WaWkLDbr3F8ceDI0eqSpUj1L5DBw0aNEijx43V+vUbdc89d2rtuk1KTkpUiWJJB7gscvcOG5vHYXex8Vz/fv30xBNPOFk5+PLL9eiECXpo9Fgdc8wxWrhwoS688EJde+21LqAVoY0E5whzPxcyFJlKUGzjxo0u2MXPs846y93Dvz/++EO33367ozMcjYoVK/5jyWtvHTaCTinJKW7/g3BujjZv3qjU1BR98NHH6nvZIJfIqFy5snN6+/Xr5+QjshPnCx1CwOWKK65wv9uFUzZixAgXPEC+8jx4vvPOO0I+EzBAJ1155ZVOLm/ZssX9Dq4WRFuzZo0qVKhwAPGNBExwuEj+ZGVn68knJ2rIVVerX7/LNHrMGL377hxd0qeP08mLli5R6dJlNe3NN1WyRDFlZGQrNSmopYsW6pbht+qHH35w+2SAxf0jRmj16tW66aZbHB0mJSfrjTem6pnnJzsdPXzYLTrmuGOdkzTllTXq1+2BAoctEFziGPxvcNjAOrIhCEvTzGFDoNhy5ECu27zSdWzW9Onq03eQOnXprgu79tDa9Rt05ZArnMFBNDMvHNaLL76oYDBWjU5rrDrHHKEP5nzmvP8TT6inihVKav5Pv+rTTz5ShwvO14cff67c2CRt2rpVVQ+roiannajVK9dqzvuzlJyYoKOOqKoT6p+gPxYtVouzzlarc9ro7LNa6YILOuqBUQ9pSP+eig3nKW3dKqWWLa+Fv/yi6TPfVqXKh6pm7WNUoeIhTjFPnz5dVQ87whHmiuXL1fyMpqpUpYpyMrOVmZ2nV6e+rGKpcXriiacUH1tSjz76uIqXSFBKSrwyMjM1f95vWrJ4tcqUKaWt21br6KOPVF4oTps3pWvRwhWqXecI1a9/mD774ku1bnGZhg27TVcN7aG5X76v7777XuXKHKbqRzVSnTqVNHX6Mxo4sK8qlj9Wt992j845p5nm/fi1fv99gRNs1WvWcgKeGUD4fPTRZzr88MM1/uEJLoI3+aWXVavW0W5ZYHr6NpUtFclW+pePgI/AX0Ngzw5bxBjZtiVNz70wSY9MeEyPPfaUTjq5YUEh08uTX9KECQ+7CDBG2nPPPecyZWQQcB6IdqIUkYE333yzc8TIAPGTf0SNMZSJIqMQMWiIIBPlI0rovYi223WwZNuIkls2hrFydezY0RkPzzz3rDNEQPnzuZ/r8ssvV9eLLlLv3r119plnqVq1anr++ecjQw5LW7ds0ZSXX3aRdzKUo0aP1mNPPKl77r3XZTJw+ogMo5zN2HvyySed3PZeVC7Ex8e5/bAO/Bqgv0az0XfvtEQtH6ediYZIcqbiEuOVkb7FVZ+klMRwy9PlAwdrybLVeuzxic7wwjCEZgkcgGWpUqV07rnnOgP56quvdsEDgohErT/77DPdddddev/9D3XooYc6Hcuc9urVy2VKfv/9dxfJx1kePny4y7rVqYNe+zdd2E4hjbjnLr366lQ9+/xzOuLwIxXnssIBDbniCrVsea7OOvtsDbx8iF577TV9/dU3KlWmtHJyQipeLF6fvv+ehlw+UP36DdBlAwe4JR9c553XRhe0b6/ly1crJzdX3S/u5ZyZ/v0GqFnz05WdE9kSwM6wPXCo7t5hS9+2TSnFiul/H37o+BojH/oiE4SDVr5CRT399NPuO5w27EdoEVpDbpC95R9ZImQosoPnoMG1a9e6gA4Z+9tuu03333+/mjRpotatWztbCtn7T7721mFzjlH5Cvkb1llKJU/jxo3XqJHjNPnFl53MMzmLAwvvEUgcMGCAywghBwmaJCcnO0g++OAD56AgR5GxZJfuvfdeF1QkM4eOAtcbb7zR8S8ZdLLv0frowOqhPGVs3aykVHbCD2r+Tz/qtltv14wZM3TJZX310OjRuvHG4XrxpZc058P/uc/HjhmnRx9/TDVr1laZUimKUa6enfiECzzhiJUoVdpluPsPGOSCTq+9Ns3JP+xvHMRv/gAAIABJREFUgoKz3//ABRQuueRSFSuR6M6HfnXKag3oMVJdLjrfZdj+NocN8E1hsXehOWz2OcLAJZUpi1RIb06dqquuvla9Lu2nJs3O1s+//qZBA/o7r37w4CEuYvf9999rc9o2Z4iMePABLV28RC9NekF33Xm7mjY5Wd269FTa1o269+67dd1NN2vut7/qiGrV1KrV2Wp0SkO9OOkFfTBnlkoUT1bpMiV1+eArdMopp+i8NheoUeMmOq/t+Wp7fns98MBIdb2wneKzsxSfFKNtGzfqsv79tHbdOrfWbcOmjXrs8cdVoXz5SHQwHFS5smX1xWefu3KbsWPHKj09Q+d36CwFQ6p3QnW99eZM1andSK+8PFUlSxP5i2wk8uijT+m6oberfIXSatm6kVq2aqE5783V+3M+VbmylZSUEtaNwy9RarHSanfOlerdq6+an11HI0ffroULFisnK07lStXRoMF9tWrDZxow8BqVK1VFQ6++WfXqHqX77r/TlT/CcBUqVnJR+uSUVPXs2VPffvujmjdv7tK6RJfemfWejj76cKWnYwzG+SWR/2SJ7PftH43Arh22yGHE3qtf3/7OsG3b9gKF8gIaOHiIWrQ4TWNGjdYff/zmSnEwXB955BHnaNhlJdfIG6LF27ZtU926dXXrrbe6Z3A04HueodSJe1AsXASYvFFR7sNQ4SICfWCV5b5NLZkGDCoyjM1aNHdObtfu3V2WBmP/1uHDddmll6lzp04uKwEe5cuXV14upfHbFMrJcYqUUsrb7rhDY8c/7CKmGMMEtAgeYtR9/PHHDs+LL77YOc88a0ZcYmJ+Gcg/YtOGfcPRntobhy0rY5sSKOenzMWtT8jV/B++10VduuvHeQtd+R7G3MCBA3XYYYc5esRxw4CjhJeMBYYwl2WNx48f70p3Fy9e6mjyqaeecjSM001pGtFpsGdOCJoOH36ze54yVMqyKPGLLlEtGhIH4uk8bVm/Vl0u7KRvvv5OjZucrvLlK6jPpZeqXoOGzgFOTk7Vxk2b1faC9lq6bJnmzv1CpcqWdHYXttXECeN1xeBBatigoUqVLaOLL+6lM5o21aAhV2i7yzTF67CqVRWIjdPGTZs04ZFx2pq/HIKgOm0c2KDDnksiKWW+5JJLHD9jH+JcEZA6//zzVeWww91SFLKwyM7333/f8S0XPA4d8o8SR2QBjgOBAnh67ty5zimj1I0gGUGz0aNHu0wc/A6tErj5p15767DBX8FAUJmZaW4FdXxSgjZvWKf+gwbr44/mqkbN2i5LCf+CGc4vGIKzy9Q++KCmTZumWrVqFegM8CFTRhaSjDo8OW7cOKePuBeZS3aSzPuyZcsc5vAxfeFZflqZ5YHDN0+5GemKTYxXbnqmrr52qH7++RetWbtWZzRv4QJ5b701UyNHjVLzs87WipUrlZa2TTcOu1mHVqqisqVSlJ2xVVNenKShQ69zGca69eo7Z7X1Oec5TGfNej+yvCsx2QVW33jzLY0aNUrVqx+h1etylFoyTq+9ukoDe45yGbaTm8KQi12GLaBMxQbxITAnUt0O84GilERGHDPOJ4ucrVa4w5anvCwER56+nDtXLVu30aZtGQoH4xUXH69DypXVAyNGqNGpp+nrb79T2fIVNP+X33TdddepS5cuOrdVa/Uf0Fc33XidzmvdSmec1lhtzm2pAf37q3OXHlq9JVvvzn5fVSuX1K233qvJLzyjh8ePUbXqR+jS3r1UqlQZ3XH3Xbqkd18dU6eu2pzfQd26X+wUdbvzzlHe9i1KTYp10Zf3P/xAR9WorvfmzNY111yju+69R+e0bOVS5nWPPU4Pjx+v5595Vm9Ne1MPPThSX3/3vUaMHKtxj4xR5cOKq2fP3ipd/GhNmTJVZcrFaePmVUotVkLXXH2Dxo99To88Mk7tOzfV1KlTdN89j6h1y3aqeMhheuSxEeras5lOa9xM/Xo/oF4XX6aL+5ytT+fOVNOmzTVyxGN6edJHGj3mAVWvE1TvS7rriCqNNH7sExr5wK368H/vqn37jlq5cqXefmeWBg4cpKTkYhoyZIjGjn3EEc5NNw/XypWrNO2tGapYsaw2bdquMmWSfYftwEkL/80HOQLO2A1LeYEd2w7ZSY+2SQPlkJRE3//ASC1dtlJHHVVDM995TwlJKbrvvvtUqniScnOzdcstt7iswuOPP+74lSwQxgKKjQjpTTfd5LIVRPG479NPP3WRTIxiIsVE8SxLR0ad9WsY0bSBc+Z1ADGoiUAfDA4b0chIaXfkwiAjio6xQAUEBkWb8893kfLBgwfr4XHjdEG7C3RJ795uLRsOgyuPit/Z8Hrw/vt1w003qfW557nAHNgRRcbhIMDHezBguDDgDj/8sII+2F5UrI1OLRaJOB+sV4HD5l047x2MrUN3i50igYjczO1atGihJr/0ksqVP0zffT9Pb7zxRkE2DNr79ttvdcMNN2jJkiWORimV5KLMirIoHG7KWUeNGu3WvJAZbtDgBE2f/rYeeughV1ZEOSTlWdgBRPz5V7/+8R5ajqxbP3ivPK1bvlgjRz4gNn5Lz8jQL7/8pkMrV9G1N9yo6jVquIDv4Muv0MOPPqabbh6m4cNuUFZuZPVDdkampr86WTOnv65TTjlVH3/6qX78cZ5GjnpIZcpX0NBrr9URR1TT+e3a6dXX31DnCy9SuXIVlJuXpzp1anHKktsy5sAiuHuHLSsz0xnClNiydo2Mzp133unWN/JvwcLFLqAOn5P1IQiA408mCAcPY5mgFcEtsj04JJSSU6JHRg35QqAH/kdeUsaHvMCJ+zdk2Njt3PFIWNqyZb1KlCzheDht80Y99cyz+nn+H6p0aBUXsIIv4VmyauBARgjnAn5E79SvX9/ppYJ1wZLLduKoUdUBD+PAkQ0HVwJrrD094YQTXJCR71jTiiNsa5MPLO9G9uDISU9zfDN2/HhnR995191qduZZuvuee7R06Up1695dCxYvUWxcvFq3PlcPjXnA8Qyxq4RgruO/m24apsaNG+uEBifp8suHqPFpTZwuv//+kS7I0Kt3Hy1cuEiZ2bmObtesWad6Jx6j9Ezp9akrNbjXaOewnXRGWGEtcrGxv9FhgwQiTpuxX0FJZChLQTbGyM3Vj998o67dL1aVo45WtZp13PqAZk1OdwsTcfrenvmups98R4uXLHUL9Sjx6dv3Ul137VDK5lXtqKp6Z8Z0PfjAfTqkbBld0m+QylWppftHjlH6ti268/bh+vyzjzXrnek6rHJFXTP0aldTiwAjtXnSKafp/HYddEGHCzVy1Bhd3K2tYvOkjG3blVQsWZMmvaDZH3yoBYsXOINosCs16OeiMvXrHq9Hxj+sB++7XxPGjtfkSZP0ypTX9Oqb7+jDj2fr0ENT1b5jB+VmltYDDzyoajWozY14x4888pTGPPS0HnnkYZ3RrLaenPiE+vS+SsfVOUm1ax2rd997XUNvulCnnNxE117+hIZcPlQtWtfQlNeedorvpx8W6/PPVuiVyS/ozPOq6sKLLlDFMg310KhHNLB/V01+8SWdeOKxTtDEJSS5evWFi5a6LODrr7+lE0+srz6XDnBjeuXVqapZ8wjXL8oik3YEiw8s7/hv9xE4yBDYG4ctMqSgQrl5ys7JU0JCisaMfVjDbrnNrdU5/tiaio+Pdet1MGJxRnC43LqDFEo15CKYlJBhcKAEUHyss2JtwfLly51xi8HMInoyFChankcOUIaCgjSnDQcQh+1gyrDRZ8aD4UVknKwjBtm6DeudsbV+40Y3VsruHpswQW3Oa6OmZ5zhnF0MEe5NjE9wDmp6WpqLAA8bNkxJKSma9OJLOva4OtqyJU0lSqS6zaDADycY/USpD04c7Tdu3MitB44suo84wQfW2C06w+yVw8aOkHm5Sk/fopTixRTOyVQgLrLpRVZ2UPEJKS7A+tVXX+nll1922QywZu0l+hMDj7I1IurQHt/Zz2HDbnFzBN2DN7TKuqLy5cvq7rvvdbRevXp1F7knAw2fkFXleYxxm4eiI3EgWogYjJtWrVSpipVcB24ffquenPiUZr49S0dWr6brrrtJTz//nKpXq+VKsdiowPYRchVM4VxtXbtSxcuU1Q/ffqtW55yna64dqiuvvk5btm7Rtm2ZmvO/D/XtNz+oWo3qeua5F5yj3Oeyvmp5VlMl7jjp6EAA8KdKhOhOLF+2TJ06dXJVQjgMrKUiOIVTAW3ceNMwF9DBoSMbS/kjARfvhQ2FXCQLT6aO3w855BBHQ2yAQekemTXapTSXEsBLL73UveOffO1Nhq0gC+02D6LSbUdJ5IYNG5WUWNxVY6E7yFBSnUXgiwALMhJnmYALGXDmwCo+wIVMGU4tDjC2JpsOkSSwrOasWbPc2lTmjfWqZM1Zh0qZM9UfzNuB3diF3YvSlbk9XV26dXeBuZatz9Wdd9+lmjWO0fDbb9Ojjz6pr7//Tvfcfb/mfvmFHn9yoivxbHP+OYpnY0N3lnKORo540OngMuUquKBB8xZnO90RDkc2Wvr1twVujWTT5me6zO60aW+p74ArNWBQP02btkKX9x7jHLaGTUiARRy2YCBr/2bYItHkiIsWVmTTEf5x2aYjAc4fC2crvH27pk9/U5f1HaD7HnxI3Xv3cfetX7PaZdWmvPSyW+zXrXtPl6K9+ebhatqiuZ544jG9+spLGvXACG3dvEFNT2us8WMf0urly9Xz0n4qV7m2XnjpGac4h159vd6e8aZmzXpbFQ8pp67dLnJERVnkzTffosanNXUO27ltLtCtt92pywf1diUB2Rk5evLpibrltuG6qHsPHXn0EY6Bu3fv6oj06iuv0jmtztatw4brvrvu1HNPP6OXJr+o16a+qdfeeldPTJygmscconPPaatAqIJenPyKyh0Spy1pq53RdcdtD+ixR17WK1Ne1MmNj9ToMSM16oGJenDEI2pyenN9893/1PTso/Xdt/PVutkVuqR3f1WsmqsRDw5zhkJcTBlNfPQ9XXvdFWrcorx69LxQ1Q9vrrFjHtMN1/XXDz9+6Uo8UWh/LFysOnXq6IVJL7nox+TJr+jUU09Vv/6DHCE9OfEZ1atXV/n7GfgZtn+yRPb79o9GYPcOG4I8IhuXLlqi736Y70oh27Vrr5nvzNHAwVfq/vvvVfvzWznDAceDaCQZIwxUHBMUHBkylCA7vFJmQuaHn6zDYDE331MdgBI57rjj3H3z5s1zRjNlKihc7rFSNPqDAsFoPlgybLbDID8ZHwqPspOSpUs5bNasW+eMALKQtwwb5tZAdb2oi8PRNhxAAVLRMT3fWaPs7vlJk3R8/RNUzK1hiFyzZs120WSi+TgJGBSU9FBeTnQ/JoZS0si9VJdyUszBfO3JYQtl5SoGy8SFfCMh2ZyMbdqatlkvTHpRJ53cVCed3Fj9+/d3O51Cb8wRQYfatWu7dVNkhDEIMe6gazIZ0DxZjttuu8PhTCaNkivLmC1dutyVUjKXGNHsfgq9Uu1y+eWD3BKAg3vDEUdBWr7gV3368UeqVqOm6p10km6+/kbNfn+OXp3yuqa/M9MFmk84qaGGD7tNDU+q7yTK2nVbtHVbug6tUEaz33xVJYslqlmLMx3+PXtdosuvGKKuXXootVRJpaVlaOCQy9Xk9Gb6+ddf9PuCRS4Y0bL1ObrmqiFK5gjbA0rAu8+wffD++47Hyf4QAPjpp/nOfiF4hb2zbPlKF7AiCENGHX5nDRsykKw7GV4cEBw5glzwMfLQmyWi5I/MEY4s67FYe0kSgWwTsvafeu2Nw0bfIxvlsYt7xGEju5aXl6tZc95XsZRSatnqHLeBCJkxykbBCYcWZ4tKM3QOTtkRRxzhHGPkKsFF5DDlk6xbQ38RTGGdNRe8TeaNddRkOsGfwBlzhm39z9gMK0+h7Vu1eeMGnd2qtZv/9Iwsffn1NyqWkqo7771HH374idZsWK9333lX7743R5f27e8yvJ0v6qh1q1arVGqclJupGTNmOp1LwgS5dXqTZq4MlOoaNql67PGnnC9SvGRplwmuWvUILV+1UY8+/qjefHO5hlwyVt26XqAGp4cKHLaYIOdTZ+Yrm/1QEhntsNkpLbwBIRDjNiTJVe72NMUmJer7L75wm3/cN+JB9e7b3+3aFZ8Qr5ztGXpn1rvq1rW72nfqrJKlymjMuLEaPGiIHnxwhObP+1E9e3TTL/Pn6Yah1+imW2/RtvVr1eLs1qrb4Azdeue9Kl0iVTPfnq6bbr5OtWtVU2pqMf340/fq3qWr85ovvbSfqteopbZt2qtHz9669Y47Nah/L4XYDyUoTXz6WQ2/9Rad2fJMp6SfePxxXXvdUEeETU47VZ06dHTCYOyoh3TfPffqtVemKKSAevbuq5rHHK0GJ9XWAyMe0jE1T9OcObOUkEQkkWMBcnTvPQ/qqcdf0XPPP6NGp9bUJ599on6XDdVRR9RRrVq19fOvX6vvwAtUonhpDek/Smef1VqhwGo9/dw4Xdi5i7Zvkx57bKoenzBBl/RtrsZNTtH2rTiC9ys7Z6MGDbjUpXJhgrXr12vkyFFaumyF2+UM4XPGGc3chgepqcU1Y+ZMVa1a2ZVUZGaGlJwY2UUuIrSjhGf+od6FVcvsOP/lILdY/qnS2O/XQYGAOW0w0A4ego/yjdvMbAViY3T54CtdBUG7dh31xZdfq0L5Snrm2YlKSY53m/9g8BIhpqyEkkiybwh+1qpRTsIGQmSZKOPBIGZBODtxYXxQ7kM5H0YMihXDBaOYn0RNMU68azEOJofNSwQY+WRxiH7jEJCReX3aG85ZJbpLaRT3MHaMCSLpPbv3cCUoKMtrrrraGRHPPD1Rp5x8inr26uV2+W3eooXbqpkSR5w1cCPCDP4Eu5gLovx9+vR23fk/9q4DSoqq6d6JO5vJORsQEBEQBRSMGFBABclRxYAKEkUQs4ASBCWKguQoSUTFHMEcUJJklry7LBsmh//cev1mm/lAQdFl+elz9sDOzvR0v36vXt1bt6pY8IFjSMBQsM7uP18ix+SwnUAWGQh44XDYEQqoHqA2px27d27D7a3uhDO+CG697XZMmTxRIjut77gT3Xp0R8Dnxw3NbsLsWbPQrfvdeLjXQ5gx802sW/sVJk+dhNTkJCER+vZV0WNGNZlHpEv1T548VdQlJCUoiWQiPwkNsuCUEPJZKSKiMFdBVTlsd7RqITJFpj8w2tiiZSs8+mg/NLvpFvy+cQOuv+FGdO7WHcxqYW7R7LnzhUQY+vggfPXhajw2oK9Ejvbs3S/yqzlz5+GSevVljMj6097ceVdbLFi4SGxB0GiLMHb0S0iMYx3ugjq0v2HWZR17LYcOHMa+/WkCqBileXH4CKnwKgDjxZGYM3e+zA/mnDKyRhtIAEE7+sQTQ7Dht40CYLleuZ5JoJMYaNKkiRAAnHuMDjFCvHDhQgEkLJijbSr9pzP5IGjTHRHN/YDNz1Rk5a54RCJBRCIhWG1W5GVn4b4HeuGHH9ejVas78Pnnn6JRoysEpBK0kni5+ebmMuaVKlXB9OmvY/r0N2WMxo0bi6+//lIk/Q0bNhagQkBG/5iqDx78nedgxUgW0iJpw0jbDz/8IKSkVnwULHBTRX/Stm9FieKl8MXXXyEr6ygmTpoEZ3wCpr72uhBJLBjS8MqrkJObK2lFo18ei4T4JDx4/70Y/uwQuOxWmVsuVwJKlSmD9et/k3oc9es3kHnr9frRf8AgdOrUGYczMmQcKSH9at0vmL9oAVa9nYZH750gETYCtnBkO6yw4LiAbfferdI42xWXiLSdXiyc9TPa3HWrapxt+/M+bMrRz19ssfaekyYvN1t6kvGd361bh8VL35Ibade+fXQdUKdMaQ8R/cZNWwTp8qAWnrJIIvOuXTvj66++wqxZs9C4UUNkHD6MZ18Yjotq1Eb3Hvcg3mVHVlY2vvvuGyxb9pZo5Tl5enTvjl27d2P8+FeFNU1MTBbZRoeOndGoUUOp5O/1BoXNXrx4IX5b/4vIMbiwy5UtK8mt1PFedtll6NS5M95//wNZzDfccCOaNbteNqEPPnhfnISDBzJQrWoN9O3bTyowsb8aw6ULFi7Azz/+LPrd5rfeLBKp1as+xtK3luFQ+mHcfMv16NipNTZs2IRFC1bhyiub4KIaVfH6G5ORmXkE1apeiIDfKszSTbc0ke9bvuxd1KpVG70e7IlVq1aKA0egyX4Yt9xyq5QoJRtFB6VIkWJS5r98+YpSFrxOnVoyvuJSGr3B7ZEQLOEAG8JBKGQyMow/svqnkkBHDwXGydaQsFHyFv0jUivJmfnrTvHMBWE/i3PHuRE4u0Yg3xFRPSStwvjOnDlbnM4GDa6Qwha66h2ZY9o1FloiG0w2mcCLmwUZTjKbjE5QvsMEezKWjLBRqsfNmDIWHnTamNfGc/BcTMTna4X5YK6D9J0ykv85BmR8CaIIcNu1bSOyz3Lly+OXX9bjtdenYd/eAxKZadexA3KycjB16mRxzurVrYNffvoZa9d9Je1iCKTLlquArl27i7NC+8t8DVaUo0qBkhY6c3QESdw1bXrVMUPJAhiUs/5/OMKhgDwHRikJ2o5kZkp0Y/iIMSAn3OjyBmjfqT3KliqJNR9/iBVLV2Dr9t244Zpm6PnAg0hOcGDyazOQtns7OnRuizoX10AgGMCCBUvwy8/rhbDgHkqJY1raPlGHNG7cWIA4yQjuwWTrSWDcdJNyCpX/UZgP5TB+8cXnmDljBrZt3S52oXv3u4WUGTfuFclfLVm6LA4ePoQrGjZG244d8Mnnn8vfHxvYDwk2C95aOF9SP8qULSekxdXX3yCDQnkvIx6XX9FIQAirUDNXNjEpWRzzq5s2QXJCXAGOYT6xld8RTvXyZV9A3QKQSoGE+ARsWL8ec2fPkuINLe+8HQfS9mHEmJdxOD1dSK5eD94vBPWM6a+L/PGGG67Dlo1b8NGnn4idpPSPduCW5rcJAUPw+tyzT0vUh/lWjDwyIsxKsfyX0aOCleyd3NyOtko8wdvpm3HtqntRe1NOdjayc/LwzNMviDzxvPMro1371qh98cXYu2+vSJQ/+fhz1K3bQNpHlS5dDK+9xlzC39GteydUrVZRyK2lb61ESopqwUFyi/aQft0zzzwrNnvw4Mfw8cefSAET7nNUQXBN008s8D6K4tSGkXskC0mpqeKM/rFpE5YsW4pSJcugXQdVTXT+wgVYvmwlipUsIftpw8aNhBSYOWM6+vS6HxXLl5OI45zZc8UW9ux5P6697jpRYPA+J06cjAMHDwoJs3PPbowYPlIqbLZpx/Zd/TBv7h4BbD26t8OljbwSYXPY7AgFc/+3D1v6kX3SONthdwlgWzT7F7Ru0wy16nPVnAxg++tJpXWvnDg0QAy38iBjzEWjUTY3Z8p7YpM9WVGKOlqCJzonHERdXlT3cuBnKbcg0OLi5CIn8ONrnDicLGT0yAbQmaGePhAKwm6zRxmKnNwcRAIhpBZNQcDjlmtkid2jmZnSkJK9QDIzs6WRdryAUJqZIA6nH0bJEmXh84WRl+tDsWLx8Hkj0j+OoedA0G00WFW1ndjDLRyyIzHRJXZKa4F5Pl43xyO2OhEXFcdFy5h0bybVVkHJS4jmmefhivZfc8v7pcE3c/U8HgM8K5ZYQosGYnIgDOloFwoZ6Ix/4wK3ImTNl7rqRps2Sl2jW6ZVrkHnxwh4MwCbbnYruess0MD+EtEcmnOA7a9Xz7l3FOYRMBfN4PrUSdtcF1oWpqtlkWSiU2p+3VwwhONAwEKJCyMNPGhbCQaZV8WIG//GBHraQ5JMmvwqzGPIe+J9ahkT7Qz3CYslIsyx2ECLVewbcwYIKtg3jKaMhRWyjuYiNUn1TQv5A4ggJBEjj8eLI5lHUbZ8eeGoMjKOSP4Kx435bIcPZ4iMnGNIuSlf4ybM7yewiCb0F+bB/Ytr17lmx3tb5pGjKFo0FW4vG/GG4IpT4NUf9MPvCyI+Pkl69PIIBtXWwtovSo7P58ANwYbMjCxpVM7x5PfxOdKhYeGHSpUq4NChdHku3POZR6jmPfMwLYWc8Ds2whQOhRDyG6DYwgbHEXg9brgSE5GbkyfOYFJKEvzBCPYdPIDK5ctCvJdIGJFgUPb6sMUqNiAcsYgfwXGkv1W+QgWpav3eBx/KOJI8jncVdJVo3r/2IzTBazPI4XzCV4hdYwIe3rdX5gpsdohT43Qi1xtAOEDfJ1GUu1lZGcjLPorylVShoJysLCQXVS1OsrPdsLP6Y3wc8twe7Nq2XdYyo266DQBtNCMgBV/F8PQYFu4FymbZo5Et2lPKitmLj36rz5+LpGQXrNLwmM/FDn8gAITpn1vFVeRfjhzJRmoR2lJ+xoc4Z1I0/5drUudeM+JJopHrl/OOygjabFaLNVfZPT13+A/OEhNlYt8/7rEJSYlRjMGz821ByvGsVqm4KUckCG+eG4mJRuGpSAT+QFDwgfjNoZCsQZK0bo9PiiqxjD/HgvmXtWpfjsrVSp8aYNuV9keETaIJ2PbvCWDZgg1o1765ALaINRtWcEOk7OD40reTYbh0CdBYtoIPkIuDr9OI8AY5uXReBgEWm5lS1kOQxWgbHziTkglCOBh0VLTjwn81+JNSpqbqaLGPlN9ltdkkuuYPBZGS6JINxMo+JkyyJjVuPixWYzImR9M2A8EQ4uwRY+KqPAjOdz5XjzcgvdnU5A+INNJCXjfCHAhubIaUwxhAThLery40YAZxetPk2Ojk+/x7i9WAH1sRjsbbrNfmxGOIluPjSnBJnIyXEAVs9EgEXTGsZgFsDgFsehnHArYIy4+yMbhO7DDmie75FJsnEzQ2ZZ0LcjLz5x8sx3MfPTcCBT4CXINcu+Zqh8ezR1yT5lwz5egGxabRVsZ+nraT51bFF9RmXBjy0v7OAyHxxnvU/ZXUfYbhyWF5aSd/91MMAAAgAElEQVQsSs4g+5S2VfyNdpjSRRatYkTHm+tGCvuIRcJwuz1SNp0GkEVHlHRUNWJmcZEElrKPORhVUzl1/z8sF+eY3mM1Iaf3WI5zIBCBzaHFwKqMuoyPVdUf5H7ILYWATbZqnf8Hn2oxEbLB6XBGyTyOazCoADEPc66aGSAzeiQO+t+ZTGfMZ8Kyvj3ePNitNmmuy/ZBAa9XgK4zIUH63lmNhHO314dAOCJEL3d9ftZliQhY4dqX9xnOJAlZyV0yPkuQIuuBgNBhE6AbCkfgLFCJS2yETTy4YwAb78Nut4HVduMcDlgkaTSMiMcLi7SaULUTOCC5edlITUwGrEb7Cf2chblR988iLCTenUZrDrp6rNJrnuPat5LIntF37IyZMn/jQrjOtAw+VoLozgsgIYHzRnYbuD05itCy07+2w2aJE0DHiGe00K68VwPt4zeu1+vTrEKIXde8loIuGhTwsMeksvM+txsOVlWm7I7uLwEYK/PRbNmsCk9YrfK6gOCgH4nxCcrhl6ac/LFKqhcDFsQxQp6Ew8ItMKKovXWfPwS704ZgBKcG2H769ZsI7WacMwHpB4DVy7ahc5dWuPgy+us5sIA38/cBWyxDp/swcIGYgcSJ5iEXDfXaZJ4Z7jaDPs0ccPPWhkkzdDLIRnSJEiJGp/R7+BD4WimjyzoXPO8wHAkj5CM7FYQ1EoaTkSm/HzaHA16fX5gZu90paDnX40XxYqlSUEWqj+XSOLrgcpLhUmV3SQJRMxyOqCa4Epa2OuB0xiMStsPvDyAQUswQD3MFHnM1N96nvnYdMZTlRVaNkTGLJQp2bXZV/lifTy9W3RRRyRXVIUZf8ymhIBz8jZNOWAerqldut0clkVorrSSRxoLV71UDfkJgr7/zeLLZv2GDzn3k3AgUmhHgmuWho+YqEhQRAMa1q426BiPcGPRmwf/H2knaL75utoV6nZvL9Z8ZpZP/2WOiTdQVAfWZNFClKXNabbDRuaexlUIgBmAzefL0SbXVEwJZE3IWK3weP+LiXf8TLWOieEqKapxLoCAW0XBuzUVH/oQT/Gc3foZ82gzYOJ/0nFKOn0rc1E5IMOyHPSqHt4qT4vWEkZigRp9+hpdNx+MssNsUrA4GLALYzMCMhCL3MM5pfr8GzgTRuuIpn0Xhb1x+bIQtJOSMQTwwf1z2VICsP30P8qdk6Dn0QgMHAkhkDl84hHCQ+UkRibDx2VhtxzrSJEqF5DBOy2fDjf7MAmzKf9DqHPMSYGTcEgnB5nAi7HUjQOVUkVR4fWHY4pyC0SzWfMI97PfJXKUPp+aexHOlfYKZ0IEue699IqOKrvZbCzbH6vQaAZ22Yi44FQyIixcFbDr3Wnfo83pItNgF4Pv8nHNeuOJJEKpARShoFVDLapTcj3ROqW59Yr4Drn+uZ47pGZN7eoK8Xc4Ws98diqhedubwCH9jX09NMchyleIu/+sH69Qjc50P8b9PFbBt3PKLADanIx6H90fwztKt6NS5OS5iu5PTIInUE58br5lB1oZfgy7e7PFYDvMDZ9SJRoqyP2XIVSiSDhEnof68+TN/5rToZ5WftKkiZOFwILo5C/VnIGftEJDEys/cI2jimRzHJnqRzZFwKctJG/lecmFGO/GIYh3pZ/j9vuhGxHshSGWkjfdjjq6ZpaUSITQcu7/b3JFAVV+ZPRKGLUQQxjvjRmzU+eR3kI0z/hJt1xBlWBSYl83CYHJk4hpV6Lg4tdMlLGBMT6izySCeXvN67mxnwwiYHd7j3Y+ZBeffYx1kDcqOzUNQsjxzqX5xTgyiRq/DwpB/8c+esaEGIOMuDpvKndUOmZZh09lgCXqb3QKnzSH2PeD1IC4xSUipiNgqdSVkhDmWGiRohj8qIDAumCCONu5sB2x/9nxElmhjDjPgDzBiFlREpc0m0tRImNEzq+xzQvIZjiGJUUkTkKiP6o9HwMZDRzgJ2hg5NbPyZidQy+vthTrSGRblkCYGKInkRiuRsogVOUeOILlYUfB1UbEYQM3jCyIQDsFptyrAZlYDGRE2Phvuu1HyViJJQdiZYyRkbwQOOzU/BXkYSibFohgXcixg0xFtu5Al+etdJh1fMyJsxxAypo7AjJrE0U80pKIOR5zc/9FcD0KhAJJc8dE5p30tqhkUqDh+9KggR+yffrf203geq1UVnGEETdajixEvC/wBLxCxI87pkn/lMD0if4DBi4ghDVRjpCO6tJuUQCYkxCMUUpFyMxkTu4Zj7eo/vb9T/rzeJJTTqm6VoJ3chuFfixJA5NdWWXda9eK0WQWwMQIcPbRcElqRp5qFkyCRVCAH/WEl1Rf/+1QB28H0PQLY7LY47Nvtx1vzfsNdbW9CzXpA2HoUNhAU/f0ImwYZmhXVkr8/G1gdRaIzw4MLJ9bxoYTQrDE2AxudI6WZawI77eDwPDoi5wv44bA7ZeDcOdTwspE0tadkAawShidDw3/tcS4JlXo8AbiM0KbP60Eo6EFyEnMbbAiHuDmxP4xFWAtKJh0OC8KRAPx+VZ6TxV2EvYiohRLnsh7Tk4LXzus+Hvg0j5kej1jp57ELkt3tvXI+svScgPyd40mQpwGbATdVIZGwkWxgZViYRUfsUcAmc9qIoUm7BjlOPDdOefGc+8C5EThLR4B2kHJmrsHYHF3ZECTHU4MA5X4wL5WFl7hmuX41SaOjcvyXoCy26qNE3i0qh+VsObQMhWOg75vyOUoiyQDb4pSsxe9nboVf7DXBgj74P+YgOJiXK33FmBFEoGYXYi3JaIBNR5fjzUJZGjTocxA8cF+gI8KjoOU8/+WzPV4uG6ct1SbcS4SlF/pPRTIs0pJZOXoMMJPJJz6WiFyE85NEJ/dGOo128ZWOHDlqKGHy563OVTM7dnxNkxIuQ8L6X47F6fsuNY8CQR/CTK+gNEtH1iiN9HjgcMUpuQ4d60A+4NIkszfnKBx0Jo2Iu1kabPZ1OGWFHDLGi4w/D0PNevpu6ZTOFAvY8gkX82lY7TLe6YDdYZOm7XbJEQojLzsHzsRUBCJWxNltCIUD8OV5kJgUHyXcwwFDUkqpmvh+6jyacOdM49zWkmtNcvF3+mCFXWLOvSCWKNeRNpJbEjnzhaVAntWaL1FlCxobbaUB2HxepUCLj1eN+wjw2CpAfNi4OMHPPLhOCd50BE3JofOLM9GGqrQnFUkucMAWVEm23FekqFJcnCL+GKQwctBkjZrqXei5GQr64GRELRiQtSXmjiCYBKBVpSlo/5zDQyDrSmS1TsU1uH0AA+qnVHSEgI0PThcdYZXI1m2aiyQS9izYLQQYfx+wHW/96ogLb4yLiNIgbpLqwSvAEhs1ovNCsMcB4ELiQ9fvJQCJ7TPE79UMNL9Pf4+gXT4YyhwZ2bLTICryRp4T5c+yoeRfedDnE6mBTiaksaNaUIlCKHUkwIsXY+t1B+Fy2aNFj7xeN1wuhuGViQ0Ewwj4I5LsKROBRth+bORJfzMjihpc8TW9SWnHjX/TBEFentuovOM6gVREmSgtr+D/3Z4A3LDD5bIhXu5HNfKU3VUcG4I2JcXQoVwlh5QrN66f5BVzS47NJiAreGxOTliYC60Jlud7EhLKU7L/5958bgTOsBE4UYSfNo6kEwtamPM9oxuHwxEFXOZcCubv6ug77Sf/Fmv/tOzkbABsmu3WxYuOfbwmxt3EbFL+BRvhACV4QSmGQRNPKBH2B2EXICchOZFERiyUnR4ry+P30FHkGBO8SRTJr/LhJPVK9pCzBxD/2bIxy/PNDqw4aWoYRfpPhzkUUmQBCWCr1Q53XggJ8WqcCNwCQS+SkumsBSSnMCRROEqD86+A46vJCu7JjLJwjRyv71phz2GTtW9hjpC6k6A3oAqvJaaI9pE5bCz573QqgtXt80tRHfKpXPupzN80DYLPpwhpZ5ySAuoiEHxUEnUjPDZN24KdwaZaAab1ezyVWiQYggjSpB+gEW2jI2Z3wRMIw2WQM2bJsyc3V+UFimPHSI8PNlucSKgDMseyUCwl9RjfxUyAm9NPzrBt5aQvR5OBZn9Yf1imnvEL12IEAVg4F62kshwSgcvNDiI5mb4tkJPL9B2nyu+CX+YfG28ThJE00/lqLNbEIImqDq8OM/Giqiee9C38u2+MmWz0UTVg4xfromF8GyOLuW634A9WLeV8lPE7ToRba481TtE5pPSj9Z7E6BrX9CkBtu27NkWYlxXvSsLeXT4snvMr7mrbXMr6nw5JpNr4co9p3sqmpSyjz3/Ze4WNDs0Mno4e6SqSNEA0Ykor6xGDdEwhjUhEJo8qFaomidlRMhfw0IuQr23+YwsyM7JxcZ1LUDQlWfXVCUdwNPsIUlNTpErTkYwMFC1RQiUT+v2Sp6Z1+5xzft9R6X1SrmxFlC9XVfIPJb9VWAgVYSODFoqEEOcgM6TAbzikNP1Wa0QMBheWBqq6U3xswisry+zevVtYd5b0FlZNzknbnm+1JeeC/TYMCaK6Z8osFJMkTB6AjZu2IhKfjOTUoiid6pLO7QLYQn4DrNnY20E05fkSUL3IDUaBDIxpx2D4mxUtc3OOyrPi81WOY1hKyXIj5rPmPaSwlOoJitn8u6v03NnPjcB/NwJmh1fsu1ElVV8By0iz6iuruXFd8zA7C7STBHa0gWwEywqRjNJx42Bpe9pDqg34Hp2fS/vIvN+z6TDvESrHz8uwGeKk+IBSKuzYsQdHs7NRpnwFVKuqxjIQZG5LGMGQH3t27MKetF3ye3xSshTHqHlxbQG9bDzMJrwcR+YVs00MJWt8LqqoS/5oatlPgTPE//ED1gqO2AI3CrD5pepyKBzC7l17sXXrTtS55DKkpqRCgiLcX8gse7KRtncHdu3cA4czUaSTnK+scspxZkl2pj1ccMF5cnf79x+U/ZztLlyMOBnMPPe5wi6JVI/P2F0FARsQKmKFLy9P2v7s2bsX1aqdj9LlSsMXNHKx7MpncFmBfbt3iV2gv1C9Zi2pEs25y+qx5cqVE3uRmJSEzMwsZGSxsmdRFCuagmAojLiC7vwuzq6q8qoOJWnWB0mThESXrFe11iJAwAefOw9xqcWwc9debNm+C8WLpKLWxTXgtLK6IRUJap7wYJXvvQcOIhgKoVSpcihdppSM+M5du3E0IxMXXni+2FPaDzZo5/jQJz2bDg3czCkpUl8urHIiddERnfyyd99BbN26DTUvqoeSJYseI4lk7lqeOwvFihbDl19+g7i4eOmxpiS4XL9bZR/iXsY5SV+bPyQaWVVWbHJAKyUKFrlFAooM0oV9jmZlCS5JSkk+pml6ZtYRqXvhdLlkP6A8Mhphi4SRfeSI9O/0h8Jy36XLlJN9meuSPm+58hXVnu1yYuOmP2S/Llm65KkDtj37tklZfxYdMQO22g24hk5PWX8t6eGDIrhhZ3n2DSG4YulPNp2rXbt2FNTRaJvLYSudd8ox60czR2zIxyqSAwcORNmyZQ1Q5ZDBUpu6/5hoHQedYIHNAV8ePw6VK52HAY8NwpUNGyA3LxdxNofkOlD6IqVy7XapHsN8BwUCnZI4TWkBp5rHnYkHet6LIqklMXr0OEQsBEYWxMXbBLDZbBGxRX4Jn8ZJ0jAra7GkrtsdQYKL2lgjIfgEFoLfSweOvS7YQPf666+XipklSpYUDaw5+dqd6xZDTl18wKjw5c7LQUJiooqu2W1gxJCygn79B+Gb9Vsxa+5cVC6VjCClV3FcvUEEc/NgT2IFNZuUEYbVIaVdmQtiiVBi6RQZqSMhFVYyVoYmnmOybdsO6fd2/333ok+fPvD7PLIR85n2uv8+2UBGv/yyqvNPqtBUWZLPTTurXDh8Vvys2YHl/3XyuXnIYmWy5qqjWvZgBvo65E2GSEc5yJpTmkPDYmaC+B4Cad075FwOy9m0nf3796Jz0MzyFM4/luBnk1dWw2V/Ifb+oeNKRyvW7s2dO1eajrIXDFucsLHwc889J1Vz2Ryan2WPyJUrV4pN1dV3xc0xNCuFXeJz7JNikSi/NHJmif7RY8Zg5crVCASDuOCiGmJ7GjVsYLiBQEZmBkY89wI++vgDVKtcCb/89ruoIr746msZV/bCYz8nNnvlvsTnQiUAe4QRrImkRdrQFO64zume7bSLbLHAVADuoeynOn36DORk+3BZ/UYYNHAwqlUrS2wNr48OuB1Dhg6UuR+JxCEn2yP7O3uskbigf0CHmb/XrVsXkyZNkvn76KO95dJpi3lQmVK4n4S6DylyZgAWRtik+mNCMtasXo2Jkydh4+bNuPzyhhj0+GBUPf8CxMezlL0fcQ4b0vfuwegXR0r7iQsuuACX1K2Hx4cMwcqVq6TnGvda9mO86eabMWPGTGzbuUuaRCcmGETv6Z4Mp3q+aHRCydAMSBY9i7QfsoThZFiQ7yXTHfQDDjvee2c1xk96HWkHDsPlsKPXQw+gR9fucLtzlIKJCi6PR3y92fPmS7+2Sy6pJ3biUEYmHnnkIdBh79Spg6xx9hXjOGpfMja/+FRvrTC8P8ChdLBiaAh57qNISU7E8pVL8cbrM6UHcJGUMnjuuedRr25tKTqiiZcdO7dg2LBh+OH7X1G5clU0aNAAzz33DNat+1Z8U65n9grt0aMbFi5cLHvVo48+Kv4cfagzpiVKBMjLzkZiSooUGBzz8st47733MO2N14UgIshiwOGX9b+iU6dOuOHGG/H888+r4JDTIVM2/cB+wSBsKp5cpKgAunHjX5V1zL5zbMbesVMXmVe//r5B+kp269YNNWpdQrcaSxYfxP2dRqFjh9vR+HorrLbdiISoSHPDaTdSj8KsbOyA5b8AbGKUwmFBm7169ZKeKmyeRyBH416qVCnpjM4bpVNPo82/ValSRSpEnnfeeXLz7LnGg0idCJXvZWNZMqPcZNk0Whl0Aiu7MCZk6sg0ERyyrwsdfUap+P7Pv/wCr74yGQ0aXoHyZVRfI93Hw5uXK3ICTrySZcoItmDzabfbL4246RCEg17kHtmPW26+EcWKlsEHH34mACT9cJZIIJNSEhEfr+WQEezYsxt2mwtlypYXu+NgcIryypBC+VLdyUTjapDB1zmJ2MyR/YAeeugh6aPi8weRlZMruRgsC5xaJEnKV+vj4KGD0lcuOSURScnJ0aTd/Xv3SCf1oU8/j+9+34HxEyehcb3qknWQnXlQ+tAxS/LwgYPwhoEKlaogErEiPT1DGM04px2WEDdpK1wpRZHrDSLBZceRrBzs3b1HmG82761zaW1MnTRF5YwAOLB/L3refQ/iXE68PGYsihYrjqQiRYX5YzSABpIgjWzM+eefH32WfI583jrSyr9zMXGOsHcVFxV/tP6c0VvOEb6ff+c84tyjE8BnyoPn47iSieRr3Nh0jhH7LfFIT8+MAv7ixYtGx1VXK/v/IokqDBvPmXqNZomNOUJEG8X527t3byGxhgwZgvHjxwsjybWuZZAknPg5NjJ96aWXxPjT4BOcDR8+HD/++KM0eaad7N+/vzTWpg3h+ovtI3S8PKQzddxO7rqUJDLk9+KnX9ejpzS3vg43NGuGx4YMFdZ35ptvIM/tU5W8LGHs3r5TcpV/+PYbPD9iJMqXq4gBgx6TBtkk/NLS0qSpLps4s3kzx5kEmVmOJ06kUVjp/1Me2/GeCRUVBLBqHELYsXMbunfvjvLlK6F9u84YOGAI2rXthIcffhilSqsWCiQEf/yZzHwcDhzIQv9+j4m95nwmaOaezQbw3OtIRNAxZCN0OoXly5eVy2DZcK6VsyHCxsivzWJVUiwjh2375q3iIJYoVRKPDx2Kfv0GiBJo6rSpEoEiYEtyOTH5lXFY/fZKdOzYET/88AO++/EnjBo1CnPnLZD9TSpJJiai10OPCPA978Lq0py7aJFkuD1eJBupGSe33v6Fd/0FYIvWfGNFUZ8bdqdqlRTKy8WDjzyKdT+sx5jxE7Bw3lx89fUXWDh3Pi65tHZUpvbt2rUyNg889DDKlC2L99//CG3uugs//PwLNm78HZXLV0B6+iGMHTtWxo1+BG0n//2ztlD/wkgUyCnzcv1ITFQyR65LSpZva9EcCfEp6N69B14dPw3FihXHy2NfRWqRZPFn+Z7316zCm2++iW5d78WPP/4MkonTpk3Du+++Kz3GuIb5w/3txRdfFAKMfutftU35rwch7Fc5jvvT0vDaa69h6rRpgjN++uVnsT/66HHP3Zg5cybubNMGCxcsRHpGOooVSYHDasO3a78W7NGlSxc0b9FS1teDvR4W8o99oxm8WPXOu5g/fz4WLnlLwCtBX+mypUSau2TxATzQeTQ6dbwDja5j/tsusjgFA9h0pIwOyocffoh7770X7dq1ExaNxmTdunX45ptvBHjREafBXrVqlYCxq666ShwZgi2+n4wcHXo64ETrZJYJABmKpHEjk8QGiPwuThaGIukEffDBB7IZ07Hp2bOnOERkqVnOedDAIejcrSvOr1oJHq8HAY8PCxbOw7qvvpTNm01Ur732WlzZ9GosX7EC8+YtEslNYkoqnn/2SdSpWQ0dO7RDJOzA5CnT8MP36zFhwkRk5RzFLbfejPbt2yA5NQnLVi7H8uUrpKF2larno2WLNmjR4jqE/GHEOfPDwro4i0rkVhV6dBTx5ZdfFuadbDCZx5mz5mDFO+/iaG4OmjS+EgMG9EfpksXw+RdfY8br07B12xYUTy2Kvv364LprrgbDvbNnzcKaNe8jOSERG7bvgi25LCZMmYqLqlZEarzKyfv+q88xbdpU7Nm3HyHY0fKO1ujQvgvYDHH+vDmS4xb0epDrcaPvY0/i8iZXCVAbMuRxOJlXF4ngrYULMGrMSxjQt784Snw/n0ef3r2xadNGNGxwOX5e/yt6PvgQGja6UqSTdETJUvC46aabcPvtt2PGjBmyeT/55JOy8XCiE0Q/8MAD4qzy75wHjDjQKeBYcZy4mZMYoPPFc40YMUKkNpQ7cJ7w/QR2L700WuYPwRznH8f38ccfl81vypQpcm72/uvcubOASL6nSBEV7TVXP/qvDc257yscI2BOXDZfMe0bQdmNN94oa5nRHAIEGnjOaTZupQ3j8cUXX8i8J/HENUTGuFWrVsIK8/cLL7wQhw4dws033yzrh7aU5+TcPdtkkcc+9TC44bLaGyVP7dq3xzXX3IBbmjfHo/0HCMM7cEBfVc5bfzAUltTcsS+9iIlTpmLB/EUoVaas2ARusLQZrVu3FjBNqerIkcOjAIH/oVTyjMrBKOBl4MnzIl4kqUGk7dmN73/4ViI4jw9+Am1at8edd7RDiRKlMHz4SFSpWkalE4R9sNoIei1YtGQlRo8aJ05y584d0b59RyFW6TQ1btxYZL+ffPIJZs+eKXdKgo32l6CZz4gRgcJ7qAIMGvTrKpG0Gdu37kCHDh3QqUtn9B80CNdfdwPcPq9EiqiWKVGymKzvgb0fxp6dO/DpF19g2ZIlGPT4EDzxxBN4a+lyVKtWTYhyjmd8QpLsaSNHjUaJ4kVkyNjkN56scUEeZv2jpGSo9q+xB9sXBbx50vCeghwCtl59+uDXDTswbsJk8Xe2/LEJSxctQZFiqfDm5sjcIRDjPt67bz/pv1auXCXcfkcrPPhwH2RnZ6FKhYpgnQHu8XTYJ0yYIOBCk/0FOTT/yXcb488I25Gsw8jMPIxbb7sFd97RFsOHj0D/vkPx3nvvY+WK1biwekWjGi+vLIDfN/yO4sXKYMqU18SnJllIf5tKJ/qAJNXpZ3H8Ge2tUaO6lP/nutXSyP/kHv/sS4z7nz5tmgCyA4cOyZqZv3ABatasKYoKrcbjfdW8+GKsXLFSzshEoazMTOQezZK9l8TArS1bia949z09hZCi4qV58+ZYvuJtCbhMmDxFsMqtzW9CVk4EzngLlr51AA92GSOAreG1VDYqwIaIBw6b6gOHgoiwUb4zdepUkewQCOlqZro4xYoVK4RRa9OmDS699FKMHDkSzZo1E4TKTYCsBweFLDMdEk4Ghhk//fRTYeH4PuYg6IOMCScQB5DRO353jx495PwEervT9mD8uIm4onEjJBsSgW++XotOnTtI1SF+J6+JA9y6XXtZzBs2bEGTpk3F8DWoezGeGTYAXTt3wkXVa6NT57vxxNBncf6FF6LGxTUxeeokDBkyCOUqlEXvvn1QumxZNG1yA/akHUL3bj1x+WWXII72RzJllWzJrDXWDA8jgnzwlIhQLjVx4kQBTyNfHIWbb2uJ0mXLY9XKlWjU6AoMf/5ZPPxIb3z8wRoMemwAPnr/A+zctR0vjRiOosWKoMWtt+GqqxrjpmbN8OyIsYgkl8Gajz9D2WI2BNw+pMTbsOnXHzB//lyULFMWy99+F0dzcjBl6hv49ddf0feRPujSqQPq1KiBcRMmon6TazDs6ecw8dVXsWjRAgzo1x+HDh/EyOefw3MvPIsBj/aDK55J5hEEfB75/t27d+KeHj2wc3ca5i9+CwsXLcG+ffuEjSEQ5ziQjaCTyv8zGkowx42HTAYBPyOMjCgQTDPMTmaHDtptt90m84LAisCLf+fYbd++XQgAzkECYS7O9evXo0+fvhK2Jnjj86WzxvOSDaLD3KRJE5mvdKA5/qwmp0tK62pyBW50zl3AGTsCsVVc9YXq9h2cy3QsGF2grIJOAx0r2j8efB8ZORIRBGdkNWkjSTiRwOImwIM2je8lucW5q3N5zZUl9XefPZG2fEkkdeckbL7//mdxaA8cTpeIQqNGjSS3It6pIFvQ58cfWzfj/nvvwfnVL8Lr06YjJ88thA7HnflrdN5oM7hvcLNlXkb+c1OFR9Szyf//GTsB/+ULC/iCcIgkNRvxCXH46afv0bFjZ9zVph26dbsbXbvci2AggjffnIUaNavC5/NKX9L4BDt27dqNli3bokrVC4SEZEnwp556RghbEmiMqnHPue6663DrrbdGWy3opry8tbNBEsmIEalYFrAAACAASURBVMGaWr+q99/GX3+X+7+5+S146JFH0Ldvf/y+aSM++/IrVKpUXnKwOK87tr4DRzMzZL6S+O529z1iE7Jz8kTeRyKH62LNBx/JvG7fqQPcbp9IIul1FDBcO7YV0gkAGyWjSoXMXkgBRIJeWOKcWLlsBR4b+jwqVDlPQGu37l3w+KDByMvLRmJigqS0kLyiTa1/+RVSPTYxMRWz58zB9z/9jJdfHiNVZu+6q7X4CzxIDHPMqLih7T4bCjf9qQlgSmCAIIHEAXA0OxM333Ijqla5AOPGjUe3Lvfj++9/EMDWqPGl0qIj88ghlCpVFNk52Vi2dJWQMUxpYrDlnXfewfTp0yXgQtvJPYsKOvrb2rfV9pPgTaeY/Mtm6oSnpySW1/X9999LutEv69djzZo1mDx1imAUKrM4Jy67vIHcG3PYlixZIufz5OWgRLHiQg7Qb+V6S0otInvvy+NeEcDGfZppWC1a3i5qLfZvpp8pKQpWC3xBYNnS/Xio28sC2K64hilUZwBgIzh74YUXZPHQAa5fv75ctO45xkVCZ5pAhFpiskN01DmIdMQZbqXjQqND5o2vMWpGUEdjT4ediF5Xl+RE4YShBJL5cpTH0XkncONGTkbvcEY6li19G4kpifC5PVId50DaPjzw4H3YsnEDrrnmGgGMnIx16tVHekYGfvnld7y/Zg1GjRmLO1regnGjn0P/vo9KtZyGjZtgMCNOVzTCBRdVx/Q338CVV16Bxx4fhKFPDkN6xhFcf90tSClSHP36PobSpRNFhkhbRBno22+/jdWrV0sonsCBoVUaEkaUKPuk7pUTg7lsZN82bNyM9z/5AilFEtG96z3YuOl3PPH4EAx5fDBub3EbRo9+CZs3bETbdm3QsV1b2KwWjB/7Mr786nNUueBCPPxwP3zwzQYsXrYC1StRBgk4Qh54PEfx3bq1yMg6gumz5uLd9z7Gmg/WgNV/Hrj3Psx5cwZatGyB1ne2RnYAeHbkSPR7tC/OO78qZrw+FVs2b0Xb1neiRctbMfKFEUpTnhAPNrO84drrULJUcSxcuAh5ebkoX/UCPPvcC3LPBE6UH3GCE4QzlM4wM0EYN2waUbIdnPCcC3RcGVFt2LChRCUYTSO7SIBNSRPHkwcTiTdt2iRziZFaGhDOGQKz3bvTJPLLfCHKdBlho6SH48vnX758eXGSOXdoiCpWLC/V43QZ8IIyNOe+t3CPgJY7k5Wk1JHzjBEdEgu0V5xvOm9TOw5kMbt27Sp2lEoBbopff/21sMG0EYsWLZI5y3w42hO+h2tDFcxQUXx+rwZshT+fLb9K5L59+9G7Tx+EQhZcVKMGPv3iS7EHjzzSS+5byh6x1ySsmDNnJp4cOgTTps/A9dffKAZ47979Ynu5SdNWUPlBG0CpJF8jUVi6tJLNm3uDFe5ZeBqunkRw0A+PNxcJyYk4kn5IAMPatd+hZIky2LZ1j0iqPvv0C6QWT0Qo4Bfn0OqI4J13VuGxx57BM88Ox5133i5EGKsdc/9nlINrgdFl2nMSeJT40maXKVNKmHo6e4UdsHEtUhJJzlbltxrtEMIWPD1sGObMmyt5M6tXv4esnGx8uXYdatasjqN5ZN8tuLdLJ2QePiSpJSSy72hzl0SV7mrbXvY4Tdx89PGn4st88vkX4hOR1KlUqUIBl/XPr7difpCxETaOj0OKo6husBGvBxanA1MnT8WCJe/guhtvwdovv5DUj5HPD0fVapUVuAuFRKHFsRnw2GCUr1ABAwYMRvcePXB3z/vwww/f4eDefULI0I6S3OHapy/KQAD9hNjCb6dhxZxRp6AiVYq5GJLInNwsTH1tsqQKVa1aDVmZXuzevQdvr3wXV15VTwEVrwfx8Qrqb9q0DaNHjxVJPkkvEo307wl0uScxuMD1S3UIx5UEJQMLR4/mQKeeFOSAiCSSVVe4P4bDGDV6tCi0Vr/3rtwL/UUGE7p27yaYoXLVqhL4iXPGRatEfvbRhxJQkOqRySmS4tCt+90ip6efSjt2ad36MhaX1r9MlIXLly/H/Q/2w5VNG2PF8v14uPu4KGCLYIcqhgov7FafGp7/KsJGR5hSNrJBH330URRs0EnhQWaIDjr16TT0lCHS+aYDQ9aZaJYyHzKfNNocGA4ggQsBDH+nI00nhQadwJD/8ns5URiV4+f5/XTE+XeCPMqJ2L2cyZVly5eWshcs2xlnd2Lduq+wctlS2bR/++03cZLatGuP16ZNw/79h8UheHv1u7jhmisxqN+DGDJoAHx+C1q2uAPDR46Vh0MZHq1hhQpl0OzmG7Hu23WY8eYsbNm6Gxt+34wWLe/Ck08MRZniiYh32QWYkWGnJIoPlMwQf/TBsSPjRhDL18n+/rF1O7789kcpS/3YwAECTO7u3hUPPHA/Hri3J555Zhh2btuO2++4De1at0FW1hHMmfWmGKdKFcrjoX5D8OmPf2DugrdwXqUiSGKT9pAPM16fjPlzZuPS+vWwYcsf+OXXDXhr6QrsS9uPxwYNwORXX8F1Ta5Gm/YdkJ7nx9QZM9Hytlsl+rdowTz89tt6tL2zNbp264hnnnwaWVmHkRyfIA3CW9/RSkDza1MmY9uOneh8932ofcmlYhz5nAjYKBOj3IPnYx4KI20E8nRM6chyjPgMGT0loOP7CNAZWeMGyHnBaBo3d0rC+F5+noCekQoyHSQAxo0bh4yMI1i6dKkMMwEbDTSfN0ExnV+OOceVkbZrrmkqjgKNEY08ixCYS9cWpOE5991n/gjERrs4VynTZUSBjhUjvtzYGMllVCE2OkfigEwlHTHKhXWuLoEb7SBtJytU8XyUclAqyXPRQdNM8Ymq/J35o3e8K1SA7WhmOtZ++504Ys8+Oxw977sXzVvcLtKbDz94D34mCrAHm9MGSyiC3n0exkdr3seajz5G6VJl4WCPTbVfix0h6UObQqk0Izy0F5Tycz9h3ioja04mnBdutHBaHjmLvtCJthnFqugkc9w++eQLqTw94dXXUKlSZcyfN18S7KUAVooTfm8Ohg4bhqVL38PyFe+IMkblIVvlOXBshwwZKvab8kjK37lGuDfQcVIl2lksrcBjRP9gHFUhK3MutC/PK75KQlIqfvjmG6xa/Y44iYxQphQtgklTX0OZMiWNJkFA1w7tkLZrp/hWjLh36NxFCOk2d7WL2g8qjZjvznQS5rjRHtA/6d37YSRITlgBHrr8tGkt/a8kksVG2CM2AIuRK5m29Q/c2bY9LqxZHzPnzMPkiZMxZOhgvPv2O7jyqkYyJhUqV8ZjAwbI/r7yHUr6qqNhw6tQ/7LLMPTJp1CubCkhckgCMzpJkoC5WFTs0M9g0aLYYncFOFL/yld7PSHExdlUYbyAG06HDTl5R/HK+Em48MLqmDdnqVSLZIStXPkyCAZ9SEyKw/Ydm8VXKlWyPNau/UbUbRwvFhzh68xrnTBhksw5zjc+A/p4LIxD5Vq5cmX+lfs55ZOqfheqVGYkIko94olPP/9M7oOBIQaVLryougSFUosWFb+xZYuWyMk+gnhnHN5843UBdvzcVddciysuvxzFS5QS7EIQJ4quWXMES5SrWEkidXyteMlKeGXiq1i5Yh963/2KALbLrw5DAzarxQebRfVv/s8Amx5AGiFK+8jsmIuO8OI5MJSjkAkhaGMuBxcMI2R0lDkJGKbkQuJGSmeaB51wRlsI8PgZOtf6oJGnY0/pGx1+fj+ddErbGLlhdOa7H77H5599LYaQihn2ojiacQSLlyxEckK8JB2Speam0bFLV7w0ahRq1aqDDh07YsiwJ1EkKQ4L5kxDh7tao1z5auh57wN48KG+6HnfA/Kg5y2ej2uvbYKgJSQRsspVqiEQsuGpJ59F2XJVsXL5YrhsESk+wusjICHQJPPNXCudw8LX6MwRZDLqRukgjcyYseMwcOhTuKD6RXhq2BMyjq9NmYQHH3wA+/ekYcHCOfj0w48xcFBfzJo+AxUqlEfH9m2FPbq6yVVo1bYr8mzF8PlX61C2OCDCxYAH993TFe+8vRyz587FosVL8dlX6zBg4GAc3H8Ic2bPxGuTJqLpFY3RtkNH5MKON2bPRd8+zE3bhDGjXsS+fXtxb/ceuP+BezBu9FjY2S+AjlVGOu68vaXc59DHB8PrD+DBPv0x7fXpAlgJ0HltjJoxvEwjwOfNZ09gRoaGziqZb+b8MFTN91Mey/LmfC/nCJ0rVtwjo8E5x6gs/0YdNcEb38voGxfYK69MEEaI84VzgudmdJPSWQI/fi+jfYy8UafMcP4ZU+HolK3TuQ8U5AgcD7BxDpMQ4NwjG0wnlDaRDgR/mKtGJQFJL64Dkk7PPPOMRHz4Gg/aBto62gYyegR9dIA5z2fPnh3dNPjesxGwBX0e/Lz+N9x9zz24+ebbcGfr1uj1SG8hhkiCcf0mxbtwzbVNgWAY7drfhVLFi2H6zFlwuRJVo2fDYVy6dLnI4GlrCXYZ3SfBxbXPiB2r4xJQqKin9RxoY386Tx6cCdw9gti6ebMAhkOHMtGpY1e8+spUNGnSFA/c3wvvvf8OQmEfOndrh+yj6ejctSs8HguWvLVCqhrzYC8nEhEEIHTySE5SeUM5PMENiQjOfy2rKtyYWaEVlqFn0RHmWLHoCKvVZWfliN/idMXh2uuvl1zri2rVxJhx4/H2qlX4cu3XeOapYZgy/mWsWrFciJyNG5VkkhVir7yqqfgRjMrTV+je4x7J5WdDeRI8HOOXXhqJRKOBcYHZxZMEbMxhCwe8sErvwxDS0/agc/e7cSQniJGjx2PJwgX4+JMPsWb1eziSlYF3Vq4QKSjJA/pid7XvgLLlyuHpp5/Hs889h57395R1/9N3zFWfJH4mfRBGR0gMkDCmbxlbuKnAxunf+mJpbB+GzR4WSWTmkcMYNfpFfPvNj3j++RfwzFMvokyZshg75hVRcH3++Sdoc9ftWPPBO+JDsegIs7kY1eUcJOnNHNOtW7eLP0fym++jtJCqOio/uH6ZC3wmKJUCHq/0NdQ9W4Y8/rjk3H3z3bcC1qm6INDK87iFEPH6/eJDMpCwZNECtLqthchxWVOB86xxk6ZC+DW9+lopYkPFH9fbo337C9mUfiRLomvEN+++/zkWvfUW3l65F4/eO0EAW4OmoShgs1n9sMLz3wM2c080gjWCK6JVLgwm9nFzZHSEVfponBl1o3PDqBsHgg48B4kODJ19GiJuprzpt99eIYaNBv3FF0dJYQgadTomlMDRSWe4lufjIBMQUlJBh5wa0klTVOlmh51iGWDf3r2Y8Op4/PrTzzK5CIIefPghGWxWWtq0ZTPKV6ws11GxfGk8PqA3pr82FVnZXgx/4UXMX7BEgOfGLX/gjta3o2PHtmh6dRP0HThQkqdTUovD5w3i4d4D0LZ1C8lh46bD6+N9HdsnIxzNS6E0hOCRkUU6dwyzjn9lAj77ai0iFhsa1K8rBuqSiy/C6nfX4I3XpmLH9q3i1LW9qzUefbQPDh84gGefeVrAcYLLiQDiYEksLbLHEqlOkCS1RXx4Y9okGYOqTFq2WLFj5x68NvV1sDri0CGDMWzIUJFEduvcFZ6wFaNfmYDDB/cLc5KZkS7fuWv7Ngwc0E/CwoxChXxeiaQOe2Ko6IXPr1YFGzf/gauuuQ4DBw0W54r3xvnBCV6nTh2Z+KwQys8RmHFDIugmS0Pmgg4ujQHnEd/H32lg+Z0MZ3OecU5x4RC4U9rKxFEyPozwUjY5ePAQiXKQ/aGxplEhAUAwx6gFGXe+xrFt2vQqAWsq51Ix7cdr5vpv2dZz5y1sI0DP3iJ2hkcsYKMD+tGHa8RGZWRmoU7dS/HksKdRu/bFmDNnLp5/7hmpDlmv3qXwuN1Yu3Yt+vcbiCFPDJVKZ9KOIhwUx5YbC5k/bgacu/wu5nkSEHKtcM5rwKavo/BUQWMkjWW/tXeXPw90o1NGu3n/S5etkDXPAiKPPzEUNS6sgXvvvVuA8MgRL6BIarKAsJub3SCFCBISVWEXr1c1gqUzwf2GwJhEIWVmdOSobGCui5ms0Y1iC9usPK3Xy4a6WZlILpKCCCsH260YMXwkVq9+V3qcNm7cFAMHDMKF1auhV69HsGfXH5jx5utILRKPjp27omrVGhj8+DApQqBlUqwazD2dJBn3BD4H2mjux/QH7ruPTqLKIXQZ+YSn9Z7+w5Oxf93/5EoZlSKnTJwoKSQRi0X8mpEvjUKlypXxwsgR+OyLzzFl0kSUKloEfXs/Insj90EWPaCyxGpzyDogaUlF0kujxsj6WLx0meyRVKA8MXRwfjGe//Cej/kqo/l6rCTSSGcD1zcjuErRHUHY5xUJqTPehTXvvodRL09C5pEc8fnuuL2lylmbqkqs9+nzCJpe2RRzF8wXEoE9a5nr+8CDD0X7WC5ZvBgrVy4X/4A5WJS7cRxJ+BL46hSbghqef/t7s46wiFqSOKEs65+YkIB58+dJW479Bw6hXp0r0LMnq+82wuuvz8SEiePxxhtTUbFSecnP2rF9DyIRixBaLNzEKq70E6kGIXlIH4xRS8r1qVSgRH/s2NHIzmaqjyJpCvSQ8hGsQBqQVldTp0wR8Pnhxx+J/eHBveNoTjZuuOEG1G/QABMnTMRnn3+BIYMHYWC/vmh0eQNRezHI4PEHpCjiE8OekkAC75mBJQYluBezqjsjkfSRi5WoiMmvTcOqt08BsO3euzViszngiktE2k4vFs76GW3uulUaZ1ttp6cPmzKuvmjpem6MjHzwhzdFuaNeGDTKlPbQmWCUiUCMQIaOMyM4/CxlP/yh05x1NBNpaSwlH0DlSlVRvLjKM2AVKf59374DYrBYap4h77JlS8uCX7/+V1jtNlSvWRt2abboQyQYQXycSzVg3bZdNgiCAzLcDGHu2ZuG9MwM2OPsonv1eb24oGoV7N2TBo5h1Sqq/QCZbbfXJ2FfXidlHplZR2XTIRipVLEKKleuIlHYk2UIGQHi9TDqRqDBg2Pyy6+/ycNnfhcTtSnV40aWtmeXlFeltJRSQC4OJjbzPGSPeMS5EuANQMa5TKniYhR5PTnZWdizZ5eEsxkVZGSrXLkK4vgxz6Zs6TISHt+0cYvIMStUrCgGk8+NZfT5vngCwkBAQJI8D79XNhCOLf/VLN9FNWpFI4m8LlaE1E0X9YIhyOK9ch4wgsYx4Pzg+Qnw+C/vnWPN+cFzcD7x2VEWRWeVkhpel45aEqDxeZB95/3zu+isMQLLvBVuogRwdNb4/Bmx0D3c+H38/rM+IblALWnh+PLYImfqqjWwUICNFbiEjLEZoMmIJIRDAcTH2fHH5s3YfzgTFatWQ5myFcSGMKq+b/dOnFe1IooVK4JIICBz8seffkWZChVRrmJFYYi50by1ZJHMYZJK/BwdM65TEhgEH2fyocfvf+2gGkPpHUlWXZzYYwFbKBSGPxCSRsFqjwnIfdMO0R7Url0LeblusWVcq5UrVZB9aMfWP2QtV691sTgb7KvJyNm3334vewyJQI4nwRpZdo4hCT4SfWaSxsgbP5OH97RcGwG+LgxmPqFIdi1W6esZikQQ52K1SLZDSUfa3v3CoBM40yEMBcPYtGkDbNYwLrjgfPg8edi5Zzfi44sKMagPjumOHTslj5POXd26deS5kLiQ8vS9eskezsIjSUmJmgs5LfdZECcJhIJRp5CtdjimXP+sEsc9hkCM+z73JekB6LBLBJ17ZPXqF4A2JCHOJVFgAo3LGjaS81G6r1VFVJjUrVcPu3btwcuvvCq+DIFwiRLFzqwqkfoBaLQmRkGt+VCQkVf21HWpd0mhNgt2794n651yWl2Gnf4X/QvmmxdJKSpjxv2f/gxJLPoG9BNcrgRxtDnPmFe1c+duIdvpF5AYoKS8oIti/NM5yXlCv0cfsTL7oD8Au9MmwNjtYYoHFQdWbN6yGWn7DqBS+Uo47zwWCwog/fBBKRhXv96l4meSSN+0eZtUbr3yyiujlR8PHDgk0Sj6ajfd1AxpafsEwPE5EdSRfKCveSZE2Njbj21hbE41r4gLOEYXXHhRNH+RwZ9AMCx+vc3pkOsnrsjKSEflimWREOeUtUoVnS8YEoKfVVk1ScqcXH6eZMHR3DwBrwzA9LjnYVzZtD7mzd0jEbYe3dvh0kZeibA5bHaEgrn/WyXyYPoeaZztsLuwZ4cHi2b/gtZtbkGt+iwhlAW7hbKb/ObGsRPorwAHFwYvXF+8bMJsSG1hc2pVuSu2qSv/zr/xPbofEd/HyccNVzUvtQkIc7kc0owzEAgjmY2ejbpHBGxsEk2piwZvgqSDQYTCfhlgu90BP8KwwBYFTg7j8yxXzOvid1lZokip+uS7mPPAcwVCIbhscdKgWp1P6enlO0LUBseJw09jYr5+Gla+N3YxHW9x6gIBnEQEOhxHDRx0ywTdlFd/v/k85vET8xcOC4jh2MY2n9bPQVfz4e9c7OZzmMvd8vr5Xn09fD+vScbMapUxyN+I8ythml+LNSYEQzyPOe+G38HnzoPvNwMlXoN+XZ/XPH9080uCPoa4eV10ankQkLGSJAEpnTKOL3MDya7z4L3EfievRUcozgG2f7qdFO7Pa7BBl0I35lB+BCNCMdEgC3NzwrBYVEhdf8YSCSIS8CPXF0JCcrKk1esy9MEg7QstbABhtwfWhHhkZWShSInSoJuXm+dDSkIcPO68qDxSz/fC0vT1rwCbapbL8YyoPAOpFKecXNgdiFjsMpasgizR74DqW8fIi16fHHc6tnZGGfVzEbSl9jWCPpJ7/BqCjVKlSsjpNQtsrmZmzltlhNMhOTVn7xHr4HHvoA2N2m0TY8FnwGAyc5D4THJzfVJBMs6p1CuBoE81QJYZHobfF0Bunh9FixWTATQ7cAcPHpYiL7rAC58N9yHunebG5X/lf5zpT0YPH30U5RMpma2+L+5lJDI5J0m4SoGEKJGRP589ubniUzjiE4xbtop/wXPyX5KzHLdDGVnyd5b2PyOqRMaQMLHPi6S4EAGmg+CC9s0Zpxow8/44JzXpL4VcDB+S85fjogvcmdsl6VMyuk7CRh8EGBUqqOjK2XRwzHhoZUU4HJQ+YrI4jcbt/EX83AD3KgscRmNfbeUCXh+cLocUkLM644RIY3sIXUlX983TlVz1+uVzUn2Nk84gZZLKgWbRJIvhu3McSBKGI0rtxrkl68rpFFsEmzVKEkVCEVgi7EOpRsedkyOAjfaM9op+Ij8re7EBmnOMCq1ujx9Ol1P2+1MCbBs2/xwhyxjnTMChfWGsXLwZHTq2QO0GfIinJ8KmHXe9gcYydtrRlyRiaaWuDnOJ++MtHE44q1UZ//xOO2px0uTpvIR86YoCKwR5PALhICKyaduj0gC1tRh7isHs8MExFZA/dptVBlm9hV5CRNCwNhKc5GbgdKKy3vL5SEQWxZ8dulLc8d5j7vHE//N8qtJUfkW4vzr/XxkknfOin535emgU+XcNrvW9mr/zeFLP2O880XM2S2nNnznRuAkzyadpLD4uFN2M3Hzd+jrJ+JDBZA4Q8xTJnFAqcvy5FjYcbrWQ/+m4/tW4n/v7mT8CJwXYop1frUaFRhVWp1Mr+2SEc5YloRwIGD2IRCXEiq0iUeamQlJCeXEBbwCO+CQBbHKEIggGFInF+c5NUeddFAbQdlKATRM/GrCJTIqehw2hiB1BA8tJfzSxRxZxeLnZcv3zh9JRtYFGO7IhEAjCZnciN88jORXmw1wJUu8fOr+K5ef1UdgBw1+tMrVf5t/v/5CMQZ2wD/iDQVgtdjCQHCtelfgoy7PLXOe3cl5zTjvFQeTBAlCcu3x+mmSN7XlHuRXtLx1sOtpUchTmQ9otyY/yBQzfLxppIzDW+zyfBYtC6PcSvDHVwEZn0LAzYZ5QloYjWmWWvzOKTPm++bnk5OahSFJB97H7X5mz+XmaAZsGrCTISaampKaaqDIS88cqX2LbRvG8mviln6nHlXOMY6vXtV7vsUCusM6zE0XIKcelpZQIkxG5pAsVDIXgiJEa5+XkiY3UhKQvLxdxiUkIByOiVJMVHVY2VwUClP+tgYu5sM6RI0clGlfw40sykIsvBL/Pp0gou8IGvDauR/qKnCuMOkphKs4hfyhKQoWDflgj4WMAHz8v6QrGmhZ1ggHY9h1MR5nSihAkjuDedUqA7dsfvhTARklkxkEL3luxA126tlIRttMI2PSDNIOZP4swmSeZhCQNdoCDmA+KGMbNEUNkszpFehQJqw1aO9RcfPxdhdN1RSQFufK8bjhdCYjAJgwsPxNnZVJ5GAEfWSm1URFxs6Kk3ekQdK2KyypDYw1bYBfQpxY9D73BacARe/18D8fhZJx+DXY1SJBrM4CIjtKZy3bz3Bo86iifBl16AsUCKu3UmA0Sv0MzBObIoXlsNfDRwM18TycCVXxd//D7zHl7sdepo3TmOaPnhf6cng88F424quCoNnE9Z2hAGBkUpsTB6m750V09XsLYGZ/Thl6erxEp1Pcaey3nomyFdRv759d9UoBNf00MgynWg2XmicykrLIDR/O8cCUqm2MGbGF/HqwOp7zPm+dFXGIK3IEI4pxWIZpyc1QOh1YxcK5zLRWGCmd/CdjCBj0WJbYi0YgbfdSQNQ4W1aRJrXnmItjtsIvTzwp8LBIUUo4wzxEKwuvxqAh+nEsYejq+3GDpzLH9iLLlqmw8pUBKaXEsMJDPWS2FXpJ3MqvgeIQax0QiN2TZCag1Ux8BPL4geQQp/a2jbopCDEueG8eNnl8wEILNHi+AWfe35COK7c/E3DZ+FyVW5p54BHUEMIX5oFRKN86W/dB0M3oP1cBCfmdkUhMRUqRERaAJYsQptOmqmWrEtcKH64zjxQgAz0MnlPxHwdfY/HPApodDfDCqlgyfjBJJFmkhIOB+bVY4xc4HHSWJzdmlfWBUVzdx5pqmb8DvMQOM0dXIuwAAIABJREFUwjy/tL9Im2j2VZQ/o7jCgNcdjcyGw1YJtvGpsLouxyLe5QCjSUwlcjnilIIkGFDgxsjRNhNc2jZSss65TRvKPYlKszijyA3X+RkB2IwcNrXpUvoYUiS/kb6gn32eWwF6jktOrgfJSfGKcCUS8Kt0L/HROSayV+UrL3jvPJ/+vMcbkDmbkBR/6oBt554tEQ6w3RaHA2lBibC1a98cNesBIcsROKyU8/19SSQZX13NjBsiL5SyBr14NPjgQlGRsfyQbXQTDigwFessy4SzkCVQIiL22dGAjZ+VEKaAIxXa5Pt5DjYHZDERSiJD/Bw7KgRVjkgCNyBxmFRIOBqmMySR/Js/oowec984MsdjWTUo0blWsdevjczJJP7zXBo88ftjixeYDcrJRO30OMcCRh2lM4Mh87nNEb0/ixzGXk+swfszoMr5oPMlzGNzomv+K2N6vAilvnbOCX4f56cGaVou+mf9VzSw1Nf5V9dw7u9n5wicFGDTIQJKLcSxcEY3xChgo9NFabUpwkbTxh9G2CIBNywC+CKAnRumHX5RBkbgsLDKrJIfm+ejea2eyaP/V4AtGkEgs+l2C0ByGDlrCIURscfBT8xrEbWKjBntPv+vyRyxHWSTuQFIzoJfVeRjnoAB2MSu+5W0h44t7YI5kmYeQzog3NS5r5ztETa933DuavUL7aYmA5nDRq+ZEiIBzkp0Ig9CwJc3IA5fSGSn5PPDCAUDsImUlD8OuGMa6GpHjtG0Ez0D/Z7CPv46rUGPM+edEA6m9IoTpU+Egowga0WQsZIM8ljJeVOiLD//SiAcF2/4N4bfUvBw9yQjbIbMUWTNXKs6ImKx/U/BNnNKhCbNOV/Nc1iTOVoAocZfRefPtsPsO3GPyCfYrbBZbWCVXVYP5YJ1u/2IN4AJg+dmu8pxYYQtQlVIKAh/iNGnBFWwJM8TnbfiGxtS8eOtYfOYF+xYK0lk7tEjSJJoLZCTk6vIT6dLxon+I/1DjyGbjY2w0Z4JaaJbA1isQp5QuaEllQwEkLjyeLxwmdQZfyvCdjhzrxTiYYSKRUfemvcb2tx1swHYMuG0MS/s7wM2s2NvXkgcnFi5hTkiog0YN0aV+6Eia/pQwIRmSMW7zJLI/PdwHBXKV7lXKvyf5842EgotyPFSTpQkd+j1eZGok1o5MY18JX5Gwr5Wi3qIITpedjhVPX6EAorh0REabmi8PrWp0ykI/Y+M7mSAlb6PWEkpX+eYxJ7DDBLNgNicP8jPHu+79Wdjx9nMUvM6ZPIZUT7NXmt2QaRHBrjURTm0sZDFfgL5p/m6zQs4X7KgmB4ex7sXXqPorQ1jzk2Qv3Phnchx1aBLs04nkl/GGpRY2WXBGpxz316QI3AygI0FGVh9SucIUHJCZ9Wcw5ZzJBPJxUrB7Q8h18NIQjwCPuZhWWBlrgB9lBArWXlhT0gWJ1iDloAhC+PGwh/tpOkIiFnOVpBjdaLv/ivAxvy+aH6BRHJMJBqpOiOHTcbE4ZD2LGLjhEFWzqzkxYaDRgNxtYdEgkHkeX2Sv6ZzDpTNPtZhY8VCFn0hE8+DkSDzcfa5d//7pGL3i2NsZYg6VEOCb4AAncPmdhP0Kgc7VwBEggC2nOyjSJYKcQqw8RQ8p8NB1Ul+hI3AmPZbgzY6f5zPfA+LjFExczaNvwZrep8k2c3/kzzU+xgjZnQg+Tr/brVQHxSBMz4eAS/lkXESMVaS0vwea5I4Ykq2zc3zIjHRdcZH2KKRQ+W4qN6Txn2pKFt+5Fv7ARrs0g8w57bFguP8vT8fNPI9uuQ8zxMbWT8TbejJXJPeDzge+fPClMNFBYfMEStC9LeFBFR+JudZ8SLJKiDCKK2fxUkI1KwI+IKw2pkvzMikirprv5dmQecBmyNwBHc8b6wM/WTu4/S+R0kive5cuIwWOb6oss4q+ESTJ+a9Xl+D38uy+ySyTOoLIweOFUl5sHYCZd78PIuzpBRJgdcXhCvOjhw34Iw/RUkkq0Sy6Ahz2Pbu8mHJ3PW4q21zyWGzWE9PDhsdCRoYDWhYvZD9MVi1h9E2Vm9kWfbYaJN5o+AD1kCIE04tyjCCIYYjCYgoi1T5aMc7FPCwScEJn9+NkiVKYvPWLfhj+x40aNgIJVJSJRzKUK8wiZFQ1EgKM2skY/Lc+aU01Ksnw7PS4JoB6clK6XQkThtx/S/HRkcnT3QujpnOITN/jveggZmelFoqqMdOfzYWIP3TBaOBpjmaqiU3sUVT9LWbwak5f4yvn8w4aqLADLZix5HjQGdXy3QJ8LWzewxTb0SATyYy+k/H6tznz+wROBnApu/A7fbg9w0bpD8VAUL1mrVQLDVJctjeXrYUFmcCmOHjSkxBw8aNkBSnrEogNweuRCfWf/c9NmzaCGd8kkgnb25xh9jOTb/9Cr/PI5VjWSWV1VRZ5YzV+f4sSnymjOxfAbZj2EvpE+mXdi1s1eL2eFG+ygW45NJL5HYOHExHxqGDUhU4IT5Oqr9pgsnAFHBnH5WcVe5BbFlSrHhJXNXkajkfm2Szom6jRg0FFPz22wbZtC+7rN5xh4sAItHEmJ4pY3o6r8OcB2nej2mbWb1w8+8bZB8qU64CLr6kljDWe/cfwvrfN4izUrNWDdSqWd0QCLHAly7IE8aXX36NXbv3C5tNuSN7YbHyHJ8Dq/ZecsnFcisbNqjq0PQTihcvesztFX7AFsbhQ4ek8iPBWLVq1aTVESy26F4kc3P971J9jtVLVQqEUvZ8/9030kKHlbZZnCQQjkhTbBYZYTlxPie2RypWvDj27t2PA4fTo9UPyX2c6RE2PuyM9HSp/MziYNyTmWdO+ac7Lw8//fyrkX+WIGPH6rBmH4Z7N6v7sXos/8/Kj3wf9/l169YJEcNK5aw8yv+z5RHH60SR3dO5tv6Lc+mAiQZs5hoRBw/ux9ZNm5GXl4OUosVQr359OJ0uHE7PxI+//CrzUTd+vqpRQyGrLKJxlmgGtmz5A39s2QaLzY7rr79eCBSqFFi5m75948aNkZqajD179oq/z1YJ5qqbBR9pU4CVOCInK0v2hRy3KppXvkIlqWnAg6+z6i330wtr1ESpkqpIkspBV2XCMg4dkn03I+uotIiqf9nl4puysB33owur10C1alXg8Yfw2Wef4bLLLkNq0ZRTl0Tu2bctWtafVSL/jbL+5igHjQibmbIxJpE7J0S7du2kpwP7pHFREeBpJiA2CqejVRywQICJgjQ5+RG2SMQmuUyMgJEd4aRgIi4ZgOzsLOm14YyzSZPZL778Cu9+8Ck6du6Gxg3UphwyZDHmcrIinzGqiVkJCg0rR3xnl0IkatswJ7Tydy2544PWkk8zyDhV2ZIwxUblxtjFrsPcOrLFv59sFE9Hm8wgygxIdP4h7+F40U79XZoh1J81M1onMk6x1xg7hseTXuqInCwaE4t+PCmlPFPmsBjVtfR1aGAWG1nTmv8/K/YiS9wAw6cb0P4XRvzcd5yeEThZwJZ5+DBWvfse5sydi02btuLSunVxd8/70OLWm/D7j99jwID+2J+ehdTipVD/8kZ46JGHUa1iGegqkZ6cTDwx+HHpDVOmfCXEJxfBw30HCrHUv88joDSKvSzZMJ492eh0sOk7nZMz/TgZwMYKeBJZsduxe/s2seFsApyekYna9a7Ac8NHoFrVSli0eKk00GV55eoXno+HHnoIt99+u5HHoyJjX3zysfRgZLGhqudfgNqXXIouXbtLb0i2Q2A/SPb8vOiii6SHEFt6sCEqHQ9lS1QlXB1pK/yA4c9niLbPtHe0jTovku0P2OB92eIlAn6bXH2t9AcsUbwUJk+dgreWLRcbWbpMKYwY8QJqVr8IsAThoirFAmzdvBG9H+2HtL2HkJiUgosvvlh6aNE/GDFihDje7E/YrNn1GD58pMx1znE60pRDauVNYe/DdiQzHYsXL5b+oiyC1axZM+m3ekXDxlGCm+05Zs2eK/OyU6cO8sBIFnDveXX8GCx/a4k4k3v37kWuxyv9w4qXKCV9TNnuh33srrn2esybNw979u2XPq50OklQu0xFeArGVvy5JJJRNPZFXbJkiTj9bNXD0vBsc8A1+/wLI8Qhrl69urR8IFhV4+OWMSFQe+GFF6RNBNf2nXfeiS5dukhLKY7r4cMZ0uOVDZ9Zip5+KftkVa1aOSqRLphxOT3faiZczL4OAfBPP/2Al0eNRkbGYVQ573z07tMHzZrdgjUffICJU6YKMUYigMTXgL6PomSp4rCIhBzYvWM7hgx7Ert3peHg4XT07t0bLVq0EIDCtkgkGTi+Xbp0wrRpb8h4s1UCz6ejlrr4yOm5079zljDc2TlISE7EW4sW4ZVXXpGy+4xgs/E8K4hznLhffL32GyFF773/AZkr9IUTXQ4E/V5EggFpO8KfbTt3CQHQrfvd0pKMfaVZwv/ue3pKL88ffv4F8+fPl0rkl9arKymAp1R0hIDNHGFbPOfX0xph044vjTcXD43wypUrpQM6N0MaqTVr1ggjzI2Yh45u8CGTReZi1A43z8FeYjTwbMhssYSxJ20XHA6XMH6I2KX3F0uzkm0mG8WQJEsEf/31lwLUml59JYYNG4bklFTsPZCFC6rXxNGMdMS5nPC782QC16xRHQlGmJTX9OOPPyM5pQhSUorgaF4eqlatKNWlXUbj678zXc595twInBuBwjsCJwXYjLzcoU8MQ+aRIxgwYDAe7NVLcgbeWbkMyxfNx9ixY3D3/Q+hxR1t4EpMllxuUkSUZyQ6bMjJOow7W7ZClWpVMe7VSXAmJGP3/sPigG1c/wvOq1YlurE8/fTTwgzSCSFRockKc9Eijnis9LmgnsJfAba8o1lITEmJXt7WTRsxatQo3HrrrfD5Axg45Ck8/sQwcdQIrBrUqyt7y6iXRgoJyL5L3EN8XrcULHhr4QJxLkgaXn3d9RKJ2LBxszi37CX0xx9/yP7BJql0fLlp169fNwrWSPxJjlxM+fWCGr9/+3u1ykETY3o/p/NMYNWgbj2JeDS95jo8+/xzaNXyDjz97DOoU7eeONc97u4ujcuffepJVaqLeVd2G7787BPc90AvDH3iGVx3fTPpj0kfoWPHjnI+On516tSR58CmxnS0r7mmqdyu7oVX+NsqhHFwb5o4uCQkWrVqhdZt28m/o0aPFpKYoKRd+47Yvm0b5s6bJ3/XGIuSLIdNtbIggKaDzIx+ApRXJ0ySHqya4KbD+Nhjj6Fdx064846WSM/IktL+Z3qEjYCNvhr9OBL7JKXoK5JM4Tpn7uSgQYMwZcoUiTCySTMrPmsFDZ1l9lIkSGVEjc4y30tii++vVau2RFA4ZmyYzKbHdKbPiKbO/8Li1kCWEbBXXhkHOyxo1aoFOnfrLr36Zs6cjbdXrUa3u+/B9OnThUAg0EuKd8Ef8CLe6YLf78GE8eMwY9ZsvPrKRHz59Vq8/vrrsk7Zb42AhwVG6H/z2XD8aQv4/FjghZJIFnf6iwLp/8Ldx55SRdjysrPk+TOC26dffwH302fMlL683377rfw8PuQJzJkzB7vS9mLMmDGCP1wOG6yWML5ft1baQd13332oU68+li9fjhtvukVA64oVK9C8eXN8/MlnAvzmzF8g4zJ27CjkeVTNluXL9uGRHuPRqeMdaHgtlY27JFfQAi8sESXFRzgZiDhg+bcBmxmAsbkjHxrZ3xdffDE6ejQ0HAx2oydYYzNDGnBdkp3MCeUSZFU5AN98841sqgMG9MOldWtj+PDnsWzZSjFQl9SuJ+zL8uUrJTTLCB4nXbt2d2HJkkWy2Sclx6N///6IT0jE2m/Xo0/fgfjg3dV47/13UKdWTaSl7ZbqU3R6uIm/8cYbeHPmbJQoWRouVyK27tyFhx/qjS5d2pyw6Mh/MNvOfcW5ETg3AgU4AicD2JjDJuDI7pDckk8//RKP9u2L21rdjsGD+mHSy2Mw9Imn8PCjj+KCGhej2c23onTZMrBFABYmdB/JxLatG9Gy+a245NI6uLzRVWjVui1q1amD/gMGw5ubHS0Ffsstt2DVqlXCQJPkMvce1MNkjk6fCaDtrwCb7puWZcjn4xLiEfb7JdozZ+48TJg6HS+OHiMRGJJxPbp2EelcsaKp4uyTFOSRdSRDGPd5s2dFGfXLGzXG7Xe0FvkZo3GUspAMJPgjMUhwQoZUgQSVfG7Ocfv/0jib9081jFZ36NQGyhdTE5PEAX5lwiSMfOlF3HLzrfD4vEhOTcT06bMxe84s3H9/T1zTpCnKlSulJJGI4LXJE/HEk0+j6dU34NrrbhCQQsD25JNPCgtPAMK9l2QrQTSjb+XKlYmudoI2p1G1uQBNwD/8alVtLzMjHcX+j70rgbOx/t7P3WefYexbCRFKJfqpEFkjlCW0CZF9abNkX5IlIkSkspZC2fetkGxl33dj9n3ufu//85z3fsc11Z8KM2rez6fM3Ln3ve973u9ynnOe85wCBSXKP2TIMPQbOAAvv/KKBLM//HACtm3fLk7elGlT8WzDBkI5LVK4gNQY2dMSERYWivEffigBnFFjPpRx37vPW0JLo4NO/0enN4pNBw4eItk1soPYFimQGc9sPW6sEhkXGysAgHOSjjGDMMyCcb5Xr/G0AC0GXGbOnClAjBkOJXSn+sbSfsw0Mms0depUAXa0R3h4HqHfkq7Hz9MZf+CBsmKR7Fcx/OcPRjGUsrY84JnT0lLgyLDi6tUr6Ny1G2rUrIl+/d7H53PmSBCM4JhMA9o5X54waWOlZ4Eq3OjcsQN+PXQYi7/5TjJsDKgQnLHkiEEG0vMZLOC8ZkCCPv2995aQOq6ICC0Al/2Nsz2wpqYhMCQIUZcuSVAgf+EiGDZ0qAQ8yLhg02sC+y1btwqYfadffwGlDerXESGltJQE/LRtq4y/hx9+GA9UfFD23udfaCGZ4dWrV0sA9fKVqxJk3L5jJ5o0aSJ9fwsUyg+bk4AtGt1emyiA7fGnidTOSW0dAZtBpynP31HAxu/jgOGNcmNctWoVateuLdxjgjIiUm6MI0eOlAlFoMT0KTfOgQMHyqJNBN+9e3ehZLRp00aAFzuwT//0E7z8clusWrURM2ZMRdUqT0hEYPfuPUIJ+vrrryWDN3HiBIma8PsfqlQBEydOxGez5uCr+Uswe85cfLNgLubPn4uxo0fj8pXzmD1rJgYNGiiD9Zln6qLq49XQvEUrTJo0Bb/sP4DlP6xG+fLlEBHKGEXukWuBXAv81yxwM4CNNnFYrTAHBuHCxYsYPHg4ftqxA6M/HIsWzzfBiEEDsHnzJpS8vzxWrt2AKv97Ep9Mm4piBfNqGTazEYsXfoVxH4wRCsXRE6eRZnNiyMgxEg1+sfnzKFe2jAS0WKtBGgYj6aT8Muj1R4eqGb0rAJvblSlqIU4Ua/pCQrB140YMGToMVpcOX3/7Hc6fP4+XXnoJQRYzihUrJiIjdCJ69OghdVGM7DJa3+3NzhLIYxZn8ZKlQhXr+9Y74uht3rxZbEbgS1olI+18n6aIqAk4UGmP+4sqmP+3r/3K4fWnptMp4+/ci48ePCRUNEtgMD6aNBEVK5QXSHbk2CnJakTHXMWMGdNRuyazYx5Y01MFsH02Yzo+nTkLZcs9iJOnzkgAlhFtBmNHjx4t4JlB1eXLl8vzoJOjBCH4HNizjfVsd7f9GeHXRNOOHz6Krt27ITkpRbK/Vao9IYHi7dt34v6yZTFk+AgJardo3gxpGRQ10yE02CQa12QHcazyYNaDY3jR14sFlBC4cB6sWr0WzZs3R+269cQXiwin6EvOr2FjC46AwEAcP3ZMwDwpar1790a9evXEHzxz9rxQRcnOoq/H+iDWoPFgkEGEiMxmcZ45vlg7RHolqbccZ7QjadM8LwM69PlU0+d/w36mSjz874UAhGs/18SEmFjxnw8fO45FX3+NSpUqS0Bx09ZtUoPGDCVtNvaD0QK4HFYbLIFmfDBiOGZ/8SU+nT4Te/cfEHDD9bdWrVoyfkmTpq/NPYnrcY8e3UABJ64ZFAEkWKNwSfZm2a5l2JjhZj/DgwcPCfU6PiFJsrGkORKfkHrLOtNhI0cJ+OzcuRNMUkfqwcRxY/HOu/1R/alqiIjMJ7VsA98fLEEAgl4GTtq0fVn25GMnT2HGjBkICLBIERwVjpcuiRHA1rZNM1St6RHAJir1sMFkYA/WOwjYFCWH/3JSEYlyIWH0TNX/8HVSeZgy5GbAKAf5pCxk5L+MHBGd0nhctFmUy0hoXFwMvv5mAWbNmomDB4+IYQsWKCpZuq+/XiwbLV/bv3+/pH9r1HhKztOocQOJ2E2bPhOzv/gaU6bOwIY1q7FmzQpsXLsWNnsamjV9DvXr15XJ37//QPTp+zY6dHwT06ZNx/iJUzB58lTUq1cbbJt0d28a/4ZlKfceci1w5y1wM4CNym0m9g7S6SXaTQds4qRJyF+oMIYNGYj0hDhERIRDbwnG8tXrMHnqpxg8dAga1W+AoAA99E4Hzpw+hsjwCBhMRhw+dhIvt+uA2vUbSWT5wplTSE7SNuBvvvlGoumknJNOTseGa2hWgZw/q0O98xb01Xz/YWsUX+Td44bTbtdsyH2LqplmM+Kjo/HV3HlYumItatWpKxF4sjZeadtGHLH69eqIkAWdODpipERyw0yMi/UplIXih5Wr8GaXbti8ZRuqVXsc27b9KJHhDRs2SHaD1Cs6zdxvGEC8//7SUjvEzZ2lsyywt5izO0Nxe5+aokAyuCq963xKwIpyZk/PEOrUZ7PnoNqTT+CjCZNEUTkuIVEoaKNGj0Tjxs/i/f4D4PbYYTEZ4XI6EBsdBZ3BhEKFS0h9Flk3dKpfe+0VbN68VYKtfA48R7Vq1fDTTz9JgJfBCAZKVQuGu3vv9cCakoTA0GA4UjOwfNVKzJ07D+EREULN+mDMGDRq1FQA2wstW6Ff//7o3PnNzFZrGel2RARbsHTxIgEj7du3R88+fQWQudxesR3nflxcHNZv2CSZt4XfLBbhEjqSVR575K6gRIocf0AAft61S/xEUh5Jv+Pcnv7pTMnIcnxwTDLowqy6UtJk5p32oA04l5lFI52yVatWUut75sw5SQjQOSd1jSwwZt5Ib2vWrMntnVx38Oy0oQq68GdNUE0DLPv37JZ6tMCgIHz++Veiw3H5ajTKli2DWbM+F7rg4kUL8b//Vc2U9d+7+2dMmTYdv+zei4i8kQJ4SWemf0//m+CGgQNm1xhs4fMh5ZB+9+OPV8kh2Uvt/h3WdFFZPXjgADp06owzZ87gvX4DJHHEbCHHHAMDtNmV6BgJHLAOMiTQDIctA6tXLJfxwiRSw8bPSYCpbLnyglsI3ohZOB85xqo9VV3wyL59+9C4yYt4pV1rLF1yfYbNi7OZGTaj3n5nARu/jUWhTDszqsEUKTNnzHCxsJiFsoyUMKI5d+5ccTS44fI/RoT4Lycmo0RML1LFi1kvFpAyynlvyeIYMmQQ9u//TTJpdpsbS5cuxdKl34uICbn2nIQEdRUrlpfNt/ObHTFh/ASMGPUBFixagU+mzcC6Vauw6Ot52LJhHbxwonGjhmjZsjkaNGiAHj16CXXmnXcHYMl336P32+9Ipq1ly4a5lMg7uOjkflWuBXKSBW4GsGnZtUCsXbsOFR98EEWLFsew4SMxbcZMfDZjKmo/WQ1OpwN5ChTBgm++Q5+338PnX8zBMzWrgz2B2YctKS4K8dExUsPm1ZtQvVYdPP7U0xg/7gNZf65GRclmcOTIEVGSo4gB67ZIDWL9B51s1fDevydPTrDlzVAi2X/Nwt5rHg+SEhMkQ/Z0nToC82rXaYi8+QsI3YmbKIvju3TpjGdq1xYHjgE7Og7Ss8poxOXz58RxKX7vvViwYCGGDB2OseMmSMSe4ISggE5FzZo1ZWPl/sQNl0IQdDz8Zb6ZbaMa5X/hoG1UTaTK3DIrWeOJJ5GvYEE817gJUtPThCJ18fIlFCpSFAUL5kXzFi/i4sXz+GL25yhbrhTMRoMAtn17dqNw0eIICc2L8xcuCWuGzl7btq192RGrZOiYOSbrhg4gATf9AII7iYgb2Nftbj48sCbF4cyZU1IbX7xUKbzVqw927vpZANqnM2agaNF7kCgKdofwZM2n8ckn05CvQAEUyB8Oa4YDoQFGfDT2A2EvUbikWnWtzk8DtJrcOFlKBQoWFor0jzt3CWBjfWCHDq+jUL7IbDbgjSmRRw4flud9X6lSGPT+++IYU/CGtDJmDqn6yKwZs0EMWvF1lSigrgGzto0bN5YgDDNA9EEJ2tQxdep0yQQxy8vgA8c3a5RYw5q1jUc2G+tvf70SliN4VerX69evRYkiRUW9cPzESVIjOWzYKBHFCg4LR758eTB37gLZQ2bN+BRVqlZGZHgeUYlkVnftho2w25xwuNzipzPTSZ9ZHYMHD5UfGUwjVZ/AmP43gy7M7qmgy9++qX/8QQ+cVgZUzTh3+rQEODk/SO3s1r2ngH4q1hLAU6afoPOnXT9LYPCpJ/8Hl8MFj8uGPT/vQq3adTFp4nh0790H9erWRUioFizkXsOgwezPv5DP13+2kYBY2iJvvuKYPHUSli2NQvd2k66rYVOUSD2sdx6wKbVAImwuHrwRZq44cIjMGf14/fXXhRLJCcMaDBaMM7JGYMdIKevbuGnyRslfJihjxqx582aoV78Ozp+/hOPHjkvjPxp+5crVgoT5nfz3u+8WS9Ey+c+FCucX9PvRxMmYv3A5Zs/5CmtXrsSy77/FpnVrkJAYgybPNUL79u3kul59tZ08gJdebofvvl0mkfBlS5ejStVHkT+v5S7fNP7xqM89Qa4F/pMWuBnARsNcvXxZKE2U9W/S5AXs3bdP1NwmjPsAQ/u/h6tXo/B2/0H4+rtlQnmc9ul0xEZdxaaNa9Dx5bY4cfwQRg0bjvYdO0iftjlzF6BH33fF8SiUL0LoQnSNEEwVAAAgAElEQVTYuLbt3LlTIoSkRjJYRfaCAmz+mbY/64l4px/kDQGb2wUXmwmz1QplzHftlP3hoYceQsn7SuHLBYslw8boLmn19ox0oTgtWjhf1M0YHaU4BoEV39O3V0+pSaAzRkrkvv2/YtLHUwTcEgAw0Ee1OAIIbtxUBKNNqYDGn5XctxK+uLsBw42ftr9CMN+tamEYeaZ9KlWoKJmbocNHonKVx/Daq69j3ITxCA4NExbNrNmfSVuEAe/1w+5fduDooYPo1q0rZkyfijlfzsXIUWMlw8lgLiP5Kqsxf/5CyYAwmEtqJDNuBI0EIXQM6Qjd/Y3LPTiy/xeMGjEcYRF5ZLyOHf+RtPVo2aI10mxWWK1ObNq2FUuX/IBGzzXGuAkTpa7m6PETeLdvL5QonB8vt24pAgfMrOfJl1+6HZPWR/+KY5cAZ+iwEULFKlC4iLCTCErGjBkNM7X9s/X4/wHbpYsXxd8jO4E+IYME/JnMKwLUn3bsksA+hUMYXCFdjT4ftQ4YYGFwh595+umnhcrMchzObWYjSc9jho2ZFPqWBHYMDlAgg34pHfP8+bMb0P6zh0NaKAFD1kbs3COY6GAx4zPP1MKixd/C4/Vi6tQZmPLJJ9iweYvQHPkfGQoTx4/D5SsX8dXnX6B7j66IibqCHr37oNMbb2L3nr0iEsTgGGn6DAxwPDKbyeQKxyDtyvHIZ0AmHUEc9yDVbuWf3eXf/fQ1Wf+hgwZh5KgxeOKpJ2Q8FClaXPZQjiPOt+eaNNP21vMXJFPLJBTVWdu3exk6j1vWQu5JVNskhmGCh1RxJpgYKBg3/iMZj8dPnRaaNwMH3y/fgBWrl4voCAHbyy+9kP2iI6pxnDIpf+cDI92BqVNy1XnxVPhigSMXFSpz8TU+XEZKWIfA35lBY/SYGyoL+/r06YXKjz0sssEul1dUkiLC84k068iRo+WzpLjQYO+88xaeeOJ/8vmFi+YJYCxxz33Ysu0AunbvhUMH9uPY8cMYP2akALZ+772Fxx+vKqnO9es3YNbsL1HinlKIuhKH/QcPYfasL1D7mcdyM2x/d67kfi7XAne5BW4KsLH9g8slfW2GjxiBqKhYFChYUJMHbtIIZ48fET781fhkFC9ZGt169kGdOjXw9cLv8NnMqfhyxnSYjF70f+ddpKSl4kp0HBo0bopBw0eK2Igt3Yqpn0wWZoIqpqczQ8eWAS+CGP8MG01+s+0+7sTjuSFg82o9cug08Lpt1gy5T0bTU1LTUOHhKug38H0UK1oIh48cR6cO7eW9pUuVlE2U/T25n1y8cE4od9FXLgsAYMamSPES6PxmVzRv0UJu9fz5iwLwCHwJ0Pg93Fz5vdxbCJAJEnioOpfsdnfvxDPid2Rtr8IaFUbNZ06bLo5vnsj8IjpSutR9mPX5l5i3YKEIZVSp+pjs02XuK4V+/d/GqePH8NVXX+LUiWP4aNJk7N13EKXLlBVnnGp1POLiEgS8kfrGmqI33ugsDjlBBjOh3MtVD6e72/50GJ0YO3wYflixUjJf+QsWxsjRo1Ck2L2wk/6rN2PnL7vx/sAh6NGrp4C2L7+chy/nzsPypd/C6HWiV7c3xc8ZOWoU4hOTEJkvnyhMMrtEh5uZgv4DBoAZj60//iSAjY70sKGDcjwlkuNh1cqVojRIEED6IwPydH45Jvr1HygAjgwuZsbJMKAPyblOwEA/kUkCjlWuiRQtoT9JBgJ90ZkzZ0mNEYM6fD8D+UwwkErOBIKa73dqnt2u72HghQdBEqnNDH5s3boZH4wYKX2MyVLo1LkzGjR4Ft//sAKffT5HRF4YyKLeRNsXW+GH5csw4cNxmDvvSxQtVFDW3Z93/YJiJe6RGkqy0RgUpM0mTZosz4cJF2Y9mXBhPR3r2nr16pFjKJEpCYmiCs8xw+ssWKSojA0qwjNQQMEQqpGy2zJFDanS2qxpY+zYuRsD+72Hd97qhZpPPSnZM+4XrAVkNpcBEo5V7h1kv8xfsEiAXnRcvAQcOZafqdsEY8aNwrKlV6WGjYBNiY4olchsybBJ0z6bxsUkF5kRUy74LAa3BAbIpOJBgEZuMiNCTMNqDQyDpGhRHbxRLkSMgnBgsBHfkaOHkTdvJCLz5gdbFDCacPz4SUH07ENCNEz6JCmYJ04cg9liRGBgALwwIM0KlCheGLExybh8+SIqPVgeFrMeR48ckqJmbkbM5u3+ZT9efaU95s5biBUrVmHh14tRvkIZkHUgDfQyr9AvYuT1dbeUMutrh6aUpQ7NAVB937SzqYPv8//9Rq/frumee95cC+Ra4I8scP289p+fvjnt1SM6+ioKFiok0VxulFRsY30A14y0pHiEhIdj1ep1eLTq48iXLxIOpxd6vQ5HD/6Gcvffh0CLCV63WyiPAYEhuO/+srA6PbCYDXDanVi/bo2wEFgkTueF1HJmkajIS8ByM83ls+vp3giweT0elv8BXj2ctozMWrafd+yQ6GWJ+8rAaDJJbRmzX2znwgDdA+XuFzYGo+10ItJT01C8RFHA7ZJ9h9lHUqdC8+STtZkZMzpuVCImWKOTyyg02SDcfyhNz4OS1Gwn4/FoWih3N2C4+adO8MW9mM6eolfR+btw7rw4vqz3M1nMYtuIPHmk2bXD7UGh/AVQsGA+ERc4dvQoChfJD4NOh8Agi4zVqKhEEX4oVry42JU0qfOXLkp2jRkn7t8MvBLA3VOsuGRCTCYDoq5cvU418ubvJCe90wN7WgoswYE4d+qM2CMyX34ULFJEal7V3h8TG49zFy+h8qOVYHd6xdlj/V/+vOHIExKEC6dPwWg2oXCxopJdY69A+kB0kJldYmkIKX4EwqyfLXV/GdSpVxd5I/IgOCCbGUL+C6h6NLrrs27WjAy5F44zgq577r0XfI33mJqWIdkwZkM4Vvg+vs75LWusziDiI2Rx8XXWtymxJa6Lixd/J58lRZS+JOmRDOYoyuTd3kBbBVoIQqWXpa+XLucw7z8uNlr8Y+4ftCuDi24PYDSasXPXLhQrVgLFShSRJ3PuzDm4nHbcV7I4dF5muM3Ys/83FCt+j6zFqh8x+6utWbNGKKYsQ+KaScDG8c2WKmaLRdZqp9MtauzZe3iQlpoq+6USY1E9jcuWK4fQkHBkWDOEGpm/QCGhj0bFxEtwhWyB+0vfKzgkICAQZ89yDtuEDcB2ExyrtDfpuwSA1as/iejoeGzaugVHDh7C0880wuNPPYZlS38vOkJKJLzW34uORMddZOtyGA0WXD5vx7fzD6Jlq/qoUBnw6lKhA4sTadQ/Ag7XTP27jcs3Ebnh0gDsTK/hEg9kE2Yzau56XMn1WrNspm4ZESIfmdESRjRvTN35I/BzoyGgfYaoOWtCXt2ldj8eAYcUQVm3Zr0MPDoBzZu3FEWc/IUKaQ2TAJh00LrA69wMYcNjs0MfECQLL5VQNTFjbYPXwwUdqA7Fb9PUxwCX9o/Xd0K5AL7mW7jVh+VM/O/fXex+oyeY+/dcC+R8CzCC/v979U6HTdZGLvTmAAsM7ErqOzLS08VJppKcTnFHvHrZQChFTwfDf931b5JK8SbV5Djn2+lGV6js+Af0Ka8HmrBLoOwldP5Zh0ZluesOrxc6hi296hz8GXATCLpYZ2ASsEBHhj+zx5eKrtMBJmgw+wRG6GhwT8tq/xvdxb/x79fs5IHH64I+U/bNIPsrTc6DEvQGDm0d4HCmw+2xItASzBAuHDa3AA7+jX2J+BGHxw2Tby7YnA4YdXpYjEbZDV1ON88svfBu4JbcBSb3wEPjcKcXA/ncAK/uOt+HNqGtGXxQS4HMfQ/gTEsHC15NgQHiVaiDthJVP59gj7ydNbFpqQgJC5e30fvIyUEHVYsmPfw8vH//R6r5RpyfnLfXsmFqjmsBbwmS6ehAa8JFnL+KHk4g41+nppx1Bib819O7YCD9rUt0ul0wGqh07gI8yieVVBzg5RzWwaO/5rs67DYEWuh7OuX7bA5Abw6UeW6kD6y5+CKaoTdoI8tmtSMgSKO0cxxbHVpLDs0Xzt7x9/uAof8eo+07Xq9H1n8GWtUcFX+egRGDFzZ7BgIsAXC5uf4ZZWxplHntnglUOfZkfHqBDJsTZjZbNQEO719snH3s5G+ZjbOjL7ux7OujaN2mMR6kMqouTRbUfwLYfjeK/CIqXrdLoAfVz9RBriuzb0TnBEe38/CnNPkvcvzZfxFj0WF8bJw8NI/LJVFrFq3L5sNF0Q2BtXqvWxrpySrq4tn1YAqOgE0T71WWJGDjgOcDtPi+7M8AG6/G6Cen5ntfLmC7nUMj99y5FrijFlDy6XQ8mOkhnSJrsIrrj+aYXB+skaxGRIT8jQc3DIIWRviyKkTe0Zu67V/mgduWAQMl9z06pFspFR0h66nV5pB71+igmjiFy+WAzu3RVPZ0Bm3d1Zlgk81VBc60i1YZO/9boHndDD9zHf+PNM6+2UfodFnh9bpgNpnhcDrEiQ4MCEFGOp1jo0Tf6aNoG6sTXmiMG52HQFsDKtwnuW3SV1QBznSbFcEBgRIypv09ThdMPuCWuUnnZMRxkwbk3L0GLMwyl0ljU3U//F2pavOUXAvoFBt0vrXAF9elV0Ffg6YWZ1iCyDrYkpIQEB4mL6baMmAOCCIEQoC0Ts7GI2uG7U8uhj3jCKaI4ZVSqcvJBvYWDWfo+LMGcvlerw+6Eoxoh4b0vOKAS47gOidPa/2RR96jkgdZacDZaKXb8tU0vYIneo8DXqddAiESWfHq4SEQNgYgw+GGkQEBk+a/uhzp0LusMDBAoAuCi6DZ4ZTxycQFAwsel1uekyRrTCbojTpZkynalOF0wsKT+fzh7Bp/N1XSoCwvGW/emwZmdT4wyrYaGdY0BAUGXTfOUlLSJGDqX37ANdHgVzNqdwFu418EbAcO7hbAxsU15ooHPyw+jrYvNcVDVW8NYPO6XNAZSN2xa4op6sYIwxkhIwK3a1LJ/tEN/pzVMbnVo/ZmAZsY3beseZxO6H2DzWqzwxBokUFPWCvRRKcNkIdpAJxuwGL5/wFb5tL6Z9k032KTm2G71Y8/93y5FsgRFuC6yPVOqbpJhsgXFadjJrLWFovUVhCEKKlqOidCC0pNzey5RidPnSdH3NxtvQgPnBlpMIlSowEZGcxIhosjlmG1SwaM0XRS6BRjQjoG04fjou0DbMywMfrpw7sCGP6saS5f14Cw5piYfDVtt/U274KTE7ApW7jZisHpRgAzaMwwi6essmsc55JDg5uZY6cFepMv+u4DbNKb1/cRly/TxrMQLJsJlMVz8msill0e3y14Lv6ggHNX1Zvy1P4y7Pxd+UP0R7guCBjJcAIMNjBI4bBDZzFoXF2XG0bWE/nAsPgiRv7NA6dANT2cXieCdTmMEvkHz1LAKQjICBeyMqr80j+Zz0MLmrPRM8EXsx/MvGuiNUFiHmnvyJiN7/uUMB5P8V9ZQxVgY9ZV73b43HE1+cgMoYHIBwPsDsBs0ZZOndcBODMAswluBMLuBcw6bV5m5oj/AIgzMCb1cx4XzEYj3F4vzAQ/t2Ae/Z1T3Axgc9ntQrlXvTQI+J0uN9xEBDovAgSIpiOQDA85tPVO23e0WkGVaWPvucCAIA0PM9NmB3QBfxGwnTxzWCiRFnMQrl5yYemiI3ixdeNbBtjkhn2pQY0CyQlGOoo3E7BpxbXajaookv8E+jsP42Y+81cAGxvZKd6vli72wuZwQhegUT35fwFsVmYlPYCFiJuUDY0S+acZtkzAlhnr8Lv03Bq2m3mOue/JtcDdbAECMoKvrD2uSKUgJVIFr+jAqTXoz6LAXDfp2PlH4+9m2/z/1+4B3E7fHunLmHmNQhllIoxUp+trzfh+Bgq9gMsDu80KS0hEZn0x36vUB9X38jXamuBPc6Kv9fEm7SUgS2bu32vrP74zJf5BBOUVqr/mftkZcTcGCEVIDj/AZjKzKaxTAJtBFyKgzu2jUHHHU8Qsf9dcghhmC0x67RvsVgcs3Huzy9u7RQ+a4IDz9c8y4SqrrtaH675WcC/9KI2L5iZEMfgq5H1AN5MS6QtQePic9JoTrvktPgB8i+7nL5/mBhk20hK55ik6sgJifI1jy2ZzIcCijYNMICtBFG30kKZGYEvAJp/Ra+PRYffAbNFnBnSuzXeN/vZfWD8lv+DxSkYyQJCWTzVROI0E90a43HqSEGTZZBAsPJgA3wkQtOmANCbKjRYE+jKZLsVWYDbcrdEi3S4PSL00W1jTpZEpVTAiOym5NwPYtLS+Bx6d3keH1MtSRgu53B4wPqKyudwnuJZpwVYNz1yj9GqQR2N6aKONSyPNt2D+RfTu+Aleb/ciHq5mA/uwmQxGuF1pv69hi4o5L4CNi+u1GrYGqPjYralhu26HUwu3/Mvb9sLt8Qgl0j+qfKdS0X8FsElfhKwapD5KJM/jtjoRFMCR7eBuAgSQn38jwEZDcMhmrUf7I6D2R4DuLy+PuR/ItUCuBXKYBdSirpqbqgyZAmqqlkKp5jJipwAbC+opkMFzsOCexeNZN4ocdru38HLoYLjhtKbDZAoA2JTZ4QWzMv51O+KKkM7ucWl1UQRsggxccJISpjdmSkxzW7JabeJEKyeRtW2aupoWPya1hcfd3wfsnz8KlcEkYEvPSBGFNb1PMMPp5POxSCbSbNL7qKj8TrpsmmodEChODp0fg1GrKXdSsp+0Xocj03FWFCsF2Lxuny7HXQ7YZGyypp+ZBl+6h3Oa44/z3N8XUtl2oZjRF+EwJK+KnzNrAQv6ghlOGwweIMgSIJRIaTxvMPkybBogtsMNAwxaoPmfD4O/f4abpEQqAOb2OGXtY3DLYqZIDceWUQOsbmZ2nZJBy6w3dTnFrkaDT0MBetEi8Hp0CAkNkLpVZkr8xXQUeL6xfsLfv+2c8El/SqSBI4eTyuGE2+mEQW8CAoIyARvfS3ICAYoANpcVHo8bXnM4WFEquU/mYZzMoGslPHabFowQkSJ4YfLVAPvXWfrKWrPFHDcF2IhSXC4Btpxnss/4KNu8aJZBSW20rz40M0Al4yxdWw/1eoFBHJ96X8abY5T1un8ZsF2NvfAHgO3WiY6w2piTSKXz3U4XjD66j9Nug4nZN71O3sPFSYyg18sEogPCfg2367gZwMZr4rVZmA8WxqPvmrlI+gzO19MSUhCZJ4wke2QkxCEoOAwg1YMD9k8zbPwkwZrpz2vUMqmQf1Tj9mcZuNtlsdzz5log1wK30gJ/FpxS7VD8C981apBWw5H1yFog7x/Zu5XXm7POpQE2uBjtNWoOKUWbfMIVKhtGUMH3KUdChKH8KJHijPiJjCgQQmdOy35omTUtu8m9iuBPEyrJVmc3BzyMa81vXXA4rVLDph16abWT6Siz/o/JTYlNOmG1Jwu1NCPNi9BQrYkuHTo+lvQMK4KCAuFg/YtRq7FSdramWxHoa5qteuHlADP8o0vgWPLP6txMOYg4wawT4rinZDsBm9EAu9cNLx1LCqq5GaAwwi1US5NWuEU6IIBkezqCLcF3FWATaXodAdq1MabpAGRFnZoAjsxXvUFqKglAuG663ez95csDK/afCBJdP5P/C4IjWQGbx25lT2zRXdDEsjRKpNUJZJrc7YXOa4OBEQHxawNh83hh9dVsqb5+Ll/dm8PuhNlH2eWpWRtsCdLEX2Qvy8aAwc0CNrlQXw0bx5vsF1LP7IZJRxVjr4AzsmE4zrT5q8aoRrE1mbTsIqm4avtOTPHAEqb/axm2y1fPZgK2Kxcc+G7BIbRsdQszbD6ESlXIhNhYbN+6TW6IPVZi4+NgDgiA3miQ/hmUXNUoKXdGAfFmABuflTg/PsUqe0YGLEFByEhNxcq161Cy3EN48MEycGU4EBxoFkrk5k0bkC9/ITz46GN/A7BJwlirilMXKGsJsTgXJ19xfCaR/5r87z/aNXI/nGuBXAvccQsoYMWmr5QyZy9KygIrOqS6IEpNU86bTi6bk953330iTsLP8BzsF8NWJ1S1PXHihMis327RpjturN99ISXy7AApUAxXsibaa8SevXtwJSraJwsfKWDAItFdD2xp6Th46ABiLkdBbzKi4iNVRFKe7QDYZJcZyqeeelI218OHj0ovMfbv5KEk/fmzEiX5rwO2axRRBhS1gMKJkydw9OhxWDMcuKfE/ahWjXQdAjEHgkPMyLAmY8/eHdIPLDgwH9LSNRU/9tbKsNtEBvuee+6RRrQhwUE48OtvEqkue38ZUWZTDXetvlYO2T8O//4VqIBNVtDG369evSpy4nQGKUL08MMPZ85poVLqDaLKuW/nTly4egWBoSEofE9xlCtXXtIdy7//HpHheVCxfHnky18Qp0+cRGJ6Kh54sCKMpBGqUo6/f/n//JM3mWFjdlwTYbnmCF+9GoMjR04gMSFZWjU98EBZWQc1/4mgzSPZ3v0H9uPSxSviUBcvXhL3319axuPadeulLrhKlcrSY4uCd5R2L1++vLAW/gsZNmaOKIRh8DpFdEQnykBaG5WYqGjs2nsQhYuXwCOPVpCXM1LTERZKQOfAr/v2Yt/RM3DrjIgIDkXVqlVRKF9+bN68GQlx8WjUqBHCwkNx+dIVRMfGoMz992utBYx6WEkzt1juCsB2/swZnDh9Rhh29913P+4tea8kYTTA6cGx40ewf/9+WaNsVoe0NnnssarSw44Nxdl24qGHHkaZMqWQnJQuPVPZNzAiMvyvZ9iuRJ/zkt9LSiQBmybr31CjROpToCdl4R/I+gvgYYTHbMaq5cvRp1dvnDl3BsGBwUizpsvUoqw1u4NTKl8ddDzYV+N2HjcL2KQI1RdiUPeyfs0avNGlK3q9+z5e79AeYb5+bKcOHsDnsz9D2XIV8NrrHW4gOsK780n7UztVQokEZrQKqSK+u5fBYb2mKsnX9Yrtf+OWC7fThrnnzrVArgX+uQXYp2bMmDHSO419KHmQ+qNoPkOGDJEmznQk6Niy0TBBXp8+fYQB0KVLF7Rv3x6LFi3Cnj178Oabb0qfsX/3cU10xGVzwhgYgKSEVHTp1hW//nYIbCBeu3YtEavQBDE82LPrZ8z5YhZ+2rINadYMvNqhM1q0fBGbNm0S+7MnE5v0sjfo8OHDRTmOjXbZI4xF40oCnI2zQ0KCNbW5//ghFDUjs2k6xMTGSIPY775bivi4JFQo/6g0bH70kUpwshVCkBExsZfx8eRx0vMuJKQAfty+SwK4bFzMZ8LGyBy7/fr1Q926dTBo0GAJ4rKRbWSERvkVn1Kp/d3F9vcPzPiXhZw/fx5btmyRZrwEEeyj1rVrV9StW1fulj4JWT8/bdggPa627PgREfki8WyzJni9YwecP3UO3bp0QXhwKMaPHYtnatfDp9On4ezli+jeuxcKFC4kNW+BmVWH2WTEGwC2awwEj08MRAvmn79wHr/s3osxY8YjPi4RhYsURIsWL6B58+a4557imaIjR48elXVg86atotrXuHEzdOzYEefOXkC37l0k6DV+/FhpIcUewOzf9vrrr/8H1k7NvbSRwmgyQiiRrAf2ZZKunDmPHbv34K1+g9Gpaze8+14fCWIlJyQhMm8wUmKvoPdbfbFq8w7kK1QUj1V6RGxPtvmIESMQHXUV3LPYqHzWrFk4cuwounTtKr3xGNaJT0xEZJ48OR6wEayxCfucr+ZK+daLL76E19q1Q/kHK/hEVjxYuuw7wS8MrFy+FCV97V59tR06deqE/v37C5hr16493n33XRmzq1atQo0aNdD0hSZ/HbBdvHI6U9afNWyL5/2Glq2eFVl/nf4WyPprXBLJA148dw4H9u2XZqZfffUVzpw7i159+iAsIly6pDMCwigHudsFChSQ/0gNOn78OEqUKCH/cUIx8lStWjWhTrK5KWX32RyyUKFC4uDQcPzv0KFDEpXiYs/Jysmvikm5UKZlpEtUNTg0VD7PlPmRQ4eEhhmZJ698F1Ezo9UZaekICg5GalIS9u3bJ9dYu159jBz3MTp26oBQCjWx/iEhFidPHENEnnwS1Tp54RKKFC+Bc5euCO4tV/pehASa4XKm4/z5szhx4hSKFy+DcvdXEtnU85eP4cKFs6j+ZEOkpjhw8cJluDzpeOihe3Hy9BnY0qgyY0aG7SoefuRBxETHS5PS0NBQPPbYY3KPRPC8F0bj2Y+JKnJsk8DoBjdXLlK0K/+TKKaPdkoHkN3t2WCc0fr/Ai0gm7ap3K/9D1mA1Bwlb3zN2dQ8FUZx2ei5du3a4pjRSe3WrZusO6o+jY2wP/74YwwYMEDmN5sI82cCM76HTUs5b8eOHSv9K2vVqiUbJdc9fi/XAq6Vqmmq+t67P4LsgdB4zEakJ6chOCIcq1euw7ONG+HekqXEAWOzUgKt0JAgZGSkYeB7/XDo8K+Y9vEUrNu4ATpzEEqXKYvPPvtM9gpmMZnlZNNm9gTlhsvfSadkpo52pKJkboZNG8kiVS2qyFqGLSU1RRy1MmXKotJDj6L9613Qtu3LGDK4HzKsTqFEsgqClEjOi7Nno/FG524ClDn2P/5oomSYuS8//vjjqFmzpgBogjhmlYNDg0XQxGIm6S+b669uwxqmxNboI02cOFEi8QzQEKhVr15dQK0oRPqousPe64fp06dj264d+HrJt/hm6TK8N6A/1q1ajdIlS4u4jtPmRIfX2mHQ0CFo8+prqN+oHi7HxaNgvsgcT4m8Vr+r1UPZHVYBqhSq69vnbQQEhKBzpy6YO+9LTJ48SQIvlSs/guSURISHhWPMh2Okr+/AAYPEkZ406ROMHj0aRw4fw9lzp4XZ9fPPOwVk0I4ce0wccP39t/s/3IFS0jMki52SEIM8ocHCWfbabEhPs6LqE0/h5LkrGD12HDq+0RmhoQR2Wg3b6SO/4pV2r6Fuk5bo2fcdRAQFIyk5BcMHDxG75Y/MJ5mm7t27y/x9+NFH0LpNGxFvSkxLQ5jP53PMpZMAACAASURBVMxuSqTUlklXCI/WMoKrCltzsVeEx4MZM2bg008/xcTJU3Dh4kXExSXhmTp1UPGhijL7mWFzubWsGvdhjjOOtzlzvhScsG7dOgkGrF+/EUOHDsWihd+IfUaPHg5SImHRY9nSK+jx+sd4qe3z+F8t4q7zgiV0sEHnzdBWGU+osOt0tx2w+S9q7DWSniFAgZPml717sHzlSuFW06ngBkvnhACDAOqdd96RRbpNmzYCIrhwffHFFxJtYsf0jRs3Yv78+fJ+RuQYGSGtklHm1atXZ7YJoNFJsVCNZPn9BCddu3cTJyYxOVmiAwMHDMSmjRswaNAgUaQiwGEdHQdd6xdbY+2aNej37ruyufDYvnMXer83CN179kDeIIMY+dj+PZgwfqxk2Bo0bIT+Q4dLwWL+wkWxc/dOvNi8KUYOG4wl3y3EwoXz5TynT0fh5TY90at3B8z8fCwWf7sQM6YtRsH8JdC1a3cULZ4Xr77eGNOmzsTuHRdw7z2lUa5CATz5VFV89eVCxMcnCoht0aIFBg4ciGXLlsng4GJEZ5AglZH7du3aCdqnY/fLL78IUGNUvn79+vL5Dz/8UJxGDjw6hE888cRt2JJyT5lrgf+OBaTWxKfu+EdKb4yqE2Qx6MQAE6O/dB78wRTXOtLESDUhAGN0jmsi1zSCNn4H6Y/16tXDhg0b8NZbb6FYsWKyLjIj569Ax/eqfm3+Qgd35xPx1bD5Olzu3bsHo0Z+iCtXo5CQmCxBQYIw2j8o0IK0tBS0btESR44eRN8evXAp6grad+6GsPA8kpEk1ZTOMD9DKgsDhu+9957QUxmg05rvahH+69sF3J3Wu5VXnZgUi7CwYCkdSExKlJqpdWs3YtjQMejZszfe6Piqj0HCWjYqodlh0BsxcMhoLF2yXPZ9OsuvtH1J9noeDBoGWCw4e+6czBHSAg1mraZNJWay0+G7FfZTfZoYSCUg8a9PJR2XAVcGYPv27YvnnnsO77//fubXul0OzP5kKmbPnoWho0dh7aYN2PvbQfR5+y1sXr8B6SmpiI9ORK0aNWHS6XH63FkMGj4CYXlDJbLPOHqQr9nxrbiXv3WOG2TY/Btn8/wKsPHnc+cuIDKyIEJDgjF4yFB8880iAQc1a1YXgSC2i2IQ4KeffsKqlWtw8OBB9O37rqyd0VdjcTX6iqwNJUoUkzWV/iez7Oyz+184VA0b2x8YCVtYD+wFUmJjMfnjT7Bu0xacvRSDHn36ou9b3cUkqUlk3dlx5thBtH6pLSKLlUKtug3Q9NnGQiUdM3KUUPJL3nOv7DN16tSRwNeMz2aiWPGiiI2NR3i+vDDodEjLyEB4UFC21QGroSeqtFIH6YVeuI5ueF1O2QuIC1h20LHzmzAYjahSpRrqN6gnO06G1YbQQDNS05IRGhKK02dO48VWbSSZNGXKVCxYsAA//PCD7NOXL0cJcNv98x75l3iFlMh0F7BsaTS6vTZRANvjTxOpnRNKMwGbQWfLJsCmmtxAB6/TKVSenT/vwsxZs1DpkYdFJXL8+PHCg2WUk1G61q1bC3hipGnJkiWZSkpc3LVag6ck6tSqVSuJShOQ8F9FG/jggw+EVvDMM8/g2WeflRtXC8D27dux78B+ASX9Bw6UyczzHj54UEAPqZv83GuvvSYR65HDR8g1/bp/v4DNHTt24OOp09BvyCj07ds1U9b/6L5f0PrFlqhRszZefuU1NG3VGpUerYy33uuPCZMmwGlNxfsD3sX0qZPw/ferMGrUYDgcRtxTrDKef/5ZTP60P6ZNm4wV3+9C0cKl0aJFSxQuGo73BnRAx45vIj4qEMOGjcLjT5RCbPwl/HrgCErdV1bStnQyGClmZrBz587yH21E8EWb0Ja0ER0P0ksYxSS/9tVXX5XIHTcIOoykZNHZW7hwoUSXc49cC+Ra4O9ZwF9UJKsaHMEXQRipjpxnDLLQwaBzFhcXJ2CLQIG/M3JM0Mbo3PPPPy9rI7NynK90bJmJ+PnnnyWYRbok6eR/JhWuxJ3+DYDNkZ4Kc4AZHpcXw0ePgtdjEAnpadNngGt8xYrlNYDlcCAm5iqaNX4OFy+dQ8M69XDs5AmUe/ARTJ4yVSKpXDvJ4mDgj8+lWbNmwvxg1kNRIZlZ07JsRsm0/dcZkf6iI3R0kpKTEBEegfMXLqJD+05IT3Nh+PCRqFunhgC25JRUhIdTdMCBk2dPoX2HHojMVwjzvpqLwAALvvj8C8z5/HMBy7T9jh9/wkuvvCzBRyp/BvgEC2y+5rt3O2Djnktfxr/BLqP1KgjDDDqDraT20Q/imFSCRKT4Jl6+jDp1a4tQxJWYaNR/rjFmzpiFLZs3Y8TQYShR5F40bfwc1ixfjeatWqJGnWeQbrchT36tnYX0j/17S9ut+dRN1LBprQ/0PmEWTXApPSMdwUGhUibyzddL0KdvLxQvXlR8lsjIPAgLC5H2HlwzuR5OmjhZPt+1a0/xEZs1fQFDhw2WczVv/rwEtsnwoo/EYD7XTxWkuTU3mvPOogBbXHwcCkZGaPXAbg/WrV2Lxd98h6eero2pM79A65dfQc9eb8oNENjodU5sXrMc7/R7D48/XR+r129C/giN0hwbdVWCXMGBQZJAiIqKElv2fbsPEpNShPVF0REqwPLnnCjr7/W64HbYJThKnELqdrkKFREXH4+CBYviw7FjUaZsGbGH1+WAwUgRGx2GDB2C+fMWCj2yRo2nhRnIvZv05latWsuecfLEaZnHHFvmQBOsHmDpkhgBbG3bNEPVmhRzOQe2ESNgMxl8arp3KsOmGk1TGpMbX1BIKJLj4+VGDh05jB9WrIDD5RRK37Zt2yTDQ+dk3rx54rwMHjxYAAZBE7NCnFB8jbxYAitusExfk0JA8MYoFB2gxYsXy9/4OWbmCMzUBOT5CGp+2rlDjLp+40YBiUxf7t+7V2gwX875QsBjy5YtJXpNAEcA1LB+fYwZNw7HDh9GpcqP4f0RH+Ldd3vCa3cjPSURaXHRaNO6FerVfxb1GzyLBk2fx5DhI9CzTw9069UXe3/+CbM/m44D+37GBx+MElT/TO0mqFShHlq3eR6zvhqMqdMmYc2K/QgJKoA2rV9CgcJB+GzOSLRp/Src1uKSVStYFDhx6lds2/ozrBlOAWykRZEfy/o/OnKMNhHMEqzxnidMmCCZSdIsCE7peHBQMoJHh5F1BIwu8/PMVDITx6hJ7pFrgVwL/HML+PdbY0SdoIzzkbRk0q6ZGWOAiNkExQZg4IQBIgasuD7ReeEax7XolVdeEYoz38N1k3Oahd5cC3hwDWD2PCtwywoc//mdZdcZrmXYNq/fJIBt2NBRWL9xA76aO19AGO1arFgRcUqPHz+Ktq1exD33FsO40WPww8oVGDR8NHbu2i3Abvv2nyQa+v3330sgi1F30qRYz8Y6ttKl78ukQgoIdLph9kn9Z5cFcsL3ckx6QZqiv1iYHpMmTcHqVZukAL9nj94oWCjMhw40Wf9ZX8zGoMFjMHfeItSqUUMa0lqMBqxftwFlSpXG7t27hUVD4PbNt4sREhqKLt27oVKlh7QMmxcwZneG6BY9AAasCdLo1BFYaL2ctAAzHUYGUenPcG5z/hK05c0bgcljxmD1mpXo0KULduz+GZt/+hETJk1EhfvL48LZc3DZPIiLjsHGNRtQo9bT+GrRQgSFhaL9m2+i+pNVczwlUh6zqDgq6XRN/VGEZ3RGrFu3CUOHDEdCYhzeeectAWculwbwqA5J0RYGYs6cPidr5/79B2Uujxo5AufOXxBnmllzMre4dnLMke3AwHbjxo1v0dPNmafJqhLpsqazyYnc+z0lSgpg69y9L55t0hQD3x+M/PlDMimRF08dRVBoCAwhkdhz4CB6dukm+9KHo0aK4FBKUrI8oylTpkiWjcmZ2Lg4SRQ8Uf1JuHytO7Iz4PKnKpFwC2BjcJRjgHvBwm8Wy/V3794bo0aPRqvWrZCYlIyIkEAZa5cuX0Lbtm1RtEhxwSbs98c5TPDPAAwVbb/55hs8Ue0p7Ny5U5gxL7R8Ba++8TKWLrk+w8Y+bCrDZtQzF34HKZEKsPlWH2kv77RaBbn+dugg5s6fj4KFC+HkyZPyGqPKpEHSOSHQYDqVgKJhw4ZS38biembiCMhYxEdAxdot0v6I5Fl7QBoBgQsjzvyXkWhmx7gZcxDx7wQj23/6Uf6278AByU6RXrlvzx4pNv9+6TIBbIxo8ZreHzBQnKn/Va0qhcBMkzZt3gJvdO+L/v37wMAWFtZ0pMREoUXz5/FMnfpo+GxjvNG9J9q+8ip6v/02uvfqiX27d2Dx1/MRYNZh67ZNOHLkEObP+wHhweUw54uZWLPpE8yY+Qm2bjyB8JCiaNKkGfLmN2L6Z4PRof2bCDE/jM9mzoA5KA3jPxqBZUtXo84zDSRCRCU52ospaTp/zC7SYWGEjmCV98VCSNKluEBxkyA4oyPJTZG246DjQKWNmA5WjmPOXHJyryrXAjnbAiqjTyeD4IrrFGlPXMQ5Z1944QWhetEZIygjHYdrE2kTnJsMFtFZY+E8F3kGvUi5YMCLmXMeBGusceOcJfjjOsY1ixQ/novfx/+49vnTIXO25W7m6jTAlhQXgy+/nIcPxo1F40bNsO3H7Thz9rzUonz00Ufi2BKwJSTE4cXmLWB3ZGDb5q1YsnQJ3h04BB9P/gTPPttAatQIfgmGGehjAIwBPTp6zLpxL/BXqWO2LdhPovpmrvjf+B5NLMMIp8smY5zsk8qVqyAybwE0a/oiLl68LBH7kvcVFk0Dl9uKtPQEjJswHl8vXol5C79BhXIPwGw0wWzwZS29QJc33kSVKlUkE3rw8CG43G7UbVAfffv2QbrViuDAwGwVLbiVz5LrBIEY92IGoHkw8Pzkk09KIJW+0dq1ayWDVKlSJfl7YkIcOr36EpKSErB++3Zs3roFHbt2RZ+338brL7dDkDkAOq8e/d5+D0ULFEFCcjK27dqFvAXy4+GqVdGpU0fkC2Ej5Gw8bpBhE8E3ysz7GmGnpCZJJozNsPfupZhDRwFjH0+eiJdfbusDulpdEd8THRMtvlpyUqqA3E8++VR8xj6930J4BHvlQgLZpKNz7SSNjfYmZY30U5aH/FsPmj4pNQ1hBF5wIf7qFZw/fUbYGw89+DBiE5Nx8NgZlC73AKZ8Mg2VK5dHekoawsMsOHf8EBJTklG+8hPQ6c14vEpVsdWaFSu1mlYvMGH8R7Jfce9ZsWol8kZGiopn/8HvI29EhChFhpBqnk0G9qdEqkY5EhdgDZvbBbfLJVR5+tU/7foZhw4fRtWqT2D6p5/ilddekatmDRvH5s5dO/HGG2/gtVdfl1Iukf/3eqWkisko1rSRtdGwQSPJRHKMheUpjInTJmHZ0ih0bzfpuho2Bdj0IjZ4BwHbdc9CaJE6WFNTpS6MgGn12rUoVaa0pAkJKAjCWFvFTBrBA/8lKqdzQ8DF7BudF1KAiNwZ/WRGjKiWmyxBHs9FJ4hZItKMqPTFxY/gQ/V3Y73HpSuX5fy8Bm4yTGXGRkeLgzR+7Dg8/fTT4hzRmZr2yVSNCvnjjwKGeL71m7fg7YHD0Petbhq1wAucO3oITZ5rhP9VewqvtWuPzj17o1GTphg1ZiTeHTAIq5cvxYRxHyA2+hKiY66gVq2aGDBgFK5eMGHqtIlItP6M3n26olHdN/FA2SoCNBs2qo6Bw15FyxYvoUzxRljy3WdIcySh1YtNkJhgRcsWbYSnzbo9Fjwyos7Bw/vg5CMQU+pnjOiz+Ja1axRsIRWUESdm41jHRhopz0XQRtvlHrkWyLXA37eAv2y31sdL2xq4kZEVwEAR5c0ZZGFxMwNIDAgxysv5zHWSax8dNtKb6diRykzhEWaAeDCQxbnO2gyujwR6XPNIo6IDogCbf6bt7hcckV1Mq7uAByePnsDWn36E3eaWDNv33y/HRxMnSrCKDlmAxYQePbph/eo1+HDsaLzRrj0OHjmMg8dO4cuv5ol6GY+FC78WkEZbkirOf1k8Tno8z0XAxswabZnbOFubF1pQwit92BhcZVBVpzOgRfMXMXvWPAFvkz+eiMlTpiAtPRm9er+JwCAD6jdsgHvvq4iBg4fh3qLFxHFTQiKfz5gte/KwYcPQqcubsofFxMfBq9dh0qSJSExLRZ6Q0LsesBHsqiAObal6sHEMEjBwbWCmnIEHOsQMQHOP37p1KyZNnIBxI4Zi0aIF6NKrF46dOolVGzZg3EcT8Pyzz4stN63fIkIuI4eMxNRPp6NAsWKIS0pEUEQERo8cdFdk2LT1UmtCrICY1WZFh/ZvYMOGLXisclX06t0D4eGhEuw/cGAfFiycJ0Et1p8yAFOj+tMSDJs//2sJaN1fpjQcTpev/GaQjNkff/xRnHPWUjIzwsQAA1//1iNrho1r6cWTp2S9S0lOw4FDR4QSWb1WbQFs5y+cxreLFuDtvt0QH3VBKLZd3xqA+OQ0/Lh5q/jSTRs9i+TkVPx2QCvPoe2ZODh34TwCAqm0m4axEycgT3i4ZNksFMPKJgPz/glJVA0b+21mAjavJpa4aMECmXvVnqqOxKQkXLkSg0+mTsWps+ewdu1qtHqhKR55tJIkkMiMmfP5l5L8MJsDMpvecw5PmDBR9pDjx07KHk3ssmjxcixft1JERwjYXn7phRwiOkIpFp0OLodDmj1yUWKqlJTIEaNG4d77SgqIILeYzgdpeHwPwRhvcuTIkVK3wYwP30NAx4WcURFGlgk0mGWjkhQXNU5IFt8zOkP6H1EygRcXRm60jAKSZjD+owkC6uxOpzhQdI7iY2Ml0t29azf5bqqtsS5kQP8B+OnHHzFy+HD5Dk5ou9uDzj3fxvPNm8LMwWfS4+yRg/hwzGjcV+p+oUT2ePtdKVhs+0obDBg8DKePH8a4D0fh0G97MenjCYiNjUKFCv9D7adeQ9NmDWEJP48ePTvj0L5kPFTxKckSduzUCp26N0TfPv0QYnwU48YOglOXgsXfzsUnU2ahXNmKsmly8efCQ94wHTXahtdKgMl7J0WI0Xi+h2iffSIISkkj4EQiWGamU9RuBg4UGimjWblHrgVyLXDrLcCgiOb4G8RZIAjjesPMEH/mGkUBEqVYyAg730sQwSgxfybtgmCNwRfOd9IimT0nIOPc5jz2z7DxLvzrZW79Xd3JM3qQnpSA4HDWsrDJq6ZMzWjuRxM/Fnn5UqVKolu3HkhOSsDEiRMQZLbg/UH9cfS3Q9K6beDQkaj59NOwWu2SoWSAjBkMZjgpWvLdd9+JjbnvtG7dSm7OZnOIDal4ll3Oxp208o2+S9pPeOzweJwICQ7BZ7M+w7ffLkF6mg1lSldEnz5v4aEHy+KNTl0lSDlj5mSEhQegXfvXUaBoaYwcOQahAYG4dOkyggMCkT9fXgx8d4D0xuraoxs6deos45vPq2HjRujTp7em7MaWQNldg3Uj49zk32lDrb+cVh9Jf4SOHSX7WefGgCsdYmbNWRLCoM20qVOQLyQQAwb0w9nLl2EMsODR//1PaouCjcG4cvkSZs+Yg/CQUPTp2xfDh4zA1p07EZMQj+eaN8eQQe/eNYCNCq+aL8KMBnD02FEMGTwMa9duRMUKD6FAwXwICgqQ1genTp3AtOmfSGCfpR70FSmnTsBXvXotDBo0UAI7ZosBI0aMhM2WIcF4+kdcM2h7Bv659v4XABtr/Sx6ryaoZLNrMq42J6Ji4/F6p+5Sw9b2pVYS2Ppo7Bh8PHEMHq1YFmMnjMf2PQdhDAhGradqSFAxT2iIqPIu//4HCRiyno1Z4dlzPkdqWpowFXr17Z2jKJHSPZL9HfXeayqRBGwUucnIECGa9Zs2S/uxNm1eQYeOHbF4yVJ8+uk0dOvcEc81aSTBVSZ8Pp40RTAH2RqKncY9ZMGCRTK+oq5ESyCB+OGZek0wctxILFt6VWrYCNiU6IhSibzjGTamFXlQYYWI1W61SuPpmKgoARn5CxaE0aw162NkmAcXLC5SStZfOogbDDJ5OJn4PhqFqXL+zMJckeKPjJRFj2CPII6LINORpBVpafVrh4pws0C9CKNOMTFCFSTIozFLlbxPskysMxHgV6iwPLCE+HjhtD5auTJOnT4Dc3AoihTOD68L0MoZXLhy9ixCQ8MQmjcfLl2+igKFi4gSpsPlQlxsFCLCghARFoL4+BjExkfDZAhHqXvKwGoDAkOSkGZLRnpyEALMeWEyGnAl+gxKlw7HBRbDhj+EwAAgKS0BEREWXImKh9PhFWUtInmmWnnPnCzMSNJ2jNDzNToeSl6c4I4RfkakVOSdNC2+xnOQXnqNjnCTu07u23ItkGuB6yygVCKVM8b5p6LoXOdIwePc5MEsG1uTcKHnmsY1inOWaxvnIgMxPA8z/kp4gK8zukeQUbJkSVk7CTS4FrAWgQEpf+W5f9fjYRTUA5fNBmNAkHjwjA2mpKUKBYr7B/eA9IxUWExmRJIa6UNY+3ftQrkKFRAYlidTcZAKZlTY1eqWw6QWg3UHDBySukqHhsCOQI3Hf6qGLSt1zTeQbHbVzJiNip3SqJjHxUuXkJ5mR6GCxRARQSfOKfZLS09EnryhSE1LgMPphs4YiNDQPJIJCQ0KkqzQ+XMXRGyEjJnQoGCplRk6fBgKFCyILt26gIIj3JtD6BfkaMBGp0+zx58dbAjN/TcjPR2BVMzTaRl4rc5Uj+TkFMn4cgxyTDKoEBoWhvPnzuGeEsxKemFLTcL5y5cQljcSBQoVFotQYy49NR3Ll36PKo9WQdny5ZAYl4wp06eh/EOVUL3W0zCZDcgTlLODDtd602l0UdLVSHWkEmlGug3BweG4cvkqLAEmOBw28YNIgaZkP/1B+n1c/0ibpM8YGhouzjR7j1ltdl+T9uJCh2TZCJUimTQgWFMtFv5da+b1dyPZJQbx3E54nA4YzWZ4GTxgC6gMBzLsbu01BhMMOiTGR6N40YLwOq2ybl6Iikdyug3lyz0g9aR2m7YefDpthtCZKz/2KDLSrZjz5Rdiz3avvy5N29nDkv0xMynQ2WTkTFqk2ytsDa10wK+6zUudB6dkYs2WQPGLiQN4HDt2AsWLFRFBKopaUc2W/rTRqP1dsWu4p5DxQlZgUlIK1qxdi+PHjuG559uiTPlSWLb096IjpETCa/296EhC8lWvy8WO8CZcOmfDkoWH0aJlfZR7mNAjDgEmNqr88+bMNx1h/JMFPyeEKDWi5l88fB+6rre19piuncjra4btJ0PMP+oy36PeSzDr+5iOBdl83ZKlcTaLD/XSi0EOuWCCYU63/39T+It3lvv2XAvcMQtwE6bD8kfCGFzwCEDuhuOacptGa+K101nwb4ZLcMW/MYiigJpa1LmZ0QZ0GtQhDYn96s/4un9PN56PAI7Z82vy1wQSzsx+kznddqKGRS4K702cVKpIaKuxx+2G3mBAfFwcIn21JNwY1YbJYCADgW6XB26vByazUSguTo4bw7U1MT4uFgXy5Zd11WWzwkgbkwrjsMMQEAyrz8lISUmTKDwlwa/1FyMdy+5z/K7fJfgeNou+mw+vby+64V2o/SlT7Vl1rjbKXsTxz+biaizSJpT256FaINCOfAYEvA6nDSajBdAZ4PHS/9CeF58px3LmPKDjotdl9iTkZbAHF3txUY48+whV/99TV/u6BtiuBT61eyRg4LwmWDOZdHDRUaaTJw+Be7xeBFiMBgNcLq+8h2rjND2nBs+akpyEPOFhsKamIDAkWD6bkZ4hvWJ5DgZ3ChcuKk6yxRIITjGb1SXzJCDIzIQCYx0wa4np7Ds4X0UF0qitA3KTGiNLze+01FQRnOFhzcgQYCs/p9ugMxgRYDFrvfks2nhLSUmC0aRHUOA1dlBcnNauiLaJjo5F/nz5pe+WOriuck1msEw1M787mAh+/uYfPEUbg36+mkiup5xbSh3YYDTLOqfNVR0cNruW4eWgoO/K2eqF2CM4JEjaJHhcTpnnHDxOpwsmc5AEXrhm+o8jYgqKcfBxZmRYZV1QLVF4ThU4u1Njj/etepHyvri38tBatVzbp9V+rY2BALidHhhMxsw9lX/nHs4gqgTvArT9mpk4JqIyJ6nfjbHvMev3ZC10sRcle0h64Oba4AXmzT2P/j1mo1XLxni4mg1BwTFw2h2iEvk70ZE9+3dwRUSAJRjx0TqsXHIKr7zaFBUq825u3Dj7Thk8+1aU3G/OtUCuBW6nBZjVZS0l/6UjQ0CjMuU5vdaKCz8Xb27uBEp0zrgxkA3Ae6EjojJjjPAye68a1TN7xog5QRulvXmvdLC0DVRrfM9zKmdCZeJIX1bvV010+RlGAUmd4qZCGzLLltNFg5j54v3zPpWKpgLp/J02oi00aW8juPkRVNE23FTZjJmZxZg4TaDF6XEKu6Jg4QJiSwZLGWlPjo/TnD02XCbI1RvgcHng0lNNzi3npENH2/K7SB0n04DfyWvjNfA5MPPJg8+Q12DN4B559x5eOse++mv/u1D7OmW8VeBA5qWXlFCbjNXA4CCkZdiQkJQo9EWORdqNtvGft+r58jnw4DNU5QlqzPM587nxPPw+zh+yZ/idfK48N22vWlKonmWSdcnOw+sLKIkd/YCaz64KfFLRkGPLbnfL/QRYgpCWnoRgixEZ1lQBcUaDCQHBIUhLzYDV5hJbpKSkanenh6wryWnJYt/8+SMRHXUZYcEh0jOKdifI5efl7QaTrC3MCBCIxCckSYYpOS1dMvpcG0JDg0UV8Log8x22JXvJcSxIU2y7PXPt4nxUTjXvi+wf/sv/OE74mWJFSyA1PQNOh1tAntvtlM/QNsEhgcKE4nkkIKgzyvpisWg1aYEBwYi6elnGGYEzn5Mq/+AYo+24xvL1nHxcC/7/8VVyftEmCmTwnvg7x6IOBtidzDYGiP25nqWlp8g9M6jCMULGBw/ShKNWpQAAIABJREFURoXp4bRJcIbnoQ3T062IiMgrc5XrI9cGrqM8H23I56RqNHkNXLN5fpH3t1hE0fN2HtwDON6V2CCvgXsinzWfM9cUjg+u8bwerk3cQ/k3zht+To0/rlFqPonifVAQvA4tMEtbMbubkJwkdrAEmjPHHvcT/s6yr+CwUPkusj/OnItDcGhpbN92AV9N24E3O7+KCo+liqy/iwEIs+f3jbN/PfSLADaLOQixUV6s+O4kXnq5CSo+lgvYbudAyj13rgVyLaBZgNLKFNmg03FtIdcWdyVvndNtxUVd1ZFyg+JCz02Rr6taMzoHXLRV9oAbJ2nYFGqgE6c5dHZxrHjv3PB4Tm6A3CC4CdIefI/aHJVDQcoFNxi+lxsq/84NlufJyYfJYBSAxA1SZRPV9XIjpQPA+6aN2IuLNqLzxs1SQJvVKc5DVLTmxAWHBcs9M0osWUvoxClLiIlGJOniQYGIiY6WWilzQBCcOh10eqM4gQQU/CzPx01VPUNeh3qm/iqbEoH3Z1TkZEP/ybXdCLAR2Cpnms6NQacXB4g2SbdmIDA4FKnpWn0RnSE+L9qPn+H7Ffjmc1Ngi59VwQfaW8BfYGDmmFUOOeeEogbzs3wGih7Msc6/c+xk63EDwMZr4zghYOB9ezxaPzEvC/J0LnidNhhNzJJbpJE4DEZYzIFwOL3iPEZGanPfareK80zAxnWyQIF8yEhLQaDZIpliHrRpbEKijN3CRYrJXOGcEkc0IUloWVQFVCqUzIA4WYeRnWPYq2ka8Bo5hri2cd2jzfg7xwfXSAa6+B46zFzfRFXTDYSGRyAuNgEhoUGS0eHnmclxuuwydjhmeK4ihYvJPgNozyEyb36hStNGBCdcN7mucPzS8VZrDH/PyceN1h9VE8kxodZS7iGcT3abE4HBIdLPjvaVYGmw9jeCeZYl0YYEOE6nxvYwW4yZARuOaWaZIiPzC2BTVH2VmeR3quALnzF/53fzmqQViIhw3d6UD9cWlV3zV2GV4EdystyTBPp89eS8Xs4Pri8C7AMDZdzxsxwrCtzRlpyPSXHxMq+Unahey/cwk83X1D5MloBk8wICpESJoDAlndm7Yti29Txmf7wVHTu0RblHkmAwXpR9KzTECLs1QRt+qg9bdNxFr9erg9FgweXzdnw7/yBatmqA8o8CHn0SjDpGJG4BJTInj/rca8u1QK4FcpQFuND5Z49y1MVluRh/2qM/NVHWWY9HFnA6XdwUVMZL9UJTmygdC25iWnRTk/XOSm30rylVtB3lEKqMhtosubmoTF5Oth2piYr6qK6T1Ege1yhSOqQkJyMsPBwOP5qo4tUkJaUhPI+WWbC73FL3a3c5YDaaJX+Qlp4Gi0GvgX+vBx5mQU1mCM+M1DTSspwaNZf2I70n60GKT9a//Rtk/W9IicxayuD3u8NmlSxlSFioODO0LwGamg8aHc8iTpsa08qufM2f/ksnnXNDjXE1ftV8UnWf/s/lj16742P99zURPgB0PVWN1DONkqWNLdIRhQXqdgAGnoR0QB1SU9MEsJkl+yDDU4a53alRzPg21g2yXisiNETGt0aL1MY/64KEJuy+pkjL113y/Rq1MiU1A2GhGl3w9yP9DluQKq+8QcX39H191jVB7sHp1KjmPtq4x+UVaqdeZyDOzVxrvV43KP8fHsZyHvaCdsOgN8kYDQkh5dEGizkAHPsK5HEs0sH2Fxm5O2r4/39KZNanSbvyINWctEfW8ZHWR/NbrQ4EBZPxwKy6NXPOanuYpmys6ne5poYEh8m45ftpO5Wh9GfHcA8jtTDrkeVx39ZBx7VGBd1kHJFKL5RkLUjIgwBNMWP86bGqP6IKHPN3tZbJHhwYALePVSN7sFGzq9C8JUCj/Wvz0bj9nxafhM0JzP3qFN7v/QVebPWcUCKDQ2Lh5n6ks/8+wxYVc14ybCZjwHWAjRk2ry4VOtDYuYDtto6o3JPnWuA/agEulNwsVSRUUQCZPcla15ZTTaSK00Utz0etUcBJOZz+AMrf0VSOq3+9BDcFOgsK3CnHQdEt/Z3irA6s+r4/e09OsyFr2HgowMl75Bjg9VsoksSfTVptCmtaGBVV9QCqniUxMRURebUaF4dbq19TfrTDofW+M+l89S9UbOK5MqwwBAaLQrDHq5NCeeVE8F+HryZG1WJom7rmlDAq7BM+ZuD0rj5uBNhcNi2ba/I1cqZhvT6art7C4nqtTts/UMHxyzntT4vMWsupRMD8215wXgidyOeQ0wnkOfyVijmP+B5mkxRtNVsfwA0AG+t+AizMWmi1QKTkSWDAo4PRBLhs6TAGGOFmXZuJNX16pCanwRJAyq2vrs8NMPlGOqVH54HFbJI6PrNRDyMLsRiEcDrlGZgy67aur2tXdZqcbU6XdtEmI0lx2XvYrOlajZXXK1ktBplUjarUtDJb4atVZa0bnz0Bm13GmCY0pMCvYhtwfnrhhk7EV5gF14myq7amRkDmtIFONWmmGsWX/ynqrcqi0zI5v4b6xoAtNSVF5pQCusqeUqemA+LjkhEZqYFbF9dPNh33UdDVHuyv0knBF84/o0Gb/7Qt10+uj1rQhjXAvgCDb3j5AzQCZi2rfq1e+3aOQlUnz+9QzAm1/nDMcA9Wa4wKoPK5c22SOWUyZQqF8RxqLSMF16DXwZaejoDgYDhIwTcaYDIH+AJP2l7j62YGq9UJS6BPg0J64HkRGKKTGrZ+3WehTeumqFLDLTVsqckpsNuSEBrsm8cqw3bh8ikvu3KTEnktw9YQD1bJpUTezkGUe+5cC+Ra4HoLZC0Mvhvs4++o+v9MmX7WUDRq1EgoE9wo2KLjl19+EceA8sYKiFGun38jTYJqhKSUKRCosmxULluzZo2chy1OKO9N3jxfI4hp0qSJvMbPrVixQnrBKNpZjrajX8aGjoRkIXwiJAKSUlKwdOlSkeeu+vjjcitRV67IfVPBt/Yz9VG5ciXJHFy4cAUbt2yUmsG69etIk1bWyNFh1hqcaqmNbZs2YdvmLXikchXUqFNHBA3Onbsg38PaArZN4CX88steibyyvYl/w2xxbHxF9Xc5XpMsA48/vQ/f82FRPVvBsLk11Rt1JhNirkZh1+49+PmX3Xjuueek/QQPAi2OQVIb2YCYPU+ZQVNATBQeQ0JEtp49P6lkyh53HK+cM3wO7JnFtjrMeHDOsL6V56HzlFWwJ1vH901k2Fxu1qcp5Ti99HCls9y0WaNMwDZrxme4dPEynm/REpUqPSq3lJycjg0bNop6bOUqlUVlzugDcdozc0Pn8WL/nl9EVpx2rFWnrtR0xsYlSL822rxFixaiLHnhwiXs+/U3NHnu2UyTZTdg03op+qlQANi4YYOsYxxnwSEhsgbs2bNH1sgKFSqgcePGska4HG5s2bYdB387jDx5w9GqVQtfbRLXEYC92gIDAnHs+DFs3rRVADNl/atWfQyJCanYum2zjLdmzbS1k+OSNqO9OM7ujuPGgE3dx9YtW2TNrF+/vqx5cTHx+PXgIWzdsh0PP/wwGjZsiMAgE+x2J/bu/QUbN24UCirVhqmcqM1fD5JTkiV7+eOPO+Q/9hzjnlSy5D2SvaQNubexNQrrCQ8c+E3ovWzXVbhwwTtqVv/gqD9j5bfffpO6edpCKTHztR9++CFzD+DrHAd8nbbgvkwbkT6r1a4HwZqWjMCQIKQkJmLevAUSAKxRoyYqP1ZVxtuqVeuEAvlMnXqoWLGcrLbffrscjz/+OIoULwCWX86be1YybC1bNMKDVakWGy01bEaD8/eiI1eiz2UCNqpEfjP3VzRv0UAAm06fKzpyR0dX7pflWuA/aAGpR/DRE1REj7/fDZQU4atL42BNGIO/b9++HR9++KEs6uzpSMBGuehZs2Zp9VVGo/SMJJhjv0j2UVMiGnRG2AuMh8o+nD59Gv379xcgQmf1wQcflAb3+/fvF/lpfifP1aNHDxD8saluz549BeSouqGcOqxI/VDKglKM7qeSSWC2cuVKaXzNHpzsp8ToJvtlsm0JnXmnC5g4cSIqPFhRbLJh8waxMUVH+vXrh+pPPCW3bvf1cVr27WJM/OgjUEzDAz1avvQSmrdoJX2Ydu7cKU4JG+bS6WX/T7ZLoG3paGSNEpPqo+ibOdW+N7quG9WwUWSEWc45c+Zg+vTpqPFUdUz6+GOhsX7w4Rh8u2SZtOVhsIHPhc3d+V42zeVzYJaYfYzYE9D/YEBjwIAB8hLHNG3MPk5sUrto0SKp42RfUALBTp06yfNgP1HOE1WLon6+0T3e1r/71PQ0xPt70RGqXxI4sN6H837FijWyNtxXsjQ+nzMTOrcD8xd8hS+/nIuE+ETkzV8AvXr2QbPnn8ecOXMxffqnEuBJSkmS/qmvtnsZGVab1GlREv3wwYN4u09voftxHtWs/Yy8b/mKVWJ3CpfQfnXrNZA+UCnpGTIvIsJDkJySiogQZqZv3um/1bYksEr31dox00ZQwXFBoMAxlL9AAcybO1d66xL00wFnr0pZ69asx4D3B6Fggf9j7yzArCq79n/PmTnTCUgJWKDYlCAidgAGKKLSSCNIqIDSKd0ISqeBgKKo6KvYYjdi0g3DdJ2Zc87/+q199jDwqvi+fn7q92dfegEzJ/Z+nvWste57VQXt3bdbHTt2sGen3spNwztw8IDpWtr6s/5Vq1bX9OnT9dKLGzRj5jTT2W3btrbPQ27R3egTt1HF3x24naiGzRpeREdr4+uva9SoUQZomRdWvkIFLV64ROMmTFS1qucYIcKA9vYd2tr5e/LJlVaXBmjp0qWLmja9xZowURvojfBq3/59ur/fg9q8eYs1HYEsYF0hYdDXRCkZj8IwadYTAM580WrVzioWIerf3M6e/9Ny5X6e22nanXOIzmCPH3vsMaubxz5TI8lAevS+2yAJIMc5YdYzz0DdJLIAMcocRK7s7EzFRWP3801Xbdr0odVFU3c6afJUixj369ff5O78Cy7SxImT9N6mDzVv3gL7zDp1LxLB7ief3G0RtmZNb7CmI0TYqBUmGcRfmOk8SskIG+136RJJhA3A1uLOkxG2P0uATn7uyRU4uQJHV8BNf3PTp6wgPxj8B6SiHPsMKHOcps8++8xAFEAM1pEB9jiuOE2AOkDAxIkTLfqAIQMowHo++uijZvDefPNNMyI4LG6axooVKzRkyBAzpDCVOCAAOJg7QBzzFmlmgsPMwO0mTZpYxOIfcZXo8eymQHHfP3z/vT744ANz0lOPpGrC+An2d9a3T58+9nwNGjRQ1249DcxdfkVD+32rtq2M2SXCxjqMG/uIsexE2Eih7Na5k/356MxZmjBpil7HQZs+U7NmzdI111xjIJiIGkYcgM2w4gsvPN+Wkhk6zMLictv+/1+PsGWnZ9icP5y9Xbv3aNjgwRo2apS++OQTdenWVXe1bK0Wd91pkWHAGs4dg2GJrI0YMcKiIcwQmz17drE84zxBKBA5wnFi1t26desMrAEKGzZsqE8//dSibAA2zgifyVwnoskw3X8bMucEETan1ifeRhsw1H727MdMxtq0bqflKxZr785tur15U1133Q3q3q2HevS6TynJpTV02CgbAl2t2tn2/K3btja5e/b5Zy0Ni/bgpESOGzNWC+c9bhEoSKHH5i8w/fP+pg9Nh7DW6J97Ona2QdIt27Q1EoIaNn8gqMi/Oqc3VMNGberbb7/tgKmXNuiqq66wKDr2gLNO3dCMGTNM7+Fos5aTJk7Rjl27tXzZSg0e8rA2b/7aZlCeddYZKvL7bF7bvPnzNG/ePI0Z/Yh91pAhI0x/bv5mi1KPHLIoPO/j/AMUWZvu3bv/I1RnyJM/4b2ue+45IwXff/8DiyYCfrG7nTt1VXRsnObPW2g6kzWePmOqAZX0dCdCC4lCFHLmzOlGALrgfjxkzTNrNWHCJNEDg9exNwx0xw4CeLHjHTt2ND1KBLNXr3vtXhmfkpjo1Fz+2ZdLpvInPsbWrVvtPnk2dBQgnWgXA76x2eihJUuW2FlC7yGD6CeGX//rX/8yncbvifY7Y7X8eu3VF9Wtaw+z66efebbuvvtu9e5zv4G/zz//2vTWuudftPdNm/GorfPwYQNEDRuAbcmSnzWo9yK1atmsOCUyJytbRYVZiokKkSkuYNuzf5tF2CK9McWA7Y4WDmA7GWH7s8Xp5OefXIGTK/BPXoGSzT/otIXTSUTsxx9/tCgBih5muH79+urUqZMxcTivGE0UPFEhInCkgcGAw06i2Hk9F0Zm8ODB9nocPVhP0h1J2yM1AwMJaGPwK44uhmjOnDnGjP4SO1yyU9/fYt1DgI10SBuenOgAojc2bjRnnrXjuXEIBj70kGbOmGHPh2N/wQUXqNltLezPyy5vYOs05/E5atKksZq3aG7O/euvvqZDhw+pVGKCRcOuvqKhzjv3XC1YvEQLH5+vwSNH6vF5C4xh5ftZs7p161pXSoDBgAEPHjMs210zd7bY/3XAtvWHH01GcdqQ70Y33GjOH2l9/R64X5OmTNMdd7aw1CLWrmfPngauYJDbtWtn/+Y84GBzHnDiqD1r1aqVRTMhIVh7HCY+l9Qjoqiw05wBt/MkAI8uniUHzbsR6L9Ujn9HSmRuXq6yMnOMdDl8ON0i4Hfd2VKPzpmh997aqD59e6lHj55q26adBg8brtdfe0MTJ00zYNG2bTs9/PCD6nlfX3MYN3+32RxBWtErUKS2rVrLl5er59ev15sbN6pzt+4Ghg8eSjVgA0nE+UhKLmX798j4R6yGjfo1rr88JTIE2CBR0I1EMnhO0ufIFoCggkghFY2IIdEhIu0LFy7U2DHjVOX0M/TEyhVa+cST6tu3t6XtXnDBecrITLO0vT59+1gq5foXXrIU8g4dOltqaeVKp+mll9dbBJKareuuu87eizNPt0Ouvw0p8JsC/tvRUdYVvcjwdWwSgBRbQor93Xe10vU3NtKUyZM0ePBws0GTp0y0NbjyyoZmy9C12Kvnnltr59clrHr26qmvvvxGy5atMADWvn17NWvWzFKdyVRAd0I4staAHyc9N7K4NrjknMs/8/yWrB0HpEKYkgqJfke3PPnkk0Z4EuFn37E5yB+6C6AJgCMlEhv0/vvvG3lAJA77W+TPtzmcT6xYrH59HzCA16Dh1U5GRsXKltJLlJw1T0vPspTx73/cZsQiTXDKlIs3wLZ27SF1az3JAFuD68IV5tlhA/AC/px/T4k8Cdj+THE5+dknV+DkCvxfXgGXwXNrzmgdDaiCDSYCRooIrB4gi1Qe0h2JpsHswT5S6wP7iHHEqOEcw+KRTuI2JAHoUeuDoweowFhQ33PnnXdaegaMHREOHBNaDfNea2VdsWLxvCt3D/i5tRkvUSf2V+5PQV6+pezYVSLn8EhqqjkYrCtOP9HKMWPH6omVK+2ZAbtEX7p172WvqVm7ljkGAx4eYOBh8NBB+vbbb/XEipWqUrmKRdh++vFH3XpTE9WsUUMrl+PkPaUxEydq5qxHzZmFiSe1j8gd0R/SXwBvGPbSpVPsFmke4S5ddnauEuKPDuf9K9fxv/3uE9WwEWHbtm2bObus+cUXXqRJ06bp/bffVqMmjbVg0RKLsCGjRHlZM5weABiRT5wTIqUAs2rVqtlt8jp+R/v05557zhzFtm3bmjMOCQHgOPvss+28cD6INJGORX0hDqE7LqBkl8n/9vn/8Pt+B2A7nHpYpVLKaPPmzcrJKTAgVrNGbc19bJbefO0V3df7XrVs2VoDBzyk8ZMm69VXXlPPXn3NuWzUqLEmThyr0WPHG+hd/sRyW5vEhHgV+vLU6q67lZuVabKLE9q9Zy/7/IqnVrafoRs4J6+9/oZq1qypW2+73YAIax8XG/XXAzYFxHBn9hJHmvslwgNR8+qrr5ruRN9RY4VOJdoBsAe8jRo5Rpde1kAzZ0zX/AULNXToYHOyr7vuGqs5peEL4I4oyexZc+yZO3XqZuf7lpubauq0ySZL7dq1MTkEtAE6SIPj3JdsdvOH5eRP+4ATAzbWkLS8/v37W2SNNHNIvhuub6Qrr75Gs2fN1qxZj9r5Gz5iqJEtrVrdbfJHVJbo+osvOnVXRNjIeOBc//zTNj311CprOsL5BZCge4lWYrtIsST9kMg768qcUFIiU1PTTJ/+b4E2lt4FbugyCCMisegl9p1oIPcHyCSbhZ9jm7E7gDRSkrHPH330kYFZ6s/JZiH11hsR1OSJ4y19l1THOnUv1Z133qXYuAST0WnTZplct2rdVoFAUJs+/Fg9e95n2QMRkdHyRktr1hzQve2mqnWr23Tp1QTKHMCmYJ7Cw0JjJU5G2P60E3Tyg0+uwMkV+P9oBY4fQYCz0a1bN4tK0AyASA8gCsOF4scQwsaRvkg9i5syhhHBKcYxgaVzO0eSqkMxNNE6DC5sJmCN1ECcL+oPcDJgpPk57DNgEcN7/fXXm7F22xc7uMjxMv8WQ8lLpEQaIPL7nSGmIRD37jvvGNtJbQrPCztMihjAl5qI25vfZa9vcvNN5qD2f6i/rUGHju3NgV296hmVKV1GgcICGw1w1x3NVaVyZS1auEiLFi3RwKFDte759apfv55+/nmbgQIcPMAx+0VUhJQWQOK5555jzok7LJ1udP/XI2xuu80dW7fautauWcvkE3Kg6W3NNHX6TLW/p4Mxz0TGDFiPGWOODXLKOWAfcITcMRNEiEgbQg75OZEgwBnnAeccYHPmmWeac05qJDWbnBeces4C+/G36d73OwCbowqdznuMoCD97Kwzq+mxx2fr688/UbfundWuXQc9OOAh9ezZS59+8rkBNoBJy5atDIANHT7UyJ/nX3xeFcqXs+6HWRlpFmErKsi3KCVpkbc0u80iAG3bdbAoCgAYvZKRmW0O9cNDhlpUiahJUlKCEmOdESJ/3XW06UhuTo7tMeCfiBCp4cgUYAAZmPvYYxo7ZoxF1yEFxo+bqHPPv0Dz5z2uKVOnafnypQY6AAXMEfMV+kxPoIOfe/Z5++zrr29sMjp61Ejt2bvP0tEBd8gsUV8ceMgadCc6+O9/nbj+0O2me83VV5uuRFaIXDZrertubNxE4x4Zp8mTnWjakqWLjDBp2LCBAS9sCcBj2bIlBnQLfHmKiozSqNGj9NSTq7Rq1WqlpJQ23QDgHTlyuLZu3W77hrwjZ0R4qVklag7QI+oWFxdT3F3yf2ON3UwYyDf+J+rIeYIEQdcgY9ht1gZbC7hFH3F2IItI1SVyCHilvIH/nfRQvxYvmGc2adq0Gbr8iivUrl17nVK2vJ3D8HBnAPmu3Xu1fv2Lqt+ggV5++RWrwe7a4341vf0mPb9un+67Z4batL5dda8MKKhtonaYtv4e5TnLcxKw/W+IycnvOLkCJ1fg//IK4Hw6A0CduS5ErkjrgV2E1SPlgouIAqmPgC5YX4wCTgdpQKR6EV3DMJIOye+IurkperDGRN5g+/iOOnXqmCNCmqB7wUoDwGjyQGoPzjGMIdE8nFt38HNJwPa3AG0QiZbi5cyPIsqGsWc9ae/9+WefmXPPs+JQYVAxnjCgGNkbG91sztzNt95i9VNDRwxV504ddeU1V1kNz+qnn1F6RrpiI72KCA9XvTq1Va1qVT29eo3mzJyt2fPmafWaZy2yBqMOGwqrXKtWLUvlI3oH8AaQAByJrpEOyVqTSvV/HbDlZ+coOjZW32/ZYvtwW9NmGjZ8uD7YtEm3Nb9d4yZMMsDGUHMYeJo3EO1F/gEaRNzYSyJsyCFOHGvH3hGJZj+JjOLw4BxRP0gzGc4QDDd1iNQ2kQpJVICaOJy+4+cd/mU65gSAjVozmjS4gO3gwSMW8apTu67mL5irrz77WJ06d1CzZrdr0MOD1fzOu5QQn6ROnbtbLRUpkaTl3turl9XYfLX5K0VHRWrrtq2qesbp6tali776/DOrfSV9a+CgwUZcXHOtQ9RALkB2XHhRDYtw/PDzVjtrRKx69OimyhXK/2VLxxcXt/Wn5brPZ/sMYIPk2vjGGzqwf7/pTprOLF+xQn379DF5AEgMGTzM5rBtePklA2wzZkyzqFz16mfrcOpBI2omT5lsUTeilhAHPXrcZxHblne3VnJodiO6k7VCPyOn6FfkFKceZ/7vfZ0YsJGtwCiUq6680ggpiBAyQUiJJEL5yNjxZnusfmvpIjtfKSlJZpNYG6LcK1YsM5nJys4wGwdonjvncT333POWEoluAMQMGTLYHY+p++7rY109ifCRVgh5gF167LE51onyz244wr4h/+gf9rfkqB3StiGdAJSUE2A7iL4hW2S/kOXCOSL6D2kEuON/1gMgRg1bUZFP0RHh9hqIKQiGWpfUUc2atdWocWMDwe74gPkLFlm3zOrnn2cRTmzTlu936sUNr+rF9XvUt/NsA2x1GhYpENxqg7PDPb6TgO3vffhO3t3JFTi5Av+0FXBbB7s1DzgbRAyIchGpIeWCCA1ADEVPeiNGAmPB/ziqRMJoX063LVhiHA8cWSI8ABhYT5hKjA+NN0jBIMWJlB5ABpEKjBAgEKBI1I7vJiL1dwdsRNUM9ALYSlzUtRFtIc0GJw6g60YOeUacgdc3vm2O1fU33mBRzMJAof1804fvm2PW3mqAHqbVoUYMH65xY0br7bfeUpMbG2n9Sxt0ZvXqmjd/YbHzMHv2HAMG5tS1bGmOCGk9AAn2FEfGvYi2xUQ77dr/qdeJUiKZwxYRFaWvPv/cwNedd7TQxClTdOTQIfXoea8ys3OtQyckAY4e0QvWCbmkDglWGocb8AXQxiEnUkoznqefftp+hwND1Ae2m32FdOBckNIKUCf6Aanh1mqyn7Dhbie/v3Ttf0eEjUiPvyho6X7UsBG5Pf+8C7Vm7dPKz86wGrbvv/9RtWrW1sa33lavnr3V/A4nJW3Tpg/s9R989IGd9wmTJ9gZp+06qVgfbfpAo4b2rhrEAAAgAElEQVQPs+jHl19+qYTkFKuFJSULAgIAQv1Nx05dbE3LlCtva4cjO+fRmX+blEgIJc4/UXBkCPnh3EHa3N+vn0XJSFtDR9L8gujjgvmLNH/hIt14Q2P98ON31hkSguq9997RM6uftjOMwwx5UKtmHYt0+P1hRn7RWTIpOcF05+zZMy2iAkAhsoduRscinyUzE/5SOfvVL/9twGYz10LT1+vUrm2glGg1pAg1gC+8+JKuveZ6i4ARuX5k3BiLrFGzRmdXzjWyNWjQQ/aaF9avs5RACJUJ4yepQYOG2rt3vwFA7BbAmjMMSGOd0c0AGUgvzjAkDdG6tLSMY3Tpn7W22BWiishByQYkkBhkpCBX6Cmii5wbdBw6i7OK7QTAYVex22SyYIvJMAD8Y4PbtWppNXCQU6xtfFKi3nn7PY15ZKzpNi4i3RMnT1LHezrry2++NuDHmq5+doOeWbPuJGD7szb/5OeeXIGTK3ByBY5fARewuWkXOESkPpJ2QloFrCIGC1aYJiGwnDid1KKQJoJjxs9xFIjkkLqEMcHgEe0BqJGqA4AjOkEqIODEHeBJdAJDiBMDSwr7iXOL44yx+TunRNq8mRIzj0p2imSdP/7oIzOQpNt0uOceW/pVTz9tgJb1rVuvgTlkZcqm6L33PtTiZYttre+8u4WlNMVERVs0MvXAfi1butTSx2ZMn65vvvxKnohIDRgyRGdVPdtYY5xEAALG2anheMTYeQw6zOoVV1xudRdcpENy/V+PsLkpkd9t3myAq94ldQ3ExiQk6MNN72v+wsX64acfTdZwUAAJONU4vzhxyDIOHrWVONA4em7Lf5hsHCbOA5E5HEbkm6gmZwK5J62ScwDZQUobn0H61d+i4QgC8DsAm6MvnAG4Bw6kWlpV+XIV1bdfLyXEx+ibrz7T3LmPW1v/08+qqq5duuuMM8/Uzz/v0IQJEw1oVD+vuoGKlNJJGjR4iHbs2KYhgx5SlVMradniRQbKkOGmtze3etkIb5SlfrGO7En/AQO0fPlKDRk+wqLJEEBNmjRSQmiQ/F+n1R3AwegI9ACADZ0HsOceT61USfv37bPUcSIgdPbjXF/esKH27t6npctXaOPrb6r6uWdbF0KIqvnzH9eLL71gxMDVV11tnSLffutdZ+zBldc6XSejGVIujRgxygY4U3MJYYCOZr0hiEiL/PtfJ46wsbYAdNKJybrgrDEuYetP2zRj1mzt23vAZITfn33Omfruux+0atVTltFB9gKRM9JM2YM33nzd9AA1WEsWL9Pq1WsVFhZus+s6d+7o7GVRwF4LSOK7OLtEq7CLZEn06dPbonDuLMs/e41d+4xeoRkXdhpbSgox9hmSFFuCnYH0gDDimWnixT27WS/oKTI7sEWQCZzjQQMG6urrrtNbGzeazQ/3ek0PNr6piaVScmG7n3jqSfucz774wt5H9kbT21tryLDhJ1Mi/2wBOPn5J1fg5AqcXAFWANDEhSEoOZgTIIYRxGgBBABtOJkUPJMawgWwcAe2wt4RZeByB4jzPj4XlhBnw82/xzHjZziwRPVIN+ECABJ1AMxQ00bE43jH9u/WdKTY4Q2JE84Fz28gMxRxy0hPt38zRNcFdDh2GOBy5Z2Urpw8n2JjI5WTX2AguEKF8iooLFDQHyhu6897C3JzFOn1Kj31iEqVr2gdRHLzCsxpA4zR/ZDuhBSas1ek7NE9DLbZ6w0/ZhYbDUjCHT/8H3udKMIW8BWajMfGxYnW65HRR2uegv4ihUVE6qOPP7ImDe55cJ0i5BcmnzPg1pyV7KoKEw+TzZ84ku4Few3LTWSVfcCBpnMbDhCd15B7Nw35L1/4EwC2nNwcxcXGGWADhERGxpoTGBeboNi4SOVkHFFcUpwy0zJUVOhXqbLlbKh2qMxUBQV+W/+kFD5DyrYZbJE2yNjrcWoo/QX59tmsS0xCorNPUTHWSIcINSCmio3+2K+33n3PdMQVV1xh8kyq8F955eVmKyY21s41ugw9x/Oi45jLlnbkiFJwfINBqy07+5xzim+3sKBI3qhIHT6Urti4aIuwOe3bgwoEGVZ+NGJ/6FCqyVpsrNOFlmkGWdk5Fknj7Lvyi3PNyBXSUV35/SvX58TffWLAxuBxziH6Eh3qXgV5PkVGR2vP7v1GqKBu8/ILzI7Rdp+zyl5w7uhKyp7kF+QqOipagSC1h5BcedbWn9ejDwGGrOezz64ze3T++eeaLL/88gY7x0RJHZ1AiiJ11Cd+wj/yCp4FmUAncbn2EP3BmcEuW810VJT9SXaMa585P65NplES8kMUzb0gn5Ljkx2bFOFRYb5P3hgn4yItPc1ei82GwGLw56X1LtWeA/ssNRkdd/6F9XXGWZW1ZvU/rOkIOu8/2zdHWHiTqy9ZpH//DIT53y3qb7/nj4jHf/veX77P//bT3Pf95+v6R7/x5PtPrsDfbAX+lENw7Hl1m3i4KZFHm3lQ3xZmShtD4Xa1cxy3yBDgchwwLievP8pxzLKzzZi47KDbMRKjEgz67T0YU683SoVFfLbjeLlGEF34S22p/7O2/kf17G/v6u99nfMpx25JwNh17isy8igYIE3SQ11g6E86yeHAUefijYpwnNLIGPn9Tuk3zkZubr4iYyLNGTuSfkSlkmE4PfIV5FukjS/2+3wK90YoJyNDcclJysnNMzDCxfvZSwri+bs7fPeX6i3+d9v6u+v7S87ZH0OMvwzYPMca1uLNDyg3K0uxOH14Wn6/fEUBRUY7AMoF2vyJ3Doy6dwfzh8OT8mzwN95LTLvdlktCehy8+mSFmHOnZvWxGfxPpfEOE6YfkVM3fP6a86tx2YicTlt7lnv0GvDIo4NogWLaOOmYOi5in2OYqEu+R3O97qOP4OCWQNe6sv3KygcSY8KfQWKCAtXmDdCAX9QuTn5ik9MKN6DwsKgwsLDFAj4DWTxqbmh+W4MTrY6sOg45eRkl3DInXV308D4TrfDaWp6hpITkkSmHNeJfa9fkz/nO/5zFRv6PN6Ls+vxqKgoTxFeAFa449u5vwsPKCM9TUnJKfIVkNoWY8A2zOM3QqeoSIoI9ygvr1AxsY4OLCjIC4HaMFtj9GRMdJzpGNKYIdJcveoSWEZKxMaa3mWP/mdTIX97/X5Tt/6uxf110OZGLt3vcPWpIxtO7bUr4ABYmrW4V25utsKCHsXERRu4AfTweoDb0XN6VP/4fEV2Vt0LW0RnRLIR0KGRkd6Q2nD1g2Pr/uh1oiUqWe/KvqNLmM1JqjLPAplUktjk9byG53X1lWuj+bljqyBNwhT0OWDNDlEwaL8zMsnr6CyXgIiI9Crc45xdwC7NWyKj4py2/mv+g7b+W3d8F2TjvBHR2r+7SM8/873ubnmTzqslBTzpighjAznZv2wYTjRp3fUgzNDiZIQMryNIUda9KD4x3j7dUWjOJiJYCMdRlsMRSjvgtFBRuHVKCoSFm7INFPltkCTFejg0poTsdR4V5Lutoz0qKPQpII+83gh7TVGhT1Fex2Fio/jf3ZxiIbfvDCvuqsZGsNHcn3vwjwppsPh1vzYEGOPEhWJw3A2K7p2uba6zRyGnO3yQz2HjYTNiY2NM6FMPZ6h0GVjJkof1qAK152EJAhTJOwWeR42L85w4dDGxDuPCc3BffCeXm27lPhe/595cRVZsCIJHn9f25zf+XbLok/U7vksd38HlsrElGzqYTISaOrj39LcpPP+jGuf/8/eT704tAVEm9t5tpwxIOVE3uIjIcJNjk4Uw50x6QrQd8uUJSpk52bbCsIvIXXZujslefHyiinx+k6swhSs8IswMEZ+BDjHFHhNj54Lzw8+degCcJJ85mnSBIvWL/Hzqm2DPaUyBDnE6asXYz1D+jkGLVEyM01QBQxYRHlRubo6SkpINfOVk59lZRG/x+S47mJ2d6UTZ/D7l5GQpOTnJokN5eQGllDnF7pH3sWawoaWTSwuD667f8Xqaf+N0uo6nqcuQLjn62oAChXx+aWNHfUQASpUync0zwaBmpB0yfRwWCJPHGxFiuMPste7F/qDrYVZ5nqzcHMVExii/gKHCUfIbCGXNAFWekB4O2vMQecGJ8vnyjQWG4T106ICSkhIVFI1J4nX4SJoSk+LMYcvLSbd2y6wxoCs+LkWph46oYoXKKizw6fDBA9ZSmr3GCQmPipYf5RvSx6wj++4yrycaf3BC+3eCs33U8T/W6XI/l/UCOOZk0kHPa/Jr6xkRYRHA6Lh4xcUnmp10SQHWzdWvyAwyjSy5TWzYB5hkZBm5Oqd6Nf3w/U+21uwBdpjfE1nEDpiTUgSw8lrkwgFnhYqIiJQ/4Ohx7hNbxPch/9wLshrwy2SGlCPmvXLffL4bcfYVOPdNGpLCwu17o2Pi7NylZWYoMtyJJplNynO6CEZHOVEYc7wLisye893BkIFz/nTWk3uL9IarIL9QAX+hor2R5lv4fQ45kluQJ3ljVOSNV3hEpKL82QrkZSicwcvRsSoIj1dGXqESYqPkz89SIDdDSSml5Eksrx279igh0qPoqHDTM8g1z2+fm5dnz0q6mKtzIsIjLWKYlZunvOwcm2nljQDQZZmzl5ScbGvjDh5mvVhrd9/y83Nt3aJjY3T44CF7ftYOEEe0JCrGSfdCPmhqwOe4+oM9RLbRP4nJSfIoXDm5ucU2+Jf0g2vPs7IyVPWMqtq9e6etqesfBcI88kbF6WDqYVUoW8GewyE84nTo4H6LMCCX7G3q4YN2vzw/Q5nRF/JEKDoqQWmZqUpIIqrol78QwiVGvoKAUkolKCtnn6Kiw5WZkS8FvYqNLi1/oFBh4ehpj/LzgoqOigtF55ymNoA0J0J+2NaG++VnRN4rVapkdsbdp7zcAltz/B6XOOD16Gt09IlGR5zo/LLmnF/kmDPDZ5OubjMFc/PkjUpQcnKK0tPTlJOdaTJBmnhOLjo+WRFhHqWmpxngjEuIF6NEIOhiY+Pk8YQpMyNNFSuWtzop6se46HyJHWCsCzrOJTeQB84i68Ce8Kcn3Gu6kgYaUUYC5kpBv+mCw4cP2n1Tl4VcQaBBVOXk5dqYCnRBlDfC6ooZ2XHkSHrIR41VxQqVLIrE+pnfFu741+wH6+DKhb8wYHqE++G+kVPkhu/jfbwHeeJy61vRW9x7Ukqiwr0e/bj1Z1WueGoIkOc7xJDP8eOxUzwLxA+y4exHrJLiE3Tg8CHlFeQWnxXX3nAP7vcjF+gk1pLv50zz3a5vHh4MmJ3inrhPfA18AyNcsOIej70/pXQpBQNhOnQk1daEe/P5IxVQOX35xRE9vfBTdWh/p8664JA84TsNx5CtHCjKciyI2yXysy8/CMICI/SH90svrv1Jbdo21QV10HY4OgCoPwDYQgaLsKyBgbAwA1CmSKMctikrF7Y00oY5muoNpZq4KJ5Ny81xQv6g9OIrzKPM3AJTYNyhP+CXv4CwOl1hPMd2HzPnxJbQ5pPn5wMYPYoOD3fSCmByS4AIhMVVcL80gLakHS6JyN2flwR1/IzXuOzNUUAYCKHwEK8XdBxH2x/WwKXAQh8KO0SHKC4YpTAPyipCfl++fP6AtcIOBEjxyVNEVLSiIo+OxTRAnJ8nT0CKjo1yGMQwh+nzRDhddFwF7bLw7BF/5/C7h4Y94ULoXcDEsxqLFRNzDNhyDbk5xGFhxwzyRYm4wJX1ddeYnzuRA6991m+Bsr9NHUNJYTj59/9oBZAdUvooaKbg23VO3K5Ov/VhOGY4c0XBgDlMRigYYQOACJ12j8f0Dq85kpZm8owyxV9IT8tUeNCj2Jj44giBNzLcZA/Qw+ehjJF1wJUZQl+eOU3oCpzRYDBc8XGJior2moNgyjklSXHxMabYXbYWZ82JDDigz96rQoVzIMP8ys7Ks3OWEJ9i3we4w8C4qZY4M3yH4zCF270dOHRI3uhEhXkcBxb9yHwm3sdnmU4LRQp+C7DheNnrwgKmH+zP0Pt4Tp77lPIVlJySYk0T0DPol53btqpMqURLzWJd2Uv0kDU5YcZM6Fxzr1nZuWY8wyOjbE3MKYr0KDcnQ3m5WUqITzb9WFQoM9joPz4Hh8OJ3HhM3/FciYlxtgd79++X15tk82wCwQLl5qUrwuO39ChveKQ56b6CoMqeUknZmbn2HGVKJTuOTtYRJSQlqaCwyGpnDGCHOoo5QCY7BLJ9vynPfzZgY23de+P+ggEnvcccBoXZeufk5tu5wUlH9pFBHCCeg7/zLDgc6HDSvewMkF4adJyhg4f2mzNB+s/27bstJSjSG22OJTJlTmsYzlOhyR2ADAeY0+b1xjhgKAhZkBciNcLMqXabDLDfhT6HACldupydnUMHUw00l06KtzO8becuBYJBnXnm2crOydGhIziiFYsdp8hwj+Oo+4MmB4FCQGukRbAB+YGwXwZsOKCsF44v/3sjwlVU4DOnGPksf2o5fb99rwoik4xQLji0W2XiPDolMVp7D6SqILaswqPjFR0eVEyEX7EBn45kZinTk6RSZcsqPD9b6Yf3mVOIvOYXOtF0J83WiRhj58qWq2Brt3XHTts71njv3t2KjoAIcoha1sX1Q9g7FzCgD9xIEL93GX6XdOU5XNl1RyegA/if97qf6xKm3E9x9D3M8RF+DbCVK1PaUitdkI//wbPyWZ7wCB04kqWYeMepReYK8/PseU8/rbI55TwH+17oc6LX/J77AYwEw7xKO5KrqBivomLzVVCQLwViFRGeoJxsn3LzMhQTV6iUUqRCR9jPc7OlrKxMJVl5kF8F+R7THc7zOh0BkVWLfkDcmw53CD1kFFmIi4s1AoF1K1e2ojIyshxQbcSQz/Q0Osgl8H/TBhVHWn+ZcCmdnGRrw5pYF1/m54UIIQinjNxCZWRlK8LjMb3m9bBeBfKGh9m5gyijdqrQH1RmdpbCPVFGTOT7CGiEqVRSvADU6H/AKLMrmTfHe0iLpz6r5H7zma6vFhaODfMoz1dgOjw6JlK5mdkqLCpQSmKCrQ/gln3NLQAIS0lJpVWEL5uHDx9UhPyKjIpQ2pEMe/0pp1QwIslX4JBGnAnWk9dwv8gA+wGZAwglgkdwArl1AxPmpYf2w9U/7A2XG+Hj51k5mYqNj1FhwPHdWWfWj/Plyy8MRfkde7N75x577xlVTjO7jC2qWLmS6SzWgX13z5WTxRI0Oedz0ZnoYH6PXLjpx6x7Uhypo0ejsqTkm77xRtk6cG44m2EeyJswhUU4pJsFQMLjFfSU07ebs/T2qz+pe6fu1iUyKnqf6Sfa+ocFHX+7GLD9uHWzAbZIb4xF2Nat+k53t7zZAFvQkymPUDr/PWBzI2tHo1wqjniB1jGWGdl5VnxrgMHvGOXYmKhjIjBBHCizFCUORhipDE46gwtNilMaFJB1yAkBERygrJxsJSeVsYg7/hypM4FCv/hst/WnA5ac9twlLzYQBcTPSw5UPB6YHX+4+b3DtP174gEbbbnax3QaC0XJgo4TZI6hMcAeZ+MVrpiYEGglDzvtiBKSYSfd+3WAKe/IyS2w98dEe02tAGhJvUChBXwFKigigpCoAl9BMZPEd7jh3t8TwULQiyMPoYfnft17P34d+UzXOJWMuDkpNL8eIue1xtqG0stcQPcfoYOTL/5brgCKlhxxc+jDw4tTLxzl7kRdf+nCcKH8wyAcQvIPUHMBmzkIIeVrr/F67XfElqJiYwxoZadnmeHA4eV8p5RKMgMHW4w8mi6KjTXAYBFzOZF/LoxSXFySpTDl5eeobNky9h4cMZwDlLsTcfMIwObIr0Pe8G+Y4wP7d+v0MyrLXyR7LYCFe4T1dIkdJ9c+1s4t9+b1OjVsnHEAW26e0yrdIiy0rw8BHb43PtRU4L8FbMYE+nzyeCPNkc7Px/hGKTGllDlfBrqyMu27WZfImFhbM5d5Zk1x3DFYZnTDI2x/cZjCgoUqX660Dh3cp1Ipp9j7Cn1BM7iQU+4ZZ2+YGeUrzDfQFRFBdDResXGJ2rs33SKMRf4cFfiy5FGhOQfGsHqjVZBPumicCiGmPBHmCIWFBeSNDDM2tAh74ysyBxpDzr2x37DGRPScyNGvX382YMvJzDCHA+fBZhsVOPU9Bm4Bx1HROrVSFWOzWX9AG+eJc8O+0cEMubL1DoECXsdnIuOmd6O9Sk4qZb/ftWufORkQCm4KlLnGARwgn607IAinzhNGKhEpfX6VKp1sv0de+HPHzm3G5vNZRnrE4FiSVhVvr9m/76DKnFJK2ekwzl5z+pEriMhMogKe8OK5bWaTwj22r4V5BXa2cDCx6USlfwuw4fwageBxomD+okKLrhG04z4Oph5QqQqnKS8iwRzRstFhUt4R+bJSFRWbqCPBOBUqQuEBn+LBrTkZyinwKTsiRUmlSyuyME/7d28z+TGysRCdEKe8UOqda7cA1ewZz8VeOiDML48RS04aletLuPU2PLebCu1mv3AW+ByccjdNza2/4Qw6kXyHsHEjRi6hzHfyP5/Fa9kf7ovr1wCb31dgv3dIlIBysrPsT8BkZFS0SpWrpIOpR+yM85009eH5044cLo488PNTK5Z3CIRQhAFZy8jKU3JSOQXD/MrJ36vCQp8KC7yKiy2jUinllJObrkJ/qjzhfh06mK7kpAqKieJ78hUdV6CDpjcqmM50I7oOERG0NSJaxfcgA/zJs2Nnylcoa+eBf2dmZBs5xFq49VouUGat3b34VRt0AsDGenBxXzx/Xm6O7Q/3h/6Kik9RemaWkhMTFQ3pd+iwESOx0ZFmk/h+9NCh1DQdSU9TubKnyh8MKC2Dus8E5WalG0Ho+mEAPMAwMoY+c22IAewQUHABPEAlTPjfWUqMizUCJWg+uUd52VnFUTD2E2IIQgVdmpefbwAOvzVYmK/EJIa4+02n0FSH+z6tyhnFES/WlbNL9pwTsafGkhEuHsVGxxko5Ttc/QTQAXyyD9gAN/2f16D/0W80PSHtcNee3SpbvrzdK+8H+PKsOPhupoEFfqJjHBIrRMLys/TMTKc0IcYhF/k+l0zgPvlMzg72iGfjPS4OQF7I+oiNjDLA7JIqzrpAIIYVBx7szOX7nHE1kQ6uMf84IsEA2ysbvtXMR15Su7Z36Pw6WfJG7lFBHhHlPMVEhfCOG2E7dGSPAbZwT6R2b8/X6pVf644WjXRuTSkYniavh5S5/x6wWaF3QYHVH3AVF5FalMsnv0V8nIJAX2FA0V4HeLgpkRgbS5eQU+uAZ0ObYS7qD6LjEpSV77O2zQnxcXanCISfGQksck6OA7DCwlUU8Cvc4zWAV+SXpdckxcYek8NtTlkwWBwpOj7l0T24xqKFDpQbnXIVpctq8XuEzGWaXGV6tBjbiWphDF3Ww4xPwAkTu3n9xwCnUAGe1W4E/fJihViyMNKjSLWMUHRMlDlzJXN7jwdsZpFBrMEIy6l1o4nu8zlRBkdYEGL2ECWDYuZyo5/H18n80nq5oJX38Rlu/Y77Xa5BsahrKDeYn7mhZl53fGocn2kH9LhW4L/pXZ385d9uBZAfcxiOi8Cy/y5Y+nVjKXMcw2Gtjh7MELFz3LsgZ0LybDUTCig7K1cpCYnKzyuy88e5Jw2H7lVE2Fxj56RSkLbopCAzW8lkL5yUi1xjTdFFsHVOZygnzdmIkMgoS92GaEFmOZ/WvIKAlt00gzzzFQx4jOHnPLrX0deEfhIWMLILZtnJUIiWXxHKyStUbIjEIXMAgsa93HX5tfpel9wpfp0pjRI1PHwbKaciahIwIOm+pyCvQJQsBJk1FSrq5qHcdHfTbSF9ChsPZ5VT4v6cbApIKMBUqD1+MKJECrvzFNSuWN1eVISzt/KL2UJR0XGKjU2wWUyFRUFFRkLq5JnRLvIXyhsepexs0u8S5fcZVrQrMz1NiSlke5hmMWNqzkcQm3Q0Lf/3HJYT1//89qf8Ys8Ke0vIUAcDKiTjAOBsTT9ADe63hikjI1NJVqt39HJrJ/gJQI7Uxl++XPKT6Khz3lgru0I3BkCPsnU/miZvIMhrk4JCJQdEf8OL7eHRCJxznxmAzug4c4poomHRjwCMPsITIO9H2ZwfH2nGcYqLjw3VejgmCh8hCEuPsPmhW5CXMKfIPzr2qKFzUyJLrl9xmq9EAxXqxTiTxcJgEe4okXiUle1XxfhwKZAn5WdKUXHyh8dbRg5PGqEi+dMPKzwxST5PjHxBKd5qVxxSyQeZEh1jMurWo7qRMUdujxYwsLzIGg6fpRQbsDhK7h5PlroEaEnC091TvgPwhp9UMsLqpo0ev/eubbXZjKH7+mX9IAULIcQibP2dqJrHUrGdK0zBsAilZ6EDY+0nv6VvIO/DII3x3yB1g6SLhhvhFBnDuWWV2U+nhjIr2ydPRLbiYtEN6DTeh+8hxcaz5nhyjkz91kwv1oH1IzWRlELkqDjyQxp26LImEsnJxeUgJc/Rr53iE55fsr4KCy1wQACBCHmEqysVLj/P6vznkFQeiEXWIWA1olZo6Pcrj/rmmGh5qJ+EUyiQWEY3UOEC9JIygd0CtB/fPMVJmw8U++RuwCM3L1f+gkIlJlM/WSIwAlDPy7eSAsYiQKgkJidag5L4aK9lnUDe8H1xcU4qIPt35EimSpVy9Ik/VMvGmgJI0bdF+PLhIb1G/TJR/MKAUo8cUtmyFezfWRk0pXFIGQBlWFhEyD55rLEHaxIVHWMNZPD/IWIKSe8sUebk1un5fHk6uG+/kR1mr+zskpGWGwqcOLLgRlZLlkbxbMf7KE6ta4lTbWlxbqaaEzV3z60rJyX9csMhQboe79OD3R9Ts6Y36MK6OUpITDXA6Y0okgI5znq6gG3H7h+D5FkTYdu706c1T3yjO+9q4qREerIUJh7ivwds9l2hwnH+np6WZqk1777zjs6/4CL7e2GAtAGHOYyNijR9gNHHYXfTClgci5ihwV2DhXMgj6lkV3A9llJHJ5ujysipo6PmjVwG2aIAACAASURBVM0Ik0ItmXPz8xURDFNUpFN06B5QNz3PBUwuW2khTQu1O4CuZKqky6SVTGN0wUzJg+9GnxygcdRgkq5IISR7zmeFhx/bvYmwMbU+RAWqVj3d9rCAPPzIcEuJLAwEQweQ1BHZv0kxhcCzQa+WShNpAu3He/EXKTwqUtmZecX5tu5h537d0HPJezfmIuRcH6/AUIqsl5vLy5+u0fllYXc+4fhaOTfqxu/c73ZTLt0Qu/vnL0Utf02xnvz5P2cFOCOuo/NbgNyAQ6gJAAbPgFGAlKljmyZsevdd7dyzWxdedJG1aLeif7peYWRyC3QkNV2VK1dwFihM2rZthxO5CwtT1apV7cf82z2zWdmk8GGYPNqxY48SE5IN6HGRPpGaesiiFlXPqmqFzTwL0R7SVYgwVKlSySJqObmQUbHKyEi1VBOur77YbExflSqn6/QzTlNOtmNMYPEyMtPM2MBomi7NyFBhIEI//ex0mzylTLLZIDeyzrlJDjlSfwSwpaemKjlUJ/fuux9o7759uunWpiqdnKB8SwdxDN0PW7YoNiHR6TjmddhU0qmshio61lpDFxQ5zCdrm5+baTVs6N9doZSVU8pUcOqDIyJ0YP9BS8vj82CTAQnswaFD+y3dpHyFSkpKKmVatMDnODBFRTmKjIiwmpDt23cqKbGUzjyzqvxgZexEhLRr+1bt2LlVl19xhXLzSImMMhC9b98BY+DpqkdE8+DBwxY1/a3rfwOw4SybTJujHFTqgQOW7rT/wEHd1bqNsrJoFgDR4HQkQ/fSEp8LpwO7wdgHnDdsFk4pcgQpAbmYlp6qlGRH/r755jsndej0s4rrub1ewHpQ3333rc24cwkJZint33/Y6jTPPMsBhY7j6LUaHNcGUOMJYHNqbEIuPQ5dWrp++PZrXdqg/jEZIj/8+LN279tvnfuIOlitOdG0yHBL2bV0TKLrBYWKiIo5IWCzzBLAQBHZNH5LS0IJFGZn6+PPPtJPuw6o/g1NVbF8knLY86RIKSKgQzv2aG9euKqfX92ic94wwuMFCuQX6JOfDuh0dENOhk5JcaI6Hmy6J9x8nJ279hjBQ4TTgJjXa00eXn19o619jYsvsAgpINKt26eOF4KXYc0uuQRhzX5xAb45S6Suug0y2FPOCGeNlvdcrt0lcrFlyxaLRtDK3/2dW/phbc5DRPqvATbXcc/OyLCzFx3nALOvP/9cX3z5lS6/+gZVOb2K9u0/ZPeZmXbEvvPqq64oBo/WaCWUxRQVKun48bvvVBTwqHy505SYHKfwiBxLcduyeYdiY0qr+jnVTBdHeAuUk5eu77/bKgVjdF71GjK84wGwFSotPduit26N5g8//GTry/9EYjgXdOXjmSHT3Bp9noGeAF988ZlFpanHdS/XbzuejP4lPXBCwGbdFIPyhcqAvBAukr789FN99PFnuq7xrapyeqWjQDfoBDXSjxzWGchXqNdAZEycEYXfbflJCUmJqnwaNVsS8Q0XFKATkSHWmxExbnTQ7YbI74hcITvWfZj7+HKzuCeGsANkSRcmkIG3jO4AXG/76SeLsJ1TvbpF1CHuPBEeHTqcqrRD+1Xx1PJKSkyxrIRKlapo16492r5tpw0gp4TJ7WvCmbUaQ9L7o7xmG/FHHX0faTJCJoajXzz6bstmsZ8MQj/7nHNVVFhgUXV+v2fPPsUnJKh8hVPt1dk06omLVn6u0y2YZd+yZbPpoFNPraB4ooQ+ygailXrwoM14rFv/UpOBUqVPsT3BViEzrA/p2Jzpkllf3Dv2nXPFWahZ82JlUj+dkqRd27cbMK5yxpmhJlZOiibfj/xRd3jhhefbvWZkOrWu+T4yUsK1aOG3GtR7kVq3uk2XXOFXfMJh+fILLMIW4XEi3MWAbdvO74OkikRFxhpgI8LW4s6bdFFddOgfr2Fzu9SU7Fbz3LPP2lybLl276/4HHtDhtEyVSnGQeKDISXtzB5K6xX/829IbgwFlpaebwY9PTjkGsOXTDczrAD42NS8UAbOc0+hYS7nIzs5XWGSEokOd2Xx5Tvrlf3uxqWwkG+iCNTaOf7ubXRL0lAQoFHWycTgjR5WF0zggISHJZqvQopu5KklJKTYnhHbAbdu2tRQF7E5hXq5Tr0cHGgN6kaboAMEweHEUS4cONt+BQ0tUgqYrwWDAcpgJLZMi4LS9jf236JnVfoRakZdka3BuEOzj2UAnkqBQLdDR9FK3iQS/dxgvR/lzuYAPJeHWyx2fmloSzP23+3XyfX+vFbA03xLpwqa8qSv9Hf1+jwdsGDRSIymONocsP1/PPvusDUDd9NGHurR+fZvtc+VVVzmd1vLy9WDfB8zY0AK/XLnSeve9920INenKGDjmmDHI1VISDRjQSMTRFxiToUNHGoky9pHRxuAydPSdd96yOhvObZ/efbRv/z7Nn7fQzjJtvRnO2aVzN8XFRyk7K02BIG2US+nll17SooXLjC0/66xq6tWrl849r7refOMtLVmySN99/61FSx58sJ/q1qunzz7/XIOHjVFevlOo3a1bN11/7ZXHbPAfjbAFaLDEfKTMLE2bPl0bN76tL778Up27ddeggQNUGgY1GNC7b71lA32vb9TYZnJheCdPnmyDe3EWAUUTJ07U6Wc6ZJPpIkuc9CsrK00jho82PdKn9wM2g2rXzt026HfDhg32fuaitWrTUp9/9pmmT59ihjPCG6uBA8aoQcOaFmVj230F2fIHfFq6eIneeec9bd+2S02b3qaHBz6s3Nw8TZ08Xq/+62VLI7r8yivUv/9gu4vJk6fa7DuMLIOKR48ebd0iT3T92YCNlu3mYIcA25GDB2zAK/f6zeZvdd2NjTRr9hxzOhlS++GHH5qjQe0KM4YYHcGfLmtMa/R27drZ3KmjQ8AD2rx5i+3V++9/ZHUr/fo+oI4d29njA8qef+E5ffDB+zYL7Nxzz9F777+jOY8+pi1bflTZU8qrXfs2uuuuFiEb6ESYISH5zNdff12bv9mievXq6ZFHJqpUqWQtmL9Ei5csVJjfp7p16+ihwUNUtlw5LVy4VEuXLVN8UrKBHWZpVat6hjm0MPJeDzUxpDmGC9uNI1ucSvILETZqZYwwwVgSnbNRBF6l7dtvIxzmLXxcP+7cr0Yt2mnAwIE6v3IZi7Bt/+oTTZ81V4mnna/BwwbLl+dTXGRQnsI8zZ41WwtWv6JZc+eqYa0LnAhbqD3r559/YTpg3/6DBtQYqHvzzTdr67YdNifxi6+/sefiZ3ff3ULhodbmn376qaZMmWIEEb4RttGNmnD/zANkkC8gi9EGzIkC2NGGnjUGJNWoUcNmaUE4MIx82rRpZtNx0pl/xVwp3o88ub7JiQBHfnaWokNNH5yzENTKpUu1Zs0avf3Ouzqt6rlauGSpLrzgXL3z7iYtePwx05tXNGxg+giweLS5mpx5iMuW2UDinbv36/bbWqpTl3vk8WZp0qSJ+uKzH3RqxapqePk16tT5LimsQMNHDtJnn35tgO3qK2/Svfd2VXRskVLT9qt0SjnTJM+te07Llq6w1v8MJX7wwQHWCINZYuwHIAK/gvlgNS6+SG+88Y7pI3yhChXK2Ww29sSeMERMs3/HN6A7Xh+caP2K8vMUga/p2rOAX0sWLbL5g2uffUHN726jHj176YrL69lHb/95u6ZNm6KwoF/jx4931o4mWAFp8dIlWvfci7r9juZq066VBeBIS0dPAUDYb/QisnPttdeajLi+JzPssCcQLsw1xMYuWrJYz6x61lLDzz27mvrd30fnVz/vmAyLjf/6lw2V/nHrNtW55BL16tVXNWperI1vvatRo0ZYSvNpp1fW1CnTjTT88MNP7b5TDzs1qMy1rFevtvmkLlFnDU6iiMxRqwdAI12TCH2OYuMgI4Na/8J6vfrqK3r88Xk6/fTT9Mgj49T8jub65utv9Oijs/Xll1+p4qmV1ePevrrqmiuKO6AGQ0HJtWue1auvbhDnCqJw4oRxqlylshY8/rgN7maPb2l6m7p1u9cyFJgbyeBv1o/Zc8xJZUA75Cl7wHlBtyK7zFBj/caOHa0aF9fQ1h+/N3tBDX7ZChVtJl2btu2NJMPf4DPI4mD9b2t+W7EIuRG2J1bu0kO9FqhVy2aq1YAGXbuVk5WtYCBXxSbIjbDtO7jDABsRtl3b8vT0si/U/A4nwubx/vEaNktJpDtYiYnrbVq31hNPPKVzzztPz617QWdWPdPSIQENp5Z30C4pL4Aedz4LTUecfNKjcySyc3IVDI9UYVCKjgi3+g0ibThbdITisAHSnEMYZimRhGAzcnOtULp0qSR7PZ0r3VlJMA9uAa/bEcadveAWb8LSuHUEbpEv33G8MnR3xg21828AKILLZ5BmheBYG+k8p7sTIVqHUfOYA4QSR7HgNL7xxlvGhNaocYEV/1M34C/INXbY0JtdHqvJAMBR68Ghtu5AIVY+7XCqSpVJMScrMzPDAFtMXKyTYhXp5E2zFjgAXCUBpttBrbgQPfSN7AtMIPfPc7lAzIpAvV77t9utyElvVXG9COvopkGWXC/uh70/mhILI+bkf7uNHJwUnqPycCLn6uTv/1krcKIaSsdYBkJ8XKhG09JqIMJ9FoVhyC8F2Lv27tGhw4dtiO/Ahx6yeSijRo7R4vmLVK9ufb322muKjo7QxEmT9eabb6p+/Xr64IMPVKtWLRv+eTTS4kTFOa8zZ8zWww8P1S03N9XzL6zV+vXrzSG49dabtf/AXnOqAR0obl6Lo+XzBfTWW29pwvhJqlX7IsXHQxf7tWP7LnNOkxJLq3bt2jbHBoYSp4fzT0OTOpfUMqNxySW1bIDn4KFDdeBwpho3ucWAKc7RtKlTLOqeesRpAhAV4Xix/3WELZSWs3DhIg0ZOlRXX329tu/YYQ51u9at1Kb1XXrp+XV69NFH9cqrr2vq9KlmmDZ/+50NEMVJrFmzpmbMnG3Oa+t27e1+0K1x0V799NMWPffsaj0ydoI5ss+ve8lmRo0ZPdYcUYAFTulZZ52h9h3amtO6adO7Ntz6/U2fKNJ7ih6bt0jJKRbcUMDv0xtvvqaxo0epcuXTdM451Q0Ez5w+S5UqVdTokUNVq/bFRpINHzVSCxeu1FlVqxswJ0KB07F27Vr17NnTdO6x9cX/fn7+bMBmoVgirOnp1iTltVc2mONv9YJRNMY4aIANdpu1Yog4EcmhQ4fa0GkcJmZxAXoZXsvA2B49eticqVNOKW0AlbUYPHioOTc33dTUZqCdftqZRgxydhgm/Pi8uZbyyxDcqlXP1MsbXtS8xxeoRYuWevWV14xlHzz4YSP2iAYDypjPxv00bdrU7BYz7Tp06GzRjEEPD9H5F5yrOjUuNMen34P9de1116lbt542d4sB0ABNzkTXLh2PqcEuLKQpFWl6tNQmjTgk4L8A2IjAW20MJ8BPypXP6kjefe11G2B7apWK+vbnXUor8qpjp0566N57tH/bdxrY916tfv4Ndb6/vyZOmSin4XyRPn97o/r1H6C3Pv5O6zdu1DX1aivSE0rfTkjQtGnTTQ/cfEtTc+CIhAIM16x9zux5yzZt7efM/1q6dLHOP+dsY/Zxih955BEbCo2Mu34PNo7I/JAhQ+x8sL6AHc4Wc+rQA5x7dMWqVavsXLDeDItn71hr9uyaa64xMHe8Tf9dgCPkQ+Xn5CgrM8POBvVRySmltGt/qq694Ua1aNHCzjdNNvj7+HFjTY8xTJhnoUQFwn3FksV2n0SAaDqy+ZufNHbcaP207VONHTtGDepfr5zsgN5950MtX7FI6Zk7NfCh+9WkcVOlpxXo1Q3vasSI4bq7VWOLsJFllJqaphEjRqigwGdr8cUXX6jGxbXUtm17Wze6xd5+2x1GeLMevXv3seHc6OUmN92odeueNYKDIeP4NvgXv4cwNL8ypBJOlFLqmKqAtv38kw1/t86ZRzK0fc9BDXx4kG5r2tRq8hYvWKgFC+bpissvM1Dslv98/NEnuq9Pb3380ecaN2G8Hujfzz7SzSyDxGEwM2Qgw5+JAnFukQGeid9jxwAjNPnCjnTp1lWdOnbTz9u36cDePerarbOuueIqZefQIDBeB/buNfnCH73i6mu07vnndckl9XXX3Xdr/KTJlsp7+6036ZFxY3RZ/cuNaOjevZf5aG1atzOS4ZJLLjEiKSGRESxO/TeRLqJ5RL7DLboSMEBKjTLResJunTt10SeffqS6l1yqTz/72D6/e4+uWvfcCza8u8FlDbV1205lZvk057EFKlcuNF9P0rff/qB+fXsbyXr99dfr6aef1LChg63ZzOCHB6pGjYsMzE+dMVMzZ8y1TumAejIAiMK+8cYbRmpxxtwoJb4EoAwCjLOEvQXoTxo3XgsXzjedydn75PMvzN8dNnykyRu2Hjvyyquvma86csxYVa5cUZlE2aLiRHxlwfzvNbDnfANstS9nPMUB68obHRX89y6RO/f8FCT9jgjbnh0FBtiIsF14CQbwj0fYTE5DKZE52dkmSB06dLAD8sWXX+u+3n3Vo2cPLVv+hNatW6c5s2aakI0ZPdKUwrBhw0y5rXr6SVNct916izldIOGFS5dp9/5D1pr54vPP0+mnV9FXnxGV2mBFrigO/gd0zJu/UG+987aqVD5TWfm5KlO6rPr0vU+7t+3QyhXLjBVignnr1q3NaJe8eD9MLwcC8MMGcDB4Bg4foIT74XW33HKLGUoULSwX7D6Hn8+9/fbbzSg+8cQTlsZAKgSvp4aNzyd0Wq3qOcb2xMbGm7OG8gGx33nn3bb55593oTmRKH+3aJsUrGuuv0Hde/Swou0JEyea4JD+BbNCekynDu0tNBwoLLJWqPt27dTCJYv1r1ffUJ26l6hly5bGKKDISKHhfomswSjgCPB8sEIII/fJnxgFWD7ukWdCUSC0Xbp0MfCKUGOcuHAoLr74YlPqHFyUCWuB0uRQwcrDyGDsMFgA2UsvvVQPPvigrRXRCQwPDgZDbDlMbgrIPwuGnLzb41eAvXZrndzC4+Ob1fzSqmEsSY+iQsxNiTTHjBSJ9AyTG84SrPVFNWvokrp1zYlgtMeS5cs0d87jykrLVP1LG2jDhvX6+ecdatuutZ3jxx6bYylI6AKcIYyKkyITYUw/Bm9A/4esq17tWpdo1TNPacSIYSajb7/9prZt/9n0AECAs/Po7LlmKFNTM+xcLlm8TM3vaGpt/Umf/PCDj3XnnXdq8KDh6tqtm26/rbk9B2cPp7Vx4xs1fOQwde3SRZs3f2XO3cjRo3XW2Rdo7tw56t3nARsu/MLz6ywiQVTdyk1+06E42qDot2rYiB489vg8jRo92hz0UytVUo3adXT1FQ314/ebNXXSRANX+QVFWrV6lUUWP/jwYwMFsLzovetvaGQs/4hRI+yOsrLzlBQfo/HjR2vJ4gX68YedatLkBj279gU7482btzAdA+Bg/a666golpySak1qlyql6etUqjR49XlMmL9Cnn3+tU8omCnIWwDZ9xhQ9sWK5nnvueUu1b357C93b/T6rnVi88HFNnTZJ51Q/S63bttell16lmrXqGsgksnr99deqWrVzTCfNmTP7hIf1zwZsxtDTJp75ZwkJemrFcnNOGe590cU1zFlOSEx27OkXX5jOJPOB+8c5Xbx4sZOqlplp+4Dz9uSTT5rDyHrgQO3Zu0t33dnSsh6IGBNhu6ROPZ133tlaunSlZsyYoc+/+FS1a9c0YoOMjkOHD6ioMKDKlc+waPH2HVu1YsUyAxUQkXScw2FDTpEN7Bp6u1mzO+weu3bprnnzH1O92jWM4MB+XXTxxZo4car69O2rlq1bqs4ll1pEAGeK1F43wpafz9wxiFikNpT+zEacALCRfkhUlwjba+tfNOB6WcP6qnp+TdW99mbVqFlTaTt+0PyZE/T8MyuVmVOgdn0G694+D6hK+RT5C3I05qEHtWjZcuVHn6LFy5fr5qsvV5hVucn26O7WbUxPPPvc82b/8F8gbVasfNJs3br1L9rPAU+zZs3QzY1uND8Bu4uN48zMnTv3GLnDL0KX4MBfdtllNvQaH4AhxOgHzgg+ERFM1guQjN4jSoB/QrQFEIL/AuBzSVh0rmUj/CqhY3OUnBrKaEZLZKogP898H+Snbr1LdcllV+rMamebXOHLNL35Jo0ZM1p3trjDfD3IDwjZxIQ4ixIPuL+fPT8ynJBUWmVKn6p69euo/0PdtGbNan2/ZZd++nGPLr6ojpYsna+snD0aN36UPvzgM+Xnhem6a25Vt25dNeDhbsrLT1dsdKLe3/S+2rRpZ8/64AP91blLZ239ebuRZw88MNB0PkRWx45d9f33P2j+/Pnq2rW7zjuvuubNf9R8D3xL7pVzhO1hjVwy+beUwIkAG+tHSrMbXdq1c4eaNGliRFZcfJKaNL1DtepcYimTixcv0OwZM43s696lsxEWEOCcy2UrntCQYUOtScjEyZPUqs3dKigIKCKMZk/UsmYYKc75A5hBNj7zzDNmv4hwA1zx21gL5AjSZ+bsWRo4YLCqnnO2fHm5uvmWJooM94paL1IZ33v7bbM9gJfe9z9g/nH58pV0b8+eandPR3Xo0E59e/XQwIf66+uvNpueYI3xj4cNHaI2bTpYxJPzT8q029/A6dxKDVuhjeIp7pdn6bzOWULGIOixvYB7ZBvgj40kmLBmzVqNGDlas2ct0etvvKPTz6higQvKtxcuWqL7+/bTrNnTbD227/hJ93S4R08+uVwP9O2np556Qpc1uFTnnHu+mjW9S5c3vNKJvNaoYToSvxfSw+0/4XbX5bzh7+LrAu5Xrlyup1as1P339zWSbOVTT2nChImmX6dOm2EkDHqXcz1n7uO2PtNmztKNN1xrz0iEzeeXliz+UcPuX2ZNRy6+NM/a+pMSGemlpaIzAqw4JXLvge3FNWwAtlXLv9QdLRpbhC0s/I/XsAHSMLxuceuihQvNWSd8O3LUGAtrzp33mJ599nlTYv3v72eG/dJ6l1hoG2WE0FDngMKfN3eOBgwYYBs5YNBgvfvBx+rWs5c6d2ivTZve0+uvvKqbbmqspUsWGVjZuHGjsVzdut9roeToqHjNmDNb11x9nTED/fveb7mzHCIUI2zwyJEji3OdUb7vvPOOOnXqZN/PpiLspFAhVDD4GDhAKN8HCOFwgMxhOWHMcEhh2RAK0hUQfBjmIUMGmeLd8MpLdpj4O6FlWJCRCOPs2YbSAUb16zcw5+fyBlcYuAIUUYTf5Z52li6VkJyilzds0KpVazVm7FhLTUI58xk808Z/bVAm7XDjE5WdnaFJ48fp+RfXq03rDtq85Vsz8oAzQut8Nu+BmcW5xPDCzLIPCDQGA+YMx4xnRUEArlkjjATGhT3CiLD+/J4wMooD4YVRxKDwP4cPxc5nE93jvXwHa4YDyrOj8Hkt63bllVdaqijAEFB58vpnrwDny4rfS6RAYqDcetETGcuSNWym10L1USAWDAQODdGfc847Vy1btTICgAYOsx+bo0qnVtHUiVNspgxGBYeqUeMbjJSB/OHfvJ6zjVG0+wq1lsc5SIhP0qZNH+vc6udr6bKFprcw/M8887S1LYZUQEYBHKueXm3Mck5Ogcnu6FFj1X9APwUDNEeK1MsvvWLpE/f26G3ggfPP2eH++b9jxw66/4G+5rzOmzfXfrZg0SI1vOoGDR8xSo899rgxnJ98/JHOrV5N6Rl0xHXmW/66Q/Y7AZukTz751AihTz/9Ujc2aqS2He5Rq7vu0O6d2/XBe+9adgTO6eBhw83hPnDgkGUHcIZJyzmlbHljeSuffoYivR7L46fD5AvPr1VWZprefOMdS+t66cVXzVG65ZamxfN9MPpTp05Wk5saGWBLSUk0GzJ12mwtXLBa02fOUavWjcxhp4HJ4CEPadVTT2r9+peUmJikq668Ru3bdrRmVC+tf04LFj6uU8qm6J5OXXTRRXUV5ok0Zw1wg35GvwJy0Ifu8Oxfk8M/G7BZC7wS412++8ZJ03399Td1WYP66nZvT93dsnXxoHXWmnVGPtC7ACbWE/3N3/kf+cMRJGKGo/3Tzz+o5d2tbZZT9eoX2GcB4AYNekivvvqaER+bPnhPn3zykTkrRNgAbcyvWrJkhXrf11eTp0xUr173GgDkcyEhsRuw0shxlcqnG4isW/cyI1CmTJ6mpcuIMFVV69YtdUbVarrq6qs1YcIUjRw1SvUua2A2FqcNAHNKqRRzyKh5CQSYg8rKnxiw0b2V2nDbJ/Oug/bfD199bbbrhZdeVrULLlSvh0epdctmStu9V2tXLlCt86vpgQGDVOf62zR1xlSLsK1YskBrly3SVdddr3FzV2gBEY1rGxY3HTm4b59uaXabydDkKdOMoCFCQQraE08+bQz7/EWLjXjFrxk9eqSa3HCjBgx40PwFzgo2jvuCtHZrqKZPn27pxewhdX3IJzYR34Lfsdc4yew3ewjRy2cQ2eC16DBIb8gkaruws8iJtef/Tf2AV+lEeItTo4+kWsSf9DGaPfXqN0AdOnW2ewUY1qtT2/ynUSOHW6YCfg8+RF5uttUc3dejuwFHgENqWpYurXelJk2ZoGkzR2jmzBl6+81PtHdPmho1vkUTJ4xVTt4+rXxiiZ5f97J1iWx8I5HFGzRh0iD5irIUGRGrf732L/Xu3df09AMPPGhyAwGGP9mvX3+LCPbq2dvWZMOGVyxlr0+ffiZ3Q4cNsn1AxvBNIJVdYPF7SjBOuH6h5h15DOSOj1duZobtx8KFS3T2OeeoW69+6ti5i4p8Pq1Zs0q+vHytXbvaukRy1njPy+vXa/7Cxbrgogu1dMlKTZg0US3uam4dh4M014uOLG4sQhSdfQe0I3fsMzaIiBIZH5w99BpgEOB3drXzjNk775yzNWbsKJ11+pkKWlRaWrd2rd0r68ge39e7tz755AvTd1P9kgAAIABJREFU78NHjdY997TXw/3vV99+vfX2W++arwZAxn61btXWfE/AISR85Sqnmg0NoY9QndrRVhyMZHC6nDpp6MgC/jOkAnINuQKYRofwOkiOUaMf0dNPvagRox5R+w532PuoNZ02fZYGPNhfDa+o78wWTozRwvkL9N77b6t3z14WUb3gwvMsJfLc6jVUo2ZtO0dkwpGJABmB3oIccZvb4d9ieyCbAF7I8Jgxo7Ry6TJ1797VfGJIl1Vr1tp9Dxk63IAb5xgiEAKHPSF9+JabiQ5LBaFuRsuXbVf/Ho+rxR03WVt/mo64NWze8NBYGTclctfen4tr2OgS+cyKr9TiziYWYfufqGErNnTBoDlAOOY4NRj3Da/8Sy+9/Io+/eJLWyyUW62LLzL2cPKkCeb848wjAM2a3mIL+eSK5eYIIUTtOnbSGdWqa9io0TrX0ip92vTOu9q27WetWL7UGAcWF6Wx6pk1+tfrr6l8uUpq0vQWSz3s0rWTxo0ao8qVKlp0B6cNAPHRRx9ZaJQDizMJ6wVjgaBzoBEeQCBCjwOFQeTAw3KgRNlU3k90jXoIom1Ep3gelBcKBNZi0qQJZhxxAgmpouCpCwAsTZkyzVIf2HyUY82atU2AbryhsSkm0lUaXF5fc+fM0rgxo7Tiyaf06Jw5euqp1fr6m2/0zNpnzRjzHupe1qx62qbYY/D27dutlne20JYfvtcdze/WSxteNiYAwWrcuLEpNg67m04BqwBIBWRz6HkGhA9Ah5JmfQknwzIQKeT7eC0AFQNC9BIgyL2wb3weTgevQ9ABqPzJZ8O8AcoAeISfSSMDQKI42E9AImCddUYeTjQj758NZ/7/uXuUsBtlKzkmwi2+/6WVoFuWRQlCXSJpOoLCNmsDYCsstPOFERs7fpylZkMIPDx4kLX1Jy36tluaWQ0axpEo8HXXX2PEycCB/Q0UIL+8/7TTKhtLTQ0bRojz2r7dPRo/frJ1y5v96ExLZSEXfvXqVVa4zXcR4YcMIgUM4FamTHlLueje7V5NnTZRHg/AMl/PPfuCRZ/Hjpmg9h06qOXdrUxfwv5i+HAuOnW+xwzLe++9bWdiyLBhuu2OVnqw/0Omf/juZUuXmC5LodOXIVgXsP37nCB3cLbNsA11h3TnsIW5XcLCwpSTlaW4pGQ770RAnlm92hzsoYMe1t13NVf64UMWledZe/buY3XJW7duN8eJMwvJ9eZb7ziGvF1b6/xnxtWY/SKlpx9W3z4PWERzzep1posaN77JjB06FjAFWBg6bLCRPWPHjjJ9s3vPQW3flqZn1qzTjY0wWNSw5WripHFaOH+eNm580wbMNm50i5rdepsBiXfeel3z5s+1lt9t2rdThQpn6JK6l5keB7Cho9gvGjvgJLvp8L8O2I5d1//0xJ5o8C6iDENvXYQt/TtoDQuQgxUrn9Y551VXu/b3GABAF6LDcdhw6LE5OGjYJfQuNotnRP+6woGj/e2Wb9Staw971jFjxpsd3Pj6m5bFUbduLSMZJk4ar0WLFphTSxMA69QYFqFly57QEyuf0qmVKhjwAKy4TUmmz5hu68q9NrqxiWWKMKeJTI5ZMx/VipXL1PDy+rqlSSOLetW79FKtXPm0Zs2erTr1LjV/gPPLOXRLJWiKQPMR1oGRPAz+xZYHf2UOmytrEDnh4RGymixqUCO82v3zz1q4ZIHGT3tUiadWVavWrTVt5ENWw7bzm8/U6KamuuSG2zVv4Tx9t/k7LZg7Xa1ubaKvvt2ihyfM0dz589X4issUH+3U3OLoQ5RiB596+hmLcACmqPt77fU3zB7PmjPXovPsR4sWzXXaqZX0xhuvm1MKyQlRwPOia9w27BA92Ev2hUgDtVY4lvwdcM45wx/AMWevOYe8Hr8BIMfvAN28n2jB0UZuTgdOh9D55TliBbk5irYu286hJeLL+URfjho9Rpl5RRZt4ZzixC5ZuMCiGj98v8X0F7qO80/mG11O7+3W1fwaQNOh1AytXLFa7e9pq3POK6+HHhqowwdzVaH8mfr8s2/UvUcn6xL5wvq1emXDRmVn+dX8trZq3LiR+j/U1ZosURbzwQcf2Rp07dpNPe/tqQcefMAAROfOXS3KAfkzZvQoDRo0zNJyhw4dZv4EBPjDgx40Yom9gmBANrFD7JXbm+C3zvQJz2/A7wDvUHMXeg6gE8ki6vfAQCWXKa+27Tto6uRx1p04OyNTXbt2lr+wwAg+AAdrVaZseVU752z17fOgpTI+OOB+5eT4lBhHd1tnlA0XEXB8XsgBfG3sF3sAmMKPJXrE+qMjFi5epCdWrrLB51MmTrBIWbObb7VujKQPPrVypYFvZKlLj3vtPO7evV9t2rbVAwMGGmDp0Kalho8YaoQj9mv06HFmmx5+aKBGjBhjAQf8urOsUZ6TSQPZ43ZbpoMmXc2dsVW58kZEWWo7EdIvv/pcC+Yv0ssbXlOzpjdpztzZeu/dTaaLMtKzFOGN1o6dB7T2ufW65pr69vzUsM2YMVODHh6ocePGGlDFz254+WWW5rl08UK9/PKLFkQiGl650pm6uEYtW2NkAv8Su+3WMXMeuWd8c3x2/FQIYHzbxYsXqt99vfXiiy9YnSg/x+/Gf4ZEJZKLrgX8ffzJZ0aWDXh4kPm39OygQ2SeT1qx3ImwkRJZ8zI66u9XHuVegVxFR4bGyriAjZRIt+kIEbb/acBmrYhDRZcH9u83BglnHIO7a/de63D11Oo1uqN5M02cNFVrn1llLF2F8mVN4cAMoYhq16ph7FKFsqeYQsQwdL23pypUPl3LViy3QXOwsJ9++JHKlCmlTe+/a6wDBowaCBQmwKR8uYq6o2VL62p/5113qFvHztaRCCWHIgMEsDEl26QShv3uu+/sc9gAct9xjkDUhEaJlhHmd7vzANhgr1BgfC6peyhM/s7BwgnDeenU6R5bm85dOopOWhjXp55cZUKxevVaA0lsOp8NiKMmo1nT2y1yRXTvvt491adnd0utwBCsWbtWs2bN1Ucff6yPPv3MFP7/Y+8q4KSqvvA3PdvL7sLS3SBIqAgoZQAS0sJfCQURVES6u6QEBERUGgQBkW4JCUEURFq6t3t2ev6/77x5uwuirJjoPH/rLjNv3tx77r3nnO8kNyCVjzmzZoqSwh40165fkfwTndGAqlWqIU++vAJUCYQIxjgnbjLG6hJ4kYlRaSV4pBJAhZbvc36kBQ80BQgFslJ9zC2Aih43Wg65UTl/UZYHDhTGQeFBetLayFYBfLbqaSN9uKmp4DLEg0KH38+9oII/CkE+K7ux5r9VkfLd/9dQQO1zpVYu+y3fendIpKJ4eC8PYLNYROBRQM78cDb2HzggZ2LBooUoVJhhgx40adhYSozzjNGKVu+ZOmIwIjPm3uc+P3LkiOT70CsRGxct/IE8jHkRy5Z9Dmu6HSNHDRdDEfnC0aPfSTNiWuR4VocMHoL58xdKyBqLjtCoQQ/GkKEDkJwUJ1UfGVJCz0e/voPwbq9eaNrkRRkrzwX5BoV4/4H90KJ5cyQmxomAeaN7d1R+rIaERA4aPFzmsGP7NuE9al/LP8rDZrc7cOPmTakiuHzFCvxw4iRq1ayBWTOnSelvRhbQC9797R5i0Fq7boP8pmJHHlS33rNyzud+Ok/4JSt6MR/Gz6yXarYNGzQWyz+T6qngtGzZWiyqn69cgdmzPsTEiRPwxZpVwnvee2+c8KvtO/Zg756jWLN2I8pXKKZUiXRYMGXqRMyc8QEOHjwEg94s0Qm9evYW3j5h3CjMmj0DtWo9hbrP0mP/LMqVf1QUZioXNBBRzjBkaebMGffdjn+6h40eDipjXi9bWlKigBh6I3fs/EqqDlLhoJyg4YwAgRcNXzS+kdZU2rhnqeAThCmV2pTmDFRME5Pi0bRJM1FM9u07gMWLl4rXTPU4GI1aDB8xUuQM+S9D6+mVYwGsPHnySeGCgYP6SxECepnZ34152ZMmTxJjA3l92TLlRQl6/vkX5Dc9Hh/OmYXaNZ+UfNEmzZqjQcOG6NDhNYyfMAEtW7dE7TrPiCJE0MeKpLxsbOUjZb7dCmCTPmy/nsMmijebZkupb6VHEznFrcuXcTPqBiZ/8BEux1kQHBKCzz6agbBQEy798C3atGuPp5v+D2MnjMUnH32CYQN74c0O/8P3x3/ErqPn8VrXrhjW+x1EhAdLfhJRydNP1xLgvPOr3SKzeE5pTFm0eKkYPL7as1cKYVB2vflmN3y2WClwxLUiUOMepaGA8lO9GPlDHYR8g/uTRgV6qBjxQ+WQxm960igzKYfJc+hl4/kjkOH95CX8POUlZbIKMKWVyH1CItnWQ+e9jx5f8lMa3Q9+cwhfrN+CFEu6gAvK603r14khdv26L8XgSq8eI324H1jHoNc7PWQcjFryDwxF3jxFMGbcKPR4pwM+X7UCt28m4/KlKHy2bBUmvDcayanXMXzEIBw7ehJul0mKjrz5Znf06dcFCUnRyBGSU/g66fP2W+8IOCYQu379poBingfShQp2167dJDqH+cSMRmC44IKFnwigJYimIY7GY6X0vNKg/n5XdjxsyQmsJJhDHpUQEy2gmRFNsz+ci1M/XUZMXDyWL1sGo1GH8NAcaNGimdQ+p/5LmcH5PFq5KnJG5sIXq9ehTr26GDPuPRQvXkDOAM8xgTr1XYJlNTKD86YhjWeWninOkbqZ6nHdsGkjtm7ZCa1Bj9IlikuK0Mihw2FkXKHHja9375bvJg07du4iujsb3zMksttbb6Np08YYP3oEWrVuIY2z6Xnt0qWbfNeE8eMkJJJ6M+laqHA+mb9SBEVpW8AQZ5eDfSAJ2KTGfsZva7oVSUmJmDlzFk6c+BHnzv2Ejz6ag3z58mPt2i+RP38ByQvd+dU+7Ny1V/YcC5mYDPTOzcbgQQOwe/dXEk5Zs2Z11KzxJCpVehRdXussBk86Xmo+XRt16jyDx594UnRT8lDKMOrr1HkpT8lrCX5pzKWjiLiF/Iw6LXPjPv5wjuTgkp+u27gREydOEn61avUaAbs8z3T0cKwEyZR/dWo/pRhKWA3fAyz/7AYGvv0pmjerL2X9/QOihS4s6/+zxtnXb13MKDqiAjaGRP6RHjbmsBEA0YpBSyABDRV7Wie+2rUHpcqWw4YN63H69Bk0alAf169dEzc1J0jXJxlP19c7C4Kf/8nHIrSJnBs0boICRYpj2ecrxfJTv/5zcFptgqxXr/pcQgzISIjwFy9ZhkFDBiMsRy606/CKxNQTsb/6SgdZTIY4Md+KAozMkMoCL25wLg6FuVg6IiIE0HD8VKY4NjI/eqTIoCj4aYmglZuWDgosgjIeUCZgUngS2JApd+78qlg9a9d5WjYDQdyrnTqLpe6HH34UsMnDwoNQr96zwqCbNH5RACzvpyv6nR5vYtzokZg4ZaoAtQ0btmDBwoUYMnyEjJX3Modt47q1UhbbmmqRcK033+iKo8d/EIv22Z/OyYEnMCIjpjWGAJJhmvTmkfExHINWNK4BLdBUZjknHmhaUDk3jpXWHNKOAJNeOCrBDI2gVYdCiIyTQodrQu8cGSg/xzBIris3O59JZZcKA8NiOY/9+/eLMCLzIf3JFAiY1YqS92Osvvf/mRRQm1tmzVlTK9rx969V6aKHjYnP9BBJBTh6xL1FR6xpSoNZKi4EWjlzR+LS5ctyVmfOniXGChptWjRtLhZ6huuaTDp07vK6nNEePd4SgwLDnAnCfvrprJyHp2vVFBBCjzF7On755QbJhyVgo+JFay29cyyVTosbzwkB1JwP58p5SEpKEx44YvgovNS2JTZtXItSpYtDqzFIeHXlSo+LhXLEiFHCY3gWqYxVqFBeBCrPSokSRYVf9erTB3aXDhPemyxnghbtLZs3ieAnSVg90mxQ+sL8euNsDdgOhX1vVA+b1uthE4FFRfaz5fjk009RtGhJ+Pn74+KVq1IK+v0p74nxfdeOHaKs9x0wUDxs69ZtENqTR5KfsiIwjS8MCSNfpvfssSoV4bBbEOBvlsItHP/GDVsRHhGB3r36YN++fcJzSf8ff/wBo8eMFL60e/dO+a71Gzbj5s1UzJz9IaKir+PU6R9Qo3pl8caNHT1G8lry5yskhWEG9h8kQn382JGSD0ia9+jZEyNGjpPG01SgqbjREMi/hb/27HlHWed7naA/u3G2hP55C7/Q07bmi9WyL3k2SpYqLQCgQcNG4nWhskEFjbJIzRWm/CJAoBFMzWlSFSfmelP5fuml1hg2bITw2yFDRoj3eP26jSLzaMBjKBO9FsuWLRFgzgI8LELCsDNWjdux/SsBXwS4NDZu2LBOQot5djgu7k0aSjkuAjLSuOc7vdC2XRtUq1pJzlqnzl1Qp25deZ/AjTltVL4pvyhjgwNYhtwDS3IqAoNZGdINl51eM8XD5v4FDxtbFxj0BmgEoHqVQpsdX+/ZK2H95SqUxZXb8Yiz65A7Tx5MGzUYwQYnbMmxqFS1Gqo88yI+mf8Jdmzdga0bVsPfbce3R4/hq29O4oVWrTB2UD/cunZR5BxBQ/9Bg8XAw3QP7l96Urh/d+3eK/J8xOgxAlYIWqjjnPzhOKKjlVLhVOy4R0kvGgx4D+UggRBlImlB2pGO5BU02tIYQoMO88dUcELDD88N5SUVUeoVVN7Ji9RLDftj4/hf4g98XQk9heSv0SDNHCzqNdwHNZ96Gml2D85duCjnnONlo23qB+PHjZEoI4IOyu6o2zdlL6xb84UYE7imoWG5MGvmJ5gwcRziEi9ixYrl6NrlXQFsE997X4qOXLryg3jBxo2dJFUi+/UZgSFDBqNrt5ewes1yFC5UQlqmcL9TCX/22eeF7xK4EKxy/mq1Qo6brRVIJ4Jo6i/UFZWKsAGiq6ll/+mJkkbLWcKR73X+7+dhE/oRzLMdlMuFQ98clD3BaIISJcvg/JWbMPn549OPPxa+nZacIvypaOGCWLZiBc6fPSv71GDyw4lTJ6VKb/0GDTB0+CjxVN2+cVWMT6Q9gQR5GKMQqEdxnuSp5AEETpRblCnUmygHe/R8R3LYChYpjGGDB6FP317iYdu4aT0K5c8nBjbqqtyDzVq2wsBBgySkuXmLFpgybbrkcw8b1B+vvtZRirzQQ/z6693FSDp50lTZg/w+rneuyAhpI8J9xxBOhkxzXDybSq9m9iDUgs6jixfPY+3a9eIJe/TRygLwtm/fKREsLOfP3OIhQ4aJPGJbhw/nfiz0pBGrUYOGOH78GPr07i2pUTS+MseMud81ajyJVzt0lLPEc9a1ezd5Tv0GL4jMpcOCoJR6LnVtOhb4TO4NOomoB5Nf0khCfZgtIdasXCWh49TjuddnzflI9IRZs+eIM4PjIh9j0RE6J5YuX4FiRQtJ6x03TGCNlc+WXUe/7nPRonkDyWELCIyRoiN6nePngO12zNWMHDaGRLLoyB+Zw6ZuclZiJLKnlYkHhwnG7IHQp29/nD73kxCAis3b3buJ9ZohkQR23Fg8jLt37RTFPTEuVkINyQyaNG+BMo88ipFjxyEyLBTDRwzHskWLUbnyo7h+7YpYbIUplyuHMWPH48eTJyQk8vDR71Cndj28+VY37N25S6xBavlOupEp+IRJeZtuk5mqY+eBptWSwIMonMmJDJckQ+R9BEcEY9yMXCjOl8KVYQFUvmjt4/OptLVv/7J4njgOzpneO1aLo0ds+vQPRCmk94qghSFCPGjMYSPjI4Ns0PB5DOjXG+PHjsbCJUuxafNmaVvA4gCxCYni9uVzybi3b9koVXn0Gp0oZmtWfo55Cxfg6pWbYrnhRqVQJ7MjuOL4uFlpJWQsLoESPX6kJTctGQEFB4UGlVSGLXH9+H1kfARwPBikA5/JgiTc8Gq1K4Jg5v7xfa4r58n5k3ZUGGiJYUgm157hQAzlIdNRq1ByrBQMPsD2zwRiDzoqMnRe2WmIfneVyKyWYo/DKYCNxg7uX6fHjeIlSojS07FTJwkAcjhdaNWspfTxoXWb4HDb9i2y5xMS4mRvUuhTAWI4GD0YU9+fjEfKP4I0SxpiY+Klql2hgkUkLISKLa3d9LCxQAY9CQx/5pw6dXxNzpO/f7AYLia+NwGnz5xG40b10eOdN9GjRy8s/+wzzPxgjjeWvpCcL5ZQ3rJ5q4SfEARSAA4a1F8E0XdHj6J3vyECzBi6QQHTtk0LaSJNr5UoXN6FeNAqkU6bTYpefP31Psz44AN8++1RyUdm6BcLGZUpVQzBwUFgrzsaqljuv3efPrh587bwBRpwODaW+adAf+a5Z9Co8Yty5lkARK/1IC0tCe/27CNg46M5n6JY8eL4aucukRM0ILHyW6NGDaV0PNdg9OgRimKl0aNbt75o93ILLPtsJd6bNArT35+IcuXK4P2pU3HwwCHExiShTZv/YUDfQaJUvz9lMrZu2wg/PwOerlMb/foPhsFoFiWZgIUKGkEK+SvLQd/v+tM9bF7gLF4OgwGXL5wXPkwQ4OcfgCdrPoV3evYSCzC9aPQKkEfTQEr+SKWNAJnGT1p86cmh4k1517VrF7EeE3wRdPG5KSnpcvboPe7Tp6dMn2X9ue/37dsrSgnzOxnOOO9TFuGyIjJXHtSq/ZTkcpDP9+zZA6NGj5AIDd5PRZG9Dim3CAgpu5nDyVYBSXHRsrbMfWRZf4bcrt+wAclpFrF0E2SWZx8070J4nC5oubdpbaEsu0/REVaeM9KzRqWQ3jn2EfMAF06eEjm1buNaxKc5pOjIC40aoUfHNoAzDY6EKDxZszaeatIOEyZNQFpyGsKCTdJ37bMVn2P0BwswbuJEvPhsLfR+5y0x8jDihOCFACA6Jk4MSPTk0DB55uxPorhGxcbJHqPBgcZWzoD5n1wvGnToUST/oQGJOgf3IRVmylAq5NQfqHdQltLAyTA+Aj0+g3Je8kQLFBBdgTKZPIz6BA3J5Eesdkf6q5WwpVXSr3jY7i7rTw8vvbT8SUhMQkSeguJVf7N7V0x9f4bUGGBoLY0w1JE4Rsr0L9esFh7LCCnOiXpRWroDj5Svihkzp+Fm1Gm8+25PnDl1FTlC8+L55xph7LiBSLclYvCQftiwfqv0Z2vauC369euL67dO4uWX26JJ4xYYOnQ4Zs+eIzyaPYUZDUG+TbozIoh0p0GauZeDBg1B9erVMiqmsoIklXEapsmXqaupFTrvd/b5/v08bMxZY7EguTwexMdEC1ikN4eV0ctUqII2bdvh1Y7txYkecztGDPmFC+YXhT80PFzAckBwKLZs3YKBA4ai25vdpRXCuHGTRK+joYSGLAIkBWRrxXtI/kk+SY8veR/nyPfoOCEgnTP3IyxdsgJhOSNQslhRDB4yUAx2HTu1x4uNG6HfwIFYs2qVAH3qkwUKFsS0aTNRukwpfLpgsVRHtKYmIX+BvOj1bh8x1uzYsVvuT0xQAD75Tt26tcVWktFvnQW81HPpPdlsmM1ieDS+JCXFY+GCxZLjSr5BGywLR3F8u77aI6HxlNnUW1u/1AatX2onRizOf8zIUahTtxZmz5wl55G8jDo5DXgEjdOmTBX8QMdMveeeRd8+/REWES60pkeN54teVsoqRrzRicEzSXxCPZ97l4CMMoke8oYNGuLokcNyP0OF6TEj+OvcpasYrCgTSevI3HnF8Nrulfbw91O82iw4wvZbixb+hCE9F0gfNuawsUoky/q7nKnwM3lDldWQSBYdUcv6E7D90UVHZGAMizSZsGXzZhEQZBy0OBBVHz12XJgYES031snjPwgYYB8PLrigcIYY7NgmwqBxwwYoUbo04mNicOb8BeTOXwj5ChYQy0RqajLOnzkreS1FixQSQEDCkpCsHJM7bx6ULVMBI8eNEQ/brNkfwE+vx9fsCXL1qmw4WlW4yQkSCAaUsschonRRSJLZ0btH1yg9alwc3kfByEPBxaWg4ZipgBB08W++rgpSWtoI8NhAl8CEVYHIwPgcWuv5XRUqPCpzp3eK95QvX0EAS57c+VC+fDns2rUbufPkEmF2+cJP0t+FZZFZhY4V1NwarSiaFAIc74plixWm4XIrcs7D3jsnpExs4aJFJGyCm5sx0Aw3ooeM8yMAo1VPbTFAjyXXkIyN9KKSy79pVSQNaZXh63wWLYm0bpF+pBvnwoNC8MqDQUWCgoPKp9qgmIoHrRXc5GS4qqeTa0kgSVryO/iZ+1m/ssNwfff8vRTg2eReUX/uLjaihkzea5Sqh83DhvbeOH5pkOuVpCrYWDR/PrZ/tVOKZdCTy76DeoNR+rD9ePS4WGirVn0UNpsLJrMOp06dwYED++QcMzyOitfq1Ssl/4Fe7SqVq3jlrwZ79x6QpsCPP1FZXiPv2rlzuxQEoqIV4B8goR9nTp+T85QnTwEJ0zDoWXo/DsOHDUKt2jXRquVLcu73ff2NGETY7JnAQVJHNMD2bduQnJIoyhrLofNyOJ24eOUWfjxxWs5P+XKlxIdgs7uEd/B8GLwW8gf1sFGLkCpxfv5ikWZRiGjmIvfqjSeqVlI8dx7mXiQJ4Hn8yerIL016tcJ3GZ5Di2uZsuVRseIjApTf6dlbzvCIoYMkh81mS8OPx0+JMlm71jMZrVjOnD4rgI0KICsU+gWYwSJW3377jfDnAgWLoGzZR8TDyvDARYs/weSJY5E7Vy5cuXoVx2RtA1ClyhOI9LYpYcus/fu/xs1bV1GpahUULlJMmhrzYoENGvlobGLYn2L1VRTaX7r+bA8bc4iYu0bAJh5nPzNuX78uysip02cE6BQrXlIMfwQNpDnXnvySFmN6N2lxp5dNDbNT264MHTpY7h0xcpjkjtCTw6Iy/J4XGjaSvSe5R3Y3rt+4KpZvyi01pOn48RM4fvwUwsNyokHDZ4VE9KbMmvUB+vbrjUqPVpI9zlCs5KRUiayIjMwjXo6Y6DhcvHQeTmuatGwIy5lLyr7zu344fhzlv0DRAAAgAElEQVTnLynlsyMjc0m1U7tVKa7AkH69USf9Rw1mf0gDvl/xsCUnJyJHaA44bDbJ09TT48yydMwfSUzE/EXzcOTHs+jaZyjKly2CAE7CnQ6kxGHP1wcRUaISIvMXRmiAHnqPA3DbcevKVRw4dQ31nn8OoQZg4rjRsncJiE0Bgbhy+TIOf/tdhhxVi3ucPn1W2jDwokzNmyeXeAnpqeDFqBOuDb1rzJmhEkmFUS2uxbPE9SJPoo5CPsF/U5HkeeAz1crJlKuMXqHOxPspz+913c/DxuqBwpu9pf1JOFtamsjyxUuWokv3d/BYtSellQgrvx777ojswcqVKsoZpw7HsMh1a5XcHvbUYrl4ft5oDkT955vCL4BG5DRcu3EVB/YdQ/58JVCjelVYbR6Y/eyIT4zCwQNHoNMGonjRCihePDeSUuPEcBMaEikh57x27d4jdCBAZUSC6kXcs2dXhi5IOjAqIzUtVfSVo9//gLJly2fQhzRVvWx81v1y5O/nYdNIo3b2D/Y23PPSj2GCa75cj36DR6By1Udht7pgMGih12qwd88emI0K0OClAD6ttJLZsnkHqtesgZyR4Zg7dz6OHjkkxevoMeI551mj0Yb6tHrOqT9yP7B4E8829VDqbayWvH/fIenDVq92LUmZuX3jpvCDmk9Wwyvt2wsDYNETm9OF0hIqWFZAKvn44W+P4MqFcyhTthQqVqgktOf5pXH/2tUb4vFU9L8AWG3K+VUKuXiQlJwg/U9Tk9OU1kx39V1NSkwUfVctksRoDZVPX7p4UbxVj1SsgAqPVoRWp8fRY0fFWNG1SxeRz/Ta0bjHeXIMFStUlJx2vVYre4/6ZcVKlVCCDdO9VjeGn1JfJ9+ks4AGXxqcKPd4FvksninyWdKb7QFMNAZpPDh76pSAZqOfvxRP4nrxbBLc0VAbGBQiHj61yTeLWaVaAJM/sPLz2+JhY0ik6mFjipdWY/t5lcjL187d0ThbyWH74xpnc8PZvF3e+TeBGwEcD5N/QFDG4qvMhJY0djNnVUj1wFGIZlTr8ri9FodgYbwxCckIyRGa0Y+C6hobUjOPjT3gSGQyNHrYbt6+hVIly+H0+XNo/0pH9Hq3BxxWuzTpplJB5qLGrHI86uGlEsbNr3pz6HkjgyawoYeJ1mJaJ2mpUUGE2vQ5KwMQJcuhlFJWEoqVhtvc/mQggdI0UCubiY2yVWZxR7Ui1aQjjUTdcKSz+hCTgrVKHO26TRg3fjzSrDbxWFEIM7ynX2/FWsqiI6wSGRgY4I0Q0Yu3QJ0bDzRpwYsHiX/zNVr96GantZSAS01cVunFtSJT4HN4vwq0ybxJO84zKy2yNsW+V78tHn7+EEBnVerJjDgmPk9tsvyrGpXvzYeWAlnzSO81CR4FhlZotLqMPk0MBpSKtFnOCUPJWGCnbLly8phUS5qERLIno5bavkcjimlUVCxy54mQe7L2H+T+vHHjmpx5Cic2znYzJIueLG8ODb11Sv+pMKUFgMMqZ50GCoJQhk9yH5tMARJrf+N6FPLmy4Utm9ejdBkagErI9zpsbqliKX/bnTCwX42T4Z4uUVQV3mmTAio8wAkpVgR6e1PSOxLg7we92pznD/CwCb2SkhDIRmcArl27JUCxUJFCSisFlwOpSYlyTuXSG5BC0OBR+iiqF5eDVQVpqaURiEK0eNGCcDrYiFzpcsXL49IKnUNDw6CT5HQgIT4ROcJCvQ1dldBNXknJyQgODkdKmhMXLp5BTOwN1HqqGqQyoMkfJgMrjhmQbnEBbi38/DPBvOqy4bqlWSzSi8zhoNKkE92KP8r6qf0t732M/mwPm1rWX/ZkGgtAsE+RBklxcYiNi0exUqWRnJwq+5Vhpln7VtLYyP1HnqnyWPJgyhW+xkbY3K8sGML+R+SpVqtT3tdpaVB1KcVO/PxgNCkKCHkv5RbppVZplErcGo94penpuXXrhhTEknAnabqhVHSkQTMoSNlHWmlwT/xjk75M5kCvFwJK5VJbFi+xsi884sF2sNy12SApEHoT1/fXy/qrVXeyVolMiY1DUFAwQKDutOLg9ydQquqTkv9i5vdorIA1GTAFwKULRKodCGS7N0c69LY0wD8Adq0fYpPSEWbS4ezJY0IzGk2sDqfkwqm+bZWPpFmsMm+zv5IXRXDDPFP2kmMoGHUKVQZz/3N9CLJp/KRc59pQD+E9KqDgc+6Wo2oBCo5H1Wl4H3Uo7gWliqdNOaqUodko6y83M6zP44GDzY5pSLfbceHiJfGw+QcFK+HoeqW9SmxsPHJGkA8qUUpUcJMS4yVMsVChgvK6YkxTmp6zH5kL8cgVwd6v/nA5tQLS0yxOmP3tsNpSEODH3rQmpKdx3IDOaMeXX65G+XKPoUTx4hI1TFow31JVwDN5uMIv2CSbrwXd0btV8dKSJmo/WFW/uB9Yk33pZQu/1IdNybVUwv8E9NJjrtHAbrHg9JmfkLtAUUTkCsuMhGDutdUKk1mRAeoVEx0rei69xTRUXrkWLecmITZKPN7UQbm2qoOBn6MeybPLPZNV91Llqt3pkDOaZnVIT0zqgekpadLmo0Bepb1BjghFHqq19+lRJ3AymHh/OoL9TQq/NQeIvq7VGhVPmoeNspW1kvV2Kftc4UMa6fXGYl80tqiX06EUaOG+NHr57ndHvhfgShnK9wKDlD3Ddi004LnhQlJqiui5UvOgdBnZi5E5c99BP/mMxSpVOEMoS2ROzHl2iD6g9D7GHfTjfIgdKNtoKOV+UIqmKJNi1WGhX3IiArzyj70ATWaz9P4j/Thmfj41LV3G5R/on9Fyh9mHCcnAiuVnMbLvUrRu1QhlqySLh43tDvzM1AcSlbGqHrZzF04IYDObAnDrmgNffHYSrds0QkU2Xtf8/j5sCfHx0giTh102itkMB0t5i1KiMOfUdCscVgdy5FCYNgW7v58po0u7MB5uYMYBk3GAZb9pKWMvAy0c9MKRODarVIAigs/c9Fqxym7bvh3Hjh1HeM4IBIXkEFeq2WCQgyLjyVJanKGNDD3ipW5uFTxmZYIEK7R6MbyEIXpcIPXAZFX4slYbUj0IVAa48Ixfj4zMKeGhd4b3KRtZLe1LmrBvG6fP78gRGuJlTG6kWyzy3Sazv4x3xeerhHZnfjqHmk/WRJMmDeVZBLDKd7BRocLEaGFTN6IqGPg6/1at9Pw3K2fS4qFYPSN/ZnnKCrqyglL5DqfTqwxYRRCpAFRJQDXcAZLvbj6u3pOVFnevyZ0n0/evh4kCLo9bLH+0XF2/ftWb7G0UBu1yM0dFVbJVkagyeKXSFJVHrZT79sieZ+y3QaeXz3Gf8Rxyv0o1Vp0W8YkJYj07deYMCuUvKMoueYbHoxHlnGeLn/PzNwlwoHeHe5JN5glA+Fx+Z44c4aIEpaaki9LLPU6QpvTwUQwKtFharXZRYpVQ3gAZI4UU9zAVCE6P3jgCDKvNAbPRDArShLhEhIWHC0Az+/khLTUZpFUgW6ToKPedcDgBszlUCjfxe2kYYYNtGlrURGmGZtJI80uXaiFW5JfCEzK9Rm7ooENwjlBRuthglB7vuPhEWSfO2WTQiDEtyD8Il69dFaWQPwwzpLLG+6g0UGEl/Tj/mPg4ROSIgAcOmE068X7ExsYhZ85IqTxIAXf7drTQUMCuTif5D1wXKvnMFaTUzhWZFwmJFhjNfki3JMItLRIMohjoNHokJibD7dIhODgUHqcmw2jE/j+5wsOQkJwAM5VvViozm0XgMxKCe4W8j7yS/PfXrj/bw0ZaUkaYDWbvfrLK2Li+pMuV6zfES0gPmxr+xHmoe5I0VKuvqtXv+Br3Nvc189FUwwJFgqKMKHKM300reFx8jNBHNTBSUeEacX0tFrsoi4phTgGGiYnxinVfoxg1eE64b3jG+JnAwGD5Tp5NtrXgGePnbt6KEtDJDU4ZzFAtm0WVe25oNR5RPHNH5pTx8yJd3CLF3aLIiuyS38pe5hxpEGBRBPYCCwsJFTlIw44o+H4mBIdH4kp0EnR6I/T2JBjcVgQadUi12hFv1SBHZD6kJMbBqHEib1gQomPjkOQyITQsAhp7Kq5euYCcYTlRtERxiZThPqdFXTHQmBQDo8Ekc+P7/kGBcl7ocXC72Pg5TtaL4yFNuLZq7hFf55ypUPKMq3tTlD9//zt6qvF7uGd5ZkhzNUKI9FW9RaQ776PBhDTUeq07GVVhs2x27m1+d548uUXHIc/Knze3jIGfjcybB3anRhRmtkZhb76QQPI5f5w9c0o8flxveijKlCmNuJhYoQfPMCv0Wq3UB4MFZGn1NqSlpUKn9YfbRSOLHeERoXC4+L3UbwzwuIwwGWkY8iDVEiNGhODAnEhIoBFCJ7oE50lewX3M/pZcAzZZJxgjkODcSUuCkpwRkUhPc0hUE8EN6a/SW+SPhyCDeqq3QsRdlTRlr3mh1i9V2SStuM4mPXW3zH5s5InmgEBY7cCNGzcFyCYnJUjBHn+zH/wDzEJns8GINGu65IDGJcTLGQoIDEZ8fILMiw3JFf0xTeaqRoPxs5wn9wn/pgzkniKNeHYZ7UFPJPU/1dgeFKjsp/i4GHFGUH4lxCbA7nIKD+dcpcy9Vp+hw7mcVllTJcTWIHuOMlXtp8rzHxQcIO/T6Eh+Gh6eQ+jNfUI+Td2X4+S+V4xGCo/jc3kPx831Iw9S1tMgr0fHRkk+q0avQ2xUtNxPpwk/n56mPEN4hNkMu9Uhn+H4OZf4mFgEBAdJdVm+z/GRTlx/jp38lPdznIxS4L85RtKKfJb3itPFYZPq65YUi3gqea7Iy25HxYiBgvfxYpERrg3PjdVhR47gHEhItiM0Z1kcPHAdK+Z9h3fe7iIeNmguw2pJlxy2n5X1P3h4jwA2P3Mg4qI02LD6J7zSvjkqPJ5dwPb71UM1HTj7T6K1R7GkZNVFfilP4+7n/vpnsj+KP+5OlSH8cU9UmEmWqnl/7KN9T/NR4HdTQA2t+P7oMezbv1tCrjygcDCIxZ5l2KWEt1jhaEnnCWd4iTd3RVQ1R4bHRR3QLwEUVaG758CFn2S3RHt2T1Z27vMm/dOrI6GdyjR//bfHC8J00LlotfWaMWX8yhxYhEG9ZN4qDeVFBfRmju6X5u2GRkqm32+ps3uf8hxlfoqSndF3IMu47vdtmZ9R9oUyjyzP4twzLLdZAX7mk6mg3n9e9x/JX3OHQt977c+sgPvPGYu6Tg/y9N8n1+7cJ/f+fvWc/ProMhXue21l0tBFAzD9vOxBRb6i5g5q9Hco5Xyf6QZu6cyWue+yd07utf8fhK5/1Gd4Bujx8TKdux7LJuPKxXtUHqH+Vt4jz1L+uD//zOTLmZxH9q88W5UGWfi9fK9SBVFtAqLwOnU83udk8dIoi/JL/OxOy5XGQ/7JgjRe+ZIFgMmsZWpeY0DGONU19Bq3fsUYlknOe59f5exmepju5IXKp++9NL/+mT9qd4hjJFv8/9e+8ffwj+zNRJWX2bv71+j6W56Q9d7fRieVrznhB3NQERw7moDNa06hR7duqPCERQAbQyLpYftZlchLV896uGmMBj/cvu7EmuWn8FLbBijLlIxsedgedJK+z/ko4KPAf5kCqqxLTnUgKvom0tPZW4UeJ3rHXBJyoGWzTdGsCdi8oXMiYBXBrYVdmiX/Fy8KU61HaSac9RIl7A6FQ7UEK0ndVDNVsKLQLrtA9b9IZd+cfRT4L1FAVbCzKtpZAVsWEPeQk0XhnzSS3WnUUYGUADYvo7zbuOPxMt07DEUPOT18w/9rKeDyBMDiCsWmjScxbcwGdGjfCmUq09N/DQ6bHUaDC3qtEr6cERIZFXvNQzcr+9Ww6MiqpT+iZav6KFeFhuwk6ODvzS/IiuozJ3Zf4+tfSwPft/ko4KPAw0IBideH5CtIJFZWZkKcpuZpq/NRdYV/nov876G40MupmGF5qcA2w6N217DuZQ32FjX5eybg+1YfBXwU+NsoQH6g/mR3EP8mhS8jdFY1WN3l8cqO98zHP7O7c3z33UUB1ksiHFu29BoGvPUJWrV8QUIi2YdNLToi+bRZAdu1mxcyyvpnNs5+AeWrsmpyMrRgYq8agvRzmv+bzq9vR/ko4KPAX0gB9rB1ZC336/1uyk+vUy0jKueXhOd/mQEJjRzwSNiQ4jnLDAXMUnnkZ0uaHU3kL9wHvq/yUcBHgb+cAhoaeNRoxN/y7WIQ+pfkW2g9SljoHZfqnLgr5+ZeNMqsZvNbKOi710cBuDwa2DXAvE9/Qv83P8ZLbZrg8VpuBIfEw5ZuhduV9vMctivXf8ooOnLzql08bK1a1xfA5guJ9O0qHwV8FPjTKCC4gflG3m+gAiEB3vf5xvu9/6cN+B/2YMk/cUslPuVSUa46TlUbY14OQR0LaPA3y/rxNysgKtXXfJePAj4K/McocK+IheyS4F8D2O6sg5CZV6vm1JGHurLkyGZFuOSfSiVa3+WjwG+lgOphW7jgIgb1mCeArVJ1VoCOFsDmcVtgMih9aTNCIq/eOO9hdRdWiaSHjY2zW7Vu+JcWHfmtE/Xd76OAjwL/Bgo4Wa8bYHMsJ2GHFhoKP6n3nSUEWwVoUkzCDenuKfGS9wIp/wa6ZG8OYiD3/txZVATSc0rBcHZJ3NewOIsEYBC0OaT/GWCEB+GAm0qH7/JRwEeB/xIFmH8l1SGzVji6mwAZyVv3Lt7zMOe/Ut4wC1opLqLyS9GOoZVQ80zjlpKrlpnvq/zbAI8nCPD4ANt/6dz8UXN1ebRwaIHFiy4LYGvZoqEUHSFg87jcMOidgDvt3oCNVSKvXUrH8oVH0aJlIwFsOkMKNGDfEF9I5B+1SL7n+Cjgo4BKAdXTQwCWtaCI1/Hmkgrf3n6BWZuK8XMqYFOriv0HqSptTe62EHtJ47WAC3Cj01LNd8sAbvwkics2Hz6F4z+4e3xT9lEgS6XWX6rm5wVqd1di/Jd42KTvuhi2sgK2zH8qs3dnaXVydwL13ZUefZvKR4HsUYB7L81JwHYeg9+ZL4CNOWyBQbGA2wOT0Q2XI/lOwHb91kUPe03Qw8aiIwpga/Ab+rBlb3C+u3wU8FHAR4E7KcC+NEyqVQCbTsf+ayzb/wt0kgRv1dJJ0EZhyea89y6I9G+nthKc8/PS6VKDxEvDLNkYWZQSlYak0C8b4/7t9PPNz0eB/zoFFP6RNYfr7iqQ3tzYn5Wgf/gp90vpe1kdbhn885fCR/+boufhX/x/wAwI2KweArZLGNJzgTTOJmAz+92G3WqDVmODUc/ImCwhkZevncvIYctadIQeNo02O42z/wEz9w3BRwEfBR5CCjjhkvA8DzTQyf8FQLBU/T3z1FSPnOJhU9SM/y5gU3LR0oV+CvBSvJRa8Zh5+0R5o0fZQ5Q0ZfNY4f8ewOUCDOwL67t8FPBR4D9HAXJQ/sdgdA9c8n+38BSGBGq8/2UNheTfqoFH9cg9SNWSfxKps3rPOC6t1/ynAFWNClSzVNRkNL7bpfBQA9N/fTnV/6QFfWjGkrVKZM/OM9GpYxs8+qQVHlyCQcem6Kk/LzpCD5tGo4PJ6C8hkcxha9mqsVIl0pAAgzbQFxL50GwB30B9FHi4KKAoDYqg/PVLtQSreQSKZ8kDvQSs3N096L/wbwZE6pDuza2g1qD3UiITvJFGolx4AZuObzEMiEqHB9B5e24/XLvGN1ofBXwU+L0UIAbJbEutgDfmtvI3s7toQMvko0q+lxY672/+W7iL9/7M9taZbcrVttP/zN9khDovQFVpmYm9VHl0V6i+F7iRf/LKCNn/vYvh+/x/jgIPBNhu3L6UAdgyq0Q+52uc/Z/bPr4J+yjwF1PACxzu9a0ZNTN+sc+NolbwUtMp/mu/xQactY9S1r5Cd3TTdsHljXrSamk7J9Al3fjXr5X//4v3g+/rfBTwUeAvo4AANnrg6Xn3VrDPrNhPwEYAp/JX8gzyjn8PvxX+qToI78hhU3tbZg0VVXgmI0EUQ6EXsP1lq+X7on8bBR4IsDEkkhvQaPBDJmBTPGzQ+zxs/7ZN4puPjwL/GApQ6ikROHdWpFdBGt+/n+NNFbT/NbSmAjVv/RXRpDJ+WEnTAWi8JYG9qgYBGqtwKqGnSrK8L5rnH3MafAPxUeCvpQANZnSxqeBDTVfjvwXAMVz97owu7c9zjB9WFKem8qqy42c89M5oDhWoKcBVMXT5+Odfu2X/Td/2QIAtPum2x+PRQKc1SkjkyiXH0aLl8yhTiZW142HUBflCIv9Nu8Q3Fx8F/ikUoMBkTq0KPtSCW4InspRVVr1FUmKaCgPDVLyiUsr700ys/e/9Zjlpb05yBlgTGhKs2QGtqo0pxVky8v2oqGV43Hxaxz/lOPjG4aPAX0oB1WCWlf8KaPHyXo/jToOZ8F8WhcqK7B5i/kv+ebfBKyNlT+lxmVk9UhFO4pGkPYziRm0Z6kNtf+m2/bd82QMBNjbOJmCjh+32dSfWfn4GL7V9DqUq+hpn/1s2hm8ePgr8IylAyccEK48dcFoAjQUwEGiwVxirRzI/S3XBqWhOLaihhvJl9sb5R87xTx2UAXCxLD+1B6cC1DKaYxOR6ZV2dRoa3UIABMGDQMldE8u6BtB5FY8/dZi+h/so4KPAP5ACNsCTCngsgMsKaByAnoyBP1bAY1P7gWQJdchadIRTyho2+A+c4q8OicY/gxS5ktjyO4AX52lU+oFqyWPZ3soPLrcJTgI2bwEn/vbhtYdt3f8Z430gwLb/m10SEsmy/rG3gU1rLuDlV1pLHzaPzudh+2csrW8UPgr8GykQA+A0gCuAKwFOVxK0+nRotenwIA0eWKDJ6DTmte6Kp4ilDQ1eQUmQ8jArDb9nXVUXpVKQJbOQmR4u+MGNQNjdwTBo88KEQtCiIDyIhBuhGaFQPsD2e+jv+6yPAg8zBW4A2AfgAjz2VAmB1LJZr5b8hMYyGs7IVdQyIpmh1PePVX8Y6ML5sRK60pPSI+HiJngQABeC4EYINMgJPXJDhzwAcsCDUDgRCI2HLWgUKvgA28Ow1v+8MT4QYLt45YyHFcQMejOibriwbuVZtG3XQEIiofGV9f97l1kN9fqzR/HzXk5/zDdmY/x396HMzhc/yGey81zfPX8xBagwHAVwBDb7aTicN6HRpCmATWOB25MOnd4Dj0YLuE0SCqnxaKCVkBxv7IrkaVHgPkhdyHtNl8kbWRLnNJl11JS7+T4tr35imXVrXfBo7NBobPBoHdB4mJCugcaj92aOOWX8GjcVAVZx5L9d0FAZ0rhkLjTueij9PVq4NUpyf4aSROuvfCvDc1zQemN4SAePxgOXzgaP0EAds1t5htsfLk8IPK6cMOrLwE9XHTqUAVBAlA61CIkAtj9t1bNx/u8A2/dLWFQHeq9iAPeaxN1APsvz1byVP23uD8eDH4SVZv8z2ZUr2b3vn0DTn++p31qAIvv0+7PnewFwLYfH/R3S7VHwuFOg07ug0ysGILfLDo2EVysjltxX8j6VD/IVOUc0FmXyLKVUiRI6KVGUwrvU2EOVh3rbjqh94BQmCHhYJ59MSTXE0QumwiJ6wcg3MymoVf/0GOCWljDesrfefp0eCWtU10ypMKLwWiOgscGtjwVg84aMmwC3GS6Y4XGHwOUOh9lYBkaUhBGlAeSDBxHwIAgaetwkeuHPXiMv/dSQ/zu+LrP4ifryHcPJutG8ZP9to80O//aO777J5r/tm7N/9y/z+N89/WwP4sH41wMBNpb112r1EhKZ2YetAR55zAfYsr1ev+PGezPvLAyGSpzbBbfbDb00/cjM+XW5PNDrlCPqYlMl2ol0OiQkJCBHjhxIS0tDQEAAPB4PbDYbzGYznE4nHA4H/Pz8YLFY4O9vhs2eDpPRDykpKQgKYvgUL0W5SUxMRGhoqJQF5+dMJgP4vTpvLIDDCei9PNLi/T4yaLvNBr1eC62WHhEP7HY7jCY/JCcnIyg4OIPli1brsNNiIJoj58E5yMtOh/ytpcJLtmqzwWSkwNAgKTYOIRE5FXpo+J4LBoNOYsv5OYNeB5fbBZ1WB0u6Bf5+gYiLj0N4WLh8Jj3dCT8/KtC+6++jQCKAywAOwu3ZCJf7BHSeVGhFKKsZ4dw9JsAVKoKbgA7MrWA4Je/ReXMo/gjARnAkITLc0N4wQ41Nat+nJMUhwD8AWp0JtjQzTEEV4UpyINESjfA8AUhMOQ6dnw1B+lxIsiYgyBzp7S5nwZVbUSiUp66EdyYl3kJwqAEplssI9mfLFComOlgSk2DyzwGdMRKxibcQEVoMN+N+Qs7wAnDzTHhcsNsTofEkwsThOY3Qmvzl8KU6HAg05ILDEQ+r9TaCgnLIc90uPZzOYBh11QBNO0BTDfAo+9/ljSj9vRbi+/Evt90FtwbQG8gHtIiPj0dQcCh0Oq4leYoFRnlPA0uawod0ej2cDhf0eoYqAVG3oxGZOxdoWWQZbZfTDp1eB4fTCZ3OT6ly593E5E1JyQnIERIsvMBqs8JsMsOazoakAXDY7TCQh0gfJQ+0eh3SrXaweqbRqDAyh0PhJdm5/nb+wdjWu7VGj0d4Pn80Go3wfMoPk5lhXWS3Cg3sdid0RiPSrFYEmM1Cw7RUC0wmk/BP9XK7SCdlpg6nG1q9oiharTb4m0xIt6QjIMBP3hc+76Uj1yEkmHsRwveDg0O9MiUZoaHBIlO0WjesNgvMJn8ZoyJjFKWdf8u4TSZvaC+QmmpBYKA/XEyzYrRadjH+Ly7mneBf5Mld96prHBsThYgInh8PbClJMAWFwuYAHB4N/Ew6wREUi0lJSQgJCZLeGbIGWi2sVrvIX+41o9mYUdnWaXfCIHKSct4tvxW57H/HKGJjYxERESGvqe9nXV+9Xi/04ucpM3nOwsLCMp7JZ3NtOIbM6yKArfBYtsGtPQudMQFuFyMcSH4/Hh7AkLV4kV4AjVwCmrgIVOqpBBjhdoHHn7oAACAASURBVNpkfn7+IdBqw2BJ5/7Sw5KeiMBAHayuZPjp/KFHEOK4H4JCodfYEXX7BnLnziWgKT3FCL+gMDjtt6E3kvJGWFLS4R/I11KhN9ngdCVDrzPD5XJCpyWNtbCnm2Dyi0BSnB0hOfPD7YyDzZkCo1mHVGsiNFoXTEYd0mxJCDMVRqrbg3RbGvR+SQiQTpYGpKSlIiIgBxywI9GSjlD/srChNPxRDVo8DkiEQgg0niDFnkYS8Jj8Dibwy2Bf2Zcu8ji9FukpFng8LvgHBsJhs8EguhwbaZpgSXchwE85r1w6p4P6jwEOq0Xuy7yUwyK81aiD0+lWnp1ug5+fCclJSaIvUm9T+CWNpFp4PG7Zw3x6XFwcwsLDkZKShqAgUs6NlNQkOb/ce+Q1PK/JyakI9up5Ck/IbPgpYfrkFQ5nBq/IDq/9+T1uEkg5dIryiKTUNISEhsHKg6nTw6DXgGRiOxtSiDyP/Imf4JkQnpbBc7w6pvAf6ojpoicLT/B4ZG4GgyHjdeqjXBOzmXMjHdPBc8h7VImk8IIQ0Zmt5LMBfrDZHNBq9NAaNEh3AyuWX8ebHd5Hxw6tUa0OeexP0nPHaKCBlp7uLI2zfYDtwbbKH/Ep9bBmxeeqxSqjKgCBGHebRovt27fjxIkzeL5+fZQqU0qGoGxC5UCovwl6KKh5gLIeFnUDcqPyb1XIqiFl6dZ0+JkZrw2kpaULeOKh4/1SmIbgMIs0uxUVi9y5I5CYYkFokCJgHFYyVDv8/ZWNnhQfj5CwMKSmpsE/IAA0DvARFpsT/tQ8bQ44HDYYeUi8ShKBo9PtQmiIIuBTUlPgZzLLQfA4nNDo9UiKisGSz5aj8hM1UK06S5refSmH0e6wwyjdge+U7OkWN8x+WuWs+66/iQJpAKIkLMeNhXDhO+jdqd4wSHVI3HN+gDvMW086SQnXEUWVjcTUJIIH8bDdwzongM0L2mgV1jkAtxXQ8qSZYU12QuPMi2vn/bFwwUkYgoEuPcogT1473LiJNAe9ZmH45uvbuHQZaPNyGIJMRXHpYgJ2br0AWtWeqB6ARx71R5o1BkY7YBZFNhixUbewe7cDN6OAAoWBZk3qwuJMkSZqa7/4DumpQPHCwNO1CwMeMyyJ6dj//RWcPAOUKAQ8W68yjEGkD63GdtjS0mEwRECrfRpwdwPwFEDwS9BDbAoHdNB5uy399i2QLf6lJNEhPd2KD2bOxNWrN/F0rVpo0aoF0i1pCPSncHRh7ZfrERkZiYoVqohCGhYWgevXr2P16tWoXLkySpQohlyREQLmli1dhFu3bqFy1aqoXr2eeDDJz4KD/byn3I1rV69ixeefIU+e3Hj++ecREaYou7dv3Mb+/ftx+vRZdHrtNfgHBiFHWCji4xOxZMkS4XUNGzZEyZLFYbFYxaD1a9ffzj7uA9i0Oh3WfPEFdu3aheLFi6NDhw4ICQ0Vg1p0TAx2fr0fbdu2RWx0DL777jtcPn8B4eHhaNb0ReH/pMeePXtw5txZub9SpUqoWacW8ubOLWQ5f/YCTv54ApWrPIrChQuKYpOeTkOhwv8vXLyAffv2SapqzZo1UaKEIreuX7uNbw4dQHJyPGrUfBKlSpaSxs2JCcnYsmULLl68jBdffBElSpQQhWrFipV46qmnUKJ4MS/Q+32KsrKmBBve30R/ct3ptVABouLUccJlswJuJ3RmE3bt2IUPF3yGGrVqoXnjpsgVGQ6TTotNmzbh0sXzIjvr1q2LvHnzQqPV4/TZM9i+bRcCQ0NQpcrjKFWqOA7s3YMtmzciV65cotBRQWzUqBGKFSsm8psGUwIvGl8XLVokwPeFF15A+fLlZW34+vr16wUk8jXSiBfXbvny5YiOjkbp0qXRoEEDeZ3fQTmqKI8MSd8GWDbCrf8eWmOsN5dNB2iDqL0CeoYNqsWLyDS8HjDmGdPrQ2BnY96xBR6tR2QzkAfWtECcPRONJcviEBoBtH3FgDz5g5GamoKcgaURHWvH+rVn0KChHnnz0ICbjrQ0DYzuR7Bl8yFojEDdZ8LAHsF+AcWRHq/Bzq8OoEhpoGARiAGWhfJstkSYTAURdysVBw/EIjEOCA0HHq9RFLly58DtmHicPH0JFy4ChYoDVauZEajPCYstN458+wO++8GOEsWBZ2sVQ7A5GBbLObi1afA3+8GKnIDnCfhpnoYG1QEUAhAgvDcrSf5MwEY9cM9XX2Ht2rWynzq0fwVFSpSQtYyNjcfufd+iVLkKKFWiILclLl+8gJMnjqFWjZqIiMwJe5oFly9fxvqNG5AnTx4881xD5IpUDN1Xr9+SPRUUGoJmTRqjQIF8IlJdLjvcDsWoY7NaZX9Fxcah6mOP4bHHnhRDCSXn5ytX4ezJ42jVugXKlS2XcX6WLVuGM2fOyT4l7ybQ2bp1uzgD6tWt84ee3/TkRPgFBSDmVhQ+nTcf8UnJqFajJpq92CwDU6/+Yh3Klysr41i1YrmcjfCwUDlfpUqVEn7Pc0VjxqFDh3D+/Hk899xzyJcvn8xJNYzw723btuHbb78VvtS6dUvvnN1Yu24tYmJiUKhgEdSqVQtGo1k+d/ToUXz11VcoUKAQ2rRpJfxm375vZCxPVK8pjt4Vy2+ie/up6NC+FZ6o7YHTdV7WgYBNw/xSYVE0ABmg8QG2XxPHf+572VF4nPRUmUxISEjEa507Y+/eA+jXvz969+0txQMMGsUSIGDG45HfFHC0sqnWVQXx32kxSE1NFUslAZ0lPVUsK7TKJCWlyOdUa6hKASovtNrlz5fX+ywHzP7KcwnYDFqNCGm3wwmdgWEMbqQlJyOAVhYCPnrJtLTQJImHTUdvGGWug4BUUXvcHheoYIhgsdObpnoUPfC43DInxnLRgvTj98fQ+MVm6NG7P/r2f1cZR6JiufXucLg9BJr0BuqQlJyieBXT7AgNDZSDI42Df7eF9s/dI//up6uAbS8cWAQ3jsDgsbAWl2KC84ateTxGeNzBSiFECdO2KYvHVwikKEEeqEqkWokyi51Twm+omCgWQZvkdgBmMWTkgMtiwOF90VjySRq+/hrQBwHFHwHGTTMjR04P/Az5ce6EDW90uI7ceYCJM/MhMMiEKWMvIuYWkJwEJKYBwycBtZ4MgdYdALj0cHksmPtxLLZvBsJzAidPAz1650T9RlWwd/c2TJrgRs5QBTt27mBE3ZrP4MixU5j0wWWZutsOtGkTjPadKsOFS9Dpk8FwIKfLD0btUwpg09RUKkXqAIdGabhtgBkahi89wJUd/sXHpiYl4eN58zF/wQLcuBElisDwUaPxeueO0GncOH/+DF55uaNEBcz9aB7yFyiAbw8fQd++fUWxPHHiBN5443WMnzBWFJfp06eiQIEC2Lp9O2bPno8mLzaXKASzWYeEuAQkJMZgyqTJOHnqRzgcdlGGp02dJr/79e6Hs2fPiqcmd968mPL+NBQoWBBDhgzB4cOHhX/mzJkTPXr0QLVqtKr/+vVPB2wrVqwAf6g0cM6DBw/E6DFjxGv7Ts+eiE1Oxcgxo7F6+edYtWoV/AxG0JvTollzjBw5EsePH8dLL72E/AULIHeePChcuDDatn8ZZUqVwuWrVzFs4FDcvH4DI0YOQ+3aTwuxLJZUAbrRMdEYO3asPCM+LlGAy7hxEwVY9OndD7t274TJpENwSCAmTpyIRx99FEOHDBfDpMnkJ9bqadOmIXfu3HjrrR6oUaMG3u35DtLTGSFiEBbw+zxs9wdsnA8jNjQuDwxG8gbuejfWr/wc/QcPw9WYZISEh6NHtzfxRrcuWLNyFUaMGIYihQuKvKxWrZrQICo6FqPGjEZCfAqi4+NQvHgpjB07Gts2bcC6tWtQpEgR7N69WzwYn376KerVqycKrgrKpk+fLkCWil7RokXRuXNnAYNjxozBxo0b5XXSi3QsWbKkrOXs2bPlb0bcvPvuu6KEUkmlB0Qx3t4CsBlu60a49Mdg0MfC5XZARze2xg+wM7qAblAVsNF4pni9GY6tcfkD1jyK59vvNqBnaGEQrLZgbF4Tj2WLknHxInDlJtCpO9CzTxHkjYjAzZtOrFhwGvMWWDF5JlCjrhY2uxsR/uXw/QE/vNX9CHIXBuZ8kh+5InIhNsqAJXPPYMnSJLw7DGjaMgRaBMGoZ1GlFOg14fhoxjms/xIIDgISUoHuPYHGTV/AkkW7sW5dGmKIRfXA232BmtVLY8uaRCyZfxvhuYDYKKB5Y+DVTs/D476AgBw2aHQBiE+1wc9cF2Y9AdsTAkQ9MCr80q1EBMn1O5jA/Txs3+z7Gu+9956ABILyV17+HwYOHIj8+fPjo0/nY9ZHC7Bk+UqUK10YcbFJmDzxPaxa+RlmTH0fjV9sghNHj8meOH7iR9Hxnm/QGIMHD8aFi5cxeuwY2W+JKckoU7IEBg7qj2KFisgeYHSDzWLBjBkzZH/RcxUcEoIBA4ageo0aWL5yFWbMmIYcQf4wmQ3o0qWLALTVq9Zgzpw5iIjIhUuXLmHSpEmoXbs2JkyYiHPnzuGjOR/LOLhfzX4PJncyOTLPrwvnT53AlPenY/+Bg7gZFY2SZcqiX99BaNT0BXxz6Du888476N+vLwIDA7FuzReiRx7Y/zV++uknoeXbb78tZ430bdasGS5evChnjQYu6tL0dtObRoMeAS7lFJ0KdevWRr9+/bBv/1707t1bDCvWdDtatGiBNm3ailGR3y0yMNUihpi+ffqDgJbPmjHrU5R5tDhWrYxCt1em4JWXW+DxWm643BekcYRB7/QBtvsJ4L/y/WwpPErcCHbt2o3Xu3ZFaqoV5cqXx/xFi5ErVwTOnDgpLuxy5RQLB63HDGHkv2lZuXr1qmw6WhJ4yHlAr1y5Itaa69evihWB1uvD3x7GhQsXUL5cBTzyyCNiaaTFICoqSjZe+fIVRCAkJaagePHCEoK45+u9svnLVXgEkRFK6IslJRVmP6OEPPHA85Dy8+G5IlGlKj1hWpy/cAkWmx3FCheCzunEuXNnRJibAv1x8uRJUegYnkCARc8hlajkxCSxNpYvXQYFCxXCt/sPolnLVhg2ejw6vdYJhw9/i8KFCyBv3tz48cSPYuV9/LHHkZScJAoDPYYVKlRAUGAOeWZyUhpyhAVLJKbv+rsoQMBGK+8+2LAQHnwLgycVOskbUy4lm4L5EEqork6TAg1DcMQ5pgA25mxJ7pjG/dt/S7EOZmcoRTsUnMjwJiVsSevNvUi3OeB0aBGoL4MPZ5zEoo+A5s0jcSU6CukaoMfAAJQolRNOayRGDDyEhR8Cjz8BLF//Ig58swOjB6eieZNCKFa0NL4/sRUd3g5B3rwOmBjq6TTh7LnL6NPHgwL5gPb/a4bJ09YgR07g7Z418d7kfVLE7e1u5fDxBycRZATeeasFps5YjWQH0LV7I8yduQEpqcDSlU8jIOQWUlKvICTEHzaXHkZdTehcbwIaxcPm0tJXQNq7oIcfdFLI5bdf2eJf4tW6gZc7dITZzw/Fi5eWUMZcefJi2OABWL16OeZ9Ohfbtu5CxYqPYNPGbQKY2rV7WfjGzJkzsXPnTkREhKHak4+jf//+iIuLxgcffIA5c+di377vsHnrDkRGKt54qtSffDoXUydPwajRIxASEizKxJRJU8TC3LVzVwwaNAgFCxbGa126YPDQYcibLx+6du0qwpv3vPHGG/IzaNCA+xLld+hq9312tm64j4etTZs2QscqVaqIkkTacm4Ewk1ffBEdX38DDRs3wooly8SjOXTgIFFKZn0wU5R+3v/MM8/g3d690LpNG/m3Rq/F8RMnBIh8uXINggIC8dWuHahc+VExABJEUSat37BeFJZx48ZJ5Mb48ePRrdvbKFOmDHq83RMtWjZD7do18fIr7fDmm28KSHnt1S5o2rQp6tdvKECxffv2ohT17dtf5NPwYSNRsWJFGAwaOJzZD129Ny2zB9ho+KN50WFNhYdh9hoPOnVoj+u3Y1Cpeh1cv30bwX4BeKfnW9i6cRNOnvwRkyZOwGeffYZhw4bhiy++wLdHvseatV+ix9u9cDM6Cg6HGx07tkeusGAkJiSInKXiSGPplClTRAarIZIHDhxAu3bthJa07FM5JG1atWqFl19+GU2aNBFF86233kL9+vXlh3v5ySefFJBGYwSfR8VdDbVUIm+uSkik07YeTsMxGLSxEuKl07D7mh88Dhs0ks/mPenePFtJNRPvZCC0nhLiibPjIpzadBhNAUhOjMDqpTGYNc2CVs2q4sz5I8hfEmj+UgEEBenwyYeXseQjgLbaj5cDDZqEQI8QeVa/7juxaCEkJWfll5Xg9CRi5dJLmDsFuHUbmDQXeLl9ITjouPcA1vRkRN1wY/iAJBTMC9SpWx4fzz+BYmWA1q0r4YMpR4Wpv/FWA0yesRnB4UC/fjUxYdg+2NOAvv1aY8KYz6WM1fvv10WuwqyOeQ0evR2xCSYEBjaA2VArC2BjRIL31JMQ4pl9cKvv/QDb5AnjZR/xDBJkc/+9/vrrKFiwIF7r2g3mwHDMmP0Rzp4+iSWLFmL1ys8Rdfs69uz8Ck/XqYWhAwbKef5y3VrRDceMmyiA4fKVa5j+wQzQEHDw8CEsW7wI/Qf0RZsWrWAw0mjuwbnTp2XfNW7cGA0bN8HAQYNQrVpNtG3XDu/26Sv8ukf3rmj3v5fEMMC93r3bWwJ+CNB4pqnD8fs3bNgk+/D9qdPxwgvPw+FgqLBH+MSDXwpg27FpA/oNGIR6zzyLy9euI3e+/KhRvRZatWmBSVOm4/PPP8e6tV9KSHFqUqKcqze7v4HTp0/j/fffR506dUS3Xbp0qZwnnhFGG3BOPI/8IUB77bXXhG8OHTpUeOPBg/vlM+PGjxGQRwPXJx/PEwPJuHETxFC2d+9eTJ48GcuXfy7euQP7v8G1a9fkzA4ZPh5NWzfCmi+iJSSyXdsX8djTLnhwKQOwwU057fOwPfge+QM/mV2Fh162qdNn4Ktdu/Dccw2xcNEivDd5Cp59pg46vtIBiYnxWLx4sWyETp06SYgLrW9E8UeOHJENyLCICRMmyAbiPVRMeFi4Ca9euyxWTW7k5KRUscZ16dIV33zzjVhjKOgZg0/A9EbX7mJB+OSTT7Dqi9USn1ugcCH0fPstVK9eLSMJOfrmDbHwMTyEV5rVht59+uDVVzvj9a7dcPi773H0yCF8veMrDBkySDZwvfrPiWX76rVrqFb9SWFSVNYI+ooUKizzK128BF599VXY09LR5Y1uGDhsFPRGgyh248aNlsPX6dUOiI2Nxscffyzfv2DBAmGqnEfn195A9+6vZ3hv/naF6w/cTw/fo+jliYMH+2HDYnhwCHokQS8NW5UlInRjsQ4JRRHfV5pSeIN6hFh6lTqSWmiZJv8bf2ughd5bA80pkI2WLXmKxwi35GekQ69hxUULUtI0CDGVwtzZZzB9PPDEE0Ch0sHo2rMFAnNehL8OWLJiD+bPAbTsSgBg0epXsGXbakwcbUG1x4By5UsgR2QCXutSDDG2wzC6NcjhVxRHDiejU4dodOlqRJeu/TBy+Ax8cyQZvXs/gVFjD6FZC2BQ776YOHI2Nq1Jw5gRL2HQiOV4/Blg8uSxGDNqLJYutmDNpjwoWoLUIx09SIcdBjwNI3oAnmcATwCcWtJV8bDpYYbuT/Sw0WhDIde6bTucv3ABNWvWRp++fREaHoE8keEYPWoY9u/bg6REJefhs2UrxUBTpcpjotiTT5UtWxZ16tRCyVLFhU/4+5uwfsMGTJw0CYMGjcbX+7/B449XhN3hhtmgxchRw7Fk0WIcOnwQKSnJEvLStk1bARPzPp4nPCV37rxo1KQJKlWpipKlSongpmJdocIjePrpWqIYf/TRR/fNZfvb+cd9AFufPn1E4aP3ioo+lXgarObPny8hqgOHj0TLli29bYCVEPtevfpg8cJF2Lp1q4RDTZ06FXWfqYcyZcuidevWKF/xEcycPRtffvklUhNSkJSQiK3bNqNo0cLe3CmCZzemvj9VwDGNcMWKlsBjjz0mCh8t12NGj8OmzRvwyCNl8Oxz9WSt6XmbOmWaeNWaNm0miiLHynXZtGmLeFx79+qLV19trxyu3038+wM25vk4nMzVY/QIQ7HZisSJdi+1waVrNxFRoDh69++PimXLIzQ0AJaUNJGrzAka0L+/KHQEttu278T3x46iZYuXkO6wo0GDRnj6qSfgYE6bQSeejA8//FC8KQRf6kVj6+bNm/HKK6+ILKOXkR4LKpNcy+HDh4vSzc/Qw0EPWseOHUWOjh49WmQlw2BpfGV4MRVoJZ+QkSjMYdsMu13xsOm1sXB7w6RpyHE5bEoBEq8BjWYtckglkJz/N0DjCJQm0loDq/pS2TQiNiEAyxfdxofTgPIlTXi67pOo1ygn8hZ24Icf9mDJggR8vwdSHn/4NKD5CzQQF8Mnc3ZhzYok3LgBlCwPTJn5OE6fP4wNXwI/fQecPAlMnAM0bpmLgd3C761OF07/kIqu7R3o06cwXu70IgYMnIZTp4GX2hTHhDHn8VwDAyZPHol3Bw3CxvXAlEn1MLj/TtSpHYjp04dg7PABOLAXmDQxF8o+FojU5ItS2ik0uBzSXVVg1tWDBoxOYNERSghVOikS6c8EbLNnTMeoUaMktJCh3c/Uq4tyFSvixLFjqN+oCYaOnIBOnTtg0cLPsGPbVpw9fQrxcVHYsWWrhDgOGzJUQmOv3rqJI4cOoXHTFuIBO3nqDD6Z9ym+//573I6JRqvmzURv6vXOuxISydwwhjJTl6Ru1bx1G9D4k5xsEc98x9c6o3//vnj37e54vWtnCf2jYabbG2+iefPmmDhxspz9lStXggYHhghy7zZu1BTjx4+WHeRye5Q0mwe+3IDTjiOHDqLt/15B4SJFkSd/AfTpPwAlS5RFaroFLzRqLEamtWtWwupNwzl48BDe7dlDDBsDBgyQM0EvIudJsEVPG/Vbjpcyg9FofJ18kiHHNHzQqLJw4Xz5PXTYYFmfeZ/Ow+zZc+T9mTNny1lmaPO8efOwceNmMcjMmD4Tzz77rBgR45NsWLrqM6xfF4W3O01H25eaoupTTmi0V5TW7Fq7z8P2wHvjT/hgdgHb1UuXMGDwEEn27N69B9p36IAWrdugX99emD51Gt5/f4rkKPBgUDgsXLhQYnGphHTr1k08amTWs2bNErcwcwN4+MaPHyuMm9ZRhg7S1ctQFYZnjBgxSjYcn0mhvX//QXnW+HHviVeOG71nr3fl81OmvY/mTZtg0OABkjcTkiMYF8+dFUsp44KpNBjMSjGBGjVqYeiwYTh6/Ed8uXoVEm7fRsOG9cUa0+Kl1rKZ6UHr1ae3HAK+TsvQ7JmzcPPmTSyaN18Bd0/XRodXXxMPGw1dFOaffjoXjRo1RMtWLXHz5nVRSmiFpIWkd+++YgUpV7YiWrVqBqYiMBQ0LAcLP/iuv4cCBA0sPHIQNiyBm4DNkwC9xipCkVbcTMDGnBitADZCNLXwF8MBHxyw6aD1mBSAxophcHpLlxCw6QWw2aVoBYEdFRwN3I4cuHxei49nXMC8BUBkfqD3kJJ4ql5O2JxJeG/0CdR9qgJ2rI1BfFIc5szvgplzZmHOdKBuHYC516cvAUPGAo1fyA03YmFEfuzdZsXrr99G74EmNH2xNcaMXIyv9wP9+1bCnE+O4rmGQKf2dbFg5j6sWW7HyKFNMGPOOhSpCIx7ryPmfrAKn3+eig/m6FGuUgDC/AKQhpuiVpnwJIzoBeA5wB0MlwZwspgKHDD+BSGRyQkJ2LJ9hwAExu83aNgQvfv1R51aNXD8h++kaMH0aTPFE75503bhQ4899oR4VKi00/tA5YOCkUanw4cPipVz9Zo12Lx5NxYsWorGjZ8TgaxxuzBocD9s3rgJS5Yugtlswv/+9z8BbLSiLlmohLWEh+fEq507o1SZshKiTVDAZ1etWlU8GRTQO3duv++x+D3qxn0fnp0b7gPYGOZJObBy5WpUqlRR5EP9Bg3wbs+e2LptGzbv3CWg2G61CTj6+MM5wkubNm4i9FizZo0Y/fIVyC8GQyo3H8yZLXlutDrPnzsP69euw2fLl4rFnbyWqjTDqvh5WpkJRh4pX9Gb0/K4eMgI2BYumo9ixQrhfy+3ldeqV6+OSROnCAipU6ceunfvLhEhDIO9cOGS5GHRYDhoUD+J8DCZs1cY5pfJeH/Axs+ycI3b7kRAIPMZlZDIfTu2Y+DQEdh3+AdUq1ULPd98G/9n7zrA66iO7nm7+7q6LLk3bIMrJXQCNoYQAgQIxXRDKEloIZSEHgKEECCE0FvoxjRTAgRCcUgoBseAsSkG9yqrWf31t+X/zty30pNsI1k2mD/Z9edP0ntbZ++dO2fmzMyee+2GyrJyKULw7IynJaJIOiednn+4/gb8+523ccjBh2PBooXYfvud8OtfX4idJoyRYg+MmHENJigj6KKRSFmSPnb//feLTLh+0yHJKACdGjSM+R0drLvtthuuvvpqiZK6RjZ/MupG0EZaMT38qoCYLe8xlfoUodCsPMBWz3JhktfKwiBmloXDslKFVkEU6mQ9B9gUC8JK+2Re6Tqdavzeh1i6AO+81YqXnk1gxjRg7FjgtHP64/ApO6A1tlSK2y2YXYI77vkU190BTNxvNNYuHoobrnkdB/7gh3j9zTfQHAPuffhApJz5WPBZDeqX7oh77pmHn18ETJnaD0V6Bi1oRBAl+OLTJI48MI3zzi3A6Wftj+tvfBEffwyccdq2ePDeRdj/h31x2tk/wr1/fRSv/R24/JKDcd21r+KA/cpx0flH44H77sOLzwLXXQ/sd3AloDcgnrIQDY1GytwNQeMA+EC67wCwAqbKcnRZIB0FJnoyXbvu012EbfniRWKHPfTQIygvL8Xvr71GnOx0wpx7/oW47oa/4IxfnIaa6gbEWlsw4+mncM/dOKVgFAAAIABJREFUt+O5p5/B9/feC3+87g+i20446UTJZ7zx5r/ggvMvkCrBH378kTgJwgVR7L3nHjjt9J/ijxSCz0ayrRXvvvuugC5GuHff6/u49bbb8OmnC4Tpdf2NN+Gww36MC887B3+4/vdCuaZjhxFygpFLLrlM2BB0NvBe6YzZd9/9UFhQjJdffkEibLrBOgu9kZp7jIqwmYkYfv+HP+Le++5H1nZw+s9/gVNOPh3JTBqnn/EzsRev+d0VSGcsad5A2/WfM9+Q+yITjXqMepFzgvOKwQ8GO8hKENeEbYvsGECgTct9GTW755675Oddd98hNjMB37Mznpf5/uc//0XmKyOhfH/vvfe+ROAuufgyHH/8sWJfv/DSG3jj7ffw2j/W4oKf3YXjjj1MImwuYKOzWPflPL9eDtvmDJQtc2xPARuTTs8851wBMhMn7ocHHnwQY8ZPwEMPPQArTc7sEZLoSGDGaBo9KETzVOakRHAgEtCRT0zPHJW4Gni/lzD7mqpVsjAT5P1n9oeYOHGi5AxwweQgpefk888XiJfvqCOnyGJ9/gXnC5eZi8rsD+fgkl9fhOuuu7Y9wtZUXyfXo3eH90Re8Tnnnot99pmMww4/XJJY5344G5/MniP3TyOJyew00C686CLxwpOKwmggk0Dff2+WCH3/SfuKYcGcAdKsCNi2Hb2d3OvNN98otJqzziZ1tFU8HfRwUg4jR24rnvofH/ITHH74ITDZI9S/BZy0W2Yo/I+ehaChGbD/gyymw3ZIiWyCprOJNqEGo16KEsneONx0pKGxSiRLD0pSG0vhkx7TC0oky+xbEQH8Pl8SjpbuoEbmSlIzAmchofp7Oway8SJEI+NQt5yG1Bt4eoaNjA5cckUJsk4rXn/Zxq8vmIobr3oJWTuLh6afi7vuuwUP3WPi0UfPwsgRg3DCqVdgnx8AV103Gpq2Bql4CB/M1HDJpXU48zzgjJ9PxaUXT8Py5cCRh4/F/Q8uwEGHAT8/fTIevvttzPqXjTNO2Re33PFvfP8A4JxfnolnHv8XnntuIW67exiGjsyguDCBplQzwiH6wQnYzgfwA8Aqk5w3i9U2wQUsTLZ8r8ZfT/VXhjm2oTA+mD0bV155NT6eOxd77TMR06c9jLKSQmSzSZxw/FSJzrzx+luSW3DyyT+VnAAa/KTw3HjjH3H/X+8VcHHppb+RiEE6m0V1dTMefPgxHHzw/vIMqUQKt952M55/9jk89fQTGDFiG5n3+0/eX/LeCNhIkRk+fAT2njgRkybvh4rKSgFxjMizqAYjFGQTvPHGa93K5bsO2FiUgsYGc50YWSRdifqQDryPPv4Y056eITJNJZICzC656NdCpZ8+7XH88MADsLaqWorAjNx2BJ586hmcf/75AtiO/MlP0BaP40/X34RHH34Ezz0/Iy/nT1V+5HVo0PDnXnvuLVGgceN2kGgaHX/Tn5iGffbZE7vs+j0xbKj7b7rxZjF0aNwxokCHIHO6GhqahDVy/HEn4oYbrkMqZSIYMjazrHrPABsHgRQdsdIwsxkYQVX5eP7c+bjx9vsw44UXsOO4CXj0sYcwdttRwkz51Xnn4sMPP8aTT04XYHX8CSdh1ZrVQvl9e9Z7uOKKqyRCccyRP8Gbb7wm0c8LL7xQHJQ0EJkzw3WbII70X8qEnnpGKemEZCoCARmpjzQEuZ7TsKZTknLjukcHK417UuiYt0kwSADobk3r/oPSPvOQTb8KS2cOWx0spGEIAbQYViYL3WDBJVblVcWDHCco1HMFWFjFrpiJEEhnslIxk8VCCv1sHTIYq5ZFcP9ts/HqazFJifvlBcCPDilDQXgw3n7FxnnnfYYHZxRi1MixeHF6E2a/swqnnXEiHp32IL5cCDzw2A8wYccAYqkU5r1bjpOnzsBFvwVOOXMMdH0t4maLLBNLPgcu/BkpkANxzq+/jyuueQYfzwF+dno//PHqGvzooGL85reH409/eQwz3wDOPmsb3HLTMkz5yUBcefGZeODem/Dc02245fYBGL8XHXPVSGZakLEqETQORdB/YC7C1l9YGGzN4pNWANwI4nufV9EdYGNElw4vGv10nFtmVmwdRn6eevZ53HL7fdh1j52RSlpSqfTBvz6Ia66+Ek9Oexz77j8ZK5csFapiTV2tzOMFXy0RR0rV2hpMm/64jNVUNoM9dt0FZ59zJq649HJZe81UUgA+qeLc//Ajj5Lc1zlz5uLoKVPwwMOP4NRTTxFK5Lm/PFsc+3RQHH3UMeLwueqqq2U8smARHefUtxyvNdV1Au4IjLYEJbK1oR5FZYzoa3jkwYdw718fwKKly3Dy1NNw/Ekn4syzzhaH3Rmnn4bCgjBWr1wtDo+RI4aLncyAAm1frjOkX/Pe+DuDHnSOEMxxzpDlxQg2nUaci5yTd999pwDavz5wH4YOHSqMshnPPCcMgcsvv1J+MhWJDK9p06ZLNO7OO+6WOcwI+JtvvY+3Zs3DzDdX4Tdn3dceYdP0VaJvbCsOv86iPx4lstuF+NvYoScGj2OaMoBOmPrTHLrQRYlXDhiIv//9Jew0YXv86le/FHoKPdOczByg9CKQ0kJPNL2XNIZouNBrQiDFQXveeeeKgmcuAUO3/OzKK64SmiM5xwSBpNLQc7BmzVoJCR9y8KESYSMYuuK3V4oXImOZ6FfRB0OHDUY4EJIJn47HxDNOLvBnn30mOXcjRo7ErbfeibvvuQfzP/8CTz8xHSsXLcIpp0yVyb3HPt8XwMWQ+6WXXyYURt4TDY4npz8hBtwvTj9D/r70ot8IJfKiS69E3/79ZHF6/PFHxUN++E8OFSoTPUusCEQa6MyZb2HmzJkI+CMyGXfYfpzIc6sbXN/GQPvOXoMRtkYBbLbzJCznYxhOK3xaEmAVMikbrQCbzUqREmFLwkdakkwelt5XvX56B9h0+KxoDrDFc4CNfdV88NmG+jyX2xaPZVBQOAzI+DH73dWIN/RFc2MxPl/YgPc/qsKoCUBbHJj7IVASBcwYsGgxcNZFAAsUPvYA8Idrj8SECTvh2BN/i31+CFxx1TiEgjR6CvHpRwn88pdfYJ/JwLXXnowzzngM8QRw2aUH48xfvIpDDwcuv3wqfnXmNFStAn59wX74861vYfgY4Irf/hx/vf0FPPRQPWa++z0M3SaDtsxCFAU0xJFGCHtCF0rkAYBVrga9zubkpJ6yumvvDI6e6C/SuWl8vv3eLCRTKSxcuBRtsRie+9uLeOyRB7DHbjvDtjM4ZsrxklPw0YfzxIl0zDHHCZCY9vhjuOGPN2L69Gl46OEHxPnz6aefiA5i0ZGXX56JadOfwsiR20jRETps/3TzjUIFmv/pJ6itrRFn0NQTp4qj6aY/3iQRp7Fjx+PwI47AAQf+CPtMnChUP+pQelzpkSUd5tZbb+l25mx1/dFNhI3sBOphOvMI3ug5pgFGutO7772HF175hxRjmf3+BwJUm+rXCXA9+qgjEWuLi/4mpWjktqPw0ssvi/f4muuvE1BQGI3i0t9chr89/wL+/spLGDFiuACJdJr9E32if7ke0Wjr13eAOAJPOumnsh7RE88I25gxo8SzTyOGFL/zf3Wh3B8jbFzHmHdNoELAxiqTB/7wIFm/AiwAstnC7x6wkRLJ9cyvGYi3NiJaVIjGmrWY/8lcWD4DH36+GPVNTXj976/i1tv+jEH9+mPKlKPQ1LhOwCrzfbidfvrPsHDxIjz26BNYunIFTjrpFBlfBGx33nGbGHuUFwuKqOiX8qzToKSDgaCLjgs6FLgOc3xSHgR6fCcEcVyvKUcanhzPdMyS3cJiB5yDLKTA9+O2T4hEagC8CTPFKpHzYRh1sJ0UdB/LnpfmyvqnVE80Qayq7Yn0Vsv1SbNSpLX54ZOWQz5k0Ya2VgOrlgew8FMNVmyc0OU+WZjBEccD55w5RIo3PXH/GlxzbQPueNCPXXbdA788/V0sWSjdAdDcCjQ1Ab/6NXDSGUNREKnEp7P64fjjXsZNd/pwxHHbI5ZchXKpTO3Dv/+9Br+7ENhvvzAuv/YoXPCbx7GqCrj84u3wu0sXYrtROu588Gqc9rPfoqqaFPJJOOHIt7HfpBCuveqX+POf/4R3/gk89cx49BvZhnh8JfQgEPKPQTK7N0I5wOaArVq+XcA25/1ZQtGbP3++1CJ4+aUX5d2SKXXt9TfgwUefwqT99kE6ZSMS0nDPXffhTzddj2kPP4J99vk+6mvrZNzsPXEfccjccNMtQqH9auFioUS+9NJLaI3HcMxRR+LSyy7GaSf/FMFwQKi/s955R+wvOgSmHHe8MCOGDNkGvzzvPPzkqKNx9tlnSoSNgI2RXVJwf/Hzs8R5wAgbxx/vm8AvEikQ8PflgoWiD1g0aItQIh0LC+bNxdLlK6Ebfvz73ffw+ZdfIRopxglTT8Jll18hOuj0005FKGjgzdfflPu45uqrRN9xo+3JNYFgjACW8ia4ZMSaQIxBCQI2nod0bgIv0lTp0KOj75xzzxKH0+PTHscVV/xWoor33nu/gLqamhpxlNx//wMi90cefgx77cVc7Cvw/Iuv45WZH+Ffb63AxWff357DRsDGikqWGUPAYNufDQC2UDCK1cuTePqxeTh6yiGS9KkbXuPsblfszdihJwaPlckITZDJlKQUBYNRLF6yBFf+7mr84hc/w3VXX4OZM9+QBZT0C3phGH7mJOGEofImZYEgh54PKk+iew5SAjbmFxx8yI8k8kaa5GWXXiHAjh4BAjUaMaxIRcDGBeXUn54uoIqAcPsdd5AFpiXWhkl7fx/77b8vAjrDVrZQIjlgmehJIPnQo49h4KBBuPnmW/H0M8/gL7ffIXlvCz75RKhHXHQm7j9ZqCE/PvRQ3PznP6OpuUnulfzic88+R6pbPfrgQxI9ZM7ACVNPxqW/vQb7TJooE2z48CHixb3gQiZnj5D7pfHBRa+kpEx+HzxIeVYq+vRDKNyePrwZb9E7tPcSoH5h8+z5SMbugz+wAAYNMatJDAKLFUelUCgjbKpMuA9MCme4i5Uhc0nfUryNBpzb6LOHP2nesyG3GCDxnBHCq+i5fkN+mKk0jEgJnFQCPn8lkCjDA/d+gOceBwoKgEAUaM4Av7rMD384i0igAi31pfjNLxchXADc+UgpLDTh+t8B/csVNFqwCOIpHj9hIO68qQrjx/lw5JTJuOrqtzB7FnDwgT4sXuZg0GDg6mt+gTPPvA+1a4BDDumLF16oxU47ADf95Te4/LI/4e3ZwPEnAm+9ApSUAPc/vDeM0DosXf0VRgwuQAoxhPB9gBE2axJgVajnJSCm0cWy3L1Mmu+J/qI0WXTksit/i1nvv4+dd94dTc3NUoTo1ltuQkU5vaMWDj7ox5Kj+veXX8PQYcNw5x13iRFLo506i0WEHnzor+IN/fOfbxIQ9vIrr2DbbXfAH2+8WRbPZ5+bgRuv/wMWL/kSN91wI/pUlGHYsKGiP/5045/E+L/0N5eKHmHRkXfeew+33n6HFDmi/mEEjqCOXlae/6STlLH9ddtmY4buLtDt911bU3Q+4KILL5T8ZBZ1IgigbidTgoBt+hNP4L6HHxUQcMhBB4shdcDk/cSQKS+l7IaJ15xU1VNPPw3/fOsteUcPPvYIths1SqLf55/zK7z+j9fw4ksvYPz4sfjggw9wyy0344orLxO9S+OSeR/RSKHcxx/+cKNc78gjjsbwbYZim22G4NnnnhGaEde5k048WaKnBx54kEQBaTQxB3H16irsvvvukuN26qlTJcK2ZarMiTWUKx6hnEDuuOZfBGzMSZO+zmYKPkNHS30t7rvnbvzpL7fjx1NOwvtz5mDint/HaaefggfuvQ9/+9vz+N5OO8j6SyObEQkabPfefx8mTdwfq9ZWYd26JkllICVy0sSJ4pxkJIIeeW5kxJCuxrWO45aRMq7vdFSQCcO1nM5URuVoFHL9ZwSVjBgalhy/dMaSYcPPmffGMZ7f/gdYCuBVwHodKfM/0Ix1CDCnyGY15ohyihnJPL1InZujpVB3ELwlw/BFGGWLwcq2Qvf7EY/5Mf2hFtx3O/C9MQVYVR2TSro/OR6YOCmCoDEUT9zVhEsuqcH9z7EEP6NxWTSty0pk9pprkqivA154qRJjdwhCQzlef1bDz06fi4uvAU77+WjAjuLssz7GIQcBP5j8A1x9+UzUVQM77Gjg/Q9N7Pp94Lxzf4TrrnoNX34O/PDAYXhl5grsuAdw0YV74/or38PypcCBBwfwymsZ7LIDcMFFo1A+gFWBa6QxdsKuAOwDEDIOhIa94aB/bnKRGOlG2Bht7Z3DiyfrLsL29PTHJYpKRxIjPbU11WK70ab7+dnn4qZb7sLhRx4q7cjY/vB3v70Gd991G1587nnsM2kfvPmP12QsnHLqTwVUfblwqURfWXSENEkCsnffnwW2WWRKyw7jJuA3F1+Ew398iDhYOL7IeDjw4EPwxptvYq+9JkrxkUsuvwIffTQH5/ziDKkQy/2YK3nhBb8WHcEIOfUubUVSI9kWihGrnXbcWfQ6uz9skaJBtokv5s3FmWefi0QyhW1GbYu6hkahHh/040Nw2umqmur1110tlPm7br9NHCkznnlKHBzcWM2SOo50YYIqOvZp+3Iukc5NBwopyZw/tIcpM0YUWQiL0X/qur///e+i6+bP+0ycirfffqcEBngeFnl6442Zcn7qr4ED+2Lq1FOxZHk1XvvXa5j++FJcef4jmHL0IZiwG9tf1UlVdJb1X6/oyIrVi6RxdjAQQfXqLJ6d/hmOPe4gjCN9U0po02LaeGLl1l+wul3RvrM79MTgef/dd2Xh6jtgoJTz54KybPlKXHHV78SrfOWll6G+vlYGIcERKRUESFz0aNzQA0B+LRdJgjfmhdBjSQ8d+0gw5EtDiNE4JtobekAiWaQk0XihsmCSMscIvSXHHXsCLr/8Mrz00su48U83yT7bjR2DU0+eKgs2FzbTTKOlsUHKZDMszEWiT99+snAdcsihmPX+bNz/4EOor6nG+FGjsGTJIvECbr/zTjIBdt1tN1EwvDdScLhA7bzT98QDf8yRR4mH5KvPvsDNf7kVp5xxJnbdfTfxenz88RxRbA2N9Rg7dnT7xKL82JaA9BomfR999E/Q1ppBYRFL9Hrb1pMA89dWApiHROwBQhlEWDHZTEArYN0uWklJ2D5+qFo8+HzpXJXI3CIpvSG+3mjd6PNJCX+ehwZbuj25XkpXs98QDRLHB8t0YFGBGuXwaYNQtTiFGY9/hL+9APijwAGHAr+4cASC0RhgliHWVIQnH/kQq6ps/OwCYNvhQ/D8C6vw1GOAnWa5aT+OPXU71NSsxc9PaMQPD2C56d2wZPkSTHugESuWAkNHAOddMFHGaOO6FG694T0sXQqM3wk49NBK7DV5P3w27308+ewqfPkVMLQfcNaZEzB4eBrJ7CqUk2qIJqQtBxF9T2j2OYAzGbD65pL+2NPCkiqb4jHvxSbHOT6hpGpSYtOBJsVgCJg73gkbvf7rnXdxy1/+go8+mocDfvhDnPur87HX7rsgkWiBZaZxwx//JMwBlmMuLSvDp/M/k9wlUqoZeZk69URMmjwRcz/+GHfeeZsYqYOHDsX551+GbUePxIwZf8Mfb7gejz70IEaPGYkXnnte+rBVVa0RnfjTU05FMpHAc888J4ZEfX0DTjr5ZBxx1NEoKi7Eo49OE91DHUHjl6CFjWHJBPt6wNbNDr2Q6yYdQufF12w0thiRogOPXmDqToJgeoGPPe44vPLmPzF0m+G4+IKLhHqu2Y5470cM30ZkQOcfQcPipUswfJttxKn348MPlSumMhlMf+Rx/PPNmVKRc+jQwQLK7rjjNqk4x/fG3CkabGysy8jQMcecgKKiAjw74294ZsZTaGioFUYE74nMjr+98JJUYGOjWV6b4IMRvieffFo8/XfdeQ/2318ZWizrr3qG9/YdsKqsnElF6uWszHLp2Pj+mWfjmBbMTAIBcoytLP7z3rt45fWZuP4vd2OPvfeWHLY99twVd912O/7xj1ck/4vgii0SWMBgu9Fjcdc9d0uOZnF5GY466hgcd+wRaG5own333i0UMUYm6DTg7wTP9OKTOUJnJA1CAjpGn9kqgAYy3xMZM1zPaXAyQsBKfATKfN/07DOqQkOZcmTEmlRfnp/Gfzo5D8HwvwBrJpLZD6Hp9QiwoT31n8nWN+x4zwgbnTs5p5jUU8w5fFhJNxWCLxiGY7Ygnm1FtIAVdisw9wPg7TcbMO2BLAYMAo6YChw2pQQVFTqsVAH+/bIPj01bgXOv8GG7HUqgkZrt8yMRT+O5Z2uwrh6YekoRCsvaoKMPlswbgAf/Oh+HHQfsuvsANNSEcN01yzB0KPD7G36KOW/Pwp13LUY6AUzYATjulG0xaFA/LFucwYwnZ+M/HwAjtgPOubgMo0fuidnvVmPao3OxvA4YMRI47eRi7LTjOMTi/0E8aUnvuJQ5EBoORNg4AAb2gYOBkiNFXaexEAurEveSTu6OMMbrZF3rMobJ7OBWtWqlOJpp/JPOfM7ZZ0mOGJ1Yx544Faf9/Jf49SUXyhTIpEy88NyzePONV3HRr84XG8jMZIW2xz6K1G1Tjj0RR085SqqNs2opz835zxoEPz70YCxbtASnn3EqTjzuWInq8jqkNLPmAPU2I0PUl/9+9308//yzeO/f/5SiQXTqbztqW/znPx/KOKWDhWOZupcVSufN+1QAza/Ou0CcD6GQaoug9Gvv5q/IyMoiFW/Dk0/PwK233Y6m1jYcd+JJksM2aOgQnHDiSYo++uQTKCkuwPPPPq8CAOecJTUS3AI8XHuYO0onCZ1OnF+0mVlgz00zYl4pI3ELFiwQWTKliN9VVJTj2t9fK0y43XbdQ/TmpEmT5dzM6+NcHjhwsADt7bYdI4wH2tXhgj64/b4/4/FpK/HbCx4VSuSOe6YQDFUj3haTCFsklJONm8NW31jFNhow9KAkgz73xOeYcswPMfZ7zHNogS6UGQ+wbdIi2sOdewLY7GxWomM+w4++0qxULSyrqmqkj1ppYZEsKCzdzAHH5rPuxgFGDx+BD71zrneN9Eh6mUtLi8WzRy4xDSACNZZf5jFsJEulT0oNubtffPGlJGOyrDIpQ5K4HA1IX6WC4iIUF6gICHnvBsvCugab46Bm7VoUlpQiWlAgyaaGXyUu11bXSl+WTDqJADvK6z40NjQgHIlICXBuRx51pLQmYBEBeoiHDCalQq2x9TW1KO/XH2wbw41GGCkfgaCBVCqBPuWqWW48EZdmjQxth0MF0oecRUeCZG/28F15u30TEmhk610An8GynoDjLIYBDem2NskvtJwMAoX+TlUifVLdkDW8ckALpAzw795sKkPOLSTgNpBXESdBglIJLZuNw88O2SRkxrIIF4xFcp2OZ56ahVBRCD86bHcUlzQgjVXIWg4MXx/4neGoX7cW/fomkUI9/BiAxgYNyVgQpWVR6OEq+I0gpv2VhnAYQ0alMHzIQJhWOWprGxAtZFEFH1pbY+hfvgPW1flgWin0689nbYODNJoSzQhFgli1ogHF4RHo33dbOPgKSbsWEa0Mrel1CASLEAL7iZ0KWHuqCJtEI3OPyLnTy0nQE/3V/lZ8mngy33jjLYyfMAF77LWHKvBip6UXIvvX0JDU9ZD0WTRyvSPjsYR8Hgj60dbWLAVCiDg//+wzjJ+wPUzLQCJlYsWKZXj+hedwykknom+/cml8u7Z6DcrLy3L9HH2ItbWhoIDRAOCrL77EaLZCkRLlamOvHOpIeq+pM4uLVSuJr9t6KbruTrsJ33fvrFixfLn0+CKdh1GZgsJC1NXW4syzzsKEnXfFxZddCidjIhwKomldozw7gcyw4UORTmVEpzY2N6G8D5uwA63JpOjSSIgVRoGli1dg5Khhcs808F5++UUcetgh2GnHnaSHGYFgUWGJABjH0aSnaFlpiXjEW1oa0L9/x5rFecf1iQ427s/rcD1i0SiuUbfdegf691eNf3s7bjuE2z0l0t1XgB2bHWqqqArXt/qaejzxwqvSOHun8WNk1/qaOulHysqPBFdcZwmg2Dibp1i7tg7lfSthsBeiCdBuZdER7sN93a2qqkoMZa69NHjp5edGaiMNUI5RfkbZcN3n+s9IHDcW52JElRRYGqIc0/zPzW0VIH84CwHfW4znIWN/DF2rY0MT0XmwlL4D6ek5+qPSuW6+q6t36TDgKMggZcUR0ElLroCNSjTURPDyc/PRf0AZdt5bR2VFBmm7FkGtDLC3R1NdC4yiOkQiWegSGDCRRQzNsQR8dhRlRcXwoQk2gvBhJFauqMLAYaxDGUZNrYEXX/gCQ4YCe+w1FqXFGjK2jYbagKz9Q4YH5a4a2moRDffBquVtGDa8PzRjDarq1mJo5S7KBkmullaehf4S+GzKqxYR8jIRxLpsGIX+wxBk7i92gwX2oGU94hxDlC90s4pmdB9hszNpaH4/Hn/0UXnPPzn8MESKipCKxXDdDTdhwaKVeOTxJxDJEUV4O9V8//15rzbMZApGKITGdfUC+PyhCKhTWXSksDiC5uYY2hJx9K+skEhy1arVUqyJRUj2njQJbh/gmppa6cPIB15bXYu+/ftK3iIzvAMM7bVvmoy7ZDItAQR3e+CBhyTaNP3xJyWKLP3VN1t5qqIjyKYBfxCz3nkXH30yD0cfe5w8P9/vI489IYyqu++6E9/baXsk40mZQ2WlxbkCSeoO3ebYnE+cX3RoEHCxyiUdRoxQE6SxGBXnKjeyPrhfMOhHOpMWvdW/n2q23dYWb++jyHWPRa7YIzibcQTAkbkw9adnYspJR+Dhhxbj0nMfwDFTfixVIguLGmCblrCJ1mucXV230mHYn13j167K4G9PfykRttE7cvo0IGjkJu5GRuZmy3wTlqb/tl031eCRPhyOjnC0lUmWAAAgAElEQVQklPO/KFWZv1EhM2+Lm9swm4OQvxPwUHFz4vNcLKnKv23HhCb9RAj8asUTJ0mcjzwiya6c6Pybi/3Vv7sWAwZUgpeoqq7G4MFMxGVUxEYmm0IkEFIAyjKRSaflXsLkjuXOTyoLq0VqRk7xZUzA0GBxXw0I5BYtGgj0XjCfgQP8tVf/IQtaJpGUymH96bYTWr2G2vomVFaqPnDu1trWjKLCIqFVlpbwOw2WzUmgq8pE9EhlHQQD3gjeevOqlYQEAHOxYvWDsK1lKAwUwcnYMl7TTgrxTIv0WbMdOo5oLyUk6dtg41IJ8JiwfRY0ifTQ+7kpPxkZUkVL2KybVSE1x5bryedsAxsNo66hFmVstq5rqF7DktjlGFSxA+rqUmhLJlHRvwQNzYsQiqah+020tqRQHN1GCpVogUasra7B0EGjofsKpCwy829a2mrg2DrmfFCLiRN3RHG5CcuOiQecuWUDB5dKI/iKsuH4asEalJdsg9LyCJav/kB6GFZU+FFUWI62VgcjB+6KmrqYRKor+/oQjmhIxOk4iUrvOL8+BmH7MAScHeH4SiQf0GEDbdaJzFWB680YUBE2VtOkHFWujxthk7/BqpgBWcChGzK3LcuHdCYjfwf9dKAwX8aSvoiMGNiWJnqqsLBY5jmNUrfyoOHX5HdNY96MjubWVgwcOBIfzZ0P2zaRzqQwfsxo1NWvxYB+/aH2hxj6fSv6inMq1hKT6xhGAOFoFLFEEusaGoSVwOtSf/J7N9mcifpft7me8N7Ib4sc002EjfLiO6AMaNDT0Of74HPdw/Lei5fiqmuuxsihw2W/WHOLGCjpZEpYGlwrhm8zDOsaGhFPJGQtSNBAAvOMmlBaUAK/bkjOWlNTg4xfGjIVleXCvuBWWVGJlStXS27IgAFDxGASPawDkUgANbVrxfCRkvMtMXkXxcWlAkL4Tnjvt956u9DvWTacz0QDS5o80/vWvhpuqkRt6LkIG+e8Wo8VsHI3jhneJx1JPicreI2to5hHa0JHbWsawWgUVioDB6Y4UNkf1bayssZSfpQjy8Ez15pznpRI03RkPzYV4b5ubhmNRT4b5cjiL6Rt0WHLtdBdx2k40hlLHcn//JxrI+XLz7l+810SuJFdw+P5OWUsPU1bW2VdrqxIItbyd6TND5DBfOj+evj5bFYAyJZCd5jHm8thkyL6lA2r6lIRk5HAar4p9Q58UVg2dacJx8eyJSXQnDI01tGBqqG8IgkYjWhpZhQvgsLgYCRSFuBPI+ukYJoppDJN4qRj/8hocAjSKQum04BEMo6CcKUYyimuB6YfseYoli5Zg+1GD0XWbkRJmSEy8rFfp6MhlqxBItmI4pICaD6/5AlzzDtaGwJBwEyZSNpAcWV/JONApsWA3+cgFIwjazVLwSjdPwxWdg8E/HtC9+0IK0u7R0YuNFJDHQua33X6berYU/tzXHDrqkfcvx0zK5EqFo0hpY6ROI5JRqPv+euDeO7F13Dl1b/HtiO3QTadwpBBA6FrNlobm5DNplFWUipjsG5dvRwDLSDvPxwpECcMc7TWNTWiKBpB/bpaWOksVq5ajsryMgH9nGvUh46mo6a2FratiePGdOjgakVhWM1fjknKv6mxReZxQUGRzF8ey4jSE088JZTMP1z3x/Z1gTpD2ardO502JF3KqDgaxpJFX2H7Hb8nOmrlmioMGzESmbQNR/PhiwVfSr0F5uSSch00dHmu6rVr5NpuY2zKiHqRz0AdR/3POUOGAKnhZJ9xTvGZuFFHWlZWxuRXCxeIbuK2auUakQXzOvmeqMt4PtrVvJau+SWPmBUqn3j6RRRXDsSzM77C9Zc/I1Uix+7cCn+gStJB2Dh7vSqR8z//UCJspESuqwFeeX4JTpp6mEeJ7N3826SjegLY4q2tiBYWSqqrT5CGhkQyjUA4KJ7KitKSXO+bMrk2BwkXZVe5c1HlgOFn628K3Jnsu0GfEjVZOzBXhpNUFlqwQAbgnnvujqZGVTWHRqfl5DwJxdH2o8QT2YUSxXO3tcVkwa+sHCDYjVOUT2Ml6AFikqsDi007c/fpymb1mtXyTP0q+4qi6deXUUY1x9OJJIIFqmgEx7Bq2qrlPD6dlQC9uZGwMvqlaSNZ6JkMCqI5iscmvTlv5y0jgTQcpxFLl7+KV1+/DGtW1yOao9dFIgbSlgktBNhMayNFETZ0n+rR5vZzpQNDAJatwdYIGDbhJ4LQzBJVqllLwNZYgTIH2Gy/AJGCSADNsTppKBsuBBg8TqYAO1Ugi58esFRDUyuEopIgIkXs2ZJEvA0oKy1CMtWKLCuS+gpgOxbiqSS4bkbDpaitaUKfyj6ItaWRSQah+zOIFrVCDwDECamEFKZDMBBGOMoaAEkUlQHhsIHVq022oIHfF0I2FUU4UIpQWIMeaIVlJ2FlQ7IoZ60ENK0ShrMTdAwEfAYsGht2WIqrEOyqqm+bvvUEsFH/0IBkH0bmrhUVlckcJ+iMhAwk4i0oKoxIHzYaB0WFSo9ls5YsoMpZxLmdQmlZsRixmUxS6Cw1dXUwjEJkTAeJRAy6oaGsuAjwmdIbjPkwLOsvBr7liE4sLSoVncdoPPVqMp2RyD8XagIJvksaNjSACRRocHzdtrUBW3fXpw7n89Oo5n/qSBpU/H3psmVIOz4MGDxIAAefOdkWE1kEDL8c5xo1ut+AaVnK6DU0eS80TKpXrUXfiko0tzTCNNmMOSDlx/k3gQdlLtG4MEEy1yW+K1V1NVrAnmCNKCtXpeYpe1LyeRw99NzI+qDh9NVXi4Q9MmrkdvIMpBryOK4NvTX4RJ90A9jEoGTREZ8OQ7OlcbGZoQKwACOIrBGFPxyGQeq0nUFQN6QHaDqVEDnymQVMtcZknerfbzAcXUNrq+rXxubUZJjwOWj8cX8+r2uUi3EdDsuY5Ph0jUrKi+OTzBnmDNGo5PfcnzKjLHl9Gss0Lrkucizw/AJ2LQvRCB0Ui2BanyGrLZSCH8xlEtJCFtBJeXTpkK6UbUWhtjXKRUWaJFjvK4PPFxYWQNpkPjCdVyH4nAKYWR8MjX2lTMDJwK/bsEwTLa1p+AMFiEbLhQJr2k0IFrYJTS7VWgifE4ERTCGWaEEgDFAVNDUAoSCdvWEZR9EiRjNJXw+KY4wmTGkZ0NYK+A3FpKHZRAfY6tVN4HAZMCCCdfUJCRY2x+nYLkcE/VAaIfumBevWLUbGsdB3wCDE4oOhG3S2DUWWBapsE4aPxa9U8TfF7umd/uSR3QE2EnRd4E/Axhw2zjGCuLmffo61dS0YPHwkykqKkEqwqqCGgN8nudcsvJaIxWX+lZQph1R1bYPotMq+quIlwTwdkQP79ZVUkmCuBgEd7tQRnL90BLC/GYtFUX5kQDU00/nSD8m2ZmE0cT+OKcJZNc4CMl/5jjhfSYnk38OHjZDPOKbZVknZpb2TH3Wfz2KuexqOT5eIH6sRRwqLkExkZa31abrk4FVW9JG5kk2pqHc81ioRQDpTOF8oE/7OeUX58hlYjIkb1xzKQtm9yl7kHOX85c+S0iL5nHPWzCpnM61bzlXOSb63desa5fkpHwJXynTU6B1hGf0w9+N6/O2pz3HReWdh+90T0jibVXuZw2bQMSJDjI4IP3wLFs4jI1cAW91aGy8/uwgnnHiIUCK9HLZNN2I25YieADb3fOl0BkEJxWrImrZEqLhRX3DQuIaFTBpF7Bcl7W6cJBxIbslgLrY0Ql3vtcmIWCYjNC13wuU32WSVLi7ErvuRHOhooQoNS9qKQ+phTDzsbKDp13wIRhRAYuEUnfxDdVftXUzYZLRIygznJqwGoUNlsllRCqQy8r4r+lR0RM9zQsu0xhAoLEJLawJFJRFkMg6MTn09bCSSCXk+KgUfF1zpFUN5pVAQVXxIL762KSN2y+7rjv/lqz7EG29djbVrPkHY7gM7HYCmh5FMJ2D5syrCBlVOWvfF4EMGBsOxLDHN6pFOL5O+HeajlCiKoN6ay2PjAGbOHJPuDWTNOAqL/WiNr0LWjKFvvwpYWQMN9WlR4sECLlQOwgGVr6IF1km/pnirjoEDhqK1rVEWj3RSx4iRQ2D6VmNN1QoURYbAMnWEon40NyZRXDAC6UwbHH0F/ME0WpoTKCsZiHizjrKKMiTSa7G2eiXKy/qhpFT1wAoGioR+uWZVA8pLK1FQGEAiXSWLRDoRkbwhGDSeaDgxIh2Fo5uw2bLAYo4KPeO993D2BLBJhELTEC0qFoM/Hk8LQNIDQayrW4vWlgaM3m6kMDwI7hhhU8cYspCSZkK9RDaAP6DLQk/Axn1Z4KC+PobtxowXGhT79mWSCRQWhRFrbUN5HxopSQEX8ba4ijKEomJYMDexL4FkMiWOJMqTCzT1Dd+jG43iwvp1W3eAacvOmPXPpqkkrI1uCtDQSB0gz0V50vjnWlBcUoLVtfXiiZYYRGEh7IyiBImH1+8XUEZKI6NDXH/EERgJiXFDmQ3uN0jAXSzeKhR9xQKx0NLaJMfyfdFAqejTV+aLGHzhMNpa4xKVKywMi8FHzzXPR0oRDSpSgbk/jWKuWYy48dzplKIA8r3066/eV28Nvp4ANgGtdlbWNQI2t3G2VKo1gmgzdQQiEYSNABqb6hEJBMV5UFxUIHImtZFy5ZxtjbWhpnod/OEQiopKEY+3IWTQwKZcTAVsIxH5nXOYAC4/IkbDj8/L6Bt/5/c0FPk39+d1eA7+TrkRvHEcU16cL26+Dm0FvuN0KoZwyEHWXgnHWAA92ChgxMn44WTKYJCK6KMxrBg7thRjoqOHgI0Rtqy00bYtHbZVAp/GNgSWtAaAFhNaeyRcjEwaSLY5MDPMA3YQDPoQDJjw6QE0rMuiqLiv5AjbSCBSxMhGHLGmYhQXDoDhN5G1GwCjVpp4pxNBBPwqUshxYdqOtOjRfEFEojoKi02JsNfXpDB0yLayTyoVQ1u8HuFABJGgogr6jBbE0jFEywbCzBQjWReCmbJRWmDDCLQhZdXCdDSkrX4w/INg+8pgmoYATkNjsxcjl2bh9NrhRZl2B9jsrKKKc05wXLCsv0RqdB39Bg1BytRR29CMaDjIjBLpxebYGYT9AWneznnMMRMMh0TvFZdWiEwWLlqCaGGBgBg2mCZAa2puQEEogsKiKKxMWuxARsmpN2PJFIpEb4TR2taGtMnoVBoBzRG9zH05disr+omOqa2tF5uU982fLS1tAjJXrlgt9yGR+qSKEvd2/lL3pmKtGDywP2rrGxAKR1BUWiZFRyzTp/RaICjzMB6jI4AMHI6HFKg3eQ/8zAWVIp/iYpEt5wvtRs4v/s196Rih7OiA5FzifQtV2aecJ1w/6JhSc75YZMfCP5yDpNvzfGQQUC9S7nPnL0Tl4J0EsL3+4mc464yzJIfN8K8RSmQ0osHM5NYfF7CREkljNuAPY80KJtN/iqOn/AjjdyGLzSs68k0uuD0FbMxjo9HKvA7mABBlpE0HfoN4ff2NCpuDIx+wuR63/L1p5HAABkN+6OR9iCfbzHkRNFH8PIdLreT3Lc1xxcknEAooyhHD45KIK1SRvAgbFWo2KxOiqEzRY0gJ40HRQhWV81mOJI2GCgpgWqqEKakVpE8RRBJksXEpG7tyMtGgkIlnOfCFOFlUbnQikUUkovj1sXgMBVEFFjs2RiYTUtZfnDoO0NqWRHGRyg3wtm9fAozQCiOCeTHx+QgabSgMDgNSIUAvlEUEYVsaPROwqb4/BGypXCYBF9DNaVzqVj1j+wDqOo4/QviwyuFwAkinUggWcG60IZVqlLmiSuEz8sKIwzJEInQ6uNRx5tiFkGoNIhiIwvY1QQ8GYaf8iCea4Q83IRCyofl4DPOv6CSJwG+wCEACumbBCDLi7FeOjoCJbJY0Cd5DAKkEq7CZKK0g1ceCZcVzTWuBxuY1iBY6COrFSCeLEQwXw0aTOEgcpwiOj7Li/dFvWyi2p04vcS89nAqwMcLJ+U9X+/qUSCaMtjQ2CgWS+Wec/zT8A6GARCsMjRSflLxq6qJQsECYBGbWkoW1oLCjb1QqxVxC6kAz59ksk/xGuns4/5nnJmKi6RePIxwhBdOUxTfoDwpAUU37VALfuvp66P4ASkpVXpu7EYBrGil+zYpG9DVbb2W3pWZbd4CNskwlk6KzXdYFn5/yIYD2RwtV9E1yfZMScWIOlpW1xajnf8mvCgcQT6QENJXQcZfbzLQlXnzST1lMpINqr5wo1N0hcdYp0MCIOI0feqLDET/q6mpkbCvausojVMClQBlWmlqHaOQwdSMRT8n98HPmXqutdx76ngA2OT2LS3C9yVEiFZ2E491A1hdAxgbYw5vyK4qExSClg4FFbuh4bGluRigclTWN04RDkBtz2Kx0EgVR1W+NsqaByOence5GJ900BhrO+floNBoJcpnrx43X5X+ZR7k8G4J0HkP5uZtQUkmVNTgHldaDsQp+NAnzRHqLmWWQ5mksxtTeJJq56bn1MgfY3H5sjmOD8RVaJJxeKuvARmuqBQXMG5cqv7laCNkUMumEVGf1MXTGYvksLkVKpWVA16LQdM5VwCYY41DS25DJtIgMmWqhaX4YfjrV1D2mM6uRtVoRChbC0OiE6yOy9fnZ19OBLXO6Ek4siobGFvQZEAP8rahqXo7SkiGIYARgUe8zNEcnF/OrLVhmAXwGc/IK5X0RsDGKKpT5nKe6twwFNYq+nhIp1HJdR6ylRTVSL1KMg2a+10gBbC2MjO1DKKCD7QElL5jjzw1/5lzStqkoutEiVuVVdhhz2Gpq1qG4rBRhpTjhsx2kM0kEA6wG6kPTunUoZS5aLqWFDhc61INhlW/JagRkaLnOcNL4OTeL2q/DFIIikRXtw1TSbI8m0+TkuO/t/KXuVTEJUkA5xyISYatvbEJxUbnYp+zKQb3BtYbzqbggIuOTo5x2qQvK2vVZzlniAjVX//B7rj38m3OMuol6knMyEg21pxSRGUJ9SocjnVAEd9yfDijWjKDaqK6uF6BXWFKAlhQw45kVuPbiJ6RK5OidmgWwEWhvMMK2qmqJQ7oby/oTsLll/bffjQXEPMDWruW+oV/y/aMd0R53AbJhZyxonDyyaaKgmTSeTpO37leTU3rfpNuTlt0ESh4hUTM2KczRWzjQ6PVwaTKSmGplcrldKkeEx6dSijrDjROdv8fjSRmksnHh4ZpFuprFnBKl6jkpyO2mMlbJ2Qpg8j4ZGeS1+cxMKg9z4ZWDyO1ioZCkFBvhYiW0qWRCaIz8Gc3RGamsA4EgUm0x+IMh6My7SDBJVIWqXZDHazNnjYuAJF77c9HAnOKg4iFw8yJs39DA7sFpuRbFkqr4i64z8TwOOCUgo0byvnOFMSSYxvGmdZQCkeWld8Wl1r8zGQQEMm4CfVBdLHd+tkQiU8QvQ8yWKAH7vnHBkZ5xsBBrywpA8wcZnWOoWF2GKZpsTdgp6dSXREsLwUAfWBbPo8M2ZV2Wa5IKKfaWPD9zw5JIJMivLwMsQ9Xz4WJHw8iXRjzViCidFwSQZgMiRilMs1QWUUcMLhpTufko5ai51CmHCW3erhXKevDq2ndxq5zJYp8TWAeIoUecOT6u80QZJwpA0mDNIOjX0NLchOJcnmkqoZxNbtER94B4PCaRORrPpCX5CKgk0lAhDXtprLhz2nYYiaV+6sjNdfUnAbgUTGLPBXXTkoCvDAe+A6URqP9CBJXdjLHNkd2myHlj+/q6ibBt6DjqYo45lbmZY0gQsLWqyJC8IzLehPFgSZEo8cPlCrSQzko6VSTIkuvU7Ur/c+P6xOqa3FQecUk7rTIU6uxEU+uJojrzXjoVxMjLmXfXtlzvZvVIDtDc0porDMNqj6ofY0821bdRvA2dnBWu8Zw/pk3TkgiY2liVzlSFRxwLtukI4IilTKH3Wlm1L9dYjp38jQarUPiYp8n1L8UiL4ZkD7DojpxdEEBnZgz/dp8/38BUcu5cFIcULLcxNqMcjFB3vgfqLtchy3flIBLyicPVZ1jQtbgCWnSCmWH1BvKLauTqraibzOknkTlHA2Efo2TclBPNtDPybLQMSGJU7uWcXnUteB+ZMG2IhPkdnVE6omEF9uMxIF91ZLLMcYdQ35iXRsojL5ii+RBuge4zYdoBpBMBRENBMHAULswgkyXQLYGd0UAmp9y7AVh6PaUrbbCR7oMge8hIIZGkYlyIEud8iEjOLw9lZFV3czpUkdzNWoi6qxIpIJ7Kzb1vXo3R2FzVDq6a7QAkmUFBOFf52nbgWFl53/4ceBf7USi2USkMRxBRmJvvBFqlJQrUK/3K96TWw0yG9Eo/bEdRq137LRIJwTJZAIcgpsPhoPJKVZ0E2ntu4KCpqUWBFkqWaQJMA+xOwX7NhFZVIrlw5gYjAT/Hmq7ys9sSaUQjQTQ1t6G0pFBeO+1m3p/fUPrGnW+uM0ucBjZbeSiaJ+VH29e1I3msmt8uY0zlMPJUrm2tqOcd88x9BNq8lJn7/Ik0YESBRx5eKo2zmcO22yQbRcWNkkO8wcbZq9culQgbKZGsEskI25RjDpY+bF6E7WtGy7fyVQfg+WYv52aUbemr9OD+N4xYv/5GenPMln4073ybLwGx3NXCb9sp8YTCZk6WBX8oB0xyEVTXK+0ibNe53kMb7WvvVTGI8ytNqmtzLWFxgAAL0+RdyOXqq6C0KU4CprQEBJmp49rt6K432OlabjXKvNvbEEDwuffGRTTPgsoZSx0ecDcBnvu4FefUZ4xEKcPYdQYpo2hLyG/jwu3B/O8UHelpybX8iIqiWG/4ObpGXvLOv/GDNn9c/z86Q29Uac+P6em60tP91hcsDUbmLnJe0LB0i1YRcItz0GH0xhGA6vZU49XSyaw079308b/+mHLl0dNz9Vx+3/BAYtcU9xJy8yo/WHmDcsDq6x6q03cdukedU6B8+wOoXbvMv3YFlK+3OhxlSpnmTuFeK/+anQRJHek63Mi8cI9zz537TKJi7v+sFIrhffmoL9vPR4+c68qQ8F57KkdP3/GWfXN5fUU7nbhzz8D19HnXtWSTb74n+ptX7f383Xw5bVzHb/bj9/jmevf8ZBjRffrE9NU4/4w7cepPjxVKJHPYWMiJZf39uqov0Z7D5gG2Hr8Vb0dPAp4EtqgEqOjUwmhnLWgMq9F7mQ9Kctdzvedd1fOGKMGbcouuh8/N+9zQsfSu0XstlJRotD1HtJ1i1uWgjXnKN+W+vH09CXgS6E4CeWX52yM2uSiu4+tctjt3Kld/xHPe983VH93dofe9JwFPAp4ENiQBD7B548KTgCeB/0cSUIDNyqRQVVUNy7SFnpNJmwiFCwUkRaM5ilYuZMXS+zmXk/xQVd42b3ML07jJ3fTMu/24NgTkXEDmftd1H7ethqKGeJsnAU8C34wEFGAz00kYuXYwzc0tkvRPeiOdKy6NcMDAwYqe5VedxtIZC8GAyt3zNk8CngQ8CXzbEvAA27ctce96ngQ8CWyGBBRgi7c2Y/bsOVhbVa2qT9GYChVI7gZzSLg53xBgY2UrcuxVO4iAGHXkrLsV2mj0sfwvS/K6JX3dSqxuAjLvT/UHc737CkV+XdRuM4TmHepJwJOASEABNjp8mMvM4lyzP/xIqloyX1rKbJumFD3Ybfc9peeUn/lAUvBj40W7POF6EvAk4Engm5aAB9i+aQl75/ck4ElgC0pAAbZEWwtmznwLy5Yul2qCju1DIKjKr7PAzDcJ2EhrdBON+dMFXqrSk/LSu+XNWYqXJXoJ4PIrp/L+3PLp+f0OOxdR2IJi807lScCTgMrNzLI8vKr8uXrFCrwz631pX2D4gxKhd+fw5P1+gO22G9WeVeUBNm8AeRLwJLA1JeABtq0pfe/angQ8CWyiBBRgI6Xpn//8lwC2YCQKy3RUuXa2hfgWImz5gC2/alV+TyP+zqgbwdqQIUPEW8+GtPlRtPzqrC6I23DD+k0Uk7e7JwFPAhuQQEcOG8uPz507F198tVDlmhYUSYVkN+o9cdJkAWzZXFVGt+aMR4n0BpYnAU8CW0MCHmDbGlL3rulJwJNALyWQa7TjWBJhW/jVIoSiBdKjSXresNZhruH6N0WJVI13FX3Rja65v/NzgjC3LYY07s01qB0+fLhE29hnheW1NwTMvAhbL4eFd5gngR5JQAE2Rujnz5+PL774Amw5IPNVM9rnNOfspH33w/jx45CxFBXS3TzA1iNBezt5EvAksIUl4AG2LSxQ73SeBDwJfJMSoMFFZGbjtVdfwxefL0CksEgokT4tIDljqRQL335zOWwEWvkAzQVp7eXANdWvhfRMN4ImTXtzAG/vvfcW0Ob2PPIKjnyT48U7tyeBfAkoSuSKFcswe/Zs1NTUoKS8j8zN1rZ4e19SOlp+cMCBGDduTKcmEqZlI+g2QfME60nAk4AngW9RAr0CbCvXLJbG2eFQgfRhe2bafBw95SCwcTZ8XuPsb/H9eZfyJPA/JgEF2DKpBN56699YsngpjGCoHbARKCUSSbAwSCqjmlVasKShZVFRgeSN2eymuhmb9GjSNGmm6YI1N5eNhp8L1vg9ASSvyQaZ/Jv3RYDGSNuee+6JkpIS+Z6fsXjJxsr+b8bteod6Evifk0DX1hucV6qyq4ZP536C5cuXYu3atfIZKdWcs+mM2e5g4eeMsI0Zs51qfkwido4a6UXY/ueGk/fAngS+ExLoFWCra1jjsHFgwB/G6uVJAWxHHf0jjN+FNbNboSHc3jhwQ0+5yb34vhOi8m7Ck4Anga0vge4BG4uOkOIUS8QUCLKziMViCAQM0HNeUlC4WY9BcOXmsPFELnhj5M2tHkkDkUCMhqNbjETl15myDymRY8eOxbhx46TCpLt1zWnbrBv1DvYk8D8ogXynBx0ldNpw47xdtWoFPvtkHtatq8vphIA4fMSR4xDQGfK7B9j+BweO98ieBL7jEugVYPtq8eLsFj4AACAASURBVKeO4/gQDERQW2XhpRkLcfwJP1aAzYuwfcdfuXd7ngT+P0uge8BmWbaApHQ2jcrKSkQKI1JMwO/XVY8l8Zf3fiPA4vmY50LjkIagG0Xj34yi8foEX25OmmsI8hj+zmNKS0uxyy67CHDjxnN4BUd6/168Iz0JdJVAvgNk4cKFmDdvLhrr6pHNpsVxQjBn+zSZz/Dp7VFuD7B5Y8mTgCeB75oEegXYPp73QTtga6j14R9/W4aTph6GcTt7gO279oK9+/Ek8N8lge4BGwlMNMaMgIEJEyZg2IhhAqDC4aCArEiu7H9v5UKvPcGVG0XjOVtaWlBfXy8/mRdDg49RPgIwgrYOSpZbyVIdP3LkSEyaNAnFxcXt0Te3Sl1v7887zpPA/7oE6BDJpyx/+eWX+Oyzz1BbW51z2NgyP/nfdCCUZTbO5t8uvdmjRP6vjyLv+T0JfLck0CvAtnrtUseyHOhaANWrs3jxma9w7HEHY+z3ABONCOikHJHprZrCdt02z7/93RKgdzeeBDwJfJsS6B6wGYYyugKhgOSJbTt6ZKcb1BzVpLq324aaW/N6zc3NaGtrw4IFCyQ/huCNHnyCNoI6bpJbl0oJDZLfk7K51157Yfz48V50rbcvxDvOk0AXCbiFfBg5W7lyJT7//HPptabrPugOYNuK9kjnCAGb5JHait7MzYuweUPKk4Ange+aBHoF2Bqaqx2bys3nl6Ijz07/DEdPORBjdgJsrQl+rcADbN+1N+3djyeB/woJdA/YbNsRgETAts8++2D0uNFCQWTBARpm0VzZ/96KIz+HTSJ5uaqRpF/xO+bJffLJJ2Ik8j7cHDV+x/0ZWWNEjU16+Z9RNoK2vn379vaWvOM8CXgS6CIBOk9Ytn/RokXiSFFzVRPAZllZcerIphvygxE2t9KrB9i84eRJwJPAd00CvQJsjLD5yPcORLB2VUYA25RjckVHvBy279o79u7Hk8B/kQS6B2wsOkLQFAwHMXnyZGwzclin59+SVd42ViSE0TbSsBYvXozW1tZ2UEePP41BVo/kscypi0ajksu2/fbbe1G2/6KR6j3K1pEAHSKcf8uWLROwxsiaS1FmOxACtlwgTRUP8mkC5tw+bF7Rka3z3ryrehLwJPD1Eug1YCM/PBSMYs3KFJ6a9gmOnnKolPXX0ApIlUg/fF2ZR/zb5UNuRV5k19ta/1ZynjeR3YZpnd7A+u+WwNeR5rbi0P3vFnqPnq57wKbrhgAhF7CREplKZ6RKpOHTlApaTwnkz/lubsT2kTPVsRMja3YWcJSuoMEXDLHVgI1/v/O25M5wY6TNrWAnEcBcyX/uv93osQLaWObfNSZ5zDcx1vIfvafn780xPXqdW2OnDU1u38be//r6vzeycI/pTt49Ievauc5g7Y4H9yCOP3kO9+fGhNuTNS13nk5dyNS0sfPWRA02M0blU3dTt9P5Gt0996YPA+oBPuf6Ry5fvlzm3IoVK8QBQlpyKpOGYwGhUADpeKvMPdowjHpnyIX06fI3QZubb7rvvvuuV9bfv+FLbvrte0d4EvAk4ElgEyXQK8BWVbPUEXpBMCCUyKcf/xhHTzkCE3ahmm6DhgL4HEPpcGrv9gUlZ4GQgbDlNXiPHl0tOOqW3Ftwlxb1N7/tCtjUHj1ddHt0I95OW1EC7vvtbFTkG0v5I6CrgcajttLw3Yoy+65cunvAxhQ1KaVvaNh9990xfntVhdE1I32c3+tZxnlvvN3TtCEjXgMcNz83//ucAemiLIvdmzRU19ZizpyPxNuv+w2JptlmFql0AoFgWDz78UQKZRWV2G33PTByxND2e+UY6zzW1PXI5OrauHtDbye/N5z7ve2woXjH3vkzoOuYzhcR83woV/430ymEgv72og7u2br2vurtiKER7T7fhvIFN/asbqNyGuP5m0tzk2ioRFf0jgWAD6Q5OaADxBNx+AMB+A1/+4ihzOR+crN+Y+68r5NfvsZxh5ejcEKntYVyZn6V3LNPjeP8iLANB/zPjU8p52pfZ3NAjTds0Kng7sDHtXL3zzfO598AaOsEWtcHbE7uLCYI01SWug4bRhfAxpFPemHHM2uyb/u02mzlqdboVCwJn6GLc4RbVVU1qqqqhIrMPNGsqQqLSFVWOHBMBz6YSMVaUFnRR3JIRVTBkOzL+Zi1nfZebALYRo+S+6Z/hnn7hr7ZN9/baeEd50nAk8D/uAR6BdjWVi93uNAEAiGsXh0XwHYkAdvOVMxt8KEImqMpZ5+7mLiCpr7byoCNC0r+7XQGbOYGoJnLcVdHeSr7//us6Tlg21A01gNsW/P9bwHA1tWBJJazQKHcBO8K3fMjCPkGrzuOugI7DQ57ORkBxNraMG/ep/jiywWSzyY9oWwLmWwK/kAIPl1DMpFFQUkxdt55N4wdN6pduK6h3mGwb3jcbgwwuW0F3OIK3M+17/PfIA1SqcPCEEQuQii95Qx/eyCxK0hxdaALkngNtyrflhwdPL9bQMLtZ+fSSkUXE0jlru2COzdCIhGT/EioKwCqeAEzbM5lImOmoQd06EauEXruARg7ImTmv/xt/be94XVhQw4g0R15J5DlkeBM+vn52sF0xxBVMMldd0wCj3bA5oNBVGfRicDhm/OO6ppC+hqhHQGIWog1kQXBmgtGuyyE8qe6OdehSXjYsSnYl8nJg6siz6SAmDt31LFWO2BTYE0k657KlX2vBoqNbDIFf6gDlLe1xSSatnTZCqFCSsVHgnPNkDFJEOb2PwwFNMQa6tG/bx+0xZMghNMDQcRTafiNMNJmFj5NjZvJ+07qBNjsvMqTvbp17yBPAp4EPAlshgR6Bdiq165xSNuhwbFmdRxPTp+LI6f8RCJsPsQAFCjPsOu87Bqa2iyFvRlPm2+w5FYkOle5LneOrnW9YQXYvO2/XwJdAdqGjDMPsG/NcfBNALYuXpjcC1ZjYf1Iw/rvf/1IXNbMwm8ExXhdtnwF5syZg9raWqkK6XNs0PjTdL8AtlTSRCASxoQJO2LCDjsgHFIAoSeAzY1q5efS0WB1KV/5b4pAh2AmGIrkKuSpb79uPLvzgVE9t9gKo2tu1OqbaEHg9q5z790tDtHdtb7untobndsOfKYmAK0dtJHOyohUDghZjGFJOJFVBA040BWAsVV00+iyHPREfp1mjAX48ryEfCeEVowGCTxzOhqzEzhIQ/YcbCR0IxjixttgPpbcXFZCc/KHJbhMg8/vRgUV9ORmmSZ0vXMEMn8QtL/vXHS3Y2R3ADmiQblEp+hebk/Xm8UHdC/qOm350w0b94SVuUE140bHbaQTCYmoLV62HGvWrEEsnpSINecYxzqZjpSpz/C3t+HwOVkM698XRQVh1NStQzqTlaIjLmAzOTdzEVUPsG1NPe9d25OAJ4GuEugVYKtbXScRNlIi16xK4MnpH+GoYw7FuF15+jiAaCdDwNXhSke7nPet9zLyq3rLmtK+4nYNCbpfiLty692wd2VPAp4EchLYgoBtAzJ16YKuobqhCGvnLB6l01w14kYmMjnAxs9b4m149913sWjhEoSDfomEMNpB2hgBWzbjwNE1jBo1Gt/bZReUlkTkfN0BNhegyLVzkaaujyRgwLbF6M+PgMlziY1vKXCSO8fGfrrPxe9pDAtVT9+S5Vs67pyRSBra+QAtv3qfC067Rs/4nG7/LfeZeFYpKOFG2lyAk4tIScyICCxHB0kk4wiHKX8XWXS87a4rwKY4bvLlpwCp3JmMHVLtpBgGm63nvcCu5+dxHFc+fwiWo8rTG6T/ugts7iIcw/kuBDeC2i2bz9fBFO4cV+s8qnJxOnURxX/s2Nyl0nXKuvJ2l1b34F4vpwqwLV+yCEuWLEFdXR2a22IyhiVi7fPJGJD5QLDtOEhlTfmMOaTFhWFM3msPJOOt+PiT+WhobBJAxzy2cKhQqJOZrCr57wE2b9HxJOBJ4LskgV4BtnUrm+h0hD8YEErkU9M/wpFTDsLY3flopBmw6Mj6Sl6BNRt+8dD1WmNvvvy6WmFipbgrSs6Sab9Kx8ItH20k0Xnzb8o7w7clga7x047rrh8p2fA9bcWx+20J6Tt7nS0E2PIt6Nyz5hu6+ZGGrqJQMIW8us6bS5zkTzMXpdF9ukRM3nnnHXz66ecIB4KwTQt+w4BJ7avRSjaQMrMYOnQb7LHXXqjoUyQn3hhgc6uRu1fvCta6Vq7k36yaKXk92SyampqQzaaRTmYkl46fubRD91xuuwJSOAsKClBUXIyigmIEQkGJ3uVvBHAEEwRZ3wSIc6mdon4dR+UkWVZ7WwQWmHH/E+zxOd3IlHv/bKNQWFgoRnuIbR2Et+cgY+XAJ6tJgNEVUgc1pDNp2I6Kbjk+t5myDjcwJ2ilvchHDydLbn/S8xS5UJcy8y5w41nc65uWiUQsLuXoY7FY+/90OgufzvVV9RCjzPlMkYICRAuLEAz6Ud6npP2GyIbMpLKy2kYC/k6RvU6J3J2iyh2AL3+pdGPNnQCbGz1zr5h7nPy51E6HzI+wbQra7SReG4119ZgzZzZYXESAuG7ImCRAo6w4NpgrykgyxwIBHWU0ZswYTBi3Hfr2KUNjTRXe/Oe/UFNbh0A4Im8j4I8gY5lehK2Hw9nbzZOAJ4FvVwK9Amx1q1oUJZKAbVUcT0+fgyOOOQjjd+c6GIeD6EY8hVnxW/qh/z8DbHwp+Ua6Z7B/u8N0y16tZ4BtQ4UpcvchfCZvDGzZt9LTs20hwLaBy/UEsHWwBToDNmXMstACa+gp459Gt6GTUufg/Q9mYe7cuQgYAdimI7StVDorOUvMnYmlkhg4cAgmTZ6M8jL2sdw4YDNNu1NRDjd6lB9xI4AiMCBQY3EF0jFramokx8exTfnOpUi6xUkIAPg/PzpFwMJ7ZcNv/ufvQ4dtg6KiIpSXl8vf+dvG2hz09O3m7+eWV+8KAgliCDqrq6vlufhMBGwuIBWQlYsa8ljeIw14MeKDYQwcMFh63vXrV9Geo+c4Jkzmy9nZ9v55pNQZRkCiWQQBPLYoGsG4sdv25nFyx6iSIcwN65obl0om5TnY6DnRFpNndJ/NjZQ6LHjjGGCvQd4XeZFGIIBgQQThaESAy6BBg1BaXIL+lX1RUhRRNVUEDeaiYaK6OnLOOumyPODWbZQtP1rJU+Z8m5wZ+YE3Xq4j183Vob0VoY366hrMmvWuvH8CVkbQpFVGMKzaeQRVW490xhSg1qdvPwwdOhSjRo1CRVkxfI6JujUr8cbMt9DY1IxoUbFE2HzwI5FOwfAHvAhbb1+Pd5wnAU8C35gEegXYqtc0CWDj4sActqcfn4OjpxyCcburHDYHrNrUQfRXawDVuPL0UTHmf/+NPd2GTuwuMvkevvYscLf+VucDO3Z1jXTPWP9W39kWvtiGaW55Rowk6bvbBsKxUtrNGwNb+LX08HRbCLBtfBDIfbRH2LpEHtqjC6LPOsaACthpYoibWQt+P+ltlirI4APmfvgffPjhh2D/SirdUCgi1SFpc5OK1RKPoX//QTjgwANRXKSq3n1dhK1rVM0FaPzJqBJzehYuXIhVq1ZJlMaNOLHKnZ3NyPnbz6EbnfpQ8XOhF5oZFXmzVNVC95hQlBG3UgwcOBBDhgxBZWVle2SNIIuAaXM3t5iJey7eT2NjowAYNiVnw3FGUwg63UiTW2SE6xKP573wv5sDp55XF+ocQQ0blg8a2B/RKCNWNhJxFdF69dVXkUqnhQ/Cc2ZMRVssKCxC3/JSHHboQUC+jmhPSOuqE3J6pNO+qmSIC+w5nhLJBBrq12FdXZ307Fu9ag2ymYwAULdYhkQvjQAMzQ/d1OWZ0o6NLCxkfYpSyyWXsmDktLyoBEMGD8aIIcPRv+8AhMKaYDTLdKD7ieC6lN6SFD437yz3HF3GPt+pyqFTz6WKiah8NglY5v4rwGbL33RhKMDmqJw7mQ6boz9tJFrbMHPmG1i7dq0ANkbQ+G45JiVHMxiUscEcUQK1MeMnyFgN+HmvDjQri6qVy/D2u7PQ0toGjudkhs5kvxQd0XTDA2ybO4G94z0JeBLY4hLoFWCrWlvvsKIVF8aqVTE8I4DtcGy/K42A5lwftmBeHXwq+GzuP9U7vbKbv6j3ShouYOOi4yKxTl7F/CIDymfuJll3XM8z1nsl++/IQd0Dtjzwtn7991wtbm8MbJ3XuSUAW9foac5Q3UjoNb8Mfntp8vbKkuuPg2QihXCEoItVKkypCb7gk48xe/b7cBwfTJ+OYCSKtlhCAFtBtATNsTb06zcQBx1yCKIRpRu7y2HLl78bMePPWbNmieFPcENA41IVBdRl01JCQ9eY46OuQDoY6ZkCcGwLASMIn88R4584oD2zKleQgfu7JdMZqRoxYoQYxqQd9rQMf3djJz9Sx/sm8GRvraVLl7b3r+PnBFRuvhtBGg12N/fNzV3LvyfmDTIio/l0oXpuM2woxo4djb6VfQSgNjQ04JVXXhG5kRJJo9/NgSopLUP/fn1x0A8mdm4MkxdxX59py7GWlxHpAzJWGrrOxAAgloihavVaLFuyFFWrV8s7K4ioCKtb3ZP3IO+J4DnrIOL4ZenK6j5kDRsZjYUibVg+1bYgqAWQSSThZB30Ke2DEcNHYMTIbVFZWQ6fnMqNgeXeQiewJlfueD3ya8cYJwgj3dcdn3RSqHiyJgCNQJQrPX/ybwIkQ9IgWP7fzgG8zXHY2mhrasarr/5d8tfYt5BgixuBOOXHjQBtzNjxAsoDuYqSEjHVHGi2ido1KwWwNTW3tFeJDAai0iaAhUi8HLbuZqj3vScBTwLftgR6Bdj+8+knjmlmEDT8aKiz8M+XluDkk4/BuJ1ZXasePl8JkPUDJvk+NApotGRz/+npCwAbqlQFSOnrrjSbLSoUAWw2YDLZ3oZjaNByyd4CK20TusYFkTuqpUjy7RwTjqWqh/n9nWlAW/T+vJNtZQkwsmBCJ63KtuGzc55o5kqQLsZy7X7m8HiAbeu8KFXpIJtK4K23/o0li5fCHwqzUj40PZiLrFgSZcqYGWlGvctu35O8FPa3CrB6Huc/rTexRTm3qZMsVbnR7+9oit0eOcl7UgklmOo4jgFLUQ+NnFFoZx1obg+sTBa2mYEW9GPpZ/Mx54P3kbZNpH0GjFBYKFvMYTP0UDslcu+JE7vNYeN1u1IPGXEioGFUjWCDelTpqg5jn+AmHAog1twooCeZSkt0gbk+BI8SjfIBkWBEIoQSxUklpNx/yG/A0DWRb5r9qPxK1rwOqYakm40bNw4VFRXtwuL5uLkURYIpN/rl0hzdsv1d8+IYXVKvR5PiErNnz5YIW1lZWXvkjMe6uXZusQleg0CM1EIXzLltAHgflLnPH5TnzCRT8kyjtvk/9t4DvMoqa/v/nd5y0ntCKqkkBEJooSNNQASkg4ioqIjYHXVGHeuMjqOObcQuHQWkCNJ77zWQhJIQSO/J6e1/7efkIDPf+32+n++8M+98/5zrOlfKOed5nrP2fvZe91r3ulciXXKyCQ4KkD63acNGGpqbpJooMU2E7LvbJXKnMtLTOjKkbw/kKqV37IXwh7CF2zslpNXCJfqnec0g1hKpTk3acwQF1iszKd5XW1/DudNnKLlSisNml8CMeL+f1k+yrdVhR65UoFBpMFnM0v+CDEZ0VjcOmwV0apwaGQ3mVmwyr6iGOJW1yUyIfxB6lY6WplYsFgchERFkd80lLb0jTlsTOqM3i4sAgdLaprzZaM9utaPWe4VvvOmzNgAn3qsUwMyNw+1AKxf7oEy6ZpG5lCkUmIXiplxAM2/OTQQ8FbgkTo3o2SbqN+VK438hYOvGZjKzatX3UlBC+Aoiwybmj6BEijHOycmR5mFEZLQ0j4Wt7XYXSqUCqfG120FlWQk7d++VKJFi/bA5XdJ96BALicwrUtMuOvKvWeHbz9pugXYL/McW+FWA7dSlMx6xmauVCmrLnWxcXcDdUyeSlSdOUgceI7h14G5zal12EE+5QxRsSC0/3XKvNLSPriIW2n9UdPb/PNhugcq8IiOC2qbwQjMRIRSbjMPjQSETm5LHG50WksoecDnsaEQTTkGXaJ9N/09b4O9lxW/VXBOCD78kL/7/tHH+5V/ulwGby+VVRRRR/vz8fLJzOnl9U7cLlcgsiT+EAy1ofi6vhLoI2tz0ssX/xUALICe8cOHQivVC/O3Lwt0qPuRbEERTaYFRhCqjum3tE+dxuzhzYC/Hjx1BoVFjFT0qtVopqyVUIgUVS9SwJSZ2ZNBtt/1ihk3Q88TaKakKejzU1tZSXFwsiTCIDIMAaT4hEOHICvAq3ifAlcNuJcCgk76z2WLFI7JscrX0U6P1NvIWtVPicyoBFiQtS6cUuHC7vBRDl0whgRRxHglYWK0SSMrMzJSeItMmHuIct16nD7D90hTyBe3EcQsKCrh48eLNzInvs7eqRvoyUbfW8onv72ttIOqZpBontVqyuVUoKyrVUrZRSMPrtFqS4uPISE0hIjKMjet/pKGpRZL0F/uAXKmRMo9ij8hM60h+bhZ+AUIYRswLQYP18jBuzdz7wn3eEgCJi9hW4+WlRF65UcrZ02e4ca0Mp9WJWqlEKYEmOTazRQIRYm7YHC7pp1IrwJEcLFZ0FgcelwOPVoFTI8eqcKHQevdPW6uZEH0ATTV1EqnF6BeAR6HG6vYQGBlJUlICeV0zcTm9gF7dVoMoQJcYW18TasnOHg8uh0OaZzfHUgjOeLx7o1pk/jwKXFYrCrUW1EKgxculEfk1b67NgUbaU9s6vgtmjUwLsl/LsHFjamqWMmwCsInv0NRqIjQ0VKqtjI6OluoTRb2lsi1YcSvBXRqPdsD2S7dg++vtFmi3wP9AC/wqwFZYUSDF3DQqNZXXrPyw9AzTJnsbZyNrAJcRZPq/lf0VSQlZW6H+34k2iEXXJ8X736Ey9rd2F4BNRArbKqRlIv8nk+pKXG3Szy0WK3467U1hZ/HOtndjMrXib/BrB23/Ayfzf/6SfFv432bJ/kYRTcL1ghbm9cZFkb9CIZNE/XzCE//587W/8x9ngV8GbDIRcBHS3goZAwcOJC3D24xa9Ebz9rQS97N3XKUEgmiy6+M6SmDt1voen1CDbxUQk8HrbIpsmgBzcjVYLN7lTiQm7FbQCN9bADKxzljMHN63m3NnT6Iz+tHqcOOSpOQVKNUqSdbfbLeRkZHFkGEDb64t/6caNl/QQAA0AWrOnz8vObA+cOYLgPkCYuJ6hUMuAJtcAqtuNAaxTisw20VPOFEApcRis0tZCxGgEjBEgDYJtridXkqbUoVbJr9JiRTnEXVfAhQJGlp6ejqdO3f2Ngi/adu2Kua/q2/7XwMjbU2kPV56psisibo/IS4hAKEk1NKmAOlrou3bO3w94nxAUfwUmT9xfSJrJsCM+LxNiEuo9RKzQgyN2+HA0mpC4XETExlBQlyclKVsbG72Co60ATaHUA8UgC09lb49uqAXlFeZAMwy3FKLBrDYhQCId30Qyaibrd4EcBXMDYFaZFBUUsy5gvNcLroivdeo80MmREQcXjEZQZe0iz1KZDSRSXNDpdWgFODKbCXQLUejEHrMDhodZixyJ2qtCCYqkNntxAZFUF9Ri9PuxugfjEOhoqqlBbtShTHYnz7du5IQ14EAg9/Nvm/qNgDlxill+rwr48/tKm7ev6I9nV3cW2KCt83QW6nE4neB43y9TT1Ob7DWbvcGSQSzRoA7AU5/1cNNa2MTGzasl0C8CA4Eh4VLGd7wCFGP6G0pJM29tp9/o/3rcaPwuNozbL/K9u0fardAuwX+lRb4VYCtpKbIIxwGnUbD9RILq749wV0T7iSnuwqZrAWXRzTOFgt6mzCV2Bgl7j6YTa2E+ftJUTqx2d6arfiPNvB/vHFEtNPX0Vu4JDLsbg9ub2Ocm4XTPqdc2jc9brRKb3G1eEiKV//4C2s/4j/NAj4xgFuau97aVF049xLF7ucLEpu/UzRiFeqo7eP/Txup//VEvwzYFAqllE1SaVQMGDCA1PSOOJwuyWGWwFxbFY/AZiqfY9lGcvUFZtpgutfra6tD+/uuv6J0RswRkaiXqoJEHEjgHpHBAawmFyLRZm6p49ihA1wuLEDrZ8TsEZl8b5ZHoVJiNtkRQu9du+bRt5/UG0V6/FINmwAvIrMmwJpQgBTOvsgsCPAkAI4ANQJMCcAiskvCuTXotQT4GaS1NywqVqrRMtudqHR6nC4ZZptNOk5zQwPNDfXYra04rWbsNgtquVfdUqnRShRKAZLEcX3ZO5FxE+qRQ4YMkbIcf5+J9vVIk5zpNnbFrdRIX02a+Jygdx4/fvxmtk/KmLZl7MQ1SODT4bhJ+/SpQAqgKLIsPvETkQkSdWnCBoI2WtPQiEdnoKm5FbnMQ0iAP1oxX0ytqOQKAv39pOyREK0QVEQBmAQ4EUDPI5OTlZ7C0AG9vauFTCkJx8jVWgl/COJG2zYijZ+AJNKuIiikAqy57JTdKGPPoQM0NjdJNEi9WotKocRpc3rbPag0Uvaypr4BjV5HUFgYbrkCmVqJf3AIgRotBqsTP51GAmp1pkZqzQ00NjdgaWpB5fSgtLvwUxnQKnRYXNDk9mBRKrCoFDhFKwBc9O7Rg9zMVOn6zE7QKb3zTWyNanGpon2CCEZI/3OjlHlBnLhnRO836f7wpRVvKdwT/7K6vIBNrfLeX1K2WgRBhNiNCNaqNW3N437NMuLNsB09elgaezHWMXHx+BkFzfJvA3AS6BVrtVIhBdqk3wUAdzvbAduvMX37Z9ot0G6Bf6kFfhVgu15Z5BEbraRGVmJl+bfHmTBhPFk9BUvdghPdf6Aa5fV9hLMrLa0Oh7Sp+mgr/zwr+AQHBAFSJtF7fB3YvFQO70P8LtZ4L/ceWi12qY5DpxQbXjtg++eN13/HmXwj7tvgBa3pZ/9D1KXcishv9UvEJwQ56b+neWs8EwAAIABJREFUZfB/x3f9f+2YvwzY5HKFlInR6rX07duX5NRkr0qiQpD7QFRHWdrG0OdU+6SGxL0tEgECmPu07ERtmxdYuCXf0+oQPqeXBueTL/fNH+G0a275rNwFlwovcPLYIWoqbkiAyqNUSzLiwjEXnqSp1YbWz0BeXk+6dPXSN38JsIm1U1AghWKiTy1PrKU+1UQBenwiHALgREZGShkwUaeV0CGWZpOZwOBQKYgm5rtImNyaV2w2uWmur6elsY7GumpqqyppaqjBYbVIgE2gVAGgfCDLR5sTIKp///6SEIkAjbc+/l5IRLzmayNwK8NCZNQOHjwoZbqEvYSwhK8uzycw4usdJ16PioqSRE+E8qOPjnnrucRcEE8B3C6XlVHe0ExVbR2W1haMOi0GlRqn1YLHKWr11KhVKlpNJm9tpAgsKhRYnd4IjpD0H9ovX8qYyRQqaV/Q6NTSXDDbQSOyrXapvEyaP3abB51aJmXz6murOXz4IJfLSiWgLjW0trfVzKJApVBLALrVYkar0xMaHU10XAcCw8MJDA1Bq5bCoGicSIEAqxxMbbtXZW05Vy9exFrXRGVRKXqlHoVcjRUlLaJ2T6/FqtdKgM1ttWPQ6enRLY9OicHSUieu37fXeSu3vYBTPK1Ob8ZY/C4FGgQrpQ3YSRlqgcVcQvTj54Cnb/56CyBA6VtyJcR3S5Tk/3p5cuOy2WlsrJfaSkg05rZaU5PJIvkkviDAf5Rha6dE/l8bvP0D7RZot8D/EAv8KsBWcb1YAmxiQxMZthWLTjFu0jhJ1l8w153IaXRASbmbG3VNVDXV4lZ4iO8YT9doDRGCrtJmAB+V5Z9Wwyat4iLL5sIl6g8U3qJk4cjVmRzUNzej9zMQatRi98DZUwVYTSaJChMVGiDJO+sVXmHi9se/owVuVW37Wcba53B7lc682TSbEw4cPCZRoXrl56JUecHa3zat+He0wb/zNf8yYBM+oXDwDUaDVMOWlJKEWqqdhTqrgz2nCgmJTSA1VjABoLEVzp45Q0tDHf56HXnduhLop0EooYtjifI1STvJNzfafjaa3Zw4eRqL1Uluj+4EGqG4tJEzJ0/Qq3suHWMCMZvtHN6zk+IL5yThIqPBIGVqHA6XBNhEbZTN6pIccwHYOsRF/qcAm6gzO3XqlJSJEtlEIcYhwI+PJiZ6rwlQJzJdqampJCQkSA6uV4TEjcVsRqv3wyZU+2VQ02Dm2MmzBIUE0zUn5SZglYJVzWaqbpRx9XKh1C5AZKcEMLrZ78pmk6iH4tgCKAnw1LVrVwkk/kcPAbb+o/VefFaM27p166QMl8iK+UCd7zi+GjsB4gQAFeeSgGhw8M0aaHEc8d19giu+z4r/FZWUsGT1WinTKcCayAAJAOO2C9EPD2qFEFdRYLZY0OkMUubTLfc2NvcBtiF9e0sZR43OIIEZkV0T68aeQ+dpbm2hU0YWcTF+0h5hNjnxF6qfThenThzh+MljEsVRakAuGnILIOgW+4lCokRa7XZCw8Pp1LUr4dExyDQajP5qaX9q9UB9dSOpEYHSvD1fWklFQxWpmR0JUhtwu22Yq+upvFjCteJSamqbcOv1NKmUXGluptrtQGEwokaBpdVCRFg46WkppCYnkxKrwe6GU8eKkLtdki0yUjrSIUQtnUs8a1vsnC8sokXop6AgJyODCCNcKYeiwmKptACFB41OAF2HlJ1VuuzEh4eQmdCBMIMCj0OUUvxXAp5tAVeR9b6ZzhQAUIYAbCLT6svk3grYfDG4dsD277z2t197uwX+/22BXwXY6spKpbVQpdFQds3G8iVnGDd5NKndwSEHG7D1YBnbD52itKaWGlMLjTYTAaH+ZMeGMn9IL3Kiw6ToqXj4pJgFCPxH9fH53w5rG2Bzu11Sob1wnsRmeL2+maOnzlBQVMyIkaNIjQunrKqZLxd8irm5iZkzZtCjSwaiaa2fUt4O2P5t75s2wCaFt72iAcId8WVKfIFgmxsuXa3mrws+kzKxcx6aS0JSEKJjk5i1v7YC49/WbP9jLvyXAZugPUrqhUYDPXv2pGNaRwmw2ew2dhw+yZfrdzB8/CQG9epIgwk2b9jGiSNHkLsdRIaG8PCD9xMaoMXYNshihohfJSn1W0Bb0bUqvlm8hMqqWuY8NI/OGdFs2nGcpUsWMWn8WAb3y6fyegnHD+zBamok0E+PTNTLibon0Q9LqcYmaGIeJVldcsjN7Y5Gp/jFGjYxX4uKiqTsmqBC+tgOItslAI/IMgiwI0CVqCdLS0u7udaKYbxJYRTCJ21U4P1HC/jim0WEhoUx96G5hIZp0QsdFh/RzA3l10qkrN6FCxekc/qyY+KcPidZUutTq6XMppBU953vVkEQ8V5ff7VbaZICpJWVlbF582bpeqUeaHa79PQpPorjic8IAJqVlSX1gfM9xD4iAfVb6ph8NhHnFyC3uLSUP/11AZnZnUmM64DLbJaohFqlEp3g8Anqo9uNxWqVAJsAs4KF4QNsWZkZDOnfS+rZpjUYJMAraLHVjQ7JfpcuX2b2rNnkdUuWMlY2qzfbdvXSZY4c2EtrazN2kZKSydCptGjVGilD5bILEKtGZ/Cja7c8OqYn3GyEI8boQlkVO/fvxW51MOWOCYSFqNh24BQbtm8kMyudSePGEYRMWpvkZiguuEzxpWtUtpq50FDLiRvXuG63SoDN2mKXsnmibs7tdJDfozv3zbqd2koHr770Eiq5h0A/A6NHDOWO23sh8qStdti39wjL1q+nUtQ2BgRy74x7yUsJ5Yet59i48SdJ0EXU/FlsZjRapXQ/GbVK+nfryrjhQ0gJ0knrpzieyLr9uocXsLkdtpsZZL2/T+TGm7H1lVb4AJsUhGvTGFLIXFItZrtK5K+zfvun2i3QboF/nQV+FWAzl5Z7nMLhVcu5Vmbj+yXnGTdpJMl5YFLBsi2nWLvjAGeLLxEb14HEhDiaW5upqCoHSyPDsztyR9/u5Od2lWrIRBxVLK5tOliSc+SjGwmHQSzy4nSiS4Bo+eqj7vx9+82/awXa1qTTa1yvyLD3p3C8vD1ivE9xriMFxazYtJ1dB47yyZ//Qmqcn8TVv1BUSqXJSmKHeHLCtdIm7HPafIS6WyUsxDVJtCoEXcV7HvE/n8MnORxtTpDI1Cgkl0l8wFvzJ76jReb9vLfJ6M+PWxn6f1NIfcv3E+/2dblTiESioM60fUdJ96Utmyje58sS3mpP39l8TVB99vLZz0cJ9DVBFe8TAF082oSipfP5rkOcT7zus4NvLHzn942BOL7vHLeOk8+e0gYv7bpt/fNkSuwiOn6LjW4FXWIMtG2YrKXtO/uu+e+zo775JsbV297de9zScgtvvvlHyWn73QsvkBKlkeaiVjqpUMtT3nR4ffbyfS8fnUj8LY7ns7H4vuI1qSauzU4+8OfrjnQrPVO8JuzqzYt4j+Nzsv93807Y20dxksx2i23Fd/eKcf98LN/xxP98c9U393zX6TuvON7PDXDbRDtuqf30zRdfpyXpu0mD61Nm9dpMPH3X6ZtzvrpRiUIlnm3jJ+55n218NGW7w8zubXsovFSK0xAo1d4YhBqdw45W4cZqtaD209O9e3c6paag1KgovF7HN6vXUlhZx/0Pz6NTBx0Xbtj4ZNFKyqsqye+cRn6XDDolJxLu76Wfie8h2ADi2sR1WAQlsq2OsayqlQ//uoDC65W88LuXyE0w8tnCDfzw0wYmjB3D4NxO3LhcxLkLZwjy1xFm0FFZXY3CEIbTLUevUGESVDyDlvze/emaGiuZwttV6mc7+9Y53/1vdsGBI8c4d+6M5LRqVHocVhsut0Wqe7I6vLVs2Skp5OXlSl9CGj8bGAULs228xHkEi0Ajgz2HT/H2x4uIT0rlt888SLDBOxd8dZtiTMTfNyqqOHzsDJWVVZJYh7/RTwIdZiEt77BLLS9E1nDAbYPplJYozTPfnJLmglTn5SOggsUBQmxQjG9JRROnz5ykorwMbBYULrdETxRBFVFD5pQrkatVZKSlS7VLsXGR6GTe+9HmAIfGOx991yq+pziu2F/ENQgwU15dx/ErJSSlpqFDwenTpykoKZQ+E+B0Y29swU9voNVpwxXoJ/ViU7sVOG0OnAoZmVmZDM7Po9HiQKMT1WBeAFLTZOOND7/mzNlzPP3gLAYOyLtZ2yi+995dBzl8+DCRUeFS5tZkbvXWianVmFtdEnNDZLvEfA0PMUjCpM1Wrz6HuE+W/LSDNT9tpWNSMg9MnU5yhI7SOht/eO8d1IFBzJoxle6RQSidECi6VFih9Fo5+06dYfeFyxTUNVOjVOBSaQjWCWUcp9RmQChYdu+ex4zJfblR4uSFF17Ao1EiU8kZPmIok+8cQLwCms2w/qcdfLTwW5zhEaj9A3nusafIi9Pw9Y8nWLN+HaHhYRJ9VWQtDVo1DksrMqeV3l06cdfw/hKzRuGBANl/LeAlWk1oRBuNW5VaxX7blmHzrSc+wOZbA6X7RwqYCFn/0nZZ/59di/bf2i3QboF/Awv8KsBmLSj3aIL0NMvNlFy38uPiIsZNGE58LpyssvHM519S1tJE395dGNQ9h0HJ0cha3Vw4X8BXy5dz3dzKwAH5PDNtEldbmtl4wYrVoyIzWElTaSEtNRV45Dq6DRxCZgSEWB34aRQ0y+RsP1tHUVU1DQ1NhGr1jLu9M9o2SsrZkhb2H9pPenoatWXluFst5GV3IScrlMsVTo6cP0tZTYUkNxwXm0GnxFTSYuFqcT0b9m9hfWE5tY12hqTmMGFgLwZ0DWLdvqMcMakZ0CuHkQFw8VgpK89eJL1nLuH+ao4fP0pto5POXXNITYog2U9OUJszurMR9p87hbniGjkJKXSMSOP0mSKuNdUya0pfUhWgdTV7C7DdenDK2XPOyk+FZwmOCyba6ODYwV307JtPn06daWmBG2Vw7MxhHG4TiakJpGckEWWA0mYr6/ZslxqlTunTE38baMVOb4S/7thLdWMND4wZK51DqYODZ2q5XnhacrRikrPp0iWJYD0Y5FBeb2PHoSPIAiKJTkjg2qWz1DU10exWM35UHzJUXielpOgae44dQ5nUkUG9OtNBOLQO+O7oeVpNZnqFh9MxOR6bH4h2pscOXqC09CoOmYxePXqSkxgsOVHiIeqCzl+qlcaozmHDEOhHXGwUt2UnEypAu9WOTmpAKwRjxM6vol6p5ERpNTeKi2lsaKGy2UWHlFRSO6eQEQgxLti2+zh7HRZC05IIdNkoOV9IY72LTpmdycruQIzOW1MpqG+nSiycvFLMtfo6wsIjSY6M5csvPsMYqGP2pMn0SgghWHiE9bUQZKDaJcej1UgO9rbDFRRVXcdqN5GdGEufTh2J00JxSRX7L1+ixmwlNiqJoXmJOC2wYfNWyqwNdO2Sx+D0JE6eMbNm5xl6De2FSVHFqYtHsdo1DO+Wz+1JBgwesHm8GeyiOhcHThZSUdGAn1FQ+FLI7WBExJnrTR5WHToqKeGlRcXSIrIK1y9hQ0l0UheG5AQR7EZyGotqTBy4eInL1Y00WaxkdkwmN6MjyQHe8RUsMKsbLlyvZsvhE1h1gaSkJtM7NYwYldfpEg79mYu1nC4spsFtwyJ6n2V3oktyDAka0AucJt4kWno4TLjVRqrMKj75bi+axASSO3fgQsFxKiqv0zExnbyMNFL8QGeDMKW3fmbL+XL2nDuLXWWhR7csshPjiFCp2bZhJ9uOnKM2NAGL3UVQYw3h7lbijTJ0eiWqiDA6Z3YiPzkNtCoW7LzAoh830q9HZx6eOpTm5lY+/W4ja646sMo0DM4IZWCnOIZ2SWLLlv2U1zq5+84BZLSlA05fg5Vb99MhLYyRg1Kpr/Hwziefcr7BxNyHH+b2NAPffbeXz7dso1NGMgNCjWidZmrdVhQyN0Z7Kw0OD8dbVdjlBpKNQdQ21lKpcpOSks5DwwdIVMTNBSe4ePkKKUGdGdQzlWh/L3AU9q6sgYMFF9l5ZC+NrdUYDEZCDdFEhIZgs1RzrbKcKouc1EQxJ6Kprq2hUW+k76BehGvh0slLXD69n5i4FMLS8kmNR1qvth05zJ+XHMQYGs99E0dSfvUc1ZVFpKdn0bNbNloFqD1Ia+32E5Ws37AFV0szYQGB2FoaiY6OJCwuhqLrZVSbWtCH+JPXoxstdbU0X7/GyAH9yImLwG6yYjQosbtctJoU6P2VHC60sHb3Xlx6Fa3mBowqJ1F+OrStLThNFlBqKWto4XJzC3K9HyMG3YbOT0d5bTWd4qIZ2TGKa9dNvLf5KGnZGYzOjSBK1JLZYO32I5xqMjF8yCD6h0FxURkbT54lLDqO8f2yWLntJEuPbiU6JICemiACrS5ampqokTs56WnBbHMyOCaTII2es9eKURt1BAUFoQuKwpiYS890HRlAQ2srv/lsC0dPnOajJ6fRMzeNG23gfsuPezl25AButRY/tZaUkGD8tEpa5TYulVfR0KwgLj6JuJhgXNZWZBYrqYlpZKanIDok7CwoZevhQ+w+cRG9WsXgLkmMHjSAtNgoVm45xpdbdjFi8G08N7KrtAYoRT2ZVFzWyrnCq6zdXcRXP+4hIKsr6Z2zCJWb0bpskgiIy+UgNbMTfXunUHyqntfffY+W0ABMehUhHaJ57O6JDDRA9Q147+sFXK6rodmjw+mQ8fL8x8lNk/PlykMs+X4Jk6ZPZvaYvtKaLgR4RIZW+l0EPqw2wgWcFjRG0SzuVnWWX+UotbXZ+E+qf/1cluxtZt8O2H6V0ds/1G6Bdgv8Cy3wqwCbuajKI/NT0KKxc/2GlbVfnWfq5NHEdoYtBdU8/MnHRGemMHf2RPKDNYi4sb9Qq6o38cP+Q7z6/Voy8jrz8kOTMHl0zP1oC5ev19I10EG43IKtsY5Wu4zwjH5MHDmYscmiyamdb7aeY+n2g5Q01Ep0nwAH9M3NY8zIvsTHwrqD11jw7WfoVEr8FGqi9AEMzu8nFaNv27ebXadPYFd50PlpsLYqyE2+nbn3dKWhrJyFPy5l1dUGQiKSiWiwM3NIH3qk6fls9Ur2eIKZPn4qj8T5sXnVT/zl8ClU0RHEByhpqKqhvMaKzt+P3vnpzJs4HEHS2Xeyird27+BM2WVCPGYSA8II1cRQeKUCfXwsj99/F/1DXYTJW9rSHUasFgUbT1j47bJvsGltJBgsmBqucfe9s8jN6cnmNZfYsHY7blUrMo0DpUFBp4wU7r97rOTIv/HZZ1w8e4HX7nucO7vH4yec3cPXeWHZh+iD9Xz0zAtEGVV8sfUSW3bsxlZzFafDjlMTQu/ePRkzsDtdEg3sOlbMJwuXUtLsJjEtDY+lRopwX6xsJjezE289OIE0Pzh5+AKv/eV95GmdePaZ+eTrwWSHWe9+RWlJGb8ZNZLxd3TnAvDZ8j0c371daiJbZzah1+oY3qsfc2YMIVAGazdf5DvRW0fmRhEWTHVTPXKPjSnDBjNjQB9S1KAUYXSLWars9yg0bLvRwPtfL+TquZN0iEmiwaGj2mJjyJ23M3t0d3or4OtlW/j9wd1YAnRkhQaisropL2tFq/Gjz4De3DuuuzQ/Dx2qYfHmHzl9vQSLSkl8YgIqs4OrxYXEJkTw9AOzGRwfiEFqLSScSGhR67hsgZUbT7By807MShnBQXpUlgaG5mYzf/JoSTlu6a79fL1yHTFxaTw6ZzZ1paUs/OYz5IF6ZkyeSn56EmvWF/Dh93tIyk6lyXQU/yA1N5pkKExuZub3ZfadPfDXwNmSGt7+ZjVlDQ6EL+t02YiN0TN32p3cnh5NaZWF579ezMUrN0g0BqFXyilvrqTG4iA4OptZE8cxvasfZSUVfLxiHefL63EaQ6gVCnM4CdWpePq+6eSniXg4rFq/g++37aXSJofQGCqrypnUvyt3DRlEpyg9ew/fYNnqddRaLbiMBhotzThbmxjWvTtzRg6nc5QWhZQes+KxN4F/BHsvWXj+g4WUuzwYwoy4zaW4bCYsDjWZyRk8Om0SXaK81K7Pv1nN1oul2HSiqW0TdbWlTLpjOCP7DKC5tJofdh9nfYWZhqZWsuR2kmWtdInWo9GBMiaKvr3z6Z2QImVJH/12N5sPHOS3D01lUJd4is8e5/Mfd7Oy3B8UBrKjIT3IwwPjR/LV599QUGri+YcfZlzHABRuBYv3VvDRitVkdY3h2SfH4qyHl/7wHgV2ePG3TzA8HJZ9f4C3128gMyWRYUEa/LFSq5RJIiVhTgsNbhXLihu4WmclWeeH1qClRi+ntraR/jGZBAeoKW4toKS8EqU5iiH5fZg9uSexerhWBlt2H2X97q3U2xvwD9Vj0BsxqsJIiI4CVy2FV69ytVmGQaUjTa+koaWZYpeMqKQUEkXNWlUJrTfO4ZLp0afdzqx7BtM/HI5cKOCZz/fh0UYQq3cSqLFSUXpWah/WqctwJowdRE4kXKoys3L7SXbvP4GjsZ5grQaZzUxcfCzxaWk0Oa1cqa3mRMFZAkMCCdFriNFrmTFqBEM6J0vZXZH3EsS0JissW3+YDYfPUOeGOpuJmtrrpMeFkBYZRIaoufN4KC2v5XxZJTVyDQHhERhUGqpqKjHhkObKnLyObN1RwLyFW8ju1YU/PDCQRBU0NMNbny9hR3k9Dz4wm4kpBnb8tIf3120kJy+f+RPHsGnvUf667weMeg1jolMIsbolQY7NZ45wQt5CUsd0hoSlUXW5lO1nj+MXESwVNTbZVZgDUpgycjCP9Q7DY3fy6BcHKSq+wrNjshg7NJ8jDbBhzwl2b12Ly21H5R+Cua6enOgoEiJDUAaqOX31GoeLatH5BZEUYUTlaKXsQiEZiemMGDmZHn1j2br/DEs3rudMSZ0EgkNt15kxajiDcrqw/VQFryxbR8eEDrw7cyTJhp/FsmTUU9PQwk/7yvlwxTaskfFExYST7OdE7zAhE2u/00lCapp0n5QVlfP2gi8xxUWiTIrhSnUl940dz4NpgRw/VMMXq74lLDmFg2dKUcn1vPbY/eSmwLKtxaza8AO3jRrCiIG5ku3ldrCZvbHICP82GqQoCm41IRV7ihf+JY92wPYvMXv7Sdst0G6B/7IFfhVgqyyv8djlNuwGD9WVLlb99QT3zhhHh3RYuPUE763bSGbvPB68ZwRpSohygp/gEyngeHE9j3yxBJm/lpfnTCA6NogRzyymqraJSd07MKRbR0L8tGzYfpC1x65yx/AhvDG9F+eLb/CH5btpUhi5/4E7CNLB0U1n2b9jO4P792PmlG4s21nA4u+WSkpmc2ffT/fUDEL94NLlejbu3IbHqGfgqKE0Wxr55IOFNJSqePvlxxnUGbaeLeKVH3ZR2+LmmdFTGNc7UIpWPvHGG+yyGXlq3nzmxsLGtUd4dMU6ApKSmD20H9lJKVy4XMXSVSvQh3l45enHyNXD54u2smD/ftJysxjZrRMal5tzp6+xatNujIkJvDB/NqPj1ITS6uUJefxptsDGE628sOwbnGoHM27rQm5mAhlJiRw4W8L61aeQY+Ce+4Yi08CPW3dx6OBe5kycyOD+6SzddYy1a9YzovsAnpw+WMqSfPTVdhYd2kT/gfm8MG0cVQ0w66X3CY6O4bkHJtIhFP6y5BAH9u1lRK9sHr1nBOU1Ll790/tcb4URo+8gPS5Yopwt2bBL6oEze3h/pg1K4eL5cn7z2usYunTjxefuQ+jbVTfB2+t2sGXbDl6ZNIFxo7rwwdYilqxfT35OJ6ZOHkGTDb5fsQpzZR0PTJ9BTIieP7//JYU3ypj+8ByCEqM5V3yJC+dPkdcxnok9u5OuB73EWRTF5oKapmBd8Q1Wbd9JpL+eUaPHc6XayrI16ykuL+HNJx9lWkcdy1fv58kf16CLj+GeoYPJ7JDEoaPn+XHjFiJiwnjtNw+RbYDPvtjOxqMHCEyOZ8TkCRj99Oz4YROXi86j1Mp4fPY9DE0IQd0COk+L1ADepNOxYl8hn63ZTnRmFoOH9CfEH1YsWExr5TVm3DWGgX2zKK2HP3/6JVerG+mc15PyihIqLxUxZchQ7p3YT8qefPL9Md5ZuZWExGim9UkgKyORg6VNLFq5lsSIcH4/fw7xali+bB0/nrzAkLumk983litX4fPP3iExRMvb8+ah0sLcd7/kdNFVxucPZOTQ2zB5TKzfsZcjZ8sYkt+L307qzE+bd/PV9xtJ7NyDURPvkpTtzpw8S0nxOWZNuoOseD+OnLzI8u9/wK0L5I6pswmK0/DjutOc2r2Ou+8czajBXVm2eDfrftrKoDtG0WVQb6kn7opF35ObEMfE3j3JCBVZZO865XI2Y9P6c6zRw1NvfkiDWU5+bmdu75aGXgXLf9zJxWvXJQGP+TMHcOLcdakuKDChM3eOGUWkFrZv3sy+w9uYcMcoQhUGdhy7wOrSenR6IyNEVtreSLTShELlxBkcRN8+/egdl8SVGjvzPvuBy1WVvDBzLGO6x0vgYd2JQl7aeIU6GzwyrhcTc4OwWFx8+MECjhRW8/unn2R8pr9EtftiWxUfLV1JZqdwXnlqIrYm+N2b73K2xc6MadPJ9zewctV37KmoITkhhsFGFUasNGgUUk+uAEcrDU4FW+tUnLxaRafoaHp1z0MdEsSaNetxNzvIy0ll9JieXCkrZ/Gaw2g8Mt56YjI5sX4sXHWc5Ws3Ed0xEVWAGrnGSfmNSsx1TtKTkogKU1JYcoWCKhs56VlM6J6Nze3k610HuHSjksHZnemXlUyQp4Uft+3jpCmQ+++bwcxMOFZQzAMfbsKuDWFUfhaDuqTSfP0iu/Yd5GRJM9OmTGXO0Dg27D7Lxz9sQW4IpGNEOH5yGdWlV6Q1Nyq+A0HRUVwoLWH/sYPkdslh/O3D6BwdRVa0n5Qpd1vceOQuPBoVRy7V8MZfF2FWB9Jn2Ciul9+g4tolmiouERNsID0+GrvVwtFTBZg9avL2ORgoAAAgAElEQVQGDCO3ey8uFRbw047NXKut4bUnHuWB3A5s3VHIw1+uo2vfHrw8cwAdDVBVa+fNj79lU8l1fvf8c0xL1bF15wme+nwxQ0fcwSszB3Gx2Mxbq7/gRuUNxnTJJ1CmlurTth/ehylIRbecrqTKA7lSfJWLtlYyundj0p1DWL/5KF9uPMqg3E58NKsvOqWCu/+0keIrpbw6tTejBnTh022FLNuwCY+1ieycLGxyBVcKCtGYW+jSMYGE2DBOl91g29U6ElIzmNCvJx2DAzh76BDbtu/Cr0MqTz1zD7F+sHZ3Ae+v20pYaABPjM6nR1ws8QF6TpW5+O2330lSjW/dPYYeCaKhtw+0NWJGzo7jtfzhyzWUoUar1xDpqsfotKD2iDYXMhJTUujTbxD1dSa+XLUKT3wsGQMHsHzdGkb17c8zI7NZu+wwuw/sZNikKSzaJBgeKn5z33iyO8Kyn67w1dJvCIkJJ9zoj97kJEChxGpqIjI8gPFjhjIwM4pQIeBj9iDxWP9VeE3ste0Ztv+y49h+gHYLtFvgn2+BXwXYSuuqPC2OVmQBcuqrPHz3wTHmzJpIbAp8vHwrC/ccpsfAfsybOQChEyZi9dq2wqA9Z2p54ftNVDQ18sb8KaR1CmXGS+uw2G28MG0Qt3cOlRzY42WNzHvra3QGLW/Nn8HxM2d4b+0JOvcewKjbOks8/UtHzrN+xXI6Z2Xy/G+nsmb3eX7YuJbQoGBef+4h6bziWOJRYYUGDxLQO1nZwPLF66gvkTP/vru5rSucrW7ixRU/UVlr5Z2HZtE7ClQeuO83L7DHouf5J55lXpKa5ct38c7R88RmZPPilP4SfaukFp5+5WOaVLW8+dIzZOn0/PH1DzhvsjHvqfkMiNFIdKbDRU288v6nuMJCeXH+fYwOgQBJYFxoaxpodcnYcNrGk1/+lcgOIfz5sbtJ0nnrMF79ZBF7dl9m2IgJ9O6TRXgMbNpzhpWLv2V0r3yef/QuztfBa2//iQCNP2+88CDyVnj9jx9hMnh4YM4s8mOMfLvuMMsOncepVjNz9GCyM6NZu62A9T+soVtiGL9/5gGqK1p55a13sWmCmT9/Hv06euvgXvt0pyS3/fycexjbJ4ZzZyt57d13Cerem0fnjiOrzdZPf7OLvXv28facWQzsFcujH//E/jOnGT9iGH165+JWwXdLV3Hp5BkmjbmTXl1yWbh0GUfOnuO28XeS07+HVIjS0thCWpSRHC0EA4G+Qioh023UUi6HK1YkZz9QAdvP2fnom8U0uUy88sgcpnXUsHL1UX6/fQupvbvzzLRhxMih0gXPvfhXGkwNvPL008Qp1Hz43gfccFqY8ejDZCd5nZ6DJypZvXI5Tmw8/dD93BYXImXYNC47crWaZuCFD75j6eGTjJ4+k77dM3A0e7h08jAHtm8kOyuNxx6dLlEuT5Q6+WDpCk5fLcGpVHJHv768OL4PkRpodMMX6w/z+Y5DdO+UxrdzRkg1NZeAPyzZwcEzJ7h3/AS6aQP55IMPaQ0OJf/2MSQkxWC1wdIln2KtuMrb8+bSMT2eZz/9nmPnCpl9x3hmjcmUamC+2XiGJat30iMniw8fvY2tO47y8ZLVGCITuW3MRMIigyRxBD8VZId6a34+/2YNG7Zso0ufQQwYfRdWNZw4UcTG5QsY2jOP+6dM5acNe1m9fgN9R4wgo3d39MEG3BY7aZFqcvRtLTxMoNeJkhM3VW43W0sqefOjb9EQwOMzZzGui1etcd2BCt768iv84qKZ/9y97Nq5ly1bd9Mpdyh9u/YkQQmnjx9gxcYlDOjfm6TAcM6VVrP2cg2hoaHc1SmOwOZyolRWVGoPlW5I7phGdkQsxeXNvLJmHzKNnvmj+5EXH4y/2sH+onL+vPMG9S4lD4zKo29WMPWl1/h+7UaOX63n3qlTGBivx+WW88PpOtZs30+I0cH908diq65h5cbNXHUpJOplZ42cS0XFHG9sJTE2kr5GBUEKh6TSh8yFwdxAnV3OrkYtF6paGNAjl0l3DCImFN55bxNFZdeZPHYkM/tHS3Nr7nubuVBwjs+emkF6hwje/3I9e46dISohjtDIEGxyE9dLr9NcaSMjOZGEGB1nCws5X2lixqRpPDEyVSoffObb3Wzbu58H75rAA7enImb3a5/8wKKTN7j/3rt5Oj+Ao6eKmfv1TtRRSbz40BC6Boq1CbYeuc6LCxaT2jGFNx+6iyVLl7P48GkSOmWTFdcBlc1G+eUiaisrCA4NJTkzjYraOs6eP8cdI4czZ/xA6d4V5zT6iill0OCArzft46sNW4hIyyWra0/Kii9hqa+hurSQYKOSlNQ4GlqbOXLyLKlpXXnggXtJCocqK3yxaAP7Tp5i/t3TeaR3Anv2X+WpxVvI7JbNH+/Pl87ZZIaPF61j5cnzPPLg/czqGsam3Wd4duEqhg4fzZuTuktlse8uXsP6Hdvo3a0PQQGhXLl0mYrqMuKTokiNjcHfJKfZ6qYmNIi4zAwG5kSwbf9V/rxoE7nJcSx8fJR030x7ayPXblTx7pxRZKaG8/xHqzlUUEhqgugVFkNVfRNNjfU0XrtKl8Q4CcieL6/kx9omegwczAvj8kgQtNcKePWd96lS6/jd7x4kzwC7z9bz/NLviYgIYcXjEyTwKwIOZS3wzFcbuVZymTfuHs1tXRKl0i6Hy4VOIXKQSnadr+fVBSu44pCh06kJbK4kwGnBT6VBIZcTE9uBLj360GR1sHLrDjRxcYycOpFPvl5EWlw8d9/en3WLf8De0sioiZN5e/EPNJvsPDfnXvpmifu2mk+/XYBCr8WgVKFqtBDuZ6C1qYHICH+mTxnLsJxE6ZrVvqLj/ySV8R/vErUDtn+8TduP2G6Bdgv8MyzwqwDbpcYKj8nWitJfQXM1LP3gMA/cPYXEDPh81W4+WbOZ3AH9ePSh24mVe2skNA5QKmBfgY0H31+MQ6Fgwe9nofeDp97fQnVNOa89MIrB2WE0tliw63Q89ZdVXL5RxgsPTaeg5BrvL9qFMTkNvbkceVMVYQoN9sYmcrKyeOw3U9ly8DzLVq6gQ3QMrz37ICo7BKrBaoeC0iYOXjxHRXMdcjUc2n8KrSOK+6dNZXBPP4qqa3lx0RqazTJeufc++iSA6KH0/Dtvc9xuZN4DDzMrEr5fe5AXth6kW9/BvDGxCx0UUHwdfvPHT6nW1/H80w+TIffjzZffwBYQzvwnHiEjxNubqbhOHO9DGjQafv/EHO4IgCCXDY/bgl3uT7NczobTrTz26Qd0yu7I63dPJN5fRp3FyWcLv2fDtjPExGdQ31CDPkBDi8uMtb6Wkdm5PP/EFAkIvfzeck4VFfPwQ3MlSt9HH35AVrcs5j88jSQ9fLJiL8tOFFJlNmN0NKBVqnBrgrG1mMiJDeLpObOlHj+vvPkO+EXy+GMzyA7zTsU/fH2QPXv389A9Uxg5IJbzJyp465OPCM3rzf33jZZq8kSD0qc/2cSxYyf400Oz6dU9kvnvr2P/6TMkxYTR0lwvvcncakJltTN2xEjumTyAgqJW/vrtQorKr9PodpCenUlMVBjDevdgbEY4gQKwOb1CFA6rG5dRzmVg+8l6CgtPYnV4qGqRcfJiMZowP56YPpWJ8QqWL9/Hn3buoseQwTw5OZ9QGVxuhd//8WPsHjsvPf0EgSYXf3j9Dcx6JU+++oI0JwXQb6yDV3//Ghp/NS/Mn0ufCKMEvry0Lqiqg9e/Xs6ys+cJiE9EY3EjM5vROy247C107pHN/IcnI8wnAO8ri/aw4fARlIHBPDnjHu5NV6C2QrUDluzYw5e7DzNh2CD+OCIPT7OZSn89n2w/x4crVjBlzDgmdOzCR396l0sOE+Gp6ZSU1KLWiKawDYTIbTw1cRJ5PTN5delmjp8r4pHxkxmZHy4B/lX7rvH18s10z8jg7bl9aaqFLzZsZfOJ01xtNuNwe8hKT6NnWip39cklOxK+/WYr361dh198MjUouGyyERoehLq+jKwOUTw790GqK2wsXLqC642NlDbX45S76dezF91Tk7l7cBrhIhzRCgF+3sCDACJ76up49/MlKMxaXn5wDj1CvcERMS6P/vFjmo1a7nnsPrZsXc+2HQfw809BY5ET63TgstTRrGggu3MqHUMjKattZs3ZEklkY3LXjkS66jDaGjEGGLhqsqJQ64nUGKhslfPZwUuEhkcwPqsDQfYaFPZmblgUrC520OzRMKxzNGEGOwp7C+cvlXC6opX8Xj1JNdpQ6g0cLIeDpy4Q5edieH4u1roazhRdpkEbTExEJJlaDy1Nzey4fI3EmGj6h2oJ18kwazR4PE78zE00OJWsudxKNVrG3jGCsQOTiBJz442NHCy/ymMPzeL2DgZcKpj12SYuX73EimceINqo4eUFyzlztUJS1Q0ODaDFVo/FZEHvCSIvJ4vstDCOnz3NuestTBo7ntkDoiWRlGcXbOTA0ZM8PuNuZgyOk2qcXn5/KcsLa3nikbk8maPk6IkrPLhoJ/7JmTz/YG86qUDnhpMFTTz/5SIiIsJ4ceo4vvz6Sw40NuH2MyIztUpPo0w0XlYQHBxIh7gESm+UU1pyhSnjxzJzTF9p/deLtdiX+pFDqwJe+nodaw4eRRYcLfUrkzdZ8BNNNGzNBAXrSe6cRG1rM+eLr9C352BmThxKoN4rwvHu5z+y7+Q5Hp91N/f3iGH3ros8t3gLiVnp/PGRYUSohLAHfLhoDWuOnGbuQw9yb/dI1u4+z3NLfqRXfj/emJJPvBbW7zrNh4sWoe2QSmh8EoUXLqKwNtEjIZLkkACUVhmVdjjpkOPQ6whxW3B6lGw7dYNenTqy4JEhGFRw9x82Ullbz2v3DCc5LowXP1rKqUslhIYYsdksEu04IjIUR3Md6aEh9AyLorCuntWtrfQZNoIXb88iCaEo6eLl99+jOjyYx+fNpr8f7NlfynPr1pGamcyfp44kSQnBGmjywCMf/cShQ/t59+GpjOnX6aZwkoZW7KjYVVDD6wuWU60xEBUZSqLCjtFulkRv3HYnBq0fkUnJXGs18+PeA0QmZzDj/rEsXbaDptYm0pITuXjyGEM659ApO4s3P/+CplYTL819hIE5Rlbtu8jXy7+lS4888vPyMDpkROj9aGqqR6Vyk5OVTLhCgb61EYPO0NZt/l+VYmsHbP8Mx7L9HO0WaLfAP94CvwqwXa0t8zjcdhQGN01VsOzjI8ycPI2UrrDx4CVeXbAIfUQEEyePplfXOOJVXge4oQXW77jAn5dtoVNOFz58fgCl5fDGV1uprbnBqw+NpX9GoEQ/Kqgz89R7C3Eq1Tw5ZyqHzxXy8fqjdO7Rm4n9s3BUXiNGa0Qtmrc67OT2iOKnAxdY/sN3xEbH8PYT90vqbiKztXrjCX7cuRVDVAT5wwcSHR/FR3/5jPJCM/Nm38vEgeFUAPe+9jG1TVb+8sxTdIkAp9XDC2+/yVGTggdn3sd9mWGsWbufZ9dsZ9Rdk3jrjnQpcixqMZ59exUllHHvPRPIC4jiT6+/TbPan8cef4TuwmsFCpvh4ZffpkWn5Y2nH2V8sIwA0U9GJnrCaWgA1pys53eLvqJb1068OeN2omVQ54KFqzax9VAhscmdpHqz+pZ65Do5cYEBRFrcZCcEYhQF6uebeePrz0nplIneo+Ds4aNMmziWCUM6SRTJL9Yd57eLV3Pb2DGM6JGF227DihGZw0mgo5n8zhFUlLXw5lvvEhCZwuOPTaNTCJid8N6XO9l94BATx41kytgcrl028ft3/oR/p1yenTeGRDHGdvjz8kMcPXqUF6ZPJDs7Uoo0n7lyhWGD+pCZkSJJb0eEBONuNROo0dItTS9lWE5cg7LaerYfO4zJbqXgzEmyEjvw+LSJ9IwPlICPUEETb26VwTsrj/Ljgf2kpsXTd/Bg7LIAdhw6xsGzR/nNfTOZmWZg1Q9HeWfjNvoNH86zE3IlxcUL9fDHDz/FLnfw7Lx5BNs8fPSXD2hWybj/qceI86pES9c076m3URnlPDH3QfqGG6U55Xa40KkUVAuq4+JVbCgpJalbN7onZROh1+NsrEapdBMQGUD35CCcVmixwdtL17P7fAEOjZHpt9/BvP4dJHEEkXx+5/stfLZpD4/MnMJLA7K80XPhmG46zSfffce9U6dzR1omb7/+Dq1+asZMn4FcGYjDYcPPYENnbaRbWBih4QYefPsrSipqeOmBeQzqInpJwcajFfxlwXd0SkziT4/fQagBLlnhVJmdSzX1nCq4wPXLl2ipuMG0YUOZMKwPP63ZxKbtO8kbNoLwzE40KjSERQagM9WjNrUyNDdOur/OlYoscxMnrhRR2VBH0bkzBCkVzBs3lnH9kiVlTbdH0FhdUqDmQHUNb7z3KW6Thlcee4qB8Qo0CjhfDbOffw1NYjR3zZzCgQPbOHDoFDk9RtIjsxtJStH0t4kmT71EeTTdqKCgqJQdlysJCvBjXOcEwhx1yBrL8Q/y54Zdhs0pQ+3w0Og28N3ZCozGAHqHyEnxlxHmp6TGpmT12UaqTU5GdE8mMcJAeWkRNxqaOVPZQmZWBvH+TrRBQRyrgqNnL5Lkr5AUIC211Zy8UES9wp+OiQlk6OVcKynleEUDibFR5IdqiNAraVGocTttGKzNtKBmY6kZsyGYu2dOYVCiBqMV3vjjGg7U3+DZ+Q8zvaOcRivc9cVWLpddZeXjswnTK3nmk0UcPH+Ju6fMoENcFCZboyRhbpQFkdrBSJAfLPthPQcLbjB9wmQm5wVJY//yol0cOXWGRyZPZnSPCEkI4s3Pf2TV5Trm3ncPD6XAvsPFPPjtFvyTUnjtiWGkK7yBth3Hq3l1yTLS0lJ5dORQlixbwv6GRlQhwfgrlRhw469UoHY7USmU+Pv7U1R0icob15l213juGdVLAmrSWtwmS2kV8u/+cl5auI71R09ijE7CoA8kVhsAplbULgseuR11iI6rlTe4UlrO8NtGcd+EfOk4TcAbH6/m+MWrvPjoXCan6ti++yK/W7KF1M5ZvDB7MAl6aHbBa3/+lj0Xinn5d79jRLKW9fsv8crK7XTLy+P3E7uRrBYZLQt/+uJrDjbapeBExfUbhGBnWFwo8X5aahubOFFRzzmPP/EZmUwf3ofrZVV8sXYfCSFGPp47jFAd3P3WT1y6eo3fzx5J5/QOvP7JCo4UFEmCLMFhwVgcDvz8dMhcZon9kaP241x5Jd+ZW7lt7J280i9JWuOuX4XfvPMWlTHhPDnvXsb4w6lzJu5ftJCouEi+eHgcCXIv1bjeBU99tpkjxw/xl0dmMKhbslSvKUCtRqryU7D9dAVvLFiKNSScjPQk0jWgMzWjlcvxOEQjahfqoBAKWprYevAYGVl5PDhnLDt3Xmbbnp0IYqUGF6/MvB9/vYHXv/ock83Kiw/PpWuyis9W7mDR6qVMnTWDe4cNlPYZX1DLt46KNUBnacYgiktlPze7/se7NL90xHbA9ksWan+93QLtFvifaYFfBdjKy654lBo5cpWduko3Kz47zthx08jqJRTsPLy+YDFnysrI7p7OwNvyyekYSV29nROnzrPiu59wuIO5c9RIHrwzjhOFTt5duI6W1iamDu3CxNu7YlTAwo17+NOitXTt0YtHZk9k/9HTLNx5juyu3Zg3IV0SivD1c/GxLFbsPsXC5YvpnJXFbx6ZJenqB+jgswU/cOD0cfqOGsGEO/pyxezk6y8WUn/NwcwJExnVK5iCmmbm/uEvqA3BvDbvEbpGeOXQn3vzbY41OHno/2PvPeD0qqv8//ftT5s+mSSTSjrpCUkgIaElIIggiiiCiCJNdN3iWlbU1+ru6u7qrmVXdxW7aCzAAtIkhJIKgUCA1EnPZEoyfZ5+6/91vveZJLA/d//CNmEeXsNkZp7n3vs93+/93vM5n8855wM38aFZI7jv4ef43L2/5YKLLubzV56BlYOufvjkl79Jb3qAP/mjG1lQO5o7/vXHPLX3MO++9r28/9ypynG6b91+vvbjn2I3N/E3H7+Nd9RCWv6g+USGqSop3v18B3/2rW+wZOFcvnXrNTQbIGXp//nH9/LY8y3MXryMj75vuVpN4v+I8yUReqEuDBv29sMXV/+ErXv3UJ3IMLaqlr/66IeZOkL63cW5EF+5/1FmLV7Eze9azthkfHwBMuJYyYN168sd/O3ff51RU2bx6U+8Xzk/Youv/mANjz6xno/cchOXLB9Ha0fARz/1CYo1I/n85z7FoiZo7fS4/es/4lhHJ1/88A2sOGsMX/nFM6x7fitvu2gl71k1/QQYEhAvD3ZROu7alyfvh4yZVqUqVT571ONb3/w6VrnAn1z/Pi5aGFeLFEmN68LxItz+zz/lpbaj3PSR6zlrTjPPtcI/fuv79AY5/uLWD3Ht5Az33fcMf7P6Xs658EI+c/0FqtpdewFu/7t/4thAFx//6G3MrBvJj3/4I3Yfb+fsiy/mLSvPUH2HWp47xA9++F3STVX82UduYXlzvXIYA9cnZZsKhH3nrse48+mnWbLqQj769jPVfMiYZG6GyrEPDMA9DzzOfc88jV5VQ7YQkdItPnT5W7jy3IkKGH7tZ4/wnX9byyUXnM1n372CcY0NvNAH//D91ew/fIRbPvghTqur45v/9HXC6jTvuf4GFpxmK9uJfFLuBXH2Wnt8vnjnr9lz8Aif+cCtnDu/RmVJPr75IN/50b0smD+f2z98Pp4Pz73YgeFUM2u2FAuBtWv38NuHf8OihbN41zsvYeOGTdz34EOcs/IS3n/V2UpeJ86y2EAwrayVA23Q2T1A7dgawmpUjuTqn9xJ3+GDXH3BKm64YilpaXcnSzQI8A2DXT15Pvulb1CKErzvyqt419nj1BjuWtfCHT//NXOXLOYdV1zEjue38m8PPMLiC9/NdZdOVecVR1RsLPZ9ccsu1jy5gS2HuhjdWM8Fk+pxBtoYndaINI0ePYmRqCYoeAxEKe7dfhwMk7dMrWVs0sd0s3TlItYdcunNuyya1EhTtYGphRzp7uHZw11MPX0ao2sj9FSarccD9h06wmjd5dy5M9CKOXa0HOS4n2D+vDksaKpi58vbeb61lwnNI1nU6FDvaGRDncB3qQpLuIk09+3upN9MceutN3DuxAyJHvjqP/6KTQPtfOKjt/C+qUnaeuGd37+LPUcO8vM/eh9zTxvNX//qYR7ZuJVb338TK88eeaKXlaw3uZfExrd/6Z9Z//Jh/ujmW7nh/MnqXvv09x7gqc3P8KfXXcfblk9Dc6UYx2ru3dXOh667lo8uG8XW5/bwsR8/gtnUzA2XncclC0aQjOCHP3+S1Y8/zqpVK7nmvOX8du1j/GrrC4yZPp3Zk06jyjYo9nRTGuxXTafTiSRtRzvYv6eFS+V+v/Q8Gsy4lLuwqPKSh07Bgp88sZUfP/AIiYbRzJg+i1RoqmONqM1QKA7g2SGt7W3s3neQhXMWcd273sXkUbBxb5Y7Vq9mb3s/n7r5Zt63sJbnthzkcz95mExjI3/1x+9mch3sbSvwlW/+Kwe6+7j9U5/k/GlV/OyBrXzl3nVcsPI8PvOeBYzTIV2G7939MF9Zs5lS/UjVy2tuYxWXjq6myi+w+1g7Tx/p5njVZFa+7Qo+dE4Da5/v4kv/8ksmj6rnO392Fc11Frf+48PsbNnH5258B0sWjOUr3/kNG7duY8LkKcxbMJ8wiujp7SSdNKguFZnqw5Y9+/hJVxcXXvFO/urSeTSEcGhPls9942uUT5/CR2+9hvMt2LTpMB/+8U+YNm8m37rtSgXYtDIcL8Bnf/obWvbu4pt/fD1zxo9UG4JUd03pRVXc5bHnD/HX//QTghEjmDNnOhO1Ima2j7RlYYQSBPGJMlW8nB/kyedfZP6MxXzyT99Lyw6Xf/rRd9mZa2dCcxP//OE/UfvnR/7hXyij8/nbbmH+RPjxwy+y+t5fcvHlb+OyS5aRFJm6gEYXilLhucpiQgq1f8u9++q2Kv+zrtEwYPuftffw2YYtMGyB/yoLvCbAdmz//iidsUEv0tPhsfqH23jrZe9mzgqTggkPbO7gu7/6NYd6DmFmTGobMhTLLrZTQ9vBY6w8cyXXXXkJs5phXyd8+Y5/42hnJ3VRP6uWL8DSfXa07GfP8RxvueRibrj0DA70BXzpjrt5cddurli1gimjGti3ZRsNyTSrVp7L7DmN/PKxZ/nBnT9i/ty5/PWf3aIeDuLI/NXf/pDHN29g0sK5zD97Cdv3vMyWzVupT47j5vddx9vPnUB7PuLmv/wSWGnmjZnE5atWMKpe5+/+6ZvsK2p85MZbuGr6CO78xSN867GNnHPeeXz+fSvjUupluOnP/4Feo5fbP/UnnDt6BPc+so3P/+wX1I1p5qrzl9HdcYyt2w/T7wUYDQm+8LGbVJuAZNYFQ2ogJxnQ4N4th/jcj77LsjMW8sV3vYsxApYsWL+zle/d9SBH+weZPXMmEydP5IXtL1ATBnzgnIs4e0Yz0rKoV4evPLSO7/7bXTRU1bBi9nz++sYryUg1fA0O9sNffPeXvLhnD287ewFTJk9m07YWbNPi0qXzWDRjLD3H+7j9L/+GqubT+PM/+wjTG8EN4Zvfv4eH167nxuuu5/JL55PLwue+9Hfs6Slw+eVvoyHKseOlHbx0NEt+sMDnP3I9Fyybwur1h1l97z0kbI1FZ8yjrqaal7c+y7iRI7n6yncQlHx++MMfsWv/fqbOnc+UObPoy+ZYu+YRmmtr+LMPvZ8zxjcoOaIZSjXqiDCh8Rdfu5uHNm1k0bkLGDVhAocPD7DlpZeJqi31mWtPH8ldv1rDV39+P5e+7Qo+f+NK5Szs64PPfOkrdBf7+Nsv/CULGmzu/OVj/PSh+0k2NHDehZcQuSEbH/4tAwP9jJzazEc/fANnjW5QcrKMIX2fQlxDZ8fRAT77z9+me7DA1dGwoboAACAASURBVO96D4XePlr3tpC2Na677hpqaxMc6xjkE7d/hsyYZj728U+x+6V9/PSnP2XWnEnc9MFrmdDo8NCj2/jOXU9g6B4rplksWjiHrQezPLJmE8sXLOYTf/JuLBvuf2gj31/9cxacuYJ5Z5yn2iR0tO3k3AWnc/mcudQ2Zvjw33+X3ftb+avbPsa580cocPPAuu3847d/xrx58/jCJ6/muS27+MmdvybUbFZdfCm1dQ1se/F5nnpqLRdddB5/9KG3czwLX/7br9ByoJWLJGdu6uls2PgUSavEh669mnorxV2r72X95i2Mnzmd+eecQzFyeeTBB3DKLjdefhmXnTP7RH8+AVtyLS3HSnz27/6ZDhdMW2Plkuk0NzXwo1/ej5Oo5srL3sHVq2bQ3VHmE7d/ji6jjnMuuQTHKFPM9WKhs2jOTEpdbaxbv5mtB44zbuQILpw5mozbS70V0tXXx6BeRU1TM+VSif4wyYMvH6McRSydmGbayBSOV+R4b4FnD+UZLHgsnXkak8fUMSitENra2LTnCKfNmEp1okwujGgZgGy+xMyGKmaPb8IOfA62tnOwx2XyaRNZMKaWll272d42wPjm0ZwxMkl90qQoV6xFjEhoaDW1rN6ym6OFEn/04Vu4YNoI9G74xtfv5JmuNj52yw1cPX0ER/t9brrrQVqOHORfb3onZ84Yz7cfe45fPvQ4GSPJhavOpy/XxfHOTuoTTbztgvOZOlHnH77xHV441M0H3nst71woGVHwmTtW8+TTW/jszbdw2fIZFIrw9R/8nIe2H+WG91/LDUvHsH3vEW76hzvJhwanj0qyfO5MzEhn7VMbVB+zj9z2YS6YOYJNLx7lL7/7I0ilaEin0IMSXnaQunSScWPHUltVzY6XdyqW6rr3vIdrLl8aO+k+2IGHZpqUNQ1Xh+0dg3z5W//Cwc4+Jp42hWI2R3UqiZvLkk7ZTJw8Hj8M2fr8i5RKPvPnLGLS1Clsa3mZLTv2UKCGj1x3DTecPYqujhJ//k+/5GB7B1ecN4vatEFrRzdPbHiadG09H//jP2bZrBE8ufkwf/z3d3DlVe/g09ecQZVfptlw2PjcLm773q/pstOqgfXySWM4vzrC72/nsFfk+fYBdvdXM3fBEmaMTrBjx8s8se0Ql5x3Nl+99VJVRv+2L/+Ug0c7uP2md3PBkonccdc6HlzzBPlAY9yE8arnWX/fMepqUoy0Tc4aMZqWzi7+rbObCy+/gk9fNEspNqSB9Q1//nEGRzXxiT/9OJeNSfLsc6184OvfZML0KVwwbRyXn7WEyY2N9Ljwie/+nJa9O/n+X3yUBZNG4WkxYEvrRSJMNm5r5QtfuwOvpprZs6YxJRWiDXaRtGzsSCcoBripBNtLBTZu287sCXP528/dxPF2+Ktv/AvbSm1MHDuKf7z+NmpSOtd94VvkQviLG29h4SyTe9bs4o6f/ZBMQx1VqSoatASGF1JyS/hRiemzTuOqt17E0tE1OD44ktL5X+XB/N7HGQZsv7fJhj8wbIFhC/yfsMBrAmxdh49EpiHljwOOHh7klz99mSuuupbpS3TKBhzLwbYDA6x7aQNbd7/Ake52DCfBaRNmMGPcZK67dCXNqZiJ2Hs84JNfuYOebJFrr7iYl7dupPPQPkaNHs3cxUu54JwlTKmJe+8+umUfG557gR27d6G5LnWYnDFrNpe+9WLGTczw8OZt/OzXq5k3Zy4fuOZaxqXAK8D+Q9386oH7WPfSC4ydNpGRYxqRtrht+3qZO20aH/vgxar0xzd/9jAvvLyTYLDAOy5eyfzZE3jgsTU83XKEj958KxdPa+LXd/2WHzy4hve89z1cvmw+jRmLPe1SjfH7dJXa+NjNN7Fi/Gha2iN+ceAQ9zz5ON17d3DhsvMY0zSdNU88SZ5+vvflT7EiBYZ4Q5b0FY4oGBqb9h/n09/+JitXrOBDS1YwvTmFa0F/AGu27uOJZ56hZd9egsClpjbNmdOnc9mCJSw8bbzSf8qD9OHWI/z0tw/RfbyHa996Ge9fOpdMCEXplWrDE3uyrHt6Ey3PPEW5XMZpOo0pp03i/DNmsHT+JI4cbueb3/k+ek0TN974QWY32fQVcjy8aRurf3kvt11/E/PnTqexGja+uI+f3L+WfftamDY6zenTZ9IxqNPV2cXl587n8ovPVqzMgxv2suWZp9i9a7uqaDZx9GjOXryY5WctobGuhj1797PmyXU8v32nau5q2bYCkxcsW8LSuVNp0OLorKZ6sUHB03l6xzHufeJxth18nnRdHeNHz8CurmfDjme46uKVXH/WGTzz1Eb+9de/5exl5/Ln161SDdj3dkV8/fvfoc/Nct17r2bV6eMYyMIjT2/hgSfWqoql806fQ4ORprX9EM6ING+95HzOmzlFgUZhg4TZEubqWDlk67ZdrNu8hX2HDqv8ooxlcMFZS7lg2VIKxSJ3r3mI7XtbOPeClbz/7RfR3wu/vOc+Hnn+KVZevIoPXv5WfnbXJr798yd4+7veRiLcx67tWznWr7F4zlKuv3AVc6YlVCP24/kc9zzwW7Y8v4u+bERVVZoRTQneevYCLpszHz8y+NR3f0Brew+3f+gWzjy9UbG7G15o4ds/uJvpE6fw+Y9eRfexPJtbdvPkthd48cB+AiImjB3HtNHN3HTVO2hwQFo1vbzrAGs2b+bZvXvoISSVcThj2gTesvxsFk+dTOuBHh787WNs2f4yA1GIWZVibPNozlm4kIvmLVA9xARkhxp4mq+KIOw4mOerd/yC9khn1uLZdB7eysF9u5gwaRZzp8zi6ovOZpQNibycfy93P7udLXt3Uw76yaQdls47i5VnL6fr8G4e/e1a9rfnaKypZumUOsZU6ZT6OnGSGbpdGytdh6YHHBlwaRlMsOvQQeZMyjBtXC0jkhath4+z48gAum4zY3QjE0fWk89n6S957O/K0tHbha0VSdbXMWjXUMi7jDRD5p42Bj3w2LlnH/koo5o5j0p4dLZ3sPvoIGMaGzmtJiBjQqaumUkTxzN1bBNGbRVf/MkvOdI/yC3XvY/l08bQf9hj9epfsaOjk4/c+H7OnTqCI8f6+OJvN7O39QCfunwZ5y5eyJ4ybH5xH08+spa+nmP4WonamhoWnb6UKy85ByMcZPU9d/HbZ3Zw8/s/yHXLZ9M3UOSrd9/Pjr37uWLZ2Vx92bmqAfjffO27bD80yAc/cA2rFjTzxKaN/Hr9XtzQYEq9ScfhvXQO5hg7fhKrlq5g3uwZGHpEV/8gqx94nIOHj9LT1Una1KnJpMgkLdWfbET9CPbtPaBA8qoLzufSC5dRnwRDmPH8AJmqKsXOyLYnm/pLuw7zq/seUH38tITUg9epr80wqr6e8Y1NKkdPmkpLP7T9bW34lsHcRQt4YfcBXjqYVdVbbz2nmXwe1u7u5df33k//0Z2cNqGJSTNn0drWQe+xbq5597tZvnAiazfs59s/fYAV553Ju6+Yy7SkRU3kc7S1nx9u3sPP166nuXksU2odltWEBKUuDhs+rTmdHXsjdM1h2vg0zWNHs+1QH4nQ5eNXrWBUYwPfe/AZNj6zlc//8Q1MmTCKNU9sYMuLO9nf0YUvjb/LOeqq0iQTOuPqq1kxfRpt3YM8vKeNZedewK1vnaf2uCOHu/iXn95Jj5Xk2mvfy4qxNRzrLfGzdVu495FHmTwywztXreTtKxaz/oXDfOaHP2PmjCl8+YPvYmRSV0GRYgDVhoRIdJ59/ig/v28NR3MDTJkylmarhBMUSBgWXrFElZ1mUNdY13aE/nLI7LEzue39V1OXgq9+/yEe2LuZt7zlfG5cfD62pvHxf/kZfXmP6y+9jGVLGrj74W3cu+ZBBcJNDMLeEk219RTLBXqzPcyaO5Xr33UFy09rUoBNctn/9xDbMGD7P+F5Dl/EsAWGLfB7W+A1AbbWtqORgU+V49NxZJBfrN7BO959LdMWaco5FHAlOU+HB0I68sfp9wrolkNTwxjGpSHhR9Samtqzj+QCPv3336O3EPDJP7lNNdssD/RRnU7QWJdkdCaWe0mujEQNB6T8+KE2bCNBTahTl0oxrtkhMKAtG/LSnu00NIxg3mmjlWTLkv1ZpFudJba3HSYzooYRo+oxMOnYf5ykYbFwRoNywPced1UD5672dpqb6hjXXMORjg52t3WxaO5cVSr66OEeXj7cyumzpjC2zsHSLQX2ntnVQX++gxVnLGREGQ72wbZa6E9AxoM6Ew6+GHLvPfdQ8I/x1U9+hCVVKHmSogGlc7Opsb/b5dnjbYp9muekyGhxT+2SEYO2o30l+nNZ1dfH0SLG1NQwta4KXfW6io/VZsCz7Z3kSiXmjJ2oCgiYZXCjkCipK8e/vQcGW1uUI03VGDLVaSY3xiC6HESsf3YrRt0o5k0fq6RoPiVacx47du7nzOnzGCEaJynM4cOetgGKpTxNVSH1NfX4YYojh44zcaRDc1NcB7PbhULJo7e3E1szsHWNxpoaRlbH+WviZHQN5Bkslmnv6iXUNBpqazltbINiMUWyaQZl9ChQT/wIRwHQXa15juZbSdZU0VQ9BiMBG/fsV0zJsoZ6Bnt62Li9jSmnTWPe2ASBC34CNrx4FC8RMW/6OFVRTkYj1ed2HW6nVI4YP3IMdTr09efJmiXGjGtglFkBjUGodD0DxM6RFkLr0W6OF3JEukZNMs3Y+gbGJDUCHZ5vP0ZrVycTRo9hWlMjYQFau7rZ3tuqGNjpTSP50d2bufORl7js7W/liovGMdB9nKKXZlxtmtk18fhlqcj5xNnddaSDoufgpJIYRpbpTQ2MIyKIdDYd6+dgWycXzpxJrQNeGNCTL7B1x1FmTDqd0yWnUoMuDw719dM20Eeo66oJ8uiaGprteB0Y0qw7gP0d/bTm+inZBolMkqkjG1V+k9xfYs9s3mPAc2kr5Dg+2EddTQ1TRo5mbCJ+j+YHymMvayFFHLbt7ufL3/oJxdpGrr/tGsbWw/GOVhpHjGNSOpZbCtOQ8hW254XuIq3ZfrDyZKToQ3IUdWmD5zZuYtu2Fym6aRzDYHQiTyLMYXglqmrq6S7oeLqD5oQMhiZH8klVkGfsWIvxI6tpTDkUBkv0ZH1szaHBNkiZYFsW5RCOFXz681kcIyJRV03ZylAolKiNAkbXpNHCMh2dXWS9FI31ddTYRUr5Ap29MK55NDOak0reV1c/htGjRtFQ7eA78NSBVo4NDLJszizVHDwoQc+xAvtb25gzYxIjqyKwTdYcKXGsv5sLp9dQl0jQjcVAAF1Hs2RzfWC7ZJIpxtQ0M7IqDiTsOLiHfqqY0DSayUmNklRZ7O6nv1hmSnUtp40egWbCy/tayeYsps4YRW0iVNlOu9t8SgWXidUanceOsKc3q8DSGN3GCgM6B/vo7BnAdOpVo/pSIYsptrF1xd5blkXCSdLXl6Wqqorzzz+XWVMbTkiDw9BVckNP3fG6WmOdHb08uGYtuw4fxEsncKXZspMgY1mMcqpwQoMxzeNomjCe/rCMVZXByiS564HHeXj9Xm6+9r18aLlqyUxXhMqJ9rLdZKpsapqr6e8p0NfawfxZk1UV1GP9cOBggYbRKUaPiqgnT41orKMUL/SEbNx5kJaWFuqMMjOsIkW3i46EwUCUIdtTx6iGMVx4/mzGTaxhXxcMdndz7uQaMrbFs4f76ewZZNbEkdRXOaxZs5b9R47SmY+IDIOoOEhV2mZEXTVhOa+CA7qZ5kgPjJ84mTlTmykMdJJOWWx54UWidANz5syiNhGQLxRo7QvZdeAIrjfInGmTmTFqDE89/Rzff3ITM6ZP5qZzFinpqZ6sp1jKkTD6FSjr7tTYub+DtuwAju1j5DrQvSyWqeMXy6QSaaJUhlZCapvGsvT0JZw+rlG1onjpUJad5Q7GjhnBwpo6NWcbDg4ymPdYfnqDel4f6gmVdNfMJIkCnerQIWE4FLwiuXKOmhEpTh8/gtFS1l+eUcOA7fd21IY/MGyBYQsMW+A1AbZDuWykB0WSWoGOIwOsXv0i73zXNUyZbyi0JvI7+S4PX4nxSYU8wRPidMqG76ifXAIStHQP8Om/+w7H+op88QtfYOaY2HkeSlyWz1ilEnI+bOmGm6Cv0sYlLRhHHgCCyEzI6/H5xB0Q50XaZcnfnQwK0InksFKzouIyxCxCjbAJEeQ8lOxMzi9FEkwBS5Xrl+sWP0qcc78iwjf8rGooHTg1ypmWYQu4cfoi7rjvYb6zbx/1c2Zy5UXn0eSYbLx/Fw/dcw8XXbSID1/9FqbL4OQEcjzpUKuZCkD1mfEY6lSSPoTidItjV7GjnEv+PpS7YkUBWhCgQpyaRj5pqLw0+bicYoR8UMrFORGRZSgbyRgl2innzlfGGecXxAxWEV0BLfnJJotApKJyoyvnjYQ1iXDR1HXJ8QR3ynXJZwoFSDu+ymvpF7sKi1ixkbxv6JkdmzIkUn81ToxRjhG7dfFcGqGH7pXQbZ1SMUciWa+0ojLkQS0+toxVhiTMl4x9jEqWN9T/5TgJAQDFCC2lqb5beqpyvYMeadtSQE5s6waQNlAl/CMNBkwoRgIgAtLCIhHh+SX6kzqOlqKq0lRIKiBWlqKaG1sMbcKAIfaM7SYMnShgxQAyR3JvyPdv/OAB7t54kLdfcRkfv2ziidw+CVRIbmFU9NGtHKZp4eGQVbHseE3I2JISQAnLFAfz5Gub1HEFl9kyT5TxNYtCqKt+tdLKLikHrrzkmmW9i9MtL7fyb/lxaM7i2Yl/lnPKx9XyLQWYlqHuCQkEiO2H7nO5hw3Xlyotqkyqr/kUSLG9tcBn//67eJkaPnP7DaoJu7yGcjKHxpxUBXnkvjXV39Q6qFyz9FBf88j9tLcfI5Mah1cqY/vdGEEWzStRXdtI90BEPogwkgGulaSrkOD53XuIEgXGjx+h+tsldBPPlYqwEYkwRPd9oiBAsxKUIoNy4GEZOnY6SVm38EoeQX8fCT3CNH003canDsc0yCRLJBIJauumMmpEE2ObNGrTDslkJr5BxHgm9FbmvUFsWSxjJR30CKIymDpEXjdaukYBNPlIPWUMPHqDjKrXMFRfb+geEXvJlxHkCfSQAa1KrZ8ar4QceNCQ1RGDYHmfS4gvwYYc9Gez5PxWcq5HXyFNeaCANXiUYlikFQe35NIgHaiLJbq1gKKvUZ8YgR7paHrcU02teqGuNR1NMygVfSZNnsL5Fywh4YBf2UtltwgUl2upfSYVmeSP9/DUhs3sP95OuTpJjgDfC9GKLpmyTka3WLRgEXOXzKMk+2AlYPG1H/yC3zzewm0f+AAfXjUeXe1PccBQxhg/YeL1IvtcQta9PB/C+N9i1zIhBj3UqzziDGUjyfZDAzz11FOE+V5GMEg5HKS7OoGr1ZLwmpk9dTZLl4zHcuLAiVQgHhUWsC2drESLxBq+sIk51jx4H335EgWzFt12CAq9VCVMjCiku/sYVjKgsa4Zw22A0CAycmRL3SqKV8iXqEqPQrM0jg0ewUkmqa+ZRLYY4iU10gkTevrZumM32/Mus2dOZ4XQ2X39eHatqkpq+10YQYSjN6OZGQa8Etl8FyNSAUFpUN23orDQ0QmcBFFtPbPmL2LJjJlKwqr5ECTivFV5VSuBpaYqvUYeNMhClGJCvk9gG4S6Fu9FshR8YdTjyVCPmdAlIVpcWbTp4cbZw67nsAWGLTBsgd/XAq8JsG3r7on0oECGAseODvKre7Zz5dXXMmO2uOI+dZ6pHBB5WoojJ06cbNpJFxIaGJZo6z1KOOxq7eLrP/wVHb15brn5w5w5M+7DJg6HKuAgxxGHL3RVFrPrR/i19XhhzFyJA1rx9RVAlPPISx7atvgSQ4DOhoL0pznFQuIAyrmkVLwcQz5bLMe4UDmQlSR5yU+QB79UOQvDCM0RhBCgeQMEfkhBr8dIiMsgTlOZhO+wfvOL/M3mzezs76E5Y+IUNcxCFWPrR/DOy1awYv5I6oe8Yblur4wZOcqxywvuFeCr6BuIbCjLw8+P4gpghnai0ASRj4uPFgVY8kYMSn5E2TGU0y7X3Tg0aNMnCCOKnkVKUhDlqYuGa5gxMPMjonIWzdSInDS5CoOUjvoxNHFQqtAw4opvEQRa7PiJ3WLnsUQkTpAXVylJOr4CYkWpUR5jeYpBUSW6i4Nrq2IUETohXuDhhxqBZmKajgLQAiBU4Q75oFfAkpOqH9RqQtEVejyvrsCYsoVmQU55tCHJ4DhpI4VLNYEHibKPJgkUkgcnn6k06dPzLknHxjUr60MINHm/nMaCgiTxy3oMQxKC2BW6kUqVPiYmCUF1kY6vx7aQK7R9MIQSJqKQiR3JBKFywbXQwi+V8GyIzIQqNvP1O3/D/c8f5W0XXcTHL56s2mDIepYWC4pdDCPMsB/dlDvHYbCsYzjJOLigAgUCWIRGDehMVGHqJgIINMUGxrksLo5iqYU5E1mS3CPKnFGoqg3KMAJxuhULEt86cnxZVfJdVriPT9bNUW1nSMhvfUOBNtfScR1dfUaNX8brBhheGU1C9Wao1otUSdyyu5Nvfu/XlI0UH7n5Bs6ZbCPxhnIE4ofKtMjnk96AKgFeMjLquEm5KgFTRoLe/jxPPvkAHe3HSVjNFPMlHDNL0g7wS0Vsp4p8wSRZV02m0cI3LHLlNPuOdrJh2zqmnz6J2ZMnkXFsyrkCUdlVoD1lOfT3D2KLA2vYKiAjFtZNQ7GXoeczuqYOSwtJJA3SVbU4dhOaqZOpckmnqqirrlcBCgFfanbCCkIQB98r4CZSePhqfmQ8nm5hajqhFA5Se0+vkgX3+pJPJdUa84IAGPAyJNKyK8Y2ljtfnG0bk6AUYms9aI7UBqxW901CWLhykX2hTm+uhNbTS1DIkfOL5HMe5XyI75co633kA5+iW62aKTu5dkITjqfq0EKNkdksCSJK6So0J02xO0/aTqFb8Xj80MOwTAzdIhCQW/aZMX0m511wlmrkni14pFISaChVrtlE9wOqQ4ue1jbV27G19zjlqhSDgUcimcbLlXEKERnN4qwlS5h/5jy1LyomvjDAt354F08+e4wb33cNN62aiO4XyAcpFZiTNSQBEgkgyF4lDZtlAQnQMIRBDeIdxDM8LHIkZbMNbLwgwfb9R3j66S0U+o9Tq5eI7JC+jE3Oc0iVG1k4az5Lz5xOJHtFZa1WCUWqB/haXJFVXu1HDvPYfXfh6yZFewShYaMVe0nbOpEfUA7yeGaZhJmhqthEfqBA0ewnWWdi2BGhH1GlN1COfI55R7FTaRrNseSKAT246k7MHjzIoY5u3DHjmDplIlMp4g/001eySaQTpLV+/GIB060nkaglcDRcL0tdAsrlAZLpFEHkU/YCBdiNdDVLlpzLGbPnqL1BMLgEb2Sccu9L2MQPfSI9FT9fBbF6Rcg4RIbswXEowQkgLEMkQTprCDiXcUS+osteINLXUyJGv6/X8rrePyyJfF3mG/7wsAWGLfC/ZoHXBNge27EvMsIS9WaZnq4Cdz/Ywnuufx8zTrdxpMyz6MCGqCwTSlqAjoEtT1t5eFpFRVWVSXIsV2LT1pcouhGLl5zFqJoYjCj2KBSnXSL0CrVVgJlBSZioCgA8kbwsDrg8NPVIgQo9CFDtqiuATR6wZfNk1DWISlihhiOlFX1NUifi4wswkZ5xSkoW55alRb6pPKRYjueKn+qWSYlXH2mEQZqigA/bx5YsnaIOtsNmqQJ28AC5Q3vJHutldOMMVi1bQH0K6pw4t0ersIKWdMwpieOvKY9DAaBKiFiAhE9ASqgRU4CYxDnj3nboHmUjVK23k/L70FAOolzuoA6WDqkhL9rw8SOxkaPsq4Xi0ui4elKdL6Gcd6GFBJDY9Ee6AmpVyvUJGAgtTD1JOibhEB2mzKx8xaaTaK2wmpWizmIfWQhRUoFf8VtlHg21GsIKNycHO7lYIvUXXQE2SVcTQC5MpwrpylpQEXofTUbgJhVwcsWQ4kAIChNHzZKz+FRVYsPiGvsCwAS1GXHtRmmYW3RiQJioNPQVZ0+Kq4jNVPuACm1aEvypyZqUaxdvJKa1xKxqPArYx+xmHIOuoJ0K4vGNgFCXkQk4FcBm4xZKqhqhnpbcNJ21ew4oqdGSmTN5x3gbw3UphDZhImZUlIMk8+BLpY4EsroFLMfLOyJNCc0tK5Y2a2WURavcCFMYELOA6/rotog/43UXz5+MQSBYHJkQkbIAAFP+MPSeyvvkXWJ5WWfqGIq9M1CaT+nUa0BJh6zcd4YRM+nyVkFicvMY4tCGymk+PhCyfssOAi3DikUzmVkTv0UYkCHwr5gR9W4JA2Ti9a4CNzGHKfK6x9c/wp7d+8BvJPQiLKeMZrhqzQa+jqnXMX/xAsZPa6QU+ehaHdlSxMstOxgzrpnxzaNIWTpBIYvulUk4Dk4iFdvKtNF0A1cAlYBEub+VpCskKvkkHRPdljVsqS/xP0O9YrRQrCimCQhFxhumTuTteJpLGYswKlNdSeSJNEvdQ1oeDDGc2a9YqJ4wrXK/6owcRCLbq1f7k6zFUAtxKajZcgQ6y6m1/ljq6jr0iiO/92WOdXdxUEtQDELswSxRIY+TSTGQzeOWNRJJkTGW1VIvarU4hk5d2K/O0aPWi85IN4cVhqo9geRImuWAhO0QmiFlr0RZGsmrDdRUQgFdSzB+/ATOOfdcMjU6JVHEqq1Y+Hi5DwyMMMAMIo4e2M+mTRvoEVluKk3OFcYxQ+RrWL6Bo9ucecZC5i+arZaZXKesxce2bufl/RFLF8zngqkRWlSAKCNbeZwvWWGuxZx1cvOHGq5mKgChAnRKbSHizCKWAAnZ8HWH9s4uHn30MbJ93VQZGlrCIJew6S/46F6ahbPnctH5Z1DyQkJL9jHZNwWdCBhJkfcCJQ09vL+Fdb+5WwVVeqjF0w0cN6uKEblln3R9mrJexM361ORG1p+9ggAAIABJREFUqCJHpVSOqpFJBnI9lPIlEl41esoilxzEj0JS+RpKZY2oNoVjG3gdnfTkspTGjqe2NsPIfBem65HTazBsg6QxgO75RLkUYWAQOJEKemnlAsXCIImaDLocR4vIF10SJFl0xjIWLFx4Ak+JJFmTwEsiJNB9ygq2SdkfyJTi55fYVAKK8pQYCrYqJUolQCpzJs/0mspjXH34f63qyDBg+1/zNodPPGyBYQu8Lgu8JsD2wt6uyApK1FklOjoH+fn9L3HFde9lxiwBAh5VJSt2IESPqJcpmCIjc7B9K36SmmUlzXMxlYOWL4dYljhYFRlcBEk5gDwEAw/P01Xk37ZtIl0/IXtMyNULiPI8gsjDTRrK0VJutO+RDKQclQV+SOQYqiBKLvKwxfMKXVK68CMG5bw8gkx0RygPVHS5rEVKyuNoAiB9xe5JxTItKbyigImQaj8fv1lLqshuyYwfZ05e0EENezVdyfXGa/EDS+GroXysU8g/eaAJe5AoCTiVp5sZAwt54onUs4IA0sppE2CaVI6CkRPvyGUgJXKgkAQ6iZJGQrR+cnw7BhVSCl+u37MCNNOiJO9T7lVOOTJ5XYR6kBZgHBYrjU0dChWGy4mKCJNXDBwsy1ZgJnI9XL2E6SSV06icSArqOWz6qdizMnMoGi1IUy4HhI6PYRjqcS/v89winl9WwzVt5akShQaaOFYxFlIOQYwmZD24eGFJ2VrQX6IgFS1EthODP70okVvIy5QYHinFXQmoUVwGhniT6riCgH0GbQ/HsHBE1loo4domlpNSZK5ctpowHwqi8bEEInp4pTwSTjYMC0shyZBAcgOjCFPWmrgs4jUqzzoGUyqYbEZEmovrhdhGKvZXBHxoPq4RMYjDwQiaNJggWjVhy/QGxQQKjtc0n2TkYQholSi1ljiF3Qyw/TxmqQxWkrxTAWzSjFj0l0YBL/DRzHp1XoWjZaoND1+XHoAS5Ii9WHGm9XKIoQnbG2tN5bo93cc3xM4yd/JfhC3yUomEiD5MnGkjlolVrBCvO8Vyi0Mc4Jqa6gslk1YJC6gcNxWIUA5vDOxFqmYbcp+KE24oxkiOk5awvfxDjd9j7RO/4eUdLaT1cdiJNIFRZDDXQzKZJJ91ySRGcNHFqxg7qVpmCV21ZYZBMW0lmCFlyoX7kfUde5/SEiAOmAy9BBjHV13hT2VSFP3rxfGIwFF5YYHhUXCLpI1qxZD7ZqkCUOQekbUgqyFUbK0tzJja3wIi00Z2SAX8ZU0YfSpHc5CMAsZp6Twui1KyLRWzLWYpE+memjEzSkrZUvq6dtN67BgvHR2klCuR6W6n5Ll0puuI7AS1foATxPegk87g6wb53ABaaUBJ9gpmlbofq8o9aj0PWk2YpkltlEcPXAbKBsWyT2N1hih0FSCV+0IXRl7uM5HQecKepxnZNIZzzjmH2npbYXrFaCl3X4C4gFy1Q3FobwsbN61nYGCAZCqj8lxDzVSNqcUm8lq8YCErzlwYf8YI8TWPAZEFi8pCl3LxZfAGQZPGFiAq3CgRKzsiL0ejsKQSXDBTSp0ggF5hBi1WJlAsgG2r6FBffz8P/OYhcv0DyC4ruZ0l2ybvS8GRBPPmzmXlsoX4fkBgSehJpM/ZWFsvLSRk79J09u/ZxdOP/htOIkOblybSHaVISRgh/dmiAmwl8riDPk3uGGzDJqf3UTRz6E6kpLd2kMFK2hTTOYqFMqlSHSmnluPFATIJi2SpQCEI6K6tUxLIhnwXVZZF3mlQfdL0sIuMZZOgFt/TKEWxaLTWSZHNZlWRF9+K8CWXrexTHSRYOHsRi85ZooqWSOwwJXEopcH3cK0SJWStxhLeZC7EEgmAHYO1vMhN5dYsofIFRa4u+0HcEw6qvYioVMDJpIcB2+ty24Y/PGyBYQu8GS3wmgDbwNEosiKXpFmgvfU437l7Cxe990qmzksqFqA2SMdPaNEQGi5Z5bUZVJEkkgRsJ855UQUvKtH6obwxQwuI3BKGkqsJqyJSroySuAwF5cTtSYpLIxSMjEAeyJZEtMOK5FEghDAJwhSItysMQFyZrKyiqh4iJpO4tjg8iBRRkTfCRsgHDfKhOIamci3sqExYyBNZDr6dVryNvK0+l4+T40T3Y0K/XVCuaEZYrshSuSN5QqSwulx7Fkd9V8UaJOgrkUmVkxFQI4yQADZBieLIJaSEpKMwW8yDeaonkEje/JQUTUFF5MXGfY68Rxg2nUykqxw6hYKSKDYwTloL1DClP5VYQI6XUgDLJKuEQ5CKQpUrNhQ2lUInyhzlgnIYI7s2BlAq50PcrVLMRAijp+R05RgQFIQ+FM9dGB/x4uIHtDj9ag4VUSioSg40JCKMV4JEny1DZrdCqopzNdRnNRKXzyXSxD20sF0ZkEyfAAkxZCw9cxMyLWXl8spIK+IztMAjLJewrLTy2ISZlFEIcyZ2D01LiRZlESlXscJwxrltoWJPxe7CowqPpvkCuAICQ1ZkZb3JehAqQCR+4stITmTFXjJXvmQjlXXVKFpAQ+jlKYlDnKihH0fNRFXpSJxoZo5WGjnBl2oZq7vIV/eHZqVidrNyU9gyyfmCWouDdlJdeuMQw2UW1JyWw7S6XcQJO/E6wVoGCivIl2XGgL9CvFXmWuZWODbJRBLrm5hyUeKNK2Wthp/UThRGEXZcMbuKvZQ+gyFlS8SvEZpbwJRxGXYst3Qli0+ApYzeqOic5QbJq3uwTCyJTElAQQUtJEFmgIefeIDde49QY09Ct1P4RplsaVDJ80r5gCqznvNWrWDStHp8iiSknEkYswNqeEIkKyQlu0tFriXjEHmrSETFwuKA6/FnrEhsIEi3AmZ1uUaZ65iqDfSi4iHtKAaGvlZWAE1Xu1XM+sawTYIWwiAV8aRZlZNCN9UqVD8ntD4C02FQr1Xgt6bYD8KeOiNPJIuGuqdyE+XEnUf66e1oIzdwiCOd7ezrl/zRJBPw1H0pDFtOJHYi+wwjSsU8mfp6vJTIQfNkijmS6TS5dD2loEh9OIAeahSjEbgSpAq71brTtVoMw6SxIUNXrxRZ6lNyVyeZUJJaxWqGNpFnMGn8ZM47bxWpal1tabIllpW7b+DIghZL6iEth1rYvP5Jsv0D1NkZygUXO1WPaxjkDYNyFLJ43nxWnDFLHiWxMiPsIxBQUtmH6ySg5GehJIGnZPwsSMT7ZgIPW4IsYlynGl+eA56LGUWkhFWTZ4di3kXIUaCj5ziPPrqGUrZMKrLxXA1PitBIrqNtMvP0qVy8bCmGIXqCimRYMWwC+OVmF60EtOzcwQtr78NKZDhSSmE6Gapll/byCjz7RkSolTBd6ck2Cke3yOv99HtdEotRASHdTRKJ7DxdwPd9EqU6qhP19BezqgBTXSR7usPRRJJSUGCUP0DacegKUhSjQOXnKWlyJPPmUKZI4HnU2NUqR07Y+3zgUrI0NDeioWwzd/oclr1luWo6LnEJKbykKhmHJQZTeXXPJpAvidBUqgLF0QwCtVoNDNFQKiVNzLzFdbU8EgJqZc+0U+q5/r/zGmbY/nfsPnzWYQsMW+D1WuA1AbbulsHI0UMyCZ+2tn6+96vnuOSadzJjobhxeVJSO152a0Mc7IKSCxrYpCTZPBQHqCI3FP9asVix3KhUypOQ0Jw8/ORLQrby0NarTxT1iP1IYZMkWlwBa8JG6ZIjI1G+MqEfUGVn4oi16BoNCz/ylT9vKFZNHmY+QVAi8EJSibrY8VIgLSLSxVUT8ZuwCaKdG8SW7HnNJBdBb2RRq0vEMISyXKOthivVBAUIpT3RkViUzbR6bsUF2cVhSceMl7AI5QgtET/0c5TiynhSkk8cCxmPJK/I+UKfkhEinExKnNVAIzBTMtw48mmEDFrCbUmgU0MKsThCdSimLi7vrHLwxIkR2VPkoWtW7MAGJUwjhUAbuU5xK1UVRmVkU4FF+YMpzqJSEjrKbxQsqCZOBiLyQkmy9yK0ZFk5ZFopzlkTgOKW8thWbezQisMqcy2SMUF+ijXzlbOnK6mipqqMaSdotcryrhBWis0ikBWFQwq7UonFswTkCRVVkfIJ4aBJppc44jrlIEUY6Sq3RZPz5cvoqSS+HlKOXNJSyUGAnjBtkUFSWFoBIfIldhM7RjK2CEOTdWHFjYrF+Yh8PCuWEyqpodAnkqMhDnulgI1itNwyrh2gWym11gtZqBL/UhN2p0igWWRJKqcm4XfFjqSUGxH205HcvkqhhHKJtEyoJtlwOrLUhMEzZW2oBEybohmX9akSX1QCDaaLmUjhC0coMmMBZRUgfBIwV3SeAssiAeAnUV08M7EcVeZAmHFDQh3qnqnkZ8k9rUB57MQqvC6HVFK9+J4tGMJVSWBBgJecw1H5PLrI2RRzllS3oGbK0cW2AvgNXD2l1qcS2kpAQcbq51m77hH27T+KHtWTL8nCj9BsnVBYskBTTNdZS89g+uxmxbNacubQUluLyn0dGqIrDn0JHPGUhd2VdwvrGJdXERGfXI8U/lCv0CL0JHDgYYjzKT8L5hd2RPa4yFEAOxDAFCMFNZ26LgEigbxSo1bs58ZrXWSsJQ8rIfunnDFP0fUp2jVqnVV5edkcwWk4UYmnUB7ESVqKQdv0+LMc3NuCEeUYKOaxm07Dl4bFwp4ZOoPVtUSmQ6JURiu7VCVS5MpFBrVASesahC3yI3oMm8gMsYu92Lqsr3pcydk1B1XlzwljpjFy5Eiqa2x273mZloN7KYkcUmTarrCFumKPy1mfObPmcNHKVaKspuQFmI7cN3F9SAEpkvMnAbYDbQfY8OQT5Hp7qbWqKGULhJoExmyKjq3yQkUSuWLhHExVJtUVypEikldm4JdgdCKrGCDVuV0sWIkjSMBEWHGjIIy10D/V5MJQ7eUqJ0tuKhXUkOCIyHbLdPV2cf/9v8F3IzJ6mnIpIpCgga5R1EImT5nA2y9YqdZPQd0OAvziZOkoCJW0306l2LNrJ88+9gBWIkF73iSRqSEZFshn+3AydRS8MrotZbcShH2mqoZqpUJ8q4QblnGSKfyCpiSnZo1IGU0CqX7k6VTXVZPv7SEVeJjpBJ2GSckrMYIipm7QUdLI1NfiWEUKgwP4BVGnJDCTRiw9zosiQMPOJCiEZTxbxwoN6lyT06ecztILl+Op/TrOnzX6JJDp4laJusUXQS8JNXaxnwCgEiQScVCo7OGYGSj5uFqIlZIZkDeXsQXgybNSl/cOA7bX67wNf37YAsMWeHNZ4DUBto7Wo1IjjKRt0dpaZPXPn+cdV1/BrMXil+ekDINy+MUhV5ipkvQzJIUbCt6fdBFPNXrFy1MKrVimFSin6ZWvOAfqlSzAqRJ5+dPJv8de5FAqlzhf4jielNFXIoLqQ7EYKi6FUZHOqH/FPwmIU1WvhnKBVF+wWMspRRVO5jTJz/FDScChvGQc8jq1ytuJ9DIRAMmxlINb0YZWcsPiVChxGOM8PpFsnciTklwMPY7dC5ukgIRiNeITSYR9aJxD9omtGh8vHmecgxZf3ZAYLP6dMkml91mcp/VKm1eMdcIpj20+5MRXjiU/Vy5CHNi4ltjQ61Tx2anWOZlTeOrMy+flPxmrduI8lXecvHTlKA/Vr5S8shPrQdkwPr9Er0/+Pj6G2OPEuqkYQN4ez/LJE5xcW3GxjhPHGbqmSjqi+n0FtMT3Q3zuytKu2Du+T2R9KHAkFVGVHjQOEsSA5+QrBjNDYxg6d4UekzWqnzKfarLj1TF07leO+dX2j+fgleeT3w2979QxnDqP8Vo7ZQriMQ69KvdffN8N3VmVz6sAjSSIxfmFFb1onMSoxh5LFFWFyEowJyzmWPPk4+zddwDTqiGMDLXliDw1iDQsCczoFmeeuZi5c6fHhUPU3J4sAPLKNRifa+jurKQ5VewQCxrj6z75nhPJjJX1LbmV8nk5Rzx0WanxfXnSgid/c2INVeb3lfuN5O5VGO6KZDMQqWqiUhGJkH0H9/HM01vIDZYVWAj9EoZtqUqOUp3VFDl54KoCJsKC6WGgcidFEikOu7DGUeBhBIFidDTbUZ8XNiSVylBfN4qGxkYaGquorq4mlajCEhmgEbL+ibXs3L1LtbFQoFqYOBE7K/2vzuhRzVx6ySXYSlssuCa2rxJPRgae62I5Jq1HD7N27WMM9vZRm65icDCLbSXQk0nV5FyKvpx11lKWLJxXYebjGyoG1fFLSVVl/YjscWj9nLreRDmhps165b2qcqMru6Jcnx5xcP8+HnvsccqeT8pJURYZn7BrKgdXY/qMqaxcsVwViRna1iTIpdaGWr/xStm/t4XN6x6nWCxiJKqVBDFpxbL+waKPlUjiOBbV6WocI6H+7vsuNfVVuCKHVms9DmqF6v6VyzPjPa+yf0heoWCmsoo+xEEbkSr6mh2rVzRXhRrip4I6QHxYiQuqxRaHE0qBp/40oqqepoZGFp21+ESAKN6P4lGplFX13Dh5iyr7nQioDW3yp0RDKj5AbBX18Kro3F+5d1Sm8n/g2zDD9j9g5OFTDFtg2AL/DRZ4TYCttX1/JOWbHTtF2+Eyv77zJa5691uZs1j2YskcUF2cToEmr7zyk0Dpv2FEw4cctsCwBd7AFogdrqBU4LHHn2Tvvv2YjvDtGromRTFCVaNIQIlp6Jx55pnMnzMzdnL/r1rl1dGoV1xsHAQS11ocekuxtwZH246yY/sujh49ShBoSjIn5fCl4IXknzmOg2FqlMtFSqWS+qwmBZkkJ9dKKeCQSqVUvp98H/qS348ZM0blrsm/5UtsefIlwYKATU8+zvadu5XzHekGXig5XpJjLG65xujRo7nk4rcoBk/B3UoBIbk2uQa5XtPU6Whv58m1j9HV1UV1VUYBHDmmAMfA1xTrvejMs1hy5iJFkklBoBOA4XXOZxRKWwYB8ENAPOLg3r08tvZxyr5HwslQ9gM1PqmuG2mGAmwXnHOOktIOtcGI8z9PhjlEn7F//37WP7WOfD5POplQ32VuNKnIGzpkqquZPHkyU6dOJZORHN+ymjexdyASTbUGXh1MqQSYKqDtdw1/yMZDfxd7y9fQSwrEiKph6HeeJ3ninmpJkU7H8vg37msYsL1x53Z4ZMMWeGNbYBiwvbHnd3h0wxZ4g1ngzQnYTjBBUtyhUGLDhg207NmnQIBpJpTDreSkmqYcbwEAUkBE02IQkE4nqW+opaamhnSqRr0nk8koB13+LQAvrvT4/34JCBAnX8Ca5G9tfuoJBdhUWqFuqDw1AWyiFRRwI4DtrZdcjG1LGZt/D9iUDFqH48eOse6Jx2lvbyedSirQ4kslTl2q7+oKsM0/YxFnLV2mCCyp8/N6AdsQoAl8F0Ok56cAtr27dvHkU+teN2A7ePAg6558isHBQdXsXeZDQLDq95kLSKRSLFmyhMWL57/C4Ipo/p2RhSFFwH89OyU2URjxd5/8DbKPDAO2N8hEDg9j2AJvOgsMA7Y33ZQPD3jYAn/IFnjzATY/cDEVyxXi+R4HDx5h48aNdB3vUQBM0ySHLsQ0bAXchBETRkcYtlGjmpgwYYL6XltXrQCaVGIV8PC7nHMFzE55vZKheSXDJmya5P0Jw2boUnxFx/ODE4DNcSoN3oMIU8ozVl4xaIro7elh84b1HDhwANsyFXCUz7tS1RRLMVwzZs1m2dnLSaaktubrB2wxWJSqlm6FPaxQnL7HSy+9xDNbnn3dgK21tVUBtt7eXlIJhyAIlM0l10+X3DjPY/HixUqyK1hJrsm2dYpFD1slCb8+hu0/Al9D8yvzKmtFvsvvVC/GKFJBgDfuaxiwvXHndnhkwxZ4Y1tgGLC9sed3eHTDFniDWeCND9iUAx9FislSRV68ErZyokN6envYtOkZJYUURk0Ajjj5AgYSTopCoaDYnIaGBiZNnsjUqZNVoRABR0MZhlEUO+mngqchidyr5XP/fvFIdRWX9U8+zo5de1SvOgFspzJsrjQXrzBskqclrFhwCmA7ea6I7OAgW7c8w86dOwl8T+XKCUNXKMuYUxRdj7ETJnL28hXUN9T8lwA2AU8CVF4N2Mr5HM8++yy7du95XYBN7Hzs+DEF2Do7O0nYMaAWIFQolUmnGxnIZpk3bx7Lli07kef3n9+o/30M239+7jfKO4YB2xtlJofHMWyBN5sFhgHbm23Gh8c7bIE/aAu8OQCb5/sVpiWkVC6opt4CBHbu2skTT6xTDJFjJ1UuWKHgKsBmmQ6u6yoJ5OzZs5m/YK6SQsrL88qKcVPVWStFeP6zZSBsy5BUboixkeIabiHHhnVPsrtlH6Zlq96OwrAJI6aaVr+CYbNV3tmrAVssvwwpFYvs2v4yW7duJZcdpK6u7gRgSyWryRVL1NQ3KMA2ZtyY/5Ictjh/ziSUYhvqOkTXGdHf08369evpPHb8dQO2gcEBNq7fwKFDh06UoBFwnS9K0ZeMAmzTpk1jxYoVNDZKjeD45bpxT1L1ekXVHvnF/78cNgHdp87bqf+Wo5wqfRVbDDFt6gwV9vE/Wxt/uH8fBmx/uHM3fOXDFnhzW2AYsL2553949MMW+AOzwBsfsMmElF1PVRFUoKYC2IqlvJJCvvjidpV/Jj0kxeHWdSlUESjGTVgcKWYxa9Ysmsc0qbnN5XKKrUsmVWMEwlBaZ1SqN0r/tEoVRXHkhyRyv3tRhAz2dLFpwzr2HTiE7SQwbEflmonU8lTAdulbL8Fx/j1gO3ls+UzIgb0tPP300xw/1km99IfzA8Ww1VQ30J/NqaIyS5edzZRpM0g5qnPm6yogI7JRJfuTcomqObz0vwjoaG/jscceo1R2XzdgK7tlNm/cREtLC770QpG2KcmkYthSqQb6BwcZMWIES5cuZdKkcervnheh6yJT/F3Wf20M26vB26tZ1FOLlAwDNlkT8f1x/nnncvqMqQo3yzIJK8zsH9iGOXy5wxYYtsAbxALDgO0NMpHDwxi2wJvDAm8OwCaywjiX6SRg6x/o5dFHH+X48R4lhSwVXcWWVFfXq+qK0gy5trZW5UZNmjSJZCrORRoq8CHHyuayVGXq/t1SOdVpf3UBiiGmbajoyGBvN5s3rufAoSM4iaQCVKqaYii91iIFuJqbm1XRkUTC+XcM26mATf7d0XpEFVFpO9qqGDYBqwLY6uua6B0YVBVABbDNmDmbTMpSPQRfT8XPE4BtqE2DVBb1PFqPHOaRRx5BN8zXDdikjcHTmzaza9cuSoW4D6dU4ixKY/REHb39/WoOZa4WLVqoQJoANksG9ztfvx9gG5rHVzOlQxUh/1+neXWFyTfenjLMsL3x5nR4RMMWeHNY4DUBtlyxN+rp6cMyE/R1GfzsB8/xjndeysJlryzrHw31jHnVM+g/e9hKT5qqqqq4KtkpL3FOhv72H03Pqx86Jx/QcbRZotPyu1MT74cSrl9ZwvrNsQiGRzlsgT8cC/z3A7b/yGmVfUJkh1JZUfYSccJlX5LcMfndf1Rp8VQbD+VRye+E4PG8uOjE0Ev1gVMbZVzWX2R7R9uOKOlge/sx9TZpdi1MkWUlVZER6dvV2NjIpZdeyv/H3ntAV1U238P71txUklAUVHrvTXpREFFUmnRBul2s6CtY6VIUBESx0YuoYANBEQRR6SC9dwIkIb3c/q09z32SQwgktPf3/r+Vs1ZW2rmnPGVm9syembAwNhv3S4l4UiSlJ5zfc02USN6DcpJRvOzy/j7s37UTu3Zux7kLcQgOCZUqkcw1s1ocMNusSE1LR+nSpdHq3ntQKCIUfq/Kx8vqBxko7a8jXJ7MDPz999/Y9e9OuQ9plgnJSZLDRrolr12yVGnUb9AId5YoAk+mC8EOu9D+mK/HcechrQ0Cz6rngefoCKKOHmaPve4T6cPF2Fjs3LEdu3fvRqHIKCSnpSLIHgqfySxfBJHsUF+jZjU0a9ToqmX9vT43LGYLDh86hC1btiAlKTHr2YJDw+ByWchLlOdiQZimTZsgOjoCHvbvDtQbkaKNJtJMjdoyG7Dxs4wC6RL9xnXHNg56TPR64jgdOnRI3o+gmMCeepBjQuDI3EHqXP6udSDnnoexCAmvw/NzRuW4J3heTv2p9Sqf73+jAmXegM3GiLHLhWZNm6BGjeqSg8m96HKy6qqim/J9tP0gFVpZ9Mdqvez9ryRXpS9fcLB8xjjO/xcRTuM9jXLpRnWCdhTkVybmvJ+2/3J+nrKO61uvNaNNmB/7MK/3MjIOcq7Z/4v5yfm81DXUO/rQFG8tA7mmrnYY85W1jNd7PLf343jwS+kRdeRmL/+vOHvovNTyT9v+eh75P+474xxz/PT75Wet8j01fpDiVYbIu76fthM4ZjyH99D6hz/z0PL7WuTidQG23fu2+dkgtVjR4og/b8LczzehS9cHUbMB+2KmwA9W86J3VxkgLpcaEOZQcGEEWhPntW+kf5Ae+NyU0JUuoJWZXlhGjr7xMxTK+lwtbK9l8PJ8gYITCkagYARu8gjcesAm9MKAAZazOAd/z2nUUI5QidII1jlk+Xlp+qN4LZs1mwOnjXZGqRRFMbvd/a7dO7F69Wo4HKEi7N0uVTyDZf1pSDOH7fbbb8eD0rBaNSDPVqI+aCCRnxw2I8jRSl31CbPizzWrcezIISSnpsMRHCIRMN2HjRE2UgrvuusuoZQVji4EZ4ZTKS23Km1Pg18MX90HzePGzp07sX3bVpH5pFlmuJzSB42AjVE2GtF16zdAg/q1EXg1GWKtOLWhIeOSwxmX21xQaTKHzc7cQK8Hx44eFcDGcvxh4RFIy8yQ9gcsqEJAmp6RKX3gqlarjNYtW14VsKkiMXaci4nBX3/9hfMxZ+W9OQZsyM0qkV6/X9YKAXb9+vVQuXL5gCEkWC7rUKDbK/NI0MscRJ9XAYaca5Njx2uycqg2CqSVgNeLEydOCFiTnLpAHzbqYhoUujIk54xAm2tIgPMVDD9FwzVf5pzQwIP8xYNYAAAgAElEQVT/V+0msg3HnEZifvbHrTknb8BGcE67o+39bVCubKmAFXN5VDengcrfOf5c3/k9jIacdi7kZXDn99pXOo9zoeeK86zX0c0yuOPi4qQaLQ1jHlx/HBcelFdGwz+3Z9Syh/+7GtDPKaNudFxyft7o7DH+71bPT37eQzsJ9Fqj/Fe64OpgLee1jQ4VPVfaIaEBhfEzbFPCub1SYON/AdDmfEeODY/c9mXO59UOqfzMwZXOoRzWDh0jALza/tagmOdcTX5cF2D7a+NaAWyFIqJx/oxXGmf3H9BLImweJMJsCr4EsOV8sbwibNzcXBD8rjc9kbFqKnop0r/awGrkTOWhwRk9E0ZF97+4wG5ksRR8tmAE/v89ArcesHH8tBdNN6LWMom/6xLo2hFkjODnB7BppUDAJp+18pqMEHlhszHCASm8oQwWNjjmz34cOXoI69atg9OpDGY2ylaGvCobH+wIlabXrVu3VpGaGwRsurKhXk9URG5XJlb8+D2SEuLh9ZsESBGsEdSw6IjknkVGCRBhhCKyUFhWDlDOCJsANgkj+nH21Cls3bIZJ0+eDFzTK33d7MEhSHe6VNSubHnc06IZoiPCYLMqz6bOu+M48nca2kYj+Ep7QQwcM2C12ZAYF4sdO3bgyOFDQi0NCQ2T9wh2hF8SYfPBjCpVK+GeZs2uCthUzqEDzsxMAWx7d+8S3UVddjExSSiRLOvPZ+bfy5Uri0aNGiEyMkzWAYfE2A6NoI2HbtBtCkAIzo+OKOZ8T2008Pr8mZHZPXv2SF84RtIYpeDYcbz4zrwO8x5ZtZKOB31oEMJ7USdz/etCJXof0Eg0Goq6tUR+vNX/fVmVN2AjJZbv07JFc6EWO9PTAg3nVTSSB9+R48qDY3gtrRCy979PrqGjJTkjJ7dybMRhIa0kVNSE86zn+Gbe90pRsqvdg2Or97XxPCPFV5wfgWbzHH/ufTIe6Ky4mcf/XoRYRbd46P3PsTDOY15BB+1wzOl4yS26qiPn+pocYwI2/TvXL69D2fa/wk7T48JnNEYOtb7gOsrpTNLrX+uQ/Kwh3kccpTZb1v6hfDCOo3a25ZSPOlKvZWh+HBl8pusCbDEXTviTk1NhtQQhNsaPpYv24vG+7VGljgJsVlMo/KBBoTwkqjw1jRCvCKiwkNCrjsfVQFR+AFZWFbAcFa+MhlXOB+DAaq+FMdycn4krOKdgBApG4L81ArcesGkqz9VK3GulYFRS/FlTLvIzGtS7ukghqwMSsIUE8s6ymXDsvUYPoR+HD6viHOnpTuW88qjoiy46QsDG6Mi9996LkBC7ADZjvpZfYmGUxVf3whoVjtGjSiN/966d2Ll1M3weF6x2hxRoYP4aC48QYJFKyAgbWwkwQnFHiduyIhQZ6ekBCqfKrSNg40Fw4s7MlAgbI20Wqw0evw9pqU7JjwsJj0BKahrMVjsqVSiH5o0bIiRQQCU/UQFtdOlzqWSVjPfB6/Fg147t2L59u1SpJDWQrQoYYSPFM9PtETBK/Mz7V6teJU9KpI6w8d0OHjiAP9f9IRFYUhBT00nXiUJKADBRPwYHO1C7dm3UqVNL1oPHQ3pdbs2xlaGWkZ5t5Ot1xnfj/HBd8Muo686cOYNNmzaB32lc6CixjoLRCONz8BkI2IzXzMv404a/vq6RnpXbPsrPfOVn71z/OXkDNuktCKBF82aoWrUq7IEA+JUczTpapSlPeY2Z2EKBKL42KHNGTK7//a7/kxoQ5ef5r3YXriceNFI1JUyfnx/7Lee1tTGt5bGO4Ob2DMb1d70jQZCiI+LXe41b+bmrOQWvZuPmnAMjMNYUPoJf4xzlBn6uFoW6GRGqmzF2V1rLen3krI5LvZ2TFXCl5zDKMKOuzG1t6/HT++FGnVjXBdguJp3zp6SkITQkAknxNsz7YjMefuQ+1Lgb8FsS4PfZYYJVGqka6R16APKKsPE8oxeBv+sXvZYXNg6szsXQ1EcueqNn4mZs9Jux0AquUTACBSNwtRG49YDNCLqMUQTKDAIYRiByUk94ntFbntccKnnkE4+9OSAQmbdE8MK+aqSP0wD0+ZgbRItRRdjWrFkjgI0eTb9P0TPZOFuiGmabVFm8//77JSdKAzZeR8lhnRN8dcBmlIVGBXz48GH8tWE9MlKSYIZPAJvH65MIGCNhNmuwADZSCunpbtK4EUoUL5YF2C6vsscm3Cp6yOPUsaOS8xUXfxFBIcFITckUMBgeGQUWYSEFMzQ4CM0aNUCliuUFdGmqlTZ8c9IEjR7+y6lfPgFUO7dtRUxMDKwWs0SfdJVI5tDx3QjYCEyZw1a5SkW0atHiqhE25gryvlaLFWmpqfhjze9SLVLyAG3MaQhFciD/kc+dkpIsAJdRtjJlVMVImS2/iqCJ8SjtGNiTzwWL6dKIVs61Zpw/Nu5mM/D9+/eLN5igkWtYe8S51rmG2DevTp06qFSpUpbuzalr+XmON9cax16nKxgjH0LxDUShtQdf75WrRQTz2i837/95AzZV8MeO+1q3QqWK5bLWr8ftljHkOzLKkBv9LD8GM9+Fc8Ax5DUI5nlIUZpAjs3Ne9/Lr2TM8+J8cl5y5jzezPvfSPTuSs4zY6SHP3PNXQsV9VreT4Nr/ZlriaZey33yey7nS0ex9RqUHObAGsov4Dbax8Y8Lh28MAIYY54l78N1w72go+uaPnkt9nl+3/dazzMCJ+4nLa+M+5W6Wq97/cz5dSZxveUWUTTeNyfLwOiQ4X7X7JyceYE6P/5K73xdgO34qYN+9tXRlMgvZ2xA124d0KAFFVsq3F4zbBYmgisvYVqaGjR7kFVeND85bImJiZdQM3id3P52xRczJALm9EjkFqbXgkvTPq51kRScXzACBSPw3xiBWw/YjG9hpJYZ/66VJpWbjsgzd4MFHfKihuR0DiUlpsk1WCHQ6SSIU/lnbrcXTmeaFBAhqImNOy9l58+fVzkiLOPP+zOHTSjfHr9c55577kGZMmVgVYGsQB6bZEPlK8LGz+T0FpKqyOjXsaOHERpkkwibxRYkkae0TBUJUwAnExmZTslha93qXhQtEnUZJdL4TOoBFZBk4+pdu3Zh7R/rEBEVKRRLRrgkemexwuXxwcRS/B4WhGgsveZyFsTgdbThxne4UpSU43Xo4H6hCcadPyfOO+YS8jOkozIXjzlsBIxSeMQPyWFjM/L7W7W6KmAjsHJ7FNWVx95d/0pDbhrpQcEh8PmCkBmg+1NhJyUlynlVqlQRWuIdd9yWtdQynSofgjlxqnCMTwCb8d0k78+Q3K4NE74jq1RyTC9cuCDrkvqXupjrh/+nTmVUkdG1GjVqyN+NB9eqpgNfzSA2Po8+P7d9cD0RlpsrVfIGbJxrjhNzMEuWLAmPkxHN4CzHin4e7j2Ovc4FzO9zcnyMdC0jSMuNlpbf6+b3POM9aKQaI1Y38/58L70fdd5kXgapfgcN8vh7busoJ32UgEVHOG8WcNNATTm8cot453fEb915GtBe6/MZHQtX2pM5o0fihLrGHLlb9+ZXvjLfzegkMOoIHbjRqVaidwL5f/rnnDIwr3egA4TjYrwmP5PXXuK+05G+/BYsui7Adi72pN9isSHIHoLD+xOxeM4ODBrcHuWqATGxh1C8WGm4PT64XcyvIO87YDkE3jw/ETY9SElJSfLjtXCTOSkUFlREPOhlpCFFIXn27FkULlxYlDoHixudP2sPU16DnNfkFfy/YAQKRuBWjsB/B7BRhlBeaAWl83woK5SRnZQlk4w/5zdSf/78eYSHF0JIiEPkpC7n7nKx8mEmwiNUwr7P54HTlSH9zM6ePS3UttOnY1Sullv1UAsKChUD3pmp+osRrNEAL16iqGEirq1KpHZq8X1IpSOwOX36tBQOIWBzZiiKIis6soojo1AEbE6PGxcTElGzZk080PZ+2G1mpCaryrzMGdOHMhLUb15nJiySS+NHbEwMVv36m0TqfF4zzDa7wEzSJJkzl5GWAovfi+ioQpKvR5Bz5513XrbgcqPEcKz4PjT2jhw5goMH9oluYBVAKb7hU7R4vhMpmawSycbdBGy8PyNs5SuUxb3Nm+cJ2AiPJfXQZEJacpJQLhnlcrH9gd8Bs9VqKAijqo5R4ZPSWrt2TdFRum+eYdQkrcBqtoHOAUYDuR515WOep39OSEiQQiMsokKwphkl2vilgafXNCtVsr0AwQkPrvvcwC7HTlfl5PU5ntSrHDsBuoHoWs4oE8ebn9URpVspHfK+dt6AjQV/uI8I2CpVqihtKWRcAKlSzXfhe+vDuOevxX7gufzi+GnwXKyY6p14qw/OI59bG6c6+qmprTdyf64rYQ4ENrjed/k1SpXcU+vJCJb0+tMAmWCZ65DRYR43M3dSF4gwFtfh9XWU+kbG50Y/y2fj/ufBXo48ODa6zkN+ACvtXj331EXMOeZYx8bGyriTqcF1qUGFMQJr1Hc66k5ZxONmVOm80fERnZKjZyLlPN9P4wjKSe24yqsITs7n4efo6NJjT/lG2a3z0iQPOlDFMyfVkmNNXcg50rZFbmvtSmNwXYDtxOkjfkcQS9LacXDvRSxfegh9Hm+HuLSt+PyrCTh44AQSE9KEItOgQQM8+uijaNasCRwOO8jvD7KpMsxXfKjAYJ87dw5fffWVnNa/f39RZvkViLqqJBcXvdKcIP7MPjvx8fEC5jiY/CIVZcCAAahXr95lnuWbsXgKrlEwAgUjcLNGgDQ6D9wZmVi95nccPnREojs+vwkmsxUev4oo6fLkjRs0RM2aVeXmWUUvcnmUnE6k7Kq0Ppw+dQpz587Fr7/+ioSLSXB7fbjttqIY8sIzIo/+WLMRDzzwAB5s1wY+vwtmEymHZs30A0wqVysrd8wPjBs3GhnpTjz++OMoV768KhDiAw4ePIKRI0fi4UfaoX379ggOoaxUpf3ZjJnVDFev/g1BNhp5qtBGcHAoYLLA6VTJ+jR2mjVrJtEaq9ApefikzD9z2HTRiivNiPa48vuBAwekuqBW5FaLCQ6rBWnJybDYbVLWnyDNw9L9BDpSyEDJd8rW339fi6NHj+LeFvega9euaNasocyDhzlwAW9tRjopJiFSxt7rcuHY0ePYuGUzLsTGIyQsXIAao40pqalSebFe7Vr4+6+/BIzUr18fXbp0QblyZUQJ5vRyahooDWIaKXymAwcOCZi5GB8rijUsWFXZ9LgDuSsWq0QKmYMdl5AoYJSFSELCIlC9amU0b9ZUABuBHg9dFMQcoHbq8Xa7WMrZBLPFIvP2z4a/cD4uHharAyGh4aKT+Fw0jgjMExOT5brly5cXamIF0vGECqkO6k4+/4eTJgs1lu/D96UxxbHt16+fjAEjeQSHe/fuFcMiZ/W4oCAVZeMXDS3madWoUU2uoymwXFcqOV/df9u2bfj6669lD7DgGOeOoJy6vXnz5peMu9FjT4OadFNNu6Rh+H97KPlx9uQJrF23HgkXE2FzBMPlZhVru6p2ajbLu7do0QI1q1WWxz156iS++Xoxli9fLvv/kYc7yLuXKVNKrYEc+fLZ73hpayL+neNOhtKOHf/K+itfoSSWLf0B27ftQY8ePVCvfrVseSGgX1/j5kR5uG7osOCcVKxYUQx3TYnLj7F/9fkjXU8BXhrJ3377LRYvXixr/eGHH5Yxo5PFeChC9OVHNoVavX9qYgISU1Kxb/9B3NemDVat+g0//PADOnXqhPta33sF2/Dy8dfMr2tZhwQidFxRDnK9/98dPhzcuwczZswQOfvGm8MRGVUYM2Z8iphz59ChQyfUrVsz6/GUiNKtYfgzpRQLtrjhCLKpgkQ7d4sMKlIoBBs3bcLK1etEprZs2ihAw6ZstwhfjrRgMgeY+0u7evbs2UhMTkLHjh3RuXNnFM6xv68lOHOzxpTrmoW6qIcvXozFjz/+KFT7xo0bo9djfWSvf/LJTOze/S/aP/IIHn64nejqzMw01ZrksihitmTn+4wc8a7IWb5zxUpVZD/T9jCbTdj+779ITUoW2RgZGWGQCz6cOH4ca9euxZy58wVrtG3bVhxlOrAkM3VFOaJG57oA27FjR/xEiRTaifFmzPp0PTp2eggZ2Iy+Azrg1Il4NGtyH3bu3C03adjwboyfMBYVK5UWQcjcCy4cY6hSo0yjR5vKiAKSL9GqVausnAVjrxgjnSBneFh7jZ599llRgBSOCxYswPmYc7L5SDdpcHcD1KpVC71790bzFi1kQbJyGBPkdQLmZRMYWIUZGcwlYU8acnrdEknkRsgZUbxZC7HgOgUjUDACSvmwJxJL3DOvymZnlTC/eLgIHLRXlLKkcaNGqFFdG0BsO5KdyWUcS20KaQXDSBLlh91uQ9LFi+jVqxdWrlotxnpcfBrswVa8+PJAhIVF4PFeL+Krr2ajS7e2yHQlwWEPUdRGW7BU/TNbSQ3y4fz5dNxGj6jJhzW/rZIS6zRgIqIKKzTpM+Ho8WNo1qwFBgwciDfffBO2IJvAAKdT9blKSUrAD0uXwOtWHnLKPBrQfukPxcJOyiCMLlJUDP/yFSuiSOFsI5mUOqtJkdKVYlO9vHhoGomOqnFsKSfpQczi9/v8CGLV3cwM2OysGmhFpssJt0/1tfT6fEhKSYXJYsWHH0yVCpalSpbFju27UbFiFfz44zJEFrIhspCKIMbGxaJokaJwB8p+2wJV6zZv2SxKNsgeDJdHAVM62w4ePIx+fQYKsKDRQrlOZ9tdJe+Q+SJwo25i3p/QVUMdAhgIGvk73ycpMQVRUYVx4XyMAI3oQhGKaWEPVAD1QwAbc+jmLVyEYsVL4LHefZCW4UTZ0iXR7v77YDLT7DFd1lssOw+C/fpYBVP1yuO9d+/aha3bdsi80agVGmbgf5mZ6bJW+Nw68lGuXDnwi/lt2sNNZyNBPoFT06ZNxSjm/BD4ffTRRwLST506JfRV5lrqNcJz6BGOjY2XXEcCJxqfjFLSkLYHmQUw0shQhzZ0laOAtMpu3brJ2ipR/E7Rc7wPr8N5YVSXh/bc63Ego2XQoEFSbXHChAky3joipT3Tum+SdjbwO4GejmIZUxryU4X16jKS7+XF6dMnsHbNOiQkJMIuAJbUYjvcgX5JvA+L99SqWV16GY4ZOwqzZ8+SXEqYHTh18jRee/11jB49QuYtMy0N4eGhyqC12SA9BrmnPG6YtAHIE0lB9Ptw7nw8nnryBVSuXAETJ72D98dPwGeffIs5c2ahSbPK8PhcsJoKidMAlkzQUeJymWC12OmbkTkJYoVWA/U2MSkRkYVUhc+4+DiVa2u5PF91w59/4j//+Y+A/BdeeEHO5zri3Fzu8MivxsleL346z0wmfPbZZ3jhhZdk7ukkIOjv2bMnPvv0E1hsVlnTlFfJaemICA/BxcRUREWyR65PIvOMUJsJVv0+eDNSceFcDN56bxTMQaH44KPpAtYGDx6ML774At27dFIPKjmxFKcqQufKSEdwWJj8zcOcK+khyBPo4Mru4ci1qIuk6PWpgwNabjz//PMShf7ggw9kjo1rURfwUE6Oayutn98RDiwo7Nu+GT26d8WBw2fw488/oM2Dj+DdEaMxd/4iTJs+Ay1bNZNCOZTxF+PjULRwJOClA8oJqyMMXigqu83kw8ZN2/DaO2PQvFkTvPfqM5g0+UOMmzoLy5YtQ4v6VaTlictCxgE9DV4EsYWkz4vU5BS0bnOfrP32HTtiybff4ZVXX0Wfvn1EX2U5R31KzrHCbTZ4uzHHgwb4l4PBQPVMFuKymOB3s4pjhlQepowrUaIE1q7/Gzv3HEC37o+hXt3aGDt6BIpERSI0zAGfS9HPYbUgMS4OkUWoq4HE5BSER0TJe6WlJOPZQQNw+sQJrPr9d2GAMDUgKTUDfosFTz3zNEKDQzB69GgUi4pQ6QB+6gHgm/nz8cprr6HNAw8LK4XRtoULF6JIkeisQlMaU1xpTVCquPzAgvmn8OKgaejfrztqN86EH8dgs1jh9aTCZlEtNOALB/w2mOLi4vzckGlpKYi/4MW3C3aib79OSPf/i6492uDpJ4fi2adfgc1qwrBhIzFh4lh8+90itG/fDit+WY4/1v4pD0hBTqOCC5/KmQ9PZMqDHhkaSVQGDGMS8dOjyippGzZsEKXMqBsV9qpVq/D777+jcuXKMggMcRLgEYhRUXNTDx8+XP5GT0l8bBz69u0rSmbUqFGixDdu3CieRnpuMjMyMG3aNLkeFSAXr05up8Ls3rMX6tWrgwsX4rBkyRJ5LuZs0NNTsuTl9Jxr2pAFJxeMQMEIXGUEAvlOLkZvfhdPMY16KlUCF00zUk4dGxo2bIhaNWvA61UFPQjYjMEvpdzVkQXafH7VZDpQDSTm1Cm8+KIybMaMHY9yFSrLyS5vHMaMfh+zv1iBhQu+RrWad2DXnk3i0bOYwlC+TH30698ZmZ54fPHlTPg9hRB3PhHBDh/uadlMjOBBTz+FhNh4ieBRiO/avRsbN27FkBdewDPPPYOffv4Fv69eA7sjCHXr1kXdOjVxeM92XIw/L4Z6kMMhhqaUV/YBdkZJMlme14Sg4FAxqIsWvQ1FihUVgz2cjb4N76wHmteibKTBTUOclBvKUk2zoXEl+S6M6rm84p0lGPH4mY9D0EjDknaQGSEhYfjm26VY+t3PeH/CZDz91BBMmzYTe/YcwMMPtUW3rm0RG3sG33zzDciioJJ86qmnUPz24vht9W8S0WPEkoU6pk+fLjKeRtCXX36J5KQ09OrZV4yuP//8E7fffpt4O/lVvUZVkct85k2b/sHxE0clgkQZXqtWTTFKf/llJeJiSY8h5a2FABZSFglwNm38R+R4g4aNEFk4Gnt2H8DsefOl6En7Dh1RpVoNNG3cEA3r1YGZTa1NVwNs2n5U5/HgeBKks8Q+1ykPvpcGyrr0P/+nc6NoQNPRSHaJ7vNHXUY9RABEI+S7777De++9J/qSIIP6iI5OGpWk2FGPcQx5TQLejf9sRlpauuQ6Pvfcs/J8BIAnTx1HQkI8HnnkEbRqdY9E9CQxP8iBHTu3iw5u1+4hTJzwgey1qVOnip7kHHGfcd1T3xJsMTpMWu7HH3+M8ePHi6596623xKtMAM1n57uzBQWBAw/+TTtxOYc09Lt37y7/4+/5LX19dfEZAGxnTuKPP/6UZyX1VaiwVtU2iAfXe9OmjVGxYnnZE/e3bS3PvXLVr4guUgKjRo8TwPvqq6+gRrXK2LR5G5Z9+w3SM1Jxd516eLxfHwEaUydPxh0lSuDBBx+QxuV/b/wHjZo0wfIVv+Gdt8ahYqWyeO2NwdixYxeWfbNB5jDTc1wiX+3u7yv05782/oxu3TsjLKQoPp4+E1WrV0H7Dg/LnDGSyjGijULDlHucxmn5cuURcy4G8+bNEzoz18FDDz0kNs7E8RME3JNZ9PLLL8v52mmTL0pbrhZzdhQnITFBxu/N4W9LdG3atE8kWjlu7HicO38W7779FsqWL4f1f/6F1WvXICkxFQ0bN0LnRzsgNi4Zv/+2CnGxF/DkoIE4H3MKc778HA+2aYVzMWfQq88ARBS7E2+PGCXrYdKkiRIl4T5PT0nGoMEDkJKQhHXr16Jr504ofuedGD9mDG67rRj6DhyI3Tv/xZ9//4MOHTvL2M2ZM0fWWZ8+fWQv0e7kWNLOpN1Jm4426bvvvotJkyZJFdVhw4ahTZs2WW2mCPB0ZDK/lPjrVvF+D47s3Iy+j/fGoWMnULlqbSz89nv8uHwVJk/9FDM//wINGlbD1q37sGTxXISH2FC8WDT6P94DjiArlv7wE3YfPC95xiFWH1LSnBg//UtUqFge4994XmTujMUr5P2K2DIFzHTs8yRuLx4NktYJRb0ZGbgYdwGDnnhK9FLV6rWxdv069O8/ED17Pwap0RTQMXQQUjVQlRJEK5bHpSlS1zoWeQE27jtWHZZiI0LV9OOtN97ATz/9hAFPPIULFzPwxZdzJFI2oF937N65G19+/ok4RcqWKiV7644yZZCemoZlP/yAfzZvhc0RhHvubY0H7muDfj274cTho7jvwQcQn5SMFvfch3oNG2HLzh0YMHCwYIXx749Fv8d6o1CoQ5yraUmJWLPqV7z1ztt49qWh+OHn5XLe5MmTUa2aijiz1kdoqHJkXum4LsB2+vRpv0pediL2nBvfzN8hZf0vZmzBQ+2bomrlBmjSqBUKR98uQuXwkf1Y9v0SXEy4gJdeehE1qtfGkSPHJAxLbwWVAj09NBooRD7//HMJm1NB05vIkCGVEgU6Q7BsDMsNRYXw9ttvY/369XjttdfE48gNR4VIQDZu3DgJ2/IeFFBUGpxE0on4Mxfll199hfPnzsn9KYC5gUmdZHiXIU8mYvMZ+J3hS97r7oaNMGbMGAGYBGzc8FRUFIaffvqpUD8LjoIRKBiBWzECynPKvC4jYFNUAgXYdNRIA7aaNeglDxjQVBwWxVbMCdT009Ir5qdXTFCIDzGnTuOJJ57Agf370LtPP5w7n4S6d9fGoEHd8N7IEZj1+XIsXvw1XJ44vDH8ZTHAS9xeBqdOJOHll19C24fqoE6d2vL7g/c/hEc7t8Ovq1Zg3fo/8ccff2DWrDn4aPo0MYidLhfmzFmAd959V4yFDz+aIlERGlLMrXn3nTdRrVwp/LtzG44cOxro7xWKNOml5RUFyuIjjEpJxCYoSAAUaU8RkYUQERYOv9ct0SGdz0TFwetT7lEGEwzo4ktCEbFYFFhj7yaPF6XuLIXC0ZGIT4jDmbMnFW3OQpZBJqx29qQx4dDh45g9ax5KlamEbl0fQ8m7yqBylRoofnsRFCnsQPfuHSWvi4YcvzN68+STT4oxRJ1BRx0jLKQ8Uq6yoTPZEZGFolGndkPcdVdJzJs3V84hINt/YK/okQED+kmhjZ07t4vRmJySKPlg7dq1Q3x8HFauXCXXOHv2HIIddnTo0AFHD1m6MG8AACAASURBVB0UkNioYQMBVMkpqWjV5j4cPHAUK39bjTtKlkLTZs1RrUYt1KlVA61bNr8qYOMazM3LzjGk8b9y5UqhLerKbhqkaFoa54rzwPfRuTw0SPl3RgWoY+iooI7iZ/gzASf1FAEnHZh8D44N55Kg/bHHHpN3XLFiJUqXKovDh4/AYjHLs/Berw59WXIB9+zZJXp50aIFEtlLSU1CeFg4jh47invuaYmKFSuh1b33SfSQ9yGw57wQbNIBSwBMYMr3p95lH7o33nhDHLNjx44Vo3jIkCFyPp9VP/fAgQPFAUugyX1Ayirfge9K8J7fCm55SxwajR6cPHk8C7CxQTv3gM2meihxXgiOa9WqgapVKwsYeOnlIZg/fz5a39cGNWs3QOUq1XF3/XoofntRrFzxKz78cJKMY5Gi0bh4IQ5PP/Ok2Ay9evXAPc1bYOLEifjpxx/wwksvYuToMUhMShPAVqFiGYweNxT79h3A669MRPv2jyAkgjbMFnTp+DRKlSqDz76cgOeefwoOexS6dOmBrt264I1hr8s1dTuGpUuXCihnP0GCZ0bQCKhXrFghjh7aRdxHBCaffDxDxpXVZDk33D/c/5xvnYd41XHMA7Dpz44YMQqffPIJmjRpIfeKCI+Uoj0NGtSXPf6fN4ajXMUKsJjt+GfTRjz97PNCCe3ftw+8Hje+W/I1Du7fjXubN8P4MSNQuVIFDBj8FKJLlMXQN4YjLTUFTz35JJo2boJKlSqIrde7Ty+0bNpcxp82XZs2rVGnZi0Zmx9/+B4jR43GwSNH0faBdsLQIJClw54ygo4HAkzainRmkE7Mdfz666/L3qGNyTXL3wl+uR85XrQpdQT8vwHYDm77Bw8+cD8iooohLiEZYyZOxvm4RLw/cTK+Xfa9gPY33ngd586eRJ2aVfD7ryvwxMC+eO6Zweg7cDAWf/MrOnfrjuoVSyPD6cWESR+jRsO7Mfa1Z2TfPfufMXi4UydE+JOx8a8N6DrgOQx7+3VY3H7AnYEQRhCtZrz75tv4/MsvkJruQt8B/TF8+FsoXDRKYvNXAmwC4Ew3Zh/nCdh8Xvg8HpgZ6ebh8+J8TAxeeuklrP5jPWITMjFm7AQMffVpHDtyEp9/OgOHD+5FsaKF8csvK9Cv3+N4e8QIfDjpA8xfuBDlKlbGkePHULtOPQx7bSjeHDoUf61fj/vatkWa04Xdew/inZGjYA8ORucuj8q64Ge7du4Mmwlw2GlH+HH6yBEMGfIClv+2BneWKi3ykM4SjRfi4xNQuHB2bmxue/C6ANvBgwf9XOi0Z86eSse8L/5Bn8c7IdW7DR0fvQenTqTAYQ9DptOL6lWrY8zYEWj7QCvxEv311wYMef4lEVDff/+9hLPpuWLeBsESFTQVN3MnyH/m5qCHkVEybkBGyUaMGCFcUHrs+HduKnqKZs6cKYqf51DB07vHsDw9xgRvUqHSbMapEydF2dFzwk3qCA7GnNmzRQDyGWgI0nNIoUbPCYUINyuf68MPP8TsufPkZwpJblgKQf5M+gc/d889LfLWGwVnFIxAwQhcxwioZtFsTqwBm92meseYTIoGp3o/ZkfYcqNEXgmwSRtnP6MipG6reyUnXBTa3Y8/LkdUFIFKOu67vxUWfT0T33yzFCPfmY7Ro8fh1Jk9+OKrj/HzTysQEV4Yzz87HOfOncG0T0Zg6NCX4XGFYO3vvwsl69WXhmDb9h0il1557XWpeMho/2+r1+DVV1/Fq0Nfx3PPPSdGRURUNH7++WdM+uBDDH99KIYPexW7tm0RI4eGliNE0dN9bGAtnkwLPCwhCbP8nZE3ydEiPQUmRLDqJM8NNMs1AgP9swYIGszx7zRioyOjUL9OfURFRmD33l3YsnUjLHYL7HarGIWkOpHyztyzLZu348TxM9i+cy9MsKNJ05aY+tEHWL9uBV588Wm88847eGLwE5jy0RR5dzrlKNfpBKOzjsUwyPWnoUnKOg3QM6dj0L/fkwgPj8DIkSPE2OzX/3HxnpJ5MWTIc3Kd2NjzAgZpaB09dliiECVL3iWROUYgN23agvXr1mHo0Fdw9tRJLFy0BN27dhIDLjEpGW3bPYi9ew5i1tx5qFilKh54sB0iIqNRrkwptGza+KqAjWOlwbAGupwHY6SNdFPqOIJkGnu68ISm+PNz2mvPv+lCIAR6jEzSMGcEQH+eDkiOEcEGx4nOS+o4OgQIyghMaYydOnUGHdp3Qvv2HXD27Bkx7oMcNgG5BHjTpn0k0d5ly74ToMTr0TlC3cYoUVJSMtLTMrOi13SMMppGkMf9SGDGaASdmaSsVahQQfQjDWDqbYI4/p9gj3RP6nACToK4RYsWyTNyLrkOqHP5GYJNPXbGYgnXITwClTZJ5zxxCWBThVJUITLKD449UzmYq0rAGxd/XuyLL7+ahbQML6Kii6JP78fkuV9/9RWZEz53/Xp1hObMaALXNP9f8o4S8tnvvv0Gz78wBHPmzUfZcpXQo3tf3H13Pbw/cTi++3YZhv9nEkaMeBdtHqyHzp07ok7N1njqyWcwetzrUojGYg7BqFFj0KRpUwEknGfmUxGoEFzQqcRnYISVuf8E0hxT0hDJNuJ+4jxs/PsfkWf84vjzuCZAnAdgY2Eci5kFLOLFxpsyZbrsw8aNmqL1ffcKmJR1Nm+BrIdqNWvhvREjZT9QHpIKHlkoAh9MGC+go3ePbnjvnbfQuWMHPPBwB0QWuxNfzJ6Lvzb8KWt+1Hvvio1G0J+ZkSbvPmhgf3Ee0BYc+vJLAsgmjH8fk6d8hEZNm2H/gUOyPqdMmSL7g/NHEPn3339LEIDzxvXJwAGjwHQqMTpMpwL/T/loTMfRBU84ltdasfGa1rHfg1MHd6Ft61Z48OFOKBRdFH9u2oZSZSti9do/sWjJN1i3bh0+/Xg6Jk4Yi5YtGuG9t4fh5x+X4qfvv8G7I8dhy64j+PKrObi7VhXs3X8YPQYPQbeuj+I/T/TCrNmz8dq4jyUwUqdsUQzs1xdFylTDrLmfg5nJjLD5nU5s3vg3hr35NjZu3gSn24/3J05Au3YPC5W8arWqUmBKdCldo5SHZuZOswIv14ZqPn+9R56AzUvasuLLkAZLYF+ocGH8uHQpHuvdF9XrNMTiJUtxZ/EoxF9MRkZqMpKS47Fj6xa8OXyY7Ck6Yvv2749CUVFYMH8R9h88gPOx8Shd8k58MmUKtm7ajKnTZyDd7USnR7tj9Phx6NajF7r37Clr7bNPP0WI3YrM9DSEBYfC73LinbeGY+HXixETl4A6deuLfOBaoROrbNnSYG/riAhF373ScV2AjRE2VRY4UwDbotlbMHBQN7gse9Ct5/1o2fwh1KzeAPPmLpb7Llw0F3eVvB2NGtdHWloqKleqJhXSKBy5AQh2mETNjcOHp4eNCoJKm4CMG4/ChbSZF198UTYT6S1USlQGpHyQXzxr1ixRQEy+poBnjsMrr7wiCp+fpcHBv587GyPeSApielOKFC0qhQV4XyYmUvjx2Xg9Kpann35alEy//v2xcMECvP3ueyIoaEzRO8MJpieTtBUKjUaNGlzvWiz4XMEIFIzAVUdAUSI9XpcYiKQZEbCp8rgKsGmDmRE27mdG2PSRWw5bzvw15W1XlD8e58+cFjlCx9LgwU+i+B1lEBEZioqV78CC+V/j85lf45mnh+DnFV8jPSNBImZFChfHi0OG488Na/HuiJcxddqHKBReAjOmz0RkhAPPPvu0GKVkDYwaO05k1PSPP5GIBWltlHe9+/QVBxBzPEhrYu7J3Nmz0Puxrki6GC9GNg1/5ozxec0WRrdUDp8UNmAOiNkMr1812Ob4CHBgfg1L1wfGiu+oI2o6P1iqTlLZpaXJNel9p5wtXbIUikQVgdluwfYtm7B+/R+w2K0IC3dILhufg8VUjh8/CYs1CP37DZY2L98v+xlvDnsTw94chgrlS2DK5Ili+JDFQNYCwQVlMSMuBF6U/ZSnNLgo/wnuhg4dij179uG990bi0MEjcg493Y2bNBSDa+/e3UKvY1SH+TKktIkhZTUJqKBO4Xo5F3NB6CfxcRfA/OZ2be8Xw3L1b78KeChfoSLad+ooVSonTZ6CytWqo/+AgUhKSUOFcmXwyINtr4kSqZ0IRkOOOoaUWDIzdElyHWnTtF79u6ZHcm54Lh2RmgXCCnmkMTEiySgCdRqNTupGGuocC0YNyFzhWklISMKvq1ZLpECaqwP4ZeUqoTMy6sRnom6n4dyu3QMqugqvjCcBAZ2cLVvcK3PAtcT70rBl9VICBNLyyFRhRVECP0aZCKr1/FKX8vn4RQcqARmdEaR0cq1TPxNkcG8wYsf/00a4eXlBl1Migx3hl1Ai+c6UAXz/u+66Q2wNOiZopNesVRvbd+7DyJGjpagLHcLfLF4k47x3zy6JsmlA+sGkCQKI6tSsgRkzZ2LhvHniVZ889SNEF75NANuTTw7C8y8MwPvvv4+l36zBhInv455WddGseRNUrtBIaHj/GfY8tm3bjMhCt0nu5Y6dO1G3Xm0ZZzqOCTr4LKRTaloknT5cI/wfGUdcNwQctIm2b90m+44sIcoZXWiG70ynC8H3VY98RNjOXziPXf/uESdA2bIV5fk+/+xLLFg4T8A8KcsEbFw/VatXxeQp02Rdcw2QQkvHyaL5c7Bl0z/o3bMHXnxhCJ4YNAANGzdF5Zr1MXvubCz5ZqlETRiJo83VrWtXmSsytBhZ/GzmJ2I8FyscLU57/kyQ1bVHTyxfsVLmjPJFV7TkWOj1RwYX5QUBLinIPIc/P/PMMwI4eZBOS6cJ9zX3KD9740Vb8lD/fg/2bfsHfXv3Rrcej6Fhk+bo3K0XgkIiYAkKljHl3po95ytM/ehD3NuyKZZ+txgvD3kWs76YiQWLv8GFJDc+/HAKypYsjn937UOH3oPRv18fvP3iIEwYOxYfzF4mwZIm1UriwfvbAOG3Yd78hQi1+WHxumGzmAVE7z94GOPGv4+16/7C4m+WICkpBc8OeR5DX3tN5SAGXoXVd4mfWLrjvxJh8/vgyshQdG5pU6IWLFMbHmz3COo3bolpH3/MICG8Xp84Bnbv2QFKOjq4WrZsKXb868PeEKrulMlTERsfh+jC7CnqQ/dOHZGRmobvlv2AnXt345EOj+Ll14eiV+/HRc4xz3H+3NniTI0OD5c8tg1r12DIc8+gS7ceqFanDt4fP1FkJNl5zHdr3Lhhvuy+6wJs586dkxw2JkonJ5glh61Hz0cQm/on2ndqgXfemoAXnn8Fn382X5Ry2wda4/3xozBy1DtCY9m75wAyM12yialwuUlpuFD4kZbBaBkFDCNeVNR8KYIpAjWCIyoTAikKJQpERuDojWMVK9Ik6RkkOGM0jMKTg8/NxoPX5QAykkee+LLvv5eKN3wfRvMoQLj5CAR5bRoCpA1Q+VFx8P9Tp38s5/J+FND0nlGYk8KR34HP1+wUnFQwAgUjkGMEFGBjhE0XHSFg04BEV7fTETYCttq1ago9kIekE5kvLTySE7DxPJVQrpLHjx48hMGDBwrVhB5M4VQyTuZLx/vvT8CUDz/DnDnz8PuaFVi0eC6WLl2GkneVRc8e/SQH5sWXn8Cjj3ZC/XpNBWT4fR6MHTVSIklTpk3F+PETxSBl9SjKNYIIsgmstiCRizSOyaGnofDi88/hjddfgdVmht/txb97dguYo/HAgiuqUIoqs85kAv4sxVhkAMywW6xwZqarRHApVKI+Yyzjrmk+/B/lKD3zjOAQHEgp6IDBtm/3bqz/6w9kZKTDEWyHj9U5rSYBbMuX/4Lde/ajR/feaNWqDZJTM/HCkJfxxKD+qFDhLowbN0qMTTrXKP/p7dbMCQIMeslp/NBhR6OKhivP3bZth+RKJCYkC92qVet7hCJPA2P79q1yDp1/HI/HHusp70kjNiw8RAyZ48dOomvX7gIMT508LiDw3hbNRea7XU4xFpd+/zO69eiCmjXqYsbMz3BbiTswYOAgON1eyWGrXb1qvgFbbttXRzNoKPPZCKToDKBuMhY8kEbbFlWERM8jjQACIUbaSPPUtEKCHkZRGJGkHuX/+MVxpWFKA52fZT+4n39eIcUrCIoKF4kSA5pAdsyYUfI35lUwUmNkimzdtll0YI/uvUCqG52sjADTcckoG3UtdSMBAR0pXNvUkfw/K5YSLHAOaQ/w+nwHVpAmaCBAZ64V1z3BOX/m/Xl9GjOMsHF+eOhGvdcvFn3weJ0SYVu3boOsEw3YNCWS9+IeuO++VqhTp5YY7gMGMp/stNgThSKL4rtlP4n8eeut4ZIXRSrngvmKokvnMMHBU08OFpulZrXqGDnyPXlvetg/++JzlC1TER3ad0GnTh0xZuxbGDlqJL75+hfMnPkJqtcsK3ZEpQr1sGTJAixYNAdPPfUk7LZQTJkyFes3rMtiExGwcCzZHJ37iHuUkSoCZTofuE5oQHJvcY/QVqlauYrYXZwf7i/dwy9nO4YrjnE+ABvz2F5+6VVZT++8M1LSST6aMg0//LhMQGtKShJGjR4rNlS1ajXwwssvSU4Z34FRt0P79+HXVb/IMz/z9NP4/NOP0b9fX9zbqjXuKlMRs+bOxuw58/HCC89jyaLFsvaffuoJscc4HgSrzFElgJs54xNs3Pi3yN4GjZtgwcLFInsI4hhJIhuLUSk6pDh/jF5T1lMO0dbkemRTeUbxKGsYNKAzSRf0Me7R61+X+fyk34MDksPWB+07dMaQF17BBx99jHdGjkFUkduw+ve1MqZfL1mEDyaNxyMPtcWLLzyDnVs3YfKHE/HBhx9h39FzWLLkW5S563ZhGrR/bBA6PPwwPh33JqZ9PB3vTpmNpd8vQ+2S0Whz370IL14OP/70nWSeWeBD7JkY9O3zmFTvXbzka/z480q8PPRVKVr0+VdfovOjj8LhsGXlhBsB238rh41UChf7UwYzJ8yPtKQkWRP16jdEr76DMH7iOHjdfuzYvhXdunVB546d0LZNa7z++lBZB8Pffkt0cNHbimH+vIXYtGUz9u7dj0oVKuLDCeORkpyIX9f8gT/Xb0DHLp3xznsj8fTTT6HO3Q0FwyxZvBBWswVBVovgjWXfLsGTg58QJ9ToCRPQf8AgCQhxn1LX1a1bWxZAXlG26wJsjLApb6EP6Sl2LPhqEzp2aodM0xYMfOJRdGzfGyPeHYP4uHQRWGv/+A0fTZ0Er8+JL774XJJMCxcuKlQQeoDIeScYomDhy1KBEJhReVKI0xNH5cyNw83IAaXw5MsSTFHgM7zI84lwCdjonSQ1gYqMgokATYwsrxdnT5+Rc6gwvpo1CynJLKdsFuFC5cPNyMGsf/fdWPfHH6IwaLTQy0xvVYdOnUUA8hx+8X9UuPSSUylFR6tKTQVHwQgUjMDNHgGfKEoCNhrmNEocQWxGrHLYdFlcVSnSKhF3UiIDBdrkYcw5injlVnpYU6OE9n3mjETwedCJdMedpaUsfUiIDR9NnYp33x6H5ctXwGL1YehrLwnlrly5Ctjw5yaMGTMabdo2xwMPtEXZMpUk+sbIRo/u3cWQpgH99eJvMGrMaKHeUK4RWNC4o9x7+tln8FC7RwQokepHeTfsP69KFSwCMFazZZTmhEQ24sXo16CVxq0tyC6gjOCABhmP4CAWKmEZ4gBthLlpAfqnpt7x3vRyE6hRLus+O2LUBRpCx8XGYtv2TTh69AhcHqeK3plMiIiIxLp164UaGhuXCJeTbQ3MqF69DmbN+hL16lUR44egiZEgerMpt2l8svgUDV5S6fjcBLA0kGjkEVwRjDzySAcVkZw+Xc4jKPjll+ViQJM5wc8xYqQ83jYx5mgwEkhwzTRu3FQoWnabRQDN6RPHhZLfsMHdUnzKZg/CPa1bISqyKL6aMxcp6RliKFaqUg0dHnkINatWviHARiPaWMqZhVdoPBK8McLK51dFMKwC2HROHP9GA5S5VDRujQd1E4uF0PhkdIHUQp0zx8gL1w2BPdcx2S28Ns+hPuWYDxv2HzHe+f4EkBwXAuXk5ETRpQQBdHxyvt5++10xaKkXOZ4EVQQ1/E7HKt+Pa5trmDkajBhzXRMsMBrHaBLvwT3GdcVcTd6beU58ZoI12gAEgVwTXA83Xh1Sj1Y2YGPREUY6cwI23X+xSZNGWQUBxo4bJXtfRZ2598PFhqDBT3ZO3759JHpDhhAjX3T28n0I6Nb8/rvsIdo5lFfMm69cuSoe7zMAMefOYOKkMfhrwz/46cdVsr6r1SgngOqOEmWw5Osl2LvvXzzWuycy0t3iGFqxcjlGvPcexo4bJ1FPGnxM36ADmkwfzhvnis5mgg7SVLm26HxhFCslKVlSRxgdohOI488jXwVHeGIegI0VKlmZduXKX8Wui4mJletTTrOgA5+B64pze/ZcDIIdobLOuZ6YgzpmzDhZOy2aqyqoNKr5fs0aN0K/gYOwb/9hDH/zTVkrXHOfzJiB+vXriqOfjCfKSb4LadAXLpzD3DlzJHJMG5FFQxYtXiLygeuQB6OKtDc1qCVoJJ2aDAbOGaPvlIecE65tyh2uaV2ISTeKV7R06qEbq4J4VY3p9+Cftb/h2Weewv1tH8Kwt9/F6TPnpfIgezvOnjtfwD4dNMeOHEaVqhXw91/rMGrku+jdqxt6Pz4AZy+k4LvvlqF4kQhs2/4vnntjBDLSkvHO8/2xZds2zFu+QdZo2UgrBg7oj6i7KuGTmZ8hMtSKzJQkhIWG48tPPsa8BYukmNX52ARp7ULAdvsdJbB02TJpNB/oCCL9LXWETb3bjVXRzIsS6UxLRVCgDxrv5kpPk2Jcp06ckOJRTVq0xrj3JyA8zCEgjGX9CdSbNW0sGIO6gnNO59PHM2agTJly2LNvr4D2ubPn4LmnnsTJ4yekMuaeffvQo3cvvDJ0KJ5/4UXBD9RZZAx079oNxYpEgw0Rzpw8jlEjRkoV6PCoaJw6fVZkD2Uro7Z0hmVX6L3yCrguwHbmzBm/ajbnQ9x5D2ZO/R19+/VElbpeTP9kNOrVaYkWzVrJxt69+wgWLZ6Hzo8+gvIVSmPbtq347dc1KFQoSnj19AhRaFPZclNSuVAAUUmRo02lTi8YNz49XwRg5BMzbE+0SsVHJUMPEzcj6Rf0ynDjkH9MRUiviBh5mZlSXdLv9cm1Kcj4P1VcAIg5e1YMPHoEFyxciLTUVDEmaBCQakM6CJVm2wfbCeeUIWDSeQj06OmkkOQm1r1rbrapWnC9ghEoGAEVKmMFO+47ghUqfB6kQGrgoSJIFhG+lSpWkP8HKj6Dra2MOWw5x9SodHV1ugUL5knD4t6P95HTVS5NsDhw1qxZLzIiKqoQdu3aiV9/XS0G5v33PyDK8+jRw+LBrVKlmjiZqPw3bFiPvbv3oWt3ZThRZpFxQABCL7E2wGm48u8VK1eC3Rok96QRTDo6mY1BwZTDZjFQaAyySTK/KOtoXOrxYKkFlv1l1ErnROkIm6ZRUnnwi0Y/IwQ0PqnIdD6WHqf09EzVzsTrw/6D+7B9x1YkJycJ04HXpOwODQ3DsaMnsH//YURHFUFU4cJSjr9oscJwe1hQwyMUOhrymjKnr0+wwHGlEcV8HFL9WCCKxhi9x9QXnFdG24oXv010ASl5ZDgQyFE3EYTQEOMYkHXB4gPnz8cKUODc8B0TE+Ll/Lq1agpI+PknBfJYx6xR0yaSa7Fp6zbEXIhFVHRh1KpTD82bNkaNKpWuCbDp9jK8trERsK48rBu30gNM4MN3ps7jOtBAm2uGn9U91qjXOJdC+3E4ZL4ITPk3ziepPdStNDJofJIqyfvQCFWlpIugdu26UliD64V5UFxDNPo5J/fdd584RnlwvZBNM3u2iopRz3L9cz50GgP1JsEb6Zm8BseeDgiubRom1NvU1dTZdEhwTdPJybnheuZBY4nrjYYxx4DX5jwzamgssZ5zPV6bTFSUSAIlRthyA2y68AYjbGFhIYFmu17s2r1L1p8jKBR3lSqNhx58WIoEcNw4rozMEBhx7DSjh78TYHO/tmjWEn/9s0EixHzPLVu24eeffxTjn79zPRMEli59p4CC224rLgCY62Tu3NnigKIdxNxVUlQVe6C2lPZndJMyhg5vGuulSpbC8ROqIqmuqq0jf6RDU3bStqEjm+PPdaajuHmOZz4ibGfOnsEdJe4SmfTTT7/Ierj9thJo99ADsmcJxCijOOdcr9Vr1kCD+g1RpGhhnDxxSiJitP1YMIVODObwNWzQWOaA0V3KQ44nc+EYiaWsYgSNsoG2Gq9Nmcq5oRPn9OmT+OmHn9GoSWNZwwRXtN24xvgZRqMpm3k+x5H7h9cgoKXNyLXLv9Ppw2finGknlugjYWSoBujX2og5z/G+5AQP0i5ewBefzUSzFveibqOmbCsoQM3nN6PdQ4+gWLFIHD91Fst/+hHJSfEoW66ktAFwO1Pxw88rkZZpQq9ePZEad15K1/+98zBmfjoDPR5oKutn+aYD4lArYk7Hd98sRuFSVdCydUs4UzMQGRakGoY6XVj6/Y/Yu38ffLCKvKRNn5qRjlq1a4susGc1qmR+Odug6IVzawEbi4yQSsOenha7HQLgQkOlVP/ir5egRMky4txiKw/2yeQaoEziuzOHzO30oHvPbqJX6fwivqCOUXuzNNb+tlrWc49evXAhLlb2d7MWzVG9Zk0ZD/YHDA124LlnnpGup36PKoR29vRpcSYcPXkKderWFdnH/UFWAXNZiSe4pq6G968LsJ0/f96vBKhJctiWLd6Nbt3bo0pdlnmOg80cBfitl3pixI1NTysnTTV51XxfKktuNoIhgiV61hiOpPeIishYeedmVOFhuc4QofaoxHsCNuaHMIpHoUsaZpeuXYUqyWejoCNiJt3GHhSUXV7u2nZawdkFI1AwAjc8Atk5bFSO/JL6GpLsraJGGoDwd2kabCG1LECHuISVwAAAIABJREFUNLFpMwsLAK5MNxwhl5bRpcKmXKLS1SW+hfLi8wpAYp8sCmsqcX2w14tqTqyoiHwGlZCukqszMzWlTZV4l+iJzQaPWzX4VGBS9evKSUuS/mBBQcoJ5A9kcus22F6CVBPYu4W9ovhMNDJo9PP+BAA0SPlOAt48XimsrOmQNFpo7NMYoUKiB56KloZ+XocUaPYy2umScWJOoQaH0gw6qojqT5XpQkgw+6KxpwL1vA82O6Of6g7aEOfPeuyMY6D/xvHhdbMLcbBptALq+uA7E9DwoAHMeeL7qYrG7ixDKuuefq+Mi9nvg83hQGJcrBhxF2Lj4PZ5pQcWmyqzcXZKahoio4tIlch6taoZegrlNVLX/n/Ol54/Rkz0HErrhkA0lFfVeYd8P0ZgxUgKVF/Uf8vNeFRjSiDGPqJq/RvzmPRntK7V33WPUT0nHEfOib5GzvONc6pHIefeufbRudFPKMDG9epyqednrqJRfqg9m4lixdi/0BfYyyrfz+P1wAQlVzwur1RF5aH7cGkwyfE05t2x3YXX7RP5ofc79z7v43CEZDmA1NtlR2gyMi5f59rsVfQykxRy0EVZdKN1Pifnh73acvZsu1oz43xFiPIB2C59j8D7GLxkBGHGJup04LDRsbRTMVnFxjLaeiK3+K5id1rEgcCIncutABLlg/4f54LvQVlhlLd8bw2ojBRwPquOkt2YM+BG12Z+Ps++dG6pfEjKu/Qac3ngCA2X3p9WO/UfZQOLK7ngcBAcqTXP75lOD2xB4aq1C69jsiDBaZYCW9EON1ypqfCFF5ZPhLgzpBqk0x+EpDQXiobbYSJY43/ZyI2pAbKYzFLsKj3dBUeI/bIArJp9nxQdUcctBmzyjMbD2Jqd/Qzdyo4P7DPKV8pP6l+eyY9TPrK3Kx0tRvnGNWjm4LLstBgVSlawvQ7v6vY6Zf2y6I4zMwPBjmChRBJLsJ9zBp2doY6s9AXlwMvPvKtzrguw7dixw6+qWNmkrP9P3+7HY727okYDE/zmBFhQ6KqAzecziTLXAo2eUYbv6TXipqN3il5Bel71ZtJKRAk41qu5gSMwf7pJNgeTHkDSOOgRZPLpbbffLoOse3XQ48AIGzc6aUYFR8EIFIzA/8UIGBq0shyC1ytVCVUp/2zApp4sYJpQt2grRZWukubV+khKSBbDS/KzDIco9RzSlP0jbVYqeI8AQQp1H9IRJIwDZbyxSJXLTcBGxUSgohQUDSsqLhYH4XV0JD6rWbfHo5pPe70SfSA1m+eQsi3eXPa+TE2F3REWaA6uHlYrGP5spNvR4JEIjVOBKslrC4A93fqA99N9zPJL5TGqPzXKORUklXc67HZFveR4u13qfRnd1NPCcwgyeFwpfyb36nWqtYNuN0DFqw1W4/wZwSCNmKw1kHVS4LkDCp6AjVGimHPnYbETUAMWe5A0R01ITEJ4oSg0alAfdWpUuaWATT+eNkJ1uX9NddWROT02Qn0NREeNFEqj8clzZa4kb1EZ+Bqk6Qgt15imz2q6lzpfPRGbt+sS1LqQip47I8U25x7i7/ldW5dswFvyS7bxSgig5IfFID8MkXgT7TK3PDvz3qSvUzDXayARNvB8Po8fZqsCYhxTHtqxwKEz7nVuQVbQU2uTBqFHiiaxZYfZQoc2YDEFquiJjOKXVZq4+/wuibBTfhCoyPMwqh1YjZQvfFY6bO4ocUdWU22ey3kklZlFH2hs6/0v8sCn9pMucpPnsN8EwKbvkZh4URxFsshybFDdgJu3Y26Pz2RGZHiIGMBafqdLw/tgqU7LI6dD3+l2iZymGKfziOuX4EQDNr0utWz8fwWwZSYny7oxi8Ml4MzjXEqhKTWcHplTE9wep+QZh4Y4YKHOgg1+VqRypdIIh9MaDAbDgnxOBUBMQeyRjVBnCsxBZngsoQIUqOG8mRmwMrdbbmSFx+WE2ergokVqagYcXJ8BAHJp25z/FcAW0Fg+rzisQsXxmh3702uE0TdS5pV8U8EpcYYY1qnb5RHMKr004VN7y2TOcrdwiHQ15iygp26fBWqzZX1u+unynXhdgG3btm1SdISLn5RIArbefbqh+t28QSKAsDwjbBRiuuGgUdlScFDoGRW59pbw6kYlnKdgucIJWRE2/j8wAdz49GoWLkKvmjrc9L75fGI8lS5TJutvBYDteke+4HMFI3CjI5AN2LKvpF1UV3BVBQwMMTxZ9t7kQ0ZKsghaWzCdP2Zxzvj8BH1mARtivAZuwAiZzWGF2+2DQ6pf+VRycHiEnOE3uUh8gMtlgt0WcOaItqLxRiEf6Acjf1O+4uS0TISxqabPD7N4RBUYM0buskqjeH1SrtpBcEOvKszIdLNUshlujwc2s0UUM/WFyneiAWrINckaKCoU/nJll15+yntLtDHQNJrGYm5FW8SxFpTtWPM6PVJNkvfXRgVzHsjbZ+TGbmdVzkvtNs4Xv7QBQMVJTzyN6JAQR6DiGCtiqkbTNPAYLaT+kKqZUr3NJX3pQkOVERx/MUGoq5TrNJxVNFaZFqePHxPaEyNs4ZGF4HLSurYiKCQUFxMSpaz/fa3uQZm7it9SwEZAxme/Ui+33MDp1XYV31FHndV5CggwCmO10NBVVe4Y6cn1MCB02UKm7Igcz88PAyZfkZsbFQ35+nw2YJPmgXLk7vFX1WIVmMt0psma0YAtPTlFNeVlZCEtQ9krJjKHnJeANV49I8MNs80Km9UEZ4ZbAEdwCGWCW/ouBtnYz4vTwGJAVqQkeREREQwfnGpszaFqDwTkR2JyCgpFFMp6Wx1py/n6nF9JAwnNZgOkpKaoXozSukSte/7M8zTwz3MYbxCwCUiVgk4+uISKGQRXRppqxWK3Iz2FYxsh46nZCJw13pZRUQcrDpoYYdKMAzOcEuVQ61dH41UURQVDaFinpGagUFjwVffuzbAv8xy/GzqBETbl+FNy3AR3pkvYHSbm0HmZr+xGcKjSQ2R/MGoZLEEO9RkCNln5fuonC5yMaPKnlDhYQ0ORhmCRjQ7+3+NGui8E1iCzADbhX8p3UXyqI3YgwqYlS87l8b8VYePweUR/mS3MOZSuA6KVxaHBXenhzyZ4XD4pEEacw+i4x5WZnRsnMpB5xqqFEK8gtOIgpmUoxwnb62hdSz1Gfy1P9fj8ou+NR1a6xtXC39cbYWPREd6MwizmdAa+W/gvunXvgGpS1yN/gI0vQgFo5PFLCWqD55SbVUXybqxvw2WCzKUoSTwI1IQeaTgI1CSB/kqxyjwG9Yb2Y8GHC0agYASuMgLK0WMyK4NDjA6/rniYc2Py/7kAF78XbmeG0OCICARAiNC9FMhQyNHgN1ltIsB5uNweeN1psJqD4LA7lEfSlQTW4bCaySwIsCWsFMxJEqXh3wmmbKT/wwOP36r0nFCsIJQ8iT4FvN18PzFexCtMQ5ofJAXRCy/VgC0ILo84R8UYCTgCkcFiCKHMo1C9pKgTsmSYoB9GE3wwWWwBRZs9zDqaQ5l8tRwMiRjkoJyYdPTGYNiLEuMtDVFKP+eND83DMFUssc8k9bNnY+Te9LgLk0FAV25LQQGO+IvxKBxdOGveVCRDXV9H7Ajm3C5vVgl7p9OLIIeqvJiVaxzIeTi8f5/kR5+NOYdC0VFIT3PB4wccoWFISk5BsdtLoP3D7RAZ5rilgC0nvY7vI7TTAB3SyDAx5iGKHcVKnbKW1c86cqBpsBqs0cgXmqg4GJQuNhbtyaaXeWELRI94TT1+OfPv+D9eQzNgstZw4Fn081wr2Lz5olAVHSEd0WQK9Mbzq+/aaGIDeto2ag2psWTEXI2VMno9NJJpQwhouNxhJHRRt1eMPQ02tCjiFfkzq8ympKQjPLSIGHIwZajX9SmaqtuXGqBekqJtRqaTsoDe/GyAmZqmWnrQ2UxnhaZEJiYlIrJQpKIM2uxZ3+Ua9iB5N4m6BewgbWvlK//qBgFbFrWW0UuREz7pl2U12Hksy24PCRXnlDtAURNXnR+wM/Lo9YiDKzQiApmZTlnrwSHZwJTjn+kMOHYMi0hkPR1kmqV5mTPj5q+4m3tFlqxPhcflRkgAtPvcjM7aBFRYggLyj86GILtQ1rWc83jd8Hh98MEOh9UCMwGZ2SaALSPDi0i7SxZmqj9YdEoQ/+9yIsMcBovNDC9p/g5bVniIVYpNQgk240JcPIoWVVTK/33A5lIOLPZdpIPTQhonC/ZngzXZhgEdG8haCOzNgAQwMEVEPjCnHIqCrPS6YuCoQl9kQFiQmeGBzWaF16/YIRQdBIu0UXRwOXcmSPYKuq4IW2xsrMwJF8Kp4yn4eu42PNrlEVSr7xdKpN0SfdUIW3o6PaBBVw3B5+bpzY/3N1+bI8AppZALo5eMiigzU4QePesS+ctBu+T/qZCEz6qtrXzdrOCkghEoGIGbNwKqmbXO/VLXVdqXERajkcqiIwLqdDn/wEN4nGmwCq3ZhNSkJImg0KBlKfKVq36TPV6lanUpkKANrh07d6NU6TKisMwmJ4LtoYBP3dftZ5VZPyymQti5Y78UQalY+S74kQK3xwc7gZw8pg8eP5Wiijw5nR44gqzy9JqKQauR9OyjRw5JIjwLI/k9bgE6frcLo9+fgOo166Npy3sRHRlyCWBLS3MiLCSQY3sJb1FT/wIWT1buwbXPirA8NKs08HE+vzZ2BaQRNJhN8Hm9orCCHMrb60pLhz2UXnBGMVlpT/09OVn1mWNFOxYEYGI3DS4CNykSFWgvEB1NrzuN53Skp6dhxoxPpOgMS/wTqLHYRceOnaXQBukuKmKggCOjHPyw0FR5DUPbBhp/fNYtmzdJ8QgaNfZgB9JSnXAyYdxqQ1p6BkqVKYeH2z2A8GDbLQVsec1KzvybnOdr6qR2aFxKR1Rg1+nKhJmRWan4qdax+pzaQ/ybBiusTsgy3TQqJHUjgBdIv+W1dVTY2EhY78Mr0TLzesdb93/60pmHxne8NMJmjOhm0xh9EnF3BHPfE9i6YWYuKSPdHo6XH+aAkcYo/clTZ6RgRavWbaTKKtNGNCdAIkROH4KDzMLesdvVOCcl+PHPxr+w/q/vpWhL65Y9pfDKnSVD8Nvvq7Bv9xl06vQotmzdgFW/LkdwSIQUz2GhDVaE7PJol6zhIlBjP0Meb7/1tnynY4MRQObT8KA8pI3DPcA9YgRp+YqE3iBg4zOII8FPoGGB15kpFGQKkc3//CMV+uLiL6JM+Qro0q0XSpUtjRWr1mLz1m14evAAbP37D+zcuhknT50WGzIiKlqKxbEQSEgoizaQ4maWlih09vfu20/lKNmVLMgJ2CTabnAs3Lq1dzOuzHHTVFkz/t22DSuWr0TM+XNSpIYFWMIjI6V6MGn+3MOk6xGoc88XCo+UIiFc+anxMQiLLopkjxUetxPRDg/2bN2KsFK1ULhwIYSZnQKMvVYCZ1k0sBIsGxwUXrcLW7b9ixWrVqJz5y4oW6G8yAq9zkTtyW//K5RIPr8Pq1aswJp163Hw0BGYTTYULnI7atapK/02ya5NSc5AZEQgvzfdqZymjKYnpyEkIhQepnQFxAcL6DBfnV9sDWOT9AiVW87CWgRsLKbIiK9KBVPrgD9rdoJ2TBrp07mtlusCbIywURkwrH3mZBqWzNuOrt06CCXSZEmCGRF5UiI1DUNz67Wg0D1BcnriKFyMHqEbWfpMlpcFlY9sPxVqd4hC115HzVe/kWco+GzBCBSMwPWMQO6USEX7UsbmZco3Z9IVPMpI0JQ9vwkLFi6QUtzpGRkwmWyIi4+XUvLPPP+cNIFmz8cWLe/Bqy8Poc9X6A7pqaStAXZHmkCYv//eg0kTpkk7kZ6PdaRKhNfvg8mrqJNmqw9euOFyk8JoVXQ/skoCwlsKobhdWL/mD+zbv0dK3d9xZwkxMuiBPnH8GHo93g/lK1bH1BmfolB4EOLjUxERGgb9KqmpmQgPDVARAxEWaZQtKkRRWJQ3UdHktPzVEZi8co2uBNiMM6k9kpSZ8t5C/9Dzxrel4auCExKxCbJg2rRPxMBiYScCNhZMoZHFLz4Te3GyomOQg/k7qdi9exd69uwldPXwsEJZ5e9Z9W7SpCmoUqWS3FtoK4woSpEORt78sNlNUsiDdExJBlfcSPz+6yop/+0IDoGXo2SySw5bptsjOUYs69+yeVOEBlluKWDTxW6MeWfGNU0lL/OpI8yBaBr/xs9cqcm0iqKqRuIulxNBjBAHcqx0LylJvCcgCRwEaXGxiShSRLWq4fixYIcuqKPPIx2Iz5UzD1T3qsp3ftT1iIRr+kzulMhL5YdJGqszXyxn0REhT3kYpbYiPSVVaJFelwcZLqc4f+l0+PjjmZg7b5403U7NYKEYFS2mIUtbm/WDkmT90RtvxaczFmP27K9w5MQ/YHTvYpwVrw/9D4a83BPTp0/FqhWbMGXydCz7YSE++HACrDY7QkLCxKHBeWNjZ5bp57zTQGRzclatZvW6+vXqZ1GHOUxJyUmINNAp+TcjSMtXUbcbAWyGPCsZS58H7oxM2EOCsXTxQunDtmXbDhQtdhvOnDuPdg93xKdffIVZ8xZKKfbFC+biz99+wpgRI4UZERERClat5X5lj7xhw4cjMTEVZ2NipAFycloqli37QVXtNJlBJiZXNwEzj5wRxf8nKJFCdU3H6l9XS1/D3bv2ipORkIhF+9haqkr16gJMuK7TM9MCVF6/UOgt1mABbOkJ5xESFQ0XVM+0w9s2YNiwYeg8eCg6dnxYATZ3JlymCCkXGCKFozzwZWTCLMX3VNGNObPn471RIzFq1Bh06d4lK1r0v5nDxv3rxLPPPo2vZi1A4aJFYbLakZCUhvCISHECNmvWApGFgkXvXoxLQLEiLKLI9gDpsIeECHhNy3AhjA7HAE1ZuzEZ9aVcJmuPdOfOndjmJB1zZs9D6bJ3XZaqyRx4UvJ1hC2bLpy7ULsuwHbq1Cnpw0bvsxGwsehIfiiRzAXRBQJyAjNNzdGGgzYqdJLszaBUZKSlI1gnu7tckqgvwk+quAT+F6hKRlRspPUELJ9rUhEFJxeMQMEI3KwRUEqI9ANtoEr1RDnU9/wAtnSWoY9QEZu4cxek19fK31ZL35U77iiF90aMQGThItJHct0f66VPGr24c2Z/CbMpAxvWbYTPHSHe+vqNSuLOu4rjrWGTMHHidDzz1DMY9uZLwjb4d+ceJMTaEBZaCPUblofFTm/6LtSsVRcl7yqOlatWi8xve39rnD55Gjv/3Y6o8EI4G3ManTu0lwjVwQMHcOjQQfl54uSPULN2Q3z25UzExCRg3fq10leNpbIbNair6BU5AaqRwqhz2K6T1q0pkUxf0MUOFJkzm1DK+2dmOOEIDsL5s2fx57o/ULNWdYkWrvr1V8DsQNsH7sexY6ekqNODD7bBuHETpfcXPZHyzgcPSk4A6X9kPdAQoQc9LJwgw4Ot27YIoGVblmHDhovR+d67I6Xs9uzZ86Xp88EDR6WQVXBwiPQNa9jwbvhYcMHM/m6/wOVUFLTyZUpLG4XlP/8k7QAyMhlZc6N0qfIoWaasRNkI4mrXrY8a1SrBnl2s82Yt6v/KdbhvhCLFput+n0SMjh0/hn//3SWVRFm8gaCYjYzZn+ifvzdJ/7DExCSJ5LCYxd69eyQn5vbbi0nbBe41tlTgfBGsETQ0atRIKgBSV9MA5nzecKGwmzZCKsLGwiuMsAkoDhQFypYf2YBNqheazYi/eEEK0tSuVQPly1fCH7+tltL0nbp1xZEDh9Q6fvgRfDh5MrZu3SmALS3TKe2KmOPGohhsT1C29J3KQSOpHy78/c9mPDX4DURGhqPvwHaoXr06PpywUNbzG28Nwvr1a/Ht179jxHtjMHf+TGzfsRlTPpqGUqXKSCly9qlt3769NJsODwvHm2+9KaCNxdP4d/bfYy7p0WNHZW3TUVEkurCU82f/WB5GkJav5tk3CNicbtLF2OIi4Mjxq/zRJwcPlDLnkz6cgsioaOmBeCYmFmMnTMKf/2zG5ClTMeerz7Hxj5X4ZNpH0prp/ofaYfvmrdJWpVzFStI/LDS0EGZ+9hmmfjxD1vVzzz6P198YKs6xo0dPYN/uXdL4mOuV481WKvrIF2C9aWvxei6kImwXYmKkejnbRrw57C2RrcuX/yJl49+fMB4tW7XC7t07sX3HDtBNyLVXpWo1HDl2DNs2b0PhyEKw+lz/H3vXAR5V1UTPlmTTE0IV6R2k96ooSFOkg1RFUFR6kSIqHUFFUXqXrvQfBVSKqGAB6YggICC9pmeTbPu/M29veCwJAUIAZR8fX5Ld1+7cuXPnTMXZi5dQtnp95H48Oz4Y2gsfT5yBlq/2ECNA0qXjOHzoAKyGEIRny4ayJQrh/OlT+OeE1uMxd978KF+xAtasXY9ub76BKVOmoU3bVg95SKQTrsQ4dO32Gn75dQcmfDIJ5StVwQ8//YIePXujeq1aWLxoMRw2B374fgv+OXkCtarXQOknSiA+LkZCvjdu3aal7xkNKF+uDAoVyofYmChs3fo9YuOiRe5Vr1YTufPkRevWL+LgwcMYNnwkgoNDRA6WLl1K8qiVv0gZL8kNBHCe+W16LrkrwHbunNY4m+7m0yfj8OWC39Gi5QtSJdJojoZRFR3RP0n2dK2sv9OhVUrj4dlnRpJQid4lqdElldUIpEQ5o23bboMvwzhusprfAfOz6EB8vFi9VC6b59UUqGKtN9NdrOW8aaU5tTCe1B5/l3rQHby891QvBR51CmghIfSoqUMz5FwP7VJ/K8vVjblszIHQSj+LYchgwLARI6VZa+8+/aRHy9VrkQIU8hUsJEoRlTVuin369ILF14kPx02AxScLIiKuokmLWmjVqgWGDhmHzZt+RKmSZTBy9FBcvHwMK1euxvEjEcidOy/ad3wBefLnQu8+g9Gx40sS9kRFg8eShQskFHLRwvlSjXbf3t0S2sTUOfYCokLMBrczZs9D775voUefftKvkiCHeg/DrwYO6C/VdVXVRgYGaV4Yd/UOetwkr82du+PBRso4disvm/KweXKgZ+ER9rLx8TXj+02b8M47b6Njx/bybl27voY4qw3LVizHmtVrsXrNSowcMRqrVq9AxLUoVKteBbt+34MdO3/F1SsRCAoOQO5cedGyVXO0bvUismQNg81uxZ9/HkLbNi+ictUqaNeuvewjSxZ/gYiIKMyePVt6AvXrO0D6UJnNPrA57BgyaDDatWuF1WtWY9bM6Thx4jjMBqO8F8Mo2cuKjcwF2LiAatVromq1GjCYfJE1ezZUqVYDBfI9DhqaM1LOe4b+K0+b3huq6J9amoAyfPI8gipl6NQAiHY1zR6szszmz0cOHxVlokaNWtIgevr0mdJYuETxkrIO6LVhPyK2ufG1mJEnTy6xxtOTQ88Gi7WwBQ+bgLM9Dis8828eehDw4BViFU7G0ZMImsfX0xDM3MfrLTwCsHnLRrzzzlC0bN4CrZq3lKbMbFGwceNG8aqt+epr8cjP+3yB9H/t/EpX6TH2+cJFyToOe6qRjplCQuEv5dYT8eWyFXhnyHj07tMTPXq2k0L9CXEB2L//IKpUK4whQwdh/txV2LlzN6bP+BSfz5+NMWPHSfgbw4g5R/RKDxo0SEI3Wc2aYIzrgf31OBfMbWPDdM4RPdWXLlyUSths1sv2F1KW3F0C/+53Fn3kgz7x9OYkVMkNtmqtULRKfC58u349evfqKQ3U+/brD6OPD+Li4nHm3CU8nicvZs2dj88XLMRH48Zg785f8P6o4TJ2tiBhlfFPPpskTd2nTpsh932+cRPpI8icX4aP0nOXP39+4dkftmxGdBRlcm7pc0dgy15Y/5bDGh+LI0f+ROsWrWUP+YQhsA6HNK6mEYHjOn/xIoa8PQh/HT0q3reixYugR49ewheNSZvChRAeEoTNW77Hq73eQof27fB2zy7YvXcfCpStKXvehuXzsf2nH5CnSGnUePIplCxaAMuWLsHFCxcQHRWLCpUqYtCgIThz7hxef7M7PpowAc1aaE3Y1XF99un/u/nTu6F5ivYCuZG+WjGBrZhGbnyEwYXEuAiRWRu+2YQ3uvdESKasuHw1AjNnzUX37j3xatdO6PZ6Lxw+9AfMRgPsiQkYNWIYnnm6Foa8/Q7WrtuIkLAw2O026W/Xp08PbPzuGwwfPkx0Cq476hCvv/6GGFc2bNiIosVK4K+/jiJHjuyYPXumzJFqlK1Voby98v53BdjOXjjlMhpMUrb57KlELFu4By1bPYdSlan7xLKobXKJa88JMRC0SYz89VjYmyaAWoX+Q0lCIdzTbLlahZu7mWr3NVIu925vYIJDVwaUd9Rv3nrxdNOmnjqnpWMw3ku9FHgUKaCqZN3F2F0sOx+j5W+4E9137twlChbz2Cg8qaSyH2PrNm2wYcO3ouAMHDhQFKsD+/ZKGI6/X7AoQrHxV6SZ64H9fwogmTJ5GqpVr4SWrZrKZtmx/auiGJ85exLz5s3B8JGjkC1rDlEUCNioUM2ZPRMLFy4UIxKVKv4+c+ZMzJs7G0eOHBHFi5tty1Zt0K59R5QqW0Y2Vb4Xz6dCwsavy7784hY1IDVapRdspCQ5Pe+pquUlxFvx0ksviUe0S5cu6PxyF0RERYriT4ssGw8PGTIUXbu+gpIlS8vf/Dxfvjxo06Ytdu3aic2bv0fjxs+hU6eX8eSTNWG3WSV0sW3rNjh+8qTWWMCpFY/p378/3nnnHWkE/Wb3ntLT8+mn62Doe+/ij/0HMGnSpxgyqC9y5cyOt99+R5Te7777DgULFAJ7nrHnGiPmV69ZK9bOV7u9jqCQYBQoUEispmGhFq2Yy12w3cNyifSwYpi/0yl0JECPiWFO4DTJv+LcEJyRlgMHDhbAPW3aDPHi0KNZqFABAcVs3MwwVnp66ImjN7Nv375o0qQJZs2alVyA5OELM9MrcTcDCn2IIPnp8MadAAAgAElEQVSY4JfgjeuVntqmTZrI2iO/EOTPmDFDwqn4GWVEv379RCFjH9n8BQph7NixYvB56623MHXqVLRo3jS56A3X7QfjJ2LW7Bmo9WQVCV2zJWlVXxnSNnLUcCxdslI8J3PmzJJwN8oU5gsyKoheZxp0mPtJmTFu3Dh8/vnn4g2l/OLz2Hi+Xr16EmY8cuRIiShSDclV3uEdl/ZPlZnTlssKtCsg73Rojb8JZslPDCmXiCq2L2DxDF9fMSDMmjsPn348AXt2/44+vXtLU/PY2Hj5Wa9+Q3Tr1g3PPvsstm3bJt4n0opGfoazf/rppzJmNgm/dPE83nzzTVkDNNRwruhhvxfRW/djjZNuS5cuxphRY0XWEaRLkSmzWUI9Sa+Jn06UuR49erTw6fjx72P8+A/F+00akJdHDH9PePXAH0fEWLhnx3b07NMX74+fIEC280vthZaTJk/Fs/Ua4OqVS/h952/irft4wkTx5LLBO41h5HHyYXu3AVLR4cHJSTdg07Xv0d5JSotgwID+mDZ1FuITiEeM8PMPRLasj2H+/IVCS/JS9RqVUblSeXz00QeoUL40PvxoHI4fO4HQsKw4d+6ChKMy7Jl7TM+e3UVvoNGX7cHoya5fvz4+/HCCrP1Fi5aIt5f7de/ePYXu+oqyil6pGeDU9+zGwNqeSxafRp+uk9H55TYoW40FT07Ax2SGwx4LH5MW7gtnsFSoNpy9cMLFkEZfH383YNuHlq0aohRz2IwKsN1cdU1TFlhDk3VWrwM2d99bd5FSPsgN2KgZiOFca8zHtHGKV0nTv1u8JUDx7gGbCyZ2Urrp8SmBtpuZVZ/HcT+WtvcZXgp4KeBJAX2vMqU0UMAyHIfKBBXQ9evXJ/dgZFGFpk2bikJLBYkAisoRgRaBFDd7huLRgs3QSlp+GS5WvXp1KcjAnCzmWjEEiXlyTKrnRkir7qlTp0TQs4AAvRNUVsRbtGSJKF/ccAksCUBOnz6NF5o2EQ9ck2bNpCgK70HL8YkTJyRskApjntx5bjnpqtRCRnEGlT9FV25+9DwQsJYvX17GS1ozFIl07NixoxQLoVeHRVY4B1Q4SWeOj3Qlrek1YAhktWpVUKJ4CRw9fEjAA2n60itdJARs/oJFQtc5c+bg119/xbLlKwVIF3+iOEaPGScbZ4d2rbF25ZfIkT0zZs75HOfOnMaWLVtlLleuXou4+HicP38Z+w8cQFBIJgHk+fIVQJFiRVHyieKSkO5RICyjyJih91Xzs3XrVgGsnBeG75EP6bkl/ajw0YjBuaDCS96mN5JKNL1LderUEWWYfL9v3z5pOk5vB71PVGLY9J1hZyk1Qs/QwaXz5vrcQd5KvT/5mGCW/MpQNK5TGkkIesnH5EUaWQhWCXjJv1TqCB72798vQJa/k6cIukhHKsoMW6SHjMqc6FlOp9yfcoOKMO/JdcD7cm54Pf/m+iEI7N27t9Cac0TPAdcRlXQ+k8/nfSmTOKeHDh2S+STAIyDX2mG4kpsDqzlLJwlvebm+OA1PpDymvOW708NGPqNM5LvwO3rRqAhTRpD+XNOUEaQvvRmkCfmQ13MsY8aMEd5l3ho9iMuWLZPQdhoceB/KE9Kf57Zv3148lNLnEhClWv2ekTRI772//fZb4QMa/DjHio7kKcoy8hnpwjw+hidfvHhRIjTKli0rvEq+IZ1JQ8pM7nlcwwRzpBd5iECQ3kl6kUlHhj6zii55j3TneudccH0QgHDNc598uIGvE1HRVzBo8Fv4ZsMmdOrYGaVLl8fVK5GYOmUmatd+RmRcly6dEZYpCDVrVcOuXb+h9tO1MHjIAClw9dmn0yQvdenSpRLCT68taUra0gCj8nXJX/SA0vNNGUv60ahDAybppQxD+kq+afHFAwJs7saHBg346LtKSHXb5Mx2VmPSQJuD/92jYTDlTXkaaY1UfZ/svPNwld7u9e7yn56n39Kzdtv39p7opYCXAveLAgq4EezQOhgRESFhiNzwaJkmGFuwYIGEdjHchgoRN0hu8tzYueExj4KbIRVfbnxUjqjk0pJJAU6rLr0RV65cESWXoIXn0sJLpYwAi4oJrcE8l2CDYY5U0qiU0Hp/9uxZUWi4eb7StYvk0uXKk0eUDwp+bgCsbkiLceVKldMkX0YDNvUCyrPCjYo0I1Cj4kQlkXSjZ5BjJN2oCJAmVBZIL46RCi6vpYLAvwlIc+XKiUL58iMuLkYs8rSo9x84SIDBrNlz3dbOnkLrhYuWyAZar0E9DBo8VDbNiR9/gLEj3gVcNglXoYeNHjyGuKxZ8xUyhYejRInSOPjHH7h2LQpt2rZF5cpVxRKfK3c2zX54D7yUaU5SBp6g9RfzkXlgsYrLly+L0kH60MNMXqNyT37/6quvRGFm2B/5jV5SGhXIs+Hh4eJVIw/yM3rZRo0aJUof149UCLVY3BU53akEuv5fGTjEdN9aXyxFeoGZzTJWeh4oJ8h7/IzygvShgYWWdYIk0okgjrKC9CWAINAgMBgxYoRY73ktZQjXNJW+HDlyyHnkY64BXk/QsX37dsydO1f+UyZwna9Zs0YMNHwHrjHOEX/y/lxLNF6Q/6k4cy5YfIQ5dlSyye8ffPCByDQq2/QuKY+XVjnV3Ucy3RRM/QZKLlCRVf129+7dK8CVRinyHQ1RNGwRRBBYMrSZtKZ85BgJRkgnehkJRDhWXkfvT6dOncRjR48ijVk0lnH98jren/ek7CcdOLekp8rnux/jTy9p+c40sHAtkobkk4IFCwqAIP8RjJHfSD964GjsIlCnDOWew1BY7lOkN/9v2LBB5DCNLeRNAi/yJAEbjQL0unMd8768J2UFaUtvKHmS70NvMvdKeu4e7kPzsL099G1s2rQFY8eMR5kyFXDi73/w+utvSuQL1/h7w94R0DZo8ADs2PEzsufIIoVe6Klu/HxzCSsl3Rn6TU82eZApE9y7SWOuX/5NIw/3vS+++EJkKkE2aUsDgwJ2+r6hadHuAQC2Gxs1MKtNXyaayoRJ8td0r27UwJoCbMp3J6kZ7iT7O/l5t1BNvdG/fcNOiym833sp8ChQQFm4qLjSm0ULLD1CtLBSmeIGx895UIjTmk6ARSsZlRwKXipqtGZzUztz5oyADIIIWsypSNGCTisblTmGSBC48LncDAlSaO2lAsiNknHvykJP5YMKFXPXqMgRMFIpYb5R77590LR582QwR+unKvFNz17WLFlTnb77IbuUR0JZ6xmeRQskvQ4EoNyoqFzSA0lQrPJsaF0nPUkTKiLMy+NmR2WBGyUBATfNJ4oWw8mTfwvIpvIXnjWbhIix7xI9mlRWSOO+/QbItUVLPIGDBw+Kcjp/7iy8O2QAvli6EDkfzy1gOygkDJUqVRZPG6uDcgM/feaMVArs1as3WrVpi/z5cyLJxrLsNoQEPdiy/vdibapcCypaVIZbtWqFo0ePipeNHjMqZgTODMWj4YHAgjxNoEFFhAojeVh5KaiokfeoXHfu3FlACw0fPO5lhed7MfbbuQeVKI6Vnh6tlxJbQ1hFDtDgQm8XZQX5mIYE0ooggtcQlDGXiIoceZFgliCB4IQhZFyrvK8KieJ5BGQEa3wGAQa9yZQBNGxwPahcQwJqKn4EIlwrlCdUwOl1571pvGFpd3rr+U5UounVpxJJkKKUSq4tKub0FvKgPONautc9b29Fayr9BJfqIA0o6xTPUJ5y3XNc5EfSguOhQYE/6fmhwsy/yb8M0SVApiJNHmzQoIEAYQI7eqEITsiLlEuUBQQ4lEWkKQGb5/vcDp88iHMU33D+CZ6Ux5I8x6JBNJYQfJGWNIpxrslvBPhsg0KeIc/ReEbgRoMY9ynShXxHrxwBBenN82mAJIAmX/Pe3OP4TIIQ/s39h7KBz6N3/eGpCJvS7DgRGXVZ5NTcuYuROTwT/PyCYPENwOXLV9GubQehaY+ebyI+PhZZs4XjypUL6NnrTQl/pOcxf74iAti4fgiUyX+kw8qVKyV/lbKSP0lv6g/kY8pVygDSjiCacle1Q9FHIKRV9OfBADbVFsiohTkqfKby08zqAxUS6eFhUxZilVJ4pz85jXcbUZmcQ+eZzJjiyr0xPt6bwvYgxJv3mV4K3EgBfdiLvggCBS43J25uDEfi5k+LLTcyempobeRmRkWUmxw3Qh5Ufrnx0dpL8EEgRjDHkDGGItHaRm8ENzwqCjwo4KlEUXDTGk4reJkyZUQhZPgjlUIKfF5HEEfgRuWDm3LBwoXQt09f7Ni5QxQ93odhTrQsZ8+WPc3pzui8AhWHz59UkEhPKkX0UFCRolJISzmLAlBB4Hf8nR5GhuZQESOIoAJF8MxNkQopFYGrVy8jNDBICobQ+0YllAVCOCcEYKQfATKfveGb7yQM8tedv4vHk9/5mFw4evggvl67BqdPnxUluUix4qLI/n3ilFii/f2DRZlm2WpaRBs0aiTtG1hNnz/vB+hNcxLv0QnkY3oYyIPkZ4IK8i55llUFydekPw9a4TmHVOLq1q0rhgvOCcN2+TkBNcODORcE38pbwbn4d/W6Ug3r/cRwQJrw/TkOKvlUvDh28jbXJr3mNLbQQEO5QUMEZQwNMTyfQJj3IE1o9FGHMmjwXFrmeT2v4f0k/y1/fvlcVYMkUGNRHCrHpC3XFb1O9JzlypVLPKWUGfS0M9eORgqCSK4HyjmCHhqX6G2i8YhAXO/l4nvdz5BAJXtVpAPXHIEDgQiBL0EUQ+wIxCgPCX65Hslr9DxyrKQRgTMjFCgvKC85btKPYZ88yMsMZ6dRgXQiEOaz6GWkzKRsIS3Tyh+6R0vunt2G4yVNyBcECeQ9jpvzS/BNzxkNfBwrQT0NKhwj9zLOPyu/ct8hfQhmFT/Ri0vvMPcc8iMBHmUA6U7DAfmMsoJRI6Qf5TlBMfmM++PDfWhtPVjsih62M6fPS6sSP0sgqlSpJmMlX9AT/fXXa/Hn4YOoWrUiXmzbSoo1/fjjNmz8bou01aBM4L7Bdc21TBpw7yIPEpiRvtznyZ+MQqA8peeXhmDqBqr9ih6kpZTXpqfnAwdsynOmsBnB2E2AjW9s1GpM8tD3d1AprnfyMz0MpW3Wqnmh55086z17AVt6aO291kuBjKIANxsqUfxPpYUbnMpd8Myx4Dt4hi0QJNFCRuHM76i88XolfJW1lkoJlSBaIXkoBYkCnteoz6WsusUiihg9fsqyr0KG+L78jspwkt0mDY/ZDJUlu+W+1nhRyqhAqwa5qdEuowHbDRuMlC/XTGxUFlXlQCpppBe9hvQGEIwqhZHeSIJj0oQgmPkmPLTCCDb4Gk3iaSPtCDRsTpecFxUdKx4DzoFcY9C8I0f/PiF04zl7ft8p/euMYF9NF4JDQ2Gzsa9RAvwDggQAms1+cq7ZxyKbbqZM4bBLRVET2AP8ftIvI/hfr5STH8mHHC8P8r5U7/P1lTWh6K63mqvQOdKK/6kE81AKr5pPXs8501+blkKSEeO9m3uqMXp6Xfj+pB/zgjx5mp4xhkcqcKf4niHN/JyKm95zx+u1foAa7fW/q7Wgz6eisYbyRh2UIbwneZ3zSF6nTOJzVfQAwRzvodYQn8H/VO55KNCoZB7Xwf1owaCnA3/n+6p3TG2+9HJZL0soG9V8kA7kXaUMK15X9CAAUXKDY+V1+iIoWrW+mwvR3A0PZdQ1XGccvxozn6M1vdd6MCre5d/kCY5J8aKiAyMLaFzhQRnKOVfVZPU53p6N1Mk7lKV6GnH+uE5I14fbuybSTABbdEw0goKCYUuiV9kf165Gy7j0hjmr1SZl+rNm5d7N5uNWobMB7KFqSM7P5V05btKGHmPuaaSp8qCp3/mTPK72NcUfiq9vx2DwYACbrsqIyk1T3icBbIqueteb26yp94xx41RA705+pmchyWbt0toT3HDIy7i3cl0neDnd44H/9g0/PfTzXuulwMNAgdQURypFFLTc9ClYuYmpPBxVKEB5DriZ6Tc01XdKKQt67x2VA4I8Agp91TzPEAj9d56gTv/OfK5SrrlZqMbXDwNt+d6kkUqmJg1Ta+aslA2eQ0WDmxYtvFR+qVTwb9KOcyFtWMxGBPhaBLhRyaACZk2yyUbp4+snz+VnpGNkVIxYghkySaWZ9MqSKQx+fgbYk5KkSTHv6ePDJrAGUdz4HIfDIFZQWvhz59HACLEL++U4nQ74We5XFmDGzqZn9UYqu6SpXhnjnHAe+TnngufQK+kJPFRInX6ueQ7XhFovCgDe1CcxY4d5x3fXr2m1Pm+n0qUCO0rxIg/T06V4Xylm5E/yq6Kzus7zGZRFBHP6nrScD35OAKgaqPP+noo1ZQ09njx4DeeCxh9Fe37G+6p38wSDd0y0O7yAYyZfqLFxLHwnZaAi7fg76eQ5Ns8iDXrApl5DXUN+VTJcfaenMwEt50gp2eTth7tohjafak2RpyjDlJFKDxSYr6ciOhiWzlBcz4P34qFfowrwS1srk0nWPOdLGQso38k33Bc95+Z+89Edsp0bsLEXI9sMaC095L9bSU9IcMDPjwZB7Setc4ns12lwwiL5nSqLWQP1euMXPY/kJR76vVoZCfi53iijaKfkQlrhkLIP3fcqkfpGPiwAoguLVOGGWg4bvVg6RCZVJZV7LZ0WkORGu3c+3Qqh33ylAmv85sZGvl7Adjd09l7jpcD9oQAFpZRFdnuClJLDTUmvvCrFSi+k9YJZKQ56C6VeiPO+vAevoSKibypMhYUCXG2ceiGvtybzWp6jvGm8p37TvF+FA25nZvQWQ6VI6Asc8HdPgMD78jqGkTH8iwqAmhsNOCfAyWQy6cPnEjrSwyYeu5AwOZ+WUtKWHjL+jLVqHksqHDGREfD1MSAxyYrQ4BBcuXYVdpszuVBDUFCIeB8qVqzsBu5mRFyLQVh4sBS6Skiww89f6wv6bz7UPOhD4vTKll6pVfyl53W9MULCR9nMx90iQ12r50sqJVxPD78FXvNW6HPM9IqZ53eeCq/iCf3YSSvSiGBAHQQK5F3STA9WlCziefxcGYuUl0TRXQ9S6N0gz6cENPTzq/fCKG8gn6MH6p4hkhnB43q5QDlHAxn5IjX+0ns5lcdIeSv5U/GUOo9zQn5T+XGU13wG6cN54U8qzvQIqXm6N73oMoJaN99T8QDpSLnHceo9o/rfCa7IO5SzChjoZbAC7aQD6abafXh6GT29P/p9hrKd16uc1ftDhbt9iurDSFClFUWKjtaMUCajQTqOMfTdRyobahEHmufXieiYSPndaNA8bGq/9gTQKkJBv4cr7xq/4zpUxhY+P6UiPKmN7q4A25FjB1y0NvqY/XDxrANfrfgLL7ZtjCcqAE5jBHyMQe5uaTcDK6nuSA9bYiLsVJL8fdx5bFpjPfbYCWBzaqlE4vahMenX1wcw6sriq4QCTbJp43M32E4eLKmvOueq8+UzIxLj4mBxC9AkutEDAuQyJy1PVNx0ypuYVj3akjvclgmTu6qSg817OGq+AwGh1412tyvKe52XAl4KPOIU4CZGpZJ5FCz1T2WMmxt7LsVFRcNkMribjRrhZLVhNrt2aLlSycqyQQtvYm81pcy6XA64HBroZVdPKolKwcmRI6dYSFPNw1BhHI/43HiH76WAlwJeCvw7KXAdsHk6Vm4dCud5XTqdRndJvLsCbDt3b3dxsEzUu3IBWL/6ODp0bCp92JDcODuVPmwuwBGXCJO/RejFkMjopHgBSRaTj/imfKVXG6GuO1eMYEnq/btjUwQZmTT/IM81EQ7zGs255Ui0wWThZ3R1OjTgJ/Tllw7tWgI3giwzf3ffm880ssIJ76ncpO4vVfylyyWPFWDGpzJO32VIDi3QWx7vck68l3kp4KWAlwKPLAX03glaJhnOSNDGMK+IiKsIC2LPJM1SLkDM5PaEGjRgpgoIUC7zXixKQkCn/XfA4GJulebRJKCjp42hQ4UKFZFQs5u8QN4QiUeWF70D91LAS4H/GgX0deJTAF4pGubSuOY+keiuANuxE4fEw8bG2RfO2PG/ZYfxYtvnUbIiPWxRMIHeqtQaZ1+v4283AjFJNtiNLvj5aP0/nHDCH0aIR9LuriFJwGZwweWww0CgpECXWFTtMNIjx+9tDhh8TMk/U6z5r/eW8T7c8N3eM73XTbxqgvE8JtRghM0OGM3a5za7S5QE4j5+YrMxL0LLcfA2zr5PXOx9jJcCjxIF7rbEraLRQ+799wy/IbBiCBnLI1++fBHXLl2G3a7l5TAchSGRIm+NZpHF4lWjYY32PlYoNBiTwR3Fub+/RUAZizEwcT9XzpxS9CQ4kJEhuiM1Oj/k9HuUloJ3rF4KeCngpcCjQoG7AmzXoi4IYDMZfXHmZAKWL9qPFi3ro3g5ArZr8DXRApoyYBPC0rlFz1oCYPK73jib8MwiOQxAIA2n7gIkan9MSEqExZdn8BYuGNyQyGbXGlvyb/7OCmpJNq2cNA+TUftpd9i1Ckp2hySvE2Ixed1k8hHgR7BlsfhIF3NaYs1mXxgMLqkmxtwJJqcTMDKik1ZbwY0GzUkn2M6jguWN+/rDgdAfFcb2jtNLgf8sBf7jgE3ku7slAAEYwRV/StijPQlH/zwsieD0vjE/JSbeKmGNNpHblNdaVSsCOCmCYfFLrsDJfSJr1swICPCTnDaGQCpjIeX1DcVobkVnL2j7zy4v78C8FPBSwEuBh5ECdwXYzpz/22UwmCSH7dw/SVix+ABatW4oHjYYY2AAS02nDNi4ldqcwK97T2PPnwdhMzhwNT4GwaFBCAj0x4uN6kokZIhRqxap7qJqlaj6XEkOwNf9hzUJ8NccdEi0AxYzEGt1V3kh6HNvrgk2wM8nOXIy2QOWaHcKgFP35jvqwRff12bTKvMQoKkil/zJW9MbKAqCroaMqiWjPVo1nrtHRVMeRk7yvpOXAl4K3B8KPAKALXVCuotRwQl7YqIUTGBRESaHJyZpzX+l9DLDJY1mrdCFn78k0zMHjn8HhwRer1+lKxFFI6DL4dQMfTfQOAX57QVs94fXvU/xUsBLAS8F7gsF9E4VPvDB5Kndaqh3BdhOnTnqMhrN0h387KlEN2BrJDlsBmOs20+WMmCjFy0yCZi9ZCO+/X4zwh7LAhurZ/oYERlxDT1e74aaxXMngzWJTHQA/m5UFG0FQthixz0qT3AVYwWC/QGbC/AxaD9Zb4TXxycBAe4+OtyPCcR83XOS6EZh+orNvJbePnUOH8nyJrFxQECgBtSS38OhAUMfd70R3lal3WmATSkaYvp9KJnhvqwJ70O8FPBSIH0USC9gU9al9L1Fhl2dUj8a1dOLkQ++Ej6v21zdbVS4V+ivZQ6b5Lh57LuKfEp2u5ya8FeRGFIY64bDC9gybLK9N/ZSwEsBLwUeCgr8RwHb+UunBLAxh40hkV8u2IsWLTUPm9F8aw8buz5EOoFZX/6CP44eQYNmzyNHviz45/wVzJg2DdWrVkaPNvVx5mISYi5fhc2aAH+LD0qXziXgaPOW3ShTqjQez2rGoWNXpVdPtWolYLUCv/++X/ISGEKTO3cuZAsDDv51WZLW2VOHZTZZS6RyuQKIinXi0KFDksNQrEAO/HXyEk6ePIlnaleGNRE4f/6SXEeLbLFixZA11AdRVuDgwT9hS2IlMqBAvrwomDsIcQnA/r1/IMjfBxXLFEnu7nADYGObAnV4AdtDsTy9L+GlwL+SAv9xwMY5UaGNCoCppq4EaknxVglVZ66alJ82mWGQXOMbkZkiE+EYDW/8zyPJniRy3ezOT1bATV19HbDpgFqy7OYv3irA/8p1431pLwW8FPBSIEUKeII1ddLD5WW7Kw/bydN/uZj3xSqR9LAxh61lq0YoUyXtKpHs2HLVBUxf8it2/HkQTzWqhxx5ciEiKhLzZ85B/Tp10KRReWz8dg9OHD+KhPg4ZA4NRb1nnobBYcfc2fPQvHUbVK+aF1+s2CZNVrt1exXnz17AwoULUaRoIcltYGnm0qXzYPHiddi/fz9KFi8h3eFjYqLQt09PXLt2BV9//TXy58+Pdi3qYM23O7B161b07dsXp06dwuHDh/HHH39I34VnavNepXHkyBF8990mZArLglMnT6JqpYp4pW1dXLichHnTpyE8LAj9enYRzxvBWqqAjf5Db0iNV3B4KZABFKCb5T+uUKcE2G63QAb7WQqwUT/v7RTcq8r3UizE6Q5PvOkVVcSC5zynDNh4uWzHLCRMh5tO9jpdTphY4F/fRlMQo/uhpJf07fSgl1d+31vG0d/tXjFRxr2h985eCngpkCrwebhAzu1N1P0GbHe3/94VYDt74YSLjeOYw0bAtmrpH5LDpvVhi4TZwAaRKYdEErBdAzB56a9Y+/MPsJoMMPgFwJHoxFNlq6BZwyoSAjl01KcoU70CylYsjeVfLEXlEiXQ8plamD93GfxzPIYW7Wph5swN0uS0TJnimDv7cynJXL16VaxcvkKqfnXq8BzWrduO3377BX379JF8h+nTp6Jlq6Zy3fQZM9CkSTNUqZgHG7b8gR9/3Ib2HTtix44dOHzoEOrVq4tTJ07i5N/H0KxZE5w/dw6rVq5Bx46dYTIYkSNLZlQvESoA7djR88gSZEGBx8J1gM3TQutmZO9mf3tryHuWlwIpUECPTa4vJSVwPQGbtuZSvubfSl4lV+5wYxSwdjuALa373lxASdHXcxu6eX7cHqp0k/7OgPnNGOB26JDul/Te4HbXbxoGh7TX7/1WuLxT66WAlwLXKaDbf2+IdEhrL3kUaajfh/XjT4NWLHTIOh0Aliw+jT5dJ6Pzy21QtloCXDgBH5MZDnssfEyMY+RWHwy4fGAgYNMXHaGH7XaLjvBWcQAmLNqKn44dRrHKlRARE48j+/5EjRIV0atDeRz+B5g0aymijAnIkS8nLp8/g0pFi6FF9RqIvBaLhRu+Q2iOx3Ds+FF07NgRObIa8FztdrEAACAASURBVNFH86Qn2mOPZRcwZTIb0LhRI+zcuRNXLl/GgNca4UIMMGHCLDRv3RSZM2fGxE8noVGj5/F0zYLYtO0kftq+DS+90gHrvt6E3b/vQPWq1RBx7SqSEuLx0ksdkZgQj63f/4hfdu5BkYKFUKZEMdSpURr5QzQ1KMRd1ZJ1LH3YJyi52IhHuI4XsD2Kq9Q75ntAgZSAgYSwiSfEQ2lz5zbRo6SKFvEVVHGhe/A6D+AWHhujeH/cx636hSWDtZRe2XOjSGvjcG84qdBXPeGGEEM1P9LP8kFHGNyecn+7TssHwAT/2kemun5TG5F7r0x7/d7enP5rCed9cS8FHhYKeCYBa+jgxrxi+UztAO6fXs+5jkY3Gz1TLXKi24juCrCxSqQqOsIctmUL96FFy0YoXRkwmtIuOkKE+MHs/+FIxBX0fKsLrsQDKxavR+KlSPR7vR2OHLmKFevXoHStKni+fklcjgGy+AKFLMD+Q9cw9cvluBwbhwoVKuD1dk9h33GreM4qV6yIRo2ekl7ZCYlOZM9ixIIF63Dh3Hm8NbArzp6Nxfvvv4/WrVsjf4ECWPzFl6herQaqVi+Ob77bLYDt5ZdfxsaNm6Ws/6tdWrK9G/4+dgHlyuSQ4iXHT0bBNzAUq1f/D2dOHkfndq3wTNncSLQBpsQEhAda4M/mrXrAJg28vd61h0XeeN/j30sBL2C7F4AtLavnowbYbj3eW+Hgf+9KejBvnnGATSmN+nGlxecPhgbep3op8K+mgBewpWP69Pu3p2kzFXl1LwAbc9hYJfL0CSu+mL8HLVo+L1UiTb7RMMI/1ZBIvi4rPU6etwgHzp3G8NFDBIdv/vlPrPvifyiSrwB6dW+NiTNW4GpSFDJnz4Jrly/g6UqV0LJWebGUfzj3f9i+axfq1q2LDs2exIUoYNXqNUiMtyJ79uy4fPECypYtizKlS2D58pWIuhaBvn274vKVeHz88ceo92wjFC1RHIsXLYXN4UCu3Hnx1/G/EW9NRO/evXHw4EFs2/YjHs+ZE/6+PgjPFIpKlSri3D+nsGP3XhQpUwEbN2+Gr8mFnt26IMjHgLVfLsJjmULQrlVz6SVHwJYcfvRfz6lJB/t6L/VS4E4o4AVsKYSepORl8/Ti3+BhS0uRvdX318vqa9VuNUuq3gPiuQ3d4AF9KD1sXsB2J2swPed6AVt6qOe91kuBh4ACXsCWjkl4AIDt3MWTKVSJdJf1N98asHGk9ID9vHsfdv19DPWbNYHF1yxJJtu+/Q2JcfFo+sLT+OdCLH7/cx+uRF1B3lw5UDxvfhTKnBV+FgN2HjmD3w8eRNEiRVCxVAEh3j8Xo/HDlu9x9dplFC1cBE888QTyP54Zv+w6gMsXLuKZZ55BZFQENm3cjGpVaqJ4kZz46ZdDOHr8BELCMiGBjbbNvnj++eqwGIA163/D2dNnpEJlhXJlUaFMHly4aMVvu/fij1NnkP3xx1CqRFGUKZgVFy5GYtuWjSiSJxdq16imC4e82SXsMnjrjaSD272XPuIU8AK2NABbavxxE2BLC7SldqP/AmB7xBfRAxx+xgK2Bzgw76O9FHhUKOAFbOmY6QcA2E6fO+6iVZVl/dk4m0VHWrdpIEVHYLh1SKQYftkZ22REjNMuJZnjnS74Gw1gd53ERC2S02UC4pxAoi0eQf5+CDYaYXEB8XFW2C3+MPho5zGmkw22ecRYkxDs75v8OXNVomLj4XI6kSkkKJnIUVGJCAu1iFU4Os6FwECD/B4VA1gCAFZ7jo8HwgI1cMXnqKbYDOdMcD83yQUEG7ScGJaM9nf/bkwOh7zRAq1ewJvClg5+9176SFPAC9j0uQIqNyAN8HVT/pqSmHfDSl7AdjdU816jUcAL2Lyc4KXAv5wCXsCWjgl8AIDtz7/2EQNJlcjL511Yt+oY2rV/DiXKAy7DrfuwsRCHNSIC/mGh0kDaDiPikhLh52uBURqfas2nI2OsCGSHbBA8xSIsIECKClhjYmAJziTlmXnExscjmN8RcEXHIDDQH2aTGXaHXX7y0NQZJ2JiY+DjY4G/xU92DpbIjI1PhK/FApO7Mbd+JgQQuvUjOgEd7PrtA0Q6AJsBsCckITzAVwCbw+mAr8EAh41jUTfzArZ0cLb3Ui8FbqKAF7ApwKYyuHX5sanxS2qATd3ijpLB//2A7faLiXgLWdxrEXRvAFtKCfu6N02Rn9O45l4P1Hs/LwX+qxTwArZ0zOwDAGw7dm1z2e1OAWwRl0347qtT6PRSM/Gw2REBHyO9WSmX9ZfKiYyJTLIhyW6HbwDdWCYtB8KpebeY88DQQT6D55vNRsCWBKfNBqOfHyubICEhCSaTQZpkq8PhcIANVlm+P8AN4vi7xdcXJt5D9R9yATGRkQgOC5fPHE4XnC4DjARlDkhPHr4Hr0hKtMFCAEalx24DzD5I5DXuh6qKcy67DRazCU6nDSaj+lQDbK5kyKhd9O+uUpcOXvVe6qVAOingBWyegM1tktLnselpnAzW9LusFoKe4pGm+19XjfNfmsN2+0P3ArZ0LtfbN7ikamzQvrieI8m+eWpeUqhCdwPv6//w9EzfbUjwvaaI935eCvzLKOAFbOmYsAcA2FjWn1UiGRLJPmysEtmyVUMpOmIwphUS6RacnHSZeCI0N7AxXO8S5HC4YFYdTgmUTAbYExNgMBphsvjh3NmzyPn440K46MgYhISGyu8Oux0Ebr6+voiOjUFICIvtAzZbonjXbEkJ8PE1AU47HHYnTL4sEWJETFwsjGZf+NH75j60UEidgsSy4QaCNR8BbCpUkiGQPJLL+N9wBy9gSwd3ey/1UuAGCtwOYBPDjo8PEhIS4efvD4fDAKPp+up80AYTNoQ20BtP6xBDus1m+d1oZAPn64hJGaAiIyMRFhYm5yYlJcCX8iu5n5oBCdZE+PkF4trVCIRnzqSdl2iDr0UzNEVGXEVYpjBpe2I0mRETbUNwsBa9wFdgVIPZDMTFJSIw0JJCku2NwCUpPg6+/v7Jcpv0dbpcMJqNSLI54csQCV1R54wsOpKQkCBGOmW4I83sdjssFguio6OT5X9iYqJ8ZqWhjwY8I5CY5IDZbJKIDh6kgy2J+4SP7BMWGge1TUWz4LlcSLRa4esfAIPRLM/hXHKvUYeas9tZtklJScnXxsXFyXN5L/092EBc8QTP51j5/0EefKdbHarhuRqH1WqFn5+fjCPOGi/zYDCa4HTYxbgaGqTt0ZoRNUxjSvcYr167Ki14nHAhISlJjKcEbPHWeAT4B8kckP8s5HXXdaOvrAGbHb4MjZHDidi4aAQF0pisGW/1ht2oqCiEunUI/dgU32hrL0nGoDcSZ8Q86N9LP/+ko7+/P9Rnt+I1m80m78m5oFzhOuEcaHx+nafOnz8v/Wt5XLx4UYq2qefwM3Ufjp20VoZw3o/34Vzy/jxiY2MRFBSU/Ez9Z56/ZwTd1D3VWPnOPLimrly5InzE+eM4lMwlfUgnRXP1nZ5OXJuBgYGgHKY+yfEquir6kBakG+mj1rVaJ2r96umuaKXeWd1HT/uMpNGt7s33J304TkUX8ho/J/8lJjhgsZjE0REZeU3ompAQDz8/X8TFx8k5RoMRFy9eFn7iWrNaE2FhFJ3J7YgxuESOkd4cc3BwsLyS4ml+Trqpc/R7pKKzGgPfS/Giop/+ffXn6WX1vaCvfo+JiIhApkza/qv4Q/3kePieAQHaGoyLj0EgnVVMsUpIcq9NbR3pZRHp5kd5adD2Z79Ay931YbtbwKYRiZ4zzg43wesJYjQSU4XhRzZrIgIsFvnj7PG/EZ4lMxw+QJB7YhWxrfHx8PfX8tPsNhsMJuMNG1pUdKzGZImJwoCBAdxcHYAzCdb4BPj4WWA2+7kteDda3bRcNL2KSMWF59AjqJ2rqVe3ssRqFdTUWQrk3Qtm8d7DS4FHjQK3A9issbHwDwrCkSN/4eKlSyhfvjICgwIQa02C02lHaKAWQv0wHBTo3BSp6HgKaxGRDod8zw1N2xBomHLAao2Fw+4SeXjxwmVRJCgHaVOKiaEBKxjx8TGIjY1GlixZYDRRybDB5aR89MPRo//IRhseHojYWCp3JlgsOvl3g6fNQ765nIi8ehWx1gQc+vNP1KvXABGR0QgMCREgpA71a0YANspz0o6yXR1UerjJc3O/etWt6LsVVp5DhTRb9uxItLtgNhvcshu4fPEqsmfPLLdxwYXYyGiEhGkKhN2WKHHxSbZE2JNsCAnPLEA1NlabMz6TCiKVPr5TSkq/J59x8+Z/XkOFhPN1/PhxOa1UqVLyU4EynsffqZBwvBzbgz7SAmycAyonnAPyLelEpZfvzvSDaxHX4OvnhyB/bR06bW4jK/d793Hl4kU5J4SpE1RqCKR9LYiOjYTR6UCoGGKpfJMmvoiNScCFCxdRqFDe5EgdtuFhVoTDQQXUiIREK/ws5BcNsKl5oBKnQMe2bdvkd7YMIhihkk4lnOcoxf1+0F8Zczj35C/SlO+jByMKQJHOVBT1CrZ+TfA88inHoIwbBGrkP8oGHmfPnsXjjz8uyjPPUYotFVI+l/956AGs/hl8XwUI+fmvv/4qRqZixYrJaeRxjkHJuftBQwXYOCa1Lgnc+F7kRYImyg8VlcXfFe/ys5MnT6JgwYLyqnpl/NKlS8LXSvboQZ5S0D1po9a6AiR//fWX3J/F8Dg3vJcniLsfNErpGWo8HAv5hHyhDn4XcS1G1kRgkMYTGnh3wN//+vqNjomGn0VbN+fOXUK2bNlgNhkRGRUtfBoSogF7Xst7kS7//PMP8ufPf9MrpQSmlfGE91Kykvc7c+YMjh07JnTlQfBDsM35VhggvQYXTyMh5YJaM+QfzqMCoHwnZdjTZKBR3oWpW5cuXxJ+yxSWWT4jcFOyiLQICAhClizhSLDa4eenyf2IaCcsIcY7b5x9t4CNWz+VLtoIJVqHCM1d0cNB9O2eLiNz2ZzAkX2HMGTQQJy/dhlRCfGwJiWi6fPPoXfPXsiTL2+yoKXgJiGpmPH3S5euIGfObDdAKZuN0ZhJ8DHZYfZR5USAmDirFEGxWGgZ0KyXCogRbl0HZdcB241clVp4hQqJvPHsNKOOHtRK9T7XS4GHnAK3A9hooR87diyWLlsu8c1Dhw5D02bN4DQYYfE1PTQhyXrr3IYNG7B27Vq0aNECtWrVkg1s0qRJ2LRpkwj/du3aoVGjRm4LHZNpeRjx8/btmDhxkniTChYojDfeeAMlS5XCn4cOYcrUSbh06QIKFSqEtm1fRKnSJfH38ZMYO3Yirl2Nls+7vf4qChbMlazkXrsWjfDwEA8vmwdgc9gx//PPhb4HDh5E9+690X/AAJh9zcn2N+3ttONeAzYFYvTeSD3bTpw4ESdOnMCIESNEOduxYwfmz5+PCxcuIDIqBsNGjUG5ihXAPcbia0wGbosWLMJXX/8PF8+eR91nn8Hrr3YVUPvtN99g6dIliI+JReOmTdCiTVuEhGbCN998g5kzZwrtX3rpJbRq1Uo23jsBVVQueA/Of3h4OPr164enn35aFxliSwZsHOOD9q7xHdICbD///DOWLVsmyhOV0ddff114l3/PmDUTv/zyC3LlyYMXW7dG/Xr1hT80768J58+cAUHTkiVLYE1MRMXKldCjRw9kz5ED67/9BtOmT0FSfCyeffZZ9OrVGxZff6xatRZrVq9FTEwsKlasjA4dOiBv3hyax1S8oLRg+8LhtEu6gstlhETw6MAveWPq1KmYPXs2ypQpI+uwa9euwlZK6dJ7mDJSTPJ5BIrkBx7z5s3D3r17ZVyVKlWSzzgHR44cwZQpU+Rvygpex89FDwoMFIBJZXjOnDn48ccfMXz4cOTKlUvov3TpUvE6EZiylRHXEtcM5SYBScWKFYUXCegUsOG9NcXyureOz+Ycky+pPJOOs2bNwnfffSeGJs59+/btb/DM6YFdRtGR64k8RMBRpUoVDBo0KBl46j3bBLuffvqpvB/Hy3Hs27cP69evFzrlzZsXo0aNkrn4888/ZS527tyJ8uXLo3PnzskGFgVklRdND9z0HlMCv2+//RYfffQRzp07J+9F+vN80llFhGUUXe7kvqTB999/L+2z6tSpI3M/Y8YMfLV2gwDMZs2boE2bVm6Z5ERikgb2t2zZIuOLjYkXnmjevDX69euDUyfP4v1xY3D06FHUrFkdr732moDBAwcOSLstgisCZNK1RIkS8qp6w5yiMfdG/s45U3TmnE6ePFnmnPTu0qWL9FSm/NZ7Nu9k/Gmd+8MPP2DRokUg+C5XrpzMIwEn3410oKHg8uXLsg+Rp7JmzYqKFcujb9++yJwlk3zOFmJGgxlDhgxBhQqVREYuXLgQW7duRVhYON555x2UKvkELl26hmzZwgUusfDhksWn0afrZHR+uQ3KVkuACyfgYzLDYY+Fj0nzLMMZDLh8YEhPSCS3foIywiIzf1G6AMGaG7DJxwkJCDH7Yfu336Nly5YIzZoZmfI9joiYCJw8cgQ933wDI0eMhn9gwA2WL4a8UDjrVYzoWNZ1BIKD/GC1JiHQj6EvVvj4+sJlMMIoQRaaJyzRZoPFh5YCtxcQjJm/HkGvUUIfkqIDa9JvTYG669PtGUDiBWxpLQXv914KpEyB2wFsy5YuFcWL4c5/HDqEokWfwOAhQ1D7mdo3rd4HSWcl2A8fPow333wTP/30E9asWYPGjRtj165d6NmzJ5566ilRrKgkLF68GEWLFoavLyUIrYln0b5dRzEvPfdcY0z6bIpsggMGDEC//n1kM6hQoRx27tyB555viEGD3sLwYWOwceN2PPN0A1HiypQphcmTP4I1Qcv/TXZy3MLDtumbDbJxR8bEigeTIWkffPghatepCx8fc7KXLaMAmwof4txReVRWSSqcVPYHDx4sChYBFcO9qIh9+eWXohx99fV62FwGrFi1BplC/WGzuWDxMeDAwT8x+K0BKFK0EEIDg/HtdxswY+oU5M6TC61bthKLcLUqVTBn3nxMnTkbhYsUwyuvvCIKB5WX/fv347333kO9evVuG1RR8SC4/Prrr2Vzp/JIjwRpy82dlmB92Bt/p2KtvEEPinfTAmx9+vSReXjhhRdE4ePYyLvk80FDBgvYOvb33wgPCxOa5cuVB2Z3Lvr2H38UJZ+KW9ny5bH0yy8wevRo1HyyFlq1aYMsWcNRpEA+bNmyCYMHv40a1Z9Er1794HQYUKBAIVGGqeS0bNlEoljtDlq4CTB84IJDDBMmo68YdUlH0pTvx3U3ffp04SWCjnz58mHkyJGoXLmy6BcS5mU0Joe7ZSTtydP0aFEJpfJLfqaSu3LlSjRs2DDZy/Xhhx/i7bffRtOmTbF8+fIbQoBVaBjlBgETPbh//PEHcubMKcCPa528u3HjRowfP16UcgJUAgqCQn5OvYvKJc8l3yngodZfSh5HKpsEvvSoELizvRLvTzqmZmC517TkOF999VWULFlSjF2kARVigg7OoQLqp0+fxooVK0Q+kK4EKARNpCnBGUHr6tWr5V7du3cXBZv8TMMM12yBAgXwySefCMhSoECF8qnwQY5Neax4Dt/l3XffFbnFZ5H/yGc0aPC9rl27lgzU7zVd7uR+X331FT777DPhGc5fx44dxWv61ltvoXy5yuLFioy6hg8/HI9q1arBYHAhJjYKwUHBGDFyhMjeDu07iWczf/7CyJMnDz75+FPs3bcb1atXxzffrEfr1q2F54YNGybGh9KlSwvf0VjCPYyAjLxGuuj5T0UbqOgEfkdA9P777wv/cv1S7nPdPP/880Jr8i73BE8P6J3QRJ3LOSNIowGE/MX557zSqErZpedz8k+vXr0EQJKfHA4bmjRpgreHDhYj3YsvvogN678V+kyc+JkYaAcOHCj03rfvgNz74wkTBazxiLUCRv/7CNiIEAnIuJn78g8VA0mwZgaIDW1wwI/WT4cJv36zGV1eexVv9uuNVt06w+Z0oP8br2Pfzp2YM2ceHHDJIPv07S+LcdqM6ciWNQc6d34JP//2O1atWoXYuHhB2lwoLqcDF88cx+TJk3Di1ElUrVYdTZo0Q+68+ZFosyM4UIsr5aE8a1qSsw52sSKK5N7xY/dPj5nXgzQvQLubZeG9xkuBmylwO4DtvaFDwQ2nXsNGyJwlC3LmzIMnn3oKj+d+HPHWBAT7X89TfVA0VsoPgRk3Fm6GVNJoIaTSz3AZKr1UrmghpxLBzax06ZKw22m5BI4d+xtNmzRHw4aNZLNq3LiJ5AxwU+VG+Nxzz+G9997Byy+/hEuXL+D998fgtVe7o27dphg+7D307DkA27dvw+bNGxEYxFw/B0JC3GEtKQI2zQw2Z8ZM2WSbt2qNvPnyoXDh4ggNC0O1mjXvW0ikAmtUhhhmRfBL6zeVDNKubNmy2Lx5syjjVLSoeBAIrVy1Bh9+OgW/7vgNuXNmRUKSA0nWBKxetRKjRwzH8BHvIXvmrDh77jTatGyBVStXYOKEj8VbWeqJkqjzbF00btEGJZ4oJRsxlWh6ZKjk0jNKpT+tQ809ARqB+qFDh9C8eXNRMnLkyCH34X7FQw9OqWxwjtIb0pPW+6X1fVqAjeCBSlKnTp2E5gTKVOK5T1+4dBHrvl6HmXNmY/Jnn4my2uyFpvJIe2KiGC1oGeecPVm7Npq3bCHKToFCBdHl1VexeMlClC9dQgwZdeo8iwb1yeMj0bfPANSv3xAtmrcSRX3EyGHIlClA9mgtf50GWYcGgI3Mp9OMrhwLPaQEP1x7VKCKFi0qAI2KJYEH54AeKx73M8eIYIL8RNnAdf2///0PxYsXF9qeOnVKFEQqqgRVpDFBvgLzDEHkuqDix3HRA7BgwQLxnnXr1k3oS5BA41DhwoWF5m3bthXlnACPn4s+NW2agDyZH8aYunNuRXnU5azxbwI4ekrozaaXhPKMwFcPlFSoWFo8lp7vv/jiCwFoNAZQEWYoNNcXPXsqn5KAivoggRcNCVzLpAm9PBw7Q+oIxmiUIdilx4jAjgCUc0LDGI009LAwUkEfFsl398x9pCGAYIxeGc4XQR/XOj14nFuuecWP9wvYpkZjAm2uy99++03AOtczvf40hPD3H7Zux99//41OL3XAW2/1l72GBQBVXlbXV7uKwfH9seNlDYWEhGHXrj1o17YDWrdpiVGjRoiRgXNB7yWvJ88RFHOf27Nnj3iZyDv6Q3l2uWa5jgnkFFBmlAJ5j8Cb65dzTSMBPXVanivz7iz3BLDxnQi2hg4dKvKiRo0a4gEnEKMHm4cytFGu0PtN71+RIkVQrFgR+b5qtcpiMFm5YiU+/XSS7F3Tps3AhAkTRN7QgPTZZ5PFoLdk8ReoVk3zrMclAAa/+wzYCMoYkenL9a8Am9kJh1lz9/Gg2mCyA1tXr8XLL7+C0R9/iNbdugh02rz+f+jQuo1sAgRdkydNwdcb1iM8PAtat2mDwoWL4rPJk9CrZx+cPP0PypWrgJ2//y6LpMtLnVC9akXky50L2XM+hrPnLuDpOnUxaPAQeW5EVCwyhV7v2XZD4ZFkFKYqTiajumS+Sikd++Y8N2+FqvQIZO+1jy4Fbgew7fjlF7F0HT56DC1atsTIkWORL39exCXY4O/HogUP9lAJyFQK6eUiuKRlcPv27QKEaGFUOST0GFCRoPJFIc7iCnFxEQgJYY6VEUOGDMamjd/LxkQAx02PCgQVivbt2+KtgW+hX9++2LiJnoe38fGESahU6WlMnjQB778/STbGr75ai4IFc4hyGxubiCDmJtwCsB3Ys1eUjr+O/40iRYti1Kj3UbVaFZHNdgdgdhM4ozxsnD0qXAQwKryKiiiVfSoKVDgYUkba0kLJ8C9umgyP/Of0WTRs0gI9e/dBjqxasQva4j755FMM7j8A9RrUgTPJjuo1KuPN17ph9uxZ+HbDOtlwM4WGoEev3gjJkgNP1X4GH3zwgSh1BA9UnqlA0ECY1qFX5nhfKoBUdgmwqShx7lWuD8/lfVUoZEaF96T1zvrv0wJsSuHkHDBUlCFPn3/+uYCK3HnzCM+tXL0a773zjigoTZ5/Qbu9wwF6PWhh5vyyyMjJf04JAPjr2FG82aMHvly2FKWKF5a9vFSpMqhUsSrGjfsIH334CZ59tr54nHnt7Dkz8dhj4cLHzFs1GpmdSA+bE/FxLLoTekOoFJ9BBYyKFsEGwabKv1Jjv1/eD9KXoH7dunXiJac1nwaHuXPnCmAgkBozZozIDIK4J598UjyYCjSofCvSmWHWBPgEeJwDKsMEMgQgtWvXlnBTevDpTaPHgLKG8ofzRjryHirPS3na9DlOykup8ixpVOI9yQP0vFBO0KChDk9gcyd8d7vn0gjC96YRhXKBY6Nc5DsxxJP0Zaga55xjp1ylkYyAhGGK9PwQqBH08T/ngeuSsrlBgwYCMjguKukEbASFVLL1oZ76MFF9gRLOI71H9CgRkIwbN04Ufh4q7/Z2x5lR53HPoSwl0KWRhaCBYISeRoaJfvnFSgGZ1apXQYcO7YSf6GFzOG3i3eLew/MKFyoqHqhu3brL/tS8WUt06dpZIkcYIkla0HvOtUx60jNPwyNBIfmW+5gmFrToDyX79CGmyqDF9+V9+c70ZFHW1KxZ84YIhXvFe5TJXEsMgaSXlYYS8gBDa3ko4w4BJvmGa5RzzXU8evRIeb83u78ua5nXzJo5R8Am9yCua3oa+feXXy6XPWbiJ58JoGdBsPseEskHaoDN6QZs7r4+JsDh4wKzMxIcCQgw+sA30YBdm77HK690xdvvj0LTLp3ghBNb1q1FnzfeEAR65OhRTJjwCb757lvky5sfz73QGAULFkbLVq3QqdPLKFOuLJ6sVRsLlywWq+Wwd97F+yOHIdGagGfrN0DFylVF8D+eK7dUsAoLD5bcBgp6yb24YadyB1oml7N2AzZ3GwKemlK3Fy9gL8UccwAAIABJREFUyyjR4r3vo0aB2wFscdHRssl+9MlECYmsU6e+hESWKltOAI+vqj77gImnr5DF0CdaHZn/0aZNG1EAuEFx86TyQcsvN8YaNapJDAIlTVRUtCgPW7//STYM5u1S6aTiQKWFmykBHTfFbdt/lKgDAra6dZrj/bHvYcLHM2QzXr16FSpWLO72RgASnXYLwEaAs2XjRrz/wYf4bccOFClSAmPGjkXVGjXFiulj1i7OKMCWUmigKmrAzZIKPy2gDHEiXQiIaIHl5nr+wiU89WxDvNG9B7Jn0QqLOB0QZeyjceMxZuwI+PtY8O57QzDxowkwGg14f8woUe6q1qqJJ6tVR4myFZEvf0EBcfSCsFAIlUKOnYDtdkIWVZgdrcxU+jiPVNjIA/yd78r7kEdU7hDf9UFb3/kOtwPYGJ5KpYPeDirAVKBoRMmSLat4bb7/4QcMHjhQcqbqPPW0AKngkBBcOn9eFC+CDrOvr1Rv5vl79u1Fn379sHLVcjxVowpatGyGAP8QlHyiDObOXYCpU2agapWaoivQ87NgwefIkpUtg9SurI/tIYMb5RkExgQ0VOyZd0dQRFCj3pmeKUVzz9ytjBQf+oIMlAlc++QtgiDSlDKBPMv1zoIjfHe+nyriQBrQa8awVMoOep6pOHKcBKQECvSw8R7M86JySx6nN5P0Zy7s7t275RoaOsiLqoIpeVIVIfGkAZ9PhZvzSh5gSBo9KAQ6PPTKdkbRj6CThgAqv6QDw+MpE+hZVAflqwpbZD4avYx8bwLk+vXrC+ikQk4Awb2E3jXyMz11BHbK20SaERgqg4re66iqAevzTkk75vdRESef0cvC+2oKeaAASQKAB3lwDHxnGrzIC6Qnva8Er3z3FcvXiBGpQcN6aNSogfBgWBiNX05EREZIRAg9wcwv5diMRl/hxUEDh6BXb9K1p1zDsEl6ORkRQn7jnsXPGXbKuVAFXzyNVoo2pCWNKPSC8+D6IJ/Ti9msWTN5d+YvqtBKBaJT4907oTkNgPRG871pBKCMoreNMk5VdObzyB/kA46FsuXw4UOyH781sL9EgSxauEiAGeXjoEFDJIqGtOe5v/++W0AyPZWtWjWT17t8LQmB4b73L4dNRUEyzNAsf7ghjskFl0lTRXhIoeTYBOz++Vd07vwK+g8dgqad28PPPxCTJ3yEz2fPkck+dfofcfnTwpQ7d2680LgJSpcrK2ERw4aPRMmSpWWTcLgMgmxf7tgJP//0I5YsWoD9+w/CmmgTIT9o8GCt3xsjHBVYUxUsU0tCcys1+q9vzmBLqZKk18N2J4vDe66XAnoKpBxurOtvYnchIjpKlHaGwNFzNXDQEPTt21tu86BDlCnAuQmpKmMMySK4oCJFa++zderC7tTylahMcgPjxkCrP/PQWBrZYU/Ewb17xBLcsk0HvD10GJ57/gVRiIYO7IvuPd5E3z798NIrndG7X3/8ffwo+vZ8A8OGjcJTT7+A8ePHYsLHU8RD9PPP25A/fw7ExdoQFOTua5lqDptG51Mn/5EE6Q8/+lgspTVrPYU5c2ZL/0y9dLt+m4xpXKwqNCqliH8zjPTs2dP43+q1kvNEzxXpuParrzD+g48x/pNJWL5yFWpVr4BrV6OQNXMoRg4fiYmfTMCvv2wXwx4BGD0XbCWzfdtP4qHLmSMbWr/4IipWrYkCBQuLpZwFTahg8RlUurgnqWIRt7tq6f1gaCU3a+Yq8VlUIrWS2FrRC4IkPXC73XtnxHlpATaCUeV9pBeHygx5nZZ3zs/X69Zh5aqVohRPnzpNmx+zxnezZs7EB+PGYeJnn4mSX75iBcl5Y0gkFcbvv9+MnI9lEat8kSLF8NSTz2Ds2A/wycefoVq1GnixbXuEBAVj7rzZ8Pf3kY5BRqOqbqbxoMvFlgxaOXceBG5UljkuKphU2ukh6N+/v3hm9Dx2Pyr56b2ofDYVZirB9ByTjq926SoAip6ZzxfMFz4hbcn36uC70whEAEbeunDuvCjEIaFB+GjCJxgxYhgaNXpevGn0QpPGNEAQ1FAOUfEkb9OLROU8NaClD9lV1fL4/jRkUC9j6BwBG70n9yeU14n33hkmxW0oU6koMyyPHiICA67NpCSt3UN8fIKsLa7bUqWekJBRglSCddKA4IEhfwQuBGhUqhkuOXz4SDGqEHAQPDPUTe+90f+uvEOkk6qkSfowqoJAkh4+elroiVHtFTJizd7pPfmuM6ZNl3VMYxfDWgmAWAzjx59+Eb5gnnTHju1FDtLDRsBmTbBKqGN4pnChL9fs7t37xWM7fNhIDHirH3r16iFrn3lfpCvBNHmXspPA+OeffxWDC41W5D29t1JFJ9C4xbmUViHuligcI0Ncue+TvrwnPcmkt6qSmlKV0zulDcf55RdfiGz44MMJ6PzKK2jY8Dl5xjcb1gmfR0dFiHdR2gvYHPAPCMC6dRsEgI0ZPVyKJ1WpVBmTp0zByJGj5b0HDBgoIeT0LNLbTTqQZ+fNnY8na9dATFQ8AkIDkOS6w5DIcxdPurgts3E2+7CtWHwArVo3lMbZLlMUTGC53pQbZ+u3bZP0YlNeK02TcrHjisspfRzorvrl+61o374dGj7XCI1bNkcsFZKhIwVVE6R9Pm8OZs+eieXLlsnEMGabwIzM1bffAIljnfjpJPz08y/w8w9AkSKF8cu2rciWNRNsSQ4RTCwLzIXHpGWTib2Q3FN4k4dNp+2lovUpjHfnTOC9wksBLwXSTwEnvly6DN9t2ijWSyryBDxUSJgrRgF6r3ux3Ok7O1zX+7CxshOP+fM+l02MlnNWtFy9apVsOiNGjZScrHYd2sumx82RuRN5cz2GuItnxHJZv8WL6DtoGF7r3gd/Hz2MRdM/RteXO6JcpaoYMORddO8/EIF+fpj24XC82LoNwh4rgMnTZovsowK6ePFCZMkSKkArKYl9xfQtS9TorkvuH3/4AdOmzxRFgwolE/S5eRL8BQYFZTggVmL5ZhGsvWOXV14REHpw30HpW0flnkoEE8AnTZuJz2YtwLLlKxEa5I/4yCsoVawgdu74TfYObpj5CxdF7afrYOSoMbLPvPvO2xjYrzeeKFFc5mDgkPcQGBIqygY9H6QDczD4nxusGP5ucSS4+2lR0aAy9Pvvv4tFmhZ/viOVDHrtmDvEPc2z79Cd8tu9P1/LpVNtBpQHSvU+olembdv2qFevrliYmatDRYnKG/MK16xZK0Vg+J/eRRYmIA/Rm8XPhr37ngAR0oQeR3o8GLJGZa5Ll86oW+dpvPhiG7z8cmc8U+dZ9OkzADVqPolOnV5Ch06d0KRxYwEIISH+iIqMRlgYUxycSLCyV5Q/EpPoIdJyNikfSHe+BxVzVnmjwq2s9AzV4qHvhXjv6ZnyHRVIIp/RS8yc1syZwjFqxDAcPfIXfCy+2Pz9D/Jz6tTpqFqtmni1qMds2kRPyHIEBQVg/959OPPPSQzo1x9ly5fBiNFj0KxFU8n3I7Bj6CeVWxZxYega54mK5eOP5xYPPO8RF2dFYABpZ5MoBT1QU7/zfWlwokeKxg7OKXmbXikanAg270VYWloGu9XLV2HgkMHiHcucJZusyVatXxRQu3fvfjyWPQeKFSskVUQTE+0SslniiWJYvXqllJansSZbtiwSSs0qupx7AnnyH701UyZPQ8+evWUfoSeRXnxVQIoAQ19khJ+rUEl6g2gMYL4SwRllCxV15lzRI8jz9EWGMorPUpWfHvru9ClTxGNFAxI9sAThXA/LVqxBTGys0Gbhwvkiq3bu/A3lK5QVWcWxcM0+XbuO0DIsLIvw09gx41CwUH5MmDBe1jVpMHTou24wbxF9nnNktznF4EKv3XXeihXaa7T1lTVLWimjp6poye9pwKCRgoV0CHw8e3Kmj66MCHTg1x+34pVXX8cbPfugZu066NGzF0qXKomhgwfh6uXzsMbGoFzZMhj7/jiY/QLR963BGP/RJ1izagVmTJ6IKZMnIvLqNXw2ZTI+/3yBhKB+NmmKhEiSRxhy+eWyFWJ0YTGSMuVKISoiBiGZgu8csJ08/ZcANotvAM6ftmHV0j/Q5kUNsMFw68bZemKltuFKo1K6z+PiREi1bNE8OV/hWnQ8ipcuh/6DBuGldm3w07bteOPV16T6SvVqVWSRkTlolRozdhxWrVmN0JDMCM4Uhp49++CJJ4ph6pRPceTPA3JPWjheeKGpbL7+Fo/+TCklpPHFHrSJPn0c573aS4H/NAWoMDC/lbKDyiAtqDTgVK1a9YGPWx/SabdpjXjNMIpi+9EHH4jcatm6Nfbs2oVub7yBM+fOChgqUqwoBr/9tljt2rRpj7YtG+PNdi0x7sNxWPXNNgTnyItIqx29e3RD9xebYNWKxZg6fR7ORkTBJygbur/xGt54uQXWr1qBt0dPQGBYFgFbtLq/3Kkd4q1JCPDXGkAnhzLeRC0NEDGBnO/JfDGGIjL8hBZsKmb340gLsLVq1lRyoegxIAhYvuxLsYgzwf/C1ShUr9MI/QYOwpb1X2PW1In4YMwIPFm9ingj9uzbD0twJvgHhmLK9BmiRI0ZOQKHD+2HyeUQJePjSdOQKTyLFCpQxWKYbE7lrUQJre/UrY4k1cTbahWFjUoxLfsEKPSaUCkiWFOKXkoW+7SekbHfax4/lZujAJsKMyMfEJjRUkyjCf+zmACLq9CLsWfPPlFSGa5EJZieRQJXGlQYmqZyUVQeH+lMujB8b8+eXXDZ7MiTJxf6vTUQefLmxfjxE7D1hx+QJXsO4WmGHNWqWU34mP2gpDG3wQlp+B7gD4cNMPlofZmodJO+VPComLKIB9+bCiq9LCx7rz/uRy82fSU7vhvpwpBH8krJJ4prrYdcdhw6cAg9+vaGj9kf8xcuwImT/4gBh+OnshoWGoTLly9hzIiRUlho/JjReK55M7z33rtYt2G9DItK8OhRYyUPkxZ+AlWCWHrdOnTohI4dO2i11Vxa5JEYpA1aDqkyfOmLQXA90PBErzHBC72njAKgl+tehPPeTkh8ktUqOaV/HD6CTOHhyJr1MQwfMUL4g96zFi80k3c0m02i/zEEnettztxZAkZpvJ87dzYuXDwnIbPk3SYvvIApU6dg5sxZCAwIFtDAEDgacOidVXOmr2BI+urpRN5hvzt66rg30RPDfCWClPslO/lOaQI2TrbTKWuSobNjRo1G244dcezwYYwcPQp/Hjkuhjn/AAvmzZsj3tfXXuuKGjWryX5CYwkLlrC/GOnRu3d/MZqNGjkGO3b+isjIK8iWPQte7/am7BsMaabBxN8vUCIM6Gnr2LGt1o/ZpvFZXFyM9C7jwcq+ylur8sFpGOD7MpSSnjmuW64Fegb1fJf+kFw7w1tAITJy9Dis/mo9oq025M6XFwN690WjBnXR+LkGKF2yOPr17I35ixZi3qIvkClrDkTEJqBBvWcx+t1B2P7DluQw+PCs2YQOvXr3FS8617vgH2ui8Gb3Xr0RxNL27pIf9jv1sF26esblchlu8LC1bFVP87AZYmAAb56yh00v/FIFbMrr5j7589mzhPG5IcQl2lC4RBk817gR4qKtCAi0YNdvO7B9+0+oUL6sJPYxwa9Bw4aS07HvwH4cOXwclsAAtG3bAX4WA/bs2Y1ff/5RrAF0mVetXM3dNPJ6mNINUtpblz9j93/v3b0UuMcUYKw9vVXcMFIS3Pf4cbd9OwkqkH8GsfjT+mc2mLBn9278sn27CO7H8+SR+/2wdavk7jBHhWXN8+UvgAsXL0iRj5JF86HHG13gjI3C6m+341KcHYHh2dHk+WcRYouFwezA0kXLceT0WdR9rpVsICHGOMCehG9/3Iltv+2SSIRGjeolAzRtg3TCzyclDxvfSHnZjGIRpMWVFdYIMLRqYCE39Wi6bcLcwYlpAbYNX60VsMPxBYeFCcWXLVkiBQX8gjPh6UbNkDtPduzZsRcfjx+F4UMHoVTZUjj799/Y9vMvOH76PJ5r3AwlS5eUt7p4/iLWrlmBy+fPivKZPVc+mMxmnDz5jyi4zDuhwlupUgVYrdxDrjeQTWlY3PeUJZ17EMECgQwVDQIYgpbUlNv7YYFPeypUaKHrhvdUgI18QSBPxZ+hSyqnkuCACv3Onbukmhrzseh9I/Cnd5aAmXSkl4OeRipXtNRzHnlw/tauXYOYiEg0bfoCChfXejVFR8dj+YoVOHvhooRR0mPCwjfiMbYlwWL2lebZLrsNZj+LADYYDclhUgwv5LvzmfzPg54nPpdgRPXWU2Gpt5OjmDYNUz9DKf/qJ9caAT1DokNDguBISIJPgAWOBBuWr1mFTGFZUb9hPezbf0gMKQSazz/fINmufHDvPhw9egTPPFkLwWGhiE2wYtmK5UJfguYqlZkXC5w6dVrWM5VfVtsrU6acVP9TGj6LRDIcmxVq9aFlnn3G6CGgEYKyjbKBdCTt7gXdbgewcSwXzp7F+m+/k3YRBQoUQaXKlWFzugQclSr2BIYMGYDERIeAdYY2skqu1mvMKHlRv/32i4AOFtZQPcgiIq5h37792PHb71LIjkYEgjU9LTwBPeeQhyrOQj2WJfFpUKRRiXPFsFQe+ibt6eGftK5NE7C5b3D8r7/E61yv7rN4PG9e+fTYX0ewbsNGCfF7tl4d5M+fVwqNDB48UCofvt7tdTGSUJ7FxyXIvlCz5pOaHL1wFVt/2IIjR/7AU7VroVbNp2TdRUbGynN27tgl65dgKzQ0UCo6s0UXaWe1srWGat6uVXyUHcmptefgwdQHPpdVPQmKOW/KQ6foz5/pMxzYgQQr4GtGotWGVWvX4dips3jm2boo+0Qp6fM8oF8v2W/f7N4TSdZ4rP76G5y5cBlBmbLipY5t4ON0wOSyi1GLa610ufJiIAoIDJZ1QtDGcFF6h2kMDQoJSi7mxcbZAcF32DjbMyRy5ZKDaNmqAUpWZJX7aBhBJHz3gC0xLlaIKlXAAgMRGxmBINl4ad4xwQGjVEtJstrh72+WJ1Fo+Fl8pPkmD4adGIxm+FossjAjY2OQJXOYyB6txqNdhLmvjy8M7MFGqwJSmUwvYEtLBni/91LgoaMAlQ/KBeYD8bgf1vG0iEBREs/QLP8AJCZY4e/nL8WNHHY7bAyfCQxEQlyc5l2hLHNbs5PsNiRJE2AnNm78Ho9lCUbtWlXEc5CYYIbV6A+nj0kKJoWZqJEmAk4fuMwWKfJEkJB0+f/sXQd4VFUTPdt300MvgkiXriJiAQFROojSOwLSey/Se++iiAqKiqCIDfhpdgSxoqKA9E4IqZvt+39n7r5kRTChCdF9fn4km7e7782bO3fOlDMnEJEzFtCHI9Xlk6HRvB6WoJhNemknZvQ8wBlymUIC5Xxw6DCdcW7UdD642Wibp1Yml5kcrufvmQE2eJhCCdC2k7TD54XerLKH0JmEiTgxzY9fvv0G504eRtOGdeFOS0E4BxX7/IDBAr/OgIRkuzh0uWKjoPN74Xc7oWPfk84kA7ijoxVpibp35chm5eCzoJPHPUfLojH7ROcimFGP4ExzMDQCg+tzNrJydVk55/KALZg+m/fC/wnSeB/BRBXsH+Pv2r2zdI49YyRvYHmVdgSX3ZE4g9llUvRbzBaJcCempIrjaDZbpU/E7nQhMkJF4clWyvmpBBxcX36/Bzq/T3osdTpzepUMARl1WYvY01HiNbPMlQe/l1kWnnMjyvmyIl2ec6l+pMvE5YDJaIbf44TOaFHOjF+PVHsavtnzndg4An+W/DkdzOD7YdIRkDphsVnhdqTBFGYTG0TdslqsUu4opC+R0RIY13pn+Z3sQwqzWdUQctoJi1LySzNsGimJdp2UI2Wm2d4bJbusALbkhAQJ1HCQOolsKKTkFDtSHU7pa6tUtgLuvbc8UlOdwrwXbOgy7iu4eccHn7TpcOUGRjoFwlzUUW02Iv8NXp/BvYiXBlqYgWRggi07BB8M3FAHg4e5Z1VXrva8zACbP0CDbyQoEr9YBzevj78b1PP3cn0ZIayMLKv/7rs9KFGymJTXUqdkj7OEiY6dP39R7i0mOgpuD8eS6ODxumA0mANgV63ZC3GJyJkzOv12qNNaVs3jcQmYdnvcklEOns8WrFsEwfyfQFHpr13KJrW+ca7t6zs8wlKVHHcOkbnzAzqjjCkT7go/4LCnYduWjYiODEOVe+5DWGyM7BfC7uhXeyt3Iq/TDkP6nqRkKmst6Pq05+Rw+9RoEQZpaNuuNsP23Y9f+/V6I2zWCJw/7cf7a39H23ZNUJ6jAm5ESeQlGTYtxONxOODTG2Gw2JDscCPSaoLX54fOywZiA1JTkuSGdek7px5ur0cmiXNcWrrRczpgsxhFqZhupeKoQw3SDGb1kZcvXzR9fc899O6QBEISuCkS0NYwNxIaamZ+eNwop+F6Ljo4wyZAQq+H3q+Dk8NyrVZws9QZjek1SE6XUw17NZngCfT2njh5BncWzAV47IDXBbcvDH5bmBA2EaZYfW64k+Ngiswl9vJsggs5Yyww+9IAnwcpDh0M1gixdeJomXTSyyGOq5HhK3VcqQKCDp4W4aSDyLJT7bgRg0kzk2+mgM3vgz2Q4bGw78GRBiMBMDdNlw+cDs6NLzk+BbljwqDXeQG3A2CDuz0NpggG9vTp+UQfCSrYauj3IjUxUcpJBXjbGQHmTC+Ic8i9J7P+NV6DVhJJ+RMwMEqvlfbwM+jo8Xcpl6UuBOax8Vn9ZW/KTFg34e9+P6Wn2CIvdVI1ghReZzDgZMaNjpOah6QcNO0g6Q71iZ/F/Tg4Y/PX/VixSnucfKbqc9h3aTKTd1odLrfqsQu3KlIRv8cLPT0lPx0flzh8JPXRZEvSEdoIXnMwdb9WMhnco/dPy/9S0C6ujcsjDq8OBvgMJCayymJNTnEgIoIATAERVcrolxJSh8OOsAjFmiky0JxFkZC24jPAmJpXFiYlgpS3w+GByWQUJ53HpddFfdVKJLXneTk2vmAQcy2qmRXApn2ux+MNDGRXgSlqbWJiCqLDIrjUkZychshIm8RoeF2STfzTvDm9zOgzW4wCQgjauKeQ/VCb46fdMx1q6otWxst1EBy8Cs7OamMXtAAiz+P3aOyC1yKXq3lPZoAt+LMkeBiWMZs4JSkREZq9D9ogzp49jZy5YmE0GJFqDwya1xlFT5gwCQuzBupp+ek+xF+MQ47YXAF50/Tq5e/x8UmIjeUgcrUBUd8VKzAztEgHbMHBV/7MczSSj2CbGUx0c2kw4mpklnGuAmy8B4/LB7dfD5/BApfXA6NfB6vZgJSkeMTGqLE7vAfuOQS/BHZuN0BeL5c9OX29MPDEPcBoUllDrj2x/8RYNpt8DHXU4XDBYjNfPWD76Zc9fiosAdvZk14BbK3bNEaFKjcGsPnopJhM8AZm7bCpVnZFjwceZsFMFji8gDnwQIlsFVGID2l2u6SW2dBpYHOiIHKFcFPtHoSHGeFlmYQM0mRhkoqYqGjeFQbrhQDbtel26F0hCdwGEriUdS14Xs4/fXmaKSH4MuqY1fKCJHbCGhkWBo4koBNAx5A2kICNP7MEz+F2iYMfFRkFA83/xbNweV0w57wTLp0+MC4FsBJ86FyA3ga/3pSeYRPA5nEB5mjZPLSD2aHUVDuiIsOQanciMkxtHFcsWf8TD6RydjQWrn8CFGcFsP35uap3MOBntEXidEIaomNsEumk/5lw/jTCLUaYIiIkNcOeBLM1AkaLSTm9Xj/sKQmIsJrVHC+3XyL34lQEenoynERfpqDNI3uNAhN0NHgEzxm63NgCDcD904DhcuuDc83UfSsNuTTrF5x9oSOqBUwyPksBAzq/dFQ0UhU6XlwHdFz5Pjq/1C3qvDZw2elMA8nKjCaDhPhV5Fw55n69HikpqQHgTDijDg5Gp6OjCM7onRuRYk9Nd64vp7PBzJDB9iP43m6W7QjOLPLaKBNNTlIWxtvQEbjqkeaww2iwwmQxwuXWZKWALAlXIiPDYWAdI9/k9wkZglcHhEeSHEgn5Wtmk1VszoULF9Mp5YMDL2zZ4aOmw+xyK4ZFHn86J0BCQ70OHi4efC98XbNt1yq7rAA2DmDnMzPZVHY3MTEV0TExcHpIOGWAMQBAJUBl1gljqJxPnfpT9lCrKCDTn0OqIbT6rMtdf3Bp5KWATZOXxrDK7760V5FA458gt8kyYOPGQCMn+hM4CPhdPugNelxMiEeuXDlkfZJDgtkwlYnUfGtDoKpFVSIkJjAjbgmQWik+dQ3QUR4WcyDAovnzgQ2IARwGDjRAzQCN7IlaFUUgcBT8TLhOJdAZCHhpf7v+wfce2C/EISw2WjJnwRk2SsntdMOo98HItgJZp0CawyPAzhJmEXGaRUa+jOBsYEwYxa0FwGgLw8IVUHZ6/Omjchxu+cqro/W/HpbIYKFmqYdNcq9B6TGdAUl2N6xhlnSDfOFcnGySOXLEwO/zpWfYuBDp6PBw+xlRcSA6ygq/2w2jwZ+RiWOE2+lUJZRBkadLKyGDdPZa7U3ofSEJhCRwkyXAtcyNQCsv+CeyPlm9Jc2mJCQnISYySjY4wyUASD4r0OXPEhCJ9FstcLLEzBYmGQSbyacybHTc9FGIt3vhNZoQaQkANoMHcOngNJgAE7MWHsQgGTqrWUoikx1kyjOylQd2uxNhYSoinxXAxo2FjpgWQb/S5phVmVzteZkCtqCSyItxcYiNiZbsGQ+vTw8Psz+81wS7ZNjgdwuJgzromZrh8+vh9qkh4LL7+DzwSlbHCofTK9lQ7i/ajCA6qlktiWQ2lfJj4OBSqnM66NqA4svJ5XozFFcr68ufH1wudvkzNEddc5D4u0hXpwOrc3hovSfUn2AHTMQd1PvDnzP0LTC3Fcyi+eAJZOyoE5deFZ8b1xfEDxDoraIQfqO8rrIqBnmGPLj3X45IhefR8bs0m3hjZPnXT9FkdykFuco26uBOTYO03omRAAAgAElEQVSJ2UOWDUlmQkXyg/0VEjMwcx5Qeng9LiFakfsPvEywxvsniQYP6jPvUSv/1PSbFUrMRGnL40r3rV23pqMy/NzBrF+EPOsbobtZAWzp10fgIM48i2Mh69npdCHcolgG2R+l+DUysmvBgFyNcFAldMGvu91q5Arvl/dHvdGGJfPc4Pu89J61jDH/5drQMnLaNf8TZfuZATa3w5GuB6raA1JZIGWzOWIzHn9Aj1TGkFUWXI8eybKx3YghE2XfAv57IGuWQSCiD6w3ZQ9czgyGYk3XtMwkM2wcfC/s8RJmU4eWuef65Lnac9KCSJQxde9GzF5T3+ghYgUMOqQmp8FgCZM9gfsJr4pXp4MPTnsyLMyYcQPRmSRAynMoMqnn83sEsNHeM7DAqguW7XKkDA+WYkdFR4t+njl/AXnzqNdZDsnPeWP1cQzouhidO7VEpQcd8OMwyDjt9aTAZGATBB9HJOA3QXf63NF0Wv9Tx1wBWv86N44l0qNmVqTXeHrcUu9LA2ayhaPQXcVwMSUNsRE2WYja47OnqjSj1McLhSydGZ1EmFQcUx083+txCJgjE6XBYJINmAsxuOwkBNiChBb6MSSBbCYBLcrJy9ac4BvhNFyPGDSbEp+YgBzRMbLBmfRGMdi0XX6Wf7A0z+FAUkoKLiYmyOt58uWFgaAgEI3zOFJgMdJ59eDI0QtI8hoRFpsHsVE25NQ7Ab0bp46dRZLHB3NkXuTOGYNIYxrgcuD4+RRcSLKLs0AGv0DAHEnJKsuWWUmk6tdSZ1HGweVQt0uGLe7sWeQKzDGjxyE9GDYb9h84jPBcBREZG44w9uvJ5ulmGgbnzpzBxcQk+E02REbnRL4C+eQe487FIS01UQAbKzcic+SRfj+K4PjxkzLHiwyPjNBzz8msLFL6CYNY9uhUUD/l+QfSdsHMi5JtDcj7diId0dZBhlOV0cOjlTVq//553eml95EBFRLqsOxHc1T5r5SdWSxCC89+LG0eHeV0/PhRaYGIiopA3gIFJfVD0pHjJ05Ixo1DbNmrLo9Vei0zeti8LqeQjnhcfuiNGTK9dD1r10xdDu61+ydmsMl1BzIG2nVowE0CNyaD9NzHnz+DE8dPwasHwsOikSNXTuTMxdlXLoSFsTfIC6tFZUZOHDkqupk3fz4hXrmYnCR2hZ9PgraIcFUyTmBD0jbqM1k800v0pGSQJVlu2MJI6c8+pECPaFB240pAJVhngzNu12JHswLYWJnFeztw6LAE5UuWLCPcBi6vT9j2vIE5bPx+6hifMUlwGEDRaOL5ujabjwySvN/z5y/IJXPQOHVS00utwkCj9A/uAeS9a4D/SvfL7w8OClyLXK7mPZkBNrJsmlmKxyw4ezgjybKqk0bdlJRkHPjjqARKSOMvAQSpGDCoMt1A1p09eqkpabJ+zWbVy2bQ6/DLr/tgMPhhsZpwV5Fi8h0sTaU9PHP6nGTSCxcuICW4TOxp2VyCweSURERGRMrf+Kz4vcH+usZWGrxOg8urbwwYDpREOtOkFPL46XM4df4i8hbIj0L58kr8hIBNYBVjRU4HDhw5AYfHj6iceZEvT06EG4ELZ09J5QHlRDKcu8uQQEllHMlcyv/JREx5hAWCBvEXkxAdG3X1JZHHT/0hJZGk9ecctrWv/4TmLepLD5tOf/20/lpJpDgEbjcWLVwgQwYPHPgDpcqWRc9+g9HwySeROyYWbo8TEVZVwuNypgnJCLNsXABpDld6WjGFxsaqSlxk/hs8UnIpzdDhEXhp+XJpkmzXob36LEZp/XpRxOCUJP+mUHToCEkgJIGQBK5OAld0OII/xuuVANWMWbPw7fffyWbGOZQTJ01GSmoKbLYImPUeICUe+375CQuWv4mtO7+DNToXJo4bhacefwTf7/wEAwaNRKLbixLlqgitf40HyuDnPbsxYuIsHD11TsAHKYRr1VCkIdqRGWD782jsq7v/G3F2phk2rwdulwsm9q1xL/B6hCxk80cfofeAIWjXrQ8GDBmACFbV0eGEB3EnjsqspfUb3ocpPBpVqj6CaTNnIUdsFKZPnY7/bfoQyRcvyDy/idNmSTUGRzFwX2L5HolXOCBaZZD+/i6z/96ReYYtmGhEA/FaudeWLdvSWdxmzZolxAWa80tHhXOqyJxJva9Zs6bQ+dO54SDmadOmCGCrV68Oho0chZy5cmHt2vWYPWcOzl2Il3ltZIi7s3BBpCanIoIBCGEaUSWBPukb/TPRxI3QyX/uM3xIiovH4CEDsXnTFsTmyYW7ipTAmLHP4d777lWgymaSvj6SCpFdcuyo0ahW7WEM7NsH5sgIrFu3FrPnzpEoPkedcD4Wx1WsX79B5kCdO3dOmPo4l61s2bvTU3dCp84+lFt4ZAWwHTt8GDNmzMCW7TukV69GjdoYN348zLYwIaWhT0m/bteub8T+cc4l2TJJ30+afVLuc5A1dZF6SWp7kgF9+unnmD17poBaMrn2799f7EEwELj+krubL9zMAJvmd7MkX47AG44cPIgFixZi4+ZtQuvfuElDjB07Rmwe+1rpizOjRvZDDh33evwSEFyy5AXccUcBbPx4C+YvmItTp46hYqXyGDJ4GCpVqoQvvvgatAP7fz8ogQKu3wcfvB/JKalS0iuX4Fd9bOrIyLDdfGld+g0KsCWeO4N5i5cJS2RCqhOPPFpdaPwrli8j/c5uR6qQA735xmqh9T907CRicufHoAH90ebpRjh84DeZd0iyqQKFCss916xVW8YaUHbc/0mkRNvXsHFD6WFjNcw1kY7cbMBGw+qUulWL0CYP6N9PHjyjQRu3bMORk+fw4aZNeKJmdaH+dKSkSjnk6VMncEehQiJh9gmwie/QkcPwefXIW7AA9HqTCNOecBE2s0qTnjx1SiaKT581E1Xur4p5C+ZLpNPpdiExIVmaCQsWyC86e/TYSeTJnRMRNmsIsP3zKyX0jSEJZHsJZAmwAfhsxw5MmzEDzVo0F8eBg4Rnzp6N+vXqS3YH7lSYDV7Ur1ENSR4rxs6Yj2WvvI4Hq9yDIZ1boUG9WihwRzG06PQMBo6YiEceegAvzBmPHl0641SCEy3bdRLHmLPJ5s6ZLYGr6Gj2DGXOEnnbA7Yg0ir2BIZHRcJlt8ssoC2ffIE+Q8dg1NhRAtjsSUmwGvzY+MF7MmB3xKjR8BmtmDZjDsaMGy+ZsyEDB6BG9YdQKH9emRc0aPhoFLyjsDhspKEvV66cDOnl76T913otrqSst9blvRFL6O8BWzAhBb8tmISCEe8BAwbJgGVSxxP0agfHI5w4cUIGupPqnNFlzlbi8FtG6jnzqmHD+ihbqjTGjBmFcRMnoVr16mjVqh3uq1wZdRs0lLEInAPV/dkuEuEmeKaf5/MxGk/gpkois+8G7sPRA3+gZq1H0btXX5nDdmD/YeQvWAA5csbK+nW5SOxiwIb33sfy5S9g88cfY9TIETJD6+Sxo+jWs4fMdSSD45IlS9C8WUuZAzZ06HDJqjVs2FCGt9eqVRuTJk2Q1j+SElmtt15uWQFsq1etknm8TzVvIQH7KVNm4Nnu3dGrTy9RNeYGT5w4JjPDmD179NGaePnllwWUceYf9Y3ZTOog9a9IkaIyG4xzFjmYnDPHGDxgEIHjKKinl2Zjb8Qqu1mfkRXARhpIyZhKn5gOPpdL5gAuXroEz3Ttgf0HDuDNt1bLvDoOm8+XL4+URB4/cVzkynEdTzxeV4Bz8+at0bp1awwaOEQIXNq0aYGJk8bLYG3KlH9nduy5MeNk7XLcB18PC1dkgAoEMynjC/BOBIDkzRLQ336uAmyf/m8Txk6ahnqNnkSJMhUwbuIEYYVcsXwpHPYU6dWLO3EKg4cNBUw2tGrXEa+uXoPdX+/EutWvYNOHG2Q0DveLjf/bImRH8+YvlHmLxDyU17btn0hQhYHDkiWKwuH0wK8zQm+6ypLIfwKwKd5QA95duxZt27RBx44dJPqTZHdg4rTZaNaqFcLNVrz8ynKcOXFSKJaPHT0sE9S7d+8umbYVK16Rwdl6nRllK1bAoEFDJcs2Z8okfLP7K4kw58iZE8eOncD69zag9N1l8GyP7hJtWbrseZy/cFFSlDRcgwcPSH+MSoVDR0gCIQmEJHB1EsgKYEuMj5cm+VOnTyMqJlqijx9+/BEWL10qM41YFqn3ufDNlo8wbOQwlL2/Jh6p0xhJTh86tm6MYz99jy6d26BRkxboP3I0evQfiUMHf8fkId0xbepklKhYFXMWLMDgISOwefNmbN3yPyEbYLk9j2yfYbuUZdjjxquvvoopU6bI4OyufYdgytRx0kvAfmYG8T7fsknmXE2eOg3miBiMGDUWk6ZOk7Kb0SOGY/07a1DszkISUa/X+CmULVdBBjzTcXv88cdQtmx5cTReeunFTBUi++8dmWfYggcJMwKvlSvRAV627EWZlcShsNRtjWWUgQnqI2d38V8GaJm5JJgg/TkB99at/0P5u8ugUaMGqHjvfTJfa+bMuZg6bRoerfUYGjVqJE44s50xkar/KJjWX/rhszlg2/LRRvTs1V0c3oqV70Wzp1shX4G8Qm4goArAuXPx6NqlMw4f/kP8owED+kkWbt2atzB4+DDMnD0LLVu0xKM1HkWB/HfIrMrevfuK7Hv37i2ZTZb37tixAwa9Ph2wkZU7s4BEpgvgOk7ICmBLS0nBxo0b8VSLlpLBKFeuEtp36ICXX31ZaOWtRp0McKavOGbMGPTq2UeCAYcPH5XACwMGdJiZcevZszf2fPOdZN9l3uTDVbFw4XwZvL1161YZE8BgAsENQd6tJLTKqlgzA2wkbRFK/8Dhd6n+U4LS5NQU6I1WPL9sGVa/8Ro+/vhDKWtWmTAfPt74sciPsuNgbK5Hnc4kwbBnOndFx07tMWbMCPTt1xs/fP+TZC8HDx4u+jZ1yhT07TtAgAyfX4GCedLp+DXApi7p1mbYPMlJMIbb8OXnO/Hwo7Vw5ORZmcNGwLZs6SLERIerHjaLDT//9CM8OhPKV6qE/kPHYPPGj7Fo9lQsnDsLOXLkwOtvvolZs2Zj8eLFePOttzFnzhzJUjIw+OrK10QfX3rlVVSvpsYU3LYZNk1Zzp46hb59eoPDGLkwipYsjcZPt8J9DzyAlIuJqPLAfciTI6dEPXbv2ikD52isWU7RoWNnNGrSGAXyF8Ybb69B06bN8Gy3Z9C9Y3v89N03GDJkCEqXLYOTJ05jxqyZaNj4SXTo1BEvvPACPvjoQ3To9Axic+aAy+lB565dpD6e6DlnVFQIsGXVOoTOC0kgJIGMzS/wk+LIUkd6pUeQnIROOTwc73/wPoYNG4aqDz2I+QsXSg0/D7JEfrdtIx57ojEKlSqNgiXL48Cx0xg8oDfKF4jFgH7d0bFzD/QZOgIDR07El59/guf6dhLAVqdpGwwfMx7Lli2T0p8t/9uMeyqVh9OlWNQ0TrCsskT+0483KyWR0hMY6MP4Yc83UrrIGUFzFz2Pp9t1wYSJo2FPTEPOKFZLeHD68EHJzhw5dhwROfJAZ7Bg8fPLJBO0ZOECfP7pNui8bnTt2hWFipZEyVJ3y2dyr2FZT9u2bSUAyIHBqgH/ysd/AbBpZZDBhD8sz1u0aBFKlCglGRA6zNQ/9kzReeExc+ZMkSmH3vN5EUTTIaxevbo4M4sXL0S1Bx/CE0/URrGSpVDrsccwYcIUzJs/H489UUfOZ4kaP5+AjSyrVjb/k5WNRAhE59kcsE2bMEmc5QrlK+HwiWO4o2ARjJswHmXLlZFSSAYZmMl89521wty3ZMFCVKxYHovnz8PWHdsFsI0dPw4NGjRAz549kZJsl1LSuXPnSzkWZchM0w8//AQOQc+fL2+6MmcHwKZdrN2ehiFDh+LDDzdh2vTpaNWmFRKTkhEdbsWHH70v5WZcz61atsHChQuxceNmGZjO4eOUS7t2HWQ9b9/2iQA0lk8SjIwYOUTOYTbk3XffleovjTzk31ISqdBBgPkhwBLJLBt7Pzd8sBEDBg5E+QplsXbtGqlUS0khq2sY3tvwnmQoKaeOHTpL2d8333wvv0+bOgPde3RD//695d9ff/lNfPDevftLSSABHdf4mjVr8P7776PIXYVVhlz64nzC1Mm5ybcasHHOp9uegjQPEJUjN2bMXYjxkyZiSP+BGNCvN6IjbTDofFKFLdFAnQnf/vgzuvbsK+X5i+dMw+D+faTseOkLL2DJkqWSyX1u7HjJeBcqVEj25g8/2iiynD5rtsyV46gAEuf4dLdZhs3rdEiDfYCrH9/u+lrShIxmHDxyDHeVLItGTZuiSf2GqFGzGp5u8iTmz5+Lzz7dgfbt24vBYaP222vfwbp338Hdpe/GmPGT8Nprb+C1Va9g7uRJOHfmhNTahkVGSASlRauW6NWnHwYPHaIip2+9iYerPYriJUugxqO1UK9+HaSmORFus4AJ2ey/6f7Tblbo+0ISCEkgKxk2kVKAJXLn1zsluss2nB69euHhhx8Ge0miwgz4YcdmVK/VEO2f7YaWz/TE3CUvwu1IxoD2zTB4YC90fbYv+g4biaHPTcXnn27HqF7tMWXyRNR9qi1Gjp0omwIdj/9t3oT77q0ogM1oNICMxAIk//K4tMxKFidE36THnRlgE8c8wAp55uRJzJwxXfaDVq1aoUmzVmjZqTuGjx4Dm86PSCsH/TjxxfYtIg+DyQxjWBSOHDuFiVOmyh6x6pWXsWPbZiEdkTKqO4uhRMnSAti40d5zzz3y2QRsrAKJiVEkDlc6sv/e8fcZtmDWR23gN4kAqMccavvMM10FELBfiDIPZmZmKdTy5csFsLEclXs5y/SqVasm5WdLliwSwFa7dq0/Abb5CxakAzaWYL711luIjQr/VwK2M8dO4Ke9P6DInUWx7bNPMGP6HPTt3w+DBg9M97NZyeZxe3HkyCHUe/wJtGjRDFOnT8MH763H0JEjMH7iBCl9JDBJTkqVzDEBGzNOzDbRB/ruux8EkAQDNo83c1Kdm7TslVkMfPhfAl6BHkX+OeHCBcTkzInJk6eIE9ysWQssWLgQefMr4Knzu7Bt21YMHjwE3bp1E2BB3WRWp3//gWITmW2k7lHntm3dIVnHESNGomfPDMBGHVu/fr0QlvxrARvBUoDoitUIDHj89NOvktHmLLXnnmN/ZDW4XGTLNEqGjcCWdrJTx2ck07Zr17dS9TZ92kz06Pks+vXrJRnin/f+KgCZgI3v6fJMN3kOq1evxgcffCCATUiDAoDN6UqDxczM363NsMkcNq8bHq8O6977QErkc+fLixeXPI8qlSvCnpKE8AgbnInJ8Ot1+P7n39B/8DB8s/s7LHp+KZo3rosnG9ZDyZIlsfL117F8+UsSMBjz3DgsXbpUABv3FQK2sWPHYsbsOVJpEBMdAZdXkcJeFUvkTS+JpEBIm+pwYOfOnfji88+kHKJE6dLYtXsPHq/fBA2aNEGvbt3Rq3d3dGrXHoMHD5QMGxWldu3aErFbtHgp/rd1C0qz5n38JKxbtx4vvrAUq5e/iDMnjuL9TRulJGb/wUN4unkzdOr0DIaMGC6p7THjx+Ho0ePY/skOFC1eEitWrEChOwsLA0yUWVFgh46QBEISCEngaiSQFcCmORy//vILypQrK43IT9Stgzr16smGxk2LGbbdmz9Apy6d0KXvSDw7cAR69B+C3Ts/w6p5U9Gzeye0atMZw8ZPRK+Bo7H/t18kwzZh/FiUqVwNC5cuxZChI2Vj3LZ1CwoWzC9NzTyyfUlkgNaftMmszOjcqSOKFy8upSYbPv4fKjxQHeMmTUbNqpXSWSKnjRsjm+TnX34FnSVcSEc6PtNFQBgzbG+uXok78uVB06ZNUatOA5QqXUZ61ujQ1qhRHWXKlBMCB/Z0ZHZk/70j8x42jfWOmTa2FZw6dUrK7sjqVrHiPdI/SaIL6nP9+vVFZDyX1S3MfGzZsgXFihWTyHKTJk1w//33Cyjevn0rKpUrL6QjZcpXQJUHHsCcOQswfcYMVK9ZS0AIK2H4ObliA+yHsujoZHkUzXY2z7ClJSYLY16e/Hfghx+/x1NNW6Drs90wctSIdJZIASYAfvrpJwFso0ePRK8+vbF61Urxcdir36plK9R6rBby5M4n4KRPn36SZWY2iSVqTqcbn3zyCcwmowSJTCadlBRqDJGZ6fnN+HtWABu/d8HcuZIhL1S4MObOXYgKFSvA4fbCYjbA50nDsWNHcd99lQWc9e83UHSTjH10kHv06COBf/ZJErjt+vobKd0dNGgwHnnkYSxaPE9ktGnTJkki0PHm8U/M6LsRMs2sJFL4I8JUObFamCrTRiKnpJRk5MyTB4cPH5fy0D59ekkWTSMdIWFLu3btZA337NFb1q7Ppxe9IiDr/ExHPPfcSPQf0Bff7vleytRZEvnYY49hxvRpGDBgCP73v/+JbAvfWUBKIrURDLdLD1tq3HmE54jBjm2fon3nrnD69HjplZfRsE5tONOcCLOZkJaSCFtYBE4dP4Ze/Qdj45btGDLyOYwbMxQGrxf1n3hMZLp561YsXLhISkPfWrNWKgwYwFq7di1eeXWVVCCseHUlatWsLuffniWRNKzMhfp8eG3VKvTr20cMdp06dfDH0eN4/sVXMGvBAjzywINo3KQBKle6R2q0v975pTSPMkLH5uXeffpJkyRZlPoNGogSJUpj9qzp6Nmxg9Qxv7nmLRHOj3t/kVLI++67H7PmzcVnn32Gk2fPyO8vvbwCGzdvkUhLs6ebihEMZdhuhNkIfUZIAv89CWQFsDG79vGHH2LM2LEYMWqkZBjokHXoRMA1AStXrUbuGBsa1a+NBjWrI9UfjumLXkT3foPxQOWKmDm8H55sXAdFit6Ntt26C+lI1Sr34flpo9CpY3vE2f3o/GwvcZrZuzZv7hyZM0VKfzY2h1lUBDO7ZtjIkqDNEiKRxQvLnpfGdbK7fbHrW8TkL4LFy15AjNWMnZ9tRYfWzbFm9SpMmjQJr656DTCHoXOX7ujavYdi0Zs0UUhH8ufOKT1r/QYPR67ceSU6TLDBTBFJCejEMRIfYokkBbxD+nm0f8+cOSNRZDbR2+0OcUjItMeSH2YoGJRgDyAzcJQj+9tYCskMHKP0JDZgg37Tpk1QoUxZDBs2BCNGjxHSkQ4dnsEDVauiTv0GkrljdoiZI45e44iF9B42bQZZNgdsU8ZNwLbtW4Sk4Wx8HEYMHyPZs9ZtWgl4rVGjhhDhkNaf8mRGkhm2iWOfw5nz59Dhmc4oV6G86DZLsJ5s8hQaN26MYcNGyBwoBsfZO1O9eg1Mnz5V0loBSgFkh5LInV98Ib1TXugEyLdu3V4yc6kOp/RcFb+rIO6+u7SQilAHW7RoicmTJ6PqAw+J3owc+ZzYv9at2koQp2DBOwSUUCYEeoMGD8Arr6wQ/aZfqM3O+rcANt47g12yBwRIR5ypqVIeTpZIko5wbNaAgf2EJZL9fp98sh13Fikk/aMEu4ULF0ajhk0EiDz5ZDPRKbJCWm1mdO7cHuPGP4dHHq4uNrdZs1YSrJk4YbKUSNKekqwkOiYwONrplMHZGXPerLfQcVCkI3v37EaXHn3w/d5fMWHqTHR5thtsRjM47eKzT7bi/NlTaNe+I8aOHoVJ02ejRZv2GD1+Ms6cOokKpe7CzKmTsHv3btGr1W+twYULF/Di8hUSaPrqq6/QpUsXIR0hgy5LIsuVLS1kY3YHYLbdbhk2+JCYkIDo6BgBbcNYh/zRBzh75hwSklOlrGX6jJnwuF3o2K4tLsbHoWzZsjhx/KiwdhGlsi5+4aIlQg9sttikQbllq9aoVb06unZsh3CzGZOmTkGeAgVw6sRxdO/eEwcPHUL/gQNkDszW7duQnJomg/kef6Ku9JFExkRLuRDdmewfJb2FOh/66pAE/sMSCJ7vmG5HLhn6+Nu+feIg7N7zjdijxk82kWjk0ePHUad2HYwcPhj9+3XHjo0bMXbaXCQ7/XDDhNkzpqLuI/di91efY8CQ4UhxelGsTCX06vEsaletIJvB+GnzEJeYjLy584hzW69e7fSnQfpgmTGczQEbR7ZwjieBm8lqkTlsBG33VqmKpm06YvKk8Xjh+RcxecJz+GzbZuSKiZZysC+++hp2lwcPPVIDM2bMEkA7ccI4fP7pJ0hJvIBHqlXDxKkz4HC6pXSHfSx8Puxjo/PL2WJZmcOWvdU/c9IRbf7R5Xp6CN6aNn0aDz74MObOnY0331wtjsvs2fMlIj958njJ/DIyz/185MihUnK2Zs1a6XEhb0itWjWEbTJvvnx4550NUvJ27lwcatZ+DCOGDkPp0sWRkJCEmOjI9JIqOnwy7sEclD3Ibg/CD/z0/bfo2b2HMFnHxSegT7++GDRoCN5as0aAx6hRY9C2bUspifzjjwNo/nQzNH+6KcaOnyC9fCzBWrRkIRxpLgFtBM10sN98c42QH/CZ0WkePHio/KuRjDBxbbyVBH2BZ3VZ+5k+Nt2HEUOGY8HiRVJaljcf2cH1aNW6rZSVMfvTsUMbqcQisQ2BAdcv1zl/rly5ivRPce3zddL6M8tRtWoVfPjhx9LTdv78WZEXy/yY0b3S3K/bVbUuL7+getMAYNPKyiXDZtDhu917MHf+PPzy+35wmPqDDz2AkSOHC8Nhu3Zt0KZtKwwfNhxr335bGEmNBrP0982bt0gCLu++8x6WLF2E+PhzKFO2tGQ21biELyXTfvTIcfHjGXRh1UJySrKQCaqDNscnA+9JInjrDh98zlS8u24dnunWAz69CdVq1sbFhAQ8UKUKenTrin59eqBA3jyYNHEi2rZrhy++/gb3PfAQImNyIkdMFOZMn4yDv/0iAVOyjjrcHtGxho2a4OuvvxYQSwDn9viErKV5y+bpt3tNg7PPxh2XwdlGg0XmsK1bvRfNW6jB2X5dMnQgAmbr+uV7HZQ/8FLQVksAACAASURBVPdGXxZBeLgaoG00Ys83u5Camgavz4dK996H2JhY7Nv3O1q2aCZG59lnn5XUKUtfGJlj5oyfwZIARvnYc1CwYAH4fX78+vNeQfRUFg5U5HHi+Ens/eVneT8X46FDh3Ds+HEZnsjZELlyqaZoh8MFm/VWKsytU9XQN4ckEJLAPyABn19KT+hofPnll0IiUKtWLfnd4XJiwrjxUipWu0Y1xObKhRMnz+CLL3eiZu3HERlmk5IMd5ode3/dh+QUu2SDuGHy9dSUFJw5l4C9v/yK0iVLolSponJDaWlumM0mEvP+zeELBKpu7x42Zthk4Gt0tKQGHGl2WCMihNp/17ffIl+hIrjrrqLYunUL3lm7Br179UClipVw/lycZHoYyWS5HvcCHokXk3DowEEJArJRPDpXjMz4tFrNMsuJDgv7ODh0l/tVxrDXy4vy3x7s0/rWtCG6f5aCIsXgTKu7ipREsWKF8c23X2DlytfQsnkXVKtWBQ5XIvbs2QO/Nxx3310WuXLbcCE+Djlz5MMXX3wlDl/l++8VdkMeHBb9ww8/yBgelhDfWaiAvB6cDfJ4XDInymblQOBb2QNz/fbD5/GCmWOWn3FgNun5ybTJYeQEX82bt0STJo3SyUdYFpwvT14UK14cHo8TiUkpOHv2tLR8lC9fXjKc2sGoPz+b2U62lWjkMSJPr19mYWlD3K//Tm7GJ/iw98efkZCUCAYGGEChD0efjmW6r722Wnr/WF5rsRjx8y+/yPolsChePIPt8dChg1LGy5Jokt9wTdvT7FK5deiPI7jzzrukx5IH9Zly0oZu34y7upGfScB2uW7kYLvkdrpgNOll8LhqHFRdg2fOnMavvx0UBlEGTeD3gvMV586ZhbvuuhPdnn1Wzv/5573444/DqHz//ciTpwB8fr/I8Mcf9+L4sUMoXqIo7i5dVnz2lBSHfMbuXXuEof2uuwrJfsQh7RnD2H1ISIxHDJM4t3T9KuB48MB+nD17TtYSd0U+e1bC3HVnEQl6REdGSQaXOhifkAiPrB29zIFsUL82Thw5LBlarlmd0SQVApQvdYn6SPuXJ29+0T1tcHZKqgNmq/Xqe9j27f8xfXD22ZNevLdmH1q1boQKVRiWzXxwtpoEnrVDAJvBEJimrsI7fr9qRCTrFCMlZDhiSQofbnADs7aYuIHwM1j2I6oXmM/CnxmF42cRybvdGfXZ/Jm9bDROZMFhlIk8AG63J9MNOWt3FjorJIGQBEISuLwENLsX/Fetnp8RYG5snKFGm8eDRl4rzdHew0g5/06nJWPjA1LtLlgsZulRYalJMEhjJUzATF7mwpTd1l0hEPdPPcvMSEekV+lPdYn+dBIXIk6XxwOD0YKDhw5Kj1vdx59AmC0MLqdbeia0vYLjE+Tw+OV1ytBgMYr/4nC6AnsJSRiMsofwmRHEZXb82wHble5f6arSIeqe1aJKm/bt/w4H9v+BmtWbIjLSCOjTkGJPQYQtN9LsgC2c5Vns3iAbnR0REVb4peBNRRe8Xp3KAl2Speaz5jNRzzR4oHn2BmyaX8OeTHX/6h6Z1SRLNomJ6EBqmR/KnT9zXljwQfvAz6D+0lHUPo/nsLKIBz+Huq0Gwt/aQE1m6yr47wRQBAOa7SNzKO9x585dKFe2IgoXzg/aOk1Gf80c+kQG2uDm5JQkYeh1uV1iXkjZTplrPmJ2AmuUU7AH/rc9y34/LsadF9Fy7pyeLI16I1LSXNITajIbkJacim/27ELROwujeKlSytay98zrk/FaBCLayk9zOBFhNSHVnozwME0fA1fgV8GXsDCz8tFJnOPxyP+0q7cH6YgmOZ8AeO4bxCPUI5stXNYSs2Rccwx6yKHEobYkmQOpQB+rP6iTYVHR8Hm9SEpOFdDHg4GBgoFAyskz55E3b+5rH5z93Y9fC2CzWSNw7pQP76/9HW3aNkXFB0goc/2AjZFMlkDw5om8mTHTDhonRnoIzGigSN/LOmTS/moDOyksLlYamGAAR+HwNQr4SmUraWmsl7X8pQ+BOsj/s5HNuhr7Fjo3JIGQBG4TCdCu0YbRDmlBJu3SaA81o87XgstxNKeLjpgWaOJmx8/SnDFWKYSFM8uQcXAzYYCKw3aTkuyIirpSyVj2AGxxZ04jV968qhySDoMOSEtOhk0cVp24/j7oZb+gwxUVHiHCCAZSAi58fhVh9vngJcgzm2XzdbrdMFsY/U0nMpb3u1wemEwEb3+vSP8lwKYFFIIj5Srzpic7tjhjJqtDmApjIvOqwc++BHGGbeYcAtj4d6NBB6eTjrIFdnsKwsII9vSi/yaTTdaJx03wbIDPpwgy+ED5vayw0eY4eX1eGPQZM6ZukyV/1Zeh9QbyjbQJBAy8VwZuWN7H9c7oPgcY89BsA4EL9Z7ONw/aCspUA3za68EXFBzsIQPn5c656hu4iW+4tAw3eLREfHwCcsQqp5gHS8A1n05KaGOiwHmAWkUVz6G8SPKisjs86Hn/Fbzye+lvMuBzux7BPdTaNV4OsIl+sW+MazV4rqWO4EsfyLepT3ClOSR7HRERLr1vlJfMcdMpG+v3G6A36OHy+mEyMsyiAEtycqrorNUaIfoZHqb2Je5HtAMGY0D2yckB5l0NLN3KgItPMtC5c+cMesSaBPXyN64P2jVmdnkfHrcK+HF/FZskLMZqX1FzCzLerwVqKX+LVQW0HGLXiFsChaFXS+v/24Gf0jNsZ054sP6tX9GyVWOUv5/ZykQYwA3/70ois55hu1TxlaEKC0w/t/2JmUczYsEGJphiWCmDT5wZbq7cODTGI6Z4eSjnxiCgUPuc4EGRl27St+vCDF1XSAIhCfw7JKCid7Z0R4B2iXZMXAe9XuwYHTH+rEV6NQdNc+KCs28csKvXZutI5oibiSkLwajsAdj+5GCIUfelI6uUxCSEx+QU0EbYwLI5n9sjvT1Ws0UAHJ0uARU+P7w+NwyUVQCFuQnKLGaJGBPkalkKAoLAI8lUjv8VwEbd0wCblqUJLsZypHEIM2AyO8QB9roVkDKY0mB32GEx5oTLmZFhS0lhwNUIm80kpXnco6nn9Ad4OB0q6EBGQ8l22pRjp5wgNcvJ4aQjqgB6dj20/kBx5gLkLle6l4wMxV+JGrTMXHBmjYCMB9eANgQ6ONsf7Fvd7vLjtWpBfC07qKoUVMaGB+0mHWsetLP8mbqqlYImJSUgPDwyvY+P+sbssKbbzFryfNoNCf4EgPDtKpusAjbJHOr8MEmQKuCvE7ja0+CDEQazBTaz2jNSk5IRERUu56meYasgLqfLDaOJFRym9AxbKt/vSgsAsGCgwowIM+VKck6nFxar+kXpOJ8XZ7G5YDbdyh7UjAybx+uRfZgQVFVZ/BWoCyYLMvjMMNqsJrgddgmqUJ8SU1RmzWiyiF5RJ7n2Uu0O0a1wGUoOJCalipzZx3ZVtP4nzxz2M0tlMlpx6pgr0MNWX/WwGRJg1PELrh2wqSwaZwIZxQnhQqIByciWEW0qpyU4mqE5KcF11/yZ52nv1YyPRJrDGJVSi5YCupSuVgNtBgOdIgWI+f5bSWt7uxqC0HWFJBCSwI2TQLBTprGP8V/aMhp6zf5dWgLOjVaznZrjpW16jL6TxSu4cuz8+QTkzq0ix3FxCciVKyP6/Ne7ySaAzeuRXj1mDrjZR0SrbEJqYiLCo2Pg1xlVjJfRdeXHq0BnwLmnDJnBcTocQldtZd9ToMxHsS7opXxFK5eiA6j1rTHw9+8nHfl7PdeCCdpZGWCNryiabrOZTp0Sq8ubAIvJBp9HATYPEmE20lGk3AGnJxUWM8EXATXLeA2wp6UIaQYdHYI47s2cBqSV85LVkIFrLXvi8ylQLmWt2TzDpkr1IgUg8FCDi1nZBKlM4uuUsVYCqYGsc+fOCaCgr8PXJLtpMknQQSPeCM5GBYM9nkO7os0bu3GW7p/5JN4L5cZqLeqCFsinf0lAcaWDciKrqabDKlObcVyaEPhn7ubavyWrgE3pgfoeZ6ryv4WEJJBhS0p1ICrcCmasfbR/VpMCdgE7SR20hIVLoIvgK9VuR3RsNAjYosIsSElNgsloEbmKLZCxAYHMeGAMqdOl+oR50A4zSOP2uGEy/rlC5NqlcS3vVHsgZ9DliFW8Flq29eLFRFlzWjkuSyQFKwTsXFqaC2HhZmWoaI80dBrIsLG6L7i0NvhZca8SOeikQv/qANups0eEdISALYN0pB7KVeZQtyToQYFeO2DjhWmGgzdPOlGWSRLAqShIpMwJIQvQpfXX3KC1ZmcaMu3gwtIMFI2Ulo38+uvdUjrAPjjZpJ3ugBJlpF0lrenxCngMzrZdy+MOvSckgZAEQhLITAIMPv3222/48ccfxYjT3pEEQDbCgF2jTaMTtXXrVrFhnAdEMhIGsWirPvroI5ktxHEonGml7Cqwfcen2LfvN2GAq1btwfQSPjZ6q56WK11d9gBswYOzA9scPtu+XRq5H63xGIqUKIOowHBrqXj0AL/++quMheEAWBKOHD9+FA3q10XJUiVlEO9HH30gTu4TdesjT947BPReuHBR5lTRESabYZkypSV6/18nHeE+qzm4wWBNZSUUScHnn3+JyIhceOihB6Tk0aAzweNiCTD9H9XDtuur33FHwcLIf0cEoiLDkZjowNat23HmzAk0btIQhe64Uzl6br8MMD5z+pyMWShatEh6v0hGENcFj9cV6Ju7lSVVma38rP39+++/F30miyEJb4LbRrRPIGkGZ1rRflSpUkWIh3jQl9q+fbv4Uuyz0eaIMaBDsjUSHdFmkPAg+PhT9jlrl3lLztKyZlyXvBfaPto6dahyPKfLGRjCrBcb+8svv6BKlapCNMQs4759+/D99z9Kr/A991QUp9vl8uH333/H5198ikqVKoitDfZV+XNwxu6W3HwmX5oVwKYlTMwEG0ElkT63G7/89jt27vpW6hVrVq+GosWKwCBkGQ7ofIFSSAAcrXDi9BnkyZsXxYuXRoGC+UXy3+z5Fnu/34OHH3lQSEe09fv555/jxx/2CrkWSf6YRZcMnZE+twEkDTIYdeB/t550ROnR+bjzsvcSf/G68+cv+Bfps8z2i8+/EtZH7sntO7SGz+WE3mTAnl27ZA2Xq1hJdElvUBk3cnOwtzo2Ry6xZyYLZaFmCNqdgMF8lYDtxOlD6YCNGbZ33vgZLVrWkwwb9Flhicy8JFIrNdm1a5fMJOA8Ag7E5CIsVepume/A5lo6L1xgdDQubfzUGsW1sqFgaXJj5XdwoN/JkyeF2YUsQTzY2MwolBYpVUEDlm/8V4pZbkdTE7qmkAT+GxKgY0uwRsY3skhpjLYc3koHjU6B1t/26quvYtWqVenN75x1ReY3OrCcYUV7yTIf0ve3bdsW77yzHosWL0VCQqJE24cPH47q1asJ8IuOVqUXVz6yB2BjRJiDX+lg8L42vLceL730kmyG587HY8jIcWjWojUCLQI4ezoOX3zxOd5843VxDDi7ik7c80sXombNGliyaAF++OE72WPyFiiIhQuXISIyVsYAcGYnQQlZ6EaPHo2KFctnqqT/9l3kciyRfE1Vu3iEsn/y5KmofN/DWLJkIaw2t0SpHXYLWIGlN6Zh5WsrMWfmCrRp3Q4jRvWGy52GkSPGY/fuPUhMvIAaNaujU8dnhGjnrbfW4cMPP5TSJPZscaD5ww+zoT64x9OHNEfqv4IlkkPFSf1Nv4b6zRm1/J3rXKsuog7TfuzcuVNsBeXCsRMMcnN22MaNG9OJimhXyH7KMSJ8nYCaTnPHjh0lkE2HWatkCg4YZarot/AEBrNoG8lx0KJFC5mvxiMtLRUmMxnOFWhn5mfAgAHCuDlr5hw89tjjWLNmjdjJ3387IHLjHMC6dWvjzTfXySxBo4lZIaOMCOD/Wmkb/70cWdQtFMNfvjorgE0DoV6PK1DqpyJ972/YgBdeWoGTp88jd778iLBZMWz4EDxYpaqwj7J/lKy8HKX1+uuvY9/+A/B4vZg6dSaat2iGWXMX4N131+HC2VN4oOr96NC+k4xa2LRpq8wfuxifKN9Hn/ypp54U0hEt4OJ2OwWwKSKoWxlwUXbsQvx5WUcMiMRfSEDlypUxdux4YQ7lNXNPYGaWuGLzpi1CEMZgSLXqD2PGlInYtWsnpk6dKvtzdI6caNq0KXpxSPuuXUKgyAobp8sj+tW5azeEh6nk0zUNzmaG7a8lkTc2w6YpPhcSB/Ex8sEBfXygbFYkjb+WSWN0hAuUxoigjoaM/1MYdHgI5DjfgWldRZuZIACQ6X0adzaZcp5OoUIFpS4+fe6IR5VQUBG1RvJQD9vtZH5C1xKSwL9PArRR3377LZ5//nl069ZNbBhnsHGD4NwfzTZyhgttI50rzrGiLaMDS8eL4IybB1/jgGe+vmjRIrRs2Rph4ZGYO3eezBHisW7dWmHe4/GvYYkMlHyx+X3WtKnCukXHbOiwkUiy+/HKytXIlz8SLhfAah4690cOHUfOXNEy/Pr3/b9g1asrcez4YcycNh3du3eDxWrCoCEjMGrUeBQoeKfMzuGGygg+5+W0adNGnI3MSub/7YDtcitSKxMiIKacPvpoI3r2GIClS+ch2X4OkeHRgI+EIn7MXzwWb731Fvb+eBwzps3CsBE9sWXrJvTvNwy9evXBPfeUR/sObTFo4BCJQD/zzLPiMNEB5IBeromBAwciPMIig7pJec+IOAEbA7E63AbDxK7DbBFUEVRwXhUdY0b5161bJ5kyzcGlT0R7Qf1kQJtDxzlDjJF82gYOliZRG51DgjXKjACPPhTtAtm3+Xm0QfS5mH1jhj87HLxfXjdBLINby5cvR9euXUUOUVERcHscMBkNSEhMAjOVbdq0xZkzcdi2dYvIgoPYea8c9MygjMFgFJvK2WwchzBn7kwMHTpYAl5MHHAkgEbecrszaWYFsGUwhgYSK4HeNLITL1v+EuYvXIqf9/2GZ7s8gxkzp6FDm3YIi2D5sg+//fKL6A/XY/NWrfHehg2oUuUhoa1/tmcv5M+fF8+NHIaGjeqjxqO1ZN/i+qWPPn/eQvTo0UP2Kupu7jyx6QEIr9ctzLAKaN9awMY18O1338gctWbNmuHwoaOiB8OHj0Tnzp3TcUlcXLzoD+fRcSA4AyOffLodb72+EosWLcDp06dl9t9Lr7wq+/3Lr6zE0qVLJbvL9615e52MJZszfwEqViiL5JQ0kfNVl0Qyw8a6cbPJJiWRa1//Cc1b1FOkIzeQ1p9RuU8//RR9+vRB3bp1xajQ+EZGRgswI2LlpslyFhoVGhsiWrIkUblee+01iZRylkanTp1kKCejUCNHjpaSAII40uCyDp6/U2kyK2fJDgYrdI0hCYQkkH0loPWsHTlyROwVHY6VK1eKTSM40/7O7A5tIoEIHVRulPv375dNkCCNr3HeEO3nsWPH5LVx4yagWvUamD17OubNW4zZs2fjyy+/QJEid6jZN7a/c2azR4btUtIRzqTj/sDNb/iI0ShVtjLGT5yKqGjVJJ4Yb0dsjjCplvrk0x3i3I0dNwpPPdkUb7z5Gla8uBwLF86X8p/GTzZDuXL3om69RuLUslyfwURu3JyHNXbsWMTGEiBc+fi3A7bgPqjgnymR8ePHghmi48dPoknjFli0aDa8SJGSSAK2L774FrPnjwJ1//iRZMl6tGnfCC+/vBzTps6V4dmlShXDk00bS0kVM0CTJk2TgMbDD1WTahxmOuhM2cLMQqijMgaeoN7CW+nwXb9dIjhgxotl0Fzz1D+udTq6Cpyq0jwGmwkgmIGnDaFvxPdwuDYz7vSJKD8CD9oJZtuZJWZmjY4nA0UEg6TGp83ROAWu/w5u7id89dVXEjhhgJ56NGLECFmr6vDB63PBoNfh3Pk4kRurDZiJfH7pC1Ii2rDhkwJop0yehJ49++L33/eLbDhIvG7dJzBt+mSMHTtGSs7XrqU+lkrvKWYw7dK+4pt7t1f36VkBbMGMruzjtZgVW2RaSgpS0hyIjs2Nz778Ci2efgodOrbDjCnTYLGZheZ/86ZNAroIfAvfVRQlS5VCu3ad8Ou+fWjVth369u2NHl07Y+iwwfh2z/cChCljziybPGki+vUbJNnO1atXo0TJYrJmGexhEoU9bCT6MBr+SqBzdVK4nrO1HlyjlERybax89TW53gEDBknAiIfG5swsW2pKGnLnjsXw4aPx/LIlWPfWasycOV0CIgyiTpk+Q2zikKHDJQvOPnOCu51f75bg4YsrXsYTj9dCmsMtvYLXBNjIiGIxh90UwCaUlhbFmEJQxsXD6IjGWtSkSVNxNGiE5syZIylrOjZMV9N4UQmoADRsnKDOYZCMLr388suSauzevacsYKZj+Xdm4hjRY1kLjX2Iuv96FDr03pAEQhK4XglomyZL+Vg6wYglNwU168uqBo3uVgad1QbM8NDJYvCKwIwOBl8neJswYYL0ctBBmzlzNuo3aIRRo0aLTaRju379u+J0mDgo9W/RRPYAbKePH5MgHWn4WRapNxmRkpAgjtt7Gz7EyLGT0aNXN6Sm+hAerk8n6L4Yn4AhQwZhx44d+PTTHShc+A48N2Y01ry5GuvWvS3lUc90exYlSpRFdEwu2Vw3b94svT716tWThvMPPtiQ6aP/twM2CkDTX408h1F7OiXsBaxRo4YETWs/1gDLli2A3XlByhlt5hhcvOjAT79+Io724gWvo327jujRuy1WrXoFgwaOxMaNm1G5ciU0b/E0YqJzCEhevvwV0eXK91URsM19n8FaZksVWGOljFdKrG59D0ym6pGlE9h/Rh+IZX8sp+LPBHHMKLJySCthpM2gj0R/imWjtAPMtjGyT+eSAI3lk+zBpH/E4A5BIOVIwMbyNup1cFlkli7wFp5EUMosBTMYw4YNE/9QA2ypqckID7cK2yDlcuFCvIDad999F0uXLEOxYiWkX7hr12cx9rkxGDnyOSkTHTxYZUiYnRw+YpAEZgjYVqxYIetf801v4W1n6auzAthIzkJwnk6wcgmt//ETZyR7dvjgAbz/wXt4oHIV2O3JCLNa8MmOHVIVwsDBnUWLyWDyrl17oGatWvKep59uitnTp2Dc+Oew4b0PJOHSu3d/0bkxo0cJqKG8+TyKlygi98QyXAK2DDKnWxlw8QWy2CrY9/kXn6N1q7ZSZfH++x8GZjYbBEfICIkcMdL/+Pzzy9Grdy+0a9cGA/r0RJ8+KoO98vXX8fbba2VvGjxkGD7++GNJRnF97tq9R/R30tRpkmySilM1FvTqSEeYYbsUsDVrrjJsN2IOm6Z5VBxGjAnYmDUrWrSo/PvQQ49IXTIfMqOmjI4wqsFFyUZbRtmYgqTiUBBs7GPUiOfz72+88ZYMt2NkqXHjxmLkuPEGz97IkvaHTgpJICSBkARuggRIDEAiATYrM7vGkm06C4yMa04obRhfo5NFkMZsG20Z+zVYLkU7SPvH97CCgE7GnDnzUOuxxzFt2iSMHTtJHNsPP/xANg+ZXfW3R/YAbMywcR6QsJox2hl3HjGxsfht3z7MX7AYB46cxPIVr0pGIiLCJICNxBV/HNyP1q1byp4watQI6ODD/Pnz8M7atVi+/AXZY4YMG4G8+QqhbLkKePHFF6VPkJUadIL5vPhaZsOzM5PyTVCnf/wjNaCm/UsQRZ1MTk6UvXjx4qUoXKgEhgwZiGLF80gP28ULfsTEWKEzpOHHvT+iYb12aNumPabPHI0N77+LFs3bY9u2HbjzzoJo1boFKpSvJJH8GTPmSAnVY7UeFxDCoAbBR/4CueW+NVp/llTxyO4lkRqVP4HJggULxMljhpHl0trBc7RsD3sGGbRhFpjEIywVpLwoOwZ2GAynzrOsi5kpPh+ey1YROs/Bcx8zGyPwjyvaZb5Qm8HLTNtTTz0lMqKdVLpoFfIZ+pUEq40aNhHyFa5bZtCqVq0qOsSyXQK9ESNGSRZ9wfxFUsnw5JNPYtr0SRIM4+fTLpcpUyb9Ki4dQH47yCP4GrIC2DLO98Hv88GRmgIbRx/4fPjjyFGMGjMe69//AP1698LMWdOh9wEOJ3kfLHh37VrZj1q2bInxkyajU+fOuHgxGV27dcOEyVMwaNAAdGzbCoOHDMT33/0ogYbGjZ+SPWrC+HEYNWqsgDUGFzTAxgwbkyhcvzJi5TYoieRcPgG1VhteeGG5BE6efrq5rB+tLPb8+Qsyr+3dd96XrDb17NWVL6Nwgbzo0qWzgDxJPL38iiSb2FvONUjSK/ZerntnvaxPlkQ2atRAGI0dbkBnvErAdvzUH5cpiax/wwCbZuRpcFhjzEXHxcJNkZEMzl1hTTWNCtE3o0Y8lxFkRlUYaWZkmY4L/2W0js4MM2rcdFeufE1qRnPmjEWbNu3AXhDWhDOiyhSmGsoZOkISCEkgJIF/XgJ0oDTbR/YpRosbNGggNowbAv/GHgsyazHyxt4TOsO0k9wsGKxi8IqRd/aoaHaRmbouXbrh0Rq1MH/+bAwfPgabNm3Ctm1bhc7f4VAMh1euMMgegC3xQhyic+SQEh5bRAR++3mvyKxsxYp46YUX0a1nP3y+82txWLmJxkZFwefzYuuWLRg2bIg4t02aNJIN+cUXnpcetg0bNgjAe+yJOnjq6eYoVbqMOHR8nWCXTH38n45z+CWDyS/VoP8CYNNKIenA0oFmFodOLntR2HpA4FWwQFFMmTIRrds1hNloReJFHaKjzbC7Lsj+3L5NX/TrOwCDhnTDmrffQLeuffDBBx+hatXKqP7oI3jowUdE5hMnTsW4ceNQv15DCe6yyoagRMuwKSeajp4PPr8Pep2iCs+uB30clkPTKaZzy8AMq4147+zNp49EXWWmmOyQDEzXrl1bXicQob2gnjIrzPcQxLHXjaCGDqMG2Lg26DgyEJFderSCnynXJu+LzjRto8wW0+slaMC/0Ymu13ADgAAAIABJREFUWLEi6FjTh6S9pK1k/9Djjz8uGTja0V27VL8S5UKiu8WLF4pvuXfvXvlsOt4sQc0OIw+uFrCxJNLMsVZGI+LOnsW0mbMwd/5iDBwyFEMHDURsjmhYTRZcuHAOOXPmwNdffin7D/Vt/OQpIr+zZy+ge48eAthIyrR04Tw89fSTuBB3UbKWHTt2Eb0cM3o0+vUbKAmWN954A3cVLRT0OH0yyiPMxhlstzbDJkz0er+UC9P+2Kzhol8c6cKeUq49bWj9nj3foWOHzrL/MJvI3r0wswEPPHC/tHCtW78e8+cvEP16ftmLUvFHHSUeWbhoiQQEV61+A/feUwEutw8ujx4m6zUAtr9m2BRg0xs4D4SMJtdO68+FpUoT9ZIJo2HhJkqnRM14UaQiRKds0uvQoYP8zrJGRke46JhK5IKiwpAik/TLrOVm1KhHj17SrMwyIEbi+F00fCx54c+ZNY1nV0Mfuu6QBEISyB4SoK2iQ0GQRnsohnvVKqGZplPF3hOtd4URSJZMskSHjgajlQxUMRBFkgEyT7EMja+PGjUG3+z5Do0bN5Gs2x133IGlS5cgMjIrs22yB2Bjhs3rcqWz6HXq2EHouAl2X1/9BuweH+bOXygz2mj327ZqjQoVy2HShInCVsaIOrNm4WHh+PrrL9G9azeRI8ss1737HhYtWYoCBQsKCdY999wj+wazHAwqduzYPlMF+y8AtmAhsFKGOsrgQFzcOamS6ddvAIoXK4u3334Th47+iA8/+Bgd2vZDiRLFYLGlYf2G9ejXeywG9B+EvgM6Ye/eHwSwVahQCYUK5cf2HVsFzFWqVAmDBg0TZ7lkidLS58m9v1WrlmQeF3+BgI2D4QnY/PBn+wwb/R72vnCNs8KI65jggiRDLNFjEIegmBVFZKdj1oh/J3hhlp3BH/o5JB1hhp3l1PSHqM8sZWMfFzMc/JelWSR3o8PJI3jubaaKfotPYHaQQX3aUfaqnT9/XgBCw4aNJeBFJl6Ct48/3oR33lkr59BGMvNGUMzSyPfffw+PP14Hw4cPFSBCO8KWHH52iRIl5POoe1pf8S2+5Uy/PiuAjWuVR3oJYqAkcuXLL6Nz1+4odXdZjHpuLO7Inw9R0REoWbQ4Jk2egGoPPYjHHntM9Ixg/6Fq1bF12zZUqHAv2rRti5dXrsKJE8fwRK1Hsf69d/B47Tqioyw7/eOPP/DE43VF7wj2WBkSGWWTtauGUvtvG8BG2WzbvkXWEvfVyIhowSEk9GJQlGuNWekWLVoJZln79jtSckwCsIJ35JcM28SJisGVyaX3P/pY9HH8hEly/wRvzHizh43Bktnz5iN//nww6K+xJPLYyYOSYWMP24kjjgDpSAOVYTPcGFp/LbXMBcKNkNEPRugUPbAahM1MHA0KiUOIammcmEJkzTUNGTdfziFiPT0RvJYWX7bsRWlsZF03+9e48GgA1fyiTHU+dEJIAiEJhCRw0yTAaC2dC0bNGcUjqFJ9FaqvhAEqZt7ouDEYRQeD4IPRYkbbmfFhhoKlQPwcjWGX9N+HDx/F3HkLcOjQYWluZg/cffdVgsPhQliYWWYNmc1XMoLZA7C57Kkw2xQAdTsc2PvTj7IJMvhXrHgJ9OzfH+Ur3iNOF8Hv9KlTUb9efSyYPx8//PCD9KbRSbWa1WDX1a+9JuQCdFrr1GuAdh3aIyY2WggweC4zFwwU0hEuUCBfpnrxbwdsDDCogbgqkxVMBc9eMsqYZUS5chbEuHFj8N4Hr2HqlOmYMfUFPPFENZnD9tXXX2HhvFWoV7cB2nVsIs7K8uWrpIft3LlTqFe/Dvr26S/ZozffXCuOTsLFJJm3xTVQvHgRYf5MnyllNkop3K1nmctUPTI9gURqjMQfOHBA+l14vwRcLPNjWSSdXQZ6WGZFHafDy7VPXScQoU9Fp5KgrkiRIgLYCKIZ1Ca7Isuq6RPR3tCmaAdlqYbKM8tx+x6avnG900bSd6TvxwAWK6oerPpwYAyCRXSEs/1oK5kx53w1ypcAjoEu2k4CPq7rr3Z+JXbkj4OHUbJkaSFqocMefGjVYberdLIC2DLWbICAyuvBsaNHJSv56muvI8XuQsHCd8LtSBO21vvvuQ/PdOmEju3aYsDgwfh2927JPP524CDy5c8vZY6l7y6FTz7/CitWLMeBfT/LWI6uXdgPXAJ79vwguun1+EWfmb28994K8my4r9HnZ9Wby+2A2USbcmszbOwfN5r0UlbMzGya3SmZV/bl8vkT9NMusQ+S6+zA/j8Ek/A1ZuZI658vXx7h2uCa1RlNsmYffOgRAa7EIuxFz5Ezt5SX3l/1QQkIhNnM0r/G0Mkbq49jQNfF6NypJSo96IAfh2EyGOH1pMBkcCn180UCfhN0BGx/JR25sYCNKXhtrhojIUSsjGSqQy80zXRkeLBsksIgvSoPAjHeICN7dHD4OtOPdF5omDhRnL1sIkCdTgZJFi9eDImJSYgJDFS9XRdc6LpCEghJ4L8hATpIHKJJ2yV05DqdRHOZbeMGQODGgxTe3NRoDxmR06K9tJHcXLgJ0nZqrzucXuzc+bX0BBcunF8+gz1c7GFjv0FsbOQVBJw9ABszbCyH1OZvmm1WpCYmioNbolRJhEVFwwc99ny3R3pQevfoibuK3IWjR45J0I6ylb4dbo4eHwwGPY4fOSbR3iLFikJv1MHnVzNlT5w4Ja9zj2FkOivl9P92wEbloa4xi8N9nPLhs6BcZQ6WySRBV5dTh6goC34/+ANWrXwd9Z5ojUceuU9KIrmHnzpuR2xMToRH+aSf0O8349ChI7BajYiJjUJ4WGSgP80EUmifOH4K5cqVkwAtdZnOKZ+R1sN2e5RU3TjbRdtA8ETSC94jWz+0uWMM2hC4UP70dXgewZkWCGf1EQE1gzZ8LtrrPJeAjefS/+Ln0obQrvBnPrvschCc0udjIJ+ZQ/p5K1a8gvvurYLq1R9BYmIyIiLCZX3vP/A77r67VPrIlHPnzkiwv8hdhZE7V254vG4B+ympKThy+DgKFiyUPqyc8lIM47d/qW1WAZv0jen80BsMQtfP/rX4CxcQn5iEqJhcwhYZf/4cypQtDSP0mD5jKqrcd69UIkTFxODUiRNyDnuH8+TJB68P8OuBI0eOwmVPxh2FCsBktAR8fD0uXkyUwffMNDH5Iu3HAUPJbF1ERBjcHidMRurfrQVsATSE5JRkwSF6nVF0gffJg0COa6pZsxZSKmtPdaTbQrbg5c+dA1Gx0di/b5/YKs60y5EzJzgqjXs893ImoXLlzouiRYuoUe+cfK0DLiR4EBFtvH7A1qy5Amx6Y1YybAL/rrjuNYYpKg0RtqoN9sHpVIafN3alxaFFV4JT1ES9ZJmxWGyBxlMVIbq0Xy14Blt2MUqh6wxJICSBf58EtOCS5vxq9o70/HQkmEmgXaSjpTGUZdAx07axwV6zc+pn2kaz2QKPl3aaYS/Sf5Ou2wCLxSA9bHSGr3zQceZxa8sQNKfjr8BH7SnJSUmIjIpQHoLPA5ZNaCQk7FVzy/9+cea44T5S9SF5n8vJ0jk1oFQChlYbnA4XLBYz/B4fdMbAfeuBNIcrnVyE+wY3WZbSc49S5XdXPv4LgI2OCpmbg/fhjEybT2apRkYQKPhx/sIRARWV731YhOb1pcrsK6fDBItFD+g8uJgQj9gYkpMo3yEpOQFRkTHymwo20LEE/DpAF1AQcXLSVdWHxKSLiI4ic+StdPiu31bRJ+KhrXtN1swgEaTQNvBvzKxpg7R5vib/4IwnSY3oIPPQbE7w4HPlLNP/QmCOWdT138BN/gRN54KHWPNn8h7s339QxkHQoSaoZ4cN+xpZ/kcAFx2tglUulyPdx0xIjEdMdAwSEhPkX9o/rnkeak6v0ieN3VybD3yTb/OaP55XrhqL/nxodil4DpvQ+tMmclH5dEKr73T70wNTF+PjJch1+NBBFCt2FyKjomQdykYhi5E/6HHq9FmZwSar1+sOzDrWi908f/4i8ubNrd4XOFjpwUHZ9NuVvprgdKlxFrea1p/kJ1w3uXLmkntzu1Ugg/rDCgIGQ6pUqSxrz2SyKD3yA/HxSciRk/LxwZWWUQXi8XhhlKHrfgkYUP60nRQH+yvDIqNgs5oE9PKhXTVL5M7dn/r54ZzDlhBnxNaPjqNjpya4+56szmHjw7yMvuk0EOdDSnIyIiLV4vFIhE4HfWA6vd/Pmlb1Gan2tPQmby4exSijD9RaaxScqn6dd6sMUJRk3zSjpi0wLaunMbRpCz/Y6Gmv8f1UZD4Mnk+HiL9rLErae1QJJ5v5zaKct/tgxWu2AqE3hiQQksANk0Aw4KL9UFkDk9gQr8cFU3A01+9XdsdmgzvQu2WgE+H3i22KDRp4K5uCTpV+X4xPRo4cysba01TJhcPpQZhFOSBXAkS3GrBlRchJSZpDr8q4LFZFJEW52sLC4HB7AuU13F9cyhEQBrKgI7BHsaxS9hSzWQE4zhwKHGqzNqQH/5g5yqCfzsqV/vfOcQVkpumYy21Xz8JvhCMtDdYwI3xeL/R6qyihBBoCQDolxY7ICKs4fXqDAsZeL30DHdVdfEQ/AxLEefQXA7T+/J3rhnu93qBAeXY9ND9FG0ZO34OOHn0SZoaDq5MuvUf6L5QB14E2s43n0K5QzswUaQ675sPwc2l76C8Fg6DsKj9eNzO9vFflr4XJv5QLfTjeI3+mzdV69mg3FTijg04SG1N6MII+JR1svifYV7yd5aNhqitdI+XBe9Tun3MMmUlye9S9ez1khP9zQCS9ZNHvh9fvg88LOZdVG6xm4+w7N8GJkWvTj9RU+u7h6dAx4WIKYmJUcIBrmZ+f0TvJqgZeA2HmrQy4EEd4A+CdgQ49kpOUrKxWg8CaJAaGotV9qEPxeXjc7AvkYmMQEXDa7bAwqCr3xEMvOkWZSzY7sMfbnR5YA3tyYgpgDb/KkshTZ4/4uTHpdSacOeHBhrd/Q4uWdQWweRAPs4FOwN+QjlwOrIn1VoDNkZYqzgcPlzD76ASB8ina7WmwWKPgcfskKiznO12ymLS5EVqEyG5XC4lgLe5CnERVLGaLIHqWRmqGSkSlV8JSZS0qMk2CEpYTXWqkrrQoGa1liQENHI2hJnw+gBBYu53NV+jaQhK4fSSgRcBp07hxaqXhwRkKXq0EtSIixLbQaYiKjkYqmRFtNnEedIH0AgNejJ7LbDKjGU4vyQMgmTav1weTUS89Qvyds1607SM7A7bgLEJwlodbD6PEHp9PQILD6UCYRYE5gl1uvFoALykhUWSafpB4gYLjvkTAZzaqTFEk9xh1hADb368jbet3+wBTQNHcDmcgmk7u7kCtKSPvF+KRO4+i/GeEPne+vDDqAI/LAVeaHeGS7aCDZJeMKr2H83EXkTtXrDhOej/g9rhgIbDjL15PIOhvvlw04vYxAFm4kksdau0tGpggaNOC1wQh1OngbDzPZ2aO64RlaJpPQyDH4DKzRvR/WOqlOe20Rzxu9wzS34tP+Zha1ow/nzsXJ7aReqbZDU2OLNUjqQQd7bQ0t1DLa2XPDIbRz9OC8BkEGf9n7zygo6q2N/5l0guEjhQpgtiQqmJ/NiyAiCAIqAiiojRRKVY6ithQFOyKgNJRFOvz2Z767IKKBRQF6SW9TCYz81+/feeEMX8URRCCuWtlTTK5c+fefc7ZZ3+7fLtsx9BLE6iwt7jghgkPx0gEUPGni4C5rLn8gvwIm6PP0mmTkytYhKwgP6DklHjl5mZbiqMXnQrY+q1SpfKvHITwnlDvRYTNO0L7TA1bbl6W0lIBZPHKysxTevp2/Q8WIUslNy/D9mXWSoW0SgqHY60HpKsRLyrwnCCwb2ZkZBp+SU2raA4D53BhtQFqYU8iwsaxS33YNm5ZEyYtMT4uyUhHFjzzlS7oepaOaE0WSrZ8AmztOmAr8heUeNS8wYqo+ZJZgveYzTGCWGMIYRcbakcI28P4XnTLOU49dM7hIXQmpgtpu3oH3o/2tvA31wPE8cr5LFJ+xzBC6fHK97rF7gReGqSZd7yM5YH/gb2j/JRyCZRLYDdKwOkN9BB6CQMKPYYxhafSbYyko0RHz9wtGPAgok+UIgIw3P9I2YtjU/AHlRRxeAUCgBef0QbzWtYBW3QvJHQ88sTgQH6JyUmmw8NEWmJ8vwJsmzdtMsMNI8PVsDlZKhj0NtJIelhmqXpnIm18184o/XfjNCmTl3KArTAQUrzPS3kKBYoVDAWUkOAZJV6z8/hfeZ5dGldeTp4qwmhKXU0MqWlBM4Zi43z/r8iiuMi7bkpisucMxuVv9h/XLpPis5uO1gvMZea7a2ztNQkPe5HEiMMmOlU6Om0v2jAvmfOlxBKdEvl7kbuyI00PsDEvTEYxPks7w4HvUtv4v9MhVibjI3K23daMftbt53nr3znXyo48dnyn0UEJntHNJ+YA7LlQ9VetVrkkm4AIHBEw5iHApKCwQHGxCWYTk9GGbHNz8lXZMjqsKssAm7fXRSJmZF2GtkftiMahH7wyqKCRBu0LNWyB4kK7jwA90RTvRc0MuEokCsTEBBUK+yM940i5jVFhQbGBWCPgDPoVF9l7PRwSMLzjpdN70X+LhPviTL5IiswXY8vE0fpnG2evWv1dODY2XkmJqVq3ushYIrtd6NH6K+YP0PrvJMLmDBLSI9auXasFC+ZbwbjnbU5R7ToN1ad3X2ugaXUXyXGW/1lYmB+JqHmhVPQVkw1PKEdevgeu6MMC0OIgAsc5XJsIXHQPOOdZ2pGiigZjRNT4bPTB/7km13AtCqIVQVlf0OX3Xy6BcgnsGQlEG1j0r5o/f771DIOGmyM3J6skXfz9996znkx4wyEWgdmNQm8ibQ888IClRNK+pFu3bkpNSzPjZObseVr1089GOnLFFVcoPy9XVSp7tSnU/RDF4CirETbnOCtNRf7qq6/q+5UrjKwlKSXFDAEMNgAqBeQJcV7aF7100Ontz2mnevXr6+P//c+o/jFaOnbqpBYtWikhKd76M0Ejz3hRbN+hQ7uSANGemRll/6o7AmxWcwagipDFwM5HuwXY045p00bduvVUXHysln+3UrNnzVTmtk0649RT1OG8TiL199NPl+qll1/W+k2bra8YrS/SK9Lol/lcrHgMwv0IsLlZQK0MlP60+IB4BDsFx7KzTWBJhMUO3QC1P3T/HNhS9LlifcACCbMkhiJReNj9qJGlTQh9x6KjaawrSx12FmqZnI5eNsK2jC3GwgtQJYLGew0bNrJev/TBfP31143gBh3Zs8fFFjXJysrTnLnPGsvpIYccbHqECCSHiz7yuj+UvSAPxtoBUM+e9tl8WPH9KqFLjz6mtY46qlUkhS9gNWboT+pRYdPM2JZlFP3t2nkN3bdtzdbcebP19ddLrY1K9wt7mt1MhI12FGtWr7V5zBquVat6STq0VwoAYPl1wGXvTD8vJZIsjbjYZOXnFempp2bY3tupU3sLDnnptnHavGWz9VP7+utvVSm9mqVO1qhRXf0u762atWtoxlNPGZv9gQ28PoiwQrLGYONEB9Y8oLbR+x98yMEl2S+ZOWElp8X8OdKRtRtWhePiEgywrVlVoNnTP1eXC85R8za7D7BR7MgEoTnsRRf1tEUEW1pmZpZC4XhdcvGlRvdft24thSzX2DMvXPqi5zHyjBC8KXRI9xf5LSWSCFu05wjAxkLDk+0+77xYXjG5lyaD14H/817pgmqUIpMbxYdCc43z+H7u3fOMlx/lEiiXQLkEfl8CjkSAliPQd9OeBHpgjAmv5iLB0vcAFfSxgRqYvmFQAtN3CCpgNkyMMm9DzLbzoLd+fvGLmvrI4zqwXn2juYYS/NwO7S0tKj6OGoOwEiOIrawCNqQb7YRDZ2O80iz4x59WadGiRTqoceMIVXKKATY2YGiRAb/IBHnMnT3HIm03DB9uDHzo95y8PE2efL/qNahv9M0YJwb8fD6jpm7WrGn59P4dCVikLMIYZ62swyHFMgIxIYWK/NYkHopr9lMMmVU//WSNsVu2aqWbR47Szz/+oFBxodLTUjXk+qFqc+yxGjVqnD7+5BPlkVoZG2s9W0899WTL8THHA9mQQWpD+B6sawBc2R4m2nbQA+z999834HHWWWeZfYKdggx+/PFH60HL3xiB/A/Kfpo8Q1OPXUWmEHYSdPb0iaLZ+Ntvv21lHYA3+hZiMEZH4qKj12VTgl7W1cZN641tFwf9+nUb9eyzc0y/0hYKMEKbCGxc5NP/6oHq1KmTpk+frulPP2mNxn/66Ufr93vVVVeVpL4ha8dhUDZl4921i9K6gEV0tA3ilv5XDzbQevMtN6pjxw6RWsiQ2dmcC9CHHAuGV+bR4MHXGQib/exc3XPvXTryyMNM/n0vu8Kavz/++HRjN61apboFUugHyDXiEzx5olupEyaDzgNKXgr73jno5VhsUcRNmzI0+9n5GjVqrM2D228fHdErgLqAvl/xvTn0Vq9eq4T4FN199/1q1bKllixeqM8//9hakrG/5PuLdOKJJ2rAwMHGCo3+Yv8p9AeM9faWUaM9BxRXxQkV8ydr2H5Z/6P1YQOwkRI5d8ZSXdD1HDU7ZvcAtuKA36tZk/TO22+rZ88e6tKli/UMArCNn3Cn9cLAKDnmmFZ67fV/28ZZvXpVHX744apZs6Zee+0163WAZ2nd+l8MseItad6suZYv/97+xhvA/1mAKDg2dQTFtehgDojDi4XColYEL6pjVGIgiP5xTSY210AZUsdGjzc822effba9H32UfYW3d5ZJ+beWS+CfJAGo+qEHRs8AuJ544gnbyMwAjQmLdEg2Txp20pPNNSxlo6SnEM4sGt/SrBMjBP3F7zfceLMOqFtfo8eMNYOMa89+9hlVSk8zLx5HQsTSLcuADcPB0nNiYswYIHLAnnBk82bWgPzIZs0NLGCcxEUibVu3bLGmy+wrbKDvvvOuFj//vAYPHGjGMfTg3bp31+jRYxWXEK/Ro0eb0cd+Q/QCLykNUcuP35aA1RBScx9hKS2C8CUco7iEWOVlZRqdNT2zcFQc2aKl2rVvr6FDb1Cjxo0NoA0e0F/tzj5DfXpdYo15Tzn1VN1yy2hdceWVannU0WY4AV6Y/9UqVywBhH5/vrF97g+A7aOPPrIeTtgZ2CjoBoAVB1E27BoiwjgU0A+1atUyhw29aFu1amW/0yQaG4cIOz0emb8AFs7h/xjMpAcTpec7iNyVpabZvz0DvZRIatGMxS8u3hww9FN84IGp1nwchw1r+u6777Xev4GioM3H66+/XtVrVDWZXn75ZcYUiK7w6t9Imfw1K2dZ1QPRnA2WRp6YaGOPk4C59sysuUa68dxzC9W27ekRzgcvzXFbxjbTr0TKqlWtYfPokkv62Ly6rM/lFpW75ZYb1L1HN4ts4lwcOXKsyf26a4ea/uU7kXH9BnWi+CO862fnZKtihSp7UbRehG3T5k26c9JkvbD4ZX33/UqNGT1GI0eOiLQS8QCbO2AUfuft9zV82M269NJeurLvpbrssl4GTpHngw89bHvTAw9O0yOPPGJglx6Kc+ctsAjd/EXPqXGjBiooDFhmxy6lRLo+bOvXBKyGbXemRDrAFg6FLDR92WV9TKGgyAsL/Zpw212WHztr1izrs3bDjcNNUVH8TXgfLzMD//PPqyxl4NPPPraJQ0O+c845R4MGXmseWDbzFi1amEcP5ceGS4oAC7Bz584G4vBE4WVhEoF8aZD62GOPmbeW1AuETtoB3ikMJIwsUgrwxhIuZ5Hzfuli1r0448q/ulwC5RLYxyWAAkfPEGXDMLj11lutMbOlcBd5qdbUp9Ebhx4uK1esMP1IRA2POYYYDq7rrr9egwYONEN45MiRunXkaJ125jm6/fbxuuXWMQZk3n3nbR3UsF6JRMp6DVvp2mGMLYxcvJcHNW5kgLbxwU3seTEAKlWoKArln5k5yxqV43TDs7towULbf24bP14LFiwwo6LrhRdaDyaA36RJkyx9smXLlgYS8IYC7KJJSPbxafa33150HygX2VRxSPGJcSrMzbFoMY4E+ohVq3mAFj33nGbOnK1PPv1UAwZfo08/+lAN69fRqSefZA1lTzr5ZA0adK0ee/xxtT+3vc7v3NXWBs1n6xxA/ywvJTIQgMmN0gjuoGzXsGEQEwVCL5DJcxuN39u184BIpH6N/oJE2GbPnm3GM04dnNM4kW+55RaL2rdt29aAHgCPaFGfPn0MmKBHsLdIx8a2iSY9Ym2V7TotD7C5nnxfff2Vhl4/3GrY7r//AYvsYvvxg73Xv/9A/e+DjwxAoFM7nNtOt98+QUOHDjXZEpHHac8B0MFOLF0e87cvst30hcwlghWurgpdCLANh2LNXn529iydccZpEcI+2iB4feog5AC4zZ+30KJIEybcYev5lH+dpjFjR+naawfpyn6Xa93aDWan9+59udnVd0y83dYyOpj5e2Szw0qexFgqfYpc3yMb2juHB9iYNw9MeVibN2Xok08+N0fR0KHXiTZxMTEh5eRuMycpkbjl33yn2yZMUnEgRhMn3q56dWqqdevmtm88MX26HnnkUcMPD059yKLg7PGUQcyZO98cTzOfnW1rF/nCgvunAZsjHYmLTbQI2/xZX6prt3N0eCsp5MtQvA8GlV0nHXE1bAX5+dYU+/zzO2nbtszIokDl+nTnpLvNgwRA27BxncaOHaunn37KUgRApXxu5synbVNd9uUXlh7EoiM/FA/B4MGDDZBxLhs46QHkJKOoUFp4lABrhCw3btxoA0KuOACMOhHOR3G6dCUmJilKpMXgvWLhsmng3ebHMU5Gs5ftnQlX/q3lEiiXwL4sATZJnEQ4lfBqorSHDRtmDicvPSnOUiI5IBeh7xi6EK866U5kGQDOMM7QRTiRMPDwnOPFO7vDeRo4aLAZHOi+p558wjZrC9bxAAAgAElEQVSPxIRY6/Xi2PvKaoTNeYidrv3222/NIEP/z3xmlkUtD6hd2wwLPMVV0itpxcoVum2854RbunSp1fk89sijJrcp991nBgTZFQC2ww47QocdcbiBMzzsRDfZh0h7nzFjxk77sO3Lc29P35sDbBgdrlYyXBy0ZuTUsGVnZJgxjKO1SvUaVqv57LPzDLjdOnqMZj09XScef4w6ndtBB9Spa4Dtrrsma+Idd+jYE040jz2NjAHSNatVVjAUVFwMNNleSmRxcUBxcZCQ7Okn3XPXxx7hGTFsWdusYQBbdK09qY3du3c34EGWz6hRo8ypgDObeYsDGzvmxhtvNB1DJIlz0BtE8okeA9ZeeuklKwlxfRyd8b7nnm5PXzlUokP5psn3TdbUBx+yiGXnzhfok08+MRsQnTt48BADbe+8/V+z/3DSd7vwArMBFy9+zmxO7Ef63pG2t78QyvEcrsWDq2Fk38GmJXPs448+NxmMnzBW3bt3M0CXl5fzK8KlL5Z+oSHXXGcymTJlmgU2SC3t0fNCDRkyUHfdPUmzZj5r823ixLss5XTMaObfWL3wwgu2fg8/4hBzsHhtKCD+S1KYv3G47LUjJH9Rvt1TVma+flmzQRdccKGlfE6efIf8RRCHxCq/ICvClCm9+tq/dVW/gRo86Hpde+1ArV61Sj16dLW6dNbZkldeNawwaPAQi7jVrVvX1vRrr79h+AW9R/06WTC7ROu/Zt0PRjqSmJCitT/7d3tKJB5klASNVN749791wQVdbBGhfDZs2Kj3P/hUb7/1ruVuW13CqpWmlGCSYaLdddddRsd/1VVXmvcjI3OreZlA8xg27/33Q/OCsAGj5HiPiYUiYyISacO78PLLL+utt96yvHpSlEC5eKe4FzxSnMvmDtAj3Yj0SQAhnlhQMtE/vDIYW1x/f2IR2mvrpfyLyyWwn0vA1Yygm5YsWWJ6ix+MBu/wvMSkReLFw5P++ONPqm/fPuapo96K6BpeSxxTvIcnGMD32ONPqsVRbXTXXXfohhtvtVSMKfffpxNPONauuT/0YXOArXT7FQDr198stzTGBgcdZI2xOYj0DB02VCu++972AtJRSIt/5KGHLTI38bbbLJuDbIwzzjzTSEeat2xh+wU/Xbqcr5NO+pfq1atnEUtr4lx+7FACroYNoRfmF3pGWBRge2bGDDNWABsAsGuGDFHbtueoVevWGnztdXrysUfVotnh6tr5fNU/qJHannmmJk26R3dMmqQWrY+ytD6MKYA0gI2Uy8Q4WFb91iB+f0iJdIIFrOGRZz5TrhHdNwtAh+GLAQjYAoiQXUSkjYgcMibFl2g8EUkAH+ANhzNgDgOaOn+cQOgjSkU4ogmRyuYU93QnZDQckDFlZmSb471Ro4NNTl4a3yUaPvwGk8+rr7xuNcTYhVdc2VdjxowyQxuH/RtvvGHOIGS8P5CN/JExXfz8SyaLyffdo8su6x1xFMANEbKItmOKhJSJuValSg2rnyblcdDgAbr66it0y62eXJHjiBE32x5GyiTAGRsa25uUSOeE8Ig8XP/EvduHDZZI68vpS9IH73+siy++1PQV6yetguv5HDBnEdwZ1wy5Ti8teU1z5yxSy5ZNDbD16tXTsAnrc9bsObr55pt1/5QHDbhRQ2rBpcUvmkNm4DVDzNFCL7ZdAmxE2EiJpHH2dtKRdmp6FIm8mYqLoUDur0fYSInEizRo0EAzPthw09Iq6MGpj2nsmPEWCYNNqqAwz+oUQPnkf5KnjbeTECUKJzkl0TzPXIOJMWf2Ags5kqrI9cnl5hXvHDmkADI8S5zL7wA1vCmEdZmACA+PNFE7zsOQAshR0waAxIPL/9n0yYUGMe8flLh/ZDmXn1MugXIJ7C4JAKhw+mA4oP+I4m9YH6mdjYvTgw88YA4hdBveYIiZiChhgGG8jho9Wj179LB6DVK/Bw66Rg0aH6Knn35S11433ADbO2+/pWpVK2nVT2vUsMGBZZ7W38kenQuRFAY8qVzI8ZPPPjXd71Iiv17+tWpWr256HZIRDFOcfhC4TBg33mr83n7zTXMCklVxYY8e6tOnrxo3OdhS9yZPnmz7Bz+kl7HxllP7//bsjwZsAaOxjjfARtNd+qSxj7MP4yQlgnZks2bq2LGzvZISSYStY4ezdViTg3Ve5y7qdP75xiI5dNgwXXpZX9ubAdbsxxVTk/bLlEhrJJ6QYPVlOBcw8oimczBvXW8wjEHSdEl5RKYY2USQASNE00iBZM5S40a0DQc0addkBPE+RinkGwZwIo21udb+0Iet0J9vKZ9wI5x+WltL3UtISNJXX31l0XKCA9iX3bp1188/rTFHDPq06ZGHG9gdPXqkZXMBLhyvgWtKbsGG/fiYO2eh6b4HHrxfnTp5tZNffbVMdQ+sbZE0omPMo6ZHNDNAvGHDFoua33LzSHU8r4PGjx+tzl06Kb1iZdu7OnfuZum5E2+fZNdlXHBC1Ktfu8RBUFTkpVzuCxE2rxsaR7y+XPaNOnTwAjhjxtykYCisjRvXqjhYoHoH1tP6Det1+eX9jCXysUenG3skbUuOOOIQD0PMmaPrrrve8McTT043ByCRTIix7rzrHsMji5e8pMMPa6LMrFxVoNb8z9L6r1670gCbi7B5KZEerX+M76/T+luEDcbG4mJD2n369LYIFVEzathycot0QM3atljwiIy4YZgpLFA4FNYoJ/KsFy6cb4us4UH17dwmBzfRo489qnvvmWIhRowYPEaEZQn/kz7Exswipt4BIIYXCgY26kn4DAuXxY33CmDIIiUsDiB0dXZE86x9gM9nyJtUymgjomzngO/Hmqj80colsA9IAJ2EUYZhhJ7BcYT3Dv1E1H74sOsNkJH6SHQf+umePbubPjr44IPNKCOVglQnAByGBZ/lXFIin35mjlq2am21tnjmJ4wfa42zXdPhsl7D5iJr0ex2LpPivQ/eN7a3+g0b6s033zTdPWLYMPOSF+Tl2+hTII+B+uTjT5jjb/TIkcZ2xu9FxcWaMOF2ValW1eTJGOGUI70eZx01HeXH7wM2+o/TT6iokCazCb9icXz/3XctEsweGorx6aOP8dJPskja5f2uUm5WpmpWr6yvly3VPffdb7T//fsP1uo1a9SgUWPbxzGozzyzraX2YuD5QjQ6x+CDHhx68sQynRKJdEmX5jmJsOFswGEDaRoRC5w7RHuJrhOBx94AiOCtJ/uHaD0ZQ/zOGsDpAP06UXnOQ6/AIIvRjd4ApJWuCy27c9yLsOXl55i8qNe7+aZbzWbEpqUuEHkYbf3RbcyQvv66Ybryyst0/fUj9MZ/XrdUtu+//9b0LXYf2VrYp/wApPf34/HHphvQumPS7ZZdgJ07YMDVOqPtaTrllFNsryJwUr9eQyP3o0YNJwByXLrsc9WrV9vKlAb0H2SA7p577rd5eEiTw2z9st8BgNIrbW9IHQj4LXMhUBxQPCnNe+3watgyMjNUKb263n7rPXXr1sMcHmPHjtKWrZt05523KzklzjJb2IN79eqjs85srzsm3qOEBC8Xe+KEMZo3b57t1f9+8y1zNF173VArw0JW7Msrf1hla/TuyfcpNTWJVqC71ocNlkgXYaMPm0c6cpbVsO2WPmxh7sx7sK++/FJTpz5oGyaF4MFgSFWq1tKVV1ylk08+3hinyIclNZEBJZeUHyYRqJxNtEHDeup3ZT+7XlZ2lp5/boktSM4BTOFNIZ0RVAvoQoikFOCJJeRNjwUWJSQiKEY2f7wInNO4cWMLl+NZJQ+c1BlAJiFyjCcAG0aTq6fYfxTfXlsx5V9cLoH9XgJs/oAB+rTgJMKJRBQHQoyBA662qP8JJ5xgaTkcgJPvvvvOsgYw2tBReN8hceBzpPnQnw1wt+iFl/Tqa6/b5opxnJyUaAYZNWxEQEro0P+flD1jx0si3HcPB9hK61qA2soffzACl9i4eC1YuMBkNGniRB137HFetlw4bIX11GoMGjDQZPb8woWm07nuCSedpAsv7KGUtGS9++57lmWBbmfPwehNS0t1W9e+K6C9eGeuhg0fdWFegUUjo/uwFeblWRoqYATSEYDaSSedqho1q+ud9/6nGU89qeKifLU/+yx17eEB688+W6YZ7Me5ebYmGIvq1SorTNPj2BiL4EE5DulIIFCk+PiUMg/YWN+QQED+QKQMw47yDQxpooswP5Lp88orr1iKGk4I5ie/Q8mO/QLLLCRrlHNgW/E+BjPOauoyicQRLUK3cABGyn6mkKfDAsVeFJ0oZbeu3Y0VNhz2WiKQUk5K7U8/rTbweu2Q681W5PyXX1liOrlRo4Ymd9LXSB0FFEc3K9+LS2yPf/VHH35m8rn4kp46+ujWZpt37tzJ/gb0U3+Ko3HLZm9+9es3QOnpFfTN8hXWx+6HH77TiScdr7PPamfOroyMHIskwfyO7Y0zsmHDA0vWKHthcTHkJ/H7TIQNkqqU5HSt+nGNJk+eYjiiffszlJ2Tqz59LlGlyqnmTGFdTZx4p1o0P0pdOndTbKwUKCxUfFKcJk6YYJkEhxx+hDlXEpNSLELJfg/Qq1e/oQHBuvXrqaio2FIi8wqluMQ/Seu/aesvYSY3pCMANi/CduZuA2zB4iJriOmO7KxMA0DWsDGGrudxtrlu3ZqlqlXTbWALC4ussZ5r6ujlWoe1fv16o2KNi40rySmlDxveZVIVHVUtit/1ZovORab43/VXw6vF+UTYIDVhY8BThfLDGDjmmGMM2FEUzER0BwqP6+OpKvs54HtcH5R/QbkE/tESiI4MIQgMK1dDAnnRc4sWmAf9zLPOEsRMjr4e3WeNW2NjVRwIGJBAlyWnpIi+lolJ9K/xWULH+o1bdUDNqibngoIipSR7nuGc3AKlp3kezLJKOuImDzoXnQ3QoqYY/R4T67NNtGKlSpadgXHR/6qrVCm9kkjBxyDlXOvjmf5rNrIwfa4i+1Kh34sOFReHzGCpVWu7vv9HT96dPHw0S2R0SiQGNLT7TsZ52dlKrcjeHqNw2GcN3cM+yU/dW1KcCvNylQy7Z36+UlLSlJObb422k5O8dDTIc3BJW/+mUNjrxRqLE5d0wtQyDdhcjSav6AaiwxxE36lVxeglK4iDeYwRWKdOHVsHTlcgN9YG6ZMcnhxT7D0X3WcdlNhgkV6yZd9+CVkkjL5/1BfhwE9JTjNgig2JjeaOLVs8veuL2W5rBoqDJk/qtSCkQx6uYTmf2x/6sO1Mf4WCzKtsVanq9RYmhXHOnGd12umnqFVLojbUQhcqKTElcimfnV8pvaIys7KVkkJ7jZAS4p2s0clF2rY1U7Vrey0SvDXs2fBeXzhvLXvH3q1hC4aKbO4Y22xY2rIlR5UqVRBbQ35BoRYvXmgRNrL+6Pu8ZWuGUlPSrWY6EAjLFw4oNoHwf1gB9uj4BMM7gLLoCG1unteiQ7FwTXrHtqygUivG/rnG2cu/+yLMxk8N26Z1IS2e9516XnSuV8MW89dTIov8Beat4Mfrx+ap+SK/X35/kSpUrKKtWyJgzcLbnqeOwzWdxeiBBtRrauo1RkURIYBYUiIiaQVs4rDcoKzcQVgckIbwHACEXhu6fxQbUTcid0wkFiipMeTomkAjxhXf5VoHmNGU7N1f6UL4nS2O8v+XS6BcAv8sCTjAhi7DkHBKHL3E72t/WW09H0kbB7AByEgfR+mHgkEDbNlZWaoYMcaQ3sYNG1TzgANKAJsznIsCsG6FlRDvsz5s8DKU9ZTI6D5CPLszRvk9GjBAPU3EssWRzcxzW1wUMPmWNCD2xRrQZVPFeLW+TRGDrihQbH9DmuHp/UxVqbI36abLxhpB/uGw1/zVF/YSaVxj63BxwNuvcUNbhgyF+9DIp6ooEBTuadIcYxRSbmaG0ipVjkR8Um1cwWiQ5uCJLgqEjIUSJy7XD4dpKk0t1v6REll6tLE7qLfE7iCjJ5rV0YEs/k9aL0c0sHAM1tGRNOwiPscPnyn7kTUnsV/T+vMujdyZd36rqXTEFtslXJAfUHKy5wjAcWD08pGoGnLhM+hp9A7XKds1fn9Aj0SUqNdTMWBzadOmDaparbLNFV+MT5u3bFb1ajVt3vh8CSYfgK+HPCAnKVKMYs2BUFCAfBNNOaMb3JiEwkFv/Vq2HQ2rvdqxvc0SCWBjnPPzAkpN2e7UyMoqVEJijDZs+EW1alcrmQvxcewRcfZ83rPGKztjsypWruw9bIxP9ACtULGS7T8uGw9RBAJBxUaAqr8oaP0q/3QN26dffGCAjcbZWzZISxau1MWXnLfbAJtjQXPU1T6fF6o2jctTxMQrL5dN1FtcGzZusibZpRVRYWF+xGPiUnk8+eTmFlpud7S3iEnHBsz77qDA30XFeC86JQDPFYuWglPAGN4t0iPdUZq+n7/Lfg+TP7CYy08pl0C5BHaLBJzTx+kkB+RysjNVgXoqv990mBc5U0lPNt7H0YThm5+Xp5QoT3l+fqESU1KUlVNgeovWVGyHGLqJiUTottOtl9UI245ap3gOPJ9y8qCHTlFcfEKkHiK+BKAiN2ewGchL3u7EMyMiEJAvPl7+wiIlJrOxRkgzwqSker8XFPij2Mx2yzTYry7C9l1UFDIPc0nqre3pIak4YKCMg0hbIBRWghnQPgNsQaBaoEhxvlCkCbbPnKKxsYnKI2IUCiu9omdA4XwoaQAfAWwGCBPwikcmfRmWLPPZUa87p7LJLRw24MB7DmTtqAzDZRPxGWSIQe2c3dHnl3Z+lI7+lz0ReragkdxEHOhF/mIDGgA3l6WAfUcJDPrQ6cHs7HxVTPd0ArI3EAJ6i5CyIFMHiMueXP7EHYc9GxoAlZaWUgKoiJLTiJzDa3BdKRKgiGRvZBeoQsVk+f2AXOpJPaCMPrC2CMVho8T3+5m/9Bn1HCxeFlxIEMUkJUbAz5+43d17qlfDxlFYGDRdkpTkRfzseWJxELLHeHKApZbAFoAtHIpAGMvU8D6Qm5Njjifv8PQZABU8Ep+QZEQrfCMqMi+vUMkQKf1Z0pG1G1aFg8GwpUTSOPu5Od+o24VnW0pkMGY3sESGw5azGhfvUYWSquJSfSylJwiAi9H6dZtVq7aXDuAWTfQCIpzKw3vKKcU2U4/lyNsUor1MThG5jZ0Nm8XnlBnnk/ri0g+8vFqMnMRf1aexkLlXF7FDabKwUQQuRafs9zLZvUug/GrlEiiXwHYJoJdwDkWnZjvnkr0qRoHCfMVHvL6kklSpUl3B4pA11oyLC1lKpJdCHqvc7AKlVUiVgn4LofmDcWYX+4tCph8T47dDs/2hDxuSjDZco+dWIOjRefti2QiL5ZNPBXk4/5KlsNd6JTGR1BVScGIsghkoCKpiZS/13iKaqaSOeSk6pPJ4Y4URk2/7TPnx+xJwUU7OQp7sj8jSX5hvzof87BylVKxgBgxRodTUdPlit89RImw02Y5PSjZDJi4uwV4LA6RZ+UqiqOzyRjoShiU0oGJ/oRJSGOeyD9jcHMdOYZ2Xtimc3YLNYfPd56UCs96xXUr3VXNODsdA6aJErCNnJzm21bJNX+9KX7x16oCFM5h5jQapWVk5Sq9YwQNuMV7Km5d55RnXrsbvn0A2UrKq3QKO8SKN2NTIg7RjbGJ0aIW0CqYjjf4+Nl44ClOSk0oibNj12yOa9EcMKc7S1YtLABD6drvzLWREMV5Ea++mRAIcOZISveAOWwr6n/nh+rDl5GaaDLzDY8zftjVbVapUlII4prbrM7IGDfzHbnea8KlAccjSuLPzClQhLVm5uwrY6MMWzRI5b+ay3cMSGaXni4qgZE5WXl62UiNRL9J8kpNS5YvzQqnuiI6UsYhQMNSSuXxsPNQeLWhSidfJyxeNU16e52mOOEoM1LH4AITucOfaBlPuQS23R8olUC6BvSUByynjy6nFyFRsPN7LFAWKfBYt25qRp6pVeQ9gEqfNGzNUvXoNS1oIFmcrNonC7WRt2patqmwekRQ10lXyI7VsZT0lkmdyhqwzpJzR6Q8UqTgQUlJKkoqK85QQlyhfOE6F5tUtMA9xoMjL3IhPwADxK86XpmBRWLl5GUqvStqjT5kYcumeIbd16zarZ8Fo+SNHGe7Z/Eceb6fn+AuD5knHIPPqUzxyEM+LXmhsnZWrVFFOTp4BjLQ0b55mbMtR5SoVVJCfK+hxElJSzbgOh2MVCodVFAyV1LBxvmOhLMjNM5IYXNx+f6ESMbT+IYPgSjSInmEzYVw7oIEz2WUQMQ4uKsf71G5hfPPDOTirsamia7x2OtD75AmhSNSHukivpIUaNngHqlatXlICw61v2rRFNWpUi9QpZapatUoqKPRbJLJaNa8vXXSkcn8hlIsGrKV/t5RPxWjbNq+GjbmEPCpVYo2GLKJkWR8JiVqzZq2l56IvzW5OShS1v+xNtOKqXMmrofZAWoK3vis7kAOYJmKZVjJe2yN4exOweXuvd/y2vvcaiXvRfsAq66gk+hoslvF0kH5PmVdx0DAOoBV9xzrFUZWUnGqOLPdtZA0Qa/rTEba/A7BZqLCCN3g0iIXY4+OPPzbWs4MaNzIWJCj7XUPqt99+26JfEH/AsgJDEjS20PLD+IUSgtGn9GHIPyUpQlriTQTPexK0z7DhM5nKj3IJlEugXAJ7XQKRYp3szE2qWDVJn372kcaOnqzVq7foxBPP0I03DVW1mglat36V7rtnmpZ/vUJtWv5LffteqvqNq+j7777WQ489q+Xf/Wh1cNTe1qt7gHnv0lK91MqyDthKwJnfbwYZxAoYFvTMXPziC7r/vqlKovBdfgXDUiA/QSkp1EwX6JPPPtGTjz6vs846Sx07nWyb8zPTn9Ob/3lHGVkbdOoZp2rAwMGGmefPX2h97DBYoPqmT55Xc/j7BsU/BCv89lKJeOghFQiFik1myHnT5g1GJ0+bHYyW1JQKRmhw5pntjIX5v+++rykP3KegP19du3ZR1+49LCL3/vsf6dHHHtOq1V5fLVifa9eqYbVreL2L8WAnUkNCThIeiv0jwvZbAqaUA3BFD1pYEF3UDAp72GKxoeh3hSP76KOPNjuKlknU5mM3wZL4r3/9Sz169LC0QA4H1Mp+Db7nICAFFzZMWiJkbMsyoHbyyacYwybPTz8sAAcsh0Ouuc7I7d5667966+3/GFV98+ZHWl9HdKgLGBBZQs9Ek7Xs9f1iF2+AZzHglZhorzjAeGUefPzR59Ym66STT1D79udEQEmupZlC1PTV118Z0+6qH3/WUUcdpaFDbzBAR/Pojz/5UB9++J7OPudMndvhPDVs2FDLl39vpH3Lln5lehT2zUaN6pfUC3pAmLT9fSElcucCjc7uYI7BIs+ahG1++PChatyosQrzckzPwU5fr+FBGjJkiA47vKm1laCvIoRYVavVsP358KaHW00u2QOBkFf/+8ysNRpy+QPq0/tCtTiO9NRViodYsThX8bEeq6tCFaRwvGL+DsDmxEINBg0MeQjQOgpjW2aG/ZtGj/TPgG4VqmaYkGgIiYCYAGymLCiXlwx6RXAUMSMYlJHbXDdu3KyaNb30SgvP7sBbWh5d2/lkLT+jXALlEtiDEqBeKrdICWk+rfvlW/Xtd7lysmLUoUM3zZq1QB3OPUsjbrpat08crffe+Vgnn3S6Xl/yrrp3v0DX33Clxo0dqRdefkennnGO0YLTsHTsmNGWxgJTZIA6AtgayjBLZGlPN8YGDr+HH35YeQX5mv3sfB18aCMlJJJ6H1ZSrJce9fGnb1sPprnP/Nsat15+5QX6/vtvNPjqG9WgfiPl5m/VmnVrdMeku4xymT6dGGd4TulfBag4++yzdkrrXw7YPHKBIkvbJWXKq1HJzsk0wEbfQAzDRQufNxbPadMetR6o11071AzterVr6rPPPtGwG27U0ccco5Ejx+rn1aut0TatLTB+unTpVEJqUgLYyF2i4eB+Dtic9oEqHEc27YYaNGhgPWpJhRw7dqyBtmbNmlmfMewrHN30XIOAhPNcuwCcENFRpP2BJRL5AC5w6GMnXtTzEh155JGqWLGS9VaDBfyDDz5Qq1ZH2fy75OJLNWjQIGuZ8OVXS62lyuuvv2qgln6XLgpFmyfHurkHd4C/5dJEeKzGOaoJuGsd0//qwcaOPuG2cbr6aq9dliMSwXkFEEEftmjeypxk9K8DhF0z+FqtWPmdDj20sT759CNd2K2HgV76LDJPW7U8ytjXzznnHGsPkJpGqwSPJZII/L4TYftjQ0AdJPsI7TaYM/Rd69ixg8aOHKWnn37KnCmdOnXSG2+9bcyuI0eN0YIFC2yfoj3Je+//z+blhIl3qEplL8sg3y/FJuxjgA2yERjQOD795BPzXELuQUM+lMzSL5fZokK5z54923qfAdJ4aDZNerIRZaMpH8AMlI/njQkI2+PTT880zyt90jp27GjeKM5HWTHhatWqZY3sAHDRII26vehUyT82bOVnlUugXALlEthNEogCbMu++K8uvKi7Tv3Xebr77mk677wLlV4pReNuG6YePTvrXye21eR7H1TvnlcpI2OzRo0cqKE3DtOhTdvo/gceVL+rBpq3eOGC+Wp0UH27wYLCgFIj1OhllXQEL7dLtcPgWLJkiW6//XZrlNvmuGM1beqjataiqYLKV5E/qNSECvrgg8806a4bbXPNz06y/moXdDtDU6ZM1rT7n9asmbOVmCxd0vsSde7SVY0aNzHnIAYbXnj2Gs+Am7jTgf6nA7bCAq8cwSMV8AgHvDSj7eRguXm5uviiXuagXbDgeTPo8Mi/+trLatO6hVq0aKYLLuyuU049VYMGXasbb7pJPS6+WG3aeP0JYXFOS04yYgQaZ/viYhT0Fyo2MeEfAdgAD/RR4xVbiUwjPPz0uDv//PPNXqLnLA166cdIiyJsJ6KTABP6sOGMIOLm6tlc5G6nE3yfPoG0WMiF4nVlvystyrE5ABoAACAASURBVDZm9Djrt9awYSOzKQEMF154ocaMGaMLLuimdWs3mBFNgKB+gwP16KMPG6CghQKAhBZO+0ePuu0D54A5YBR5AfTZKwC5r7z8b0vZmzd/jjXO9shtPL6Jd//7rkVxsdlHDL/RHIKJianWG5QG5YccerDuv/8enfyvE5VesbL1wezcuZs5ZO6bfK812SYAg11fp25N+24CLtjd1prD6PT3dkrk70/wEpbHcNj2E9LlDzroIMMUlSuna8q9k9W3bx/Te4uXLNGoUaOtb929k++3fnSsszlz5uihhx+1effQo4/ppBOPsy8tDMgIS/apCJsDbLB28SAsDiJsXbt18yQVI0OreNJQRoQPeTDQKo2tCTPyPn8z0fCSEIFjQ8Wb9MMPq9SkSRPzArA48ZRefPHFFublFTRcDtj2aa1bfnPlEvhnSiCSEhnw5yivYLMeeOhBLZj3upo3P05Ll36nCbeNVnxSgW4dOVzdu/bSlVcM0KTx9+vTTz9U1wtO09RHp6n9eT01/MZbNGHC7WaQTZv6oI4+upVli5F6kQR3ehmOsHHvzutNDQ9NrzEC3nzzTRX4C/XwQ4+rabPDVRjIMsBWKbWKPvpoqV58aYY5+BYv/K/GjRunPn3P1223jdPsGS9o5oxndVDjOjr51JN1TJvj1Kx5S91111169FEv+tO+fXvL2KCReXlK5O8vzUBR2AhdmHCupAHMhhHNAVEInul777nP9u2uXXuYATds6AgzEls0PUwXXNBZhx/ZTE0OOURTpkzTlAce0OltT9eZZ7Uz43nGjBmqWskrqShpzE0DKYo19/MIG5EQbCAMZ9pWMD9Jf+zbt6+l7BEtIhUQcIa9Q30aDm1sKP7HeaRJLl++3Jwd1LM5whHkWdZJRwAjmVnbzFYkknjiCSdbZOyKK/oZ+EIWRH4IENxyy0i9sHiJJk6caHZo7z69DNASIQH0YjNiSzpOhWiSuv1hg2J9EmElqEEghGbQ9BSbO3eu7r7nTnXv3s0AG5Fy6q1eevkly3pj3fbp3VdXX321vvlmhcnuxhtu1qDBA3TNNQM04oZhev21NzR+/HgNGHCN/X/o9ddZ+iSpvEQ4q9eApdMjDnQRPPop7+uAzbXDYJ0QAMJpQqNx9oabb75Rp//rFPXu3cvahPHeY08+ZcD11pGjLROEuUj07cOPPtHw4cM1/Mab1KN7V5tO8FPukzVs3Bw9cIieMQEwLM5o21aFsC4mJuiVV14xoIVXCCBGfjYLjXNZXCh40lvwtvF/lBZ1CSioDh06WnoloI8O9zfddJOBP2rdUPTQ85enRO4P6qb8GcolsJ9JwDWcCvuVlb1Okx+4T6+/+qFq1Gig5ct/1O0Txyo5LaChwwapf78huuTiyzTu1jsNsF3e93xNfvA+nXLGeRo7YaLuuWeyHn/8cS2YP0+HH36opYKTJ1/Wa9hKjzg1KXg5qatYsGihHn9suqVEJifxpLHy58dZ09NAcIt53C/uPthqBwZdc4kmTbpdTz++QNOmPqLWRzfV6WeeriOaNrN6A7zNTzzxhO0hGH94gjFkygHbTtZcVB8n4JkzyBzLHIYOEcuszBwDDPRxwlB8YMpUTXvoQR3V4khddFEPVa1RUy1attSsWXM0bvx4tTr6GNv/SUVi/69csYJ55g2wmakD5T3Nox1b3X6mG6IeZ/369WbfkFWE0Yg8zjzzTIuyMW/5wTbC7sGgxOFAFIRINHOZaBKcAYsWLVLdunVLrlya5r/sSdCL4n7z7dcGQDZs2KD4uESzL2GHBaxiDzL/hg4dbg7+5xYtNgDC3Lriyr4GamfNmmEOm1dffVWHHnpoiYOo7MvH6xVsKfJRvYndOGMj/+eNdzRixAgNHzFUV1zRt2T9AqoWPbfIgC52eft25xog+/zzL80BAGC74cbh6ty5o2bOelrz5i6wNNybbhppgI1aQaKa2OBE8w6oVa0EsNE4m/RI79i3I2yGXfweeSG6jZR8ngvH4WWX9VbHdu0tMklgCGBGBA2sMuG2ibrvvvusrm/q1Kl6+53/6vLLL9fUhx9Rp/M6aOu2LFWqkr7vATbXBJYHX/Lii7ZA8HiANmkOi2eOdBRQK4uGlMfTTjvNUgDwjHIe9RnkJ5OPDWBjUZH+iHekbt16VtxI+BvyEsCc935dEyAUz+WkI2VPFZffcbkE9nsJQJKRF1B8aoyWfv6ueva6SBf1uFr9+l2rXr2ulC82aDVsvS69UH169dOtt4xVvz7X6Ouvl+rOSTfomqFDdNxJZ+vueyfr9ol3mWfvs08/MZKGnFyPPrisAzY2S2tyHWk67hraYpz+5603LaXngNr07fQbYMvOCKpSpUQjHXn+hec18KqRVodxRb+ulhJ5312Pafaz83R400Zqe3ZbtTn2eDU++BCrBVq4cKGlUxnRRe3amjFj+k6n4D89JdI1yIXZcXuJgZcSCXPfp59+ao7Vbl272z4Pbf+UKQ9a6tpzzy/UiSccq6NaNlfT5i10bseOuvHGWzXpzjt1Vrv2Ng5Ek4h8JsVDdx+vcHHQGvUmJMSrsBBmxAr7NUukSzN1DJFMSFLTcCjwinFI6tUZZ5xh6ZGAOF579eplAIVXnN8Y58xvnB37T1NoD7Dl5mUrLdX13PWZg2bJkpcNtBJ9JDsLI/uaa67Vh//72IAs55DKd++9dxvQwJlA4AADG31DZGV/ofdnvAEbOE+IGrqefujUp56cabIZOeoW9ep1sUUXPRb2OL38yssWSEE3sn4BuatWrTEHAICt24UX6IYbhmrAwKuNlATg17//YMtomzB+nEXYAMGkmtKI20u1BERCfe+Y4fdtwOZqPqOBL2vymmuu0b///ZqefuJJA27gkgemTdP990+xNUkKJKnclGThYJk561nDPVbjdkxrbd6SoSrVKu97gI0BCtE1PjZWy5YutXxY6svwcsAEufqXNTYhWCgMLGic0CueIVdXAJjjf+Rho8TxJgHYmBh9+vS1CfTNN99YuJ9aNs6h0NnzkJbT+u/U6ig/oVwC5RL4+yUQibDl5WzVl19/qPO6dNIVfa/XuHG3q3v3K/XL2lW6466bNfGOMYr3peq+yVN109Cx8vvzNOmOEbpyQD81aNxcVw0YYs4piscXP/+cEWckJsTuF6QjblAwNDCiMDIwPih8/3zpF5o1c47qH3SgNm1Zo4L8IjWq11T0Z96W+Yt53S/pcY3tNVf1v1CLFz9npCOT752i6jUrqu+VfXXFlVfpqKPbGKggUkFqC5sxEYyJE2/b6ZwoB2wREZGdGA6bQQhbZEJinHwxPs2dN9ectAvmL7Ki+/T0ynrzzbfV+9LLdP3Qa3XisUfr4ot76tLL+qp9hw46/fSzNHzECLXveJ4Z2mTS3HP3JIUi5GEANqJ38fFxCgQw/FL2a8CGdN977z2rgwGUtWzZ0mwo7BoMZCIgRxxxhIEO3oeQBMOQ9dG9e3eLMlHfBgEHnn7XJmmnE7tMnBCyusnvV3xr2QWkQEI6QgnN8uXfml0IQyTvT536kAUB4mITLGsL8pZatWtaFASDG3mSRop+AdS6yEpZ77PrAD9r0yP88IASAIRj7pyFFoUcP2GsrUPA3LJlX6jhQfUtuk09JHY2ckUv1qhRWzfccIMu73uljj6mtSZMGKOu3bqoSuVqxso5ePB1Ju977p5s85HvJTUwOSWxJFuhsDDf2Nr9RX4lJnh0+fvq4eQHsQ8OD8Av+IQU2rlzZ+uRqdM0e/YzWrlypb238PnFRpD4wIPTLKNw2bJl5iB47fU3rCTs0SeetBq45KT4XUuJXLX6uzDN8JISU7X2Z7/mzliqrt06qNkxNCTNlQQq9prF7egoiWz+hsRplB3jOsgHg1aDBkD773v/tR4QIYV13HHHmccDoPXFF18YkqcQkvdgmsHzAZEIkbWTTjrJonB4TigSR/lDYoIHCqXVrl07U/S8h8CsieoePNig8HZFN6d0g+zec6F11+wSJbD/eLn2oHD3kUs74oNo5e3GNJoauTTr1vZGkfvIg+yDt0G6BptIdC/G0reJHK0ZpWuwGDnBUb7vzccqPcbMC+YE9xqtF0rfo9FRhwixxSgmMahfVi/X+IkT9NWy1QoGExUIxKrXpT00aPClunX0cH30wRfKzMhTsCBeo0ffonPPPUGPPPGIFr3wH33z/SrVq1fPUi7atztHldI9bzOXj5BE7qBVleedphfvjupYXBuU3xuX3Sl35IEs+b5oNjO+g3HmPXcv0MNTF/X8C4sNsDU5rLFefGmBRgy/STOeWKjjj2+p4lC2bZyX9RpqnnYA25o1P2vqfdP12qtvyBcXUK26tXT/lAcVF59oRggkVo6MgagOe8jOmmdTo+088c4zX/r+d6ec9sa1XMNm9rPoPY3npUcTB7T+pDoxRl66kze/Ro8ZbbUdc2bPM9r57Ox8oxcfNPAaffb5J6peuaJ59O+85161at1aAwcO0Wuvv67GhxyqtWvX2meZ25UqeOyfJTVs4ZCKivxKALBRy0Zz2kAg0tzXM0pL6wd0DevTc+Ju7/26J2WK7JzcnNHsoh3ue7kvpy+i74X0K1LZqOsn04hr4fHnh+jZ2Wefbc4ICDNIByQDifQ1SkSY+w6scA3KTPjhiNZZ0c24d6Sjou0a97s7b3f1KnMRH9I9GRvWD2PJGDmQEf3dpjuZCxHjc+u2zZZVha1YIS3d5HPJJZeaPYgjC4c//f947oEDBuuii7przpz5FlUiks78g5iEVD50NvfBHOX3XT2ia5929Rq743NuDTjbpDTZDBE29ON11w8xlsiff/7Zatl6XtRdMJOS9UZaY1Kit/4eeOAhc7w8+cR0zXpmhqpXr6yvl3+pu+68x+z3e++dYmsWAIc+JeiC86tiekqkBxsypUfjr2n90SWsTTfezjFnuiUYLLGXo8fkj7SlcP0JmT/IgvnFWnN7TfT13PdEfzffDxYh0k/E7Nlnn7UaQK5x3nnn6oZhwzX9qScsnZ7zfPEJVm9KuxgyA5Ef2X/plapYa40eF1+iWgd4DPbRNWy3DHlKXTqfoyOOylFS8gaFioOKiw0oNqbQmwaO1n/jljXWODs+Lkm//FSoOU9/oQu6nqMjWpNemqVYMVC7DtjsxoqLLfeTCBmRtqVffGGRNBZGlWpVzUOE54gFynkgUZofkp7CZyi6BYixgeJJgSUJ5A+qnTdvgRX2EXqk/qB69aqaPXuu5e16KRXeRNtTR2kjfUdKmXspHV7fH/Kj95RM9+XrspEwdiz00godZbOjDWZffp598d6QoVOebJzRnkGUbrRR7zbvvfUcbmN297GjTd6dw6YRrR+MJStEU+Bs4Whcv+EXvbzkPW3cmKMGDQ5Vu/ZtVTFdWrdxlQG2X9Zs1MH1j9RJJx2n1EohBYryNWvOi9qSkWs6kXTwapEG2k4ezqEW43XoLjlwlXEEikNmILnoSLSRxKa0p+XLetpR6pGTk2sC7GTnDDdYIj/57FNd1PNSVayUpjfeekn33/egbr1hoo455khLifxh1Q967aVPjPnx+BMPN0Phq89/1H/eeFsJSWE1a9lMLVq2VnJKinnkMXzZf6hHOP74Y00+EdvwN6dXBCv86v/cswMHO6od2VtzdVe+t7SRXvoaxQF6nZZmtQlZ2iIGFR5mIp3ndTzfopfO8fvO2+9rw8Z1WrXiWzN8GjU5xBqtbd6coReXLNH6TZstuoaT1qX2QmAS9AcUF+/z2i2U6sO2o73Yzd8dOSWcs3VX5PJHP+PktyNgVNrg3JFh6gxuCEdwQGNoEvHANuJ3jEHkC9kIWUrYSXwnYBcSjh9//NHYuInOOUcxMkFPuXuKfhYnL/fqHMvRTojomp6/qh+41x3ZQtiG0T3Qop3d7n5xEPD9+PG+/OpLi0Ru2rhFLVq0UPv259oa5Id2B6tX/6LDDjtMp/zrNCUlxSk/v8hYSlesWKFGjRpaOQ0ZWmavBj3Hg7f+f603S48753J4jgpPv0frtJ19/o/Oo10977dYQR04Xr9us0WOOnfppHr16ppNDZnGWWe3tXkG+CXIUuQvNju7SxePMOOHlT/ro4//p2+//cr6sDVu1MSAjN8ftGy4lSt+tEAMY0GTctbq9vkezSIbF0VGsv0pHYERdZulj+h1vjP57kx/AehYF6X1A9/POJKpR6SRqOu6dev07rvvmnOE83v27K6qVapKwYClfgJ2qx9Qy5654UGNLVrJ+dSg0jibQFODgxqIptnmhKYvnk968omVGnb1w+rR/Ty1OSWsSpUzFfAXKRTMk0J53uM7wPbL+h8JghlgW7e6SAuf/VrdLmxngC3ky1RcDCHLXQds9F5LiXQJd4LHK+lATFHx9uaEjvbT5dpaJ3bTzNspgx1SRoHwAz0/yBaKTRpnc3CONwi7Os13/XOOgtrdu1OKTACn9CgM5v4c2t/1byv/5J6WQGmmqJ15FX/LS7On77OsX58NmYN1Ea1kd+RFc5EMlPW+VGeATuPeWefMExQ2Rke0l93pMgMisGQFpcKCTCVV8OjQt2z2y+dLU+XKqbbJFQZylJRAsXOxMrblqm4tjzSgIGeDkitVUFipys4vshQT2lI5dkiIllCdLo7wW7T+1Pc6veQMFe4NGf8dsmUM3Xg6nek2ZK+ewmscyr1gPHAOIIh1WRwKKtaXqNj4GC3/7nN98vHnantKJ9WpAxNegYJEfMJpBrpiYqlxC0nBZIUCki8hLGvuJV8JlGX/QAYVKvzxNB2Td9Q9cq+l/y7LazPa2ci4AGiREeuUn4J8LxISa6FczwnAvuuiH1D6e/VFXv1MbCzr2zhDFOOTivLzlEBtC394n1ZBYZHVdtBL0B22OsIhhQOUV/AdHjNlcVHY5gHzwnnGox0kDhA4kML1nDMg+r09NUbOoI+2ZUrsoEDAfnXrz8171gNrkDnPKzLHw8/853oYztH91NAz6E/XGNv0Q0GBfZ7MI0pPOPgs18KwdufsyCD+PVk4vcaYuwbcf1V2PAtrOtpodtHFHV2b5/BkRd1krPVhS4j35kp2dq6B0ZQUV9PmGccbNmxS/foH2rzLzfUiLQmJPm3blqkqVbwUyNIgoTRo/K3ndKDBsW+6fWBfSKd0zk/WHjJ285F7tLEPS2vWrNeB9WrZ4wHYPv74Qx11dCsd3Phge684WCw/LWLMjveZzR0bWX/Z2ZmqWNFb32798lrkZ/5uN8CJwBPJZGyoXwuFi709Jj7Fxof74n7c3s//XCQ62mGLrJnbHNHn/94cdE525ms0EIsGftxD9L7jHK+c71oh2HMVFdma5P4IBuVlZSvVnl/avGGDKlauosSkJIXDniOCH+z9+IQkaziOhgyyDQVDio00z5454yfdeu10db+wo5ofW6DEpPUqyMtXOJSv5MRIexQH2JZ9/YkBtoT4ZG3ZIC1ZuFIXXdxRTY+SwjE5ilHSXwJsTpB8iQt9uxRJ+1/EknAPV9pIcOH70osJlEuBLYdtyDEI02PEcVE1vz9QQi/8V5XKH/189OLd0WeiPW3lUbY/KtW9e57bIEpHT5yh6aIApfPD/0pKxd594r/v20nRwAOFdwrjwvOY+kwpOg94tDfYgSG3Kf59d7rjb3IbH5uLU/ou5coZthhTbo5wFZe6lZyYpC3rt6pho1ravPVnZefnqPYBhyo+Pl1ZWX5lZG5S1RrxKgK0xVdUUmIFFefHqbAwVzHapqAvpAqV6yon3+tVZjrS76UP8oPRk5zg0au7iJp7Cve3L9Y715F7uIgQn+XY06ljGJkQImAccR/OCHR6EuMSen42Zxfxc17s6jVraMvmTAUVkD+QLV9MvNJTalsNVVHxRjMOAgUVvNfgJuXmZisptqoqV6om+fzKzMlUMoZdTKw5/cjSYBzZWzCQndHwe3PMF2kGy705RyPji7HGvTO/y/IRDSYcELL5FEmPpAbF1mqx3wwyT2ZhxSfEenIPBFStWjVt2bwt4mFPsvfSUiuaoa1iv5UtbMnIVF5+vtXIQEaWmZNrcw85WspgOGSRtdhwjEXv+DsmLlYxilcw7NXm8H2sgWjnT3SEjd9d5JPrMtfdPN9TY+QIc1zkmu/nPpzDFrDinpH3mXcOFLnIt3NWOKCFAcjvTvcw73hmIkTO+896BqjxP57R0rV8PvucWz+sNaeznKM5emwZY+7bAVxnODs5u7TFvyI7nhG70M0nvo/7dFks0XuAu2/nNMUpRfQDQgs+gx4hJRJ5bt681e7d2ZM00uZZt23NNLkQeWxySGOTNfMWmXIAhp08Pdvy9yNspSOoXp+x2BJ2xr1tAzD/GGcX9feARlqJXsfhZemIoYDy83NND0MelFYhpWT92pz0AonKyMgxmVatUl3ZOZmKjfXWesa2LFvXVarUsLHLyy2wWmrmqKVOJ7HPeBl06OekZI91MS42yeZudECjZH9MTi6JknKuA2huznoBm8iN7WQSch6Ak7nG/TDOzBeu6er5XNmF20u5JL8jPz7nIqeWKegD7G9RWlKy/P4Ci8Dx/9yCQm/vCIZL6kV5PjJZrEQiLt6+z9ZbTIoSU+rrrTd/0GOT39LlfXvq8NbZiov/RbExPlVIi1NxkTcvSyJsfwdgA6zxMA4xo5B5jweJS/C80dHeCIdgETKfcZs4A4Wg3KL2jB/S02KVm5v3K88o6ywvD8/Unk2JLL2ofyvPu3R+PZ8rB2x/RdX/fZ9lPjqDGwXu0vLcZlA6guLG1s33v+9Oy+Y3YUysXr3aNl/n9XaAjVcUJGsf5e9SJN3mui8YxNGpjs6THu3Jc/n5zhjilfMS4uKthq1mrXRt2PSjihVU5fT62rAhW35/jGrXqa6gMrRh48+qkn6A0lIra9Mv2ZaCdkDNeOUU5iozN6xAKNY2HpNNsLikds6MwTgvxvZbgI2NxBl/bKbRmxbz221me2pm8X3uO1zNH7qSHw6MaoA8z+eMIeYEIC4hKVFVKtdQTn6WYmKLDIjlZeJRL1A4Zpt9tjA3xfaLCunFSklJkj83Ttu2ZhlgS0tPU3ZOnlLTKlrEYrshGGebLvNyZwYXgC16D3CgxhnAZb2ejbntjC6eBZkiE95jTdIHzfScRb28eU2qGgag05lmkMsDXzEx8fb5cChGWdkZSorDEEtUUmqagiEaIQe9mvdYHBNe1J35EauwZ/TFxBpgCxcHFPbFmIc+EIwYQJFoLWuPuYvdwLhGp687A9yN084M8r867x3g4Z6coeaigdyXW3PuflyUCZnyDBjQAAyMS+TBeTwXjg7SIN2zMVcxkDmf0hHP8I4tMYb5nf/zytrhOtRv8Xv04YCTe0V+fJ+bB3zepSq6NMW/IiPmEPfFcyOfaKeXW48utZFzmEMOyAaDAS9Kk+jNR0BXpfQqdg6RNq7rsplgJ+XcQFHQiFkAbBXTvaili9Q5IMNnOBcAvDNAz56F/mSsnM5yWSI8y85S8v6K7P7IZ7kXF2HiFT3KGLpoayjo80BLkFpyj0kSBwrMmzw7QMTSJ+O96FQ4HGvPm5mRbU4a0ksBbCnJafaseXletAxyF2cHMTYANNY5MgkE/DZmnE+EnjnsaPPdWLv575qYO9ufv51OdnPy9+Tg1ouNfaSchfmMXLAd3Dx3Ojw6qsf8czYeMmA+cR32Iy8iLKWnpikzc1tJZpCffEdLIPDZ+c5WZJ81PRgXb3sLci7w+5Sdl1IC2C7r012HtcpSbNwa+RSjtNRYFRVmeI/3d6VEEv4yYBIp4HTgLQEqL8+SiOrP4BWeO4C2o9qv6ILZ6KLi3Nzt4MyBuEg25R+Z17t8TrRnqnTag1M47p6jQ7AoCrd4dvnLyz+4xyUQPWZOAbnc5tJfHg3s9viN7UdfwPpgLbN+nGHuHi86JTI6PfWPpqv8XWLaUeom3+2yCnZ0H0WFkCYkKhjIU2xiwNOFIVL42Mw83egvzhU9iGOM/Cneq1S2HSFX8oUU9lUsect9R0GBVzMLVtsZrX90SqTTV1wnGkTtSRlGp0M5L3Dp+lC3Bt0c4dnM0I4oeH8x6ZF5iotNVHFBolJTSQf10mYUoq2LFAxn2gYbr0peUocvaPmioXCM8gu8KE/0QXokAG9nRzGpmZG2AzsDdzu71r74/9JORQc8HLCnhs2A2q84PLbXqARDXvqaM+AAZNZUG5xrqZEh5WZlKDElVfEJCcrKyrPXxAgFuJOJRzYSli9MKmTIPmfrJeizCJvLdnDgwoY+FPpVml3p+te/Q4f8FqHIju7P7S8OcLr5zn1GpztyHgCu9Hs70zfIwxm+Bpoj2QzRRusfmYPRKcx/NQLvaoi4r9LpmTuy/6L3BWMjJe0zY4sZx14jZi/amJTkOerdHMjKylF6egWbd0SJKlfecTsIl7nhgPauPJ85MqCAiETb/ohM99Q50em17jt+lebMMnL1oBG9DxAGhMHyansBTsAIAHM7ir8wqMQkSGGKVVCYp+SkVLPzIRWqWrWyyRnwlpoKwZ5U6PcacnuBmZBF121sYhJsDF3020XKbYsrIZfZTirkdK0D+DtL2+dZGQfOB6ABllzqanQKrtvzokEa71mtWcSp+P+/K6TMLVtVyZ43rBBkYxESpo0bNxtbpjtcnDaS4GhvO9KReXM3CNKRbl076Mhj0H9rlZ+bZzVsKUmRT/6dpCMF+fkmfBYSIXtn3OAVonE2gwQTFB4NFwKP9kwgdFck6bw7JR4+Eeb3ag42bdpiRbgUmbsUBNsc9uARnSYSPQG4P+dxcakOtB5gQkCy8lsG3h681fJL74IEop0C0eANzyQFy6RR8ePqDcyblLRzQ28XbuUf9RGUP2sFZYnO+Oijj+z56XdCOsO+crg0HWesc68UJ+OFhL7XRVhoZULaJwfkAFbgHiHTCwcLFJNARAl1XlE52cVasWKN6jeorSpVMUL8Wr16g9b+sklNGjRTtZppkq9AoaBfmzOKtHrtFchQiQAAIABJREFUJjN2GjduJNrb4OSLBNZ2CtjYgPHUQw6B8YRu4v7chvl3eoijDWzuBTmi95Et5BMuJRICBrycB9SupUrp1RRntRJ+82rGhiP6PiZfy75cprSkekZ2USGd7TGk/CwpMyPHInJJqUmqXKWa/EVevQTUzXiVYdnDg+rVZvz+Ubo2kGtAkkVUBPKSnRkUO7v+vvB/CMDQd8ikTp06JXMa0LD2l40W0aleo6oZZJ7hU2SgyjOgvePHH3+yMTv00KaW9bJ1S5Y2b9mooD9fRzRrajVsnkMmUd+v+EE//PSzzmx7mooC2xvAFwWKFBMMKyEJwEcK8G83zkY30wOOccAeIC2To3RN8t8lXww/5IgewDahTyxy41i+fLkZk24Pady4sem46L2H+/7qq68sksT/3WexI2BN5fpEQ1yZCOsGXcQ1ADNE0/je6OfnWqUZ8Zw8XFYANhqkJlyH1gBcxxtjL5K/uw7n2OJ70JPsqdw3B3MP2bFGWcvu2V3NJNEhImY4f0jNQ080a9bCbE7GHbbCr7/+xtgNq1WtopycAlWokKwVK3+IBAgSbF6jQ/9s1hNyhwCJuc08Q+fvCfn8VTkz7ugm5oeTH3o/MyPX9H7dA2uX1PJlZGy16COkWDhceAWAfPvttzrppFO9NMSwT5s2b9DGjWvVqlULFRd7ThOAcmZmtr74fJnNl9RUMhy8rY42HJ4+DFkE3ki3ohpnRwdjGDMY43mFvKRRo0a7LAI3ptH7CwRTEB26NHzkwxziHpjj7M8WvbX79Q7GmPIN5iFrrVq1KooNS7EJcVq1cqXd66FHNFW6tYXwdCEy5n1KD5gbcQnemsnL9ysmNlHg4Mce/c5IR6hhg3QkvVKGcOZSwxYf69Vwl0TY/jKtPxf7nTRfCEbwmHG89uqrRnPJQLgw8rbMDBsMehvQJ4PDpQk4Y4eHfv/99w2dQxHq8pWdhwkvMYNCnxEGgj4chxziFUz+PQeG1vYCSyYGiwCFCOMlA8Uz0tgWpek1EMWw8Apntx+/ZkmJOBV30GcmGqfvCrPKr+/3r8jo9zO8f//K242dHT+Pc8L+lfv7I5/9ve9xIA0jhHnpNpE3//MfTXvoEfXufZmaN2upOnVq2jhRR0nTSQ4+s31TixqnaKH9wxs5UYDryIHM4Y5XLRxJi1JI69es09OzZlrvHAxyKIh7Xdonkt5j4fk/MsR77BzSv5yjhj5oUBq/+OKL1m8K1trx48dbIfeCBYu0aNEiU/bnd+6srhdcYIYXNTmKLZaMvpdnSdZ9kx/RM88u0J133q4TTm6u1157Sc/MnKOvvvxOR7U8Vv2v6qemR9bT6nVrdf2IsQbYYI2j/9IJx7ayZ0WuxYFiJdIPi2DUr5R0qITmH4PsqekzjCac9B76E9FWBQcaqWZxPubynpNxOOSBJVcPQyYGe8bixYutjyZGBpsjzwbrL7LkXj/44AM1PbK5ht90qxodfJAqpiWpiNqx+GRlbcvXm+88rycee1w/rNisM047XQMGX6LDDjtUs2c8p0kT71RcfEhdunZW3379VbVaNU2fPsNaxyADGg9D84/xWKHC74C2SMQnHPae4bvvvtOdd91j18E4HHzNtbr00l4lc680U+cem5S78cIYo9Ci01oHA4eeTW3atDEK9Xnz5mnu3PnWageZnXDCcRFj0OlzIjoBM6TpiYVRxzquVauO0WM/+ujDysvapjPPaqvBQ67VAbXqaNasOXrk0ccVDMvmNFTaVapU2O54CAcj3P5hhSiziI1TjM1RD0SgP3744Qc9+eR0TZ8+3UDmddddpyuu6GeRPSKnpFwmJ0HosZ0cZTeKLOpSrLNYFRQW6OOPP7YGujDuYTD37t3baPYBVrQoggIc2wDHBM2KYS10xBvMQ+SO3YQssSdoaQQYfeONN6x/GM982mmnady4cWZkQuv/zDNefyj0UP/+/Y0lMToLBOPUpaJFPz/7lkuDvW3CBM16ZrbdC9T5V189wGw3jwglZac1XjuTa3RGFeM3f/58YxmkZUHPnj1NL/B80KZzr05u3AM1qdzDp599am0PLIUvvYoB9Y4dO9lcw4FPe4OVK3+0+TT0+uFq0aKpli792ubWN99+rZYtm2vAgEFq0+bo/0fMsuOU2e32EzbdlClTLKV/yJAh1ooKUOkA6J5Oud2ZfL00xTybd7BBnnPOOerWrZvpudtum6glL72ihIRE9ejRXV0v6KyGDQ9UKBiQL9anItqsUMeYkKAJ4yfo9X//R5Mm3aMGDRtp0yZaKQzVpo1r1PTIwzV40BC1bt1a//nPO6afN27YbPsbfQKPPPJwj2AowpbO/PIXFSg1JdXWIw5uljWRcsYYpwb7KA3hcTrQboF9CVBt10hKVFwkpL8z+fL8juXROUDYO2huzXqhVxyACtnQLw5Z0Wietekcl24dovMefPBBvfnmm9aiZMyYUdZK46svl+q+e+7V0q++VJ06B1rvww7nnmeOGPr84QytUrW6PUPHjh084pFAWL74GPlDkiMduaBLO4uwpaRuMlr/hPigQsWRGmgXYVuz7gej9U9MSLE+bPNmLlPXbu105NE4vf5AH7adzZjI/1mY9BNhQbIw6e2AsKGcRTmdcsopJkCOn376yTwjhC852LxRWDTLRrm5FCpXF+boWGl++tlnn9lGTwNtVxfnkDXnM3jWWDZSzOw8+UTuGDgWmxWnbttmXh4Gi8/h8SK3mVf+z6TiXCYfubl4FVC4nIP3rKDAb4NLMz16+rRpc5wpTyYdCL6woEgxvqBCwUIrpk5OrmD1eAUFAVWomKYfVv6iho3rmrG1aVOWatRMjxhZXrpJMOi3ws64eGoKEuSLiTOvpsvVJR+ZzQrFwQ9MSDyLefHCxVZE6uX4e+QCPL9rvcDzuZQLxzTFJuPy2V06RV5+oRKNDADmJb9HG0xBaWKcAvSRsKJwwuFF5iGrX+9AS0+KJ7MrKIsGCIPNF1Z+Xr4tRO4LRh1byCneQsZDA5NRjepVzTCi9gdD2YpAkxLN64FMnZL0CltDNn/cHOGZ+L/L73eR2kCxlJmdJ5zDlSp5kVrGgC8mJYoFzPgGUTJ+v4qLA6pUubI++fADdejYRdcMuUnDhl0rvz+s1JQYS+lJT0/V1q2bzEMfH09ue5ECRWFjS83JKVJCYoIKCij+jfMiIf9Q0AYM8OIe23lordaKdKfIf+bPfFYTJ92hI5q11LcrViq9cnXdPHKUjjvhWDPi9q74QgqHAhGCO5/Gjxunl1562QwN5vD48beZwl6x4ge9+tq/jaYcdqh5Cxaob+++urr/5fIXwpCG8yakDZs2KDurQF0v6KFly77S22+/raOObqYrrrhca9eusx5Lw4aO0OmnnaIJt41W/0FD9P1PW3Td8Jt0w7Bh5tGc/sSDKvB73IcpiXS69FxJ/885YhgspOcXLtTYCbeZvty8ZZut07HjJpjBRFpatDtoZw6WP7gV/MqgtUgJvfgiTr1AYaHpYfpLEWEDPOL0wlhFj2IgQVneq1cvPfjQw0qrcoBmz52v+ASfaKqM7nnvvx9q2NDB6tTxXCUlpem1V17WbRNGKTkxQZdc0ltnnn6G6jeoq/sfmKo7Jz9gBghjdvrpp5tRh8MPQ4NNm0L53zpMHuFiFebmKCmtgm4aMUKLl7ykc9p1MEOIXmIY1gc3bmg98UIBrz8fR3wkGvXnZbZ7P7Ezg4f7B6xhiCIX5gl7Me/RYgdgiyOC6A+gAw/+9sgNDKAhGz/ANp/F2GF8MbxPOeVkNWpQx4BM78su1ymnnqFbbx2jSpWrqW69BnruucU2Lv379zP9TEDH0w/Ftm+Y5ojxiueKCvxKSE5WKBiyRrWz58yzKAvRGggnRo0eq2OOaSX6BYPvcrP8qpie+JdV7459b9sBK5GIdevWmhH7xdIvrVfip599YTLDBqpYIdUMOaIz2C9NmjSxAcb+cRGH5557ztYD+gM7yTXGRoZ8tmnTpkYZjiOYscHg5FoAOnrS8j5y5H/OaHZG6Pb795w4Xpoo7IFhA0qPTHtIrY9po2+/+d5A9N133as2xx1l90hqYRVSC//CEZ16TdsCHPoYuBjsrD90IM9J02ZsN5wE2IC0dWIp0c+LJuo4FrDNPvjgf7ryyv66/rprNXr0WGvaTjrkZX0uNxm2aXOsHnxwinr16q0tWzZbr7Zx48eobp16mjN3ljlcWROAe5c94aJC2x8TOytk7QLQ8dgU2BZEApE1durfduzEl5aTnW1rdcyYMWYnAYJopA5A6dd/gG64ZbSKios1btRIvf7qSzrx+GOUm52h9MpEiVhr0vKly3R+125a+eNqvfXOe2rYqImG33Sz8nKy1Lf3Rep/9RXqfell5pxs3/48s51vuvEWA8w4Ce69915VqOilnHu2uLf32OFS2zEEoDkOh83R8sST081RR7AGe71rt+7q06e3pW8WBooVE4IJ3rMvf+9gnmPnOiIb2okhC9enkPFnn2F+gUU4l7U6bdo0W0fMT5eGyVrj88w/gkOkfjJfH35kmp5buEj3TL5Xd0662+zuxx9/0noAgl3QnTNnPmMOwAXzFykNWYSkAlRYvPTMrDUacvkD6tP7QrU4rlBhrVJ8bJyCxbn/P8K2pwFb6RoOBIgA8EbgkcQL5DUoTTOvHYJwhYd4TTDEUcAYPgAohEnaDl5MQrQIB+8eCmnEiBGmCAGFCD/6YBLguWHwmQgsLBYkSJtBYKPB24yHi8beHExuFATeHBYhigNAiMcGD+prr71iipHwMZsVCyK9YmXzZtGokU3/5ZdfVteuXXXppX3s93oHNlD79u1tEqdVSFJCbLF++GGFWh99nG66eaRtKI89/pTe++BjVa5U1Ta3g5s00qAB/ZScnKDUZFiVcvXqyy9o1uw5qlPrIP3081r7Lu5/8n33WGj/zDPPME8dRo7XjLy/hXmfmv6E3SfKC0/DE48/bfI+/vjjTaHjkRo5cqRtHBhGTGa8CZzP5AOEskkDskfccJN+XrNBM2c9oS+WfqMpU+6zz1SsWEF333OnDqxTRx9/+qlNagNi8fHq0qWbunTuINK8kxIxuIu1aP4cLXr+BRXD2OQvVm5+ga65dpilxPz44xozVLMzM2xT6tGtq45oergmjB2rr5Yvt3E6vOkR5jVirjBWpHAwdsw9lDwLhWaGpCoRgWXMWHyZWTmaNvUx/fvNt6wHCd6Wxgc10OzZz+rjDz9SfILHGHf8CcdYEehHH31o/2dxb9y4XgMGXaeDmxyljKx8K4q/fugQnXRia2Vs26bHH52mJS+9aOC996V9dPqZ7TR79nw98fgMHXr4EdqyLcsaVHZs/69/NGAjEZA9B7PYA19sEqRceAbZQ5Mn655779MpZ5ylE085TQfWb6TmrY9WQkqyAv5iVUqJ26nS3nObZ0j+/Cxj16pcrYbR+q7fuFnNmjfXW2+9a/ri3HPPN+/vd9//oNNPP1mrf9lsfVo6dOioJ5+apjgVKyyY42KsZuCKK68yQwC2M9Y0kXn02hltT9NVV/UzbyNFzgMH9de9909Tw0Naa9xtd2rc2NHWd+nhqVPVqnkTk0lxSEqMIK7tsMNtlN7r66+8ossuu0xtzz5HDQ86SG3bnqMD69XTAbUP0JatmapW1aO8LqmFs3D09hoiSCd2fQC86wT9hYp1Nc2RDXz5smW2eR7UpInGjRplepjoKtEenC0YdFOmPaxJk6fq2XkLdeJxXmTx/9i7DigpqiV6J25ecs5IVEQRyQIiiJhBoglByaKCiKIIIqiIkSBBBMQAiEoSQfkqYsCEmBBFJefMsnHy/HOr+832zs6yWVC7/9m/stPd012vXlXdinzOF16cjlnTZ6DvHbegWZOmyHCloGe3mzB37st48flnZWZOfGwMOl7VBd173Y7S5cqLfqGCZRSJBg29xZRbKloeiYdI49RTxxBfkqlbVtzVrz9++PkXXNKsOdq0bo8LGl+IevU5Ryw6RCI+H9ti222WbDVWxcenOd85N8BGwEPwQD1AOUzDh7qTOpJ6nOtBfqWOpiFDGU2drBrWMH2V/E+gRsDGyBr1PofyvvTSdLRucYlE5q69vpsAtrvuGoznnp+Km3rciHZtr5a9MnHSBCTEsdkEg2uMsAWAgEcW2+/xCdh3pWUgWm87/tj48Vj69jJJn77iis7i6b+4SRMxFN26w1BRpDDjs411KRH3h2ahSoO1fQcPSRfM2rXrYfacOZj18lw8+OADqFurtugB2jD8od3C2hdVX0fHKR3BTHuk3UOdRh7leQRjtF9obzDziFFMridnsZGXqeeo0ziwl85W7hnaOXRSS81YbKzUJ5EwnMrAOXfu9DT5uycjXWyUl+fMlagM5e6N3W5CYkJJlGUEye1FQoIzNDakMLzLZ2YEiM4B2ld0yhLM8p34fvyh7UH7gbPBCOTIi6yf4pqmpadKtMbr86Jfv/5iBxFYkj/79LkN1113HcY89AgeffRR/PLLFrmWsoQpy088MUkisAR8dByUr1BWRkSFH2lpKSKP6AjncTr5tMjbR8dOELDNjAQa+ASNdMrT7lDjFApDm1yvzQWwrfvwQ+EFgjY61GkD872ZBTLsnnvxymuLcOJUEp5+4nFMemwcevboKvrXm5IEBxv2eTwYOGAQPvnsS1id0Xj6mRdweafOuKR5K/Tq0R3PPDke994zFDt37Bbd9OSTU8QWHzxoqNhJtNEZuapUmTMYmVGmjf9QTYkcNgeSTrAOrIwG3qw2rFq5EqMeeFBsTNrjjOBzXiYDAG6ZG0prTDvysn/VXmLAhLKI9j4DK9Sv5AXaePzhd9E5wsgr/06nJbECMQsj2LSn+SwEonQY7NmzS3DIk09Nkn3H/TXzpdki4x59dLzoGYJXgr+1az8UbDPu0cdw3XVXC/AkRmW14zkF2BTDSUdIw7BhChJ65fjCFOQkII1qKgYaOmQoCnsCDioEbmB6mCg8SNwNGzaIUiXgo6HOVACew+sIjGgoKy8SQRyVDMOXNICWLVsmk+2pNOixYv44UzIJZJYuXSrKh4No+/fvL55cAh0uBhmQCoTfS6/WkCGDhKlWv79KgBU36stzXpEUhDFjHpGF57P36dNHBg7SA8F2qFx4CpEaNaug3+19sHTpEri9fnzw4UdYt+4TjH7wYVzRqTPq128ohkSzZk2x7J2liItzikEb8HvwxMQJmDBxCm6/7Xbcehu9Rcfl3MvathahsXz5u+JdIhAmk06ZMlkE4DXXdhEwRgBG70KJxDK48sorhc70MDOcS3BKgUPvNmuHKMxIVwI/Cro5c+bIWnTs1BkenwXz5r+KUQ+MlKgXGXnRojfRoGE9SaEgMCJdhw0dLtfXr3++0NrpsEM6jvtc+OzTj9Gp8/VofVkLDBk8DLNfnou4hFLyPs8+85w8S5tWLQWMV61UUb5/7MMPYcHChULbzl2uEhCs0hW5IQmSmTLL7+cz04igYUrBRYVFvpm/YCHefWcV7rt/FL788nMBm6+9Oh9TpjyNuS+/jMmTJ8mm++nn79GnV2+kpaXiqy8/F8DKYZvDho9EYolquK1vfyx7522kpyfjjdcW4M03F+LttxZj5Mj7BBQz//u5F6biy43fYuTIB9C1W080a9Ea/fv3RalEWyEM3lzF+Tl9guS160+YGS3TAZseafvo/fcx5dnnsGnzj2jTvgMGDr4b13e9Qfnn6KAqOF4oNHUIelTtGa1HhoMdOHjgAKY887w4DVasWI0uXToLKHW7Axg/YaIYQi++OA1Dh/YTh0VS8jHpskXefO21N0VOvb30XTGG6XwhLz/8yEMYNHAgnnn2GWzYsB7dbroRU2fMQdced2Dsow/h5XmLxLCZP3cu2rZuIjShR9ypa7acANvm774TxfXjL1vQ8HzuzXtww403SnTbeBQXYAt6PQLaLLTG2Y2Vhdu0wvT6mO3btqFNmzZiZPD9qDfolKFxNXL0Q1jw5tuYu+A19Op+HVzuIBw2C8aOfQQvz5yFyztchiMHDomcnfHiVCxb9i6enTIZa9asQWJ8HO4aPAQXXtwClatVF6VK/UHZTsBGGUq5fKZDi7Bp6592OgUrVq7C5GeelfqrHt37YPSYh1Cr9nmIjVGjFTRAyVQ8OpPzWy9TaHaNcIPcAJvqskgnJeUxdZrSX9SbjIAwLY9ymAYJeVUd/Jyylwd1AB1m1CPU3dTx3377NZo0bigplvUanI8uV1+HRx4Zj2nTZ+La62/ELbfcJsBi4cIFKF82QZv/ZGG6tJY2zSYk6vBxoLZ0SQ0KbxC0b978I3r27C1yv137KxATY5c9Qaco2Y3ZHiyHK+iRJ8AmQVgfPP6AlIYwKjX8nnvw6edf4N1338a2X7di3LixUjdJYEZwzKwcAgBj8zWukwJdXAPqUBqPtElIY+p2/mYaFktLeA/qb747wTVpzqgKneMEMvwut9eDKGcUvKxTYnov89Yk44VcGsS6tWvx4OiHJN3vik5dJG21fbu2YBZ3ShrvYUFcdF5M5pwprBz6BGp02PO7aDTTYCYgpbOKPMMBxJSFdAgwE4s2gFZOEkB6RhpiY+Kw4bMNEkkjAOO7M1LXrVtPARL8oV23auVq4eGHHhoj9580aTxeeGG6RHVoF9Y+r6aeMaR1x1QlDXTKaSNPNEcXgS7rJPv3Gyh2LME07SyCNnUYa7IKymO5XpcLYNv8/feSjstIFe0ngg3ae3z2CZOewJ5Dx8Q5ULZ0ScybMwsVy5eWmZ5BN+uqHVj86qtYv+Ez1KnXAM9Pm4ElS5ehfOWquOiiJpi/cD56d7sekyaOF7qS/yZMeEJsyDv69pfgCoMnDGZUr1FVxidoPK2NAaH8i3ZGIy2Zs8wS4WMGUxACjgYNHirAiutNO/Imna4ZHi1zi/IzL4BN9ZEg2KfzidF+yiVGc2kb0r5XHZY5eJ3fRWcTdS9TItUaMghAfmEWC+Uc99TixW/KeXQocS9OmzoNy5evlM+YYkt9QrxAOnz88XrRs4w89uzZDR5PADan9dwFbIziqPb9JCIFPJmGRgq9PjRsudDcWARK/DcjPkwh4EtzI/CFuREJTkhAAjoSj6FobjiCo3nz5mHVqlWhxiP8jJ5SfkYvLVu60pNDAEZCMmJE5cz70JulvKs09gnemjdvLn+nh5ChVDI7lU2nTp0kokSgyS45zJvm88yYPlM8ZLNmzZFnZLSKhlvduvXl/cqVrSBClt6vzlddgalTn8XU55/F3HkL8Nrri7B27f/w3uq1EnGy2RxCJ8rP91YuR2JijHgYWTPx2LixmP3yK1iy+F10uvJKyS3mZry8QztB9Vu2/CzfR+FFMHPllR0FXA4ZOkhSWUiX3r1vQecrrxKgw81MGhP40ijiGlFIkiEpNOkl4TUEndyYFJqMBiSnuiXd5OZbeksK4IUXNsLW37bIudwcTGGiomjfroMYXp06XYlLmlwom82V4YMtmI4P1ryH2/r2w4pVq9C61WWYMHES3lm2SjbPrJmzxStz6SVNxAtXMiFehPXqVSuwaMkSAeeNGl8YajtMY4/AkO/CqBuFM9eLiozGBZ+JnjbmxE+fMRObvvsJna/uIsKBUbPXFy7Ea68txJ7dO7Fy5XJJ4+3b9zYsfWsx6tatg5u6dkXPnt3l/W+/4070v3ME7h0xAm8tfgsvvPAMHn7oAbz//kp8/903uOKKy4UvDh06IulXp5NZBzAGk59+BgMHa7Utou5yi+vnKrX/mSfkBbDxzXZs+wMDBg3BZxu/RZu27THxqadx4UVNkJAQBVbHnj3yBeBKSxIFRyPc6nDAleHGhAmPizOAPMJ9SVnCNOepU2fi/lGjcc2112L69JdQoWJpxEfTNPLi+PGTGDx4KLp1u0mMqltuvk08dXRGcf/S+TJ4yEBMmPAYvv56Ix4YfT+eeX46LmraDk9OeV722YypU/Hp+o/R6HytQNuYLpoTYON5f/7+u6SZfrhuHc47rz5GjBwpEbeKFbRGDTyKC7CBHn7pUmaBhynbjLTR02q348dNm0RWE2BR7tD4pKKlx5igzQcr9hw6gbkLXkXnTh3g8foQF2XHmDFj8eq8VzDy/vvQ9KImQreBd/aXYa/vvLUU7y57G6VLlsLQe+6FM64ELmx8segIygZGLhihoDeaxsaZOkUqwOZNS5GIQ2LpMlixYqWkmP66ZRvadbgczz73PC64oKGk9Ck6/pMAm+qoxhQiGtF0JlA/UBfSoKF+o2FMvU25TKef6o5HnUv9QTlOncwf3oe6ncbSG2+8hg7tWokhFBOXgM5XXYMFC17H4xOfxAUXXoTx4ydIIwACm1IlNAdCKMKmAFswCHdGBqJCg5K1BOAvv/xK9CxrlaizR4wchc6drxBzW6XlE7hFFaJvRl4Bm/bgVrF3xo+fiJWrVuGGbjdh8aLXseWnXyRizmiMSreiI5X0VB1U1Ywq2iykJcEd7RbWdzKqRgcQo2jUcywnIW1pK9FwJC9T3/He1J8EhKF2+T4vHHYHPH6f0JX/TYcwa5eYtk8H1Obvf5Dv+PHnrahYuYpEEDpeebnQkQ6oWBXCL6QKoh1FvmEGDB3pdCjTmKbtQfuBthgPygDaaKQD05WZuujxuhEIBIU/P1i7TuwbGvq///6HyM777huJBx64H6NHP4QVy1cJmB016gGJ1D344GixEWhcE9TWql1D7C3VnCWzUYUG1FhOIvvYYhXQtn/fYbGxSF+CYO4L2h3MAgjvUlpIEkW+PA/lxcz4oS1HuhK03nzLLVj/yScYP+FxlK5QBUG2109LwewZ01D3vBo6KA3gwI7tQpuWrdsgLqEEBg69GyvfW4vo+ER0vakHht09BGMfGInRo0dgw6efi6weOHCo8OLExydi6tTpIqv53VWqVhB+1sYyaKM5SC8Gy/1ebygl3sdSGodDag6ZhUd8wLUcdvc9Ermz2Cwnx7LEAAAgAElEQVRSny0qwpZ7hM3YCVZ1IWbAh0EVBoj4fgRw1CfcO3wHyi3yHe1ndfAaRif5Pmrky4kTxyRt+KExoyVDjbWMs2bOkQw8vjs/o21NbLJ06TtiW8+ZzYj1lTK+xB5lO/cAm+omFN4enXnYFMYU6KwFoyDnglDIcAPQ28INyw1Krx1rCxglo/AgQWhIExkTJDEqR0BBgURPKT009HioegF6BPk3CgNGlwgEaQxRCFCwcXMx5E7ByDQKRtcoPCTPd/BgMaAIOBmV4/fxGagM7ryznyDwZ559WgAdvWIff7ReQqtvvLFI7knBQw9DjRq1JCpVs0ZtuZbvdPfwwXjkofsxbdqLeHHaDMye8wref/9DfLL+M3z/w0+IibGiW7c+Er1btWIZypcvJQKVdTOPPzYO7y5fieXLVqNmrbpCN777tdddLSCT3gzSQBUir1//sZbLa2Pzl/9h/oL5GDBgCHp07yFdeLiZaKzw3cmspBOZk0qYTMyIFD1J3PA0mujxvvY6RjocUojM9I6qVSvjoosby28eTPXgJuF6bdq0GQcPHkatmrUlutCoUV3N2+xz4e23FmHE/Q9g5XvvoVXLNnhz8RKMHfe4bKi3liyVtRg+bKg2wNPrESU0d84sfP3ttwLCK1TSBqgrzyF5g0KTucNcM248KipuTgI1XsM1mPHSLMTExKNzl2uENvSiEZA99dSTcGWk4fXXF+o5yPfj/dWrEB0dhS6dO0tklYD99jsGYMjQUbjnvrvxwZqPMP6xR9C9a1d8/vl6nDpxTGo0qFxZm3jdDV2x7n/rsWDBq3jhxRno0LE1UtP8KBH3346wqRq2iBE2pp4cOyaezQ2ff4l3V76Hj9d/jgFDhmHY8HsRE2WFg12+i0UT5uWmWq1dRmqyDGBmvcBrb7wpqWFsoEA+O++8unC5PJLWSYF98SVNJVLRtKmWsm2TCJ0PixYvwSOPPIoePXpKhy3WsJH/GclnzQWNsbvvHoq7BtyJX3/9BU88ORGjx4xDh843YPKTkzDpyRfw8pxZYjhUq1xG9lZ6hldSqLXvUYexwQ/gzUgX+Xki6TSef+EF7Nq1D3Xq1pWULZl75NSuLDbAJvWK2pGekoLYBK0m5sDevSJr5rw8D+PHPYLxjz8uf9+/Z4/IU8qCbzZ9j9XrPsWq1WvQ5KKGGu4D8NiESVj8xuv46ON1iI+ORctWzTF86BBUrVYFTz3xJObOnYOa1avLnuzW6xaUK19RZAWj6WzowCwBpryzKcaZDuG7gAcZyUmIKVEKRw8dRtBqwycbPsP7qz/EJxs+xUszZ0n0Iz7WKVFWpvAJoDEYhXnhtOI6J7cImxpqSyOFgIFgQjUEoE6kw4w/1KmscaNeUINl6WQgCKbRzKZhTOuj7mRUhXXmpO9lrZpLSiQBWus27fDooxPw+huL0aFjO7Rs2V4yYujwTIjTkFVQGiII4bV/c1C3RGOtYP1jhps15TE4dPioZIYwY4VZIsPvuQ933XWnlLzJdfpUiMLEh/IE2IJBpJw+LRE27q9p02ai7x134InJT0utWLTdJpkdzM6hfmXmDQ1e8r6KPtEuIY0V7ajDqH9owxCs0V6iY5cOWeobXk+bh5kgjMQxY4bfQfuHa6Pq2NTz+5iW7HVLtI301eZmReP4kSOIi40XgD1j5sv4a8dOdOrYGc+/+JxEKllbXhj6GXladdumbUE7jw4o2kvkKxVhoyOaYI1ykdEsVQvFToYEfNTzcbEJwi+xsfESWeL7MyuLsnfIkGH484/t4nAmLWlkT5v2PB56aKzYhzTImRKpuo7z+WgXab0UNH5jzZzMWYMFhw4fQqmS5YTPaL/yh9liDBpw32R2syyu3Zu3flAE4KQJHfoE+jd27Yrx48Zh7rz52LLtTwQtNtSuWR039+yOV+bO0uRZlENsJe5p2sT7Dx7Gtu070b7Dlbi+W3dMenIyrr7qSjz5+Dj07n2TdOfkmjzwwBjhvzEPPYhbbukrTgWuX8VKZUNNgQjYQl0ig4BHH2ZN2c99SXvXZncKgCKQpl3frn0HWcMShnRVnz+AKBVqOwOJaRdSl6nW/kzJpowngKU841oR2HEPko8YMKK9SBuRNjQBHcEleYEgjJ9xP+7evVMCPQRsdGQtmL8AM2fOFjq/9NIskZOq8SDxAG10Arorr+yg8ZIXCJxrNWyKjmoIppr5QaKwqxqBFo0SCnOCGKYfkqnILFwsghDmkTLSRuObwp+MwcUkE3IRmfpII4kbjl48KnQqXm5w3o+Agffj5mf+Nz1QBFUUaNy4zG3lQjBtg94oLhQ3KX8zDYfhTqJupk8y2kYQxIV+6qknJB2ke49uIhSo9AcNHCKL9NVX34jBxkWiALrmmuvk/Rpd0FgYhQifHuCxj4zG0089gcVvLcUbby7Gxo3finE3avSDEpXjuSVLJkrhPGdaaIDNhzEPjsYbixbjg7WfCEh6++3l8l4PPvSApEQwJZIbjdFJGnFdu96Aw4ePYtbs6Rg6ZCi++PILAcTXXdtV6CBekCpVpE6QSoOpQQTTpL/ycnEtmS+vIoy9et+Miy9qhscmPi41clWqaqmpjO6x5Slr36hUGGGoXr2m0GHH9t1g6LlUqdJgOrjT7sWa1SsxaMgwtO/QQbo4zVvwKjZt/lnOf+7Z50XJPDbuUVE6fo9bhPbwYUPw5VdfiaCtUaumbCg1M4XvQu8ZBQcFDhUZhSw9HRSmStG9uWgJvvlmE1574w1Ju9y1eycG3nknbrnlVmz49BPZkNx0Y8c+jA/Wvi/PwYYFdw8fJjTq0etmnFenMZ57YTpmTHseG7/6Am++xu5k8/HBmtXiGSYP7tixC31uuQ0vTpuOmS/NwdK330WTpk0RFQ1pC3sWEUcxapLcb62ajvDMzOYYqumIlu6y6NVXJdqckFhCao0+++Jr3Nr3DtxzzzD5grPddISAzcX6hrgELH/nHQwaMlS85Yw6U1alp3vEydPtph4CMl6YOk0cIyVLluZsYKxeuQT16tWRwnhGkqKj4kSmELBRRpKHuQ/ZEa3/nXdICnn16tVw//0jcPfw+xCwx+OuAUPkHDZAWrn8HVCROWSAcRBOuyVy0xF9ef63do0YfUwLjI6JkYhE6zZtMHnK5CwLWHyATaxwibAxJYZpbSlJSRLxevKpKbij763SZIHRHDp/aNAxokPZ/PSzz+FUqhsL33wTB/ftxw8/bMb1110nzr7xYx9Bl6s7o0XTZnhswjgMGThA5NvDY8aI4V6/Tl08/OhYjHzwEVStVkPkPuUhPaKkMY1FGoCR6lkUYYwpkbTnHh37KH7a8qs0Gzl29BQOHD6EkfczstMZeuNY+L1+TVaxnsqtNWo6m0dugI2RHuo8rgENd+oDOu+YwkY9TeeD6ubJyAY91QQGBG7MaGC2Aw0lesqZksRIKZ2vXL+BA+9ClYrlxCH46PjH0LpNW9x0Uy80a94SHa/sLGUFNM7vueduRDko3+mNd8MujWA0+aAOAmEBYharOBkpY7XxGeXFmTrm4bHo06dH6Ir0dDaVshUKcOQJsOkP+Mwzz2LipEmoX/8CjBs/Hq0uaysDhOe8xEjZNgEWpA+BCiML1FmkI20ONgKivUE9Tj6lfiedaa8wk4Tn0DZi1Ik1XkwxpSOaa0CwRqexqr1R9JL5sZzzSB6MjoFV0tS8cFgtkhKZejpJAMiC+Vpq2MmkVKktv/66G9G3Xz/x4LBBR3xMIUKU+sNkgiKIfmakjHzFd2PmD9+Ltht5lbYco1h8X6a+1qhRDe3aXYaNX22USO19944UGtFJSt3LukACp1GjRksEpGyZ8pLdxPvTccIgAe0C2nvkGzaAU42GCJh5jjaHyyNZPKqGjSMmuB+mPK3ZJ8yqIjihbUh7SpXjFPveziXC5srIELn+8pw5ElmkPUT7ifuQ9uNz02bI+91+2614fPw4DL97MObNmY12bS9D0snjYjeXKFUGX278Cl9/txm9+tyCfncNwJNPTUblypUw+v7heOThh6RTNnXV/fc/KPRg6h9tZ/IpAUy58qXV2EzZt0Fo8xmtZCS907OXM89iYvE+M7NmzBR5zfRE1sGxkRNlUWx8bGjUR14AmwoUcS3VjEbqVzZBoq1Ke5a2PbEEswOom+nsYOoj8Qd5g+VVBPfECAwGcC8yO4/vQX5k0xrqJO65d95eJgCQDW+okxm1Jb+ymy7TUhmhZkYhG6aks4At6hyrYTOiWyPzUmCrbkA0cEhYAhwKfYIspj1yAxJQcX4ZvUgUXDTEWVRKYEZBQmVCJctNTSBAjx4VCYGK5kkLSiSPzEoBSHTMhSPA43/zOkbCuLEJAqlM+QxkFEZk6KWhx46RJwoCgjEuDJmTESQKG3q7qZx4sGkGQ7hcMObiUumzU07v3jeLoqtfr6EwC1NJWE/2yJhRmPzUE/jfx5/gxanTYbU6MXXaDOw/eEiek95BentZI0WPHHP4GQmaMW0qPl7/KV6Z+xri4rV5JWSeLzd+LoYN0xO5YagcSTcqPYloLpwvaVb02kmR72amZGidMynECI7prWPBJQETo5CkHT8jDRjxpIeCymDbH3+hevVaWL6S6/Y6Zs3WNtm+fXsk+tivf1+5juHymJg4eY7WrdrKRmG6Z3ysDUG/GzNnTJWUwRq1asFmdWDr79sw6ckpQqf1n3wqxtvxo0fk3rf07iWC/KknJuLbTZvEgKtSrWpoZgb5jWtGwcRIIyOkVIb0khCokW8orCjsOX1+7Nhx8AWC4mHp0bM7bu1zM55++ins2L4db721WJTWpEmP46UZM1CtWhUMvPMuXNGxgwDuh8eOR/mKNeCMjsfGzz/DnXfdgYmPjddS1u4fIRuXwpDA+ZnnX8Ss2XMw5ennsGz5SjS5tBHreRGTOeaj2GX7ufYFyuRSmFVLZjICNuCXH34QR8jPv2xBtZq10KpNe/To3Qdt2rRESko6SibEnkW8y9qlJMTERsNqd+KZyZMxZux4GSnSrHlzMVaZIkLDYTqNhbJl5R2oPO66cwBatmqGgXfehm7dbhBHBT3FPq9WgP/445pHuF+/vsK3zzzzNEqXKSkKsG/f23FTt64SWZr8zHRExybInqchcucdNyMl1YW4GBbIRxqcnTXC9vuWX8RA+vq7Tahbrx7KlKmAYXffjQ6droDbrXV85VFsgC0QFK++FiVhJ0VtHg6NTHpmKb/otaYBxL+pJlMEOlWq18Bt/QehR49uWPrWMkybPhUvPvc8mjZtInv8k/UfISMlDU0vbSKyrHLlirj/vhH44cfNSIiLR6nSZfDaordkeDblMRU55TvlBvVNw4b1z7hlCNg8aafhjI2GN8ONT9Z/ikfGjUdyWjrYjKVbj+4YNHgIatWsmqXpiEqJLOpZVgXZ37kBNspX6lPqIvIxQS1lKo0POgjVYFrqT5Yr0FmqUq+ov3nQa82oBnUZ00zpFCQQI1ApW7KE7J/HJz2BWrXrYPr0WXjn3eVIKFFSMm+4DoxGu9I9iI11wudxidHMtuNM2ZO0M4cDnnSXdIlk6uEHa9fi6SlTJHJcvnxlcQjfe999OP/8BiHAxnS+qChrsQO2E0fZLTgRI0Y9gLmvvIJmzVpJt+DEUqUxdOhgxDicmDBhvNCWOoqOQOplptITfNFIpLyg05QArV27dqKrqFNoj9AoJGBW6WbU19ST9PzTCFVggmvCTBqjg4A1bFx/h5PdYAMIBAPiROXB5iOMHE147HGxYxJLlkXTZs2leUeVatUQlxANjyeIGFUkWxDm069RA435DnS604FEmc/3J6Ck/qaDgHxDg5q0IE3oCOnVq4fsbcoK7mGCfGbXqC7XvB+BGmlHu/Lpp59B8+aXSooa6Rwflyi8TSd0r149JXorDSH8mmNFHQTX2pgpTX5SVrPM4sUXZogzgmtMOUV7kk1IWGZzpsHfhSBX1kvzkBLJC+bPmyf8QLl4ZefO+GzDBkx/aSa2/vEn7A4nGl1wPqY+/xyOHTmAO+/oizv79xMbtyTnFwaDeHX+Ajz34lS8Mv81tGjVQiKua95fjaSTh2VExthHtC6m7767UoBvMGCRNSBYoS3JmjWVXq6axTCl1Jfh1psFabKfg6d37dwpDhYCYtKc9+3X/y5cemlTcTJ4fUE42CUnD01HVEqk6hJO+5a8RPlDxweDP8QafE5iB4Iz/hAc0u5W4wRIN4I30pB4gOB9/PhH5d0+XLdWZKTMCoRN5B/rb/k9xApMr+V4EzoHht89TLqQx8Q4zt2mI8Z8YIY7iTCZIkFhy9Q7CmZR1oGAeEeZGkCmZxSMm4mKjX/npiMQo8eOoIH3ZRqi8mywbkoVB/IazSOibTqCPApBKhoCKkbg+N+MenFz0StCxcLn4WcUHhRmZBoKUy4MNyWfgQYFn1nNevt+83dyLQUCmwcwWti8eUsxrng9v7tRo8byfWy/T4DKc8qULYU651XH7h07sGvvPlx08cU4eTIZX3z5JY6dPIW2l7UTAVC3Xh1Me+F5xCfEwkqOtQSw+dtvkJKehosaN0Op0lont4MHj+LXrdoAXHrtCRR5kBbsRElgxpkZ9Box/SE1LRXffrNZCn0JQChw+N70IjAqRmOJ0QEynhpYzC6SXENNgSchsURpNLzgAsTHR2HX7n346KN10iSlycUXUQXImhLMHjp4RNJC217WBunpXmllLgZ60Cs1bHcOGIT7WDvT6SocP3kKl1/RWXKUWW9Aem/8Qht0eH79eqJ0Du7fi73798umSixZQgSsGrTMd+B3sjsYQ9X0TNKDRi8YPyMw53Wly5TBH3/swJbftoohSE9llN0m/Od2uVC37nmyrjQs2l52mSjK77/9JiSQv9v8A0qXrYI9+w5IjcrVV3fCqeOnULpMKRw+sE8UHnmCPBsVE4cDhw5jz+59uKhJEySUiBfHkp5xVmTy+590I6OPPHKXNU0b7dq+A28sXoJft26VmrAaNauDxcdM18vasv7vfnsdXAYCMjuMGQNsOCEDan2cgRYjKV0U1jt27hT+ZFiNcolyhgBi4mMPo0GDuhg2bDiskq9lxZYtW3HihNYVlXOGeJCHDx06gBo1q8k8seioaOmq+svWHfhl61Y0qNsAlza9UNrHW/U00ZTUDJSI19opR27JT49WAIf275d29Kvffx9PPfUMLmzcyBC70GhaPIBNpD58rgyJrMm/vF6hk2qQQNlLeU8lyf1fqXJl/PjDDyKXCH4bNb5E6ho2fPalGHrPPj0ZDRqww+0h/P7bryK7r7v2anHAsekDW/BrjYCOiOwPWB1SM8E23YzM03ikd5Vp3VKXeIYxlyrClnryOOJLs96PnWQ34fmp09CwwYUYfh+zI7QUz1OnkkUfRNnZHZJrpDqm/d08G2bv5TLHkDqWkR/SjHqReoKylrqRspFppKwLJ6+SxpSddBwyHZJ0lG6EMTHyd64Zr9fqWBz4/PMNsh50vNZteL7+YFZ8sn4DklJScVHji1GTYJeRoAzeJ0pGI9A7z8YDBG92jqnx+gW0cTyE2+cXQET7gHOmKPNHjLgflSpXlFE7FrsDToe2qDT8onXDryCrkNcIGyPG1BXJKSlwOGKQdPo04kuUlMZVFzZsII5r6lXqCoIqRXM6XAngCDhJf+ptAjDytCpf4L/ZrZB0pkyhU5XrQv1Nm4m6k7qOn6maKn7ONVHzcQlBXBmpiI2h8yuAjPR0xMRqcuPAnn3SkGzPvkN4cvLTqFyponSfpagqCsBmjETRfuM7UtbR9qCNRdBD3c2GIPxvGu+kE+0wlmzQAB89epTsd74r35v0UnYP35n0ZRYV5QflMfmXPMg6qZ9/2iI2ZLNmTaQZjYzHJT1cqkGG9m8F2Fh7xc/i47SRU6mpLklfJX/TaKexr649VwAbbRnyDAMazPrgc3G484mTp7D551/ErmnVvBkqVCgnad3sNF6zWlUMHjYUGSkpiElIxK5du0WHVa5cHQ11x8enG77AsSP70KZ1S1QoX0lo6vUGJSL2x7a/hO9Ib/riTienoESJBOFTNoth9106CCTCRvrSuR0dDa/XJ3zq8frF6c6sKjqCLmnaVGS0VS8G9ngDso/zkpJrBN9cG96fPMbAhcxC1cdxEZNwb/C5mQpJIMc1pU5g0IAHeYn2MOnItv6i0y0BaYQo5QhVa4jDTxok2WzydzoNGjQ4H61bt5TEgORkzvONLVhK5LGTB4JsKe2wR8sctncXbUGPnlfifHZJthTdHLaCCMSiuia8fo73JePwh+FhCglG97j585emYpi3EnpYpeFz0PThg1tkDhHbWmtF1cuXv4eXZs7E7n37RUGSaYjY+91+qyiujNQ0Cds72WKRXZ2CYd+TY0FPpGflNxYupSFnB09WT75xsLgilTJ4Fi54BWMeeRSz2H2y89WIiYtnA1j4/FphKY8sBmM4YxSwiMmocNUtQ9+TjflUO3TjB1bx+BjHkGc2Lovw/nxONjjTr+Gd8iJwimofnGv3kc6JurcsxMX+gBQkO+hB161lCnMacNwACQmlEMUmH7zW40e0g7NY8uhmLAYCWAw1WHJ7nReZ7CH/lDbGmaOnpeotwPlUVEw+bP7uK9SuXQtVq1aTugjKYs7FVEemPa3DW1Zp6+/LPcIaUolQhqXWspGe8YhEI4lmspm3zyezbQgyKQ84vNoeFS17T91G7sdOcrwkrK0/+bmgh/YMBT9Yf3Hq1GkBYJTzdIbRoFM1YqrLW07fw3UiHQtykKYWvxtaWIId9oJIy3AJLa0WJ2xOB2JiNSCqvkGty9nk2YK8a07XqBlF/JyOSUa1CDi4DnTMnjmCF0Bo/1i4DppEFE4PW5KI/KdtMIN20Agd8PvF4FPNOmQPWmzaXrRpswnVYc0FsJ6JVsL3QYs8a47Pp26Qw/vJWHrWZgcCIecyDWqCWxp7BHDFdah9q+kvbR9aQ/JMWw13uksbs+QDnNExiOfoBLK6OIKVw7H45G9IfgY1man2MwEbHc00rmkYOxxRoXRFI70i818WjZ0p5IwbNZtO0eWUyN/Mw+3SRiSQ1+iwULODeQb/pvooFNcaGhql5vsr2GyETgsOcKbGYcTr0L4DOJV0AmVKlkDV6tUz75kD/1rh17NilAZXRaJhj6MZe/ofNZAj5A4X/7Rp5UztN4McDA7ExiXI+mazquSWxcd/BHGUYwTiKjqdmTWo7d0sLxGyx8Pt/5BhECIM6/c9Fi0lcszwebjh+k4yh61U6dMI+tkNPg02i0s7Xw3O/u2Pn2RwNmsnDu/3YeXS39Hn5hvQuHnRDs7ONzcV4QVq06rNz1tTCJHwTJOkomEYnYfyjnCz8fwzb7iiAWxaO3CrKBUqvO83/4j9hw6KcKpQoZKk+FSpWEGjiD+gFU4HgfT0NMTGhg2uPCcAWyQjLDuA1R7Vh+1//IY1H6zDzbfeivLlKsLrD8DKAh/D8a8BbGHVF/9lwKZE7Z9/bpdo5O5dO0QAxsfFCO/7/V44bU64vB7Zr2R8KkUWJPM8iar61WCAIhQY+biVLQywKUNTKRxRSgaDkQX+NM60iLAPAW+GzC10OqPgyvBI7QWjD5TJNHyNaTmamZSp7DT62SF+yqAVAUtAfhtre9SrRAYsAUSrIfSBIAJivHKumkUiEXxu1RZZDDneXwds/Le8a9AuDoiCHoUBbKQxaZWW7hK5TVox4kAeIV/QkFL0i/Q9Glg7Qwgtl5fiPe1BL5z0+lrpMaYDwi8mDAGb1WGXzpXCA7pRoQziwrx3QWldHNdJnaTTKXqSmR3MYCB/M5rIH0ZQznSo/UNeUmvB35mATeNnDRAZ+U+7q3LGqtp4Xsfv9/k1EKQM/NC9GX42HOH7Nz800gCbXQds2feH8V6BkMFr1wGp9l7x0TFSH6UGSJOOfG7SkvzL7J/iOs4E2BR8djoYNfEKYLPYmJkTA4vNBo8vIFEnu1jchXO6nOn9FH/xHCUPZc+npUnKXYkSpYT3uM+VrcbxQqqJidHmy/6cXIMwp3cIQYS/U2TA5rDHyHMpI170k80m/6bOyiq/i34lCwfYuKc0C4T7hFF/RpPS2EQrJkb6ELjSXKG9aNyfmXqFjMFMEyVHdbstWyDByCeZOswWRmbuE02vab+pJ6VJk90p+oht//k3kanMUmDLyGLkP0bcCBjV8G3FV1pto02Tb0bUmSNg0+ljoIsf0fDZKmDrr8l4b/FvGH73nTi/aTIs1j3wuNywWT2Icmj6IwTYfvj5m6DVakdMdDyOHgxg1dvbcMut3XBRi38XYDMKdsUIxhQ6ekZ4jlLyWr5ybkdRADat0xXTm+xOzUiibqKRSiBZtozWWpvLzbxpO/9L99qnp6VJ+keW428GbFmcG6HvzokuBuNIjwj4fS7Y7BZphx4dw/QvK1wer+TVq/Qu9f6ySSM5UwpoMOYrwpaDEyfnCFsE3jE4WRSF/uuAjVRiGjOLc+kxpcKj0U0lyEYbUQ7Wh9lChhf3LH+UgaaEd247tbg+l6YxhkOtqxHEiNHAYn6LBf5gMORRF8M2VlNErH2lkUagxnpP+jxDgCOLEZEVsCnAZAky2suIRWTAFvn9A9L0RuYZ0UEicoXAIyiK0eidLi7AVhTrohxr0iaaNPb7xWDKS41YYQGbLeCR6AQjfRarTbpE8sfCyKfVArdHcyj8WwGbcS/SYFb7Uq2rAiI5rbPaPxLrVfLRkIGgT64LwWpxGBhiaur7NQPOIi3Ktd/6v/UIGtsciN7X/614217A6CrvVRSATfv+QMgBJY0YrMygcYozgjKhuI68ALYoZ7TIW6+fNOXAYpsWXWM7dnGo8emKD7DREUPwIHPj3G6hkzbA2qan5lqkXkrWQ29koa2tRtNMh7vhGZU8FVlpz5qllE/A5nTEhsoxjJlcqkRDOQyKaw0LA9hkz9isAixV2jn3jqKztN/3+HNxyOn6qJgAm6If64xJU2uBhiIAACAASURBVC9rnvV1ZQKOJj+Kj/9YKiMOC30smeo2qfGV5ngtDGBDVBVs+z0Na9/+E/cMvwv1Lz4FWHZLhC0u1oqgn1mOBsC2fddvEmGLcsbi0D6vRNh697kGjS79d6VEhkfZsnpeNO8NlYuqmftbABu9RhkeOFjYL8aclhZhrO2RPF8RlJrH0OLXhJA23DLCcbYAW5bvjeT1CEsV1QFb0OuChU4Ziw1uDwd5xoQibMbi0rMeYTMBW7HoHPI0ayvpLVUAhfythCT3rerUJQaXX0t1UkZ6+D4uloc8w01zA2whJa4DthCgI3CjgeHVlGXAr0UG7PZoSb3w+4ISNaLhpln8kT2UmmezoFGiAIJe1vpqgE2TKXb4GaHQAZtSmOcqYDMCBOl8pwNiZcDnxh+FBWwO+KRpCg1YpqgzMkkvccBvlYHELOiXZ/kXR9ikjkP30iu9KWl0Hk8m/+awh3IHbNqFIe0RBtjEUDekNRKwiX60aW28FWAkOJHUw7Dzw/dvfuRHUQA2v9sDu12LEIWyBvT0SPW3/DxTfs7NC2Dz+zTnWNDiEMBGcEQaS1SfBrO0Tig+g1nxkAISKvWQcpF2K3sCKCee7H95Hs2IjxhdyxYNKRxg4z43yiCjnSl0K0TKbV7WsrCAzeawi57hc6raUupe/ijdm/NzGJyHxQTY1Hdrs9e4utr+1n5Q7BE2fo/R5qA+lEifzycOC5F3hYiwWWOqYcXy7/H0o+/i1lu6SUpkbNxRBHyci0jdEgbYjhzfl6WGbdniX9GzV+d/XQ2bUbAbN5gSCMYiU6WARFGcqeo8JKiMAisMmIRze7jhT/nCSwh42AGHHWW8Htij7HDYHPD4tLC6w6JF/LhB2eDAYXUAkQqmzynApl7WWGegQsP6Owd9cGekyOBTFmOXLFFawuHZcpV1OhZ9hI2tUTIPVQSbjYzqVYzrRyNAvMFUX7pdHZ4KYFx/uanm682MsBXU2M6LOP8HnKO3dFcmWUjB6VFk9QbZ2VpR8CzTL5xR1YOqaEFQay6RGc3NeoHmr85iksq/mIHIGpFQoD9Hh0hu73+mz6kFNZ6Uelj9OYz8qeifxWESVsNWiCBFETCoTj9lGBnq/yLdvCirHbSyDEbQSEeGdGhBZKZZsj7TrstotXwhOhbBm5/rtzBGHHJ8VsX+uv4TkgpFs+6TkFyOJIfVRfyMuZOSgpz1G3Pef7ntn5ypbMzQiLg/ssj+yPsrpwwLAZeGurbiWOusz6/ROzNVV/+UngixjGmYnt0a7HCnuyYoMylDESB+YImuGilm5KWQy0w3QAjYDOfm034KBDTwcNaOwgq0ENjI+g7ht81Z/0bWX9nKynLSX9m+KLL9HCkbijQv7gylnLrca+udUyYZP8uBJwzvS9Ofnf1fW7gTDw6bK4CtZQcgLv4Y0lJS4XGfRkyU/h2qhu3Q0T0RAFsXXNCUkeJkWMFuQVr3skhHAbPR/jb+DlcaCoypTabSZsLTZ8LbukZ+4MItmBI4QV8ArHxgSiQPr98n/yZgUwdLpeV/RoUVifj5FDiFbToS2phZ0iHFjxlGMgXaDIBNzvDB50mHPSoGPuYrs2bJ44XNESXd7tRRfBG2wgI27XoTsBV0S4vrTFqri8Gga1r+m3tXzb1hIwHt33rzAJlHSPB7FpUl1z0Qpuh0BRhe15WZ7pV1X2gVLZqAZ8MRdsJi1IyGPkmhBy+0U3TAb6xj01Igcz5yo4/YGlKHZzHUsGWmpzEtWZ5OLKHMGiI2i1ARhsLUsBWUazLlopYiy4PNUox6Silb43fkRo/8PI/EGSx+bY6cHmFjpFJ9h0Qp9RuGAJv+h39TDZtKhTRGN5V+NTo/I9FW7R+m82ZJiQzrRqDVZnK/6VtB8b1ify10JnWcslVsWuQjlDKtK5OgrkBV65FsTQ/ywQAa/2v1dpH2Rxa+y1bDpn3q0BlDRQIz5Zv2eW70y8fjZjv1TBG2TBeTKsFgFpAmKlQZgAAjIXfxRdjIRwq8Kj5TL0JZabfx86xykn4ThaE0+immMT6nCDQg6MwBsIW/U6R7aDWMKgCg+N9YfnOuR9gsysEh+kdzEsg+07urK/0TLq/Uv7lv5cgWYQtjt5Du0vlFv07tZ3U2o7hyO0PTLqEhsxcMqdLUSxJt5RyGYuQ/oYXOTFIbK4256Ehl+ZJOr3xF2DLpQsDmtQIL5v+FR+5dIIDtkjYcWn9YatisFjfsVkI6Q0rk/kM7BbA5HTE4uNcDLcJ2taRE/hsBm9pUoSJlznGxanm8DLOrLpF/J2BjW2KmzzA1UgSU7l9k0pR0jmOg3+uVFACnAnHhloDig7MF2ELfrwRkDoAt3MBklzWpU1VhRqt0WouKiRVjVQ2y//sAm/Yi2rhhwxHJsysRNhleEGpPGzKgI71+lgibBvO0xvT/3YND4EMKzqoVLIuHPaA1BoqOzhxUl8naRmV6lukXrtfDImwhRaQrlWynB/Wi4iAVkjYGPMctnM0pot89i4c4nB6R6aObK3p06OxF2ArjINYiXHoKVFhEVgPAma3zC/M9Oe3OLBE2Jb8METaj2+rfGmGjEWOMMESMgpxJvEWMsIXH1xQMt2Z1WEa6bz73X2Hkb1FG2FQ6b3E3qYik0jRNlEOELeSN0QDb2ehyfEaeymlj5xTRCWkYTctrNWwGqhSR/aTszGKPvhVasLEGK1M6aW3qNXAUfkTWv39PhI0pkXymkJNBB2zRqo3432BCGQGttk8LF7AxRtgI2Hr3uh4XNk+DM+qgdBxmDZvfm6y9mTHCxu2q2vprgO0qLcJmSYEFbDcfOcKmLaCeVpMTo0fyAOvnimFWSELnFhINVyjyxMqLIOCIqUea0iGQTk1Nl9lHnJ0U5dS8JzkfxgXLm6EUupdy8HC/6JeyqYhEEfRZE35CN58PDn04CEGEAEk97cfvD8Cmz5TRcgHyohn1NcusCijcCmQDJgaPVrY7Zx9DEAx6YGFxvsstXlGHPUovbtY6AhmzPkOvlycBm7fXUuA4fPVyBGyZFrjmoDN4V7Tn4zsavtu4LgbAps7I9j15e+x/z1mhlEg6yLWoGr1rkbJMMtdf1Slkdrk6awTJKeIdthcZQ1dKnB55tqXgYWO9kxi9hq6oQS0dkn93Og2cGdEI4ed6l66I+z8PgC1EPOXd1HVEWF5FcQDmwtgb4c/DiKtqQmE1ZCfwbQrzPTnxlgbYCLgNm5yAjXxMR1vYehhX4oyi+qwxc9F8cb5AWwRZrlWaabZBVpqFZ2cwIzUgzV2kylulwpG4YQTmPSlZ+Gzs1GrRQ8dOuzZ2oaBHZFVksAto/4SeJev+4nf6vF6p0Q23M9Ssu+JuWpH5/IHIsxrlBL2xB2sDDc1htE/+/kNFTcVoNiyApEQqu0pqWbUOg5ENa11XKw4rpP2Up/Tf4iBVYQVblhCzxp/cGlrUkjXVmTswsvw3vlQEXRORruF2cyT9lXkvPocG2DhXWYvthRz4xUFTwz3P1C1ey8rT9W82x3sujmQCTj0lcv68P/HoiIXoe3sPibDZ7PvgSs+QLpFOu94FWwG2fQd3hJqOcA7bO2/+gp69rsGFzXLvEimkI/jhougBEsU/ocVlypCRqQzn8YH5U1Ce43fQ/15QoaFqpXKy/8+sYMOhZtF7+nOVIQVm1nBVWOAb5XBhTjA8Eo1ypmPxvX/Wxy7Q9+T1oryeV9RLYN7v76VAPtY5H6fm8g5qH58JsBWcDEX3nAV/hnP/yjPLL+PzF1RPnfs0KJ4nzBP/qZPydLL2nPk4tZAvVjz7spAPlYfLi9+2ycNDFMMpRfVexW0/FcOrn5O3LJj++vv2b16JVjB+8HMMDLQ5bCMGvIT+/XpL05EgdsFhs8PvS4XD5tEeosgAmyAu5q5pyEn5vlkkrAcUNAlpzDm3auepc+n9oo8sv7/5HqrKSzw/qo9FPn4bfPWh1TEq1pyRfHgoOK+La55nUsCkgEkBkwImBUwKmBQwKWBSwKTAf5ECfz9gI0Iy4BamJKgmrwQ6guHU54bQG7GbAkp29feCoC099UE1WjTgdQn45eXfkRjlv5K68l/cJOY7mxQwKWBSwKSASQGTAiYFTAqYFDhbFPj7AZuE6vTQlhXw6V1cFPYiYJM5J+qH5xPU6YBNPuf1kcJceaEikRXvVYhcEz1DMy/fZp5jUsCkgEkBkwImBUwKmBQwKWBSwKSASYECU+DsATY945HlcQqbEUMRkEkETUXidHREgKWiYvbCzF3UARuBYkEO9Yx5a32Stf4qW61eQR7AvMakgEkBkwImBUwKmBQwKWBSwKSASYH/DAXOLmDj0GfDnIRsgM2AcFSEjRDIbux9nN+lUimRBQRsGn5kYXCkJhnG7k58MBOw5Xd5zPNNCpgUMClgUsCkgEkBkwImBUwKmBTIpMDZBWxhjUQUYJOUSCMoU2mMoSYhnGFV8CPUFr0gNXDytaots+EZjL1rVc99/SnDO1oWECsW/IXNK00KmBQwKWBSwKSASQGTAiYFTAqYFPhHUuCcAGzG3omhpiPGGjbV1t/CyUQ8OCSTDfYZ68rfbw0Uhg0+zNfS5VRAp8Mw+aXgZPYZKvzUBGz5Irh5skkBkwImBUwKmBQwKWBSwKSASYH/LAUKBNi+/u6zIAdHRzljceqYDR+9vxd39Osmg7MDlmRYEXPmwdk6QuMwWGMtmcCbgB92DnlWs9oAeDNSYHU6YItycpSsLBbb+bs9HkQ5ndLeP8OXjhh7LAjprLDBE3TDaYmCD17Y4ZDzM1wuxEfHIujn0FmHPsyN0/6CgFXLlfS6XXBERSMjLRUxcfHyTRkpqYhJTNBnAGgP73W5tOGVMmRRh2EyVp3PZzNR2X92S5kvblLApIBJAZMCJgVMCpgUMClgUqDoKFAgwLZr7x9Bvz8Iuy0KRw748f6yv3DzLV3Q4GIgaEmBBdE5AjY+ut8ThN1hEbDGiJnL74fdZpP5aKpLZNDjBnx+WKKdGvixBhGEBafTkhFtdyA6it+ReWS4MsAJ4/ECsgB/wA+blXfL+t+paamIj41HwOuDx+NDNO9v4zeHNfQP+ACrmnhvBQI+ZKS7EB0XC4s1a0Imwas2wdwuP+ZhUsCkgEkBkwImBUwKmBQwKWBSwKSASYGioECBANvRE/uDwaBFANv+3S68u2gLevTsgvMvAYK2JNgtcTkCNilN47Ruv1YJZrFreEyPSwlgI3wK+gKwC1DTcggZOfNKIMwCh+RFWhFwuZCUlITSFSsKLTypqXDGxyPodsPCaJfTKX/3pafDHhUF2GyA3wefFfD6fYiOig0BNZc7HV6vHwnxcaGAW3qGCw6HDQ57lJzn9fnhsDtCY+SSU9Ll/okJvI92K5fLhdhYDUxmT300B2cXBdOa9zApYFLApIBJAZMCJgVMCpgUMCnwX6FAgQDb/kM7gzabA05HjAC2pa//hO49rsWFzQCr48wpkcRaBGpb/jqMbdv/hM/il5loAb8XVStVQqN69VA2LopVZgLedBwkIIkjAAjmLO4gnA4dDqnAGO/rDsAeFbkdCaN6NqeFQTu5iSsQhMNqgdvnh9vtgc2mIcO4aCfSXB75zSPD44XP55fPY6O0v5FoNvX1AUAu5WH4e/ZZbcaukoVpmfJfYU3zPU0KmBQwKWBSwKSASQGTAiYFTAqYFCgQYNt3cEfQbnciOioOB/a4BbAxwkbABksqAEakCLeyAxOCrmMuYP6SVfj0i89hcVol2pWcnIRLm1yMm2/qjkvqVUVGBlAyBnD7AF8QiHIAaUFI1I1Jjz43wKAZj9OnAWYiMqDGIJrLBcTGAklJgMfjQfnyGtBKTQVi4rU0zPDOjYoVFCg0soZLQoFAtI4gVeBPncM/e/1SfgeHDXDqJWyZoE0Ha6orZaF6XJpMa1LApIBJAZMCJgVMCpgUMClgUsCkwH+FAgUCbCrCRsDGCNvbb/ycZ8DmBpAMYOaSDdi2czs6dLwcdRvUwcGDhxDjsKNZ3XI4diIAd1oq6ldPRIYHOHQ8GeUqJSLFFURqapo0F0lPSYfP40eDOiUE/hCEJacBO3cfQmx0HBqclygpifuO+WEJWqUG7sSxkzivblnpZ5LgBI4kBSSl0u12IzY2FrWqlQgBuc83bkFUVBTq16+HsgkaOxw47sGhgwdRrkQJOKw2VKmcKCDudLIfGempqFC2BKL0FE8+k3S8lCsJ2Di7TWcraftvRtn+K5vMfE+TAiYFTAqYFDApYFLApIBJAZMCBaVAgQGbxWILpUSyhq1nr2vQ6FKilDOnRLLqa7cbmL14PXbt24su11+NS5tUwKkUwO8G6pYF3vvge2z7+WecV7OWRN7SXem4tFULHDlxFN9s+h7eoA2Vq1bH/j37cPV11+DyZrXw0Vd/4ucffsL2XTtQv049NG/VAi0vroo33vkU33+7CTVq18TxI8dk4PWEMffAmx7EihUrcPToUQFsZcqUQd++t6FiKWDxsg3YuXOnNBCJjo7Gtddei0qV4rBw4XKkJCUh+ehR1KpWFd1uvAFlSiVi+bJl2LdnN67ufAXat24iUCwbYDMO2jYBW0H51bzOpIBJAZMCJgVMCpgUMClgUsCkwH+KAgUCbAeP7JamIw57NA7t82L5kq3o1bszGjbJPSWSgO0kgFkrNmHdxx/B5fOD7f0tliA6tm+H2/tcDiYwvvjs60hLPi2L0eiixri9R3ts3pmEiZOn4OZ+d6LxRXUxa9brKF26NJo3b45169YJ6Grfvj3eeustVK5cGT17Xo3lyz/Ejr92YvCQgdi39wA+WfchbrmpK1JOncJ7772HJk2aoMH5F0jqZOPGtbB951EsmPcqLr+8HSpUqIA1a9agZfNmqFOnDubPn4+a1aqiU5vLcPTgAbRp0QI1Ktrw144TOH38KBqfXx9lEqyRAVuoVQnfyIyw/ad2mfmyfyMFGMm2/gPGahiKb/9G6mR+VfHQKZT1fVbeqSBfaqwtVrL5TPcpinXL73cW5L3+m9fknf+KYh3/mzQ+81sXj1zJO6XNdc07rYrpzLxvwkI8wNlc57w0D8ytZ0XBnr9AgG3vge1Bq9UuNWwH93okJbJnr6vzVMPGlMi9HmDh8g/xy+9/ona9BihfqSpS0tJQvWpVtGtSSSrgvt96CE9OegIXXNgIY8cOlWzCj7/Zi1Vr1mLosCFoUAlY/eUerFq1Cjd17YYPPvhAQF+1atVwYP8+VK1aFTfeeC3ef38tThw9gScevh2HU4ApT89E5yvao3XLRnhj0Sps2fobateph4bnN8JFl9THn38dFMBWr34dlEpMxB/bfkOH9m1xxeXNsXrVR/jph+9RplRZNL+kCVo1a4raFSwydY5NUtgQRTVLURV8HO3Nw1gzx7lx5mFSwKRAwSiQdS+peygBGW4wZB9ef/YH1+sp0tnkQC5yQSnCnApw80pOi0rRzgnYRn6OTD2cXRmpRwpXQ5m0zk2B5fXhz1CAnI9byKmKDpJQr8CaLrmDBpkdegm1boUb3WKRtltGq8bgwAtf27PPrPmlah7Oz5l/wi/Oxj90xhgP/QTOWeWRnf/087MIjULuvzy84b/5lHNT/hrkfxa5WhhbK9yxola1MPf853OG2msiQhWtjUxhFG1h+5PBisgiLT+0Ppv7V303317XA9k2BM9ROoXnZeoUTe/w/6gDwvkod/3PuxJDLV60DyMGvIT+/Xrj4lYuBLELDpsdfl8qHDaPxmQBzo52wHL42N6gMSXyrdd+RPceWkqkxXEaNrDNfeSmI7xVCiNsb63Gjr2HcH33HrjwvNKQv/uBsjbtykUrN2D9Rx8hNiEBPXvfjpZNquCL35Lxyrz5GDVqJGpUAVas/glbt/6KFs2b49NPP0XNmjVx441XIejjLOwgalayYNHbn0na433De2LXbhdmz56NLp07omvHxth5Eti55wB++uU3/PTzFrRu2xb16tfHokVL0OWqK9GqeW3s25uKyuXjUaMk8PveDInE/fjjL/jum2/RqEE99L35BlRkIxMXUCoaoQl0xvo1rieXUPExY3D/Sj38z5dF5huc4xSIBAwssrEI1MKEvqQea4a42oNKfJ691zQaFuEGQA4Cu7AALdvLGpUOaZc3xZEFsJHWOdA3/K2yrI/McNELfQu6CEVFDwFsqm+xxieiffh8RlwYEtZUsgZFXcDnt0i/YwUtVAsra86dsP51yqIQgE0MEZ1fSReDQRg5bmmF8J9aULkmjP9DhlMe9t+/bi3yx8TnhPwN9QIwPnv4mqr9bPgd8bozvX9+QET+6PhPPVsjYcDgGAnbX8YXy2F/2iIGLPJD67O5f41gzJFdZot84DmU8eogGrAbeljw70qXRODTcOYw6LsCATZ2iSRgi3LGSpfId978BT16XiMRNovtzIOzCcyYFvnsvEVY+7/1qFitFipUqY7TyamoUKEc2rZuhaDPjVXLl6FundrYu+8A/BYb+g0chr927sObSxbjyo7t4XTYseWnX9Co0QWSEvnJJx/h1MmTaNy4MQ4dOIgmTS5CzZoVMGv2fBmSPX7MYPy1JxlTp76ILlddhfPOOw9//PknHNHRSM/w4ve/tuOii5vI36dPfwkNG9ZHowvOhycjHZUrlpVo288//QR/IABHTBw+Wvcxrup4OXp1aY7vNv2OXb//ho6XtULD2pVDUFU1HMkEbBpQy97y/5+6fc3nNinw91LgnDAYCvXK5wBgE4P1TEduHmQdHP9rAJvRY5sJ2JSHLWgCtkJxfPaLFf9l5bPcg4v6dREBmzIjM79NK06ACdiKcPXOCfn7twE2RbjIroAiJOs/5lZZAVuE/ZUjYMvcn5EBmwI6xhvkpIdMwJavCBtr2Ag7OIeNKZFa05GrcEHT3GvYiDsZYVvzyZfY/Mtv8FvsSM7w4tTpJNQ9rw6uuLwtThw+gD07tqNXr57Y9udf+HrTD2jfqQt27z+C1atX4YI6teGwW5B06hR69OiBBjVKYMv2o/j0k4+Qnp6OhLh4XHXVVahfozSWrdkAn8eNPt2uwu5DpyV1slPHDoiNi8P69RuwZ99+wGpDydJlcf0NXVGplAW/7jyFrzd+iX17d6Nq5Yro1aM7KiRYseaTr/Htpu9RqkIluNxe9OjWFXUrxGD58nU4emAvbujSCY3q1srSHdIo4IJ6ZM0EbP8Y+WQ+6DlGgXPCYCgUTQoJ2CRCVagH0CMMBQVsqtvtvyDCJta8inZxXRhZs4QibCZgKySf5Xh5IQCbSolU4d5QhM0EbMW1Wsb7nhPy1wRsf8dSR/yOwgM2a2i+cs6OHPWJCdiEEoWNsB0/dTDI1vh2W5RE2AjYevTsjPMvYb1/3gZnH8/wI93nR0y8ExYLkE69GQTinUDQDySdSkbVsokSXDxwyoOoeCc2fvMb3lm6BGNH34fa1csiPd2LUnGOUID1ZCqzO4GS8VHyjqwp8wQhg7Fjo504nZSCxMQEJCenoGzJhFCaIoOTbi8Q7dAClfzOtDQ/ouw2OJxAtEX7uzvdjbjYKBxM88PhtCHRoan4YBCIsWipnOpHY7mATmtrWErkP6AnwlkTCeYXmxTImQLnhMFQqAU6FwBbYV7gXwTYQrUETDTJGbAJtULnBhEUzVLww0yJLDjtsjkrsgC2rPdV5l4oJVJ9bKZEFngBzgn5+7cDtgKT6193YY7rn9ObRtif+jjjQtDGjLDlK8L2+58/S5dIpkQeOeDHe+/8gZtvuV5SIoOWM6dEqlouAiAXgAwCNTvg0BeWg7IT7VraoNcbhNNhkSoD1rdt+mEbvvhsA3pd3wWN69eUBedQ7ePHjqNi+bLwBYJwWC2iW1PS0xBldyCa07T1w+/3wW7T6hN8QT8OHjmKhIQEicjxIDN6/EE4bdp3+rx+RDtsoXozPpPKIeVvecYAEM8xb3yXtHQg4EOJ+ETtG/XUI0bWstawmYCtELvVvPQ/TIFzwmAoFP3PDcCmAhSZdWl5fal/K2Dj+6thLBHqyUL1btQTJmDLK7fk/7w8dBk0RpjzC9iygTW17sbfYU8d4fvy/17/jivOCflbGMD2H69BLCwX5g7YVG2u/k1FDtjyUKsY/pJFun//gTVsm3/6WgAbu0SeOGLBmuXbcdvtN2pz2CypgPR5jNx0hLRMTUtGbFyiRK0UAFJNOtRVquyb8IvnZASAE6fdSD2dhJKxdlQpXya0LJonLQB/wA+LxQKbxQqP1wWnw4lgwI9AIACbXbtj0okTKFmmrH5tZge59AwXYmPYLCX8CIDhRDYbiYp2wO0P4GRaBhISS4aiaQLcPG7EOvnehnxnvb14Zg2bBtTMlMjCig3z+v8qBc4Jg6FQxC8iwJZrHVpOD5nZgIVyKEy9Zrkox25esgj/7JTIzLo0pYADesczQ0cvo2FoArZCcb3x4sj2k2FfZBnLkamj1T2k83LI05D5eU6VRplNbzKdqFlfJrM5UcSXLFKDr8jIeFZudE7I3yIBbJHqeHOr3T0rJD+nvvTM66/rBZXzJgok+/60ZRtxFfaKEb2IkfSmuu7v3L//QMC2/9DOoN8flJRIzmFb9fY29O7TRVIi/ZYzd4nU2txrxA/CLt0hCciYVsj1lfb4FsDvzYDdodUUZGR44YiJCTXK1FrnB8Bn8HhciIlhY/0A0tPSpDaNwtyVnoro2Dj5u8/l0oBcFAEV7+2D1WKDxebgADj4fF7YHZrX1O1yycBsBfDkfLcHNhvbV3JgHNMjrfCDcTOtSakRgLnT0hEVq4BfZttsBdoUC5uOnnNKDpkP8w+hwDlhMBSKVmcfsIm8zWywF3qbcHMlZ8Cmv8M/sekIS9SyGHyZCljLzdCkuhAoC2BT7kWSy6FL/4Ixwn85JTJcD5KC+enyqunaQja9ybZsf6fBVzCeOVeuOifkb6EBWySwlgkuzhVan4vPUTTrrzBA2L4zOkZEMBgpECmyZgK2PLX1J2DjHDY2+p5DfwAAIABJREFUHVFdIvM6h00TtmpGgQP0dKoKApWQYgl4tXRCr4eFcgh4g7BGxcAT0LzDTivTFb1wuTxISIiD2+1GVJQDAb8fVgKrIBDwumElCJP20xakJiUhvmRJbYXFg6dn0gpSjGya+D0e+Hw+AWBscFKyVCl5Lj+8Wjqk3wunLQoetxtOuxOwWuFze+H3+xEVGy/gLyomGsFgUN4zCAtOJZ1CmZKlhBfT0tIQR4CpH7xOgKF+nDp1CqX4nRH+zeYqvC+vZwRR/Tj1FNCkpCSU1N/39OnTKFGihNwlNTUV0dHRAkr5ffzhf/Ne/G6XyyWfM6LIf/PH6/XKb6vVKk1dYkOA9FwUKeYz/ZspkBeFwX1rczpx/PgJuD0elChRBnHxsUjRa1ALn0NfGAprxkJyShISExIRoHwKWmVvsS5YzAarpshSUtJEvingkJLCyL7mnPJ53bInLVYrTiclSWq3yD6J9nvgcDK7ICCfG4/0dI/IM5XS7dHTznnOqVPJKF0qMVQTnCkVsxo4frcLNspWqw3ffvstWrRoJY/I9HCb4euy1BCpsQvSNKXwbf0jvVtI/pNCui7w+3xZnG98/6DNiehowOsLIhj0ItrBJ9UgrN/HbIoAYmOi5U+iHqyA35MOG7PrRVdESWfhmBjNAaiOM6iSLOf5/Rmw26xIOp2MkiUo36347bdtKF+usqyj02mTr2FJgMNhgc8f0ByONovIYofuXCwMFxb3tUrnUI8onSQ6KmiBxWZBSmoGSsTHIDUtFXZYERNHege4cKJHxVqzWJGRkYGYmDhZnaSUdCQmxCLgccFhtwn/aXqutHzu8gbglLXUjoy0DMTFxcDv8cLupF1AWyDTVZHhykBMdAx8PkVfB/bs2YOyZVkfn45SpcrAbs9MjyVfOKOKPwqjdPDhw4eFdqVLlw7jH7/oZzqqjTaERqvMv2l2kcaj6jP+t9HO4H9zXYw8pXQ8r+f3k/doi/C/6RAnHexO1YMzK+D2ulzSefvooUOw2B1iMwWDmpyy2q3Cy1FGIVEQRswjYKM85btZrU6xexIT4nUQEIDLnS52j1YiY5X3o63FIICywdJ0/kk+nS40SEig7M0EEqQd6Z+YmIgTJ06IXaQFD7h3vbJGyr7j98fHa6U3PPhc27ZtQ+XKlcVOI825BufC3lZ8w/ejXUg6paSkiGxye3xwOu3w+AFuKR7u9AzY7BY4GGCxBOFOT0dUTBzS0zMQExsLdpRPS3chOjYaHq8PMQ4rTiWdQKmSZYRGDke0yLuMdMrUzHTzDJdbZKzGuyp7LSgju6wWYgFa1BYw24/rw3Xkcx45cgR16tTR+d4Nm9Uh+5jyWa+IKgjXqZWTEBOz+VKSXShZQsMUHkIVlnLZ2DMjA1EGOUGZ5/UEEeWMQlJSKkqWisfRYwdRvlx5jX5ur75Ps8qWjAzt/SncGLQiz0THReV/DlvhAZuaUcAIF6NV2iFiWlxwHgQzUmGxW3Fw/z7MeGkOjpxMQlRcoihKtvG/4447EBenCaOT/Mxplw2RnHQaiQQnlgCST56Cw2ETphEl4PMBBFaGORCU4dxc8GtCy+KwwpvhwfHjx/HOO++gXMUKaNSoMV6ZNw+9e/dGm8taIDX1OOLjCbSU8LeDRmLSySSUKV8p+1wjAWucDRcQRkvTNy83xJw5c4Qh+/fvjzJltDTPcFDEOXLly2uLa1SA/PfXX3+N1atXo3Pnzrj88st18KrRhcqM70Sh8eeff2Lv3r3o1KmTfEbG5kakgOE9eVAgkxbq+/n+v/32G8aOHSvnGRVAITjevNSkQIEpkBfAxpvPnT0bq9d+gITERHTv3hs3de8mcX2X24O4qMy61gI/SIEv1MCP1+fWlZUDTkc0Nm/ejBUrVqFnz56oVauWGAE8fvnlV7z7znJ07NgR7du3QVp6BuJinSIomVHwxx9/iJz666+/xLlEGXDfiBFIPn0a48ePF+XVqlUr3HrrrShTtqwI/uemzcTX325CkyZN8PDDY6TZUmqaGwlxUXC5fYiN0tLHcwJsNHzfeestLF/1HpJOn8Y119yA4ffcLfT1+cXHFpLnch8RkyoqUjSATZE/Q3dcSWYFDdP0dKxbtw7ff/+9yC0elP+pKSmgATxv/mvoeNW1aNuuFWhfuD1upKcm4ZP1H2PF8pWiG0ollMH+/QcxcMAg3HDjNdjy8094480FOJ10FHf0uxMXN22NmNh4/O9/H2PZsmUhut9++6154gpjhC0lNRULX30dS5YsxXm16+Oxxx5D7do1NcyiDgvlvmYo/RNksAIcpM3vv/+OgQMHiv6iUfXRx+vxxuIlqFS5CrreeANaNrtEImbJJ0/IqB46KzZs2IAVK1bIXh0weAhaX9ZOeGvn7v2YPm0qXCnHcevNfXB5R+oyK7Zu/QOvvf4mdu7egz59+qB9+/YoXTpB/ML0YVj4H8KEmZY+wRp1ozLYaXB/8smnePHFFwWwjRs3TuwMHn6fdh/unZjYwtUv5oVBaJgR8Cpn7RdffCHdrW+77TYZO0QQ9tRTT2HHjh1Cr5tuuglXX321xv86aON/f/fdd2JfEIBw/7dp00bOOXbsmOwN/r1FixayPjy4Z9auXSsyhfKme/fu4ug12iMenxcOu0PLk/IFxBDm2KQg6Pi1ibH+/vvvY+bMmbA5o/DYhAm47LJ2oTmYXp8f0UpA5IUYkc7JBbB5vB7hnxXLV4ndYrE4MHr0aNSqeR7SM1JRujSBUxBfbtyIVatWIfl0Ki644ALce++9spfp1HnllVfEGUV7adDAAfIUO3bsxerV7+HLjZ/jsstaC00JtmhHaYCBJqZPQI4ReNGm4ppy3bg3ODN4wYIFYp+NGDFCZLYCdsnJySHZX1DyFMV1GtC1huxB5fD/4MP/YenSdxCXkCh7sGXLZrDqdaHHDh9CuYoV8de2bXjhhRdwMuk0SpQsjcaNL0G//nchOTUN8+a/gh1//oIOHS5Hz569EBebADoi58yei+3bd6BRo0bo2rUrqlWrqL0GAzp+Bgws8Po8wnv8I+U2AZB2aMJy7doPMXfuXKHrww8/jM6dr9L8azq/nD6dhsQScTnFZ/JItgDS0pMRFxuHQ4eO48MPPsaXX34t48SGDBmCIDyIjrbj6LEDgkeof5cufRdbf/0DVSrXxKhR96NceTrpfJg4aSJ++OEHtGjeCn379kXlylWFP5YsWYI1a9agbt36wrdlSpcSZy51gssLBBz5HJxdlIAtaNEaciiya3KVACpDnnDzF1/g8iuugSsI1KhdEzt27kVsQklMnDhRXjKxRIIYCAEOy+amcFrFS2KxaCg8dIjBwMhcEDanlkUrf5K/cTNp53rcXjijHNi9a58IrJatWuOytu0xaNAgPPP8Cxgy6HayC/zedLmOTG2zRUmKJZhiSeYJBHD08DGUr1xBc+rpDsOkpJOyGRmd5KamIOzVq5d4fxYvXiwLzE3NCNehQ4fkN4V2eKSNyoXn8fyvvvpK6HDjjTdi0qRJ4uUJB3UHDhwQAU/BQUFKoaI8QYo+vIYgToFG/v3+++/H66+/DiqM6tWry/OWK1cuj4xtnmZSoOgpkBfA9v6qVZg6dSqOn0rCiZMncemlLTH6wQdxaYsWEgE62xE2yikaODa64wD8+utveO6550QRLly4UBxD6u98j7eWvC0KcNCgO0WBBfxeBIN+iRy9MneuGJfXXHONALNq1aqhQ4cOcj8aBg0bNsTGjRvFMOAIlFdfX4SFi97FxZc0xY8//ohevXrgnruHgN7MxFhGjjyIi3GG1dlmjbB9ueFTTJ48GYeOHsOppCRUqFAFTz71FNpefrkoFQX0iivC5krPQLTuyXZlZP1vGqnDhg0T+UbAUL1GDXGQ0RlFGo4bPxEjH3wUd997DypXSIDHx/R4L776aiM+XvcRypQphw0ff441az/A24uXonnzZhhx31B4mKJv9eHYyROYPutV1KnbEIMHDxZZSjlNGUudxDWgcXHmw4NAwCee39lz5sj6JiUlY/++w2jXrh3mzn1F1xP0Wmtp+MwmiY4+m46G/O3ln376CTfccIPQ5vPPP0eFChUEDLzw4jSUKldBHAwVypfDuEceRtvLWupD74PY9stPGDlyJIIWG0qWKo3ktHSMeWQ8Gl10MQYNHoJTJ0+gYpl47Nz+F8aOG4/mLVph3LjHseXX31C6bDkcPHhYQO+1114pGE2Ab8AnOjjg9WhZN1lzrcBIyvLlyzF//qti7O3bt08A0Lhxj6F+/bo4dTIFpUolCAHE95Db8uaPVBHPVjqc/DxmzBihFx0RDRo0ED6eN28emjVrJnbE7t27xTlDpy0PyhfaBVOmTJHPaRPQ6Ttq1Chcf/31Qt9vvvkG9erVE9BH8EZD+aWXXhKQQuOTnw8fPlxsC6M9YZS/pC9pwQhLdCwjAQF8+vHHQn8Cj63b/sANN94o61OzVi3ExGu2WqHlby6AjdGPm2++GTu27xIwSwBGsFu3Tn3Q3j9x8ghiYpwYO3acyMaaNWtJZHXI4GHiOH/44XECdqtUria/7733Ptx+++2YPHkK1q37AC1bNcP3338nf6ORrmSAynKSDCs9skn60+5SUWbuC9Jn586dsm5t27bF0KFDBbQxghVuuxUBK+X7Fso2VSBSOWAIbidOehIVKlSGLxBAxfLlMGLEvbikyYWS9ZF04jhKlimFKU89hRdfnIZu3XugXv2GqFfvfFzR8Uo8PukJLF+xDJe1aoIff/wBAwYMxO233YEpU57H6vfWoEWLlti8+UcMGDAAd93VX7PJZa9p6ZBuj0sHaZZQdI3AjUH5TZs2YcaMmdi1a5cEJqj3Ro0ajRtuuE4cLj4f14Tem3yTI+wCLYWemQH33fsAfv/tL9jtUbJu1LE9e3WFzRaEx5smPTTGPzYer7++CB2vuArfb/oZF198EZ559il8+91G0Rd0mPyx7S/hg5EjR+Gjjz7C7NmzxQ4/evQ4LrzwQox+4CFUq1ZJnuN0KuCI/9sBmx5Ts9ikFkBF2KTxiAJsrG4LBvHFhx9i0LBh6Nt/AO4adDf2HjyCm3r2Qd369fB/9q4DPKqy6Z5ssukk9N6kCkrvIioivUsJvYUOoRNagAABQgm9996b9F4FRUHpShFEeksvu9n2P2fuvsmSDz9UpPh/Xh8fks3d3XvfO++UM2dm9u3diSs/Xcf2bV8J5Sl9mrSoW7e2KJ0bN26gR/eucpNHDh0W1KhGjRo4+c230Lv74tr1X1CwQD58+WVN/HbzLnbu3CGGnQb3448/liCpbLny+KJaVTRt0gwNGzfBuPET0L1bGzhZDNDx+pz1+OH7szLPTe/iKoJZulRZWWw6C+5enoJmxcXFoFz5Mihbrpxcz/ffn5VrJApDBCx//vxYt25dEhWK5/B6iTQyICSCQ9SBQdyhQ4fkdypVImZUOJw5x4CMCNHhw4dFsdNAli9fHh999JF8dkBAgDhzFCoqGr6P0T03Iw0rDQEVDQWexit37tzyvrt37wpalS1bNrl2Kid+/7/HvyvwNlbgjwRs40NCZA+ULldeaIL58r2P8hUqIE/+AvBw17+6w/BKN64FP6TkuLu549LlSxgyeBi+/vprcdq3b98uThX3f2joRNmLcbEJ4qAxkNMQfitMiQZxxuiEcc+vX79ejBRBF+ouOpzc1yEhIahatarog+DgYLTv2AXZ33sfK9csQ+vWnXHh/I/iUKdL7SHeqE6LD+RIdqyeD9jWrlwhAdunn1cRihTX9/1ChVCmPLNWyRbxdQVsCjElLVIo3Xq90M+5BkSuCTDREFJ/MWDj36hvaSAPHTmOoSPGYkRwoJQk884I35mtRgHwyNbo3aOvBEjLlyzDt9+eRJ/ePbBg4WxkzZIOzVq0RMeufeHh6YNRo0ZhxowZyJUrl4B7fG6TJ098qXQoSiTpYZ07d8GF85dQr14D2KzOyJIlC+rXb2CnZxFYIwtF0WZef3bnpRf/B06gvWBQcf78eQH6NmzYIPZk6NChOHnqW8xfvBQ3bv4KN70zqn3+Gdz0TvaMohW/3bghz4+2+tCRY+jdfyBmzp4vQV7tuvWxcvkSfFy+OCpXqoh2HTqiZq266NYtAB38O6PBl43FFtL5pVPs5cGMnZZhs9nMMBkT4OrhId2fXdiQjLAJ5cfZVc6fN2+B2FA6znydzyRv3vfE4WNgws8yJpK+9Hqfg7KxBFwoYwy+CEBwn9KBY0addprABPc+2UahoaECIKgMLPUfQWb6F1x7Zsxo+z///HMBbqgXmImkX6HYOXyNeqNHjx6yjpRrAsn0U3hNUh7i7q5Rt+2dsSkOiQks/XCFITZGroMgL6/FYDLDN3VqycBnyZoVnt5abf/rDthu/XpL7uPzyl/Ink+f3s5OMlphMifASWeWZ0hGA30iJyedrOUnlT7DgAED0LhxM/GbJk+aiJo168rfFy9ejI4dOyNHjmyYMXMqGjSoJ3TITZs2JVFWqXtVGYqsiwNzib/z73wu9NXoY1LOCMjzmfC5vgt0SMftTYCevp4KNoOCgvDV9p3YsGEzrvx8DZ3822PChHHo5N/W3hHdClJi/f39Zf8Ejw5Blqw54O3tg5+v3kSjJn5o264VAvv1wBdVKyNTpiyYEjYd9es3QulS5TBjxlS0atVe1mn+/PnImDEdnHSkqNLqW2BMTJCAjbRKFxe9JGRMkvF1E6CT9pLAJbP5XPv69RuiWLEiiIlOkGyyp6ervJdMhb9+WBEbFyW+84D+Q9DoSz80atRU9mbp0qVRtFhBAVOdnMwIjwgXAODZs0hs3bIDwSPH4tChg9izdwf8O7YVMGv3rt3o1KmLMGxWrlwtIAv9fNquBQsWSfC2c8duFC1aGM+eRSF1Ot+3QIlkiMaiLicXCdYcAzZuZmNsJNyI2CQa8PWRI+jRuy+qVK+FchUr4fHTSIwZNx7Va9QUZGj06FF4+OCBbJrbN29hxIggCdaWLF2EVStWirLq1qUroqIjJL04cdJUHD91Fp988hlq16qB7NmzYsOa1bh58xepi/Px8hQEqmDhQmjfoSOKFi+OFs1boZ1/R/Tu008CNmeQ0pmIS+cvipKPjIiREQGREbEICRknRpc0A6KoxYsXx49nv0eWLJmwdOlS3Ll/D/4dO8tGZRDEiJrBF1O52bNnFzSGtIZVq1YJcl64cGFxuIoVKybUR9J6mKXjeUQiqHCIHnXo0EGUAJE20iaIOFAh8J5JS2GKmJ9FygiDUmbjmOZmdo9oEKkgRIiI9ty/fx+lSpXC/v37hWNN5I30EMcat78u8P++898V+Osr8EcCttUrVoijY3XS4ZNPP8WoUWORPUc2GQFCQ/LKlJy/fvkODZcssveoqDes3yT7mkDOnDlzxFli9mvdug2CxN69c18cSjpd7FQb/uwBMmbKKHW1zNAzGKHzxf1JBU+QhfqAAd6woCCMGD5cgB7qtUlTZqBKrQYIGj4Yw0aMx95du7B2zSq8914ueLg+30DpPwI20gUAfHvypOgRvbsHSpYqhUGDhqFI0aJSo2K1B30877UGbDabBh7Z67nCnz2TYJdUEjIQaPRJI6OupMPRrl07AaeOHT+Fzj36YejwvnIvDC+t1kSh5bnqXLBw0WIMGzQcy5atQJXPKmP0qJHYt3sH1m9cBTdXJwEPCxcthwwZs2LmzJkSjJQsWVKeGYOTlSuXv1Q6bDajBMbMas6YMROLFi6ROqpmfq0wfvwYJCba4OrqAAVLPZtF6P3/hIN0MoKNdJpIxaczRfptw4YNce78ReTKX0jsX51aNdChTQsYE+JkfA4sJpCnao6LQ2R0DLr37IU4owlLlq3Clu07MSlsKubNmYmSRQugWeMvka/A+yhQsDBmz56P0AmTUbV6TbRs2Vr2wbJlS5DG193+jO2NZfj5Uuep1cJTfoQho9MLIDJ48FC5LlLd6HTStkodk6dWl/T4cTgyZnq+nux1PA8CMaTYEayhDWZ27NKlSwJG0MY7HgyCqTPoWxCg4f3wvQQvWrRoIfRE6g36BGThEJhl1p7voc4gyEA/RAVqDEz4OdQfzDSuXr1aHGAVCIrrbNF8NlXDZDIY4SpDbE1Yvny5+CDcd9Vq1kKv3r2RM+d7oheoEFi3mc7XPvbory7eSzJsp745JaA0n2vBggWFksdsYZbMmexolAkWmxGxMfEiK2FhU7Fhw0ZMnzZT/J0GDRrLuoRNnoQePfrg1KlvMWnSJLRr2wEdO3VA8KghYPDC58OAjZlKrcb0+f1JHcQslapJpl9HR5/BIXVU7dq1JUPH7KYK1t6lHgHcv1I3xYJfO+Nq85ZtOHvmAq5c/RmfVqooAVvgQOpSrRPF1SuX5P6uXbuBTFmyIW++gpJh1bt6oELFSgjo1R0jgwagf/8+2LfvACaETkb37r3Qu1c/DBjQG316DxFbdeDgPmTOzJ4R/GZt/6qAjYKUYDBI/al26HDw4EH06tVHMrsMgJmVpr+rmhnyLKPRIgHgqwZsvJaVq1YioGc/FC1SUjKO9KVpDzw8WStngcmsBbt8bfPmbZJhO3b0FGrXrgW/Zo3QspWf7Mkli5dg7tz5wnxj7MB9SR1EoGTbtu3ix0wJm4YvvvgMBoMZeneXtxGwaRCNxZ5dU/tPDZ12siQCOotQGb47cQJfVK2NeLM9sHPSIXfe/JgcFoY6tWvj229PCXq8a/sO2VRt2rYSdG7QwAGisGrVrCnp8YYN6wuy1Klzdzx+Fou9+w4hV850GBI4Atu2bsK6tauRxscXvfsEwMPNHV26dsfUGdORJWt21KhZB7379Ue//gPRK6CDPWAzw2RIxA/nLsDNzVNSujQczGTx+6gAiXjPnTsby5cuxrp1a7Bq1QpBWBYtXYYZM2cLgkUnihuDRo7BpULXiAyNHTtWDAk/jxm7QYMGiTKlgqWCJvWJwRqDLLX56axRefB8prCJdDJoZABJA0QBovO3d+9eQYUZ3DK4I/pOZ5YIE7+TARsDQioWXhuVSsqmKH9V3/77vn9X4K+uwB8J2J49fiwKcPmq1bh3/z78/btIXVfe/HnFSfZ2f75ZxF+9lr/2PqsEat52tDkqOkpq2AjGdO/eUwIu1rExMx8fb5BMW4/uAQK4dOjQ5rkBzj9duSIOFSlPNBh0xJh1py5g5ocOMhE+gkF04Hr37o2ZcxagRn0/dO/VR/Y1X58/Zw6KfFgYxMh4KLfj9wK2p48eSaCyet16nDt/HmXLfoTQCRNQumxpoVR6emjUvdcWsFk1mhH1nArY+H0x0dESlNFY08Hdtm2brA0DNwJjzCSMGTcBVWs0QEjoSK0rMXtR2PhZ7FnshGrVasAFrti7b4/4CeNDxmLXjs2SYUufLjVatm2DHLkL44MiJQTI4toSzCJ1jMAXHV71bH9PPljDZrawoZUV4eERErCRbuXp4SP6PDBwELJlUzXLWqMLVcPw12Tuzb6LtELaMYKCdGoJKGTOnFkChB/PXcDQ4BBheERHhmPqpAkoXaqYNCJLjI2GK4Mjmw379+xF2NTpcNK7Yer02Th8/GuMHDUG8+fORrXPy6NNi+bw9PZBseKlsGXLdgSPCkGxEqUQGDjYjlCvgW8qT2kEoDU6Y5qMTWbYYMQFBqNRMtysK4+KjBEbvGbNOrGDvHbuFWZUWM8mzSqkPuzN1LCpp0UdQHkmeEvEnTaf4IA6uN8p69zztOv0JxSNjcAFgzkGE8ze0J9gwMb/ieKz3IH+ETNh9BmoJ5it59/ob9AvIWhE/cDPVX6J0r9s4OTm4izOL5u6sCbXw8MdCbGxonunT5+OR0+foWu3bpIBLfh+QcHo30TTkb379op8MXPKAGjjxq3yXL9s2BjuHnz2MfBmkxvohOEwaVKY9AIImzxNfDBm2OgvdencXe5lx45dEliFjp8Iv2ZNMCwoEFOmTJa9Tz1IMELVfDkykBS90ZEWyddWrlwpfhlprswIca25N+hfqWYyb3bHPv9tKQM1FUSytipw0BB82dAPzyIjsH7tagwbNhhDBvUXINFmZllNlNghGfvl6Y1jx08iZ848qPjxpxgXOhG9evWEX5NaWL58KZYuXY6hQ4YjMHAoBg8ahm7dOmH0qIki5ye+PoYsWTJKkxCnpJEqLCVgoxFnxMbFwdvLG6xXZA0i9+nq1WsliUN6K59fmzbtpDYxTWqt4Z5qIPVqa6sFj4uXLEbgwGH4smFTpEmTXnxtZqZJicyYMS2cnTVwc/6C+ZgzZz7Spc2EG9dvo0+f3qhW/XN07dZR4gPu26+27RAAgBROfg4DNtoWBrRM2owbGyoAgru7HglsN+H2BimRvAkqUEWFVC2mlYHXgjazKHBLXLQUwpKG8mmVaqhaoy7SZcosGSkaR73OGVu3bRZu/IN790XxNGrUUG4+aNgQ+b1kseJirGfPmSX1V37NW6HgByUxe84MxMeZENCjG04cPYxLF87BK5U3+vfujW9PnsKwEcMxa85c5MlXAJ9UroLOXbsjZOx4dOvaVgI2i8WAhw+eYtGixQh/Fo3rv9zEoYNHEBIyVhRhnTq1Ub5cOcydN0saIAwfPgyrV63A/gMHsH7TZpz65rQEXtywLDDmJs6TJ49sfDojfGAMnPg/FTIVB1Eiogc8h5uKCLoKrCgsdEhIl2CGjIi9xstfLOcRASZSQoGgQiaKwaCSARmRAFJBuNZMRdN5JD+eQs/X+Duzf45NTF5N6P99978r8NdW4I8EbPxkNgFasXoNFi9Zgp9/voH+AwYgcHDgcwHJX7uCV32XVTLorm4uUsP2LPwZ0qXNIFmIbt16CGLLfalQ2RMnTqLyZ1XE4QgKGixIdXxchDhHrGFjkMLGKjzGjB4t+5/ADqlJRMlJgyKIRKeZNMbuAX1RtV4TTJwYgtCJM2W/H9i7FwXzZ08KsF4WsKkVOHjwECZOmoTjx0+he48eCBnv/9AJAAAgAElEQVQfqnU4tJ/w2gI2JQQ2jdKmHAwGZ+xG59e0qQS8NPx8jfqYgBON9/DgMahe60sEh4xB1sxaXZJWRW3FuR/OonXrtujQpqM8C3dnPWbPmYnJE1l7sR4lSxRFmQrl8VGl6ihWooygn3RiaI8YHJPlwQyDp6eGSP/e4dh0hB3PmEH96qsd2LB+iwSaq1evQbVqVSXYYP2Np5er5my8cv3Fq8ruH3u/qnkh+McMD6l9zNAwSIiKjsVXe/Zj2/adGDygL2ZMmYyG9WvDlBAHVwn0kyvaf/j+BzRt0Qqt2nTAe/kLokuPXjhx/DBKFH4PFcqURMFCRVCnbgOMHTsBkyZPRaVPP0eD+lqjjEWLFwjV0t3dGVYzMwUm6F3ZRIGNCzxgsljsDQySu7RFREQJnY/BEZuOjRw5Cq1atdBq39mvzEXLiqbsDvrHVuWPn5Uyy8J1Y2BAEJZZAzJnCNQwIKaeoG9A8JbrzqyOqjMnSs/zaPdZk0b6I6nC1AMM5piFoo4gBYtZETqHtPn0JSjP9CEY+JHmp/SR2npkK5iNWl2lEwEUs1G6BCYmJMiNEiyZMn0Gfrl5E5MmTUXbdm0QFZuAVN4er50Sye+/d/+e1KAxgGKGjayi8eMmSIY0PiFKQCWL1Sa+VFRUjIDepL5yPXr37i900sCBAzF4cBAOHDgkPiUDtvIVymLGzEmiY+kXUd9Sr6hAjbqI/hTXSwHcyqejz6qeLUGkiRMnSsaNz5efRyaAWuc/Li2v50x1P/yXB++JdmvqtBm4dPGq1If/cOZb9OvXG316dYder5P9JXR9owF6N9JfXdCpU1ecOXMOnbt0x7QZc9CqVTMMH9oHvfp0x9kz5zEqOATt2nVER/8uCB45DP37jxB/fv/+vUifIbUE2AzYbDDLRGYr/7PopCZNAS4GgoTSu8EsckcaMDP7bdu2F7vJjrLMTrEZCJ/5y2uM/9uaWpFgiJV9xYBt1sx5aNGiKT7/vKbQlnft3qKtgTle9g/lKUeO3JgQGoYJoVPw9dcnEDI2GIGD+gmQsnzZcixatET28sSJk8WesDcFQZotW7YJULBxw2ZpOCZ+DTOFeIsBG9WzY4abzkJiQpwUhbKt/9fHj6I1Fz5kHNq06ygUBdbqMx26dNlSQSd6dOsqCAXpQeRzE12eP2+OUAgYDJUoWkx+jogMl4AtZ+4CWLBoMTzdnTF08HDJru3ZtQOZMqRH/wF98ejhE6ESjggehYqVPkWVL6qhiZ8fpkybBr9mTeFsS4SbmwuWLSdCECTGPWPGzLKpe/boJQh3QM+e+OyzTwTZmj17JmbMnIa1q1bjxKkTmDtvgaAB7Abn59dc6ANEa6holTANHTpYrpmZMGbIZs2aI+gXEURmC1nkTgeBCoComXSBS5dOBJSUBPKrGazxZ2Yc+XcGXXQMR44cLoJNGiQROCISZcuWF2PFe6AwakWQfSXK5wYqVOh9rfWqQ/G75j+8aKaJRjlJefxD/I3XowH//dS/bQUcZes/OxlasX71OjyNCBeF6ebuKYANi56JvkkHL7bqfquHFU+ePkKG9BnsmROdUPCY+WZ9Q3O/ZtC5OOPZswipbSOKzn3JzBsN+sP795Apczrc+OWq1LDkzZMfpUqVFkoFi+Enh00Qh6PSx58iNHQCevbsJcBMWNhEdOvZC9nzfoCRY8aDtX5Elo8dPSzoHZtDkvXI5XGcLZm0x2XhrTi0fz9OnzkrKxgRGS0AkcUKAZc8vDwcevD+XqfJV1t/Qa7ZPSBFBMOaNgYGzBr89PNlbP9qJ2JioyR7QKpMKk8vnPruLHK89z7GTZgoNBNjQqysJQHCJQsXYfrUaZgxYw6qV6sqhmndqlUYEzISkyaMQ/bsmdGlew/UbdgMpUqXF+CLOpo1yPyZwNqcObNeKlmJiXFwc3UVlJgBOgM2L69U+Pnna7h+7RfJ1jHTxgBBKKbsLM9RNdbkNtsv/ZK3fALtErPCZJTQhjFzQcf04KEjWLZqDcIjo9Hky/pYsnCBBGy3b/6CHFkz4eLF89i0YTO6dOsKq5ML6n/ZCJU+rSL1qKNCxmNwYH+UKfE+Ovq3R+NGTfHpZ1WkBmb0mHGoV7eBnF+hbDlMnRoqMulKpp45UTrZ6ZydZA3Z5p1HbGx8Uqt1Okg//XRVgGBmbnndrIEh4EEqahK16g0aMdVsjDadtpy2m/TG77/7Vvwc7r1xoePRtg3pvlogef/ePQmwIsKfCmBLih+7I/bsFYCq1WqIb9KqZXPJdNStW198JgZxZB/RuaTeYNDG4I6ULYIeji3vGYSwLph+CrO+iUZtlAD1AhsAHTp0AAy0vXxSITw8HDt27hb/ZNTo0VBtyl/PEio/xIrTp7+XrLrQtvVudsCmKBYvXig0zyzZMuLS5Ys4eOCQOM2sV+vauZs0ARk7drzoYNa9EURv2byV6E76RrVr1UGp0iUxKWwievcOwNOn4Zg+faoA7S8KtBw7upImR8bExYsXhb6n6LhsQkLKKQM2+oPvQtMRlS0kAMCfGQxxDZgRPHr0OMqVqyRU/ekzpiJwYD8Jwm5c/xl5872HGzeuYcvGTfio0icoW6Y8WrZqi+joeIwaPRZtWrdD4yYNMWxYP/j5NYaLiysmT5qKDh0644PCRYVl0LtXX+msyESMp6dqEmKFxZoIZ50T4hPi4emhAW2O+5eJCD530tIJtpCSXbJkafHjM2RIJ2wGZ9KFX830JNEzD+zfjwEDBqFduy6o36CR6AmCsAvmz9EYG9L63ySyVa58RaxcuQ7DhgUL1XH+vJlYu24lIsMjMGvObOkSTGCEPj5jFzZNIfvlyJFjWjOydRtRrMSHMCaY4eLhgkTbnwzYbt+9bnN21sPdzQt3fzVg/YpzaNykDoqUYR+OGDiBCKPGFX/RoTasI1rO85IQWXsgwFk63333Lb74opq0hx04cJD8Rc0YoyGgMSavm5QLOgwMTPjvtWs/y8/cEGGTJ0t2is7aBx8WRfHiJbFm7RqpI2CdyMKF8+GicxYk6vGTh+jWtYfQXKjMqtesgSpVqoqzNCYkRDaqOpgWHTUyWLJeNPgsGmQmjQqKdMJiRUtg6bJl0r6TDtmSpUuRNl1qdOnSSUN+ipSU1tDZs+USpCZ7tvRJnN2+/Xph5Ypl4pDlyJ4bjx49Qa+AfiJ4adKlloHhpG0waGN9BgWDgR2NJJUthZa0AAZsRMyYZSMffv36tYiMeCZrxPslnZSbskePACkM9vfvJEEgZystX7ECuXK9J9F+oUL5BWXU0aljUG2ywZMdzEg1AeksWic2uLoDTnptGLrDw+cz15B7rTWnY/2JOk2bO6VtRmUYUsoPURSOcHibx4uC0T9zPa/HYP2ZK/j/fK4Va1atFUVIxU8QhBQDIqikE78LBtEmDANthgzb7/v6psGcWXMloKTCbt2qlaYMbcDa9esxenSwOLAMRG7/egc9uvVEi+ZNUKVqefTr3xe3bz1C8WJl8cPZ82jeoikCB/dE/wG9ceTw18iRPQ8e3o9CixbNENDbH5PCJmP95t3IX7CwADVE5scEDxWBiIk1wMdbyw49H7DZ961dbL47fRp9+vaX99MhpLNCHcNAI8FoEEr52zk0p61Z4ya4fv0qdu1iDZu36BoGbNeuXkUjv2Zo2dofI0aPluzPwgXzpd4pS6YMEjAf2Ldf9F3xYsXlsy6d/1GCsBvXrwkIliFTRoyfOBVe3j5yz0SeaY8IDDL4oqylTv3fa3Ro1+jw0gmiU0i7QUeSzka+fAUQFhYmepDXrg7eg8zd+wek2RQ6T8CPQCTnTZGOT/CBtWG5cueR50EbOyhwgDiCQ4doWWHec8f2HWWcDu+VGbnAwEAUK15Sns+tX39B5kzppOZ8woSJAkp06tQN3393FiVLlsLln65g3py5Uqvl6+v5XFtwbiiNCqk1v0iefwRZc9aPsJZItbtXzBSeS9+B57+JTp1q1h5tIA8GunRImQ2vXr0q+vTsgdmz5yFvwYKo92UjuLl7SaMV2t8hA/tj5PAhKJAntwCutOXpM2TG/cdPMGR4MD799BP07d0Tp04eQ/p0GeVeqRvZvn7QoCFSHsE9TbCLlLJu3brINSTV8jmMmODrKpvKn5nVvnz5ouineANnUblJIwYGTgSNuVdev/61ik/HZ8l74zVQ1ugHMRPeuk07NPZrKutFEIz7jnVuZ05/J/ZhQug4Adk3b9og7CW+Tl+uF+t/Q0OxadMWYV3duPkL/Jo2x4CBfZLXx0vVVGm7lkEa94JWn2aVuZpkfXXu3FXqErl2zPzTT6XPxsDoXWnqpuauaftEm+dHf5K0/UwZs8BisSJnzhwYPSZYOtk2adoIXbp0Fj902JChOHbiOGrWrIVLF6+gRo06GB40EkOHDsPJU8eRL19uHD12CFOmTEWjL5tg4MAhOHjgMD78sAguX74scksKYOrU2vxFZtisNja9McFV7yZ0S16Tu7u2j7lmzHYyqKaOoQ7ms+bzJFtFZZy1GXuv6n3RfzXh0Z07AiDdexSOew+fINFsQcjoUahYoSz69emJDOlSY3DgQMxfuAjrN23FB8VK48rVGyhZvDgWz5uBWTOnYvOGjUiXMQPu3LknfSrY1JAZNuWbh0dECdON3UzTZ0wLC+dR653+fMD24PFtG4fhcXA2A7aNqy6gcZMa+LA0Lf0fD9h+z6grRUVDyMBD0fq4gdTBc6ggqMSYbSIaxNoQbgAGWlT2RD3ZYYnZJPKMWQ9CI83gjil/NQCaypC0DToeagNRQZM6wAYiNCykI5C+WLZ8OZndQteAc9emTgvDo3sPULTYh4iNihSjy2wfA7CMWbKiZatW2Lv3oMz88O/cRboTnTxxSCgKaVJnQlycAXneKyDXw5bj7h7O0hnsyNH9OH7siGzmfPkKSbize+cBoczce3BXut9wkxP9In2SD5ycWDoApDgQOaJSIOedQktUh8Efm5/069cHu3ftFOST61S7dh1Uq15d3DSuw+rV60Xgf719R7JyjRs3SZoDZ7E5Qe/uhETWh9vMcCNXl2MYJNq2DxnVecBiH4ju6Pw5BmxCF3BxkQG36nmTJqs6EonCk05L5qTB3cpYvuqWe1Vn8t+A7VVX8PW+n3uXFCLuC8o3HR7uFaXc32aXU012rEgwGeGhdwPnErk663Hm+7PYse0rAVYKF/lAO8tqw3dnTksdSYMv6+PjSp/g0cNHaFjPD00a18eAwC64ees6Zs9cisePolGiWHkE9OoCF7dYmC1GTAmbiR/P/owa1RqhRs1qyJzNC/cf/oaFi9fj9m/3RFcRUc+UIc2La8/+4zHZh35HxwpSzJph6hiimHSAuI9ZS/C6jxf2HLCvK/9ZPH+eZP3UHDad3gWmhASxE+vWb0CWnHnRqk0rfLV9lwQJY4JHyvUfPnRAqKMMjJmlUNS3/bt3ib6mY8BMT5269WVWy6lT30gmhnaHjATahz/SQZD6SzlmdIyYOSHyymGvfB60c3SQVBMDAmoKkX+bsvtnnqtyorieDLhYW0XHlb/zXskq4ZoT7KTNYYdCZjYIOvIcOi4MWukA0rbxfDpju3bt0AK8YYPxfsHCAjaymQAR6TPf/yDZFIIQ0oZfZjhp9kVrNEDHj0PntZmjPNTcMv5LKiT9CWYDaXfpNPKgw0/fwHHw8Z9Ziz97rqLSqeCGdpr7jYFPhvRpsXThfJFHi84VJpsOLm6e6NDRH15u7gjo2QVjhg1BjdrV8OM332L6zBnw8kmDZq3aokKlSnIply6cl4CNgAvLMvw7dJLnw+YazLhz7/A5sEumr28qPHkcgfTp00hCW+ZAOgQmKQe5E4Sgn8Hnxwwbs3VcSx5vcug7nyVr8Pic6csQcKc/yUZyJcuUxZAhgfj+zDnMnj1LAGQGln6NGyFjpvS4++tv2LN3F36+fEn2ZMsWLZAmQ3o8efAAa9etx6+/PUTmLNnEphQokOe5wfa8z+Raf6u9ti1ZAiKjInH627Pi06raQVX/+ibX57/JZMq2/uq6CFhRFvfsPiDrUuWLyihTppTIZteuneHfsT06tO+AH378QfTind/uCXDCOajZsmWRFvjbvtqCixd/RKfO/siXt4Dsa2/v1CIvLCkidZX+qrSxd3KcScwsm0lrqgOtSyvBCO5/tS/p59P/JVDLIJtyR52jdAB1J39+tW6cZphjouHi5YEfz57HslVrER6TgNr16qJJg7p49uQZAnp0Qe6c2TBh4mQ8un8P8xYvx6NnkTDBBQP69UXB3FlhMcYLqEDqZq48eaVkqUjR4gLiUTYY2/j4ppG1KFGqhDAtmFH0SuUpzdPWrL6DPh1noX07PxSvYIANt6B3doHFHAu9szZXGdZUgE0Pp9/u3SD7BHoXdzy8a8bWdVfg16wmPigFWJ2ioQORhpdn2P6oIlO8X8fp8Y6T41XGjZ9HoeIDI62PThuNAtEzblw+XDpwyljyfWo4Jf/G70mplNXmU52bTBbOz3FBdFwCfL01RCUqPAKp0/oKnyguOhpe3t5INBrh5KKHXoZR2xDNlq9ptanoOpilWNLF2RNGoxkebix3t7csc6KBiISPj51mYEyEs5OLdNmBTYeY6HiYLIlIa/8svs1xLXgfRG4YjNIIUcDVTBDt3GiZ4+Tj64O42DhBKtKm02arqaGNvF4OwVRgrmOAIsNx7Zcq28ZkgJOOw+bsbaAoWc6eErDxFXsHYLk/FbBReFhrog5mDXmdKWkFvBdZFvu5qo7j34Dtj+6c/+3z6AgS8KlTp47QdqgMHecMvo3VeT5g0/QHtw471EY+i0wOeLj5ZM4JxIFi9pv8/adPnuK7b84hTWov5CuYEZkzZQLgCdjInyPAYUW88b49y6NHbLQZ3l6a82oyx8HZlftSQy7Vwf1kMpMqyuGkNrjZW/P/5z5znJiJJOeOgQrXl7pXNT14nWv7soCNejgqPBy+adPKTEyhUlBvGQzQOZNS4gK9mx6XLv8sqHHDenWROXNGcdyo55P1kHa/1kSj6EmZaeXjKywHs8UmwRl/pl1icCcG1cvz5bVmNptkGpReZjaD3UIZJNJhSakHaYPUdb0rNS4ve75JXQXtHQ+VDVe2yjHTwllgBDg5M4sUff6NNoyylLLzHjsva2vAkQ5aDRIpjpKB1OmFRuoo2Hxd6+An/UDtf3J5LnhQ18R1Jo1QPQf6Alx3BtVqkP3rzxAlB/OKmkY7zvWgr2I0xINwsaxP6vTCZIlPZAAKRDyLwfp1K1G1UkXky5sTrh5ahlEUiZMLjFYIKGwxJcJNr0NMbAxSeZPRorP7EFpmmHqSdYAKHGBbdE9PD2mwyaYhHJadbLvV+ia3KOJ+YODHdSPYrTIcjkO9XyY/r/J3lfWjDPJnNfSZgT4Ht7//wYf4uFJFGeuhbXAtg6qyL+LKOFnx2+3byJkrhzgybGTFbAgXNCI8Fmkc/a+4eK2ngp409mcCNGiAgBawOc7c1L7QRcAHBrRcHyYQeDhmK1/l/v+O9zpm+pIaPKnNJd2WIQ1BeNBv3Lx5I/LkzS33o7o3PnjwSBIelC/Wh0rzD4e5aopTR5vFdWKTGBl0b38udCVNJqOsJZtCabPYjHDWuSXJpqPvy72pAAdmjJXcOdqlVw+KzTBFR0HPpmFOpOW7iD9ssgFs7BsfG4/vT59EZPgT1K5WA24+tL0a4+xheBwypPVC5OPHyJghLWxms9hM79QcpM19z72lLSqvUzXUUmVjXJaYeIChwJ8K2C799ENSwPbkgQ27ttxAi5b1JMNm1UXBmQ7EKwRsKrBScyx4EypgUgqcf6NQqSwZb5LnUClQUbCIlhuH6Lpqu6oMpFIcVNBcML5PbWp+Dl/j36ik+T3c+PwsUf7OjPB1iE0wwmw0wMfXGy4cmi1TuDW6n8lohJ6tUJ109nSyR1LwQrGLDH+EdGnTycaVwd2J2mA/GiI1KZ1zHHgwsHN1YRqY7XrtO8Qu0Aw4FXLJ66XwOt6HUvj8HJ5Lp0pDgK2wWdniVClZdZ1uSTU1zGyp9qfRMZrCljk0Jg40ADjDlSrJiZRIZth4E8yw6V3tAqrVsb0oYLPQuDpYVgqqaovLZ8Pn5OiYKAeNlBQ+/7ddg/Rvhu3vMAmv7zOUrnCUf9lLKdoUv74r+P1PVgEb9wUpkaK3TFq2OWm+mFlzyFzcGFhomQC+L8GUgLioBPx68y7KlCkKOMXay5C9YE50houzk2ZIXePw6PE9ZMpIZ8MD4U+IwFmQLiM/y4yYBCdpWmJMtEqGPl3aNHDVJzthz1PTHe8lOWBzXFvuWdKruYdf3SC+/Kn8kYCNxtDJ2Rmx0dFwc9VD7+EBGztLcv6WEwE3g+hE6pnsWTi3xwyLWSteZ3BBHcTfeZ/shudk11ekAjm7sGGBlp3RnAmnpADsj1BuNEqks9gTyiTXTuk7x/WjHCtZ/idQIR2fnKNz7hjkKACUQArtkZIdOq+k4jlmEPk+PgtFk9fWTHtNo4tqksqGAlw/V31ytMY4ndm05OBCayyjHRqNVc3M4s/8bPU9ypeg3Rd7Yx8doX2XIanN+csl9a+d4egsp9RhWnTBsUg2WGycQu0szuLDx+EwJRjg6eGCLGl8oaOZNxgB6YjrjOiYeHjamxNpOJAZjx4/QqaMBHx0drA2dRL9TfOD7Nk0m7bGvC7vVPY5bNBAVnWoDLBjsw31N8o0D+W7vW7QwfEZOTZwIZBPoCVdxkwwsGGKG5v5MPpgQwq7nhUAQAMEVEOnxHg2xCG4ZkNcdAy8fNKK30awnfvSzf35dv7Jz0+bE8nMkDQiSSqger6kw3Ht/vN5/zUZ+jvelfKZaplqVxgSNHo2bcqzZ0/E53z06AGyZc8iw6J5cHg5ARQeTADISBIGYGZmuJykttjN1cMe2NrlyKYBjq6ubCoCGXKu9iKBGqVbtc9LnoXI6+K1OiYm+D5l77n2fx8zwQxO6rYmxMHq7AadqwesOh0SrYDFYIKnux4Xz59FtiwZkSFjZi1LmGCCs5snuF15p1yh+OgITe/r9TCZzKLTaFcIEvG6Rd87OcvrJqsNaVJrpUJGhgXO71jA9iJhcxRkpfSp7Pkg+PB4Y/yX/zNwoQEgIqWGYFLAeD7//qKHp2h5joqFPzt+LxW4q32CvQpE4uLj4O3uKRxbnR3JtdpbTtM54HtoIFzd9DCYrCJ0NksC3OQ6jdKaVBNqQGTQjkBYrAZNCF01hWuxOMFiJmWQKHjyTB4qHFXf4Gj0Zb6Mw1wQjYNP3q+G/Dx5+kSEg2gIB/ZqxkuXhJI/hyQ6RCjMnCVYtHbYOpMNrjoT4GQBDPHixDjzfpz0SV1A1TppRkIzmFqGTUM5ZXOzkJkGl8rAodBVrT+vm+doKNbrHVr6RxTdvwHbH1mlt3sOQRfKC/e6Y/H3m8oC/d7dU3ZozAiWWMwaAOEMnQx3FoPjUKPErJvFZpXXWRvm4uoKFyedlszm4RRr757lLRm2xASthBS6OFisRCKZlffQ/FTqFe5VmGGBBwyJVrhJVy/7R9n/TTRZ4W4P3l6WYeNeVQ6tAtneRGDxRwK259sqJu9YDvnVe6Z6rlWS2Q5O8X6VfGh6374oNm0gLHWoi5s7DEa2d/d8Yat9NhZ4eZdI7XOTqOA2lSnSibzyexS7QM3Veru76c99uwo0VTdjvlsBqyoAVZ/oGJxwnzrqd9oH5YQlZ8eTm0swo8nnxQG8PIwGDqx1kiBN6lVc1EBurZ6IDiad5rg4o1wPz015PcrBp/3j39T383so62om1Z9bkb9+NteEMsFr5TWkSuUFQ0wU3L01O2u0iF8ngI49IQ9ncj6lVEH5E1qGjb7es/Ao+Hq7w10NURMfR2WYNNvKYFoDfrUNwC57PByd6JR3xGdNeVbX6ujsq3NTrvVfX5X//k4JwuyUOV4TfUCll/iXeKMZ7uywZD/UNqcO5vNNBk00WYuNjIC3rAcPnp2iN4MTpNOk0ZggWZ3kLL22JgTz2RFY9rwEMm5Jvs+74M+86FlS73AdeP1K5vlMtaZddh/MwUBERUUIfZYJBskq2mzwcPeSj46KipO/WS2QhoGaQSLNW8usubq6S0MatutnJ0cGZPwuD89kX49ATTL4otVC8r3q2hQDQv2eMitI35/717Hk5q/Jn1nmDYoR1rnCRt/cSfNsdQziEwzw8qSPbdGyG+x6ZM+waSkY6cqP8McPkDaDxmxL7oSiMt1aTKCsltJ4MbEJ0Lt5cCv/uQzb66ZEcnGpOBlEpKREsD6Lm0LxUVP+nQLG9ytqo6OScHTciLYwoHN86Fwkx9a4jigcP1eohl5e0mqZLYjtzCHNgbJn2MxUsG5ukH8dBvs9n23SAhWr1VkMCBUm97UK2AyGeOnaphDBRJMFrnpPGBK4eZyFlsBzHOmbKZE/Sanai3yV0VGK6PHjh0ifIW0S4qPN+NEUkVK8VCTSBYod2YhK2+ydylimZjcQjNOczESZ+aIZ5rgEuJBi4RCwiTwmNTGwZyFpPOxF9LxurcvU8xz336OeJPPD/9p2+zve9W/A9nes4uv7jJSyo0AAytmbCCj+251RdgxGA1w5A8pilnpY6g86CzYaRy8PxEXHag4lazxtGuLLgM0s2R4PuOic8OzpU2TIxDlSJoQ/NSB9+iyiLmQv6+O0QaNGCywmV7jpvaRJkLM+Dq5uzoiMtYoeI75ktoMv3KPGRAvcXBk+2u3If9xIcoaN+5fAGK9TGUFH/fr6nu7zXYWf/x779dmsMg+K1+Xs6gpjXCzcvDTnIT4mFh4+acTAGoxaZiYuOgrp0qVJGkegPtNm1e4xlbeXtrDC19GCAauNNDuddOejjaGj4Eir+m/3T4aBIwVcgWkKtEqigjs5PSevfF2oQ8/x/l7nSv+1z34RKMLrpsykrB0jG4Y2nHKU0qGnjaaz7ciiYbmA2E6bGal91RBrMkRMkkmVDHrF9UYAACAASURBVLNKeChqlQQTpBiRHeOkzVOz25yUlCrNLmsgidIVynFVDUn+2qr8uXelBJC5NkKf8vaELdEAJzoLTno8jYyBycqZVx7w0DuDiQxnmxWP79+WGnpbohGJFsDNywcRsQak8naXwM5mY+dMHcwWM0yJFvt66JLazqur5brSQU8CLxycdAW0vijwpc4Vp92+zmpdX3d2jd/DBkCUM8fvFrDdXrdIUIxroukrPVydmdGxIjYmKqlEhp/DTptpSKum72NOFH3MDDsnNrqQW2ofIq6ogY5PWAtaNCBao/Nph9ZsSi++JNeP16jW5F3JrjnqcZVlVkAS74F7KDbWgOiYSNGbmn+pBWHRMdHwSeUjgWl8nMGetU7OoLEGkv5igiEOPqm0EiGrleUwWoQiw+kzavuaiQkmOFTGk4CLxkrRatFUPZqjTee68nzuVcfX/z5A8fkMG1zcYNG5SF0ZTBbpPG+Ij4WHpxtsCdx7Zrh5pxZKpColkhwkmWmsvzUYhFvKa2b2l/KgSpP4kVIuZKcgE0x11uv+fA3b6246ooRbBSFK2VO58yE4zgWhMpVoPIXTT0Ej3Yf8YOXAKYolN65jqjwlvVJtHPU+Fejw9YioSNiszjDbrEjr6yOpXu5HznlxInIu1CZ5QVKZrGEjnZHzW5xd3UBgi3N47t+/AzdXb6T2TS+1abLp7XVfau5EeOQzpE6dFjopstQaekRHG+Hrq83zUPVpSmGKHNhrMNS18zy2q+WaaQWe3mCXOh5U1lxjby+Nuy6ZL6IFVmYCKXgJcHdQuDznWUQMbj18ig8LvydXZTGqgM0Km8EAJ3aIc3aTDJsj91ZsqHSU5H1yeCXRU729U5eGpJw6eVKapfA6NUqNNsn37p074hClz5AB8XFx8GRNzls8/g3Y3uLi/4mvTomyUU/weJsObxK912wRqp1sBwX4MEWtmvdolhE3b/4qToSrmwfcPd217o3C4qHyjhcjaUp0gc3qhkSDE/SuNrh5GmC2GBAZEYf0aXPAYmKTIBs8vM2IiYuA0eQmneW4x6lT06e1166ERyFtWt+kOUm/l2GjEeH+VBQyhajy895E0PaHMmzPyYkNj+7d05w4Ty9A7yk1bNIy3ykZL6duoQPPe2PzFDUA22ZKTKrrYV2yi94NBNGo++nQKjtFeXvZ0GxeVkJ8fFIQooA15VwoxzIlsKCCOL7/TTi9f2Kb/cepKmumKKNyz3YQlfKmMm+qxsSRwkwnjI1s2AxDDeBWjWy4NsxicP8yi8msBn/mSAS2WI+LTUCuXNmSr8dJC75UtjSZwadlVxzlVtlT2hlHUFABi47PJyX16lXW6vfeq5gz/5GBIR0SDMjuw+bijvSZMiV1ZKY2YaMiXSLp1Jq/EP7ooTB7suZ8TxxGeRZxsTAkxCQxbEgH1rKJHqIPVKmFj09qLathB2s1ZWUfQCxDyLU5iEqnOga46rp5DveHCnZVFu51rFnKz+QzVfvFMTMaLd2oNQDn4cPH0Dk5IVMmLdvBZg/0leg/0XFmkzZ5/fFjZMiYkU0a8Otvd2R2pre3h+A4ZDpStihPDBapr7UsuUYdTDn6SJvpl5zhE/q7i4ucq3yvN7E+/032kjKSdmaWesYCNDnpcPPmb8ieI6uUzXBv8x71rqTlu0iWjXqU89FIc6aGFeaBhzsSTQTBIqUHA7s9averlxo3DsCmv87+CapekjVsamxEokmTI1IyHYPx3wPx+brSp2q9Xx3wN8MSGwNnztp00uPJ0wgkmIFMWTKAT9RkNEmPCrb4T2K2OOkRk5CIGIMZ6dN4Qs+6XliEtUH975nKRwvgrZASJ14z9yBZaLSxBB3t+ADijSx5+JMZtr+rrf/vCYwKplTgxG5G7ADDTjJccBY2cmYIu2k5ohKkQbLNvTIYKQMu9X1s5cpi82LFiiFXrlxJ6J6jYlGoJwVDGWTOc2LXJQ7eHDh4ECqULYWIyAj4eqWSyFdxnUmJJDdV6NGCiDJ1qp6fDZHhD2SmmpenDzq074rs2TUjExUdB1+2MqVSlunu6nBGdLRB2hETJIqJiU1q+cyCdVW0yrOVQCpKAqfOswEL56xwBALb+BNhIjpCQ8dUPVEfUWxktpvNScokPpbBkabYOGOFymnewkW4fvcRuvbojg/yZEUinQ+299eshVaJas+wObYoEOfPIWCLT9DmxmizNDxx/fovmDY1TLpassOPCtgYrHEWDJ8DZxNlthexvlWF9opf/rabprzi5f8j3u6YcU7pMKTMyr/JG1LBRnhULNL6atQH1kV4+3hJDSwHflNB//rLL9i1d5/MesyYMSs+r1IFTZo1R5aMmWAyWmRGTWz8A3h7eSE6yoSwybMBqxtGjRkEkyUCT54+xPCg0dIl8ovP66N9h7Yo9GF2XLtxBStWbcOKlWuky5mMBkmTGj6ptBbJmh7Qjt8L2GholUFP2djoXahhMyXEazXEpDNFReHe3Tsyc/Knn35C6jRp0a5Td9SuV0+MIJusWBJJkXPHV9u2Yfv27dLqu3z58gjo2V264x45eABjx44V41n5i6ro1buvaMzNm7dKh0c6J2yYQZvk2EHv9+Qq5boqx0K1IU+JtDvSI9+krL7qdzneB51fygaHjX/33XcybJj6nE3BHINTrgU7O7PzKJ1D1qB/8sknQtGjzZ4wYbzYhoZf1keH9h3l9X37Dkl3x4R4ozRt6d+/v9Zlkz4TKWhJTrPWtMDFWZONF+kBlR1Mme17U3Q+XldK0OM5eqbNgmePHsjQ5T0HjyJbrjyoWac+mvg1RYbUXpIBYqwGqxGzpkzF0ePHZGB1gcJF0DdwKHLnyoYz353GooVzpfEFOxR279ZTgpRz5y5gypQpMoaB3TbZ1p+ONammyolm1kMDyDUwNeWh1kkrBUESpdQxG/eqcvWy978ow8vrovypLFui2YSvj5/Exo3rpZskxw5w0DsBbeoJdhg+f/68dDmkzLLL4eWLV8T/47y+Typ9Jl07ixQpJIrS4DCfVl2f0HAZuNm0gJjyptWxaQyjlFl20bnvyNgOFUS+CNw8sP+INPRr1rwpKlWqaA/29eJTMru2d99eabF/6+Zt6c7erVsAihT5AMeOnsTadatx/vxZfFSxvMgdu7tfuHBFhr9zHiVn0XHP58mTU9Y1mS1jRVx8DLwIuElopDXnUeCVSlSohIPYMYcaS/7+9+xhLcMWF/4UK9dtwo49+xEVn4hKn30K/zbtkPe97FL6ExcdAS8PL6kdevI0EouXr5Lz2rdtgwK5suD2L9eksy3nxeUtUFDscMlSZaSTMcfKsAlTocIfypiuPPkLaFl/V+e/VsN25/4v0tbfzdUT924bpa1/k6a1ZA6bk46F8Frd1cvmsP3exlOKXiHkfIB02rl5KECcrcY2mBwqxwBEIb2OVCh2VtOie0jXSDVvjL+zlTPb9KtWyqpOwNHZcIzElcPHuTubtmzG6FHj0LR5M6RLnUqCHZ2NBYJ2up/GL7R7PDpBXDhnyZhohourizhDd+9cR2f/DnB3S4XFi5drXFY7ikVFQvCFQz4TzUbonJyhc3ZHgsEED6FJagi7NA1xUuni5JWkUNI40pCx3SpHHHCwI2eOMBhy1rtI/QwNF+vjYuNi4ePljajoKPj6+CY5aXExsSLwUqthMoEc5TTpM8pU+mNnzmH9pk0oWSi3bB1jbCTc2OqXTVeokJy4eROgd/eQZgbaTCdVLE2yltY1hw5TbJwBXu5uuHHjhgwFbebXRLp6Pn3ySDJqEeHhqF+ntsxKmTt3rjaLSO+Kx4+fJo0aICqm0FquhKMcMPjnOqkCd4XMKFAgZecqVfBJJEd7doq7nlzPSGSewTgfMwuzNVqD9jObs/CIjCTSlvxe9YR43Zkyvv7W5y8zav/+/e2sgCMvPSkwcqBUqwK1BXPmyXDnNm3bwsXFHevWr0ef/gPQgb/rCKAY4e5pwq+3f8GcWcswc8ZC1KrREJu3rkSiORyDhwzEqZPfo12bbpg1Y6k4uMOGB2Dk6CAcO/EjOnfpLnqQzvC8uTOlgJ51HUT5VP+Rl9WwvZ0V/GOUyOiICPgQ6TabUad2LTGE1IHz5i/A/SeRWLJ8BcqULiG0SJvZJCyE7t26yGgUUvDozE6dMllGH7Rv01rmiDHTs+/gIcydtwDpM2SSxlZ0dDl4mEZ26NChaNas6UuX5X8BsFENVRSdkfqWM9n4P4FDtn6nnd+6dasAooo1Q5vFdaW+Z7DMkRYcHM2xN5yrxCG4HDWzb/8eBI8cLfLbpk0H6f5asEAh8RM4hLhr145JQ8c1Z432Uu2+tzvH86UC8oITVKaQDUdmTZsiAVufgUPwJCIay1etxbIVy/HJRxXh4eYklMiDe3egZ9duqFL1C5QoXQ6hk6eibceuaNeuLdq09MN7ubNLa/aZM2diwfxF4hv06dNPAF+OJaIN7t9/oMydZUaDtUUsBfH00ppK/NMPDngeMyoEDx49FFYPR0nQp+QICjrPrOPjmlA+2QW3/8ABGBw4RHyq5s1ayn7nuIB582YhOiZWAlMyhp4HrJLrLZ9fr3df/l7UuIW+JcdJDAocJvP6JkwcLwPYeTCbaLYkSnacPif3c8WPKknr+q5dewoIHzRsBB4+uo/q1atgxcplqFmjNoYPH44+fQaIT1+/XkMZu8VECuVbyZpGf9QozSrgfXvypwVsJw8fhH/Xnvj4syrIV6gIFi1dghZN/DBq5FB7rwb2dUiETeeEsBlzEBQ8Bh99WgVzZ89C/pyZMT1souiqXr16Yfmq1QJgTZwUhiVLlojOIwD41fadYnNoq5gRJhvEwPK5P1vD9roDNj50Kmse3BiMMnkDHH5NxUwhIKrJ6eLMLnFTMSIllY5z1DhImkgJb5xtPple5GyVrl27iuEOCAiQ1/l+oqKFCxdOQtvowHMu2+7duyX9WrFiRTmHiAJnJGXLkR2DBwXJ8MVUnh4wJiYgrW8aHD58ALu2fyVTyhlYcv5Izjx5RbDXrNmAq9euyfyPtq2bI1fWtKhWtQpc9d7Yu+8wblz/FYuXLkNUdCQqV/kM9evXRkxcNK5e+xkbNm2Wv1evURcNG/ghcyZf4ak7Gn0iSqpAWwUknERPVJgCwPsbM2aMrOHho0ewcfNW3Ll3F3Vq1Uanjv5INCTi0eMHOH78OJYvX448OXMLylGocGEkJMTiu2++lfkbURGRuHrrNh5GJ2LHnt3Int4L8VExSO3jgdjwJyKMZ388h3gz0KV7D9SqWQuHDh3Bvr27kTaNL6yJBpk9EtB/CAoUKoi4WCPWrV+L40eOCsK9Z88eNPVrjCmTwmCzmaWd/7Onj9GmZSvExsWgYf0GuHDxEho2boK69bS5WtzgzHyyKJ1zNzhEnYE4ZYgzjegw8J7oMPB5E9GgrJAiQeeMzgEDes5sIg2HWVquF50Dfg7XhLLDDCVli+DAqtVrZa4dFbbqjkfZZCaYg4+p7Dk/gzOGKJM8R9VKMLD7X3DY3p5Cfbe/+YUBm53/r0KRRMlmW3HsxNf4vEpVXL9+C1W+qIbyH1XElo1rERluQJq07pJh41DtzRv34NatB/Br3AYLF83Gzds/oIN/W1T+rBomTZwN/3YBuHP3NkLGBaJ/YB/kK1ASU6fNxODBg0U/bdq4ATlzZE2qZ3tZhu33gLg3tfIvpURK0wVnLVvp4oLLFy9I1oJBwI6duxA0ahxCxoeKI+bl6SaA0pw587Bg/lyxDdzvBG6oowkSzZ8zW2wCnbJmLVvJHLZ06TPKgN158+ZJ0EDnjrOe+NrLOkX+L+1/1aiA8kxgTUZUZMkic9f4Mx0z6mEerE+nDeCQY7JC+DodPTJp6A8w+7NixTLJohGhL16spDjZISGhEqR9UaWaZIaovxnkubPO3EWry9Yw1OQukW9KVv+u79Eodhroee7Md6B9b9KiDTZu3Y6mTZph/tIl6NC6GeLi4uHtokN8XCQunTuPCpU+RmRULD76pDIKflgcDRs2wLzZ09G+XStZW2bZfX3SiOyOGxcqWSP6LvyXWSNmkDNmIE3t+Vbuf9d9vY3PiYuNFoCY/hx9u8DAIahdp7YAuwzYmKFlxo0+Qb8B/XHl8s8yI5Ayxn0+acJkELynD0nfM2u2zL+TWf/nBmwqaaIauHBtTpw4ISDfN6e+FzCf2bKqVauIbyWdx2ERkJsBG4Pgvn36S/CbLx9nsTXCwAGD8GWjBujfv7cwPowGk/jkHJxN3zRo2DC0bdtB/DHKXeYsGRx6cFlhMhvtDU/eZsCrzWHj/X59+iw++6I6bt19KHPY8ufOg5nTp8DZySIdM5FoxvQZ0zF9zgLc+vUOyn/2BZYvXYKs6VKhQZ2aotPWrF+PMWNCRI5GBo/Grl27wDEn/H39hk0CnEyfNRtfVPksiaX3p+ewve6AzXETMzXNYIN0SDrAWjSvFTAzoGIgwU1GmiSjURrWtm3bioBQedNh5/uImBKlo/IfOXIkzpw5IwNSqbSYgeJBo05KjBoEy6wcDQgDRn42jTnFsl/fQDTkkMV0WtHkw3v30ahxQzx5+EAEkE4+FaFfi5aYNn06vv32DCp+/DEWL1uO6lUrY1TQAKHb6F280LadP8Imz0SaNGnh5eONb06fQlDQYOTOkwu9+vaGp6cX8uYpJDODevboJ4FA6lQ6mBITpQiZKf4XzT4iVZIT07l+DGIYgBE18e/UEcVLl0Gu9/LiyMFDaN2mJXp27yEp6WlTJsva/XTxshjP+XNnS0azZvUaKPzB+/ii8udYsGINnFNlwJIVK1GiUE6pY2Nr//07vxIhy5ApC86cu4A4gxHTps7Czz9fgX+HdihXqjjKlymJXXv2oWrthugzaDAmjBuPrVu34PPKlSWTtWHtGrRt1xrjRodALxxgCyKePUPzZs3w009X0LBefZw99yOi4hIwYuQoEXgaZg75ZKBFQaexJ6WDVNDp06eLgmWwRWeNCDufD9eLqXiiOjROPIfPi0qIVCgGfgzY6VDwPA7h5BoyGKM8BA0fKfJFo7l+3TrJglDJU6HzeXCMBGk/pPsEB49IEmeTSWuI4ystqf89/hdX4OUBm2bkTYZEWMGW0Z6YOHEK5sydj85du2FIYD97zRvw5NlNbN26GRHPjNi75yjy5fkAc+dNx7mLR9GseRP07NEXfXoPRe+eQ3Dy1AnMnD0WbTu0QsvW3TBs2FBMmz5baBlbt2xGgQJ5ERERjbRpfF5KiXzXAzbWnKk2/PExMdKMwtnNDTevXUPnLl1x9eYdbNq6DSVLFhen1NPNVehQM2dMkyHNDCxI5Zk0MVQAr+lTwmQQLHVh2w7+KFO2PHLmek8Gh5OpUaFCOZQpU06clCVLFr1UrP+/B2wpmSq016p7IB1AOmNcO+pl6m/Hpgu0Q2TOECAla4LnMCgjW4a6fc2aVYLAcxD8p59Ulr917txdAj8i9HTC+V1Er9Ol95WMkcZE0RqVvH2E/qXiobWaT0GP42tC6aJWYP0YO/jpXNF34GAsWroC8xcuQIsmDYT5oYcVkU8fwNvdAy7ubti0eRu69OiFdp26oUqVzxHQvTOGDQ2UTCcpkTeu3xQwfOTIUYL483/6VAcPHhaA0yeVtzQwcnV1tpd4pOiS+PJbesfOsOLU8WMiW90DemLYsOHiP7JMg7LHIKNbt27o07ev/G3r1q8wY/YsAXcbNWiI0HFjRCfTv6KfkC9/brk/MpsImCfXHf7zAzbel9pDpIhu2rQJsTEGAb1DJ4zDl182sDe/41B6s6wB15DrQkDl8uXL6NWrnyQ+mHEbMLAf+vYNkIDt5i+/CnDj59dSfPGRI4ajf/9B4oPv378fuXLnkDEeaqYda9ikq7LuxXTcNyNkWobNEh+LB08jkT13XixfswFDgoahcf2GmD51YlKGLTE6Fhs2b5KA7sy5i1LDtmTRQmRO44XypUsI8DR3wQIsWrRY1mz4iGCJc1jWRUrpvv0HZV9OmByG+vVqC/CSytf7zzcdeRMBG7NiFHwibUQtldPMzAmDJzX7hk4ygzZm4vj6+PHjJdPBGyUacPXqVfmZqBs3JWvW/P39xaknYkfDrHjN/E5mZYgS0NnndyjaC7+fGZozP5zFkcMnoNO7QK9zQlR0BJ4+fCyUI1JrmN2jwy71cXny4tHjx7h9+x6OnziBuQsWomTRQhg2qBfGjhkNvYsn6tVvgiGDR6JipUpInykDNm7egEqVKiCgd09UrVENvmnSYGzIJJjMOjRp3AKpfdjVLB6+PlrNCVPUpJcwGCPSy4GBMi/OyQkXLlxA7dq10bdvX/mfwemZsz9i5959wkfs17uPFBkPHjRQ1qh0yeJYsXwFTp/6RtahY4d2EvBOCZskRjZv7vfQqkMXPDJYsWDJUnyQNwuLQKBLjIfZGC9T240mC8ZOmITde/Zh/4FDsoFJ/5w7ezrq1ayKGnXqI9HZE1u+2okWzZohMdGA3Tt34euTJ9CudSsMDOyPTu394ZM6lQysNZkT0bplK0m5L1m0CI+ePEO9LxujcRM/MeJ8PnyevGcKOYP75s2bC2LIoIqpZgbc3BBEghjE817ZkIabg+cxmCXSRjkgNYIHAyty2SlvNF5UxKSP8D2bt2yToJyZMwZ3dCyIEPHZMzPHzBu/j8EfHToeWscsTdH8f3fY3ozi/Gd+y+8HbFozAbuwwGIywdnVHevWbUTr1u1RttxHWLVmHdKnSQt3V3ZwTYSbhxGxcdFINLigSePWsJr1OHJsF74+tRf+Hduho383BPQIRPCISTh67DCGBvVEQJ/uaNaiM7p1D8DixYsl+7xxw3qRWTWL7Z+eYbMYDdpcu+S+/Hjy4IHUsU2ZOg2duvfGtBnTkgSI9zt+/AQJ0Iic58+fX2xOr4AeojNWr1guA5UJ9LTz74jMWbKhQMFCwuDgZ3700UeicxioMNB4WeOR/+/737HDYcqxBPwbwTTKHYFUUqKod2ln6IyxtpvAGB1DOjQEvfg8aE9p27dt24IyZcrgi6qfS7OsSpUqYfr02fJ5n1T6FC1btpKAm+9Pk1ZrTqXVrthkHpYEb07vNq1P1SzyWh1rmlTAZkqIE3B5TOhkTJw0BXW+bIKly5chtZer1Lf7spmXIQYe3qlw9MB+9A8cgmdRsVi0fDWePHmMoYP6Y0rYBClBoP/08MFj1K1bF2FhU4XWyyCYoPX58xclq+Ll6ZE0H0sa9fyj4zUrzIYEAXgJGjCjkT1XbvFd8hd4X/Yx9z6DtrbtOogd/2rnLgFkKX8E/ek3zZk1W3xSvj9nruxCh/zPGql/bsDm2JRPNY5R7K3tX+0W/5CUyJYtmwtAog20Zx+GKFlX+uScs0Y57dt3oPhh1avVFP9uwIA+6N0nAMeOnpC93qxZK0kUhIwZi7CwKeJnsV41Z66sSbMuyVrg/tXGI7zdDJs1LhY60tz0Hjh85Dg6dOkBZ1c9Zk2djqpVPoOLsw2GuGi4u3vCmBCPeJMNfQYMwukfLuDEsaOIePgbOndoK0wOJlS279oteq9P3/7yO5MLlLW9+w5IImXk6DGoV6+OgDFEU9+5DJuqQaITTqSMgRKDL2a4eDBlykJROsR0ti9duoQjR46IQaXCYQBD2iSDGBpUCg8VHz+HNCAuDh3pY8eOCcWSB7+LTjwDHHLkaaB5UJDIW+bGZNDzy62bOH7sFDjVxcuhpmzWrOk4feqkCBqNEs/t1bcfRo0ejatXf4HO2RkHDh/BJx+VQdiEYIwOHonwZzGoWr0WhgeNQfESpVC2QnlYYUHevLnQxK8xTp3+FtOmz8TFC1dhhTNaNG8r2cE0HMECSGDKdSEthweDFWaRVMDBtD+RDQamDNYY0KVJmx6rNm6EzsUZQwYNxpUrV9Dcrwn69u6DcWNC0KmzP65e/kk2VK3qNfD08ROsX7ta1ipXvnyYMHEq5q/bgp17DiBv1lSydciZ37ZpPZYsWiAZtjsPHuHHcxewctUa3L33G0LHhmDRvDn45KNyaNGmPX57Eo0ZzBh07IQiRT/A4vlzcP78JTRqUB/NW/hhfMg4qQlMiImGKdEoqFaatL7YsHUbHt29g4JFSkjhPwMmbngaGP5MuiL59/yd60S6F50ABvKsnaAsURFzTRjA8+DzZoBN2aBjwM9jkEaEiE4AZYryxb+RYkpqBDtgEnnnZxOl4zksoG/durV8P+tdGAjTCeb3qUYE7Cjn6qoXLvK/x//mCkjAxiayDt0JtSkuKmBLbtWzeNESBI8KgZeXL8aNn4j6DevIrJekUhxdLOITYuBk80K9uk1leDYDtjv3fkLtOjXQuFFzjBgeij4BQ/H9mdPo298fcxfMQuUq9TF48CCMD50slL9dO3egaBFtP7DxURo2QPkvTUfe9Qyb1NJSp6sRK4YEQXBXrFyLjh3bIzRsBrx9vBERGSMDSel/jhgRjMmTJuD69euCGJcuXRqdO/kL5X7s6FFYuXKl6IladeuhWvWa8PFNIzaGzS6Y4Wdmh/v+3wzb8/s6OcOlE5opbTJp4qSbM2NGe0WgiwfBPepVBnTU1dTTZMQwKKNeZTC9efNGaUzg16wJypQuJ0FfcHCIZOrYCIL2msEfM8c+vhqoqSiRpGxJV7q3itC/XO+9LGAjLXLhvHkIHjsBWXLkxpTps1CmXAnpG+7qotljwIRz355GqzatpenIqLGhaNOhAzZu2orQsaMwZPAAySaT+pg5U1YBeoOCRkgAR0CTwOaTJ88EgOB8rNSpNVYIRwolz8N6+b28e2fYew3YrPj6+Anx1+KNiZJB515v2aqNBGmkPQcFDcWAAYG4cvWaZNxCxo7DR+UrYGpYKIJHjBFGEdeHI5LSp9da0T/fMOifG7ClnGvm2NOBARsB7kWLF6BBg3ri7zJgY9fcE1+fEF3LLG3XLt0FUP/tt/sS6IaOn4jhI4ahTZsW6NK1E747fUb8qX79eR51JwAAIABJREFUAuX8bl27wN+/i4Dm9Nmz58js0MnVSSiXqq3/25MrM2zxcXByd8X3p8+ifaeuuHL9FuYtXAD/Ni1hs9gkYBN7bp9/ajIDTVu0xs07D7B75w546Mzo4t9OAvxNW7di/vwFEpNMmTpdQAAmqmhvWHpD3z1oZLDsT9L3GazRU1iz+g76dJyF9u38ULyCATbcgt7ZBRZzLPTOidryWFMBNj2c3kSGTT0QBmZ0phnx86FTGTPLwZui0mcmjJkVosWktlHZENUjIsLAjlEshY+IACmOdMK5yRjYMWijMaCjz41GJ5sKi8460VM65ESaWFROPjM/mwHbtq074ebpAR8vd5jMJkQ+Dce58z8ga6aMUi9H1JCBELmnw4KCUKlSZbRr3x7NW7VG5UrlERI8CO1atUCmzLnQskUbDBw0HH7NWohBOn/lArJkyQCv1N5CufPw9Ma9B88wNiQU6TNkx4Z1a+HrqYMrOzNKW9qHuHXrlhhDBpq8X9WMhBxrImfcDDSMDCKXLV+JXQcPwid1anRo104C1mGDh2BY0BAUeC+v/Hvp3AX07dcbgX37S3vSkFGjxYiWLV0adRr74UEccODIUaT38URaLx2cLCa0bdkcu3dux87de7FkxSqc+PoUZs2ei+ioCAwdMgijRwShXq3q6Nw9AI+ijZi9YAm6du4k9V4L5s3B5cuX0KdnAHr07IKQ4NEwJsbJUO/EhHjUrlld7mlq2GT8fO06hgaHYMjQIKlHJCLBIIvBO2mIrB+kQWeASSeKz5RZWq4DnyuVCZ1UoovMTtIJk65jDRvKOVTWpJoS2eV6kkNMuhSDNqbp+d4tW7/Cjh07xMEgX5uGjxk20iv5DCl7PJ+IVLFiRYR2pbU1ZhdOK/T2uRpvT+n8+81vawX+aMB29NAR9OzVR4KKWbPmoUHD+oiONSEhNgGXL15CunReKF4yL0xmA+JjgUZftoSXR1qsW78Cv927gBYt/VC6VAX07xuEoKHjhVPfsnVdqWHzSZ0dQ4eNEFnnHjp29IigowQU2Njon55hI2UlIS5OGiZxVMmG9etEr1PXrd+wEVly5oWbpzt++uma6M8KZcvg7Nmz6OjfXkBB6hIGES1bNJPGDCGjgkWHsqaqZ+8+6NipC3LlziM2hLqBeoL/ErSROuds2iDn3zv+F/Ea6nkCqQRWCWLRBjPYJdhI+8rOkFxfgqb169cXR441xVxj6lPqaerowYMD5fyu3TqjmV8LCepIoyJIV/mzKvIcqIv5vNzc9RJcaJ2PpXWiNtfwHc+wvYwS+dXmjbKGrl6+mLNgMT6t/Ik4co/uPca5H79D5Qrl8OjhHQzs20+6RI4ZNwF+LdvAK3V63LhxHU0b1UfdOjVkjUiJ/LjiJ1IS0KVLN9SpU0dsGlkrZcuWx6xZM5K6/BDhNyYmwt393c5Q/nfdrgVscVGRmDQ5TIK0woU/xOBhQwVgJcBeu3Z96UZNkLdL927Sdp4sm6DhI5A1cxb069Mb40LGSqBCx9rLmzMYxUNOMSfxnxuwqTWkXyk0RGdnCTDoG+3dc1B03ZSpk9G9e1dhpJ08eQLvFyogZSmUHfpSY0PGi1xxzhqzZgE9eyP3ezkxbtxo9B/QV0YjUN+2atVOMnB9evcT/4r1/ky0ZM7i2JxNm/P29vevRom8d/MG2nfujqNff4NR4yYKtZaWMyEuGlcunYOXhysK5y8Id18fktDQvHU7PAqPlj4PpER27+wviQHGMJOmTJUM7+SwqWKTWapD4Gre/IXSqXTlmrXImTO7AP2cH2jTvYMBGx1tNbySdWlMs7KuioEbAywqFgoBm03QCScyys3H9zFgIp2CwRazY3TgaZBJV+OCUCgoEBQqKizSLdTBIIeZFAoNhZOONgMCGg8ajt/u3sGhg8fg7KrTOtnbrLhy4ZKgDb9cuyrBISkZFMSPP/0MI4ODpW3pBx9+iNt378HZlogdW9egUf26+ODDUhg2dASCR4fi5q3bcv0M2EJDQ1Dww/fl+p8+i0DW7Hnwzanv0Kp1R4wa2Q86+7BbhegoFFO1YFVtgWkEqdhZ98Y0P4WCtV/Xf/sNzno9MqRLj+HDg1C6eFHMnjMfi+fPg5e3B0wJRlT4qBzCJoSKUA0dNBjXrl1FpgwZceXmbbhlyI09Bw4irTdg4zw1nQUzp4ZhxrQpqFCxEm79ehsPnoQjbMo0xMfFCHI9PWwSKn/xKSqVrwiP9DmwYesObFy/TlK+7+XKAaPRgD3bd2Ds+NEI7DcALq7aULpnjx6iTasW8nzLly2D67/chE3vgYWLlsgzoYOkUFs+M24AFrVTVsjRp0PG4Jvd3vgzHQGiaqx/oyGnPDDQZ/aRqWgqYDoNfH50LugckFbLg3LIv/UM6C3fwcwaUTaiuqyhIGLMBiiUTz4TykvTpo3BOTe8NrZI5vG/6LC9rQDpXfve/x6wcVKSZuRnz5iF4SPHwGJ1QokSZZC/QCFUqVoTJYuVRLs2rVG9+qcYOaqfnH/zlwdo5tcOHxQqiQULZ0HvHo9582dh86btMCbo8PhhnAAxrds1wFc7NmNoUChy5c4rgAOd294B3aRbImVWNeF4sZw6Dup4eyv70qYjzDDYJyhfvXIFvQJ64vCREyhZoggKf/Ah3FOlFfCMDaKofyaMGys6YOSIINm/dE4IfIWMGSU6oW+vALEjzOIbTGbs3LVH5rAxOKBB5evMytGmFCpU8KUL8/99/6vZco4zpShrBFbpiLBGg04eQTPaaoJfDNzIFuF60+7x72SIkB3BTCb1N8Gw778/LRk6BmPz5i6QYHnQoGFC3cudK4/oZ6LVZcuWxP+xdxVgVpZN9Nzcu71LSKcgKCHdoZQoJdIhDUqndHd3iKRISoqEICpSogJS0t2w3Xdv/s+Z737LZQV2zV349/PxAXZvvt/7zsyZOXOGQ3rJbuDnYUJCoVXZU32F7WkbyF105ONOHSQTnyl7bqR7JQsyZ8uJNu3aIm/OXOjUsQ3GDBkEc1ykALaomGi8XeMdOHVGFClRBv369cX8OTOw/avNss8ZKyxc8Km0i7DKzGQ4k54E2L169UGLFs3EDyuzw14G5+VAZGgIPE0ews76eucOFClcVPZUl67dUL5CBXz11U7RHvD285c+9lEjR6PhB/Uwd94iLFn8GV7NkxuR4RFSnWQhQK+Id7tGESkq0cr1YgI2d+XsxOMZ+K3WrN6gqIgO6CuUSBZVunfvitYftpQWEVaFGCtlz5ZTRqT06NEHnTt3xLSps7Dtqy2wWuOE3kiVV8bgVEpn8sbby1fiNva1MWnDxzA5oMxCJD3YKQUSjtVKucvGIaj4evNG6QmNibehUfPWwrij6MhHnTugT69uyJo5I6aMnwjPAH88CgpDjz79ZXD94kULkTdbRmxct1rsGjHOrbv3JFb9ZOBgqS4y9mR8+fBRsFTWxowbI4Ij9BsygNuZCgGb+zww3hyKhrDiREPCIJqZNQIqfmFSAwlO6BQoDsFMHYEWNwt/zl4k9hkwC0dHwA3J1+Nh5IYhoFMv/o7vwwoNK3JE/jRgdD7fffcdwiMjUK1GbQT4+yDeYoenUScLeeH87zj28y+IjuawxSyo934DUGTi5Kkz+OXX48iYOYtUB01GLQq9lhu3r19BVIwV1avVgs2ukWrfhctXUK9BXRQqVAAmTw+cOX9espL8fdEixVGhUmWQhUmgyMyx6hAT89yZFeG6MHvOg0POP/8nsLlx8zb27f9RethqVa8h8qvpA5XBubt37hY5fQKOMqVLIkeOnLDExeDB/fsCXvx9fOEVkB7BcU7UfLc2TFrAy8jP48Dt69dw7NdfEBEZhUJF38T5C5fkPXkfDh7Yj0rlyyF/wfz4fu8+hMXYUadhfeg1wJ6938vzeN9uXruK4sWKihojy+uwWcXZ7v/he3EsJqMe12/eRr2GjYTaSYDKA84ZfXwcATmBmDrmgfeLDpz0JgZgvKhSyTXlXmF1lfeeYIrVNt5v7iuuE4E/m1/5Hrz/BLuk5fD7bP96p+xDZn2FeuOi+PB5LOWzsstsHek8dLTuPS1xcfHwesYMm5QzQmnv/F+tQHIqbDGRkfjtt1M4+ssxBKbLKHLaUdFxeKtaDeTKngvDhw1B0SKvoW//roiNjYKXZyA2rP8K2bLmRKnSxWE0xUOr1WDt2g24ezsYdd77AAUL5oNWb4XFZsHBI8fxw/6Dsv+rV6sCi8UuM1548X38fRSHmFpl/Z99r5QASXrYOLDS6URIUJD4gCtXL8PHywdhVPjSGdGmXQdhJrDytnjhIhQs+Bru3b0rtoE2g5nhbFmyynzNa5cuS/WeNqFazRrInSc/IqOUwcMEILS/b7/9tvRHi91K4nrZAZu776Ztpd8j64U2l4lTBni00ewxJnijr2WQx3vBnnKuP1sQ6MfYU8TnKz3AnlixYpn8vVjxoihRvJQ8RqfzEBbFwwdBqFOvLgq+ll8AWmycWdSH+XkYPLPKlvIBX1K74+m/d5f1/27PbtnTrxV6ExExZsTG21ChUkUE+vph8KB++Kjth8j3ak5s37IVPn6+iOesQY0ehYqVEp/EGOLH/ftw+tRZqabRBzLxHRiYXhIWvD+MlfhYxjDc00w6Gg16cA5bcvb4X/uW/8SzWEFLQorZRZmmGi97HdnPVrxUSRGGI92bMeCBg4el0lGxSmXZk9xD3IcMqI8cPITixYqhZo3qMjqClzLWJyaRAJz7LF3+XeUupO4mQKXC64Cd9D6VDeR0ugCpDy5fuYq9e/ahYqXyKFasqJzr1q1bon6DukKV5L+pon3p4hWJAasxxrXZRPyJKr2XLp3DO7VronChosJICwhIh9279+DG9VtSPCHF3MvLiKhoZcA5bQh7BLnvUj7hYgPi43DmzCl8+/1B+ASkF6l9xtpM+lcoVxrTpkyAxRyD6bNmgXvMYPLFoaO/4sLlG2jXpimsMkTciJ8OHZLiQelyZVG1ajXY7DZZY+ISakaUq1Ae9evVlyQhfU/6dIEIi7LDy0f35yiRj0LuOHkzdVoj7t2yYOv6c2jarBZeFxp1OPQa9kD89Tls7ipT7safB4KHhg5SlUl3P+LqYxMPb1U4to4E9R6zOVayourj+DwulBroqxUq91kUKjfZ5nDC5uREdyWgiY+LF1UYVVDCYbdLvxqv+DgKA5gEHceYmS0wyHMIcJTsi1YxLur1hCenHuXTD/bfdfhqhjqxefzD66rzoZ54oFZQvhgp15/K89yN09M+95O/f9pneHaAmPiT/ncGjxVdBgrcczxI6pwgHk4CMwYXVJ5k/xqDksRz3f4JF5T2Gi/PCiStEsn58jZRObTEW2D0IHjSiuS+RgcEPwrFT0cOCW26TNlSLlClE+fK2ZiKIABn4lgVxTi9B6xWp4j7sNoQb7UAWhNV75VTy346u/KpDHr2CSiWm1dqBWyKfXaltflB+UVdA2dtVs7refw7JrY4HoR9P5Y4C4xengnyyIeP/CRnuFaNGjLwNTQkRGiTCYGXE6LGa2BpQV5fA6vVJgq24RFR8PdXRC3Ui5RSJnSSEmX4u/b7RTkNqs9U+18U4MRKjf6J4PbEiROSEKtVq1YCO4H+WfXnfD6BGe0wVeP4fEt8nOtssJiqgZUBoQf1EZ/ssOT94+N5T+w2ZcxDyooW/N2755pnygqy3iS+2Mq+Fidw69otXDh/GuWLv4nMWTMqJ1g2m04q6HqTCRarEwaNEwYZKq4MF2aAriZ5ec/UCqmq3knfx8eQzs95WLw3KXm5xw6Pz5JbNctJGqxiB0JDwyWhqtXpEyTiY6Pj4e3tQWabPM5IW6IBYmPNMBr5OH5fDgvXS4WSMafVqsytNceb4enhI/Gnp6e3UrW1q8PZ8dS41GVpnzmX+D9fy6csoPIjZQ3JGtNpIGDdajHDy8OkIFIO6dRxrbQwm20weVJsxCFg5eeff5IkCvt4uZd8fWgblZEaVBjlWhr0OlisNhiNWhkjlemVLLKvIiJi5Pc+3l7K65r0CsVUw7NNOjPPrAOxcdHw8mRfasqKjkidy2YBdPTNjz9LZGQcfHw9sWHDGhQqXFAUxjno2wkDouNov4xK/M/vxqq1JR56D0WILjYmRhTomQTkxTjS5KkkTmPMcdIexDWIt2vFwP2pHrZfTxymVhA8TT4IfgDs3nYNrT+sj0Iluch/f3C2+wEgWueHDwwMFDUpbgB1arzanKv+jM5SdRL8kxuHN9t9WvtjPjsEtaogTVX4UYcl83150GUxYxWAJ8YNCmDh1lYDG/VPh90q1RleXt4ErXy8cqkghwOlA30902hx/7mVSv4buu8/94QB7y1BGyt63DvMSqqCA6RH/jHDlvz3THvk/8cKJDk4220ZzOZ4l9HWIt5iE2Va2iJWkAICFNvEPclqOulNinOMF3vJygVtGoMvVQVXHmvygtU1357OkQGKmkQlKORrmFyTs1MrYHsyOfTHfWOJj0+w2wGBgUoQ4pZIi46NkR5kro2slZ9CVbZalFExKmMhNDhM1s7HRxFhkaiYtAAGEhLsqkGeMu+LvarJ6e952QGbKhqm/qnuU/pQ9Wfcx+qeJRBzT46qd9Td79Imcz9Lxt/VL8SZY6x0ZsmSTX4UHhULP1+vhKoHbxUvjUgbEtXYhFkCJwH4i2pvHIiLDIenry/izDapnBlNBvn+IUERMn8tX64cIjpiiYwScTG9l69M21XgMuCw2mE06BLUpHkf1Mvd98mZsFoTfvdYrj7l1i5Z9tNFhyawUJI7nkJh1hl0iI4xw9/LhLCwaBFSYR6GgEGn1zzBhGGCi3v1MTvGibDwMAQG0J48LkaoxQDuTdXOptzqJPOdVWyr5KDkcgdsnC1McCq/UikhUnRzSYRqCNQACjbSX/Cc3rt3B6+9li/RB0hUUVR5fa6CRVhYhFQkjUYlAcDxmXw9AjqLxaEMyk7IzaeeOWyM5q3mWBg8CEr1iI22SEWQQIo07JiYCPgH+MBoVMCYQ4ZfKSx9AgEKA6n+RHCHy9+q90IdW8YELS8mG5TXccBqp/rxnwRsp38/JoDNw+iFoPtOfL3pElq2qo8ipf8ZwMYPp5RBPdxmWigf3r2Ckdi4qLtFrZCp/6bR4f8q6FIkSBXVKncHrT6ei8iAXAVsatDOn/n4+iPabIPFbpODzwNvi7dK5k9VA3y8a7WS0XY6dNB7PDaK/NsL6y+SaRNe5Ic9a1+J/XLNyOEe4/5R94i6Z9UMyYv8/dM++7+3AskJOEiJ9GaySKNkKOkUNJwjBSA0LBzeHpRBdzk5m83Vo6MVe6le7sEyaSfMEjOgYMKJr/O0LDUp3py1lNorbO7jD9S0OStpvKSa9pQrLDQUgelcSm5wwsZksUhEA3GxMVK90XGRXb6HST4TM8uui/dEgLHBQyqdDABJ0VGqFMqDoqNjk5T0l8/4722vVPHKT2O6qICMPpRrrSZRuTeZNKVfp93lPM7ELAX3yhzvfXhwCALSB8r5UC6tAGiV8sG9bbW6JR4cTmUGm5aVE84xM77AN8FVYaMf0holEfwgOBImL0/4e7kYPC6VyITGF3J6nFqERrGnzxsMRVSlYvVe8U+uP/c4q868J6rYhHqvEreppMRmS479VD9XZGQU/Pz9ZWOEhUfCL8BP9gnb49WevHiL9YlqPf06vy8rZ6q/V2b+6hAcEowM6TMgJCRM2AxMirmvH5+XOPZMiTVK8j2TAGyqGmMCYHM64Iy3KAqN9DEaF+JwM2SsSLLH7FHQI4mJZO4i953MYPQQM818id3BkVOK7SQjgfstLs4qoI+UP/ViVc5gVBkjBHLK2ADlStkKm8Nqhpb7Q0N/q4fDlQnRsmotZA+uBetlQLw1Hk4YYTQYlbZqwn03oOx+r5z0S6750rL3QD9jgd7wWOSHb8W84Z+qsJES6XRqhBJ592Y8Nq05g8ZNauONEoBDGwaDlmW9v06J5IfljVZL8QRvBFwMhnmDVePPP/kY/kzleKvGJYHz7TaAUs2G8OYzgOHzJaNsMiUMB3SvxvHxdCis7hHgCT3OyyehwhYbZYanlxEezNrJ5UBUZCR8/fwQER4Obx8/FwUDiLfTocchwN9TVuZld9pJGo1U/gB1UKlKGXFvoE/suNwra88De6n8K6d9vP9gBf5MwBEbGwcDQZZThzizGd5+PmI3tKLWFZUQ4Lp/bHUvUiyI/Zy81D1JG2pmgOLpI5S+dIEKpS88nMkpXyk+8ErtKpGkN0pm0g2ckQqpVGAUmo5UDTQaoTmmc41uUamTKmiNMzP77iHlMgb0HgbjE5Uem8UKZpu9vV2D7sXjGkTanPeD2XcCNgZpAoadTvET/++USFVNjv5aFcRKPFNM3bPu857c9zF/znWl7+Wlti9ERITB388ftvg4kWPn+fDw8E5IaDxxhFUw7bq/Op0WViuTtF4vsANWAFtkaCh8070Ch0aDmHgntHoNTDogJCQUmUTcyiozUjkWx+DN5I8ecTbSnpXIzG5ThhyrlXjGWARpiX2byhhSqL7aJ+bC/Qfm8g9vkWz7abfD6nDK/qBFi4qOhaePl6slRVHEVXw7k1RGifP43Slyo15MHKj9e2qCTGnFUdgNvNTkghqTpgZQm+R9SQKwqQkxDZMCdgcs8WYYWeUhcCDycgE29jM+VsbUJoBcvn+8hRRShdJHSj7tMZMEfI7NZpaxTZ4mF3PBLdNC8ObpqVSk1IIe7TmpuJIgS3GVVxviY6NEZRg2pRJoNHkKvZZAiksUG0sarYdS9Q4LgY9vehj0ZP8pBA2HzQFX0QyxUVHQexih1eiluKMytYhP7PJddbA5nYpv0ynsvj8tOnLv4Q2psBkNngLYNq89iyZN3/nHKJFUWeQwYl7uB4BKgRR7oGGhQqBqzNWAJPnZDfd+qsfbWwWJKp9b/Y17j9vZc+dx72GoNAr6eSrIlwZQpVqSjmNkECB9Fbo/UCLVx6cBtiTNSoo+IHHfI++vGhAy+GDvGi8GJZJNcvXQ/HF4Zop+jbQ3T2UrkJyAI479ET4+CA4OwZ27dwWwZcmaFRkzZQQzwl5GA+Lj4xIqaqdPn5bgi/0DFL5QL46WoMwyRZqoQMuLYCUoNALnL1wU5b0c2TNLEKNkBhnI2ODloWQwUyslktRzFQAkBm783A8fPBAxomLFiydQISMjIkRJMH2GV/BqvteQLkM6xJkfjzG4d+8BLl64IOvKKg8DuQzp0yN79qwC2C6dPy9Kte+8VwcarV76lNnTQ2DMHg6qFWbJkgmRkdHw83MBvGfsvZfd9qs+m+0FFy5ckBmWXFMGbbwvFAljsExhJvd+KNpcCkAQRB87dkwSpOxrY0DNwJg/v3jxPILuP0DZsqXhoQJpaPHrsROitsbeYtKFGRxyJpJUSl4ywBYbESbrcePuQ0TGxqNo8VLw8TESx4GaN/bYGBg99bBFx+DM72cRFhkDG2epZcwiSqmRYRG4c/umrC8p/e79ghRcozon9zMVO3nPeD953typkyllVpNjP6WUwayJVifjdWJi4lG6TGnEusaWWM3mBOoylWJv3LglsWSRIhzBw9+ZQLVw+nWuAStGFAujTsHDh0E4efIEsmbNKo9Xr8S6CSm1Psl632QANlZ2CNI0rGJLxVZR7Y6PjsaZi9ekGMH5cxkzKnOMCVI0WqfsKYo5sSc1Q/pXpDDi6xso4434/Nt37uLWrWt4NV8emf/Ham6mTFlw+vRZ3Lp5R84v15+0SNUBcf+xyEL6vnwuJlxS7JIalyRNOOMsPs6KsPBYOTPFShSHyZOjRIA4czR0Bj0MOvbVGhASGoGrV26haKE3YDI6BbDdun5dFOWz5siOLFmzyzdiLzpZCHfv3pe+XK4bV5++ijN8o2MB4tw/VWG7eeeykyVhk4e3iI6wwta02bsoXOqfo0Sq94MO+ffffxcpfkrOMlCmciMVzijnrw5AVvnDamlffb6S8VQyQ2pQzew0D5gK+FRqpArY+KeqbsXX5QwybiKKSyxbsRL7Dx7FgEEDkSd7TugNGngaDAgLC0VggJ9kfaOFOukrTZs2B4f9GUCVEgqVxMRa4OelNB+mXal3BR73TDwuv7v3Tz7tk3OvipplCjdlp95VTftkyQ046MgGDxuOk6dOQaMx4M1ixTBu4iRkypQRsZERktlkEMx5VpwXxECDqqWUPmcgzEGwHFFBhVwCOUoFc17ggUOHMWbcJIRHREo2jz9v0qjBEzfmRaiwEV2ySiDqY27n7dHDhzJzkgCW0tOsMlLZjWtE8EB12a7deqNeg/dcgYYVNosFy5Ytxd49u0VcgGvJoGzxpwvRrFlTzJw+HTt2bJfALXvO3Fj06TJYbQ4Z/7J///4EJVq+X3pS9ZK4/h9sPwHFmDFjRKl53LhxkmBlFYNz1QjGmECgEicHErvT8fg8zgcjcKCvJ9jjeBTKzlORk3PB2LRfpUolDBwyFJkyZ8a8eYuwafNmePn6iWgMZ2YVeqOAFApYOTVo9bDbqSZJirEdWg7OfmFvggO3rl6WQeHHT59DVJwFHzRpjtFjR4ExLpk9GQP84LTGYt6s2Vi1+gsZnP1qgTfQql0nGeOxa/s2rFm9SsAMFZRHjRolytq0JRytQLvC+8O5ohxMzksFJCkNTJJlP/mBnU7cun0Hg4cMkQrPZ0uWwFOEMBww6SlSEy9jOObNXSB2kDZz5szZoprNMT5ULCX1kcBsyJAhqFSxAg4f/llGTrC3irMWqWBKZWol0Oa+UijsqQHYPtcEJQOwUU3VyHkFbj1sQbfvYPeePZj/2QqhhOd9NTcGDVLmFHNdw8JD5NzyvLOo8uD+I1EzbdSomewxqpJ+sfpzXL58HpmzvIIZ02fJuh858os8597dB2KvOR6pcuXyckZVnQoRffEwpBrAFh4ShIB0mRH8MASDBo+UxOjqtWuQNVsmaLUOREWHw0f2G3CBg7VkUy/FAAAgAElEQVQ/XYqQ4EhMnTQRWbMG4NjPhzBp0iTcvHkbAenSoWnTZujyUVdJZnXv3lv8V2xcPLp164627VsnUO//UoXt/qObTq1WLxW2OzfM2LDqJBo3UQCbVvf3RUcY9NKI8yDR4NMBUy6dxoVBx+rVq8WpctYaDx2rHPyidArM0PHQqQCOQTSdgKp8xJ+ztEp5d3dRERoobg5mALlp1AZbyr1zYDaDIc6RuXHrtshz1nqnOoIfhsIcH4O8OXMIKtZqnPB2qbzwRjFrmzlrFuH+3n0YjMyZlHJ7GiUyqZAmZX//vCoZf0exEZU6wT2jZuVU+qT7mIWU/SZp757aViC5AcfyJUswauw4DBw0SGTLp02fjkFDh6Fzp/auHjOHzBHr1q2b0JpoCznPivPEOLiUgTFtHcdlMNHFsSaDBw9G9569EGu2oUbNWti4caMExPPnzpRlYkM+qT8JYg1/WLzUMYdNpeywb03YEC7AduL4cZEl56xF2nMGC+kzZMDwYcNkJAuVXM+cvYCzZy9hxaovkDt3ZqkqEqA+ehSKkOBHEnhw5ueuXTskqM2cORO6dOqAcuXKSGAyZvwEjBgxDq/mKyhBBkeQEBBz1iNnejZp0kSkqJ93vbBYIZmHicELx8lQqp9+lyMRODKFSVcmP3l/KO/PLDxBrzoHlXaV/paAi4N5mYwlMKHPJ7hj0EcZ8WKFi2DatCno1befzM3q2rUncuXOjQYfNJJ9z0Ruz57d5JxI4KkzwGKJkwy1ALUXXHRk2sTxMj9w8IgxEles3bAJU6dPQ4P3arpU6DgYOhj9evVGaHgYWrftgBJlyiN95uyy5n17dkf+fHlFtp/z3DjrieONGCiT2cRkOG0G9zvvBe0IE9iMq1L6Sq79fHjvngwc5hzcTJmyYc/evcibL68r/rLhUdBDCZj9/QPEZhKINWncDD169JL9Q6ESDmbnrF+e75EjR8msQFbZm7dogi1bNkkMwKQEK7+qerl7S01Kr9Uz3z8ZgI3y+Xr2+IrYiB1OixW7d+7CxMmT0bFrL1y5eh2RUeFo06a1rJ/S8+fAvfv3BPCyQrvks2VYtmwZJkyYIiM8Jk2cglOnf8PIkUMxZOggGcvB2L5v30/ETnC9mVhj8oDnPjCdb4KIoMIoMaQKWX9zTKR8X4qOrF+zAb37DERQSBCOHTuOEiWLSLXRYNRCrzfg7Lmz+GzJ51i5cjWyZsmFH77bA19vLSZNGC1jI1q1+hCHf/pZCHnDho+UeXSnTv2Ohg0bYvc3e+Hp6YVxEyYhW7YMsFgUpWiHBli79jb6dJqP9u2aoVh5M5y4DoNOD7stGgadRbn1Dl+pAmpIiSRgo+iICtgaNX5XREf+CcDmvtE4J4OGmjOwaNwJzgimWO1iwMHf82JGhKCKlElWOJgdqlOnDigZzEGanC3y3nvvyc8LFMgvWRNW7njYOKOLAQ0PI1+PfSA0VDRYzDpxuDIPJGdMvFbwdamwdfqoC345/BNOnjpOSQBcunRBZpcxWKIT5zyfqdNmuACbAXcfPsDAgUNQrVolaZl82Z12qjVWyfhg7n1oCn+aTbIKr9odzKkKWk/7XTLeJu0h/4crkNyAY9OGDQLQJkycCIPBE8NHjMDwUaPRqFFDWGJjhHbHWZIcHM+goVOnTmjcuLEkpxh80BG+9dZbMoS0T58+EiDTpk2eOg3FSpTBnDkz0at3f6nEbf9qGwoWyIfYOIvMh0ntFTZSItXRKar6Y0x0NJYuXYo5c+bIGjB5RwBLu81gn6B285YtmDRpGubMWYQdu/aieInXQEFJMttjYuOFF3rz1lXJnDdr3gjDhg7DzJlTsWrFSqxdu1qywjVqvYfatesLYGNQQQf77rvv4LXXCkoVaPXqVUnu6pfd9nM2JX22khw1yN7j3zkMl8nQFStWYMuWLbJ+w4YNk2G76sXKMmlVBNwECWTT8Pe1a9cWUHHo0AEUKlAQVatWRtVq1VG2XDnMmjUP3bp3R8vWLfHW2zWE6ktAw3mCIlEOKnjGwGRyVdZecMC2cM4s+X7zFy/DuUtXsXDxUkyfOQM136oICynTei1Cg+6hVbPmiIiKRJeuPVCqXEVkz5NfAPGAPr0weNAnAooZ9+TNm1fiFiYcaEsY55CKyjiK+5tzZdUrpZWQk2s/Dx84gBmz5+Cno0dRrFgpzF+wALnzKrNYI8IeIV2gP86dvyAA9c6du2I7+/TuJ/MUW7duJ/tt8qSJ6NjxI1y9ek1iz06duqBhwwaYOGmMJH/IXuD8XAK6FypZmwzARuohe3ppEx0cBWN3YO3qNejRqxdGjJss1PIsWTPhnXdqSnFFxiAYtIowCSCKmgP6D5SCy8aNW3Hq1Cm0b9cRffr2QpcuHdC3X2/8duKUJHDatu0old+JE8ZL8oWJNq5rvvzK/eKlAjblXykrOuK0xUOj1+L3U+cxatQ4XLl6W4Dlp58tRoWKVF7kAtsRER0pyb9Nm7/GgwfBKFG8LDas+wIZ0plQs0Zl+PsFYvO2bRg3diI+//xzfLp4qQzT5tzVb77ZhQULlwj2mD13IerWrS7g2UImJlUi/wxgu/vgulOvNwol8vb1OKxbeQKNGr+HN8tSuOnvV9jUm8TsKQ0GMyHMBDETx3I9L2bwGIjQ6DNwJhBTS9RcJBoh/p40FTpwlvY5oJNGaO7c2QLwVq9ei9GjRyYM1GZ2lrzkAwcOCNWFGVS+Dl+X2b6xY8di9569mLdwCdZv/BKb13+JBfNmYf68+WAz9KiRw+XzMohi1iHvq/nxYds22LB+M7Zv/wq7v/0eNapXTquwJRnSpD0gbQVezhVIbsAR9OABhgwfgQMHD4qiGSsJE6dMRfZsmRMqbEwusWpGWmPv3r0lQ067SLvFfzNTzD9Z6aADHDFiBEaPHYdqNWpj2rTJmDxlhtir3bt24vWC+REaFol0gX6pHrAllvVnpY2Juhs3buDBgwcCBghmmaRjsoXZSlKbGOR+u28/evbsj3UbNqN8hRKIiopF+gAvUCHToNNh6LBB2LVrF1Z9sRwF8r+GpcsW49MFCwWI5cyVHY2btkShQsUREJhRACHXj4nCdu3aCTicP38+MmRQ1Cifdb3sgI1+lGBr+/btcg9IzaVfrVu3rlREORZl9+7dkkilj27ZsmXCUjHwob8mu4b7mVU5UiIJGuh/SYl8u3IV1K5dC/kLvo4aNWtK0DR5yhQBcExc8D14r3NkzSSvq3FyqDEpwC6xkVQO2FQl4qftH858PfPbcakk3n4QjJCIaNR7vxEmT50ilEj2sOmcDhz/+RAG9OkrQgYeXr648yAI02bPl+B61LAhAthY9eDaMlFNkEb7wDVv3ry5JH1+/fVXsSeqeFFqENRIbD+prKeVFivyX5XhSXGxsbI+eg8Tbt2+jbCwKCz+7DNkyZ5DZk3qYIPdYYFOa5CKUKtWrYWuu2H9Rlmf2rXryvfv1LGL7Lldu3ZLAmLo0OFo1qwJRo4ahunTp0r1iLYiX758L9ZInyQAm92hCLIQfsVERMrAdIPJE30+7oplK1agfNUauHHzNgoXeQOjRo2QuDwqKuIJZsHPv/yMOu/VkzPesWNnHD78k1TQhg0fgo8/7oQePbvh+LHfxFd17twVffv2lfUmJXfr1q3yPwGbSsHlmAX2sKUGwEYwRtGjmTPm4fLl6zAYfWRQ+Jp1a1G6TDGZeUq15fCoCGEX3LkbhN27v0VwUIQANn9fHXJkz4gPW7fFjNmzsWjhZ2CSq1//gWLv8ud/Xf697asdYh+XrfgCNWtWEsCWQIn8M4Dt9r2rTp3OkAiw1UPRMoDOGMkJbX9LJVJVjqLxJvKkEWE5mhUz9QbSKbNfY+7cucJ1541nUMLqFrPKDGa4CVhi5euwikYgRse9atVKCWJIweDzOeCOvGMuLjMCBIcEdzyQLM/SsPG9SeUYOXoMtu/ci/GTJmL/t99hx86vsObzVXKTPurSSZxS9erV5bORk9r5oy74bPFyzFu0EHPmzMe779aAQZ1n+XLGpGnfKm0F0lbgGSuQXMD2w7596D9wECpXqSKiIz8eOIDJ06ajVs1qAtiY0STNj4CMPT/t27cX0MBgt2nTppg6dapkzUnnpm3cu3evADtW2Oq/3xjDhw/ByFHjsHPnTixfthTF3iysZDItdngaFbn71Co6QsBGkCaqjG4zpDgkmd9/wIABktFlMEXhC64HxQPWrF2Ldes2ol+/wZg1dx6aNKkr39NuVQRXgoMeon79ulLVWblyuTSWjxkzGls2fYnly5dKf9TH3Xsgf/5CyJf/dQlGCEZYpWBFgvTSZcuWJLn3X3bApg5iZqJ1x44d4osp5c+KDqmR9OWHDx+WJCsDa7Jl1Lmpav8vfT6zzWyDYNWUWXf61IMHf0TJEiVR/a0q0pNUoWJFoRstXLQI5StVRtu2bWUPEEhny5wREtA7OfDcDIOBCqKpv4ctKcC2deMGiYkaNW+N67fv4eKV61i0+FMUKfgqbDY7TJwHFRmCKxcuIm++V2U+XYcuXWHw8pPk9OqVyyVWYWKZNoIghRUm9hMyYCStl7aE7SHc3wTPKh2SsZba+5/kRv8XHpAcwLbxyy/F3rXt0BFLli7F+fOXsf/HH+HhqYw90YIy8jEy1NjhdMp3ZhKhaJFiqF69piTzGzZshFEjR2Ps2HFiZwcOHCR2hevEChtjzDVr1khVn8l5VpBTfe+aej+SUWF7ghLJU2SOx5BBg7F2/XosX70BDqcGQ4cNFgBLcCtDnS3KaA62iPCs3rmtzKxNnz4jvvvuB7Rt016AWu/e3TFy1HDs+/Z78V+DBw9Hly5dMHYM13uirCuTYa8VyJswJkGV9bdxkLYuJQe32xATGYbffz+DRQuXonfv/li3foskpwjYSInkWliscbDYrPD29EacxSGg9PKlG1i/dhX8ffVo3rSh4I5PP1uKpUuXY8qUqRg1eqwkSDw9fQWfHDv+G0aMGImBg4fi3XfrgHO0zaRF6v9khc0dsD3uYXtPANs/VWFTB2ATmNGQ0OnSAZASSUDHQ8XfEaRRoYUGbO3atWLgWVVjgzI3EkvZ5NPSOXAz0emWKFFMwBy59twYpM/w8QRvBGjccHQ0fP3ixYuLQ3733XfFCUyfOQtLV6zG3AXzsXfnbny77xvs2PYVoqMj0bpVC3HcpOCwxEtOatdu3TB79nxMmjYVixZ9hgb1a6dV2P4FQ572kmkr8CKsQHIAmyUuTqgQc+YvwJmzZ6HXm1C4SBF0/rgrevbsLnPYCNgIStj0zkCC9pCUMya0SPcmK4BAjjRIUspo6wjchgwbjhKlymHhwnlCiaSD2PftXryWX+nvoBqVt0mh/6ZmwMbPR9Am/aIuhVb1/terW1cG3JPuSaBAMEufsWPnTkyaNAVLln6O5StXoXLlMvKU6Mg4+Pl54sf9B9ClSyfxJa1bs+rjwPRpUzF39mxs3LhBQF+pMuXQqHEL5MtfAP369ZOAhNRT+g32EQrQS+J62QGbSptj0EafTOoYe3tY8WUzPStwDHBY3WEPOpOc7AGnUAH3L6tjrPYwucqKJXvY6Ke5p9k7VPSNQlJha9S0GWq98w4+/LA9Ro4ahQ+aNBU/TaVUnp+M6fyl50XPmjEHZzvZbxwHk4mDpJO6Syn3+6QA20cd20vy+fyVG/jlxCmUr1QVEyZNxIDe3ZRzG2+GzqjBLwcOomixN2HyC8QHjZrifnC4gOMxI4Zhwvixsp6k/jEmcrcXfAz3NNtFqB0gr5nojKXU6iQHsLVs0UIUYctWqIjbd+7g+vXb6NW7N7r26CmjODiHLs4cI9XfsmXKC9BihZFqkaToMlYkmGW82bt3X0nejx0zXpJgTMqsWLlEEgNst+G+ZDFA7MgzZgen1Fo9832TAdjY+2nQ6hSVSDhhjojEogULMW3GDBz8+YSoRBYomF962NjnR0DFyhzl60mnZO90mdLlJP729w/Er78elwpbv/590LVrZ7Rs1RyREdFSBGnfvrPst1kzZ8jfaS9oN/K+mtNtzAo/NEEhxwU8v0f4311vRSVy9IhhmDJ5Jpo1a4WTp85L0ahu/XoYNnwwsmZ9BdExETIbUafRISwyFu3adQKZpatWLIevjxbvvlNNEiE7du/BrJkzMWvWbHy6eInYPodDK9hj67bt6NevP5YsW4b33qspfW7sX/vTsv637l6RHjZSIinrv3H1aTRpqvSwQfP3KZE0WOoAOcom0zHSQBE4kRPPrCkpiwxEWLJmLxszdTx0/J8Ol8+ng+ACkKfMjBGdAkVJPvywlfybDbh06swekQbArB83Ct+LjoQHlgERHT459QyKNm/dhrkLPsPXu3Zi5ZJl2P71Vhz/+RfcunUDHzRsIIedPGgGUTlz5UGHTh2xZfN2fLFuLVasWIXGjeqlAbZ/90SlvXraCqTaFUgOYOOHX7p4sVAiZ8ycKT1sAz75RHra2rdviy1fbkChQq9Lppu9FKRt00axH4DBA+0fAwr+nnQzJrDKlSsnFTYCttt3H2LkqNFiG5mcWr9uLTyMOkRExsDfz/uFo0TSk6ljOLh2rBoQoFI4gbafPoLAioD1yE8/4/yFS/hs2XLxBQSs7du0RdasmUWcZMOGdeIDChd+Q5KD+3/4DmNHjRYgQOrj2AkT8cnAwciTN58k/egfChYsKFQeBr0EKerQ3WdtwlSMFf7RcyN0nmXLRDmO94EBL//N/kr6b9LQmCRVQRz9+ZkzZyQ5Swok+6no83lvmZwgiKtZszrKly6DcePGoE37DqhYqZL0GVWpWlUqbKx8MFtP/+7jaQQz8lSJFMqckyI1nJnn/UIDtrEjhwvziBTHG3fuY/qsuZg9dw7eqlQZiz+dhwbv1ISPtxF9e/ZCvQb1UaJ0OXzcozfKVnpLRIpaNm2MqlUqSZDMgJpVI/YHMoYiaKbtYPzCOIZxEEG0WjUl7Zd0uZS6kgPY1q5ZI1XWuw8eYvWaNSIoxB7gvv37Yu68+cifJ7fIpfM7ks5Ytmx5Ob+0owSrtJdsveF5JkOLc9dIPWc1jcqaM2dOl31GQMv2G+5tCuVxn3J9Uv2VBGCzWM0y6Nkq8yVZlWSyAzj47T50Js3+k6GifrHqi5UYO3a02L81a75AyVLFUbNGTez9dq/4o08GDJKqeoYMr4jiZuNGTeFhMojoyOAhA1HszRKStGGVivL2Y0aPkwQN7wP3YoaMAQmMOoUG75DznNIVNvawbd++TWT6Hz4MwY8HjordatOuLSZPmYCtWzciMJ0f6tdX1JeDw6KkNy88LAaL5s9D/nw50LVLBxEd4V5b+cUqxMTEYcrUqZgxY5bsMYrffLtvH44f/w3rvtyAHNmziCiYp7fpzwO2O/eviay/qhJJwNa4SR1F1l8fDr2GCPjvDc7mF1XpjzTWzJgRYNERE5lSyYiAig2fbGJmVpmqj8zK0RETXNHwM5NHPij7G9iMTEDHRkkaLr4+K2t83sqVK+Xv7IXIkyePUCNpzBjokBfPbAw3X0C69Nj29TeYPmum9LD9euwotny5EXfv3kaP7l2lV27M2LHYumULxk+YhExZMssGu3DlMmbMmC1yxGmy/qnepKV9wLQV+FdWIDmAzWG1iv0ZOWYsLly8KICtQMGC6N2vP7y9PVGpXFmptNGpMcPLQJj0bgIKBh78k3OEWF3j65AmTrBCCeVfjh1Hn34DERYeIZQMUlJq1nhbviszeByendpFR+w2SrQrg7ETLtdwUf6bgRYznrTpnF/324kTAtrY2/QoKAiDhw7D+w0/wLLlK8SH7Nm1G3ny5sK4MWNFIINMCrIyrPEWBIc8wsb1GyRAZhBY9e3qmDp9Bnx8vTFmjELDZ/WIgiMEGBy7kNT1sgM2JkvpW5lAYC8K/S/3IHuiSIc8d+6cgGEmSelTCZqZZKC/ZXWOvpvVCu5jAgiCYoJjBnObNn2JG1coDNMMAwYNRoaMGbFw4WfY9tVXeBQSKveBCV6K6HAfJwZsL4JKZFIVtqOHDsiZv37nAQyePihZpjyGjxyB29eZNK6LMUMGoXOX9vikdx9s2sJxBwEoU6Eyxk2eLiBj/769mDtnltgGVozYAsIqG9eXdDSeE9oGAm4CZgLr1KAQKTbKdbgYviu1nz/2sHEWrjxWq8NHH3+M6GgzZs+Zg3ibXYBpm5YtMHjwQAwbNkL2U7p0GWR2HxMJFStWlNYYVtrY28fE2PjxE1G8+JtC7eUaXblyTart3JOsDqvDs/meyZ8FnJSV+Bd/n4wKG9/dYbNBJxOeFcBmj4nFJNLAN2yB0cMTb71dBSNGDBOw1aNHN9St956sCdlpXMtZM+dIexBFNKg+vHPHHsxfMBd3795EwddfQ/duPWW9f/31N/Fbt2/dlSQj+wUrVqwgs8pUph0ZJazg6eXzpKzoiNUcA4PJKAqM/CxzZi0QBflv9u6Bh0mP1q2by59Lly8TOxcewREnE/D72UuYP2c2Xi+YB7+fPilglUwQbz9f9O7VF81aNBf1eiYcqXpP7NCxQ2e0aN0KOg6WVCbA/XnA9ijkjtPp1MCgN4lKJAFbo8a1ZXC2U/f3AZuq0kfjzYoa+cGUsObGIBij4hclaXnxC9Lg0ynwkHEQJJ9P1E/DRyoMH0M+No0VaSvsN+OwUzoVgjjy5vk4/oyvzyZbqlXRYfC9+He+Nxc/Lt6CkPAYlClbEvfvPMSDh3dRtmQJ2VhnTp+Ux/Mz0zndvHUHRd4siuXLVuGHgwewadNWlCheKK3C9i/aorSXTluB1LwCyQFs6uePizPj8JEjQomk6IjeqMfDR0FYsmihKN2Sek3bxewegwb2B6njJpjUog0ilYl2jEkpmRNotSE0PBoXL10WKnjePDkS2GGkQ4q9VVrYUj0lUkWZiYdnhwQHi8MrUbIkGLwZPTxw4fx5ESTx9fND4aJFoDeY8OMBpU95wrhxyJUzF27fuiW+ggk7VngI2AxGKqU5cPjQIVmbMuXLw2qjIpqySGfPnhOQwQCXYiNmsyVhKO+z9uHLDtj4vQna6Dfpt0uXLi2glhcZM5yLR6BAH636cFKjGKiw4sGKnIzJ0WolAGbVgn6bPphMFqNWhzx5ckkPG+eeku1z7vxFXLh8RSTqvb2UXiVJymsUlUgJdew2mYea2mX9kwJs/GLR4eH4+cRpOLQGqaBxcPb1q7exdMlCtG/RDPnz5YLG7sC9B/dx5/4jZM/9KjJmzQmjQQNzTBwuXjgncRXpo7QNBMi0JTwjVM9mawlBnDsIIbOJny0lwVtyABuHZjup1KTT4+69e9BqjciSNTPuPwqRJELOLNmkCsvhzKfPnJXvzvNOsEDgxn9fu3ZF9iCrPWRXserEJBHX4OqV68iePacUB3i59/W9rIDNEhUNo7cPokJDZXC2Tm/Em8WKiK3jOg0bNkRAWLeu3YSGzB7CkiVKSyxtNtsUm+gEzv5+DkFB94VOmTVLdldRxgPnzl3AzRu3Zd9xP3qQt+qaw6bMt7NJj5ynifoYKQvYFNjkQFhQBAIzZMa1K7ekLatW7WoICWWicKnMZ+7Vqzesdit0Oi/cvnMf167exttVysBi5uxQPa5fUfaYX0AAcufJI9+XyRIyDjh83NPbC4XeKCRmTCiqegNCIuLh4+fx5wZn37h9ycn8Bits929bsXX9OTRr/q4Atn+CEplUY6syHV1RgOLFChuzyeTSUrqfgI2Hj0EMQZpawleBINE6AxmCNP6vBjlcKAY6avMoAZ1KzeTPxJBqdbDYNfzDpdYGhAaFQK/XIjBQUbA0x8VJSZhNgyVKlcS1q7eQ//WCmDJlujh1ExkaqTmqTPtsaSuQtgL/ygokB7BZzUpwwAyxGpA6nEB0XDwiI8Px+6mTyJcvr4AEXu5S22pGUqUIEmSw+kY7R4Cm0eoRFcsg2AMWqzKjklSxAH+fhO+b2itsCSqRTmfCYFXac/d+NpvVKv/mOhCwuV82hx12OIVNQcbG668VkEqOychg4PHlsFHURIP4GDM8vJRG96CgYGTMlAEhoeFIly5AABoDX1JLudac8ZnU9f9o+xkE837QH6vgjXuSe5f3iEkHJhZY2VRBmvt4Fbe7IoFfTGQ4vP38pcrqdGqpPo7YeGUshXpxH6uy/gkqgsxUv+Aqkfb4OOi4pzUGCR35v9kKXDp3Hg/u30KtKpVgiY+Gj3+ABBpR4VHwDcyAKLMNnib9Ewlj7lv1nBAYq7EXYx0mr9kDmppofskBbBzx4e3nh+DgEKnAcn+Y4y0C4Cgg8lbFKhLXBQR4w2JRxvZ4ehkSJVuUn3Pf0KYaXAkHc7yZVQlYrXbXawTI+nG9+PiXZQ4bv6eH3iCtn6RdRAYFwy99BoXVQNULXhoIwFdGd/yKbNmzCMBg1ZPy/izq8Ix7e/vCZnPAHGeBjy/tqAPRMZHw8faT39vtGkVhkj1aDhBvJ7z+40HtDpjjY2Hy4PNTFrBZ4qIl3tfqSX/VJ5R9b966h1y5swpdMlfu7Cha9E1EREXA0ytAKoMyR80BELsyaWKiiggFgmJiZd/YHFbBHwn9vHYFvLECx+dzTe3Q/vkK29FfD0gPm6fJB8EPgB2bL6P1hx+IrP8/Adh4t4Q3bXeIs5UD6BpILY3mOq0EIcwA8aAwI8fGUKo5qrL/dBCsiKlStNwYdKzqgXLPhNBoySA8g0EBZa4m28QzuIh+DUaTUpbkPASHRSRPRQCVT9NwU3Lei0mGZh85clyolMVKFhF1JrtDL83t3I9POm21Rs131iob4A9ePdFjkooK/vB7lUTwp5+Y9oS0FUhbgX9wBdSgw+XzXK+snm/22miVbJtUhxQQYbM7xUYxUGCW3MKgTWcQU6HaNBW42V2PpS0TJcUED+jAo0fB8E+fGWQURkbFwc/XE4xLaCdNHnrhyft5K+Ak1YqOOBX57sRiI/wR57KJFdXpJHFGp0ifIThpLFUAACAASURBVJlM10gYmQUL4GHQQ0nWGTiNVL6vUtGhn2AQZo23wUApaSdgNVsUGoyGSppWGD0UYZbw8EjJyqvXEwHHM/bM/wNgo6/kGspgcxdIU32xBMKuKhx/R8ods+rKPnUgNpYD3L0SAhc+jwkMvp7it7n2ij9Tght/OQcsqrBdzRyrVDn5crz39OMMsB6Pg0jJgC9pQ5J0hc2J6IgI+ASkl1gk3uoUmxBntsHHxMCONsQOC2MeLy84rA5ojR6wOBTKM2MV4lauC+Ms3gNeKkBODJRV5T8Gk6mBHuluP4XHLWdXUY3lPdYIoHC67INW9iAr5ffvK4l+u9Uh1TVlD3LEGNdAOc/cT9x7tLWMCxnL8fc6rQ4EMQQMyv5UElzqnlYfm/TdTQWPeIoDUn6k+CAmObieWo0e0VER8PHhAGaFFmmJi4eR353iF3blXHF/WK3xcuZYXWPcrpe5tVoXXdRbgBjtHjVMWC1zONmLpiZXeI9sEkvzfvA+GlxS6kwoKgqcGlht8VJlSlnApsxYY0KQzBe7zYGIiBgEBPiL7VE+r17ZP1YzPAwKwIwmWKX/ABAbbYY3fawGyjl2+SXpz3MlBmjnHHDKfuM7RkVHwdfHWwAbk1NrV99Gr87z0L5dUxQvZ4FDcx0eOh1stijo9VbAyQNOEOwBzYXLpxNk/Vlh27z2LJo1ry8qkckZnK1u2T84LnUjuQINZpcZTahZY4kyXBeVaHgjeWB4IBNngVRAph4k/ptGnwuiBjSRkdHyfGZK1cOnBjl8bW5g3gBW0zyk+RKwOTTQ8AfMbJsfwWTygsGpHF673QKdnptdA5tNA73GKKja6ElOtQ3xcQZ4UOGNST5ufqsdHkYtnLBKaoFDL02e3oBDCxulYChHzJKq3imT07lRzHSAek+hgSjDBD0SOML8DMoMCKOSqeDpkPdSMkUaGOS783txXWiA+X25vlwbNZuRONBTxyzIZouNFceqyi/zsKrDpHkfmJFLu9JWIG0F/uoKPAZsz3wFpw2wWWF3OGF1OJVMHbQyJJfnLy42XgZr077GxkYrtpGCC7ExMPLMQ48QOhl/RW0rOjoOvj7KuX0xVCKfv7akLamJO1bR3BkUTOLR/lpsDBCMiDPHSQKNVJt4szkheJVqHfs22I8Vz2DEBPofS7wVRhOV0OxSTVMpkLS39DGeLunw533Clx2wqf5A9pOL5UI/QV+r+ofo6FjZl4/1Kxyu6g5ZKlqhnhHEsVdeqQLpEoJqBodKJVMr/kgNnqOjzPD2NcFmeRzwqT6LPTQMEnlpNY+rcH/1lKbs89TkDmOHJ6/He4vJY1cW36lFTGyMxBYqiFVoZg65J4wXeM94r3hP1PPj7uvV2CA1zGJ7/tonbT+VPaMkpZTEgk6S9c+6mCTjfgt1VdXdEw/8O2Owx8Ai6Qp7yu6d5L67muB3LxRIY2BC/Gq3O5SeZ1ei5THzQcn2mePiH/umyGjxSbwIBlktI2BjPM4qJ+9JgL+S+CJoI24hMGHsyr1HMEhlz5SnRLqt3x8KK8paqcCSAJ+gl7G6jhU0C8BtphSgvGCOiRGf4Z8+nawrfZEaV/NsErCxsiZyK64ki6tQjPVrbqBX57lo164pShCw4QYMei1s1ljoDBal8GP3kT47zc07l6XC5mH0wr1bFmxac+ZPqUSqX/mZgI1fmhQTOkleblYpPi4WBtIc9ToxOAlUGFc/GzMoPHwqyEicLZLKm7cPwsOjERCgbKDQsHABL2qWhT9jKZIbkE6DfxLh8rX8/TMgLCwa/oF8LhUxNdA4vBOyB4DS8Go2O2EiuuaX1MYhNjocnh4Z4XDqERljhV+gQTJd8RYzPMnXlayY4oQssVYYVccvGd14mC0x0Js0MBm8oIOSvVBmU2gRGhqZkBV6muERwCYJ6T8aE3dFTj7GvYH2cTlauQ3uwY9KJ6WBV8Fy4vuRXNOQ9ri0FUhbgeSugAO2uBixF3qTonZHWXoPT5Mrq6m8DjOWdKbMgJqjY2RQLKWYmSmKs0KpFtFOxbNip5PHkjXAFp/UT4lMeq1I7WKvDf0DK48MDBhYSSWGvUzsfdJopTeA1B+xfRLIeYkNFFq8wynPlz42rrjVCi09rgaIcAUgzLbT5qp0KJ1O+7TC3xMf+GUHbAxCVJqYWr0RN+5U1lMqllYmIZUKHINeJYBWAh5m6VnRYKBMP0NZcLmc3K+snukRERkGg95D7hNFeSRmTIRemNBgplutyrEHRkm8pu4KW9K7++89wh1Qq9VL+noCN8Y9Sszjdr9ccQGDydQi7//XV8CNyZDwIorFYwKf3517UknYc5+ymuKAp6diI1hd535SwUdiAPt0Gu9f/7Sp7ZnulNSEHlGnBk7YoXENLk8orMhIAK5rrNhQo8mIoOAQeHvooTdo4WnyTqjAKfZXqXSqSRz3Ch7PsUKjZNydwudXXYQnDLmiYuluv1SmQIJHVQGe8/Fj+fgo9gcajfAwKQqj6v6Lio4V2+jj7yeJQcb6rN7x6SpgY4WtWHkFsJEMYrXFQqdnYsoNsD0IuvWESuSXX5xC4ya1RSUyOXPY1E34PMAmPB2dDndu3sT3+75LKN37+vshODQU/oEBMiONoiF0mDQ4BAx0EHTQNC405nS+/DmzdHTg/Bn9Nf1xWFgUAgN9xc7HiyMwPtFAKgPwLBapsCnqNKQfMDNrgpWbUxsnB9oZ7y1ORKNhJcuqVK+8Ah4zMBCP6Kgw+PhlxqqV60V+OG/+bAmBUXjoQ+zc9TXS+aWXAXkaV6k4OsoCk5cRjCecsMHBShyBF4EdefgkY8qZcG0UO3nUdFI6cVQ2m+IMWQVUL7udEr0aCWAIwFTARSPExxK48iL1gb/jRlKFXtSNxMZ89hokvl4oWkBqs4RpnydtBZK1AgrdSf7X6HH9+jXs+3Y/jCYPFCteUgQz2A9AwPbt3m+kCp85Q0ZUrFpRzEREWBh+Pfk7bt69LwJJ9erWlpxSaFgk0gX6CWhL/aIjSS8UqU2sprkHmFQZPn32jCiX+fkHyLwgVtmEu0B77nCKXfz+++/FhpYrUxYeJhNCg4JkwDj9Sv3330fW7NnEZ1CKeffu3fLzsmXLomDB157swXjGx3zZAZt4JIcjgYqr9KnYxbcw6Lh08ZpIV1epWkl6uhUA4UwQduAcJooW+Pr4S0965szZ5fmhIeE4fuJX3Lp1DZWrVEThQkVdvipa7hlV5ig6QgU/ZugZXDMAVIJoDWLjouHl6eo7SXoLvbCPUNtBqAK5b98+iYko/EKhF+5V+mmOVeB9KVKkSIJQG8/MsWPH5N5wriBnyvL8uGsKuN/XF3OBlKoiaY6MDTkSyhJvEwXdypWrylfi9+WgdlbU2CfMeWLcT6S+nTt/1tVvmU/GIvBSQZuIOqnV+BdzcZL81En2YDscCHr0SGYthoRHoHiJEihVqhw8WCGz2LF///e4fvkCKlYqL7L+SoIgAD/+eBC//HxM5rexlzV9ev8EyqXyoVg0iYAv6ZmpHLA9XkSt2LYtW7aLmFXBAm+gWvW3YGAjmxb44bvvRJjJLzCdtExRyIV78sKFCzKLztcvQM4gxcbiLWTj6cTv0FWtX3NLKmwC2IQSeUP8tgC2JypsHtDce3jjKYDtPZesfwR0oFF8tqy/+oWeC9jIMZEvuwVjRo2W5vB4a7zygQF4eXvLDBfK9KsXjQnVINlcz8sdQLhnQkid8PFRqnekJroSAQkZQD5WMUxqf8hj5MxeEgK2GDMVa5RKF//jxe8TERHmouNoERocIYjYx8sI6DS4cfUmypavjFFjJqLBBw3h5+Mhza4hj+5h9pyZKJjvdbTt0EkokWoDCXnppFkSrGkMDug1eoUjrPOUMqrZbGcLJ7w8+X08BH0ze2n04KeJF0Uzg04BbMLFZqYiOlZmizztUjPT7BFUqUTu66g6AwJk/p3iLrz495Se0ZKktUl7QNoKvPAr4EBkSBD8hMatw6RJE0UumfQJ/4B0Ii1fqlRJfPnlRkybOhlRURHw8/LGqNHDUevt6th/6BCGjZ6AeLvS30YZ5nZtWiLKRYu0OwCDq8SWanvYkriHKrvCvZJAJ8jRBpeuXMaGDRuQM3duoa7zslqUipCHwSjBasOGDUWtcPrUaWLT5s2ZI2MS+Hr5CxQQWX/S9TmLiSIGBHcMMihNz/lOSV3/D4DNvdLgXrEg3a5P7wGiqjZl6iRUqFBO8U12KyKjwiVYplokRWDu3L4nAfDy5atQtmxp9OjeBwcO7pfEaImSxUQKm2N9Zs+eL7NToyJjpEeJIxxKliwuvTisMCu+n9XU1NADk9Tu+Gd+z3X75JNPRGKdVSMCMEqnUxVy0aJFMsKIip38N+eLMfHNmWscU8FEDvc9Zf0JStz71tzbI/6ZT/pfv4oSy4WGBWP16tUyZiIwIL2s0dix4wXYcg04X439qZyxNmjgENStWxuLFy/DZ0s+lWIAk+GcG8h5f7Qd3K/u9ua//lb/1fsx/pZ2No0bE8Ol30CaPgEH7SATKA6NVqiAAwcORZOmjWVe4Natm2GjLL5RhxHDRwkg2bRpGxYuXAirxS5xJH0Y5156mNwZYalFdMStkv+MChtFV4gf2JrAURBr1myQ20MKaIeO7dCk0fs4sP97GanDBJaHl7fMU/2wTTtcvHgRXbt2lbP5SqYsMke1VRvOVPUTbyU0UVbY3HrYpMKmuQ4j25psUdAZ1B429h4aoLl976oANlIiOTibFbYmTZU5bBp9JLRgP8TfAGwOh8LzpNLPw4f48Yf9ciOZDbl+8wa6fPwxWGnjl6Qz4FR7ZlMps0oZVhoYOlgaozfeeEPkrZlZovFhFikqMk4yT8ze8fCxnMusNLNOrNbxdSjzyoobn6fROiUzRyoNZWKPHDmKrNlzolixUvDxNuHUyeOSyc6TK5+IjdCBU8XN25v0Cy1O/noKERFRuHL1AoaNGIW+/QdjwKDeCZldvdaBrVs3CWB7vXBRHOckeW9f2J1aBIcGIV/+XMiaLRPssODchbO4e/MOXsmQA4UKlgZVTq/ePI2Ll86hUMGKyJo5B06fPge/AA/kz58Rv5+/gKgwT6kq+gbY8VqBPAgNiZLvwO/OOSu8KJmsUhup/EOwxmy9Wk3j7Bxm7LguXFe1R4SPZTaKmag333zzCUrlf2VE0t4nbQX+f1bAVWGDA4f2H0S7Th3RqePHeOfd2mLweZ4534VG/43XC6Bbt48xZsRI5MiZFV3ad8SocePgHZARA4cOlwCOibBdO3eI4IjF6lA49a5+thcVsKlUbhU0HDp0SAICDtKmai//zJo9u6sfAoiNUWjypEQShHE2G+cDff3Vdhw+fBhTJ0+WWZysEI0eOxb9BnyC7DlyyLwg/pzy9Jz9xZlMDHI5K+951/8DYGOST6HwPO4X43wrjt9Zv26TVH32fvsNihUrKj5WVOLgwIGDBzBlyhRZWyYkqbbcrFkrmYfKwLl9h7YoXbq4BD6cUcTArl27TjLiokb1Wvjoo4/QpEkT9OjRA/4BClvEXahEoVs+qRr6stkOxkRMdI8ePVr2JWOgzp07C7hgBbJNmzZo1qyZ7FfaCu51riOH+NLnU7ytV69e4s95v1TRIsZV9PsvNi1SAWwhoUFiEyjZ/8brhWVN6td/X2YAcjagMmetv8wTYyKASYAvvvgC9+7fkRl4Y8aMknXg39XENsEsY6qUHCz+b+/lxBU2EShh8g92xEZFSsWsdu3aaNCgAd5v1Bgfd+2KEiXKYNDgwTJHlHoR0yaNR52670rlkuvbosWHsm4rln8u68/4mTY4S1ZlpqViz11tQwr0+be/5vNfPwlKpPrkW7fuoHv37vD29peB7NOnzRQtiYVzZ8n+YezM+W2Tpk6Tqu38BYtkzh+LTkyk7tz1jVQqV36xGq/lz4uIyBhoNF7w9tJg/eq76NV5vluF7RqMOialWGEzK5RIER1xATa1h42AjXPYmjR9F0VKJ08lUv1Cz62wuS+ZVal4EZEeOnIY3+/fj8D06cTQE40TnBHZs9rDG82bz0HbBCCkqnCAKue40DhxZtuypZ8LPZLgjBPsOaGdB3LXrh0Jghr8eZ0678qnEH4uNNizdw9mzpolMkshodGoXKkWhgz5BN9/vx2TJ49H1kx5YbUovV5du3VCly4fYseOnZgybgEyZcoCB2Kwe+9uDB8xCYOH9RdWU0RkKCLDgjB02GAUL1IChQsXxfRps6XfLFuO3Lh6/QqqVa+MTwb1w8492zFjxjQYJBsciFrVWqH1h81w+NcN2LR5HXp3H49KFSrhgw9aI1MWX3Tu+j6mT5uDsyfC8WbRUni1gB/KVSiOJZ+tFNBKquMHH3wgh4RrxNEIpAuxusbf0djz4LFsSwfKmTrcZHyOmkXhKAU6ZxotOkoau7QrbQXSVuDfWgEH7OZY6DwMOPHLcVSrVRNTp8xEl48/QqXKVSU7zmCLwKFtm9YYMKAf2rRshdt3bmDkkGEYOXYs3nizFBYuXoShw0bJQOgfvv9OEl2svlM97mXoYXPvv+XsJSb1WD3LliO7VBTSZ8zo6od4PID3wP4fBbDRftM/fLV1G9auXYtJEyZIxpg08AqVKqHmO7XxRqFCssas1r399ttCzydYXrx4UZI3/v8BsKmLwPvAAJaJ0m3btsnaW+IVJsy3+/YIjfSxCIQDN27ekKQgwfbRn34RAFanTgMBxVMmT8OSpYtRo8ZbMsepSuW3ZBBy9+69Zdj5e+/WRvXq70gcsGDBAmTK7D5HTFGWVOYZvfzCWKwcscJG4EafziQrB5Czeswgkvuc/rpy5cpSlWTigXaD/xPsEgDznrHapM5dcx8fkuQmT7UPeCwMwaHFnL+4a9c3EgeOHDlaqJGMbxj3cJB7ly4f48jho7KfGAO9mi8Pli1bgrZt20qimuvD53C/yggRtwRFql2Cv/HBhOHm0iNJPDbDYYmXYgln3DG2bvBBI8xfsEDOb9ly5QTAzZw5HZ3afYiOndrj2tUbGDFiBIYMGSF7dOKE8WjfvrMMLmecni9/7j8kXERJUefStvgb3+NvPTWZgO3atRuoU6cOqlatjk8/XYj+/QZh3fo1WLtqBSZMGCfnauOWLRg1arTMB1y/YaMANgozMTmwecs2DB06FJ8tW46aNd6W6ppU2YQSeR+9OrkAm1TY3CmRBGx8oAuw3X1w/YkKGwEbe9j+KcBG9RRV0ZHUE6fNDo3BgG5duuDCpYtYtHgxCrxeUIAFS/4sW586dUqyQS1atJCDxvI+wRwrb+Rp8+9coMaNGyN/vtelnE0Ax8PZ8IMGcgBz5Mgmxuz48eNSjatUqYI8n4Y+MioSrDKd+f0MChd+A6PHTMHd2xFYt341fvrpa/Tt1xv9e4/AO7Xqy4Z9u1oFDBzUFR3ad4TOngmDBw3BmXM/oU//fpg1ZyG69egKURoGcP3qBdSsVR3v122Ihg0boVnTVsKn7tSlK2bPnYWg4HsYP3EM9n6/G3PnzcXiBXPw6H4scmQpg7r1qmHh0kGYNXsq1nz+PYoXrSyGOEMmE2bMGYA2H3bE7aseGDN6IrLl0iJdBk8cPnQMxYuVFlDLQGTXrl0C0Jh142dn5ZGZTfJqadgJ6PjdadSYkafhZlaOvyMoZvaA2Tk6YTWw+VsHIu3JaSuQtgLPWAEH4LDBEheDU6fOom3HDihbpiIaNWmMwUOGCf2LiZbPPvsMrVo2R7t2bTB/9hwcOPiDVNhGjx+PVu06o1e/AfIYApIVy5cJGPHzVajTLzpgS9z4T+YEQcOXX36Jwz8dkT9z5MolEtHMDeugwYnfTmDLps2SfKJfuXz5Mr5cv0H8CwdrM/Al1b5Nu3bImCmz9GaQkk/HSltIW8k1nDNnzhMy/0+7iS87YHMXrlK/P+8JA2Qm/zZt3CZUoY2bNqB48TflIWZzLIweehGCiY2LFebMsKEjhLK2bt1G+Xf3bj2lKpczZ1a0bNVcekK49hMnThWfX7XK21JZJhuHA9EzZ8kgr61SIunHWRF48VUin28cWeX44YcfwGHk7AniMGLGNaSfFStWTJKzrGwwudq8efME30+AR0BNsMZWk7t378r+ZgykxEEvw/Wk6Mi58+fQqWMXWYN16zYItZFnmVVGVs+GDx+Jr7fvlMCZ6/PRx51lSDRjn61btwrri8kuglsWCp6nNvkyrB6xClUddUatzGhzOO3QU8yOfVlOB2KjomTPcO+xN8vucAiVNGu2bChVtpys3Ucd22HRpwuwYf1GiTPnzl0oFc5ePfsI62P9+vXSw6oCNrUHlec3VVTIkwBstF/shQ56FCL2KCQkQmLoZUtX4If930mFbf36tdJTyu+77esdEov37tNPZkpzP9Ge/XrshND4+30yUBIrr2RMJwqa9B+PAVtzl+jIdRj1HH2gVtjcANud+9dEJZKDs+/cMAslsnGTOgLY/hFKpDSWudwaxUdcMvrNGjXC1evXsGnLFmn8ZjaDDpW0PTplonJm5HiYaGBozI8ePSpggtlQOgnSKAsWKCylcIK8KlWqoP+AvrJJZs+eKeCO9AsasipVKskZY+8XnfvtO7dx6MghnD17Gpu37kB4sBZbt32JX45tx4yZk/H50u2oVKGqZBQ8PB2YPmME6tVrgJYf9MHocYNw5MhBfNiuFbr3HIievXvASYl9jQ2Xzp9B02aN0aJJS5QuXRa9e/VH8+YtMWb8aPTp+wkOHvoeS5cvxo+Hv8f8BXNgjo5CyWJV0ah+L7RpWxMTZ/bHvPkzcXj/daTzzy2g1MvXhhWrx6NB/SYwoSj2fbsBMDhw684FHDp4DL/+8pvw/hmgcFPQYHGduHbMwjEzQNA8c+ZMWTNuIlKJVBl/cm0JjumEmVlmSZeZJr4W/0y70lYgbQX+jRVQKJHK8FwvLFgwHxu/3Co9Bbfv3BPQwEwwA66ePbpJhW3KhIlY9cUKTB43AVNmzEDpClUxbeZ0TJ02S877z0d/whuvv4bYOGXw8IsO2NSeW1UsSb0LrB789PNRCUoLF1FsFBV4TUajAINdO3Zi2LBhAsTY87Z29Rrs2bMHy5cuFd/BYKxTly4oXbYcHE6nBGyktLD607RpU0kIEgArM7+efb3sgE395qrglzo+hveF2eNhQ0dJZWLN2i9QtGhhV5D7WDktLDxMkoMMcJh8XLlytfQbjR0zHsuWL0HVqhVRo2Y1ZMmcDdWqVcP06bPFT6mAjRRI0t0C0/nLvVCUkC1uQ81TmFL1b5iFRK/JXkGuyTfffCMVR/p6UiLpq+mjSZckKCGQYxK2W7dusuakYvFnfOzJkyelR5Pzbt2BtyiovrDXk9Lr/BrffLNXAmUPD0+J+5jwIoW0W7cewrz6du93YidZeWz9YUsMGDBAKiZKMmGd9L2pl3u/5gu7RM/54O49bFQ5N8fHyRxL9qTFRUcp7LKuXQWMVKxSFUtoawsXQ5myZTF1xkw0adIIgwf0FeB75vTvsg/btu0ogLhH9+4YO3aCJMcYy3MQt0KF5OWurJjC5zcZFTYFWBoEn9A+0e7du/sAVKqdP3sGunfvKraNFcbV69bLWe3bb4B8b9LFiUd27Nwt+3DpipWoW6e2rIJUOG3PAGzsYbNHQ6enrD8fTJ0LAzQPg287qTRo0JsEsCmy/rXxRgkq0/990RGnzQaNXg/1T6kF2u1StmfT+OdffIGcuXPh9OnTUiEj3ZH/0xBxEVi+JqDg3wkkmBlhtoTOlLS/+vU+kEoSDRV7r4oVL4zLl6/i4sXzovrFRS5cuDCWL18qfQte3oqcLYOg478dR4cO7XD4p2P4fu9JfLlxDS5c2o+p0yZg57YjyJ2zgFAPAtJ5YMzYfmjZsjWqlGmMBZ9Ox9Gjh9GwcQMBbEOGDURMVJw0VpISWaFiOTSo8z4aNWoiPSl83rCRQ9G9Rx/8eGAftmzbCKOXDnfu3sSu7V/h+C8X8dOBW9iz92scPbkKEyZOwNGDV5EhMK8ANg+veCxbNRatW3VAgKkM1q9bDJ3Jjr79P8KBH3/B+w0ay9oQtLIayeoY14/UEqJ5Uk1IcyTFlEaMVUxW4ph1I82FpW9y4Ml5Z4BDqqTaE+cu5fwyGq2075R6V8BdxYx/V4fQ8vyqvQXPG0z7X3yzv9cDosj6CyjQe2Dt2jWwWpzSm8UMHUUYevbsKU6zRvW3MWnSBHzUsRMuXT6PKeMnYvjo0ShQuDhmzZ2NLh91x4kTJ7B500bkzpUdFBxRB+tyHSjW7H7JQF75heJEU+v6ykd0DVlmUo9JJv6bQSkTfqSfvFawoEjHUykyKiICQ4YMwTe7dos/YK/ujRs3MGzIUBEj+HzFCrGLBMNNmzfH29Vr4O1q1cQfUJyA9p5JPtrDyZMnqrN8n7mVHHZbwjga97E06hNSen/+3TOQ1P4eO2aiVCL3//g9ihQpJG/HCht7xpmd5pqOHj0erVu1lCTiK69kxqpVq9G/3yfYum0zXnklHdq2+xDVq9WU/qx58xbJvW3erCWqVq0qPonBtK+fp1TbmLxVZpYq0uwU5VLX3d0upJb1T2r9kro/qsAaK+hMMlBQhGwiJli5v5m9JzAj7Y/9RqTzMlbifiYo4WO5lxn7MJZiHKDK/atjAJ73GRJ/ftVOqPNd1eHASX2Pv/r756+fovxNXQImXAi2cufKKwyrK1euCYDg/0w6cw+1a9cBt27eEcDGdSn6ZmGhPTMWpZIfEza0C4x51Nm/SZ3fp30+9TmpQbjkeeuXmBLJWWOeRo6vciAs6JHQzul7GGe36dBRYsfg4HD0699fKkX169fFmBFD0bNXd1y+dFXiy/79B4n9nDVzhlAiKUhEAJ0rdw4BatzDcXExCTMunTL+6tmX++d3X1f170n1GCZ5/pIAbGRtsIWKUvzcIz/+eFiq20w43X9wFzOnTsLEieOlWLLzm28wZ85cYbt8sXqtrAf3eeCtsgAAIABJREFUJxNa7Glbs2YNRo8bj9rv1FAwmIsSuWr5VQzsuRTt2rRA0bJm6I33pbrJqSVaPUeLUZ3EBdgoOqICNs5h4+Bsio4UKknAFgaDluXzvyE64roXCbPYOLclLk4O1bETx7Fj1y7kyJVTvgwrakShbJBlZpmZThoklvV5g6iOtH37dqEAsNRNBao8ufPLgaTQBikC6TMESoXOx8dLaC9Evcyazp8/VypL3DT37t+T9zlx8gSGDh2Mvd8exIVzd7Dtq804eXIfuvf4GEsWrUWjD5qgWrV3kC69NxZ9OhVjx4zD6WP3UO3t6ggKvY5Pl3yGmbMXoGfvbgmZ7JvXL6Fe/TqoVqU66tSph25de0l2p98nfQWwHTr8A+YvnIPg8If4esc21K5RHV9t+Q6//fpAKmuR5hMYOWoIypf+ABkCc4szrN+wGmbO/QRNm7SCp64Idny9HvH2CDRrUR8Xzl/HyBFj8fXXX0vmjY2NBG80QqQ0lixZUtaPG5s0U6pKMdNG4379+nWpqnFjMetJqiQzdVS1YSaPmTl1NMBfNbhpz0tbgeetgCpowP2pBl5JGeGXZ0VdoiN2q6joTZ05A1cu38CbxYvhyE8/y7llRZwA5Pq1KyhTphQunTuPKlUrosOHbdH3k09w+cZd1K5bX840A172DjBrLjOv/Lxf+AqbCtoTz5tiwHr0l5/F1mfMlEn62mgDe/fsKQHptStXJehify77ehbMmy/bZsyoUcLIYOB/6MgRTJk2XeT+SbOnOAF9BDOjVPT66KPOSW41pzSBKJd7cJBkoJDkK78YDxg8aLioFLKH7dVX84iwy+7dO0VIhD65Ro3ayJs3p6hAcm2zZMkhQVvPHr3h7eOJOnXeEbW+IYOHCeWPoiPcv/XqNpAeEO79tm1bCXdI3QNPC/he5vWmX6d4C9VLuYZcF7KMGP8wIcueNoI39v9z31KMhBU27n8CXgr1MPHLn7lfiWezvhg7zv1TKkm8S5cV1VjuAVJr+X3z5s0na8R1Y8KmWrUaMs6jfLmKkvQnkLtGTYFq1XD06BFZV1bg2BaizntU//68dfkrgC61rHNi0RFWklRKpCU2RhL6BP8U7itTvgJ27tqF8uUro3mLFli28nPcv38Xdd6pIee3WdMWUs3t1OljiSMpIsTKEltyCI6poK6eXzXhkioozcmosPF+3b17X2Lkbdt2CGPt9Kmz8DAZsGTRfMyZM0uKQwSqx0+eEn8zddoMAWqkLPM8Hjv+m6gVDx81GlmzvCIjd6hcHx0NbFp/Ef27LUbL5o3wZlkLTN7BMGr1sNljAW2ssl0cyggTkfVnpwMrbBQdUQCbMofNqYmCBmwK/BuAzTWDzW6xQMcmTtcCzZw6FdduXP8fe+cBJlWVvP238+REFMw5Yk6sq66iq6Kia84ZFHPECIqKgDkndFXMumZdXXNYA+K6ZkFRkuQweTr39/zq9JlpEBgWHHX/397nmWdmuvvevrdOnap6K2rIZZepS7euxhzkypIXD0gATFAADhGI+pAXSy0aQAsBRR4piHf4VddYlGjVVVc1T9MGG65n4O+pp5407yqplBB4zz33WKBL5KOPPaonnnxS0VhEjU0pJRMhnXXWaZo7d5JefPFZnX7KIG215VY688zzlFNSw4cP1ieffKpbr7/fZp9RP/btd9/qiCNPVN+9+6mqolhNzXWaOW2yRl49XBtvsIk233xL3XD9LVbL1m/f/TXq3rv11df/1rHHH6WZc6fpiSce06QJE9Sl0yr6886H67DD91ddyze6ctil+teYKdqkV2+rv/jDHzfVQYftpPvve1ixwBq68IJzVVye1WNPPKCrR96g3ttuby2UoR0eeerS2CykDW222WYmzDDgMEoAaKQR/fDDD8YH0BSgzPegCAB7eJkAa6RT/u/4HwV+bQog2L0ntxDIFd6H9/D+NxtqRLlm/jRF3bp1sQjb008/pTtuH6VgOKT1N9jIMgkQ6v/85wca/cB9+uKLz9Sjazedfc4Z2rb3dvpu3Dided5FCsWKreMb4G6nHV3qdyuIyMvbxUXYsrlAK1D+PdLXr+/CQ22pE5g4eZLpge49epgyRX+Mvv9+c1JFQmHTCzi80CXHHn2MNthgA734/PNWEwV/7bHnnjrtjNMtGolyRc9Qv4KOwaGI04+M/iUdNHZZmG7+/9+Dh72j9+4Vlw83A+3a6642PqZe5dxzz9bgIRcbcCbjg8go43OgOQYdQPiRh5/QK//4u95//x0Dd+ecfZ7Vivz9769aDQjztDCmibZ169bJjbTJp1Q1Ntbb2rhjwZQqLxda+d+XY3Q0ITro+uht7CHoiOceRyq8ic7mwClLii/Rdeu+OWiQNXrBkUFqFnVcROWoacehjW3AwTVZH95f0lEISH5/EeSs2TV0cr3v/vssct7U2GI23ymnnGb7nXRoZMAXX3xl4PXiiwZrnXXW0EcffaIbb7reIkDrrbeORY/orrnw0R4gW0DWLoLX/pPzO4iFFntZUu+JHuX7jlgNcND+IQsurVQyaUCE2r7JP03TSiuvrIsuGqJ111tH//rsSw0ZcolmT5+qTTbtZQ4X+Gz27PmWiv7N1+MMoJCSuvHGGyzgcEkm4zYii4heLOq6v/4nx6Kibv/J+QsK7LwAt18FEJY6vnzHddLjkV9ksF15pXMAbLnF1hp6+aXqVFOpjz9831I/wSPVnbuY7bzDjjuJVGaikwRA0DHY5jv12an16/k24NHfX5ipgcfcoP327atNtskqEJqmmsoqzZk7XbGivEMQwJaLKkDTEQ/YfITtwIN2swibAo02D2x5AFtrKmT+NjPxhEKxmCZ+/72KS0vUuWtXmzuE1w3QAaAAoZJrzcJQNI6gJ0XPCxeUKu9Z8WxOmjJlup3fvXtnYwwGYM+ZM8u+kfA2xgxd09zhCACzzJo923KdO3XpZoMUUQLNjbWqrZ2nVVdew2Z3YDDOmjVDa621mpXw/zRxmg207tylSrX1jaqs7qqi0lCBJzulyZN/VI+uPRWOFWvmT7NUWVmtotKYkqmcZs3+ST1X7G6z2ObMn6XG2gaVFFVrha49DXWHo01KpJs1cUKt1llrLTU2ZpQLxFVenlFtfYPijRXq3q1cCvEcKSUSWY0f/71FEV24ucVybPmNosRbCZDDePEDshHaADbSIxDuPvwPXRHifvYdtC/MeV/mTfG/E/9HgcVQwAafZjK2xzHYCgu9fY2lT3XygroQ0HV0Sk57C7c8CtmpyvxPNmC1a4l4RuFoRMlUxtJGGPhK+2SkF4ZqaaxIgUjATssh7SNFmlPbaAZYNOKnkUkt8ZSlY1RXOIW4uLb+6XTWZKkHxqa2CgDzb01fT3/4A17hmZD71DozDoZ7Ly0r18djP7bOhQNOOMGNcSGfJH/YsOAqN2OSY/6cOcZvnbp2NcI0NcdVUlJkcp108J49V7DPoUfa6i4WzQmLqmFb2Mhtj4d+z++3x9/xlrTplorKEktZRH/cfvutlua45hprWl1hLBoTfEZNTDAYtdTUeEtSVdWuCRh15QzShteqqzsZSE4mMorF2tKlmlvcGpnuzqdcLs5D/3uif3v0a2/tvczztZyF3R393+ht3qfUge/DUMTIhMdxhLMf/D5e2PHR3vcjgwsPfz8L/27vOsv6/pLp52SXt+ncd7gupuXllcaLRMkAdZFIzORpOoWRnOetgNTQ4MdQtN2hP49XlkX+/bfwnwdsSaI9NPAJyQBbNpdWCE9UIKB0ImG8RW/1yirmhQY1e8481XSmCUlOTXXzFI4EVV5W6eaNde2uGTNmGcCpqamwlOVIhAYaTpbCf7mc+9vJhv8csP0n9G13/0GEVgX5c8DmNapPpOB5bKB6rMSeO2jALqtsKtU6OLvUmvoETVdhg2NHt8STplf4NPXlpIzX1ydVVBzVC89+p4HH3KiDDviLeu8UU3P8O3Wt6axp06eoGPLkaOufB2xfffupAbaiWKlmTE3rmce+0cGH7KNeW8Gty1/DVrhRAW+JlriKDGjxtW3EYlNx+PlhPCwbC/DBwSZEQJHOwgEgAYywAfnthfucufNMWC1cLN7U1JBP78u2KpGcgpahmspklM7EVRQtWWBwthcEKPKWpqTKyrkXb2Q5zx5LXN+UUXGMuQktKi0mtz4j5cLKpjIKhmNKJwBdIUVirjA+kWpWaX7Yt4N6EVsUN/g7lf+OmM1Yq6kpN6Mik222wsdMOmKbIJGsteLQkuKy/PDsstZ2tBi9MAmKEUMM+iDYEOQAWMCvP2A+3itsYQttTQlXLHog97IK3/+d9z8KLIoC7H2cCuxveNX2dd44528PJnyqpI++8fu3LppvVyEsYckBbOl4s1KphEpKyhUtYcZiQOlsRrGiEtuv7FVkYXlZifBM4tXJZJNqqW9UVefOSubCiqeztn8BJkTSMNygnxkzDG00wNaWulf4fzqT+13TF/nkdQC05n/kO7xSVVNtIKElkbC6XfTFSj17mg5prG8wGnAur3ft3MVGmVRVVJgeQA7OmDVLJWXlmjZ9ujkD+Sxyjx/OJZrB9y3pyKSTS0yF/G9P722Pv8tKq2wPzp4z0xybPO9PP03RqqutbB5273BNp7K2LpWVnWztiKAx/DqdjququsJ0m9UjBVxtWi7rnAh8P2uRzjgjx40WkMrKS4zfC9v6LwpEtHf/HS2Rl/f7eV72NrIO+pE1RCQDvseQhpf5DY1wrvI53kNuoMcLm8T4VvWepoCR9gAJNC18hoX/7mj+bg+w4YwntZGDml8ibDx3TU1nows2DA2LwuGo7fn58+qMRuz3ZMq1TMdWhIdxAnEN9JEPDkD/pTl8ZLfwN+f91p0ml0Q/sApzDJsTcQWyGevsStMR9hoAjnuHj6DX1OkzVF1To0wmYE2aGKRtACzeZA2BmG+HQ2bFFVc1nmtuch16ob/Z8tmUAWbkKYCtvMJFeKMRHylfNJVZF/8MhY5EkxG5XLv6v939l8tH6PPAy91F1nXKlKy/g9nBuaDJo0ik2ORXRXmVGpvqpXTC5BHPzF6CLmCVxqYWx2M4TaurDbDBl+mcbD/Dt6k0drz07FMf64qLntRRRxyi3fbpqrr6b9W5urPmzZulcBQsUQDYxn76vnWJLC4q0+zpOT33xDgdeti+2nhrwMPyR9ic9M0pm04rGAGYtC1MNp1SPJlUUUnxAgMKfcTHf7KwtTN/F24orkdr0mjUA56260Mgr+AzmZTLoQ26ImVaDs+vq1dVZY1aDOm7wHA2FVMymVMuR8QtZoXTJcWVyqWl5uaESisAWGnlUhEFQmHzijfFJT9fNaA84MqFlMN7HYoqm8opFwgoZI+fU0uiUbEixyjJeFrZTNAifQiOuXNnm/Bl1pu9n0xb+Li5uTEPZgu7luF1dpEJno3n9YDXe+R89ILN540P30jEf2ZhevO9XIv3Ybb/Hf+jQEdRAIWIETJ+/Hjz0HkPMPwM73qDojAdxytFE60FNUQddY9Lum67CmEJJwOiyouRN3EFAmG1pJKmwMg4qKyqsRoghD7Aray0WIFATtlkSpFoUNlESi2plEJF5QpEYq11F0WxqNHMG3MMQOVYHGALBJ0c+r3Sl2fxAMo7lfjN8yVSLtqWSJFpkDDFWjtvngHWVCLp6vgqKw3MdaquMUAWb242hWqGBA7EVFo9V1zRjAcPDr2TgM+1dwRpr5Y/FhV9gJ//m492+TvndE+Xrp0MUJG5UV1daUYffOtBBEYHaxYOFxn90bt48hsa5tu5tfPrzbjp0mUFM/Tqahusroh14cA5iSHlvNZh827zHoBtSVGfdu+/gxdneb8fgxkAxj4gUkYEGP2N0QhtkRHwtf8cep7Peh7nb/YBvM1ewbDECPWzbn2K5OLI4OVvodHsTDrH98v7fO2Rvz3AZs9RU2n7Gb6h/XrXrl0tUosTEOcOfFJcXOrAQjZgMtWc0mnnrCb7yr/GuWR5oXuWJhq5KPoU6qf2nq+j328PsLF/EhZ2TNseA7CxL3NpZy/zYzRsalY4ErFW9BWA5EmTLWI086fJ2qjXBvr3p58bwOvatYftc/Yvchia88N+Zd+yfwFs/I9cb2/wfWFzsUK6+udqz2HQLn+2A9jgK/ZSKpmxuahkCMBXRBCJjpXGwiIY1GqHgAmgm4K233hegkx19Y3Gn8Vl5fY+ezoUjqisokbvvDlezzzyrfbYrY922LVCdQ3fqjRWbs2VfgbYxk/4snUO28yfMnr60a918CF9rYbtl0iJhCGpXzOQtBBga2lqVHFZmRoaGwxo+GJ5P2HedzPiQWEa72k34BUImOekprrGeB7QxvsoChiE9Anv3WDjAXhcxCir2rpaE3LRaKkxoLNZAKcBxZtKVVIMWOW1hKVOFsUqLWiGbRiMtCiXSSigCvtQOitDzfmmVcTrlM2m8vNhgko2M9k9pgDfQUCR4mmlLSWS6F5YUQOKrpCaCF5QiUTKumD5kCrMAHDjmYkkupTQ0CLnqXjPOjTAsEGgLAzIfLGxp68bduo8HXiZoPX/nVktHS0S/3f95aUAfI5x5/kdXoR32c8oVm8YeOFbCC5+a8C2PM8OiApkiOYkLcJW39yk8rJq1TXUq6S03AwGnh85FouGDbAlmpoVCkvlRSWqb25WNlSkTL7To+1h5uc0N7cCsEg+i6E9wFaoDH9P9EUOYVSa0g9DAxd5gT+aWprt76ISas1yxj/N+egCNWxe9lkKXnOLXaelqclqMXCLzpg+XWUVlUokk2bUkTKO02zy5KltXtB2POzRfF1VoWFQ+PfCKWXLwy+/x3MDcnrKjL1IyMBxRUWZRc2gKTodutdUdzZ+Lioqc17r8irT1SUlUY0b/426d+th4JryBkBFTXWV5s2rt3WAhlwfQ8/RNmvnmqMy2+aBXxSA+G+uceV50NXYQ95pjTzgfz/EHPkHgMN2wJDkc96zD9/7feH3j18PPsfeWhr6FH5m4c//tvI3azYd3fp8hJGMI5511qw5tl2QiQ7ERo0PSWWj5q2xETkasL+xp0x2NLuZW5yPo9oiRfnMr8XtPQ8YCp0GhTRa2gjdb7G3CTYwxzAXDFhEzVIhcwE3eSvjShVsb0ciKimvUDxBRBznSVRza+tsnwNYZsycZvuZtZg4carxZ/duXRWPu3Rpc7xGgsrSwx4LN0iiiNu/BCuWdHj+Whx92wVk7RG2HcBGFJ+oazAQtv3FM62yykpWujBn7ixFAjS+yRg4BaiGojFzorz19rsmu3yJErXiBn47dTZwh2wkdTKRymrGtKymjCtVzxW6aqW15qipeYICmZBLuQwRAApKGbISowrMmjvVukSGQzFr6+8GZ+9uNWzZ4C/XJdLTLdXsIjflRG4CUmNDg8oqXOGrb9vL3xhwCHAO7+nw6Xu+ps0BNReBamlOWSeawoPPseH8wGwXjs2ZJxAiNDfHVVxSoqZ4i4qL0goqrEScSBdhcimZalA0EtXs2fXqVNnF7hfAlk4nFA5V2QwFD8RaWhIqKY6Y14ZoYqzIgS9l85E/noNIazCnYCinTC6pUCCklmbAZZmlU5I2gieIqCH5+Xja00knsHmtsYlnIZ2RaGDY6MKGQFjzXPzvQaqPnhW2RvfM43K8Hc09eFs4JdXlGrvawo4/KMgJLqrQZpFfjcpeuvlHvpy2vSdY3u9f3vPbu7//u+8vPBjZPym8R1Q8FAgrk3PdwLzwXjhF8rekDiCKA35csD/FwoqojWPb+BeXTUaplmZFikuUzSIbQlY7xTNT+2NOIsRIJtNah5tJoBgiVmOQQw5YpNG18ed3JpNVNBJUPJFWUSQfQVtMSiT3TkH0ougbCAUVYF8udO6vSe+Foyfwi48eQkecZWR+ppH1jU2qrCgnT8IyI6hjw7FFNkV9XZ15hu3IpJWMxxUtLVE6k1UIYZ8/vLOMf/l7ifIvkLWaj5wckDCezdPS6JkLLJB+vjBo/jXpuKzf1Z5Bjw7F6OU3ewFdhHMUumEQY+h4HYORjAHtjdymJjJConYeutKNbIgYv5sOzPM+JQCkKBEJ4VwMv5Z4k0pL0GEF+yznamH9WkB/A3WFn1lEtHlZadP+eVkFFbIsnGU9fNp3IeDyDmt/zcJIUOF76HTWw6/hwrJ2cZGgQj61iIhcB19bN/aTdfTNf3tuwVTrZX3OxZ23ZP7LKp5oVrHZWq4vQTjknNSu/jRissKXgNjeRm7mx0FQW8WUqeZ4k4pjBAwWXKjFg9GsyUXW1TsUocnCP9z7bwto2zrXFiQCtJKarK9EJqdw2FVqMUuYYEQkzPDsvFLBadrQoOLyCtMrwXDUtIHJ3nROsbC1zlBAoXxgwK2F2ePFEdvDXkH6oEQrYCP7zE+XoXN9Pg2xjRdcFI493kZb65TSav8tmb7UOC5pbMDCG7OwbyaCImvPxT2wloB+L8s87kA3xluaVFREiqfTMZl0Wq/84zUbSwIPWiQxHDXwy99ZgjbpnEorykVtbnFxmYrMvpfCxdB1vjL5FPJ0qtn4LJAtVk4hBWjrz0PFoiXWJRLAdsCBe7jB2b9USiQrkMtp8sSJuv7a64z4Br5CQYWjUU35aaq18WfQtQdqhcLFPKMtLYZcaa4B8UgN8PVsrt4lrTFjPrSWrnSL9A03INDCs8RAxDyzJ/7c+fPUqdrVazXUp1RSUmxe7NYGJfGkimKkJsRVVh42MJVO5BQtirUiaD5r3vBoyISG806kNf7bceqx4komRK679gabR3H88ce2RhOamxpUUlpYeEldnTvmzK9VcTRmCpFj3tz56tTJGR218+eritzYlrYaD/sMUccaF3X0TRvMk5HN2vN6WnjPL0KqcECkB82Fgt8rBO/dg/5txc+uzsALp8IQdeF1fTTPaFwAGH1NYCaRVigGkJbSqZTCEQrV060bFZowC4MNEEBx52mUTuYUiQZMQPs5H/x23wFdXfEn98WGKzxcOqlb51wqa8C9jLxjopMxR3NPR2p9cAxwzK9vUHXeyfDWG6/p008/0YH7HagVV13FDGvu25/vATP3j8FCY5vC873I8JFRn7NdmA64wE3/H/unEOS0iU8v5V34+vW33rThuTNnzXEjPXZzgyc5lsMW+gUoibBuVFFxzNKfM7mcXn75Fb399ttm5Gy33fbW6RbH08OPPGFjNzp37qJ1119fe/fdW+UVUbVYdNs5kBhuyzwhPHkcjDc56aSTjT/pgMisye23316HHHywdbetq2vQy6+9rVf+8ap1gDvmmGNUkk+15vxEMqNiSyVbfNMR3nvxhRf02muvaczHn1gL5l123c34tCWZUnHewFnwGoVG2pI9pO0Tue1abt9HlCDdMZGwESR0IGRwK3OlevTsqfnz5tkIA4Zg7/CnXbRnv4OtFprgorPzM1aZnKEOQ0E98vBjmj1zjo475hhVVtfo68//rScee8TqAHfdbTdtsuW2Ki2rsKgaXSIx7ugyx7rFYoCJxT+BvZVN2ZBZDBpqtEc//IgefOgRrbLq6how8GRtuslGBuISiaTKip38QVYRmSs0JtunU8d8oj0PNXUp0PvNN9+0mjS66VmtUFOTdSJkHeBv2skzdqewKcZLL72g5557weShn/9FJ0M6Pk+aNMm6HlK/uf0O26nvHnuZDpkwYZIee+wxG3PB6Bl+KHdoaqYeCzBI9Bhg6JwZiSQNyaJKxpstCq1ATs21tXrjrXc08robtPKqa+ro4/vbKAyOluakKkqiyuZrD4PUKSzH0a78yjsif5o6Vf/69DOjJfxG10boFQkHXcpzWZl1dUR3067f9m+rg7lI77//vnUyRYejo6ELY49oKsKcK7odHn744dp5551b9Ssyg1RzWrPTAbGwlMTbCd4GymaoDQSQ5eteMdQbGzV27FhdNfJq42FalW/Ya0NrmlBcHLWa+3CB8bysZCx0ztOtmvEctIOHz4hy0QGT0RFEveA/UmVdNpLrJ5BmLMrUqdYpduzYT2zu7O679VWPHiuaLH3xxb/rrTffsflZ++77F5WWklKd0YMPjtY/P3hfm2+1uQ47+DBVVZW1OgnY24WZR0af/JBx6lZDIaInzfrs8y/t3r766isbF8C6FPYIWFaaLO15i+xKz8kFjImOIfOA7riMbaJbJnvtjXfe1XN/f1WNzc069ugjtVmvDRXIESBATmWlVFJTJk7Uo48/oR8nTdGGm2ymw444RqUVZWpoTuuOO2/ThG++0A7b99b++x3YmiF29dXXauKPk7XFFlvYbOXKytJ8sKHEeJpIPKwGgA4HYwqFKUVKKBfEeYZDJqO333lP995zv374YbJGDL9GW2y5tWL0kcI5Z3znnHKlxTT4WPgosB/yliJyzoIqJSXWTJC9BH/tumsfk09jxoyxsQ/QhS7DdEgn84VyMW/TIq+RWfAoz8aoDA7k0t13jrIxM7vssovpbco7AGymIrIu+8/vNWrUw0FqBfN9PHAaNHIdwJps/ppv1gIfNjTVq7y0wpa0wwEbA+BKysuVaG42olxy0cUmZCZOnqhwOGINPzbfcgsDbDysR6S+aySbFKFDe1CEEfPFAB2+nsETAWIytZ72mhCeAZL+8JElvwFRKlyjsOCW93id0CYHQhGhgLHPZyE438Hf3uvj2pNGNW/+HJeyGUD4NtiGpSaN4dQMC2UWEIv3wgsvKRFPaZ99+sn2vrk18l1msjkLORNtcz6LBY0sbxZlkimFMcI4z84Pq7HJFRlzFD6TB0zeC+SL9wuBlKWI1tbauShe/2wwGektgGLfBMJf29Oc84gI8llPK16zNqiMcMjnuPt8ev5fsMtVg0rxjpkT31zTAilzf4Xeadpyr7raambohPIpSE3UE5bEzMNtRhXR2vxgVdYFw621lqeE1FdX68eXmWcXz2NQammoV3FZiaXt2tgJikbr6w0w8tycw9o3tyRUVBRr9ZZiDGdTSV15+RDcyNkWAAAgAElEQVS9+NyzNm9jsy23VFMTDWVclyA/z86ioPmU00JTd9LkKVql54qtnr1Cjyg0hd98qurSCvD/ps8tPAeGezdPIJ62vOf2uaeftuHItQ2Nqquv15prrquLL7lEm2+1tWLRkA0c+e0O16k1FW9WpKhEt99yi668aoQJ89q6RttLd955jz788ENdfc31rktrMGzNEi69dKi2224blRWTgsMg4JgNtsXI6t27t80E4welQHv/jz/+2PYVNUIYLRjITz71tEZcfb022XQza6hBG/Thw4Zat1kUo+2PPHEW1yXyh/HjdPrpp+vLb75VKp1WVVVn3XTzzdpym22N94nUcbRep3B98vJneVBzS7OTXQELq7jj++++M4DOzE0MN8ACjjqG3/IaY1vYmz9MnKa/7H+UBg8dZAYAEcZcLmVgrDgU1quvv65jjzxGK3RfSc/+7Rl16lStQw48QC3xRoWCaas2HvXXh1VV09VGIgBOoDE1LBg3m2zSa4ms5TpBp3BNm30zevSDunPUPfrq23GW6tPnz7tq5NXXaJWVe7SSKN7sdAaGutdLvx3/tl+DxKgX2qUz6/Tzzz83Y5i5nehZdBv6Erm74YYb2pwv70TlmdD3yEXfZp4W9LTsh9YAcNYMY50oyQ3X32SGzoABJ5u+X7HnysbT8D7z2chccZ08iWYi24NWf0gtiTXrSscVAD1kM3r6scd0x113a+qsOUqmw1plrXU0+NLLtPWWvZyKoSbONxkgJWoZvT5LI78aamtVXlWlq64arjvuvFNbbLGNZs+Zo8aWuJ588vFW+Q/ogibMXgSwsn/JgvGpj9hHtKdnRBF7gXE9DHln7AH0AthQC3zhhRcaaMDxgszACc6oHpw5tBVHF8N/hU5sdI2lZ7MgNCnKhzjfeeMN9R9wolZbcw298fo76rXpZnro0ce0+uqraPqsWnXrUiUa1i4j+YztC53KALP777/fxhQMHz7c+AQgxnMC0gCZ3CtyErBr3UKLo5o8eZLZj7RbX331NQw8/XnX3W3W2rBhI/Xyyy9r5ZVWtRb/hxxyqM1nQ84+/ewz6tVrI333wwQDc4xEiIVdpKg035HUO6tbAVtBRPHrr7/SaaeepXm1882mRXbA79wb6YGWytvBGUrtAba6efNsvRlVwqzKa0ZerQMOOUTff/ut/rTLrlp5nfVVWl6hKT9+r5uuu0a79NlR2USLgpGgEnXzjWc++HCMtur9R7321jvqf+IpOu2sczR46JV6/713tWrPzprw/bca0P8kA2e33nqnOXJ69ljJgDaz2VhHZi46kJawzBnX8dVloNkRSEvZpBQK6KOPPtQ1116v8eMnqLkxq2w2YE6wbbbZWNNmzlf37vRVwEGaUZQmRT9LufKNAemWTPYczaTcWgCIGHM1dOgVuvzyy3TRRReKdUSWYWdixxIMYn4zoM0BvRaTcfAdY0twPrHXGK9BcIi9O3r0aHO6sBeRVzhPmJGIDceBjkPW+WAKr1mZUzAsAprcVzji2vzn/QKtvTnauhVnOx6wLaCMMhl99MGHtvF4SOawjbzmGsWKi2xDAhgYvImgwZvHRoVQTKBnM2GQ4IVivsbjjz9u3lcUBgKKwZHMf0CZwzDMZYM5IBjXJTrHbDI+T2Ep1+I+mDHBArAwGNgIOAiNoES4objxSDC0EqWFUkegch26YmFUbbjR+vadeLk2WH8jA56geQQDcyxgZIZnY6gRfQPZM+Sy54oraM6MnyyFBGG46WabGRO/8ebbZkDxnHiIEFJ7/HlXK+ZOxROKFkXUXF+n9z54X++9+6FWWW1V2xRsTAZnI7Aw9AAaePVRhDALxh4AgGfDGMOTQNQIJYvnjw3NswOMOVgLlCaDExH6zL9DYQO6iAZ8+eWXCoUidh2G9qIEoBneej6PV2/LLbe0a7F58RKyJnwepkbppuMUpBKCD+jdt9/WpKlO8NFqm98Yrygu9uSIEVcrFwzZ+TvvtIPq6pv07htv2T127dbZcqqhvesQmtXYT8aaN4T1Hvftd2Ywr7LKGmZIUPTed8/drctRRXWlHnv4YbvnPn/eTTv+6U/WTh3aQS+uT9c+nvGnGTNNiXBfG2+4nkYOH6aXnn+udWbdehtuZEPd4wmXysoG5x5WWnlV41MA50MPO4XM/aZa4urTZydbA3jQdwWDZotqBvNbGne/9HcvjcFzy403mqzYcec+lm4QCsV04kknqbpTtRoam1RV9p+3Bf7lnsMBNnKjk4mUya1PP/tC/fv31zfffmfrzSBg9sDESVPtdTyVyLW+fTF8L1eIdJKA64Z7yimnmEeb9vTe8GUvoxgALuxxFAl7F9ly7qDztf6Gm+j6G67TxRcPseyCV//xiooohG52NV/tRdgeuPceiyzt2W8fteSbQuyz777abAtkUdvRUYDNZzEQVUPO+QZKeMuhySGHHqpzzj7bgNrNN9+sK664wmiDDD7v/MF66plX9c+Pxqiiggg60fkWxSJhzZs7UyNHXqPbb75DG/faVK+9/Ko++eRjnXnaqbr2upEKBjI678KLtNue+2iTzbYyAxdggh6C1szSQen26OG6Ei/qaAVs2bQAYmeedbbJ7b322Ve0uy8pL9P+BxyoFXt2M6OWKEUqn6IFuPw97O/2ImwYuwDYww47zCJjONMwpnGiMHcI4xpdjKENkPO6A3p5Y5dzcArwedYVHcH8z9tuu8UcmXvutYd2+lMf2y+DBl1kxuWOO+xks8aIyLE2dJUjG8Rlc7g6tiStwsM07UkrxpibXFq1s2cZPz/2xJPa96BDFAiVKlpWoX3+sp/WXnMlM4jwQfxagM3zzZNP/k1ffPmlzbF67fXX1f+kgRo8+GIdd9TRmjdvjgEqHM0nnniiDXtGd3inJzYAjmpsDqI57BMco+hf5jwRrcOBwzWwU6Aff8O//GB4Mqrn4Ycfbm3gw97yzlPHhy7S6ByYZWJwMvvt/gdG64CDD1JDfYs1TDj8qKO18iorK5mWCBh7v/OyylTPIxi6V155pdGAngXYcTwTth/PyLPCPzirAFtEDQ3AZ1P67rvxOuKII81RNvCkUwxksI+hw8UXX2o2GnYj4HbO7HlG30GDztdKq6ysK664XCedcrLZhy+88IKKrBmGi4BbzVtRkTmHctm00d23u2+sq9Orb7yum2+63a6DTMLmxEbYaqutWjvbLitdlva89gDbt199ZfsVegIW7r7zLrORABgXXDJYL7/5jiZNmaL+xx+rkcOu0PHHHaVEY71ipcX66pOxxo8b9tpYw0deo332P1BrrbOBzh50gY49vr/+tNMOOv+s03TUkYeaPYXD5phjTjD77OyzztXVV19tIPnuu+/WqqutaI/EepPS7LKVHGBrbmhSSSmOk4zSubSt+U0336rdduurREtA3bv31HZ/3EG9e29q6YTJFCn/roFfGA5cAmDzdCQegBy77LIrLYI7c+Zs3XzzjTrppJM0YcJ3+uijj0xPw2Nk8RAtRe/6AAbBi379+lkmC/sCXYxdiG1CMAkMAU1xHGCDQwuXHdCW1eUDRWSbYSvjZPn3Z19r443XF5mfYHvkEwEIwK2fAcpv6gs5OjzCxnwCQslz58xxc2/yHHbWaafp9Tff0NPPPqvV11zDboYNi0CC4QE/pKaw+UDEKATABIoDIxrDBcP4008/NUIzJBrvBgqEHzx+bDBQNZsdwAfYwvgHHcNMpL1wPQx1Pg+oYYFgcIjJNTkwIvif1zk4D+bfdNONdcghh+iLLz+zAZZ837SfZpgX7IgjjjJmx7sOyAGwcT6ADq8DYKZzlxqtv/YaGjt2jEUM/nrfffr88691/gUXaPa8+QZaMeD4Pfq+v6p7965KJ5KKxMJ6ZPQDevCRh1VaUqmGpkajAdclqofCwihECAIMAY14R/EGAD6hCV4EBNjJJ59kDAdYA/TiKULII/ARjhih3CuMDKM9++yzBgTxBBL9JE2R/6EnAot78JE5IkZEPX1KE/ThWQBvbIjDDjskzw8u7nTyiSdaShHKnLaofCebAKB46WWXm5Lq1qOnedIQ2gDfffruZf/v0Xc3bbDBeiakAbYwOJ/BKwk4JMUGxbf99jsZcP7xh0k64sjDdMGgc3T8sUcbH/H8M2bPMXqsvc56lj5AJy423YyZsw3wlVZU6pNPPjEeHTHsSj33zJM69+xzddCB+5lHbdz3E+yZe//hj8azjzzyiEV7eZ4999xTRx5zrKW84DzYa6++2nG7P6pv391NqRQaOUsrsP+bP7c0gA0gjQANhCM6+JBDdMQRx2jNtdbQ/HrqlUp/+whbLmlhwZbGZoui0g2qsqpaTz31jPbb7wCNGnWvGbq8XlVVqUcff8r2yDHHHKdrr70if/9Z42H2J44TDA/kDUYxxi77kD2J4QpvIVNQCDfefIs22GhTG1qMIkIx/v2lF7Vxrw2MLajPIOhggv5njOL23EvPPWtAsaK6RpttvrmGD7/GRYNDYZXkU/j4XEcBtsJUI+smTPpIKKR5c+eqplMni3Zj7OMgwtBChiJ3nvzb3zRk8JW69sa7NfqRR9V3j972PNSvURc4YsSVeued9zRnxlx17tRV99x1jy67dLA+eO9dvfb6K4pFg9p9r731hx37aI011zX5hfJFISOviWLceeftS9xe0LSpdo5KK10t1fnnnqd77rvfnG+79Nldx/VHFrlU+3gcB07E1ttPtCmsL/6t9nF7gM2/j36D5wCz8AsAAmMWOYahi67DAw04cGlP1K84AI4+Hjp0qOlyDB0MHuj9wgvPmc4AsHlH59ChwywKt8P2f7LPYtiQhlRZVVpQp+06RpJ2nM262rdovpZGibhuvukm3Xzrbaro3FUHHHSUDjriKK2wQifFbavmVBoLKM5MQ4Zv/xoRNurFcZ/nOfSMM8/WAw89rPvuu1d/3rmPefqxUeBxbBwcB96xig7l+bCFMBB5H12BXsPZjI7DeQPPovv4PKmS7BVeZ10AvuhcHKm+LwC34jNtrPyEDc7crXiLwrGYssmEOUUuG3q5osVF6rf3fpbiu0LPFQysma2dzqokGlyuCJvnexze6Eucodhp7HP0NrYfPIbjAGcmzwZAxX7A6Ce9LpNNa8CAE80g3+4P25u9A6+ttNIqFrXEFoMWOPTfeP0ty3gaMuRS7bxLH91ww9UadOElRkt4vEe3rnZd9jaRFZ9dBWBzxrvTWjhePhjzkU4/7WzFkwlbF/QUM4R9F094f+FynF96n7cH2F575RXjFaI/2IDDrrhS/fbbT198+qnOPPc89dpyG82eO1dTJ0/UXbfdotVX9Rk/Wc2fPs1oNWPWbG26+ZZ6/KlnNOCkU7XJFlup7179dOppJ2vw+efouGOP1Gf//sKGu5944ilm35x5xtmmz1hXQPjKq/Qo6LrJ3s240R3ZsCtBKcFp78pannzyCbP3IpEi9d5mJw0ffrV86nJRacAySHJKKBJCnoJsFlZwbRG2ZIr01ZCNDSGChsOEIA5dLU8/41SdfvqpFhRibZF1YBDSvMES2K3sJ2xAnO7Itm233db0LDIQRxU/RLVxpmAbY3tfcMEFtofR2T7rixRwdDyHf61Tpy766utvW9NoSf1278fzvSraenR4vulwwOa/yIAbsJEWNOm0CfzPvvhcT5BLusrKBgwgAsYKwgahTgoMqTEoBmOCM8805Y3hDQEhMsRiQUidgNCgZxQvng5XoJw1BYB3ibAnSBgvLRuJa7Hx2ZijRo0yYQGIYWEwsgF5AENqR/AM8j+pCAgNANHQoZcaE86dN9u1iU2ldO45g8ygePTRx20BCcvzvbvv3te8hb022sSUF16IPrvspNF/HaVzzz1bL73yD93/wAN65ZXXnTEy9HJjGKJzpJS8+vLfFSuKKJOggDGg/ffdR19+87UuunCI/nr/fQZweXbADYYdhh/0gS54qhDsCCwihoT/ASUIuLPPPlOXXXaZGSg8N94sgAvCk8+gREh/QaFwXWhGxArlzXX22ecvBoCgCV4KlCzeL8AUihZAbHU3hxxi82MQACh0FBARprLSMjXV16q0okInHHusnn3hRRPQFZXVRicUF8D8nHMH2bW7rtDDNhXXQygffdgRBp5HjLzKvOFEA31u+y233mI8w+bBAwQAP/DAQ81TMmTwZdZO+vijj9BJJw0wOsN7Fw0eYpHN8wZdYNcHpKE8+J9J9w8/9rhFzQCSD49+QJ9+8pFGXjXM6It38+zzBlmU9sijjjEFCpBmrW+48Wa71s233W7rgAIdPfp+bbLhRqqqqjA+RYEW5r8vriHHLy30f6vrLQ1gmzV9uvHisBEjLQJEylT/AQO07vrr2m3/9imRGc2ZOV2d82M4spmsOU1OOfV027fXXHOD/vCHbU2nvPXWezruhP7mfb3ttjvUu/eWSrY0WQ48ygSDFx7AIGMvowTYk3gBkZfwPfuZCBz/Dx95tY48+nid0H+A0QgZNfqB+40Pf5bKuBjARsMT8vlPPeNMzZk7X/vvf6AGnX++1t+ol6LRUKsx1lGAzWp4AYi+WCzfPIlatunTppn8R0HiJENuY/yjGwCxEyZM1dvvf6JLh16hgSceajQOKq2JUyZo5FXDteOOO+ndN9/T3Dnz9dADD4n0vkceflC33najunSq0IkDT1HnFVZSr403N/qxz9mvAGz2IbKSNMrFHQaCM8xpoztGWNOmTDW5Perev6qmpptOPu1UnXLqaaqpLjfARhSjEED/NwA2dAg8iV4kyslvZD9OPIx/eJYoMK/jYMApVXgQuQAwoFvhW+Qz60B94siRw825uXOfP6myotr04y233GG62AM2nHQYRQzZ9iMSfAYFgM1SicJBJZvqFSuJWSr1pPHjde999+vam29VVkU647zzdeLAkw08x8JOZqRoFFDM5zs2JbLV/snmlEyl9OSTz+icc8/VSquupmeeeUr180g7O9nsBAx+Uumgc+GBbOB97AHWA/uGaD12BvYPehadBp2hN0Yl9IWf+/TpY3obfYNcQi/Ddz5dz0d5f57yl1PD/PkaevkVeuTxxzRndq2OPaG/Bl14kXr27K76JuqPpPLiyHIDNvjLdeCLG6hgn6OrcRpjb+B0xn5jT8IvOEuxDYm4WrfBUFhXDb/K6EK3Qmhwww03mR4HSHG94447wQDFHbffZfoXOXrs8ceZHB02YrjJTkDhGquuYpE76mlxOngdbHVrhPALUiKpYbvxhlv1wIOjzR4lA4u1I5pZWPrRkfq1PcA2c9o0s0u5L/bq1SNGao8991Td/Pn6y4EH6dMvv1Zlp85afdWV9cQjD5msspRIotiRiK4ZNszssVSG3uZB3X7nParp2l079dlV5593js489SRdfPEgvfD8S0bX444bYHbyxRddqCFDLrd1MyDcs7t1QvcNAImMZjNSvCGh8io6rtMIqlHR4pji8RbdcefdGjr0SjXUpdSv31+sfnLFFbsrmaH8JqjmeKOlOrYXYUtn0sYf9fWN9t0zZ861QMARhx+lE/ofp0svHdy6PDiesPeRM0QkWU9/jBs3zqK0PuXRZ9TheMIWxPGEnQk4xTkAr2Ef+06RZL/Av0R+wR7sQYDbR2PG2n7FQct+hqdp4AR4BL8wA5pGg0TeUqlkx0fYqF2L0cWQDlAMwky7Tk4Ys99N+F5/vf9+rbn2WiZMMJABUCBT0vfYrDw0Xj08SCgKFAMMBFrF00xECKGOwqVgH0MHbwmRJA4WifRAjG1ADKDBe1NZALwPeEJgaCJIgBsIB3GJ9hERAlwQhQM0IgS4BwyGQYPOtU39/AvPWiSFTfr2W++a4rnzzrtNAJAmwiIyVw3P0Bqrr2VGGNc6+ZSTdNrAAbr99lt1/4MPafSDD+r++x/S2++8o1ffeFOVlRXae+9+JqSffOxRN8siGLYhpTts9weFY1FtsP7GFmFD2AG2ADcYOAh0Qt94ClCSKFMYCjoh8ABp0PGggw6w34AuIlsoB1Io8UwBdPHqkRqJdw7lADOSTorAczRrNPqiLGBKvAtbb7210R56oEi4J0Af68JrGKRO6f/ZvCPNDXVW53jqwIF6/6MxlrJIVx2uiyDkXgadf6Ex+wa9NrZ7BVzxnf322NO+7+5Rbd7w2bNnqqZTla0ta819rrrK6maMYfBfcMEg7dl3H/MdHH7wATrzzNNtYwFUiSwAMLftvZ3xKIATQ/mww480Hvrsi8/0xJNPG68C2D764F298eo/TEGus/76OvroY4xX+DzfT/oP4J7iZPjo+AEnmjJiQ+Jhrix14xQKc/n5349laK9LW0cqg46+9tIANu4Bbya1E/fce6+1DT77nHN0Kp6xpuZW+nX0vS76+njyqF/Ku5yDQb35xpu2t97/4CNzPJ1wwkkqLS3R2+/80/bnF199bY6Is846tRVw0nihsNaBtcfIwgGCEmRPkaKHIgS8EeHF83zJkEv1hz/+yYwqPHsYMU8+8bi22HyTfNoIbTfcsbgIm2nNQEDvvPOuLhk8WB9+ONZSTq+74TprWkKdIEdHATafEomXFcOC+k+6bGEc3TNqlD0v+xEFuFGvXvr6q69sT+Ok+/zzcZoweaYefPhR7bKzS72OJxo0YuQwffDeP3X44UfqgXtH69tvxuu+ex7QlCmTLMr2xpv/UPeunfTn3Xe3CFvnLivYXkVhU7e22WZbmGPu7rvvar/pSC6lVFODATY6fdbW1lmWwJNPPKNvxo/TbbffYUYmGUAMSo3lERvrsTRznjqar9uLsGFU+I7C8DNOSPgYMECtDkYyes6ln11s+hNZRjq7n/+F0YzOg2c50EnIT+QfIGTvfntaSiTrTEok19l7r33sWhx8R00nF6l0h2tBbhG2DKmwQbXUz2d+kDUMw9BsnF+rO+69T0/87UX9NHuuzjjrbJ168vG2D+DoUL5hRUcDNhxOXVdYwWqjcYycccY5xuM33nKrdtjhjzptIDV73xr92MMAKuweaMZBmQYOUg/u0fPYR2QJAWjgW/Q0qaj84KjGVkJnsl7YGaR2kfWCs8O3+kev+FljGJB+AHwwGLDmOYFwSDnytAJBjX74Id1y8x2aPmu2OXZOGniyzZFFJixvSuTC/E10DNuF1DLAFL8B8NgWOLqwJcjuQSZir3Xt2lljPxljDlNss6OOPMbsFDqf89zwKrLzrLPOsXNef+1Ncxhw7T677qIbb7xW11x/k6XhEVFcb22X7TWzoKkd/7cCtmxGGbr+RekYSBO0Ej3x5BNmV2En+X3gRkh1/NEeYPN3cNvNN5sNOOquu80OAcS++e57uvqGm6wj8VFHHqGT+p+gM04/2YHSXFb//vgjs3UBZ0cedbQ5s4tLK7Xr7nvo/Asu1IUXXqCTTjhaAwYcr2++Hmd2Uv/+A80uO/OM0zVw4GkWRMF2XG31lczx43oCkNYYt/pTX8PW3DjfImzFZXQ1DZpuf+mlV3TDdXdo3LjvNeDEgSYXYiVtKZHpbFqxYLTdlMhMNmNz1Nw4jJw5BQ45+DAddfQR9gxJ5jBbRxMZpvANENHjfvA171EiQ/CFA6cAtiyfwRaG97CvcZ7Ac4A47D7OB6uQwYXdTUAF3WU8NnOmnn/xBa222ioqLXVd27Fr0f+TJk7Jj5mImr2MHUyq8K8SYbPomi++zHPY8UcfrTFjP9Yzzz1nKZEY9Cw0UTYWBuZH8AAmiF5h5GDo8hphfkAahGHzIbzYbHhj8eJBWAjjD5Q+goAflAzns2gAGzYxwgslQsQJQAIwwOuLoY8hjhAEWRN1A53jgUXhEE4FeR908AGmeLj30049w772lVdetW5xfDdMu8IKPc34BzhgjJEWRXesK4cO0V/vHaUR11yru0eNMg/cy6+8ogcfedSiXmwuPDYP/PVede5cY00Z6urm6dCDDtRPM6br9tvuVk3nTgbYiOxg9BDF4r4xAvEUAMDwUvK8GIAAYJgSYDRw4In2N544PDAYiQhyzkEhwFSsBZE2FAVpgghUmBCD47333jfFAIDFI4ExxXdgpKBsAIt4DwCC3Bs0QTE5b+pN6lTTSZlk3JiYaNiYT1xHKDppEeHjHJTXXXffY99/1LHH2WbhYAMeftAhVk923fXXtHZxpLsPSvy6668zIcXaVld1MmF/5pnnGu0xCLp172KAjQgb1wZcv/v+Bwbyu3ZbwULVrBnRtwsuvNj48K8PjDbhjBK5755RGjvmfV10/iBzFPypTx/tssuuplhOPe2MVmUJT02aPNX4rEv3FYxP8E4PG3aFIoGgRdgKc51ZSxT0/+WGI6zf0gC299991zys1C6mMxm9+ea7Wne99XTJpZepuqr8N4+w1c6ZrarONVImp/HjxumU088wwD54yBDb+0CdGTNm6cijjjKgdenlV5hSj4QDamyKa9a0KRZphjdwOOFQInqBXMKJxV5CCeCF8xFulACpkQNPOVVbbv0HDbtquMlH0qfvGXW3Vl3F1QssDBAWNB9cSuTXn39m/Lz6WmtrhmUu/KhMNqu77rnXuoXlx7h1OGBrTdgPBGzUCx5vDwqILmy9zTaWJonTBJkLPV588TU9+MjTeuOtN1VcFNL3E77RGqv11CWDL9THH39kDZwm//CTfvhhokaOuM6e59abbzQHWbeunXTEUUfq8KOOV3FJmSldIncANRxXPgXVdUxb9GEgOB23QvlEU4uee/4Fq8Etr6rWp//6Qp/8+1OLsB100IGiTJf1iFodlmuQ8ns42gNs6A0MEwCAT2VExtMIBqcqrwF00a3QEPqhI303Z3QomREYM2RhIEPxTqNDWAfS3v682y6WyoZBQ4QNA7vPzru2ZiignwAIbR07HWCjMRW1VcjPgNV4ZJRparRo0udffqXpc+erpKyzHn3qGe1/4EE6/dT+bhQqwYOAb8ddvsxdM5ZGftkaZ7N66513rdSBLpi33nab9jtgP9F06sTjT0xfiBIAACAASURBVFBlZbkZY9AUWwN6sb+p/+F/smcAxfC8jwATseQzRARYG/QyP9goGIrYRryOkxjdTAQAXejnknFbhV1KLeUPj37CNUlIp5K21z7/4ks1tjRryuTp+uLrb7TNH7bTaaefoYrKUsVbUssdYfMRLPgQmw47Dj0MEAWYYSvAY9iBlKwAwnBcoUOxA4haox+QqYDTIUMuMzCGjEB2Qh9sKAAdPEdTOGgDT6251loaPPhSDb7sUsuiwjGwcs8eFuUgFbsQdPkIJKmifnTE+Anf65/vfaTG5iZzzGKHYq9wv64bYa1ldHXk0R5gq2WGcadOevapp8yeu+fuUdr3gAM0sH9/vfP+B3r+lVcMHG215RY649RTdNWwofrxO5r+9DD9gx6Cz47tP0CHHnqYfpg4VZcPu0rDR4zUSiv21G23XKejjzrCmunhhD/33AssrfyiCy8xRwLrgP3VuUuVkcHJGzdHkfpTAFu8qUWxooACdLBRVh9/PMYiT7S7nzOrUZ988m/LuAIslVVGNGv2PHXtUqWlAWyMeoDPybDimD17vunn00870xxFV155uellMvwIcGCrsn/IbkHvAuQoHyJrhYAPGAHblr2EHOPZ0E/wBDY3a4/MhN/gX2Qn+5eUSK7L4VOR2fMPP/qQ1lprDQvosN/Y4/z9xedf2bnYDtjK48f/ioAND3kEBJvLqanepcCweb746kvdcddd2mSzTS08iGcEwY/gwbCnkBMQBsEQOoAwQB2ERGBhUENEvEeAClJY2PAwGgDKt0qHafDwwUikKaFE2PREf/Ag8Hl+s8FA2AgLPIRsfKI3EBbPAB5CFgzAhvF01lnOODvm2KPsuwBCtJEG8N17730GiBAsPM9ee/Wz63bt0t0AI/dz2umn6KILzrPGFdfecKPe/+ADjRs3QRdedJHWWHsdy53FcAFo3HnbrerSpVNrF73hV1xunq89dt9bP02fZuAFrwmeKJ6F74BREPoYZKStsGEp8qZej2fGo0n+PJsSGhFNhAbcL0YLABmm4R4ArIAXIqC8B5hCeeDJgmlR1gArjE2UDF5BQBreQpQFTM09YpASaYP2I0Zc5QptAjmLokDvvz3zrCsoLi23yCQeDJTQ0cccZ95HUiJ5JowG1ujg/Q6w57jiStIni/IzYihHpY5lhAkNAHMsWmzpOgA2hPsB+x9kSv+2m67XhReeb3nz8MfnX31thjZtuYnwwXeA84svGWICmRoVPKVszhuuvUaTJ35vgg5HAqDrw4/H2uf37rev0YRNiCHy7bjvzGDpu3c/2/AIhldffUVRbxEXbGRTmEQZQqGlGmzakQqhI6+9NAbPHbfeak4HRlxgsa222lo686yztFOfnQzwtU3Q6sg7Xdy1nSeSTlyVNTW69aabdOoZZ2vjjTfSHn372hgJDNJ//evftqeRPQcfdrhFLNg77BMi7EcffWRr5B6jhAg2z4yMwYmBrILneB1Qxv5AVg4bPkL3/HW09u63j+1RZONlQy6yDpVVla7dcXsRNmrYcJA1xRPqvsIK5oEEXOIY8WmVC1znF+4S6Q1FZyS6tv7UO2N80RJ+++23M7nKgQJEbiFHee2ddz/Qn3ffT8OGDdbzL/xdd951k669ZpgZcUQt586ep0uHXKl5c+p0xx13mWy4+Ybr9cOP47XSyj1sP990613q1r2HOXGQ7XgzARzsXQw934xhURxgjUToOGkNG4IadM65evSJJ9VjpZUNSKy82qoacull2nyzXq1z+vCt0iSDzpIdXd+yNDuiPcAG/+FIQL4hy9DdeI8xcHwtNnrGlxpAU5yogA5kPM5DDBgMbuSrb+7F+tbVzTc98f2E8Rp1971mFB17bH8zxCkdAAgC2g8+eH9XpkLHeZvVRroQDh+4m26bCdkIVisQzOqGESN05VXDtera6yoXKFbnHivq9DPP0k47bmvNiAPZnIpoUgJy6+iUyFxODXV1unL4CI0YeY16995ONPWZV1dvNcyVpQwSn2fPBcBCRpCtg6MU2vkULXQ69VHoUvQihiG6FjsKfYizFtkASPE6C1sKGwnbCDvEjwtYeAyPATd4mDoe0q6sm3JOD9x7ry648CL1WGlFhUNFNhT4jLPP0T777GXxyV8qwlaYGgyfABDIfmKPk0GFvYUthM4ku4a9CZ14HVlIllD//ieaExmHPAY4Ngy8C/jj+dHBPu0ZOl988WA9/cwzVqryxttvmcN6xPArrXkQdkQu34rdG9etYw+8mzGb1TvvvauTB54u2rRzf9hO2FLYSb/W0R5g4z7IcmMPAlLvuuNO0yOUdeBU3qJ3b7UkE/r6i8/15N8eV1lRiU4aOEAnnnC8tvtDb+PJuvoGk2kTfvhBO+20qy66+GKLtmHfbr7pBvrg/fcsYgUQJkIO3+GAoS8CUfILLjh3IaeIq2Fj9m4gly9qCNC4qV6haMju7ayzz1UymVHPFdZQY2OLOcwPOGAvNcUzihVRk+Ycju3VsLWtg+va3bVrd7377j9t7MNlQ4dYSRDN8LBnkW3YwAQtcLJjo7OfyLjD9kfnAupx4IM72JPYt2AU+IzPIxexrynZwR4maMJr3n72th144scfJ+j9Dz/QttturdVWXU0PP/Kw1lhjLcMuX37xrYHAMWPGmr04Y8ZMNw9u8k/f5+j0VxQrtcHZjz3wb+1/QF/12opys0ZJhAoh6pJdgj9LufGclHEpkDbDwklZzZo2zYgCYDvuhBPUuWsXM04BYYTt2XAYMxjYKFBChESHEEwobQ4WFSHHwwHoICKgg2uwkVEgPs0IAQXzeG8hggCmJcrB9TgfwcaCIgT5G+VOtxeEI8Yzn0cBgZSJBgI8jjjiMAfyPnrf7pvvpMCdc3fZ5c/2GZQXnsh+/fa19MKiWIkJVxZ83fXW1l/23VvPP/OUPv38Cx13/PHWVvv2O+6wpiM+nx2geuN111rTEXRMY2OdSmJR3XTrLfp4zKeqqqk2YYzyw9CDGXgG3wIX4UVI1td+4OVE+CPs1l13bQN2gCgYCyMFLxaCimcHSANAuHeMQkK/gD6ALc9MRyVSMWBWABQ0I20G5vLRTLpx8nmeGU8UETHWgInx8EP9/LmqqK5W/+OO0z8//Mjui4gU4WFAJrzx8dh/2frNra2z7+MeWL9rrhphXolttt1K3bq5kQx4aWbOmm5hZAxd67DVuZt5RWirDG3uv2+0dZg6ZeAAjfvmK/scBsl2O+xoAnfuvFqjiVcMD4x+yLxwRHYQVNDirNNP0+f/Hqt4U6PxBcpko002NYBd06mLKRtyuI2fN9jINnc2ELRz4ZHDDz9UXWsWXyPzawn93+p7CgEbBeysB3KYGk3fjQtlw17H4GHsBc01+u65p+Wyk64XtIv4K/36T4LHlfQYUp/g+zGfjHWd7IJh43X2Hntn4qQpxh8oR2ou4Vn2wQnHHG2ADe8bsgse5/PwN/KGfQofYzQj39gTeM25BsXg1BTMnTffDDmuscZqK5kPhBk3xUUR5+CxlMgFaeSH4zKaAtk49Mphmj5jhi644BL9Zb/9rMkL9PVnGZ0xlNGTfuxCvq3/8gwG9sX8vq0/cwzZh8gRDFCyC3h+lKBFJiMR2z+8tu56G2nAgDNVWRnWc8//XVcNH6qbb6GL8DoqiRUrlc7o1lvuUnV1F/Xe5g9aa+3V9dGHY/TQQ6OtZgIjbc+99rXIwtixrqU4aXzIH2QMDQ18p65FAzYGn6eVaKhTrLxSyZa47rh7lG69406ts/YGOmfQedq2t0sP9/rR8evP1+PX59yl+0Z0IjyJ7MaYwSmAzuV11oh0JxyrAAdkJbIOTztgA481BjgADC+x7xiMbqDD84MPPmB7ZKedd9Q+/f5iDq/33vvQshVIYUJ/HH/8MZ5gC8bkA67pSCbNQNugApmkdfwNFxcp1dhos6NuG3Wveqy4pg4+8mj13Ws3AqGKx7MqK2Kcdb4xQXbZB1sb3+cC1rlukfvDFjqg6VOnWprsx2PHmn5vbmlRZU0n9eu3l3pvtbXNC8UpDBBmXwN2cQTjdMXIJtsFIEzmCZ/DGETHEJXHKYoDGocsBiK6Dt3CHkIeoZfgZdbCjywqBEgesLcOy26t0XKM+rcnntTV111rwJb6NdLhItGwG+ZLU6Pl5GXrvJhPEcPOIjuK7CcitOhpbDwiGfAEvMLe5HVsQZzAOAHgSUozrr/+WrPleFbsNcpikKnQAfsD2wX6kKn044+T9Mxzz+rDD8aYzsceITMBK5e6oXB+iPbi6eM2NeMOrr3+OrPxsJO4F56He3X1Wh17eNm78GDs1v8Zjt3cbDIeum7Sa2PttOuu1kfixZde1qNPPaVYSbF22oE+Awdp6qTJVqrT5087muOafYqT7ON/fapNNt3UUvy7r9BNX4/7Xk8//Td9/eW/1XvbrXXQgYcYf/344xRzOEyfNtMCLGeeeUbr2CXX3ZUt4aJshW3908kmUSUXyWc0/O2pp3XvvfdbhG3AgIE65NDDxOSqxpYFAVuQOYetTUcKLIr8EG43EtzN8HUjuUL65z8/0Pv//FBrrrW69t23n+EL6uywAeFH9C5BCQAcTilew4GA3UzEl7VFFnoHCHILBz40JnjAPgQXcA0O7Eb0FfYqcpB9iwycOnWyZYfsvfee6typs55/4XlVVFTZ9dlv8DCBH67300/TTD4G5syfZoOzI+EiA2yPj/5M++2/izbYHMr+AoAtz6+WF906fIyi3xarvarp0kWptJ8kzoR6NxiSaIyfG+ZZvnDAYuFQQzyjpN6xufCy+Po1P0PBp5YRLUIA4OHmN1EVauQAUCwEhOS9QqDnwu4x+/ERD99RhvakNsg5kNO06dPUYwUaXvj5OqWt3bJYPASxKX8CSgEGXNerqrpCQRRPOmlzpqpravT662/r+htusKJkwBMRJiIzQy6+yAwID9jKykptcGMsWmoheR++X3DGmizPm/fwAsB0hJV55jbaOk+FH4HA8xTSi/fwbMFEMCygkAMQ5loPFxlDF6b08TloxPu+Iw7nQH+rUyktzc/ESCqXatuke/fta5EUgBIpidyLn1UE6ZifFk8xK6rctiE1Ni31jW6YeN4icikWLrROwakbtBpQeVmlGRldunQ3+n83/kettfZq+XztjJoaGowGtC6mSx6RQ/gNEIoHMplyrdeDFLinXIOQSDCgbDquokjbYPJIUbGilg/tBnb7tJNIvr1r4Rw2aPLbNs3oWGXS3tVZ0+bmpNVi5kul2uawUVuFOzwUUlN9vaXKkhK5ww47m8EQt9a+GF6/7QFg8+neyDgAmWui0XZnyCFMe4sQWIQlpVh+IPVDD9xnqcQYZV6Qw7PIm4X3T9uwe3ftdBZgGFJTi5OfxaSN5cnh68/ai7ARkeC+Ucjza2u1zTbbqaKyXC3JjBl+pG5ydGQNG5E1PyjeCvvzRzzfpa1wRtsCq50LqrlJKi6Vvv7mO7340lM65dQBKkYxt941jQPyDoC8Ysd7npPrXpzKyIrS/WHDXMNhkyGwX8F4uJ8xWmtb/1RCiriprrNmzdZHYz9RRXmNttp2G0Xyc+xaAVv+Ksszu+rX5Pi2uhPXwMu8vIHAz9pVI9M5fHkCTi90BToT/Yde5e9CfcC8TGvskE3ZuBt3MO80qWAgbAOzW48FCObAFoDNDZhFLzLHiZord0bdnLl6b8xYS4nccLMtVFHh5pQmEq5LJIAtZd/PXl02ii5NhkDb/ftnCZpDZeYc0rpqzPfheQwwho5BfkBHHMM4rXHGQDvojw7lfQ9y0C/IF9/NkO/jNd6HtoV2ksmMdLq1GRufawMVec20EGCjKzXt6yPhYvX+4/aKMbA8D51/yQibb4LCb+5r4Q6L8KGfTcdzoMtx5K2++prq3XsbIzN8wzP7eV/IT+hlcw8jEZvfB/9CL7Pbgsx8TSuU7wpp9EmmXXYL/fGCwQI+X5g+eS9MNmTDt3HGkQ7smp61pb0tG2ct/VntRtgKhBilSdiPAcqTcjkl4i0KRKIKR5z8I9kHW/qpvz1hwKPXxhspHU8pXOTqu7wWsKSo1u7DLlrGjvKfcRkE0C7oZiRaHnLhM/kujgvOYUslmhSOkfrsatgmTJioH76fpt69/6iu3VxKZSI/rwwHQzKdVHG4aIk1bA2NDSovo+mTq58j64Vj9qz56tK12hybPoti4VIUbF4cCPwmas3B3+w/+KowZdbsQcMCrkkTJUQ4E+A9eIOgCDYzctLbv1xn7L8+1tZbb6mams4G+MAJjY3Nmje31nAM2Tk4ugBsdv1JU7/LYZwC2KZPSenpR7/WQQfvYYAtF6xXUEyUX44IG0/p3ZSsXKGjN7+IlsCWcYOOCw8/C43XPXEQ+Dyo7wDJ70Ig58/3Yf/F/Q9RAQOEcYmEEfr0B4T1ud5eMPpNaC1C8x4h0m5YIBviiacdoZpxm7WsrMKuz4LxOoxhQiOL0qA4OqqEGW6uRXE2mzMD4uOPP7XmChMmTjJAiecHrxIzvyieDGMILuThZjN4wIUAhpY2/LG0tLVdKamiPt3AFzTznOTP8wx+mjvP6ZVy4Xr4Ydk/p6cDJqwLz4nC8YzbnthBgJKegjXY0thoYeVEOmMpEZ06dzXB6mnthcTPAE+BxOKZ3X2GFkhlcsMTnUHhFXyrV4YFyaTaphUGgpYOgcHtG37YwPT8YHKvrHwtBIC7sHMURdo0UOD8QhDLbZI/j2grLy8zpdLc3KIKiuT/Pz380tU1tmjqpImaXztXAbybkaCCOdfJjIO9CFAHsBUVlVm3teZEUsUYD0nGHy/MFb8eQQOZrCl4eN6Mn6Bz2JAm4we32wD2aMTNGMPjmUiYwOdzzDvi+TgXAwPDi89xTW94+fboXMcP8bTvq6hUOhs00AatMM6yGWbcRO2HPZ3O16S0etDzpPH/8z6GdZrIfVOTzbmDzqRI+qHxpqrZJ4Fsa4SN/4ks4AlcnghbeVmJPSsyxHcB5NmgA8/A6zwHz42cRyZAK+u0lQmqsdE9b139HM2e85O22HJjza+dbQoaJ00mHVQkUqxkIpOXxxFzlGWzSXNmlaDMW1zrZ+QldOR1Dv5nrRZ3QMNoIKNUosWajpSUlikcKzJeTSYcfTIIroIohNHR/v/tePY/2R3Q1gHYvJMgv1a+SRI0QvYjd73uwJimMy5pfZzPmqG/WUeMF/5HT1BrDJCrq5+vhvome7+4uNzxboDmBIA3V1NlOq+VZo4XAWw2766kRBGllE40WxTN7cOQapvjCkcrFCDamsm6dc1mVF4SUziXtPmnODyXlX9dhC2cj7D9fH9w2741PBkBOB7Ky6tNfqHniKzhsJw7d7btfTJ02AMAXOQDz06EmWtAf54L2kFvz5+sDTzqI1Wsi9fVrA1/8x6f8V2IuY4Hf/wu5Mc2/nR8W1Vdo9nz5qqkuELR4hLL/ElnsioqKVMy3qxYiBjGsvOyl518F/cCHfxIA78P4QP4xwN+6IHhjDN97bXXtZbtNuOqKGKyDPqQZkpEww8ex6kO7Yxv5ZxRALbysmo1NLfY+fb9ERwFUXsm/vcyyT+jp4/db0AqLio3Wc/1+IHO3mHteNzNz+qoo70IW9g6Dbr0a9Y9lUiaHOVeyysr1JRwoB1bEP0BvbA7yXDDPsvRkyoUNFvI85bf+zwTthYZMZl0zp41Fiu19eN/1sjLjYCFoPO8ZqgRuymoptpmW9tojIZRTUqkE26wexFOiaga69MqK8Mh75w9vG/1rMGUc+aHGc0RXKR8ML1le65cjQ3NTt6XVBiPYadHom7WHraYl3HwCM/h5sVlrdyK13wQiNdJf4VWfh/6MSakTiL72Lc8A5FgvxehBdeC9rzGPQHu586fZ5lzRUUlFqUFsPH+jOmz8jTPWao453KPgU8//8js01i0RHNmSC89PUGHH9FPG25BtL9BAeGZWnbA5uewtbqRWLc8QWB0Xo/EHKiBGDADRLaba6sybuX3ws5a3nvEA7J4MF6hkHchUId4PdN6YOKFHMYBqWuEbxfVRp1r+6iVj7xBdOcBdwaFGwLoDmjpgEZbS1heb0XyuYJp5gwBbG6yVqaAOAcKgmqJJy3lC4HEM3XpXG2ekWQqoSI8uYGsGubPU6SI7k4BlZYvGHovbNvbdl9Z89oVNmPJ37HdL0zmGc97Swu7SPFZntVHyPjfeftcw4RFHT71wtO/cFP44lPn3XYbGdBGyiBdtHAi+EimrVUu4Go+cMoYDZ1CyTLmIBSyvOa2w3t9AqLo1BsA3E9dXZPNaQOwzZtfqxqbk5S1GjqeDYPLR8jgKQ4EL4Oweb8EAzMD+KpTl5pKE+y0Ruc9BAGpZOahCzuDmcMEQAYvaORnqu23jhB1lCJZmutawDknvffBR3rtlZc14YfvrAtqZVW5AQR4EhpCW4Bu1hRuwOqciGRaagWLsRwGw9Lc55I+U1VWboqJNYZPAGTIJWSbBx4mg9IpZ/ybUVpsew7+Ks3LPp9Z4D118JI/HwOO63ugwnX4CYTCSqRyKi4pNTqZ0ZFx98G5JisLPKGFz1EI2EzWhiNKJJNKJrMiGgx9vTfeFF8HATba+nuACZ28svRgHcXGc3GPfoaUpwdGZDZLt7aUMtm4ikqkWBEOvPmWql1T3VmJOClXMUv5RybTWrqxiXmbGecISKas+J31KIwe8b9fi8Wtv9Ew1aII7cVxxCVTLpW0pNSByZZmFRW7LrA+JfW/DbD5iIR3gHoQb1FjatKbmozfWC94Fr5EHmPUkI7mO0yyrnzeD0Z39eVOhheXxKxjHNeA/5DTmAY+6uIIuGjAlkq6aEk0kFY2FVcy7mR2JFYkRYsUipSrMZlWSyLpotCxqErw4qdblEi0KBSMdShg84Z8MBK1Zj5mv2P8KqB4vFkVJWSvOAPaR8S8U4L/ve4sdNp43oSG7B2/Rt7Z4w1q1sGvj29Rz7leL5m+yzvJFwYknl9JK05l6RZb6pw6LXFzTERixaqvnafyYqLZyw7YuD+yWLgPDGrv5OZ+eWZft+btNx8ds86WmZxamp1jGr4zGVleYucBxj2vOV7N25U4A+lWzszHXED1dc0m6+Bdk4N0gcxkrCtkYebQ4gAbtaolZaV2rrcpvbOskL7Lq2cWd357gC2Ul6nmRERHxYpagX9TS7MyuZyiRTHjE/QLe5l14DfOFWSub7LC/oGnPP9A0+aWRvsMoBk9GI87/UPpDzRudXgtYv8CtBhjyhGOZGnQbYOzoRv2UiAQVlG0Suk0IzGc85Yat2gspGwu7hylokvk4gGbt2mJAGJPYD8gk4joNzU7QInjqDCayp7zwQKemeeDPth83sHAM3r7Ft7xn+dzADE6jpPabKKrwD72wRReR/8Uxq+ITHoskU47J0skguPSjS/BnAx8M/4zA2zRSLFmT8/pxae+12GH76F1N/llUyJBMnwR4c5W8Obt/IDzrngw1sYQPufVfdCjXjMg8qDOM7IHet7I/0/aoXtABmL2m40N6L27C0f+/Hei/DlsPlomo4gNx4S4NIyIGMENzZsXy3k6rNAyP6SPtvKhvOchncbzY6xrhmk4DwItAOUy/IxsLY1NKikrps+sazWWC1vqn99MDgg5evL9MAWMhlDzz8Hm5W+XcugUrj+nUEn69SjsJrWw4ICxfLqGVyqe9n7Gy+KFVdbm0OBp9AcGj4uhO6+6j1AWpp+0rjl8S9AWh01B9gyCBAXv85f5PAacA9wAANaKSCX2FgK7rROcj3TyOe8QMN7Ke5gRG4XpTSbIrQ1uPvbfeiOOD1pz9PMpciZb8kONzcjhPv4/PfyaTp81V99+9aVF2IrCURUVRy0yxH5EWFr0NhozIIHAZS0weDDMy80gXnaDYXlJn4k7Q9T/BMLOsUBEjX3ho/XBsFMYuWDOZIIHbCWRWKsC9LzinVfsH3ikENCYMWtyNGCAjQgbzO9lCrzoHTZ2br4d4eIibLH8fUFfSxEkxSwaNccJwMinR3cUYKOGrXXv5yP93rFTSD+ez6c3e3nV3JRURbnrkJtTUqVlETU0zzcgQJo/ICASLtHsWXXmECPrIRxlHVoUDGWtOye1L0TiPODlO1Ho7F2f9r04HoGmoWxSRVbTEzLARuQEGUYKGfI5mXLP998K2Lzj1Azc/PwuD7w8ePNAg//RNfxmjTC8/FphBEJTaOudMDiwMPLQgx6ghcNFtj/w0CP/W+dSLgawAbhMZylladWBnLMj8OdlQhEpWKKWTE65gEtvIwKXSycMsCE3Aop0KGDzBmtRaZnptZYW11gH65QoEA4f+JV788acT3lk/0E/vwbeQIRHoS1877NZvCHNs2O3cPCaj5B6eeMjlpzH+95eWBxgs4yRTFrBgJMJdOuNFeGYCikOKDIaLrv89VF0B+AD+ZTGPKDK17dxj8hUfiMDoIdr0Z5RfV2jqqtrFAq56BaRHJ7LOZddu3YzdAOkOLs6aSc/EZshZdIhAabhSXNQJxwQoIatMLtqcYDN8w/neoDHM/G3X4fl1TFLOr89wNbS1GTOE+jAXsuk8o5FmuE0Naqc8pJAQPUNzg70jiui19DT8x5z2QzI5rNePH0iMQdUyVJwciEPfPMpkq08thjAVl1WYwAxmWo0IBaMuNRrvp/B2fFmF+AgwmYZasGcMtmkATbWLJRlNt7iARvPZnZ4rMT2AoDSsEMoqjgRebJfqIHN2+R+3/AsnifZj0Qd4TmigYAy3vNOAt9whnM88Gd/UgvnbWjvVPFZV94BhnooTCzkWeFNnyaNfW0ZfImU8XZg5pwpBtjCoZimTU7qbw9/qQMO/LPW34yOm3UKCYNo2SNsntmshs12ziLy0gsCNN7w8TnLhTVV/iG5pgcREJJUAr9hfBSs9XtpAJBHuBh+fA5Pgt+MSwIjXKPwOwuBDu9hMDqvL22GswraszmGCwYL6yKc4CisYUskXPFkoqnRvD/eIOV8DNkkNlH9JwAAIABJREFUQwXp3lRURBmP0vlcW7psllWUOpCQT8mgBtA/dyFI8n/7lAoPhD24c2ks3GtwAeFUmArgBapByXB4Aa/nws8JbRdOr/Q09OtaKNiMKc1qbxP40IjPhCNOQHuPIB9raGhSKpuzlELfFjuUj1hmSa/Me2wzGcfcZlDk+Y28YBexKLZ0KQyEktKoqEHyNDBCo37yAsPzCHxD1I+jodmF7KntId89kEspmq9HcsAw7Tx7BgzJj3b53x6cFAI+Ew4dKc1/59eGJghQZv4QCSJVJZfKWPdO2l14JWreVaJIeUBhkTZh/DSphFyK5TAYlpdElkPvC9TTWSUzRNyj5mXxkTCL/OPJy6SVyrqIsOOVlNVg+miavxfvAXaOH6eokIcoNmiB0WtpX4GQ6pviiiecskThUhvnjTCMmHQ+pW9xgA26m9ewqNjuEblkGiMUbq0l4b46CrCR1srh57B5+WEpS3kjy6cj0+6fw9fdNDUmFI2UWE1gKExkMKfmRL0bRxAMq7kprvKyziYqXeRGCkfJ3nCUhs/SKbcO0MCeM/+93iHoDZRF8Qk0jQgZQKZIWMFQ2AxasiOIsJEyRe0ix38zYPP08QCAdUE38QPPFWZeeAPNR0LQzxg5Xj/xvt8XADbnECD92RlIwSD1RiETmKwXhooj4KIjbEROW1riUqpZRdS05utxcpmsErmAdYlMszb5NU/DB6m4A3jRsK1TR6ZERgGuZG/kB2fjEEGXUAtmeiHdFg3yoM3LBwxD7Av0t9fhHjhD98JIvYGVgHMWcb7PjvHp1d4ZxPt+LVxE04G7xQE2q70NhxywDYbyz4G7P6ziWEgZvnc55C/35x0xPkPK3xd7kPvjuQqdXB5E4Gzp1rWLGhsT5oThuQ24hpyt4poGESmP23VI3fMOYGaoITdLiqsshdlH14ujLh3b2xc+y2ZxgM0ij1kH1kym5B1q3qZakvxYXt1j/OMzKApDNfnRFbau+ag2jbHs80mXMcaBUxGnQUV1lRJJ51z2fQqsnVIaJzcRKFfv6fnL9HKabIykQpE8sAtF884ZZ9+TqlxoO1sKM3LSUam1S2Q454IdwVBakWiQwRz5tYpaVgQBcyJtHjYgW9OZhEJhl+aZibvUykXJB76J4dqUK5FiDd9jb1ipQZAaRgfuAUQ+w8XrF/jEOz94XngUOebrys1GDYctEMLhHbPcE42AGC1C8xto6qLB7tn5vAfz1NORlos+ampKqhR7lKQNCy4QyXQy0Nmj7nwDbIAE33SELpH77b+HpUQqXKtwgBtadsCGwWBpAdxVYQ0budakCWHUFrv0nyUd3njx4MtHLwrrhIwh8wDNKxE+v7h5Vg6wkIfromGFIXB/LRbFe7b8/bVFfpziwmtjDSnygI3rMq280NPoAZvHpj4q5NrotgFZGAqDFABXGHxJxpOKxsIKsUPxMiRQAhkVxcpc+XUekrcXFQR8cK8wqosguQggz1/Y5GWBzZZ/cL/RPc2dMHUGpT84z6ey8TlfpLlwlNKlmsZVWlKqeFODC0kT6QsElSAVLhSx6/r79RGuQl8ezT8iyhtgiyxqxShrA9Jcy3lwC4YtEpFIIfAdOA4aAOBwgoeNZgrQNlJKEWvh7RqeFEdRZG01bDglECiWA18A2C2tJcvcuKjrTeajpv8DbNZ0JPr/2LsO8Ciqrv3O7GxJJQm9iYIKqHTF3hV7V+wCigUVe0ERxS6KgF3E3wJYwYa9Ui1gb4go0lsgkLabbJv5n/fcuZthCQIBCfBleHiS7E65c+6955z31IxAKnSPhBLA5kpMCalmCIvJMAgCeJrR6V1SE17bgDcWVk2vaYxihUPHpGXWRNJRgkfvKcctgpPgeqSFz10fpsegJOvK5Zfr44c8N1xRKSF31aQFp/bjeouO0HJB7wkMCdkiffkuLK7jPf6roiPRSmXl5P91FRdhI20BUi6P498qooFhsW6wgWxLFp0g8FIRDcy1qaxwkJ2VnaIRLZpKDDHEOSqhXrKO3PWk35lCU3kt1i2VUkVHqIgIX+bapMFNhbCQPwfcajrbatGR9KIVSgFWFdf+7fDKAH3e2lE0yguhwoB0+Li7BxgOxSqnniicqudVFR3R1xmJKNGPCkdR7hMBgYYvhIQndZ5yl0YKeoZknfzXZf0lH9pdG65c4X6NiyBzpK2LVw/x/q7fV8sgL731Z7ooV9W6VUU1vHpRyiPvCc2i/uT1gKaMXtUUHZGiE44lXkvqxoxC5+9Ba9MbZ6frdXyP6vQM7ztV6YA2LPGsUSlO26hMN5EQb3rWq6IwaDRLJhMIBoKuMcVdCW6AjJYn5OU6zUHRtvqiI06SEWMqfUPrC9rIrHWyf90om/jleouOqEGl8qpMRjCpvB16aVT+fkrRVABZIizc16XHnEBaCvtIkbCIgDXxAovlSzkrHJv9JRlWrjzxmRmKN6eOdRQdiYWVs8Hwc5+o9IZEgiHu5MkBWKYqFpSKsErdRw1wfWX91XyroijKG+3OsFuAii1BqJelR+Rpj3Q6dtAhyrwXdVodrq9Dmjkm0ozttZjTxvO5R5nPK3mWLnhThgATmVm5UhGXVV5b7tA85WknDZQXXGEMRh1JRMDcebMcIr2MUDYWL4hi3JhfcPqZx6JTd8qgzVclMjVx3gIk7oeccFGGpcKPQrvaIkSieL1g6V4u3sIbuqaE75pqnBYUXqutN9SDk0ViarQsiNYteKGBi/ezNRmpG6/oetZ0XHl6GwRvxTGJVfVbEi4jlbDccJPycIWMQYOTChZUSDKHSoEEWqFVsj0BYQTZUu1SWQm83iieS8VPgIObw6fDDXT4p34HxvF7ha924ervdRgMr9egi/PD/2oxq00uXhAJP6hew+F9tBBPhbmkGKGykjg6IV9izKuYIN9NbWA3NJabjdXdaANwNx5vpa3ktJioTa42KkGjyqVQ1iD9vhInXEnvmU5creIvfL6OV/YyDM26+QReT4MuGZiTcDzVlHiWWsepdeb2XxLF1GeIesKql9lZ/7tFR9agq6vXVM1AUmLL6WkVLYEWdwJd/ir9mNyYbnemDbGmO9iSP/VYpW6NzWIp2tzpMSs4BHIMydLrV1nLbAIl8iopIqTieoXXePYPqySGGCtPIEh+pF1DKR7qQziSREiaUHEMJFPMBYMshETAYJIzeeo8xl2LOHvguMotz5BYDJWfoNKMbTEk6TL0vL/2Enkt6qoXVs0P7RWvoqUqNqMBnITRy6QrRUB2lubv7rqQ6HA/FbSwGLVoPff7KeA4NvZkSyJpM9yK+SvrHiuFt+Zj4uXx1Muq7irSg+XklTnekGqb9KQEghlCQ12gSF9bHS1rTrktc6VWZLRM1uGqWt4oGikZpCtApoMOHRaYDvIUX1aFMVQ0gjIkeg8RCSklbe3A+Fic4ITVUWmKdsG6G1JPHm4TmpkKYHD5cFpVKXpb5Kk/oBTCmh7ag1r9/uDgVeg9jQzcXxLOmFBhyxy37veln+/VM9Jlcbox1vt9uoGV65jyljJaz6E2pvKnVkRtbbmXnlipUaSUZ61120xRiMURCqicTLIg2in8XNRuCfWNpqF4RtzJTcZBY5ZlqDz1VFEwIyFFfZgzJ18kWGgoLNExUp2XU64CY2RA5SURZGfnVN1D+u0lWVJXXW+6xmUnJnOSdHySw6URAT3xpI/OiU+lV4iFPa3AmKwkzq/mFVXRXKSF1sE2mi4bccH6PGyi77gF09a6LXm+ZaSiG7Kyc1OArbi4VBrSp/iyx8iswStlRooXK868xiMknI+8MS2CTjxsrgyj54sHjea2kRQvqKRNuV3+HK5LV7ZJhATxpky3KiKVGfLWb0jjD4YtodVab1U6uBojZQIPzee9RhHl6Ve5jjy8+EPrz9qT6nVE8DpGFLDNCQ+NS9gage1P2JZH8m113iksRGM+LF9ehg/fn4TWO+2Api0yEQg6iDJVx08jNYsjRZCbXU+10li8eI5DpTYYzMTi+VWAreNeXIvrBmzrRPbrWmxpLtvUadXXq9iIJbs1nOpViDbfeDxYZPPddKu8k3Zrb9jgNpwuGzovm/r8Tb1+w957uzxLa7aiBbiCV1IYNehx+6ysi3/wOhHWtfBTj9krqwxP1Up6A2nBF4nkeTc5J+ZaG9YfvbDueVf3r7I+8iGqgpwDLWwZssRDh46W05QgQIZhTvy5rvbjG77PtpaVWV0uzaYByvW/Wfozq56XvmS3C1G3foLU4hnVz0XtzcPGyYUtTTj61W3hBTTquD0bNbFMxaNoXHJNSwAC8IGeFpcni/dQ5YvX6LCpfbv7xSSgpWZuVUW482+LFVgrADsA2CFAcpZ0aAVBunu9j/UEiMoz1WeaefnodY8BTlBdq4cqbJfvKMKmCmzo61IhBS6vFjp5TTC8jkYhAv41q5vXiBb/9UVbu/4tdF83L/WSZ8Pl0obqf/8d8QnwWLyFQI5OIR3yT3BXGbdQ0HBXjB8/DXfd9ixOP+V4tOvEavGFUjws6DcQrSyRwRk2PcJ+GEsXzZE+bKwSScD22thfcEbPY9Gh+2YGbP8dTeruXEeBOgpsixTQQkSDNspALT9FQFLuaouoesG1jO36w1oCbDJ0RjzJwBhYqHIi1UHlwrXeej0FBGxUImTsDM+tqSrvKi/u5Y4AwWJmpQKo7wI5NwfIpaMhgC4hChrHp0Dbfw1qtsXFWTfmOgps3xQgYEuCHncTPoe9uTysS7xWUSSRYGaxi5D88JNnuNGkQh0fgVYNmS+NWTqp2+e2z0gSWKWimgE/+RXBGD/PBhIuOBKnlgcQ+4rV33auAn16SBZb7EQBOwMgQNRpVOJmrXA9a66njB4/LU9ScoiDIQ/1to9RHnUF1Or45/a9Szb97XR4Je+kiwDxdzp9S6PAq6/MwZ03voQzTj8Ou3UrRSC4RIrD+K0ELNPdF3YO4Pir97BtCGDb9Neou0MdBeoo8L9NAS0MaRF1gZnkIFE46qqp/JzSWVsx+b03EElTsDbcbIQ+zIEgRKImwLG5ycEu8jTdsBkVBKs9geodROh7PGQbuxYEp7lAUSVyk7lXsnYhOyitebu0kIh157Zt7Cjqzq+jQB0FtkUKKHxG3mUqEEbWlfKwKbYr4eepswBLgzrXAEX8tCmdxqpMVSoyAFAhblWpDuyJSL7GCAGGY7pNnt2xV4Vku4BNIgu8Hi/mClGe8Hpv3iW5ZAUseWktf6rA1xoOKR3pzg+9/zWoq6m9bVtcNHVj3mgK6DDn9IJ8DNPmyn7l5UW47ZoXBLB13JutYJYhEYvD8sWRjKueoKgDbBtN97oL6ihQR4HNSgEN2LyhECrxWAlMwgodMsif/FTlqeh8qtq0cNJCHU+NVRGmSnZTDVKwSLWXUGE36b6s9DynjSEv7+q2M/bQJg5HPnVzPhglxJt6AZuqWySDrdM1NobidefWUWD7oYBiCSpsbA3Axi90lCDz/zxFW1iVOeVhM4EYK1hvAkkUP6TaqlokAcw1Z7i2PqoAm4NMGB4w5iAhOYrqPXge34WAzwvYeF8N2Lz54nEBbEGRJTxUxAEjOghhvYBNj4VR+gIk9X/NgOuY6CasgP+tS3XuG71uCdsPJwC88PwcDLjyWQFsXfaLIit7hQA2A5Xw+9xIHA3YFjGHTYdEukVHtIfNMDe86Mj/Ftnr3raOAnUU2DwU0E3OVb6EOjRQU+UBqg5t3tVeOCYkUwjXTq1IjjeGqCvclRdQhRiqIyXoPUU/5DNX4NN6zXDKmh6kkqgmUplBaxPeG6qcDV2jxDswpnnowJ6aPr/uujoK1FFg26UADU46L0sKEEnul5v/pdlwOmDT3i9PijEBXU0OxX8IpryAjVVbQ271Tj6EQIxywQ8HGTBSkRg0TDGkk5BLn8dRUB54PWm8nvKC+Wb8XPPnMEuQVUXgS6QEgZov9VOArGti07xSaqx4Q/jrmGhNpv5/5prqqq3rl9cetpfGLsBNlz+Dnmccj677s59oFWBbKySSgI3liEP+TCxaEMX4MVU5bHWA7X9mXdW9aB0FtjwFWGkshWwYukLBTSFJ8MNeg168VqVc0LJKq6kSpm7Sdw3TKDalWInDCmZg02aOTYXcpOsuyoJcpd2kAJubfsELbHkfnqmTpDfsJ6nk8ypY3hmU2Hc2cnFzUzw9e+SZYianlbkuB2PLL/y6J9ZRoPYpoEMiyXd8AorcIh62JwRdFWZ0OZjKjpX0Nl3sY1NeQ6LYaWhiTi/5P/9mzi/z1bRFiTloCYgrgrxK5wLzM0FOBHI8VCN0xYfTQyL5bhy1t8ASz2ewJzt+qkNHO1RFdyg0RjnD/ynQpkGr9kRuCg3qrt2uKaArG8v6cqvP6z7IOuP95ZcWrtPDtlZI5MIlcxx2rc8IZGLhgije0IBtL7YyqfKwpXIwtmvy1r1cHQXqKLDFKOCWhhbZzCphiLggjALbBRoaAXmRkOS5ucm4jgvsttigPQ9iqJARdoMiVYsLKW6pwSPHLONOuCGcKmdNJ/dLjrvJsJ7KGpW4ZH6cQeVGJ+57wx51Er6Tu0avKQ2QbbFcs0G5CkGqO+ooUEeB/y0KkBfQv8WflvACt7AGKzK6niy2GaMHTZmcqGIS4pjyX2w+ayR7bST9tKeKl+lYcX0/Lw8VIJfGItPP1/Khuut1erO+D3+6UepVWceeXl9iQKtipgqoqfLyyv+2Zuh7XdGmjZz3utOFAvSwVTrA6Bf/wcCrn5eQyE77VCAjc7mERPrMGAKWWzRMh0TOXzqH3SWlv4Yu68+QyE51gK1uWdVRoI4C/yUF6GXSYMNieAoTxykOM4Bktsea6i0fzb4uFKiuRZbn6jCZ/3Ks1d1bqjJG3G9YTpqVyDwnCiDTSe+6hLSuHOmW2RejmAs+N3r8tBqz3LWnfYA0cK4EzFWuzZjVpdhnsCp/g0BRAzYTOWuEcW70EOouqKNAHQW2SQqQ9ZLzaMBmoRI+ASvkUdnyBb1rPE/VI4kKYCF4sRDc5NqyqdDCdHDmoeYaeHCNEHKVOSdFnbyGqnQA+S/hmlJnhUZD95wqT5uCcWpYhKbKw1ZVY4SgTee+6WS/bXIJ1A36P6YA+0vqsEj2YPT2KWYruJgBvDR2fqroSIfu4RRgY9ER2G5upwZs85bNcXz+IPKy8zHr95V465WZOPuco7FjWxsZGRGY4mJ2e294LRT6RdcTv6ybO+rGdLoJnW4qLMYOQ3XzZmNN/k7XoTSGzs5eo9FxOm11s23em/9ZMpNHqsGq2/jO2xSPvRDYuFk36PQ2UuZ5HG96g09+phpdqvtzAnRjb/6tx+GNV2XvBXY614duDpohHeDXJhrvV13TaV7Hz70NRTlm3kOPx/t+Xhp5x5PehJPX6KbYpIf3ez1H/J7P4f/0xoK6wax+d00H/q1Ll3qf7z3PSzNNT+8zeB3nXzcy13NKOvC5qsmqWivp76sbvFb3/X+8N+tuv7EU8BSJhL8IQKF7hywg2VABMTOiyjLrMvgS7sILCZR0CEzt5LApNcYNPZSy0244j6gyCdXnJ1kGWDyPwM1ErKQUgXoNXa+W1yxMFMVrVDiPEwnDyHQLh/CDygpAGqAasCsjMEP8TtvI3SIjkSjApvEBKhzFQDwC+PmsApeeirzMm7N9rLQZU/2XNln12tiJ37jzvfyVfW28/Jnf8TMeml9oXqV/qgbNOdJolTxEN3/W99UNn3kPzQfT+eXGjXj7OpsyU9OWNKQMSz90Q1nKJsoNfU51zZ+13NLXeOm/YsUK5ObmyhzzXpQFlE+cK/J7zp2WleuSe9sa9fV76PVIGjRsyH1bdVS3HrWc9n5HmrI5rxQ1SCRSOgLvxHn07pOKBBC1gIVLwmjcMIFExXIU5Fiw4waiFUGUltjILWiAhC+JpFUmfJjFnkzbByuRJb62uJVEMtUzcyMpL2X2M2HQjUf05rNh+ZMwTAdJ20YyacA0QzBNH8orwognIshgipsRRdwOI+gPIRn2wY4ZyM7ORSIRgz/A9ZFASUkJmjZoitKKctGd2AA7FqtEbk42ClcWonGDpigrjSPg1EN+PQuLFq+AGUigUcM8hBOlQjvy2oCZhXB5HI0LGqCCLJgiifwzDgRD20bRJq2L6n2j1wv3F3/Xe7u6fa6bP3Nmvboy/9b7V69XrmOuO91MurS0VBq082/Ng3mdPo/zUp0uvJGrqFZPr05X5YA0n+S7rlUd0v3MMZhFCTAk8pq+j6NP7zPReV+mWMyF32chmShfu+jIdzO/dUzTgt8K4befluHzdxfgyv4XYJc9gGCQTVY3DbBpapIpc/IoMLWA9TJuMpn0ySsuLkZeXp4sAl6jFwKJoM/3LjKtzPO+fA4XKJkan5t+8HOeny7k9XlcyFysXFS8Pn1svLfuiK7HxXvyoIDRC5NMWP+tFQI9iby3FyByY/E5FFYcv1ZM+CwueP4kiOW789BCTDNpjoMLRYM5vTE12OP1mo7eDu28F9+Vz+O5WnCkg6zqdkY6zXmOFhYcJ++r35/P5v31+HmuV1h7GQLfl/euV69eivbpAnrVqlUoKCiodsPyXUkLL+ir1Z1d9/C1KUDrJtMTjNVIWl8BWKByJBjmGG8AJH2AWaa8VJLnYMJ2/HAYiyOfJVVvEt0/ZwvT2GT+BV2EUkTEbT/AXAuOh2M0EqgoX4WMgoZAvAjw64qXBspXrkJ2gx2VhyxeTqsVJRmZrsrLS4YBXxCJcAks8hOfm8ORescYkpWlsK0YfBbDIuvBlHPicOJFSNjl8Afru2c3A+wOgNNUAT7WFSAIlvAeAratu/GrNvx4DUjaKKdlgeat5GvkOeRd5B082LS0QYMGKcp5AZ33em1s0soIeZXXULaFl9dW8zjyZcojL9/WBlbKGP15OtDQShqvp/KmQQjlOuWYVwbxe8oJrRN4ZY8GJl6wuC4D51ZDtA0ciFZ6ebpXl0mXyfybNCLdeB73BIEtaUy6eeeG52pZ6lW4vUMSZd0KYvQbH2He0lnIr7cKq1f+juxADH7DRIbVBLYdQkk4iqSZhG2VwjYrxLNkJv3wJeohafgR9UeRqCFgMx0LRjIEx/GpdDRfAoZZCceMyfsl7SCKV8WwQ6s2sIIWVhUvhm0UIzObgZkEmDFYySAsIxOO7ReQlpUVRF5+DsrKSpBI2EgmTGRl5QhgM302KqNlymhjZsHvZMEuU3lxgVASwUygrKII5ZFyZGXXg9/KhmHnwoln4ozTeqNJwx2QnWHIWGlb4+GqYhs427Vzml4L+qd2OJAOWq/lOuRe1gZ6rbN5je48h99zren9592n+v7c3zwnXffSuiefW50jonaos/meyr3GIx1vpBce0XLMm8O2wYBtyg9THLH8RpOY8dU/+PqLItx51/XYvQuFegksZErE8hp9hLzvuB4Pm3exkBlzwjWT4k/tVfKCHu0d4bXaGqofyZfXi6Q6D4v3My8zlM7ilZXC8LzCXVsE+RzN9LyKgfdVdafy6ibE63FLt4atq1KM9/3SrRdaOHkBjWbEHGd13jh+n/4sLez4XTra53ekEa3P/E7PQfpYvMLR+7vXw8l78XqOi2PQgjd9O/wbCPSO1Tt33rn30lnPI++px+8Fx9uLBXbzsZSt7U4MB1yABL5FFB8hiVmSI2E4IfjiDWDYBnxWqYAzgjSp4uVkSMEMR5LUmRtWeyEpLHFt2QSYnt7XKjFNVX906BGg8lCIhJ1Afr0CVCZWI2Rlw0YMq0vLEQxkIRaLoyC3AJFYJOVZ1qEU9bLqoTSierFwT2iAwb2Wm5mH1U4RQkY+HOQjQc+zP4Ike7E5DjKNXLcr264I4CgY2E16GanUE2ocDGvKcyttbm1rY83xpPMubaQiv6eipnkPP9dATSur6ZZfzVvqvGjrn3Mth7z0Jt24PulF40/SWdOcoEKDCR0tQ5ngpbVXvpCf64gJzc/5vddIqg1zXi9bdfJh/W+z9Z1RHQjleiYNaazW78k1rOnCt6AuokG0LmLglZ/p4C99rfO5vowgHnz+UVQ4i9Cxgw/J6F/ICpYCsThCvgawEyGEsvIFQCWtYgm1Jn82kxkw4/lwDAsJHwGdm2ez0eQ1YCYZweMTt79tRJEwSuGYcZj8DNnICrbEssISRCrDyM3zIaNeDJWxIlRUhBEw/cj0ZSJoZCFWack6oofOH1Bh8xWROAJWHkwjgJLSIhTUz0FJaSHy8+sLEKT3LGDkwEnEYWWw4mQFbHoTbaAy6kN+7k74+YdF+Gd2Kc7p2R8d2u2NDL/SH1ktMp4AAttI+q/Xm8a1QR2SOlp1gH/JkiVo2rRpCsxxPer9rfU/rweJRi3vntZ8V+ui+lxey2dT3/y36okbvYxq8YLqZAgNVwSrXpzA9+XhxSe6SuRGedi+mTndsXycuAi++OhnfDWxCA8PvQ27d6Y6VAw/q7XBJ5G8cmxEjDBPT2fIhYWFaNSokdzKG/LgBVEaXHAheBkPGZLXQ6MXEpkan6OBnlhnaK32EEgr78o9rsIF0mNK9Xj5vdcrxXtroKA/5zkUTlzIfA/eX08QP6f1y2sZ1J4zYSousNG/8968xhtCSSHFe2sgkg7QNHDVIYAUnhxbesjQv63ldQEa7TnUdEi3snitoOnhmt7n6cVMpkAGQTDFe3FOeQ8duuH1hPF9eB1pqr2rei51SCT/XlfIo/be6rnd1l3utciLtsCjmWc1Bw6+QAVeRRw/S8iNhQB8iQLAdmD5iyUERoEMZlBkuMWoVZWv2qyqTLDo19ZhIy65EKn8dodjDcFJMkwygICf4dFxFK76G6FsP3IDGYg4YfiNbMSSCWT56sNBBSLJCLJ8OYgjiopYBYKBIGzHRoahowSCSCKMwtVFaJRfH2WohIV82E4jhMtLYfiWIC+THv4sFJWWIDMnAyGjMzJwAYC9BKSpDAzmZBCw5W4TOWxe66wXvKWHq+tF6w3R05EK5EPaQ6FzHzkNAAAgAElEQVSjPbxKBPmQ5jtaPvyv84/0lAHSwysfSW8qaOTl/K9lXzrz8Bpu+R3nxBuqxe95UC5oGUv5znnyymktU71RHFuAUf1nj/AaQJcuXSqKsj6qC/306kNezzNpyWgTzo82iqZ717wGYtEfjEoMHX0v8pqV4dgjGiMTC5CFVYijBCayEE8yAsjnArZSNyQS8CUz4IsXAORxvoh8X7PDgZG04TPo8medyjgSKBPA5vNZMI08IN4U/kA+AgggjJUojvwN0x9Htj+bUkIMT8kEUFHuR/O8lkiiHCsii5CdGUI05qB+YCdUIolFS+ajZbOGcFAp3dvsRBbiMfXcvKxcVGAVlqxcgGYNGiOEPCwIlyI3axeUrM7Gu29+h6MO6412O+2NeDwAO+lDloSkb/0hkVoH8xqt0g3yeg9zTXi9YpqH/puRXe9R7v10fVLvb68hoWbrZOu/intNpwLp0eoIwfT9rP9O2CqHbaMA2/Q/v3PoMi4vq8BHE2Zg8kdLMWz47ditExUk5WHbFMDGwXkVfh2e8vXXX2O33XYTUMIFoT00WrhqC7P2mOgQRK/nhp95Q1r4LH2d9zzvgtNgRAMgTWh9rVdgrCte/9+WT3WWA+9nHK8GVXoMROR8/5YtW64RIljdc/7Nw8jz03PRSE9tmeSm4mbVYYo6z4Dj0aCXn3nDK9JDT9IVGQ2iCUK1RVUDLP0Zn0mhmx6GqQHyvHnzJGSJlhevB219YS98jhZKXiCtlaw6C/rWzuiYU7EcwFREMQpxzJBKZQFkwJdoIIAN5gpAStQrwObYOWDKg+MW86hhC6DNQhjT8Ym1WWJq6AU0kxIu4xBGOkE4djbsWAH8ma3w/dff4LeZpTj0iEZo3rIeSiuWIj8rH6UVUSxdonJWCnIbSivuotVFYtRo1qyZ7Cmu48WLF6OoKIHWreujYf4OophE4pVYHY5gyeIK5Gd0QtvWuwCYiYUr/oBpN0Dzxi1REp+PkH9PBBM3ANhParrQ5ia1XlifZCtvnu3Nt/DKBm9Yzrhx40RZ7dixowABGsvI8+bPny8/d9ppJ+E9mv9QBvE/aa6NQvyOygety+3bt5f1sS7wsVkWzzZ0Ey8f1koZ5cXUqVNBA+xxxx0nNNfRIFRUli9fjrZt24pcmzt3riiCO+ywg7w1P9NG0JkzZ6J79+5rUIPztmzZMuy9994pJXDy5MnytzeCYhsi4b8O1RtFQ9p9//33KCoqwlFHHSX6EdfqP//8I79z3dOYS3nZvHlz4Q28hjTlOuehQR3X788//yyft2jRIkV7TcPi6BI8Pe4e1G+xEj0OyYKJ32BhCRAvQaY/Fz4EYNLoJCYyHdFAFhKCD/XEy+QzNqVoEhkRQ8fJxS23IzfzlTlUmuLykYy3wNdfzURpaTl2bd8CzVuHEDIdxJBEaXkJilcuxQ4td0Yimo2szDwsXzEHK4oWYI927RCOxlBeHEIyYSFSUYL8gkzkFfixZHEhmjfZnY5ETP12Gpq2bIR2O7ZEKYrxz+I5yMpthPo5OyPuNEJ5cUO88uI0nHjM5ejS9ggxhMUSBoIWjWK6yYEuWbn1rUjuV+41b/SYjoL67rvv8Msvv+Cggw7CLrvsIjqg9pYtWrQIO++8s3jguO64HrknGzdunAov5z7luuN5vI7XcJ1Rn6O82n///VME+fHHH+U78lwN4LYXL7nXkcR3//LLL2VvHnLIIWuA2PTIPRYdiZsbCdim/PKlk5ubh2hlAh+8OwOT3l+Mhx++Ax26UqiXILA+wMYp+RetyVtkRC+aCRMm4JZbbsFFF12Eq6++WnKNdKgimQ1BgwYzFKIEURpc8KW5eLRg9oIhPkvnr3FYOgdNW1bJqLhIeI0W/utD/xybBnE6rJJj8Mbb8zkaJOgwET7Tm1+VbqUgk+Y9qCDccccdYkl85JFHRMHQDJXP1qBH/9Qgh2PRwtMbV0xwlJ7wvS4Lyb8BIk1Xb0iG3vi8H/9rjyI/FxbrFnnxsi2vNcf7u7aQUuDfc889IlQuu+wyEfy8n/6e99JzxbFoEO0tAKOtihyT18pRB9i2PgGy5oiigF0OOJMRMx9DwvgKQSkvHQJowaUwN4tU0RHhMwydyVG9Xd28Nmn4WlsH89VYGVJy6sIqz84FlvzcSRbAZ+2CSR//hNEvFOHb74GjjgFOPtOHTl1bImHH8NjwJWDAQY8jWqF1mzb46ccfMe6N1QgFgP5Xd0Vudg6mfjkNb72RxN//AM2aAL36BLH/fofgux+/wagXS7B0EVA/A+jTZ2+07ViC0WNmoWg5cMONnRCqV4RMax+YiUFAsqO0I9LV0UymCBKw1SIJ1zd1mnd58y901AGV2FGjRuG1114TXtS3b19cddVVorAOHjwY06ZNE17arVs3DBgwQCI77r77bnzyyScC1A4//HBcc801IideeeUVEPjRKnz00UfjyiuvXKvww/rGur1+7w2J4jtSdr366qsYP348fv/9d6HXkCFDhPdybkjTk046SQDHU089hSlTpoDeIwKuhx56SPj5448/jo8++kiUNwI2zluTJk3w/PPPY+zYsSIHdt99d5kHnj9o0CAcccQRAg4pCzcmkmRrnxdv7t+TTz6JF154QfSC8847D9dffz3+/vtv0REo+0gXKtnnnnsu7rvvPrz//vt48803BeTttddeoldRgeYa55xQwW7VqhXOOeccdOjQYY2Caasji/DiOw+hUatCHLkf81i/g4WFMJ0wsg3VU9JN1RJDkurXxnBAP8xEnso7MxiyXsMqt5L761ZBIlNnwSUp0KQ+s2P5+PW7SowYXoopU4E99wEuvQo4rMe+WDRvIV5+ZZHws2uuaY+A2RTff/8jXhu3GhmZwC23tkEi7sO8vyN4/v8WYdafQH594N77m6LVTl0xfcr3ePLpZQhmA5VJ4JLLfejWrSOGPvkjisuBK67YE3ayBcKljfDa2Bk45firsOceRwPIQcL2wW9aSDCNRPKGt17ARlJ69WKt173xxht455135P9hhx0m64b7kMaAESNGyBTcddddqa1z//3346uvvsINN9yAgw8+WHgr9+lvv/0m4OTOO+9Eu3bthB9w3RHMkd/yHlyPvCd58fnnn5/KX00P293a92l14yM9yQ/pbKBhZdiwYXjuuedEdpBWp556qhirNEgWNcYVuDUCbJN+meZkZmYjVpHApx/9iCkfLsVDDw0SwMbSz37pHP8vIZHrAWzaLej1bPXq1QujR48WDxsXDieahzckgEQgMUgIfaQjcn6vQ1ooLDTQ4UKg4Ej32Oj7cCw8R8fl8r78Wxf00OEZ6dUi0ytMpodoei2yCxYsEIuiBhh6TNr6y3Pr168vysKee+4p1vTPPvtMJt9bnEVXNePYvaGF/Jvvwf9eqyOFK8fNz0gDb1ETjpf34PdcRNorpTcOx8qDgI/j83rbOE4KSg2U9Lx6E/h5De+tgRwXMP/mPGgvHmnMd+SzuKg558cffzw6deoECiuOOz2Ug+fz0KCev+u1kJ7jp0Go9kSuK5duW2QO292YWXEkWQkkJyFpDUfCnAYG/MEIANFcIJEErJIUEBLpzPL0uly+FB1xXUa1QhxWY8tyi6CEVVVIiShQ47QTjbF0XhYGD/oFXMIlZcCyQuC0s4CbB+6NWX/+iYt7FaPvRcDZZ/bEssLlGPPiZLzyGtBxD2D02LOxumgVho34GMuWAHt0BKZ/DXTqAvS79FiMeOID/P4X0KUD8OsMoH17AwMG74W3J8zAhDeB2wblY9fOfmSY3WA6dwGJPQF/BQOCYCPLU6a6Voi3UQ/VfNTr4SdgoKJBSy6txeRPY8aMEeX1xhtvFCWf/IDKAg2D++yzDx5++GHsuuuuwheprNx7771o06aNADpamRnl8Pbbb6Nfv37o2bPndunR2SjCu4ZP8nRtAPvmm29w0003iXJHpYw8/IEHHhCLMmlHUEalhTKGgIvzQyD87bffCsiggnfJJZeIB47ezGeffRa33XYbjj32WJkn8m4qj5yboUOH4tBDD5X707j34IMPyvWU0dtbQSnSYeTIkaI30ENBjwYVZb7/n3/+KUrfSy+9JLoTaUPll0CsdevWsm4//vhjnHbaaUJHGiZIR4I16hWUsaQxD238CMdXY/jIwWi2YzFOON6CD98hG4tgYBX88CNRGYflYylEt7k10ZW45wMAQ9bJiP2rAJ8qtrbRhxQaMVVcWIJ83QJCCebRIFZhIFxegP59FyIjAKwuAZYWAoccBQy6/QwsWrQSfS+diGNPBq697hT8M7sML439DKNfArp0A157/XhEyh0MuP59LF0MHHFkJj78OIJ2uwMX9z0Qzz49FQvnAfvubeCjTxx02xu49Y6j8OKrH+ONd4ABt+yCPbudhLKSRhj/2nc48uBe6Lj74RI5EYuqYiOM5Pw3Z8VG0+M/ukCDNL1/uba4L+kR4x6iLsU9yvXBvc21dfLJJ+O6666TEdHgcsUVVwg4o5HlwAMPFOM6QdlZZ50lBgYaZwhQevfuLcCFBgXyZxoJuBafeOIJfPrpp7j55pvF8KL11+qirv4jMvwnt/XqquSJ7777rsgR8kbqxuSHdNykezg5mBoBtumzfnZItPJIGSZ+9jOmfLoUQx64Q5QDA+XwIVM1SRRNpJp33gDrrF4oVK7JdOlZozWNgvWWWwaiT59eeP75FyXEgl4mvty9994tApiCd/r06Xj55bFiaTr99NPFksrFRusqXeVkQLTGMSSGrlcuFAKgCy/sjWOPPk4a25IZcsGQgfEgWLj00ktBYEUhz8VIS8PZZ58t5+gkQS7mWbNmyT25cDkZZJI77rijjIHM8/LLLxehTysY3b4XXHCBMNaffvpJwMcBBxwgqJrnU/HQruM+ffoIoz3jjDPkJ5UGMuz99tsPPXr0EPrQ8nvhhRfK/fk7/zPOnZ/RshkMWDBME9HKSnl3ho7wncKRSgnx4dgo/GzHEKsoNxwFHjfagQfuj/fefReTJk0S4UCr8wknnCD35Zzx3bnZOA8MayGYIrCigObfpAUXKYEfhQWto9rSTTA+Z84cvPzyy0JvAkXSlfShcsWD66Bjxz1EwPB5tITTe8q/zz33fKEdLYi8R2VlDP3795c5mjFjBj744AM5l8nHZBYcM+d0e8lt+E+4y9Z2UwFsBDmTkfQNhW1MpZogeVaI5QKxBBBkBUU3TIaVGJ0cJSR9KkRHDuFLlJ70HW3Jn3xWUI1HvIAJl0UyRywAx66PBX8FcMVls5GXDXTv3gINGoewW+cm2GW3LDz19Mf47CPgzjv2Qtv2O+CJJ97AS6OBlSuAY48Fnhl1JRYumotLLnkf++0H3DfkVlx35X347VfgttsPwl33TkHHrsAD9w/AnQOewnsflOCTyXugqGgBrru8FAcfCvQf2BQZvt3gcwYDyX0AixkdpFOujJUW8w1g4bW+crRg9HrN6ZmnwY98iAoGf1J5Ja8h76EH7Y8//hCgRgWFQI2WYCoY/J3KLZUPWozJD3kvKhOUTVSGCTzqDurPCQELlRUVCGVk4O233sD1198osqJd+90FYFD20gB68cUXi7HvrbfeEvlB2Um+TrnF+XrsscdEFtJ79OKLL6JLl05CexotGWVBj9y1114vih/lAOeC11BuUVegXN1rr25gDv/W7Bne0HXjNaqSZtQhSEvSjHoDZTV1Gco6ymHKW+oP1EcYekXFmWuaegsBM43fZ555pnxOTycVbcpGGk2pL1HG670UjpfgmVceQ+PmS9Hj8FIY9pfINVfAb7MCbzYQjQMW46bdFiV8KfZ8TIaAhCq+gUAp4IuqqksSD74RP8mBDEs1Q4sFAZ8fCKjKu5GyOEpX5ePafkuQiAId9miM7vt1RstdgIwsC19Ono3Hn/4Lj49qix1bN8Qjw6bh3QnAwrnACScBz405Fz/89BtuvuZntNsVeHLUEFx1zc2YPgN4ZHgPDB74CdrvnI3hQ67HvXffiS+mAk8915WZw+h31R847HDgyqsGoLAwF++9+zuOOKQPOu9xuGoqk2Q0UVXz7a2ZgXrTevTvM2f+hrPPPhddunRJRRqQd3LtcP0xAu71118XHZfA45lnnhGeSSM9wT8N+SeeeKKsLa4z6q0EesOHDxcdjbx44MCBsoep61G31qCP+iiNYdtT9BPbSTiOgWuvvVb0b+qj1HMpf8gT6eXWzh9vnl+NANt3f/zlJJw4HF8F3n1/CqZ8uggjRgxF210ZVRyHBb9UQlOL0m1g65YG4CfrE/bepEcq9px8AqRHH30Ud999L+oXNMJjjz2BCRPeFnBwzTVXy4Tvt/8+OProHm6Yy5XIy8/FHnvsgXHjXhdGdMAB++GSS/rh519m4vJ+VwqAmTZ1soQHHHvMUYJ0KysjePuNt/Hdjz/IfU47vadYFB57/ElhhgybGfbwQ7IoCZJocaUAp0tXF8jgOxLYMcSAgoVghcyP1gSClFtvvVUABQEWwQTfl6E1t99+uzBIPpcL94svvhDrIp/DxU5g1rVrV2HAtGTQ20brAxUFjoHeJlolaO3g/fh83o9jICihFWP4sKFoVJCndFTDh3/++gsHHnSweMGuu/EmjH9DCc37H3gQv/w+U0DrfvsfINbOufMXYuzoFzB92hT0vbAP9t13XwGafAduVF0IhYuPAJAWUS5GWkm5SRnGQRf5sBHD5Rl831NOOUVAIoE3x874eVrAjzzySBHqfGf+3rlzZwmJ6d37Atx403W44ILzMH/+QneDf49ff/0Vo575PwFpVAAI3kpLyoWGzz77fwIQ991vf+y7z9648KJe6Ny5owBJb+5dnYdtQ1WGWjyPgA2VgD0JEd/DiGMKfLaNTCMTptMEYMxeYrHbi43AjOXu82CzvD8BmxFXvEnK67ul9Lf0TyozjgmHwI0/+TchkZEQ79uqldkY9eRCPPoQsFs74MgjW+O6my9CJPk7bhrwMhYsBJ4aeRByCsrw7oQfUb7SwkfvJ7DDjsDNA07DquKFuKjvDJxzLnBlv0vwyJBP8Ma4ebjzvgPw4MPT0LkrcP/9/THqmacxbHgcU79qhEYFbXDCIV+jcxfg+vtaoKBgZ4QwGLD3ES2XXN0Q8/C2A9jSVymVTuY/UTklr6KyTy8MjVNeqyc9NFQoyDvJs8irqYxQDpAPH3PMMWIJpQJMpYReH/JYWkUJMrb3sv6pnsNeY2yqcg5zwiulJHogyHYVVLAdzPr9VwFVX389HTvv2h5333Of8HWCZAIH5sTQq0mQQblGOUlZy99p1KOcpbwYO3Y09tm3u1xLgyWBBa8b8sBDEt7Xq1cfmfYxY16SvJgLzu8NRudQR4jHGVnCvKda5F+b4dGUU9o4zLx+etSoFFPZo3JLEKY9if/3f/8nXhCuaXowaIBlyBmVbBofqAjTqE1FmnoJwympf9BrSVn93nvvCfjjwWgbIwQMeXEImuw0HycftAghTAfLb0hzKINtVWzAXwLHioopyqY2aGfBtAmyyPcYCs6IiJry34QChDTasawuIxPMgBunzfYkTXDXwHkY/zKQ4QeOP60Zrh10MPwhC+ecMkYMdaNf2RuV0T8wZUopIsXA/z0CtGvnw/Dnj8ScBX/g/NPm47xzd8T5lx6AJ58Zi88/A67u3w03XfU9Lu21F67tfzBeGjsUI58DnnmhBVq0aY5Lr5oOKwN47OkBKA43xfPPT8O5Zw1Avayd0Tg3V+jjc+2KguC2hohI3Xy8mjWp+KFqNcVj1eqVuHPw3cIL/f6grCnquNTjqEdzDVHPY+QVDePklzSG03hOvZ3Ajvouw5i5xuhUYYgkdT3+TX2WfIDhgTSw0CHAgnrc3/SoUw/0pu5shm1Ui7egAsJaGo4YqajPU1++8sqrRE+mAdHbsmz16hLk59eTtcvg30oHGDN6LgZd+yLOOvNEdNkvilDGMlSEI7CTYYQCOkQ4R7Uw+v73eQ7LmcasMnzwwSRM+nSRIOW2u7IDWwIW/6kUJSmVKr2PYCIJVc90Q73CZEoECkShdO9zct977wN88/X3+ObrGVheuFSYyz77dMfBBx8k1rirr7lCGMu11/UXxtW4cSM8+eQz6NfvIlx73dXoe3E/NGzQDDcNuA27t2uLUEYAv/74M/6c/Qcef2SEgCta8ajov/za63jt9dfRuHFz9OrdG5k5ueKB63XueejatbOAJ4I9eojIMBm6SEsgFxYBHMdDQMJFR6FOF/LTTz8tzJP0IsjiYmcyMN+N70kFgYuVG4ELl+E4VBwIishEyUBpPaSiQUsaFz7BKIUVGTHBLa1nVByonNDiS2BFgUgEf8YZpwGxCGD5xD8/65dfcEHvC3HYEYfjgQeH4ZNPP8EJJ5yCAbcNxOw/52Dy1Ck4+dTTZUNOnjoNw4Y+hJCRxKCBt4pSQ0WlUePGMq92MimhiwRsBFscI0HWxIkTBfj99ddf8p73D3lAPKCMZ6bFlUKa1hRaWBguQy8aNz0VKoJVbmS+E4EYvWNDHrwHV1zZDwX5DURhYhw6PY+3DLgNs2fPxoQJHwg97KSBV197FTdcf5NYwQfeOgjd994T9943WG0At7gN1ws3yLbuaq9FDrQFH03vWpkUHYnhUSTxJSwkYSEDRiwPyVgcvgzmSKj+JuxZ5ti5cgYNTAZ/Y/5kdZ7/LfEWKX7ITqo5UhSFbJhVzmyjQkCcheYIlzXHs4/+hEceLpYwiIsva4jjT98D9z4wEU2bAwNvPxT1GhQiXFGJSNEuuOTCj5CVDYx9+UJMmfoxBt2xGEf2AK7q1xOjR/6Kd9/5A30u2wmjXpiLww4Dbrr5Cox85gm8Ng545FGg2x6H4dreX+C3P4CXP2mF/EYtkGsOBMAkcD+SyBBhIUecDbR1psqWINrGPYN7mYqD7ommq0VqiyXzeajY0sJLTxk9aeTT9PKQn5Cnkt+Sd9LoRZ5NHkylgwoH+QR5P/kweZiObqBiS75OObD9HjQ0MHzXi3v4B1tr0Dhrw7IY+5WUMDXHZkW+GKygHwvnzcMdg+/CuDfeQ+MmzUQOkt+Tv1OG0fhHgEZ5QAWG4IKREZQjNMiR9p9//in23XdvHH3MUXIuvUojRjwiSmGPI4+WeY1GkyJvFi1cIpEohx9+BIYPf1CmhL2NHVnJWkHZ9mbKm5vO0dMjSQBG5Y8glrRg3h5z2ihTqdNwDdOoyvVNgy7BGelN+U2DKX9yDngeo4Eog3kdz+d+osGZ+2lFxQo8/voTaNpqLk4+9G9kYjrqEaRFCISbKVAWWgnbH0NUIs8tWIkccYKBXjjyDdfwUyPKE+gFyDsZBsl1R/6pquE6RhiJeEMsX7AD3nn9H9x5exF22gXocSZwzPG74IUn/kLxKmDUs21Rr9FKRMqLUFrYBv3Pm4PMbBOPjNkLCwv/wJnHl+LMnrm446GzccfdI/Hpp8CAG7thwFXf46xTu+D2W4/Bc0/fh7GvAeMndEdBiwbo3fcD/L0YeGZ0X1ih3fHs/32Bc866FS2bdEA9K0ul2UnVJm4LB0kx0tXS4aT10CRN5VA/dYXVSKRc6g7k5LLqOySckTrpU0+OkrXF8HGuFYIMri0aBxgNRwMC+SM9RdTP6ekm7+WapI5LIwEdLQRz3K/Uk/mTuiGNMvTWMSyQXiYaFWhcoz6oW3nw57Z7kD/S+FmlgHz++URx5vz00y9idGHEAPnfuHFviGHwpBNPwfHHMxcSiDCF30/A9g9uveo5nH7asei0TwWyslfATiThtxIwHFf3sV3A9sPM+U7CiSDhK8N7H07CxE8WiqData0PGUjA71hsQO+G/VQBtoQL2NYXUuNtyEzmTWsaFXGG9c2dOx/JpIk3xr2FU087BoMG3YP33puAvLx6gsgfGnq/AJXzLzhbQlh69DgSgYAlSYytdmyJG268Bc2atsLr48YLcHziyScw5YtJyMwK4bvp3whRmJBOb9XHn32OH378ESywctDBh6IynsBVV12JOwbehvr18wUEcTFpT5eOkdc9fhg7TyDCMEXG5RK8cGxkovSAEVTQ6kDgRYsFFQeCPwoyLlYudDJWgjYudjJiKg5c4NwUDIMgY+WGYcI2LZI8l1YKAkjei9cQKDGxk+N84P57cdhhBylLl2Hih2++wdnnno+jjjkajz7+NP76+y/06XMxOnbtggXzF+O3mb+j+z77CXgyLT+OOaoH5s+eidtvGyjKyv4HHKAEYTwuYJWhRYx95wam0KSwpSDhJmTCP4HVBb17CSCltYbKDsEdmQSFKy2rXLCkD+eTihMVKG5ogi4CrZHPPI4Lep2Hhg0aY+yYsZg7b754y24beIcwlfff/1juefhhPcR72bPnWfL5pZf0wy233owr+1+c2u80CuiCBML0HWethufbLnPYHkdeASRWwrE/Q7n1JAzzO4RgwpKQyGw40TgMCYkk33EFpBOQqBtHPnNcD1tt0UYzahOwKQgpPBOwzTgcMwoHfoTLM1C8ogAVq9rjzXHf4quvV4gz8Ibb2uCe++agSVNgxKNHIrvBPPjhQyLeBicd9z5YNfq118/AP3P/RL9+v+C444CrruiNfr1fwPLlwIDBHXHvA79gx9bAyCfvxW13DMTEycCjj2WjQ/vDMeCyz7BgSRgPPNMC9Ru3QL51PWDsI6A3Kf9VbrKf3rbaIt8mPFcbABlNQDDA0Bsax+hxo0GIURzkoeSbVEzIX8mLKNtoxKPlk0UwqNwynJ4GNN6H+UKMAKBBjgaz7f34Vw+bYSMWUQ3qyeOz6+XAjlUKGLYsE5MmT8VHn0zGxElTJOyUCh9lAmUiZRllKA1olFU00uqUA9KXCt2oUSPF6LbXXnuiZ88zRdac2fNsAdcEfjyfBlYCD+oOlJt77bk3Ro9+TqYlHnfgp8K/DR+6xxxfge9IehHQUs7SEMqoIqZdMFqFtCUNCNK4/nkOaU3jLuUt6UVZSdrTIMr/9LjsZiEAACAASURBVHhwbqhkf/jhhxLaqnPeE4hjyHP3oXmrBTj58HnIwHQEGX8YoQFYA7YiIMDS/QqwSVVcghVHrQtYjCqo2QSwp5u2tkmbKoMNtDORMBzE7XLE4vmoWL0bKkp2wuPDP0bh6hVYUAxcchkw4VUVlvjMcx2Qk7GMWe0oD7fEeSf8huwc4ImXukpD8EsviGCvPYGHHjkfAwaNwa+/ADfdsAfuuPk37L6zD48P7Y977x6B9z8EXhrXHju0aYlLrv4EsxcA4965FpF4Uzw98kOcc9Z16NB6P4RYwRhsnu3mTxs0aKSBppqRo2ZXrafNlg6DJGBTtQVslJWr5uEMrR3ywMMCnhjuSEBG5wRDJal7UnemHsvCGdz/BF4EadTzuK64zuhRYpoSI76oy3LNcY1S7yU/4L6nbkl+yz1NLzwNN9Qvt/36ArZbGTcTFZUVYiyJVsYlEm38+DclbYj0od46bNgI5Xm74irxQFJHzsnLFmf2Ky8vEsB26ilHY/c9y8TD5iRtAWw+w80P1YDtp5kLnDgiSFrlePeDiVWAbVcWb910wMZVSCWaC4cLgIOll4ix6fTPTZ70lYCd118fg7//ni+K/PwF8/DQQ0Nwww3XidJ/0UV9cPOAG3HFFZeL8t+oUQMRwCecdDJ2a98JI58ZhVUrV6HHUUfASDoYNnwo3nnzDbGoktmRgGNfeRUDbrkFO+zQGv0uvxxNmrfAoEEDcVGv3jjppBPEGsDFRCHDxUWAwUVFy9TChQvFCsG8LObYff7552IFo+WXlglaGOh14wKlNYLhgLRwkRnTu8eDYIebgO/PBc5rmONGoENmS8BILxetEARIXPwEiTqHiwyXyaJULhhWwpDPG2+4DpdeeIFYPX0ZWVg4d67EJjdp2gw33DwAf8yahZtuuhXDhg/HF5On4MuvvsZTT43ETm3aYNq0r3DcMUdh/CtjcNMN1wtdyfC5kXW3e+a1UQEi4CS41JuYgoJ04Qa/9/77hD4Ek6Q1hQMVH4YaUUBwYxPocnMS6FKJopDhPJPhPvrYw7iobx+ptkTg+tdfc3DPPfeKB43Ca8iQhwUcH33UMXjxxTHYe+99hTn0uqAP+l91BS65tA9CIdXTLf3YXsrG1oyTbwtX0UpbJCGRMfMZJDBd/D9+VolEfVeYFzFN3n0Zb5NsFYqwdcSjuLl1EtJDiyH/8938KCs1cN/gMiQrgLycAP6ZE0NpJfDgiH1wx13fYPUKYMwrxyNQ7w+UhQsRDzdFr/NmIz8fePrpg8RLf/PNf2DHVsC5Z3XG/Xf+hLbtgAsu2Q233j4TgRBwzbVH4cknPpZUkPsfaI2Q2QLnnTRFKS6vdkR+AXssXQmgq+thI5XZj43REyaMmmpcW2CJcQ/rqrfeYlDkTQRoLG5BpZYFiQjaqFzQe8ZcCiq55J+MfuDBHGYKUIIzyg+eQ2sovWkEEIyQ4LX8jF468q7q+MoWeO0t9Ah62BTgSRmJ3V+0h800DdjxOMyAZO+Ifv31tMkiDwLBDLTYoQ1m/vGnhExRjjFkkXKB9GRoPMEFDXT0vlH5o5zjf8rDY489GiefciLOPLMnzj33PFH0mN6g5SFDIgmoKWMXLFgk0R4EdIMHq+IZolvQM7MNe9i8IbfUdWhooAeMMpfGYa5NGhr4HelKPYXhazQu0xtHmrE4DsN7qT+QtqQTZSmNx1zLTGdgjiCNv/qggh4zonj2zZFousNinHj4UoTwDbLsCFBBPkvAFhMPGwLliLsZrz4nE6b2sBkJ2BZDrHU83sb+pB2Oa5D/DLcfZCYIJKN2GeLRLNx2Y1iccEHkIhIvxcJi4JaBLfHgnQsRCgIjn+8MX2COALyl8zLQ+4wIdmgJPDuuI0rCy3HFRcvBAJyLr9gFo1/6C7Q/nHduE7w2ehli5cCdA47Biy98iLJyYMDAfZHfuCF69Z2AZcW895Xwhdri2Wc/wkknXIKuOx8APwKw3E6WNNDZSb8A2Vo7KHO8R2ojV3nYVGgy+4CyJ3ql5JTRiEUAUZDfSIAcnQDUOalr6dBxOgeoy1H3pC7NaAam7NCbS32PQISRCeSb5Kfkl1xr5NlcawR/5J/8nSHmdESQh9Pgr4vp6RZQtUa/TXqw7YbMKxBMQ+CkiVMEPwQCIXG0MJKAe3LevAUCindrvwdat95BIgesoG+NkMgze54gHjYCtmhFpRhFgn7Xe6sB269/LHRiiCBhlglgm/zZYhUSuQvVjQSsajxs7DOkQyLX52HT9KC3hmCFi4WAhsAmHk+i1wUX4s8//5KwPy4qMqXff/8NIx4ZhiOPPFwmv1+/S/HzLz+K500thqHCjE457XR07bI3Bt91H5o1boCbB9yMV8e+jG57dsGCuf8I4mX8LZnioMF3IhyJoGXLnfDW22/jsCN7yH1eGTNWvHoM16R7k8JFlx7VY2dcPRcoQZlucE0wpcuUcuFSYBGA0cvGhUuBxI3CeF2GNvAnmS0XNp/DzcKcNU4mQRHBIK0StJYxVJLWX8bt0y1NIMTxkW4EiQQsLODB/Lt2zKhlSIFhYfYfM3HqqachUlGB/Q86GFOmTsUhhxyBF158Ht/9+AuuufZaif2PJuKycEY+9QTGvTwWwx8eKhuVlpNAMJhawsuWLhVwybFR8PIcKkAMrdDFY+68+y65jpYXhlpy81M40MpNpkDBwfdhHD6FC5UkCm4mncdilXjq6cdx3XXXiAuZC33hwkUS53zH7XfKO/bvf62EO8WiCbH8DB8+QgTVZZddjptuugH9Lu+bGi/ngYJMNybfpL1Yd/EWoEAFkFwJOF/DscYgak9HMl4MK+mDP1kA08eE95WqbLRrSGcIV1K8bSqoT8unLVlqxAsT5fl2ELBzJcac4ZAwKmD7wiLIw+UBjHwsjLdeByLlAFtRHXOigT6XHonbBn2C2b8DQ4fti6atlyOJ1agoy8S1Vy9GXh5w152d0bjxThKBMHyYyjfLDgF9L2mF/Y/Iwex5MzHgFltSTXw+4NLLgNNO2wvh1Zno32cyWu4YxNWDOiMnrylyfRfBcLpK4/EEQyJtv0Q8ZQVpL942Dh0aqT0EVGjJT8hL6XEgyKLVl4KSBjUaBclTeD75GBUGKv9UPMgrqETQYEYDFfkuDXGUFeTzvJ6J+Nv7sZaHTS8G0b0J0NwQK8NBcdEK5OUXYNGCuQIOPvt8IkKZ9aTwCJU9ggyCLUZIUD7SwMhoE8oFKmaUI1TiOCeMtPjqq2mYN/8fibqhvKBMH3zHXWLoi0bjqUJe1BU+/vhT8TA9O+o5CTXS1Y8ZsbmtH1SQaSCmvKdOQGMsi4wxkoh0ZqiohK899ZQYO7nOKeeoE7BQDhVFGofpXaM3kvoGdRYaVmkoJ+ijXkO6UWHWYb5hVOD+5x9A4x2X44RDVyOA75CLMvgrbQSNZkjaccQyChFDCdtTu9XCswSeWKiAKY2uqQvWtNgTeQ+NcyoywWTIOzJhI4YYViCeyMYTQ0sx/lVgdSGkwuNRpwD9Lj8Gdw/6EBM/B557uRla7JiQbnGLixK4uu9qNGoI3P/YLggFfXjnzdl49WUbhSuBYAZw5dXAqUcfi1fHf4NHHloF4hhG5Z13PnD0Md2QdExcesW3aLUrcMttt6Ms0hjj3/gGhx54Jvbe/Qgpv2dUxpFJPYmN3ERfqqGLcXMs3PV42KoeYYvuyOgz7kXWU6BO6tg+WQ9cd+SPBBhcj/SKMQySuhT1Teb4Un+lnq7248eiD3INct9S56UuSx5Kwz7BCQ1t3P/0nDMii7UpaFjgfajH62rom4MMtXMPW/ZTIMgoFQPvf/A+bh80WORLly7dxPhHx4wudMgx6oI1sZgtufg0Rb/w/CzxsJ191knofrCN7JyViFVG4dgRWLplhgZsP/86z4lTwbDK8d4Hk/DFZyw6MmKzATYyFp1gyLBAKu66amIiYePPWX8LQ+dk5+dnY/bsf8Rjw6IjGRlBt5qMiXffe0dC4QgOunbpgsVLFmPpsuXwmRno2LmjKG4rVhZixlffoDIaQYfd2kvyOYUuBfYLY8ZKwj1DLO5/4AG036MDHn10BLJDynpAEECwxXBBWhS0d0aXr2dCMBkqLYUUPAzp5P3p8iVQY+4arQkEbmSwTPKlEkHvIb1L3BxMBiYY5gSSDszLo6Xhhx9+EMZKujBvjOOhd4nPoCeL3ipa3TgG/s0NQqWiQYMC2NEK1/pp4vtvZ6B3rz7iybry6muwbPlyHHjgocjIzEQSqkrlN19PRzAjhMMPPxJ5ebkoXLwQn3/6iWymgvr1EY/F4A+wtwjkd3rHSI8DDjwQf86aJYvxjJ495TsKhH33308EBOlEiyqZAgU2Q1g5Vlau5NxSEaKFm+9M4aQ2fme0aNkUP/74vSRtqr50S9U5efWFscyfv1hc6E2bNHfLFzfFqlVlmDx5Ktq3b4t27dussVe1xWZ7LxZQOwxqcz+1AoivBIwfAettAD8DWK0eEstX3C1QpHqcpWoaaoMCWR0VhdrM+na9fKxeaTOR2PWwSVNvjplNbP3IymqP0SMn46svgSOOaInjTz4EvlAhJkz4GEPuAQbf1QJHndgUcayAhTxMmvQTMkIBdN9rfykhbSCAKZO/hpPMRsP8XdCt+84w/LOwrHQh5vyTxNwFVPiCOPzA7gghiXHvTcKQ24H+/TvhxHOaIzvYDH6cCYANoXMkHJLhmjzY/NaotSTA9a8nginyQvIg/p6+vwkKaEzTBkEqueSTDLsnP2G4D3k5eTa9/wR3BHps7ExrsM6lIC8n0CP/Iv8m/+Jn2ru3/pFum2es4WFLIXd+6gI1V8NwknEYlpUCcOGSEgx/ZATmzl+Ck04+VRQxHgQUjGihQkcZR5nJED/OD0MhOQ88KIs4R0xxaN1mRzRrqophFBeXioxZtqxQIj4oV3nceefdIm8+/2wi6tdXOcu0NOiCHdsm9VVPJm8kCHUfKsJch/QuUifgQT2DEUA05DLEVB+Uu6wWyT3C6Bsqidwj1LlId3pO6GHWxgf9LK7teDCO4S8NRcNWK3DcwTEE8AOyWRk8YSNkNEaCOYv+QiRQhrhEDZgwke0BbArE1Ryw+GAL1OKRlGB4Q0K1+bRCJO1MZBjd8NpL3+ODt5bj8KObo8dJTVGvXi6mfb4CA2/7FXc8AOxzUHMUhMjPcvHue7MRCmbjoCObIZGMonxVHhbMLUZh4Uo0apKJXXfPQ15GHmKJ+vj11z/x6+w/0LxFNo7b/ySUohzvfzwRDwwpRe++bXDiqf2xbEUmfvh+Obp16oEOO3UHNaOASvN016AjIfq1dqQ/3LOH1X4qFn1r9eoi4YfUqeXzkmLJJXtj/DviFdf7l7o/jfLitGnbVnRa3T6K+jtBv261RX2O9+ea0z3+yE+pz1JXp4Gdui55N6PrCF7Iq7mv9bFt71+1CLw5bIxcowGloKCBRHNwr5ImxDqk/eJFy+UzFkzi7tEhkTdc9rTksLHoCHPYErE4DFTC74spUmnA9uMPfwtgY0jk+x9NxsTPFkvYX7u2BqzN5GHThSDInKQ8cGWlLALpq+VaCJJJZSWWrWs78PmqGBnLZqoiEjbKw+WwLB9CQW50AzYrFplAZaRSKuEQuCUSUTmndPVqIRY9NCMee1w8bK1atcFXX3+N3hf1xe2DbkV5CTu5V/V68/ZS8zbN5rj4ne4Fxu+q6wOjK2Pxe138gu9KCxnDARnOSEDCg14qWhl0bzIyWS8z1ovaWwKV5xCMSCuGshJkZ2W63gcD38+YIdVpDj7sUNkcCngx5IB9yxKwJKxFVdGVhrkuu1UJv2qnl5WWynuR6Wvgxs84RrYPiITDqjm1G4KYSFb1tPM24tb90bxlTBnGxPfThQSyssicdRw71UYHkXBliq7qHrniifX71eIoK61ATg6vYwPXSvgsQ/Ip0kOXNCPQTQprjaHWPfhfKEBgUwzYvyAcfQsx+3cEfJUIWiqHTUJ9rWIBbKy6CMeCw/5mBvMmGNvNMtKbojBs2uSwWIdpVEKad+uiI0YcNgGbGZH+bIaTgwyrE5YsLMGvvy6U8L1GTTNRVDILtmPiovO/wXHHGzjvor1QEVuGzIwCBP25MI2geBnIR2i8oCJjIReFheWwAlGE6i1GOFoMw9cCGf58lEULEQw4qKgsxagnfse3U4BhIy5EvcaFyMhqhEwcDSR3hY0cGL5sOAjBtk0EzUwJS9paD+5jKpdeXkseSP6njTJUEFiunJ6bdECneZJuwK3f09u0lWDC2+/Tq0xs7/wj5WFbawG4GqlUYHXUXgwE4MTiKClZjbwGDbB08RKUhSuxa1tlHOV8UNljVAVzngme/61Xmuo5GhLvEJVKNZ9qLer5ouyj3KDHk+cQuHHug0E/KiqiKQV0a12/6xuXzjGiTkTdiLKVRgV6LgjAtEGB34nsTibFu8bPdb9T73rV1ZG9Rmd+79UhdCNl8qkH/+82NNmhCMce6YPp/I7MZBhm1Eam2RixZAx2oBi2VYa4hHpbMO1M+GxCqwqpbSA5bTRY1fBgyyW2jWANSu41nxGC4UvAMVfDTgRhJdsiWt4Af/y8HJ0P6ASE/sTKRQtgxttg6LC30K4LcMwpu8CyypCf1xixcH1YbA/gWym800IDBM36KCuxkZMfQDT2p/DIrGAzIFSApfEYrOwsZJk5WFa0Ci+88J402b72+quQmdsW332/AqVlIeze7kB0bt8d9QKWFF3xxQGfcjXWbqXSDfSwMZpJ5YzZWLV6FQry2UcP+PLL6ZKvq/VeGgwYYsuoL6b1cJ3Rw0bnAQ+vzqqnnGuVe5N8metU62I0DnA9ch4YHaYL6tApwr2u+wHWcOlsBZdVFXghLhG92BdwIwociRQjDbhnU4Y/z3xFE0B5HHjt1TkYfMNY9DzjeMlhCwSXIBlPSA7bWh6272bMcuKogO0P44OPJmPS50sUYNuNCekqh02sCRKGpIqObExIpPZQkbrausMJJNoXi2lCATXdVyXGkL1oFDk5CjRwYktLi8Vtq5i4DwQJls9CpDKKYCALCQcI+IBwJIzMQAimZSBRWQHLDe+LV1bizXcmYNqXX6JFix2xQ6tW6HlWTwGGAVNVguTBhcYFpxegXhFcsNrS523UTCbIMZI56sVHZsh3Swcv9MLRckhrF6233qbc1S10Tr4Gurp4hlZQSAd+RuskQ1YITKlwUAl56plREnZ51NFHi8In1dUsKyXciOrjcRsBv4mKyjiMZAJZmRmpHjt6ImLi6g1KtUjT51vD8+awMp8rBHx+S2imhYkeI99fhyeuq6M9mYjlN2EaJpJ2UuXPwZcqBy1g0y0cEg5XKEEd8Ev8bzDoU0N1dU3Og86/2wp2ct0QNoQCVAbtGJbMn4JZ88aiqPhHYVAZgQw48UzZU36L4IcJ7gnJuYKdKQYIVdhDgbiaW3g3ZJDrPsdADD7DreKUZEI3WwuwSiTHTJBJZTcDy5fGsGvr/VERVh6BivhqmP4SMZfM+HIhFi4sx0mnt0Z2rgE76ROvWrTShp9MzagQ3rNgfiGcZBA77bgbClfMx6qymWi9S2tEyrMRjiQQT5ahUYNcFK0qxNRJS5Hlb4gOHTois94qBDPzEcCeSMZbIMniKGYINnywkyZMh4n+Wy9gIy8lGNDlz/mTiir5DEPeCdQoYygfuF50sSjyTp5LvkhlhMCB/IO5yOStjAqgYqyv4z1pbGP1XfJ/8nZeS5m1PR+U5TyUua6q2qL2sJkOS1YnEcoIipesfn6B8HVa0NvvvhuWLl8Jyx8UhY3zwbli+BQNc+yjRhmvi0FxzrQCR15NIyDpS/DFvcNQLF7H+eFc6O85lwz1YxQIrf6UwY0bN8XKlYXbTTVg0oZrTgMxbdTkuiSNqDORNlSYSReepz3IpKX2gnCd83fOA0N+SSuGtnHu+AzOHe/HSKC5S//GnOWz0KBlBMf0yIWZnIMgqz/GbGSYDRQ49Jch6YtKkSebHjY7Cz6bJp4oTMeEkcyqMWATg5afekIMtpOUteI3AjB9SRhWGRzbQiLcGAGzGSrDITRsnI15SyaJgd2P1hg/fgKKY4vQ6+KTUF6xSDwdWYFGSMRp5Fkl7xiNOEA8C+GSIOrVCyFh/oOMUAJFKyLIyGuCaCgH5QkDK5etQusdd8Vbb34Kv78h9j/oFLz34XSMf3MasrKao92u3dCpfRc0rpePIEuyh0slCqIiHqtlD9u/V4kUw355uURjka9RpnAdMTKB66Z+QWMxiHCtcN1wf7JaOn9nGLl2OnDNkHfS4Mi1xHXI+2i+zPVJnZbrVacXEaTodalqTzQSZwXvRd4qrSW26WaKttCnpHS1yBHux+LVpUKDzMxsoSs/J43KysLyeVlpWGSW6PBmJgI5O+HTT2bh6aGfoe9F56Dj3hEBbKwSGQzYsBOsou3xsP3201wnEi+RKpGLlhTjvQmzpex9930KYBkxBJ1AtYAt7obUkNVuGY/w2qV7FVhlk9oqlU1ySryx91rapsrPKo+TvltayuY2KJvXVdJ4TSVsXZXP19kQfUMpscmTv2Hj39Dh1J23DVGAUx8Hvps+G59MfAyz/poIx44iK5QF2NmIVcQV0xLrLv1pPsBWHjb2YKPAV1/UEuAwFGATnuMEVQEH5taxibZZ4QK2ABwnE0gyx80N55Tvy+EYVHiUpRO+UnknsVYThPInK02aq9XnzJPj9XIPmrbL5Rwz0QRw2LsoDIPnsdQ2z0nmwSF4tJaKgc1ONIZj58EWD6WlxuZmoKTC37ahpVM31M1DAR1R5alMLetLs3UCNu+hPlfShOvdMX2yvtZ1bHjIk85CXfNO1St0VRJ/w++/eei1Pd0l6vMjnlcfVr0ECvKXIitYAp9dATNmwLCzVEEQMwrbpJFemJTwIRp4fEhKLjGzx5I1rZLIXpW8v8FwSL3OFG83DCqqFsx4feFlhp2h+KC1VE1BoqG0TYlZcSR9ZTB9JQCjHWx6kZQRSgClGAWzYMYbqvYlgUUwhHcaMB0LZsKCzwhItVyfGYDfzILpy4Tjy4WNTHwx9VsYvgACvpA4Bfw0LCci8MUrYCcc+IP1U+HltbI21lPWv2pMOhc1fT//u3d0U/fX+gDZpt6/Vmieemg1NE3pIuk80f3bo6skEYKV1Qr/zInjqy8WoP9lV6DzvpXwBxYjHo3B8sXXLutfuLDMiTph8bAtWLIab73+K84852x06hhkkWlYDDlMVa+u8rBtHYBNEaEOsFW3bNcP2DYZrPGxdYCtdnnGtvx0F7CFI8DCpX+hLLwI7M/LHAQjmSllu6kY0ABD664AEwIjWXNM2q3F/jey9pPwgR4Yhmbq3DpbtRyQkE2+oA+2E4BJoAk/qABTAaLnTDEveuZU0r0gP3k5F7DxHP9yBQAFrPH9CejU3jbtIHxxVv9iL5iwFDyRW4gCTe9cXICdbdJymgGbtJNxUhFT4E6BvHUZTbblxVU39g2hwNqAzc3LcC+uHrCpL8XwyfDkTQqprQ7srWs9Vvd5LRlrNoS4W/k5UTMDRUY2mDaWESqCzyyGE6+U3oymky0AJh5nEq2q4qgMSQqwkXckTSBumki6ETYb+7rk35oPralKJMUARcBFw13Ki0djmK9Y8m4J4piLmzAhHkDDXCVGMrmGDYYFWDL1Q/FOI95QXWetgGHSOJaQkE5f3II/qQCeJbyV4V5+AaEJw8LHn3+OrJxs1G+Qh0b1c9EgJ4jsIEulsDehD9F4yOWpG/v2m+n8TQRsKkKl7qgZBTYdsJVUZmPiF3/jiSEf49xzTkH7riUC2JjD5jNjCFhunzqdw7ZqccRx/HFYmTHMW7IKr435Hqeefhr26BjYygDb2iTVOPJ/G7DVbKmlrtrUpsObDNg2cfx1l2+zFBCFj3KPRlWjTJJstb/cYC828eLrUv7McXSFi1s9urZhhlYVlYfNxVp6NlxQqaAlk/Vdw5JDJbeaKXPvkTKAaKZmlLotAtjnTVtDFV2kP6bugO32qRPspX+XAfID9mnkiUqZEWVbPGz0pHhbJWyzS6lu4DWkAHOH1lSW026ULh+8f8s65uat4cP1ZetOpPPc2LvbPd6YTQKLmzjubfxySY9I9YCOwkA5EojBYQ0BMxsB6Yqp+YP2ELgvTfzmXpuksamGhzfaqQp6q3IMalkFyelcoxbnXX+eIayPT1bLh2kt/I5pFX6YIj+4NMNSzIT30cvUkJYrymBmg3yVz1CShufQKcf70oNYGrFhBk2ELGVWY12HAFgQIgEnnoThz3bHVkMCbOplG5jDVmWUS5eadYCt5lOgaemlqV7F6zAkeeZLFx0ZP245br5iFE484Qh06B5GTm6R5LBRH1orh23RXysdK2QjmGNj/pJVGPviDOll06lbDvy+OPxsxZ3mYaMDW5f133IhkWuTtQ6w1Xyppa6sA2ybgYh1t6gJBagsxlFJH5Q0PnVEfaCwJLOi0GV4CzkMhQotn6aEEVYdLhjRgnYL/1TdZKWj7JrbqUozWIss2om2xk8dxS0VpxTwI77irQ1fmdDFAAuFsIoaE/QtGJJ/VqVkiBeO6kYy4FYTYuNut+UAf/qooNhwHOac8N4qWsKwa69oS03WTN01m5cCOqx4zZDIKgyW/vkaBUVFaeeerOmY1tw7robt3ixdsaw+pEt5m+u8bDWZAfGMpqaA/IN5alQjCXtCkk9OaxrXQKoqYgoguczW5SM1e76KJpDoCfcQL5gbrl3VHFAsTFXLQ3iulQKMYgCT8ucxF6gFhH/KXel9k8I5Geq2rrHPYI6xSajJnGhLIKHcxl1mvKcK+VyDvQvPtdjUWMZjwzGNTVj/NaFa2jXp6QCpvbih+6cOsNV8FmriYat6mhhMTGD0i3NxY7+ROOP047DXQUnk5ReLh41l/Q3HzZHXHrZlc1Y5ZshGIDuJeQtXYuzoGTj1tNPQtXuOWBN8Sc+EuptzL5uXbgAAIABJREFU8wK29IW14cy3DrCtyUy4FNYvO9Povan5P+t/YM33Q7VX1ny9bOaB/H975wEeVZm2/9/0mSQkoXdBpEvvKMhasAAqihQFC6uuDZV1Xd2i6+ru9991dV3r2lAEEQXEXsCGqIgiTToCCRACSUglZTL1fNfznnMmkxgEo7v4/X2Ha64JM6e85z7nvOe93+d+7kdv7gcjIORDpIPyWJTYWs2MlSmzkr5HCJs9w1rXHKHmWkhEsJIk0naQ6j/3afaNtYIOR5jxrBtpkwGAap+kWkjZOVEBJf9fXCdlSGNIoWvT3VV9WvtxKKImJQSk+5fyAplWhE0icx5QLm72JLDsxBqh2VG4//r9+4MvGr2BHxEBM8JWk7NWs+k6ERX7hx87wnZUEYL6omvWyFtHiBt8NQiCMjmmSLfVj5k11cyX+IQrEmP3N0nKBjWppCzupWCQJdv63i0x5YeHnTNWTNGmTNIuc/nECkr+bTMtS4Iu+cIiKLAvD8kDskoSEPPXKBJkU64qQqrst1BTN+6414rGWXNfDgiJ67gqH2H2uW4D/NaEmjrcYz3fdVT3jzS0vmiQfK8J2/e+bBMr/DgRtjnPZSXqsA04OUwgJV8VzhbC9i1JZMm+SgN3BGdKmKw9BYqwXTRxIoMGp6nZ3ARhkwvDZc7KCmGLWvIcmQP/Yc/8hg/ANWHThE3Prja8uzn2a4orWrnl9CmusU4cTilBKcNIk8QZKspWYw0ksf3kUhDH0uFQon1qqJv00FREqu6gVh7wKlfMGkWoXBBzPWWSZS+vRkdCtGRGONMkg46wOUiRUUNigCAmJB7V8TocFZa8R/AKJBG2YiX1MSJmRA2P7CxiRuDk/7b+51uU89hfFboF/y0EJN/SHMzVfYYn7qu6A8JvXduSK3n49n63qUDteyeJKVh/GpaLXH0DI/NeMtQBHP0k738L2f8b+4kTj4VVvxt3mRNCpsxQzPajqlyJz+HBZZEV1VXJhFHSaZP4mFpLMThLF360n8lkuz7WpiaVpF8z82xNSbzk8tagmyBmqh+Uxln9XYLIyfpC5iTXOBUi1vrKXDhEzCKbLntS0FYcWEoHc7pMXiK1tKYO5YtqKT8FLpkPs2fPjsVJP0Idtpom1R+hFiXLd71+qCmINh2x0bU6yaRrV+61sAOen7tbEbYpk8+j77BgIodNbP1dDrl2k1wiS/ZWGHF3GEcgpCJs8+etVoSt/8BUXJKYaUfY/muEzT7AI3fCmrB9m7DVuTyS7sW6xNh+Jh4Z5++8o38YW/8eXdxh2q8f1t8Dw5/aotbDXh6StrTQnth3GMSMOC6n/Jb0gFbXmz3rKg/oYzhDqAYUqpKQ1UB3jYonmYSpQYdEwuxpXylPkDTwsJdVE2J7rWFTa5DZYtsh0p7EVulrIm+0j1v2bQ9qAhDzWdqeUnOAE5UcC1ncjMQ5SLfWNSWSagCkZ1l/ajfGf6k9cu2q0UA9nOtwEbak58V3SH+P+gAOF16p9Vwxo4A1r1ozHJqwHTXYdRaU8jxxmfyRc2pOAFnKc9NRUXW1bpPFJSAXQyXRG9q6BdMlVAi+WXfy+33WtMi8rhT/sPZlcvEgcdV3yv48GEajGlmjFflTKgNHqfm7uO7KohaPd4hxkyJzokJIg3CzhOLAcIWs/Diz/aaLjmoFiJrMGaEyWgFuicBJNp/QOg8umUSMukxcvD9CDmdDz5/V1FqrH3Y8piNsPwTm+tf9cSJss5/dye9vfIZLLh6vXCJ9/gMJW38jJtduEmHLyy5VpiOe1Aj7cktY8OIaJk6cTO++XjPCJgMi+96UixgDCYLHxHJVHvXq5pIYdE20WU3eJmaaRSctD4YayVPid1n1WzkpdaBRiRxJY5063XZyN25OGlvf2O2yB/TqQq6x9E/u8ht6Iu1Hl3mP1D15NcmHdSclE0YAar36l6uvTfXdi3YfU7stdR9tyTKHevCtuzNVFqFOQtBhQfqBhO+owdeE7aih+r+yoH2P2jI9u921oj91IlCqz7AGcHYO2bE8XqtPNJtgOaklP0gTs8R1CJtyfawzDnVVg0Nsq2Uk0BQk30w6UiF3QthkW2pm2HKYlL5DObZY0iFxgYyZEQ/DJbbYDhwxi7CpHLYgDpVkLy9pjwDt14TtWF4/x3jfNZLIZFFxPY1KPMTq9PeG8Z05PEeaYa9XD5f0oDNn+OuPDph33LHWpB3jE/hDdi+ELRq1CJmV+2qlCyf6WJmwT4zlBHBxnpWJJRnzWRGvH9KGuqVZvhWICKlMZ9tx10j0XzYnk8kG6cvMSSxDJqRswqa2ZUvGJRdI5JJNzONRoo0ocbH/F8JpDy/scY86RpFLRjBNVcQpU1aTca9gYgGlxq//rTHQdwBtt/uwiySPn+wBvUg9v3vG/Yj37xHO/ZEidD90+z/k0vtx1rUnk+peA0e4JqSWn3V1Pjd7l4qwTZt6ISKJFJfIcHUIr0cc2WSiIYmwZe0uMpyeKP7UMLk5pSyat5qJF11E30FpSvgoF6YddpYZFPlnu7UpsiY3vKr3YwadhZiprBPJ2FTXiBOxMwtLcUer4xWRkztmhc9d7kSHX3PpJJGf+giblXcl15rcTPblZ04QJc0MqoeMRfhquRolT9rXN7t4dKfS3p8yTVD1amy5lr1fmX0yRQP2/WQaLIiEwJrBckgnY04HJSff1teCWkTX2mCyUkqRVYWNSaDNLilZQGbuwQ7tqwXsHLZaBK3ObKbaVn2ESbamH5hHd7XopepFIHk2I/mhk/wcqXd2xb7WjzGuydn4qin1ddR1IwSWWUndpqttycBDDlgiX5YUNNnYJEEA6+5L1k0qwWKXPLBtmxO5ILa81DQXqHHhPMY46t0fQwTsJ2jNQO5bjTmqSNh/+hAO9wz6T+/3/9PtKyJmT85a/VZyv6smbutGWmVsYRNoqx/7j6psbAWD/XCoragwd51sDZKU45YYt9h+kla5FFkl8dthIsn2pKBF1Oyohbk/u988XH//U79evuM+/6k3/SfZvobhKRRIphPmv5DDzKseZfoVk1WEzSAbj8tNLFqBxyWsKomw7c2rMJzuCN5ANfv3lLBw7iomTJhAn/5pOFXhNkvjal3gpqLXvGlcch/EzNBxzO1USmEZAMgaXmWxY5ElF4TkbUkvZCjildaKGNrtVm48tSJE6t5MipQlR9iSCFwNYVNBees2ssLb9om17nOlvbYolcwqSh6eTV4a2t/Y65ufQm6/TdgkEmk7b9v0RiXBCmFTbbNd8KwJeqvdyRM+9qHY7bSxso9HnQt7eJf0YBWCHVFRxdrSlxoLB9siKsmIQDrwZIJWyyYs+cFud1aasP0k+xDdKI2ARkAjoBHQCGgENAIagZ8cAg0ibFl7iw0hZr6UkIqwLX5hDRMvmkzfAQGcEha2c0TUzK5NESzdsiJswtGiSuosbFGolwqUS1VFm6m4odppRuDkJemtPqWLluibaZ9qD//lsxaBqkeal/yVSZHs2JSZGJqsqLL5ix3lsj/t/Ui0r97g0dGcXsv61W67qfuuCQcIjRRimDwvaBIrC0flHWtJThW+td+qbmRii2Z00wzN2zP2Ep3zJCJmtjWtHc6zT0+NosGMJtrkTuFcb4Qt6eCtk2EeVV3CJk3+CcgBjuZc6WU0AhoBjYBGQCOgEdAIaAQ0AscYgQYRtj25ZYbDGcbjD3Igp4yX569h8oTJ9B7gV5Ezh12HTY3LTfljogCrzRuEjLnMNAt5KcJWJ/wTSiJsQpLU7/JOImy1SFtdombxoGTJbd0o1OEiZYdTcyiCk5xQ+31PoPAtyxOhhiiarTJz9mrSVBLS6IQk0ZIb2JrFegibTeBMgiaGuyZoNnmKK822WSAyUUck6RjqJ6nxhIhRka3DgVNT+iRBOOsuWpccf1/49PIaAY2ARkAjoBHQCGgENAIagZ8TAg0ibIXFMSNuBHF5K9m/p4hFL6zmogsn0qOvH8OowuNOqbGBFkomuRAq9JPkcuYEIWR2vXslibQJmcXCkn9PEDphAMIZGqpJrHN265MR1r0AktXHSu33QwibBBEts6C6PgkmaTt85leC7HwHYTLbngSkSsBOejkcxBym5LK+/dtLJq8leW7msla0zM6PqXMObAmpfRx2S5J3XyPx/DndZvpYNQIaAY2ARkAjoBHQCGgENAINQ6BBhG3njoOKsEkOW97+ct5YuIEpky+h9wCvcucxM9JsqZ6IHs36SCZhs+RwEj2z5HuyqBAydx3toaSz2QpJlUNl6/TsyFIdLvJdJK5WWlUSVjbJSJZBJufGJUhNjUawYUjba1mSyO/iXMk8qL7lREZpelfWlYImaRGT3fDsjVhkt26Esi6hqtmuTWeTBZrCKuu3RdeE7YddGnptjYBGQCOgEdAIaAQ0AhoBjUBdBBpE2Fav2mbgCOFPiVJYEOSd17Yybepl9B7oNcM2NstSxErqXUjdDnHwsOr3WCxI3ArtDCclz7PDSzaxSCJsapUEb7D+qGXvf5Qntz6NnqqLZOa1mTJEcyHblETZYCfSzJwkp9od5V4TiyWbjtQnz0yYkSSTSss10obVQwWORHafrGG/7dpULjOPMPlYE+2vbfJmk1z7PJiukbJz+RTrb6shCfAFiyRXpSQimoxFggDXymer8Ur6kQKk3xd+vbxGQCOgEdAIaAQ0AhoBjYBG4P8UAg0ibDu27lcRNo8/RN6BCt58eQuTL76EE/t7iBsxvC7bBtqsDJ+wo08ibHY0pnYEy5Ly2clbdiQtYbsvZMFKdFP2sWb9oARhsZ0hk09B3e+SI2W2KYoiI7Yxh0lWTEJhETVbAqiIpIOo052Qcn7fsy3H6yFqlYmrbd9f2znSdoQU10yPsvq38/28qqCjaddSQ9ZsnagYkkhBy9q5Zsl8LdFmC1+z9IJtbGJ7+ieJMxMnyZZEWsQwmYYm41yPVLLuKfm+uOnlNQIaAY2ARkAjoBHQCGgENAI/RwQaRNiKDlQauKIYznIK8quY+8znXDBhMgOH+1VuWXkppKebVKIyWEpaqmlyUVUaIiU9k5ABwulUVC0O4aoKvH4PuCSpLWxxkKS6Q1GpIu8Al0gt4xAPQ1xKA3ghEgOfTxGU0tIKMjLT1b4iEQOPx7TtN2JxYvEIbreHirIy0tIbE60O4w6IlYlY0pveiMFgJU6nbM4H8Rg4LFsOIWyqDS5kAZFqintlNBbF5zKPTV6hWAiPy6PM/2PEFAWUFsg/syCASYoc4SAujxSddBGNmxliLqeU84wTq67AJe3xSMstUur0Eok6CTt9+FymNNSoqsDhlYimxY5CIXC7wGOSNTEwqQpFCRsOfH5XIu1OjtivDjdslhRwO4i5HMQMA4/DiilWhcDrASmSGQmB38SpOh7F5wmYLo+ROEY0ikOwUjJXg1g4jEv+b7/qRkClYKph4JDzrF8aAY2ARkAjoBHQCGgENAIaAY3AERFoEGHLzykzXO4ohruCgwUh5sz+kgsnTKLfMC9hq6yY113DJVxWbCgaMnD7vInYULgyTHqK15TgRasxnAZVoQoCXh9OhwMcIuuTCJO8HYSjUULhII1S/SahcrqIh+MYQpLckj8HoTi4hVBFDTxCgqyybpUV5aSnNVKAhC0yJ38Hq6qIxUM0SktJmHUYkTAOIT7CPsNhkyjK23ASDgbxpqZYph3i6hgnGokSiUcIeAMq4ifkzCwbYH7GokLfYnicHuKxMF6PSXiCUXD5Uog5HESqwwTcBh5JDzOCJpkS8uoRMirb9VFlCBEEr0BjRSFV8Eu4pbMG79JDJTRKz7BknqqUOeWhKnC5yXB7cZWU4EkNKLKG0yCGQ5USMKujGThEvmoH2CxP/5gjTkUsjN/lxycHmciLM4iGQrgVabb1j/aPSZHW5IKa6nwe8drUC2gENAIaAY2ARkAjoBHQCGgEfvYINIiw7c86aLjFY98T5GBhmLmzVzH+oin0GeKirCpGeoqLikpQQSRnDKcRwuf24calyENZDPxi6V8eIc3txu8TBiL8KKriUhJzUkN9iZ4pO0OPihyFrUG+VwigFN92iUW90EHTgqMyYgaGonEzWCdkJhyFgBsqqqpJS/Gr38oqqslM9yds7e06Z9FwkHg0jBGP4lcEriY/TFol/4/FDZzRONVVlYqAeYQ8ypYsQlJ5qIQUX4oicF5/qiJEisUKSVPLRSEWUuBIPTSROdq5bCqeF6rA7YkrAqtIqRA2Zyoxh08VGa8A9SkRvogcdBgyfCCtVVwvAqkeCYyV43TE8Aogyclsqo6bdVwup+LDIq6sMsIqipjmSSFeFcLv8hAJhok6DPwZqWqZoIpDxmiEk0hVFU6nkxR/wLqJzJy3vLw8WrVsYX6ncuAscqfOnXmeFbvUtdh+9p2PBkAjoBHQCGgENAIaAY2ARuDICDSIsOXuyjO8ASeGu4q8whDz5qzlvAmT6TPYwb6Dh1i6dJWSFY4ePYzmmWaRZnlVVIZ55c13ORgKc8mUibTxgTsMooYMRYU0VFMdC5Ea8BPAhVeVAjC9/8tjESpUCMigqcdLOFRJxHDicHkpKa/mk5VfcuBgMWedM4bmLVNUpbEDhRF27djGKcN7KzKTX1TBR58sJxh3ctKIkTRplEqKy0FjH4SrI/gwCPhlyThGPE51JEooFiUsskWni0BKivK/TElK75LjqjoUVMTIrdat5yWk0/bkjwnRFRmmk6q4kwrhSVJjzgcBh5Q2iOGOV5lMTAHnJhRxYfjTkG93V8Fn3wTZV3SIg7l7SHHH6dPlOHof34Y2mZDpBqFQrngIt4ThYmFClRV4XE6cgYAJdMxNqDpMtdeNN6MRYdwEieLBjap3J3l2wrVkdQcUh2FDdjYhr4OenTrSWE6DHIYVKIsLJw1HSPWZ57omLzEG8qOSnVoJc5qwHfmu1EtoBDQCGgGNgEZAI6AR0AhoBCwEGkTY8rPzDE/ASdRdSV5BmLlz13LuhMn0GuRg+96DzLz5Ljp07MTNv76KLsdlWgYbsC+3iDvu+TvFOLn99t8zolMmXklBE1NDK3JkcxshDvKbW+R+QugcZnRJlhNCIqRA/j4Uh4LCah54+DE2btvJn+6+h34nNic7N8LLixZRcGA/v555Eye09rJxex5/u+9+Kh1O/vCnu+jXPlURFImRSUpXpteMUslLgBGyImRKomD2pwTL0qPmOpIyJgcngTCX2+RXIUnBc5jRxYiEwYSECctzQKjaDC75vGbgUKJW9rZlXZssucJSy06IjsgiIexJJ+iAr/fFWLp6Iy98vEKRt5BE8xxR2mWm0bl1U8aeMoyzh/QwCZdFvBxi0qLeVqBNDkwili6zDp5EzQRXeUkbwnFoIt9XggQZJSC3dOVOnlrwAu1O7MptV19MqtVWVWohUdS75pzIcVhKSlO6qYxi7DpugsFhiK2+LTUCGgGNgEZAI6AR0AhoBDQCGoFaCDSIsBXsFsLmIOKqIjevmudfWM/4iVPo1h8278rj7nseoXW7dtw88xpaN3cqIqLIjAG33fUv9gQjXPnLqzmzR2Mkq0zIV34xVPvjxNwxWng9ah0hBpbNCKUx2B+BilCEcFEhfTq1VqRH3nlBuO/BZ/l60zb++vd/0KM9LPl8H2+98YaSV06/dBr9TsykpBSeeu4F1mXv4a67/0DnTIn6QSAC7TJB7EqKC6Kkp7vx+U3Z4f7yOEXV1XgzUpT3hrQn0yJDVWEzxU0CVzEJJsUhTZic9ZLfDx2K0aqZSxGh0lKDVk1MiaCQunJgz4E4MaeT9i1NIiqrm/LGiGJ8YcNF1OtnfwhmL/6cl9//GGdGCr369aVD65ZUlBxk27pV7Nm+mVFD+nPrjBtoIe232lBSFiIcjhKLGgRS02iRDvEKSccziKU4lLyyBCgS7WjUQbrfRbrTxF4I2a481D5XbFhPuz49mXThmXRNNTGQc3qgKIrf7SIzw6GibkIwJS1R1dWrFW0ThaTkx0menjYd0f2QRkAjoBHQCGgENAIaAY2ARuBoEGgQYcvfnasIW9hRRU5+iPnzNzBhyhS69IGN2Qf529+fILNxc2b+9lo6NDWbIcSgrDTKn+97hL0hg+uuv4nRndyKGKxefZCVq1ewryKfnMJ9nH7KLxjetx8D2jZVg/4dWUGWfL6CL7K3U1JRStc2bely3HH0GzSMju1TyCmDh/79Arv35XPb726huCzCa6+9xrbNm1QUrH/vXgwa2JcO7dvx/KKF5AZDnHbmGRzaf4D8rF00MWD00CFMGN0jQTK27Cxl5bp1bM7OYm9pMa6MTIaOGslpw7rTzEL287VZrFy5ksLCQoqLi+nQoQPjx4+nRYsmNE6DJR+u4YsvvqB58+ZUVFRQXV3N6SefxNkn92P3rnw+Xb2Rr7dlEXMH6NO7F6OG9KVXOydpFlENVVXgEimkEz7eWMRjL7xBTk4OM6dP5LQRPWjsN6N0X63awvLlH5OSksKYcWNp3q45ARdkFcdZunwFO/bmcqCwhMat2jL+lBFM6t1EEcNCYP3uAyxft45NO3YRCkZo5G3E8D6DGXt6P7xOmL94Pa8t/5CCSBBP8yY0Tk9l5qQJtG+cxrat2/j8s0+pLCvFZRj06NKJ88acQ5tWqYrY+h0mabMCkQo1ibiJAab2HDma21MvoxHQCGgENAIaAY2ARkAj8HNHoEGELS8r2xAb/ogjSE5eiJcWbGLCtMmccCKszynizw/OoawixLTJ59OiWQqBFMg/WIjLncncl9+k2PBw+8wZnNYGvlhZxJyFC6gMV9K1V0eC4UNs3bmdi8edx8WnjKCqKM5Lby/ho9Vf4W6SQteeXdn89RbKS8uYOGESF40dQHYV3Hv/bIqKq5l543Wk++ClxW+wbV8O0ZhB7+M7cf6Ys+h8nIvf3/0063LzGDpsGKnRIM6qKrK37iDTF+DXM66h74mNlPzx34+/yMov19KpS1dSUxqxaed2oqlehgwZxNUXjWbjxhyemb+QgqIiBg8eTGl5GVt37KJt65bcc+cMMh3w5MvLef311+ncoS1+t4OWLZpyzdWXE6qAxx9/hm3bd9Jv4FAMl49NX2+gX4+u3HrdBTT1QIZLvEmqcfn8SrL46GtfMP+Dr+jSoT1/uXwsPVtI+QCU06ThhvwyAzFNad48RZG4dXmV3P/U82zamc1JJ52E1+tl85ZvCBhxLjvtVCaN7UdlHO57Yh4fbFhNj979aJPeih1bdpJXUMT0qZdyRv9ObN5ykOfff5u1u7No2uF4hg3ox4Un92frV2t4+9338AX89B84kF3bt7F7x3aG9OvFb2+YTsAJaW6w/GQSslghapZC9Od+7+nj1whoBDQCGgGNgEZAI6AR0AgcEYEGEbaSfbuVb7vL5SGvIMbTc1Zw4TRTErkit5DbZr9B1oEijk/1UVmYgzslrOz2Q57mVEa8ZGRk8o/f/YqBaXDfvYt5P2sfV11/LZMG+CgMw90PP4a3OsjtZ49nUN/OPP/FPvYfKmHU0G40b+Zl0ftbeOXVt+h/Qidu+c1F7DkEs+YuImtjHn+84UbO6gPrswu55Zk5uFMzuW/mlXQOQEER/P1fT7J270EmTpzApNN70DgADzz2Pu8t+5Spv5zCOWN7smLzJv796MMM7T6CGVMuo3sarF+7i+U71zJo6EBO7taJnNxylny9ixYndKZrjzT2F8ITz81nz46t/OU319GnWxsWLNvJU7NmMbJ3J26+ZionNE6lDHhg0Uo+/WItF48/hzEjOxEMwYL5H/HZss+48arpjD+lvZJn+gxx/w9T7vLyxEfruGve25xz6in89YJBnJjmwoWTQ0Eoc3vweUxJpUhED1ZHmfX6EmYv/YLzz7uA684fSGMH7Niyj388/BTVGa25+rrraBSp5qm5j5MfiHP1VdcyvEUqW3YYfLhtHQN792BM6wCZPnjk3RU8/OJ8TjtzPDdOG01aFJ54aC6rt+3klzNuplffpuw7AJvXb+S4xqmMG9ZJSV29kTgBkT864kqW6fR6TYMVS055xKtTL6AR0AhoBDQCGgGNgEZAI6AR+Jkj0CDCVpy703AYbjwOP/kFcZ6cu5wLL51Cj/7wSW4hVz6xkILiIEPbt8MTKsLtqybu83PI0YKd+w6SmZrK3TdcRqcQzJr9Ip+UROl0Yk+6+6OEqwpYn/cNxdnfMPPkU7nuyilkOWCPmCaWVFIdDjHr1U/5fOVqxgwfzB9uOo/sODzw0Dz2bi7h3ltv5Kzu8NU3WVz2+LM40prw5O9uoWcq5O6L8rcHHqbQlcGlUycxvl8jJdl7ZP46Xl66jLGTx3LumG7M+eht3n79dS4dO53rzxxOe6kgYMB+ccQH2rlQJQa+zIeqAFQEYf2W7byy5APioXL+csPlnNilNXM/zGLO3OcZM7Q7M385kZZ+J/vCMWY89DKrN2Vx1vA+dGyRQbC0lJzsXLJ37ef8M8/gtitGkhKXPLI4oXAlpd40HnnnE/5n8XJG/2IET15+Gm0J4ojGCLnSKLOc8z0haOSD1Vl7eHD+K6wrdnDTjBsZ38mFKFOdUXhwzus8+P4qbrz9Dwxonsrz85/jja1f0q1rT846/iR8gTTaj+5G2xQ4SW6OMNz/1hu8+9UaTh99IZed1leRyaeefo0nF71KixN60Kl3f7r16E6bppkM7Z5BOy+Isb/pphlRriwRKbIdSFNGMTrC9jPvdfThawQ0AhoBjYBGQCOgEdAIHDUCDSJseXlZhtMQMxE/BQVxZj23nIumTaHnAPg0p4AZs17DGWjKnVMn0Ke92ZYKQ/Klosxe8DolleX86eYrSMs5yJNPPsdGRwbN27cjsyIfj6uKImeQNqk+bjppJIP792Ph1mJe+/B9UmMHOa5DByo9LViy9CN6H9eae+66ggMh+NdDz7F7Swl/u+VmxvVxsiE7h6ufmYeR1oRHb72GTm44sB8eeeIpsioNbrjuKs422V9KAAAJTklEQVTo7FJSvacXbGTua2/zi7NGMvWKk3l68Yt88N573DT9dqYO646vCJo1hhKnSdgkhy0rp4Kn31/FnopqMjL9eNNS+HTN1xQe2MOjd8ykZ6cWPLvkG15csJApZwzmxqlnKTORrEMV3P7kW6z/Zi/9O7clWlVKRVERLZu3gbiHPl06c8u0k/FXQ4ayyIxS5vIx68OvuHfxcrp178J9V59H54BDRdTEGKVU8gA3hPCU72Lk8J6s35nF355+geqWvbjz1gs4wTIzkajXrMWf8cR7K5gy7TLOH9KaAwUhXlz9ISs+X413b5iUtAxiJzTnpP49ufecIWofd85fzPNLlnLyyLHccfX5NAcKimHhB5/y1bYsNuzagz8lQIuMNIZ068i0M0fSv22aSdgi1cpOMxaJYPhSNGE76ltTL6gR0AhoBDQCGgGNgEZAI6ARMN3rJeVp/gs5zLzqUaZfMZl+w6sxyMbjchOLSgkvYQUSLGkEhgdHzsHdhivuxCeELT/Os88tY9LUKfQeACt253PNowvwpDTmgesvpV8r0wVSiM7OMvjzQ4vIOnSQf959Pa1K4tz/zwfJ8rfi/EsuYVQP8LpNgxIx3uiF5Ljt4K+vfIArM5Ppk8+kd+emvLoyl6VLPqBVwMMdv7uEYgPue2AOuTsquPe3NzCsLazfuY3rn3sJV2YLHrrtejp7IT/X4L4HHya7Gv74x5s5pZVpfjH/rW+Y9dJrnHTqUGZcOYpn332bZ599lgnjruCOy89VBC0SgmJxiXRAo6oYCxe/w9xPNzDk7HGcM6YvEQc89fx7bFz9Offfei29Ordi1jvbWLhwEZeNHcENE09VUsDcqjC/efAl9haWc/mk8zlpaDtcDtMZsjQIzfzQzGGWDkiTItsOg5DTw7ub9vHXF96hsKyc26afx6kDutDYZVryv/lxPosXLKBDahU3XTuVqNfDHx54nD0047bf3cgvWqEkipE4/PuZJby47FOuvvpKppzaibABW0JQVFLJoQ35ZO/Zx5tbviTTa/D0L3/FoO6ZPPLeJ7z4wTJO7DuS3049jYAhbYMdFVAShW05VWzf8Q2fffgeseID/Onay7nglH4qEkc0ZFYxdzgISbKd0yxfoE1HdPejEdAIaAQ0AhoBjYBGQCOgETgyAg0ibNmFew2n4cCPj8K8OM/NXsbkS6bQdwCszM7lhscW4fVm8thNV9C7NTgkUOSCvWVwy/+bw9bKYv5y568ZmgEPP/Qc7+wqZsyUqVx4WkuiMdhdZtDMFWdEmovPl2/gD/PeoEOfvtx0zbmkBOCufyxkf85+TuzYhrt/M4kDEbjzzw9RkBvloT/9htM6wbpde7ju6XlU+9L4y4ybGdQcgofgzr/8i00lVfzPPb/nF22cqq7zwre3MuuFxYwYNYSbrz2TTQfyuO+f/8Tpasnvb7yVYe1g45ZSPvtmPa2apDG6Z3f+ft/DfLCjgOv/+GeGDczk0/V5zJ7/Mo5wBXdcNYXBvToy6+1tLFiwkF+OO4VrJv1COWJK/bQ7n36b5as2cvboEUy4aITiMwWFEA9Bn7amZX6G5HrFIlLRGyPQiO3FUf616CPe/XQlHY9rzsjhgzi+bXvy8kr5Yu1Osrdt4Iy+bbnl+stISXVy77w3mPvRBoaOPJ2rJgynfTqs+eIACxa+TIUR5Z47fk3PpjD/9U/YaQQZe95ZdHfC19lw56zHaOw1+MeESfQ+oQVPL1vOix9+TMt2vbj95gk0robtG7P4ZNM2+px8Kn27B1SU75mnlrJr7UpmTDqXC0cNJFOYehJhizjcqhyclkQe+cbUS2gENAIaAY2ARkAjoBHQCGgEBIEGEbadRTmGy3DiN3wU50VVhO3iiyfTb4CDr3blcOX9c0hJbcYTN13LgHZghMDph63ZMW6+90FKGqfxq19NY8IJqXz48UYefHMFhxxeOrZtRjBcwb7SPEb07MxdF4wjWB7m+n/N4eucXPr16kgcg1DcS9HBQlqm+/jzXdcTNeDevz/O/n0R7rppBqd0dLJj3w7ufmsZG/YcYET3Pgzv3o3+HTrw76eeZntlkDv/eCuntfEQjcDCdzYw+6XXOWXEYH59w9nkllby1pIlvP/ZZpo0akmXZs3Yum0jBaFyRg0fyO+nTWTR4jeZs3w9qe2Pp1G6F8PtZOfePFzhSn576QWcPvREnns/iwUvLWT6uJFcccHJirBJDtfXBfDPJ+ZScDCX1u3bUlZZQcmhMnp27cKl549jUBu/ImzeSAijqhJHoyZUO+GzXVFeWbaCVz98H1fAjytmEI85yUhvRu8T2nHBSZ05dWg3FcX6ZGsuT7z5Od/k5NO1XRs8xCnan6cqhF90wRhGj+hOKL+Kp59/lmV7d9L6+O509HegtKyCDUVZjD/jFP40bjhpTpj10Spmv7WUoqCPUUOGc+7Armxet4YF7y8j0KId7bv3IhKLsnPzBjo1TeP26VMY0rGxKYkMB8HjVkXqom6flkTqfkcjoBHQCGgENAIaAY2ARkAj8D0QaCBhy7UkkT6K8iPMffYjLr5kMv36O1iVtZeH3luLEfdyx4Vj6JwuhK0Mf2YGxeVw/7y3WVdVzhWXTuLs1k4ljVu0tpgPVm8iNy8HZ8BFx26dGHR8Gy7u1U7V8pr3ZRFLvlxDOF5OZtMMevbox/atW9i/dzu/ufFqmqfD7HlLyMmJct0l4xjVAYLA3A17eeeLNUSLyhjRqzdXjBnI7OffY21hITOuu4TBqaZj4Wuf7WbB4iWcPHwQl08apOqGidRw0bJtfLl6I7Hyctwe6Dt8CJec0YuWUmA7CM98uI6P123C4Qxz9rix5JdVsfKjpUwbNZhxpw5iwSf7eeWVV5k+diSTR/fBFYvhdblUweylq/azauMGDpaVUBWPk5aeyoDePTl3eFea2MW5o2GIia9iikhRKXfC2v2wJq+KL7d+w/59uQQ8Xrp06MA5w7oqKahIK4UUVgJriuGdT7aStWcvwYpKOrRpybmnn8zg40xHSWcMtuUW8cGuHaxYs4XK/SHSM5vSZ9QgRg/rxEAveOOwuSLGq599xeqtBTgjMe644gKaZ8L7a3axausuvsnNx+Fy0rF1C668aDRdMqClyDwlfGlElelIVCqL+8VGRUfYvsf9qRfVCGgENAIaAY2ARkAjoBH4mSPQEML2vww3B/nBAwI/AAAAAElFTkSuQmCC">
          <a:extLst>
            <a:ext uri="{FF2B5EF4-FFF2-40B4-BE49-F238E27FC236}">
              <a16:creationId xmlns:a16="http://schemas.microsoft.com/office/drawing/2014/main" id="{00000000-0008-0000-0800-0000017C0000}"/>
            </a:ext>
          </a:extLst>
        </xdr:cNvPr>
        <xdr:cNvSpPr>
          <a:spLocks noChangeAspect="1" noChangeArrowheads="1"/>
        </xdr:cNvSpPr>
      </xdr:nvSpPr>
      <xdr:spPr bwMode="auto">
        <a:xfrm>
          <a:off x="0" y="60607575"/>
          <a:ext cx="5562600" cy="47148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459441</xdr:colOff>
      <xdr:row>320</xdr:row>
      <xdr:rowOff>134470</xdr:rowOff>
    </xdr:from>
    <xdr:to>
      <xdr:col>5</xdr:col>
      <xdr:colOff>291353</xdr:colOff>
      <xdr:row>329</xdr:row>
      <xdr:rowOff>33617</xdr:rowOff>
    </xdr:to>
    <xdr:pic>
      <xdr:nvPicPr>
        <xdr:cNvPr id="3" name="Picture 2">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1"/>
        <a:stretch>
          <a:fillRect/>
        </a:stretch>
      </xdr:blipFill>
      <xdr:spPr>
        <a:xfrm>
          <a:off x="7911353" y="63201176"/>
          <a:ext cx="1355912" cy="16136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283</xdr:row>
      <xdr:rowOff>0</xdr:rowOff>
    </xdr:from>
    <xdr:to>
      <xdr:col>5</xdr:col>
      <xdr:colOff>304800</xdr:colOff>
      <xdr:row>284</xdr:row>
      <xdr:rowOff>114300</xdr:rowOff>
    </xdr:to>
    <xdr:sp macro="" textlink="">
      <xdr:nvSpPr>
        <xdr:cNvPr id="12292" name="AutoShape 4" descr="data:image/png;base64,iVBORw0KGgoAAAANSUhEUgAABB0AAAB1CAYAAAAC7Zm6AAAgAElEQVR4Xu2dbXBUx5nvexbvfsIBS0JSKjpUrAuDzFJbkWZwsI3C1iWUBgwJonbLZCQTp2zCZnZF7fqlyuvY5fF1zG6VDUmkXd24bJeJLeZi39yAI7BGRbJlLAyO9eJ8sIkQCq7LyGUQGvFiPt2KrVs9o57p6ek+p8/MOZq3P59sTZ/up3/Pc57z9NNvno8++miO4B8IgAAIgAAIgAAIgAAIgAAIgAAIgAAIOEhgzZo1Hg9NOtD/cLBeVAUCIAACIFBhBPAtqTCFo7sgAAIVQQC+vSLUjE6CgGsEmA9B0sE1xKgYBEAABCqHAALTytE1egoCIFA5BODbK0fX6CkIuEEASQc3qKJOEAABEKhQAghMK1Tx6DYIgEBZE4BvL2v1onMg4DoBJB1cR4wGQAAEQKByCCAwrRxdo6cgAAKVQwC+vXJ0jZ6CgBsEkHRwgyrqBAEQAIEKJYDAtEIVj26DAAiUNQH49rJWLzoHAq4TQNLBdcRoAARAAAQqhwAC08rRNXoKAiBQOQTg2ytH1+gpCLhBAEkHN6iiThAAARCoUAIITCtU8eg2CIBAWROAby9r9aJzIOA6gYpIOoQ7WraGD431G21dj8YGe/a7ThUN5E0AOssbISoAgYIQQGBaEOxoFARAAARcJQDf7ipeVA4CZU/ANOnw5N7gyoHuSHSUkMZsEkZ8c9cDmwZ6nv2w2ClhAJutoXA4tHji/Q92D0VHfhwjpJqVWO5re2n9PWufj3T/5Hwh9QqdFZI+2gaB3AkgMM2dHZ4EARCoDAJ7g/6dR4ZGnonFiJf12PAFD2zb5n26Nxy+yVOg8dqZ/mMHBkcv7k793WgZ3rz93j2qGHxvMLDl1FA0PBbzVXc+0ba+b9++z0SyNMZ/+0jk0FiMrE3Xa0z4W9ufHol0HxbLw7dXhm2il6VBoJA+hPqk91/uPRqdIhvVtHwXgns3B/jxpGnS4amuzc0HewZOxAwj7q+re4eveG6u5sYdbS0HZI6s2NSFAWymRp54ovOr0df73kp+aIy431/3fxIlLl9ePhKLBQjxXVB9pBZKt9DZQpFGOyDgLAEEps7yRG0gAALlRaCrzXikZzD2AjGMiWRsfXnJ5ZHYtxMTQL7ga2Q08n3WYz64p5NCrU01R2bGh9rPjl7cESMGESf/shMU8nguFd8Tg/gDrc+tqvaMz8XPNbGJqJaO8LaxQ+FjPHn49vKyQ/SmdAkU2ocwP/Px5S//WqTo8UzVJJOp2b5HL+ngCx7nnWCpqQkD2EyNBX3kl5FRskuWVaeZ7+Gj5x5b1tn2dCETStBZqb1lkBcEkgQQmMISQAAEQEBNgK5CmCBeEo10v81K8UkAPpHABhfi9mAWI5GGwO9CD63bTldH0AmlwX19p0aJscTXueHxZe/07YxO+W6XTSKxesXkQkoOSdwP3w6rBoHiIFAMPkRFQseHeGTOxOxBsbFQKLSit7d3kmY/4pM3mq+S20hfX8+QWK6ra2fz7Oyieo+n6uZXVlR/KC4jo+VZXfS/6SD4k7hnxRdVVZcO9/SYbuXo6uxsnZ2bWyyWFQewOnXyMjCZ56pvn+SXiYRDofrz1683077I+prKVM+Xo/9v1o9c+s3zNJMhJcv8+Rb8h8rqFXJSt6wtKztQJR2ofU1Pk3pqa1Zy43cQAIGFJ4DAdOGZo0UQAIHSJsCvaGCJgPTfshMHst9o0mFs7Mstjeu8b9SSaZJc/ixPOiQnn4x7xZUSOgOG0iYN6UGgPAkstA9RUWQT22arpfJKOrABoq+zc/fcyb4fsv1hfIPpLG76/AC6tN+3qf3x0RPdL4uDYn9w7/dq3u1+KGO/iNEy3Hl/4LviDDxt/5VDYwf5swlo3cyZMvkaAsHwmo8irVZ1svJSGeazytf6X3kmMhp7OAVdIhvt8/GjAy9m7JejD0jKmrYpKS/di8f1ORdjkD3jpG5p/XbtgM/upzL7RbD9ozxdFnoFAvkTQNIhf4aoAQRAoLIIpAcMxjdY7JpaudAQ+IStZuCpqBIHtIxZwoL+rlpBofo7fQa+vbJsEr0tLQIL7UNkdFJjvIbAH2Q+y5HtFenBYHJAvXP7PXuWXb26OF719Ut0ZUD6bIiWC8H2LR30b7KMTMJRspn4+cE5ravqiy8+v/b73qfolgBxv1t6EOu7vrPr7r+jqyHoLPp7Rw+/eGV11xv0tgq7dWaUbwj8bmf7yseWkSvk/JHDz9OEhWGQiVjMqA4E23c1Lv3zxLULv+mIRKfComzUeb81s3oVfzBjah+OuG/PZr/Fj03yYMgL9xGv/13VIZAyg7R6pZzUbS52wJIOvJ4Lfd6EFTP8DgKVTACBaSVrH30HARDIhUB6a4SPsBjHarWxaouETtKBj8HZVttFZ17ZkzhrgtuywfcFvj0XzeIZEFgYAgvtQ2S9MvNJfOLSfKWD5CBJUuMdH4lGfpqZKJAfWGNnGZdsnxptQ5XxNcv0MiB261SVTw/AM2/usMpG84pJOXoSIHwWyI6MqjqszFpmkFbPWK0usKNbO2X57RUPeCf/K3GgKfFdR8LBSmP4HQQKSwCBaWH5o3UQAIHSIyBbYeBm0oElJib6+zNW7dIVwVPRyDMygvDtpWdXkLhyCBTCh/B0dcaYeisduCsVUw1wmVCzQ//MBsiy38z28ov706yWj4lJh6yDeFJXfmTueVPJoPoA6Mphln22029aD9szQz8Q31nn3S87G0N81XQMQnzGKd2m9hcKyZYMJtxvqXY3b95fOzDQPkrS2f/KcSHoKQiUHgEEpqWnM0gMAiBQOAKqlZxuJx34bboNDQ2np6am7pZte2Zk4NsLZyNoGQTMCBTKh/AymW3NEn2II2c6iIN62kh6oEsalcA0EhiqQ3MSJ/Uq9rs5nXRI9cUXPCW/0ij7wB661WPi9OkfJa834s+zyFwVYjfpkHntJSGJ5XHf9D7f2xu+pOKcz/aKfHW79P9N3po8VdmeHaT6ImxHgfsBARAoTgIITItTL5AKBECg+AjwN07YOdSR9iSv7RXsLDQjve2ZT0LIYj749uKzH0gEAoXyITx53fGl3koHiyszzWbD+a0H9GwEej5DlonU1l5iM/V2Bt+62xrs1EllU5W3m3RI36PaMty2YfULNXNzn3s8M7eePTn46FjMV81vFbArI2NIkxpnjr63byQWC/CHZ6peQ7NTRWXPOKXbfOygdabnbxJXfLZ1PUrP6ICLAQEQKF4CCEyLVzeQDARAoHgI8IOFlo4HHxg7FD7GS2d1KFuuB0marc41G8DAtxeP7UASEKAECuVDRPqprfgWE8SuJx3sbD0wG/DL6tGt2+6A3omkg2org0pmuzLmqnDVQZaq11dre4XiSiZ5Fkx+fZOqPzTRcL/vaoTdPS3OBMDtgAAIFBcBBKbFpQ9IAwIgUHwEVIep85KabYm1in/Nfs81mQHfXnx2BIkql0AhfYh8fJe+eUelFdeTDrRhO7PrdgffqrqpMiYnFzX39fUM2a3T0aSDsPVDmYyYv71C99wJUaGqVRjKcoQ0ylYOJG7B+M37j5D1WyKJW0YUcrF67ejWTlmxXdxeUbmOFT0vLQIITEtLX5AWBEBgYQnoDBasYiyrmUW91QzZZ2WZLZOGb19YO0FrIKAiUGgfwstllcTkyy5I0oFf/uEPtD53Z+PSfirEjRt/ahk/efYHl1dv/y1bNm83QZAejBqE1r2q2jM+Fz/XNBQd+XFsfluI3TqdSDrwBpE47LFx6aFbrl3wnhqKhsdiZC0huZ/pkOzzR4frAq2/oCwXLZq99fyZw09GR8iOlo7wNnGJnmi0tH+vHBo7mDhjwmgZ9jVV999R9xfnxsfP7hgZid3Hb9OwSjrY0a2dsrJ2U6s0FNc5wT2BAAgUngAC08LrABKAAAgULwE2AUMMY8JfV/dOlqTc7XCmMS4xCL/6k8ad8ckbzbNzc4vTW3mNxrbODaHk9t6qm3Qijp8MpDFgoHV9mF7/TmNJegbZ4OjF3eIV8PQZ+PbitSlIVlkEisGHWCVGZRpZkKQDbZg/oCZDEKNlONi+pYPOqtO/200Q0GeoUz5+dODF5GA++W+5r+2lrdvuepieFWG3TieSDlQG8bBHdirwqtnu1siob32uZzrQD8uZ/mMHEh+G1D8j7tvU/vjoie6XdV49qo/okaHu5FkQXC2GP9raHthrpQ/+GV3dOmEH7EXD+Q46WkYZEFh4AghMF545WgQBECgNAvyElFJiYWJFFuPSZAEfO7OY0/zA7vRkV2JVa3//M0Ojse9nHnJuxBsCrT2yW9Hg20vDxiBleRMoFh/Cxt8HewZOxIjvOj+mVWnANOngltpCodAKWndvb++kk22EQ6H6aUIWO11vvjJSA5meJvVuyJVkWXvT7NYKK/mdqIO1YUe3dspa9QG/gwAIFAcBBKbFoQdIAQIgUF4EWCxJuMPXneghi52tYkn4didoow4QKBwBt3yIbo8KknTQFQ7lQAAEQAAESosAAtPS0hekBQEQAAEdAvDtOpRQBgRAQEUASQfYBgiAAAiAgGMEEJg6hhIVgQAIgEDREIBvLxpVQBAQKEkCSDqUpNogNAiAAAgUJwEEpsWpF0gFAiAAAvkQgG/Phx6eBQEQQNIBNgACIAACIOAYAQSmjqFERSAAAiBQNATg24tGFRAEBEqSAJIOJak2CA0CIAACxUkAgWlx6gVSgQAIgEA+BODb86GHZ0EABDKSDsABAiAAAiAAAiAAAiAAAiAAAiAAAiAAAk4SWLNmjceDDKaTSFEXCIAACFQmAXxLKlPv6DUIgEB5E4BvL2/9oncg4DYBbK9wmzDqBwEQAIEKIoDAtIKUja6CAAhUDAH49opRNToKAq4QQNLBFayoFARAAAQqkwAC08rUO3oNAiBQ3gTg28tbv+gdCLhNAEkHtwmjfhAAARCoIAIITCtI2egqCIBAxRCAb68YVaOjIOAKASQdXMGKSkEABECgMgkgMK1MvaPXIAAC5U0Avr289YvegYDbBJB0cJsw6gcBEACBCiKAwLSClI2uggAIVAwB+PaKUTU6CgKuEEDSwRWsqBQEQAAEKpMAAtPK1Dt6DQIgUN4E4NvLW7/oHQi4TaDkkw7hjpat4UNj/UZb16OxwZ79bgND/SAAAiAAAmoCCExhHSAAAiBQfgTg28tPp+gRCCwkAWnSIRwOLX7/5d6j0Smy0UqYQg/2kXSw0hB+BwEQAIGFI4DAdOFYoyUQAAF7BPYG/TuPDI08E4sRL3vS8AUPbNvmfbo3HL7J10Zj4TP9xw4Mjl7cnfq70TK8efu9ewZ6nv2Q/e3JvcGVA92R6CghjdnS+C50PtG2vm/fvs/MJE3IFRn5jxgh1azccl/bS1u33fWwKJedsqyuvcHAllND0fBYzFetI49MVvh2e7aG0uVJwA0fwpPK9V21I5cdH2KnXiuNK1c6BAP+f5mYIU2sgi8vjzSPxchaw/BH6+rIRfb3Gu/db0Uj3W9bNST+/sQTnV8de/3kz87Wrr4uc6q69SHpoEsK5UAABEDAfQIITN1njBZAAATsE+hqMx7pGYy9QAxjwl9X9w4hl5dcHol9OzHQ9wVfI6OR77Na+ck3Ovhvbao5MjM+1H529OKOGDHI5q4HNrHEw1Ndm5sP9gycoH9vaJg7x0vm8ayZ2vbgugfFxAFfhslF4+vVG5perZ4Z/9rQxyP/kEiMCHLZKUvbyE6c6CVBkHSwb194ovwJuOVD8n1X7chlx4fYqVdH+9rbK1jDLR3hbWOHwsd0KjcrQ5MOg/v6To02BD4JPbRuu5lDNqsHSYd8NYHnQQAEQMA5Akg6OMcSNYEACDhHgM4gThAv4SfK+IQBn0hIBebC1l0Wc5KGwO9Y7MrqWNYRfiCX+JjKNVPjPx/p/sl51ttUjEyMJbxcdsrydfg6Nzy+7J2+ndEp3+1Y6eCcTaGmyiLglg/J9121I5cdH2KnXh1LcCXpQJeafRL3rKACLFmy8sPe3vAlXhiaeY3HZ1ee7jn8K5p02Nm+8rGqL774nNTWXuKTD+FQqP789evN9NkvqqouHe7pSS1nS2WjczjToauzs3V2bm6xqk5at04fpqdJfW9v76QMdCgUWiH2h5br6trZPDu7qN7jqbr5lRXVH8qSLfRZWm+C0+SN5qvkNtLX1zPEt8PXI/6mo3iUAQEQAAE3CCDp4AZV1AkCIOAGAX5FA5tUS/8te4Au+y3fpIOsX+l2jG/wSQc7ZRMrise+3NK4zvtGLZkmyW3TSDq4YUeos3IJOOFDnH5XqTZkcqm0lJu/IRvtLkRwNOlAHe/xowMv0m0YGR0zWoY77w98l+1pC/rILyOjZFdW5+eXkenWk4BqI+lAy75yaOwgv2eOECMuLpPT6YPZyg+ZTOlsenq/Hm3bt6n98dET3S+LSRRfZ+fuuZN9P2QsmWJpMuTtI5FDmYwz+1C5rz56DgIgUGgCSDoUWgNoHwRAQJeALNi2WombjGGNe1ns6EbSIT3z6SNWKxN0ypolUnRZwbfrkkK5SiLghA/heTnxrmYmHawTlzo+JDVOTZ37aF2vaAeOJR34JWqBYPsuunyNgpt4/zePRKJTYX4pmtVKBzqgf2tm9ar196x9ni03S+0rEffdaSYd0vL5ru/suvvv6KoJulrgvaOHX7yyuusNevOFnT6kyjYE/iBuD1F9kGJGy4Vg+5YO2idVBiq1dI9qymgZ3rn9nj3Lrl5dHK/6+iX6nFh3kvGF+4jX/y6/NK+SXnj0FQRAoHgIIDAtHl1AEhAAAXMCsmA7Fd/5gsf5cx5YTeKkEys/Fwj2bKj2fEDL0dWsua5CTcR1/b3/SSfnrA5r1y3rxEAGvh1vEwhkE3DCh7iRdNBNJOj6ECajbr0yW3Es6cBWL8iWWsh+s8oki8KmHCYJEH6Qr7vSQRysy2DY6YNqKYqsX6q2ZR+2dNIh+7AfFQM4ARAAARAoFgIITItFE5ADBEDAioDs7IZckw6Zq2gTM0dZq1lV8tAT4n/97qUuj2eqJnGApNEy7G9df2Ak0n1YfMZOWfYskg5WloDfQSA3Ak74EDeSDqpzaWhbufgQMelqlRB1Lelg5cxkiYGckw7CfjSdpIOVfBSMVRlZOzKFsnJZewOFZElGm9xvVv1hiZGGQDD8nXXe/bkewJnbq4WnQAAEQMCcAJIOsBAQAIFSIMCvgOW3MNhNOsj6yl9Jp7PvORzc8q1jE9MdibouX14+EosFEmkL4SDLROxooyySDqVgiZCxVAm44UOsxqM6rFRypfxBDj6EPmtVr5Vsjqx0sEogyBy41TN068PE6dM/Sl5PxJ+DkLkCwGqQTgFYtaVTRtYH2RaLZFLAt559wNLLUGT3N8+rhzsF2ao/tL7o631vsTMdEvdLf9P7vHhYp5Xi8TsIgAAIuEEASQc3qKJOEAABJwmobofICKw1t1eo5EqtXBW2Bev0gz+/y2pGUaesEwMZ+HYdzaFMpRBwy4fk+66ayaXSjY4PyaVesb0FSTrIHK9ZIiB9L2jLcNuG1S/UzM197vHM3Hr25OCjYzFfNZ+Rthqk6yQUdMqoPh781onmWz+5lLgG1Bc8xfYB8v1M3dIhaoG7tUOnP/RxmpQ5c/S9fclsOA6SrBQnh36CQLETQGBa7BqCfCBQ2QT44Lml48Gsay7Nzuyi5HS262YkLyRnf+loQHY9p2WCg5vE4svmO5ChdcG362gNZSqBgJs+JJ931UouM92Y+Zt86uXbdCTpYAVItg1BlXRQHVChakNnkG4lHwViVcbqzmaaiX6w5r1z4UNj/fxSOqt6RQPQ6U/Gh2T+IE2SQya9EhwD+ggCILCwBBCYLixvtAYCIKBPQOcaObOD0uzEdFbJCyupkXSwIoTfQWDhCbjtQ+z4GHli0f5VlolxMBtPColLnf7qasGRpEM680t2iXvXVAcuqg5FtJ2M0Ly9QnVIJJVjcnJRMz1l2KxM8n7j7OtBeHkD9dHr0RHfN8TrjcwOqMw36ZBqn1tdoat8lAMBEAABpwkg6eA0UdQHAiDgBAE7wbMyHrQx0cPqELdHdHV2tl4ltxF2u0UoFFrR29s7KfZR9rydsvIBie92qys4Vazh252wQtRRygQWwofoJB1EH2JHLjs+xE69Onp1LOmQPlyCVC/3tb3U2lRzJL0lgqyV7UnjD0X825r4H69cWUXuuuvPbycH+GRj4rDExqWHbrl2wXtqKBpOnmNg/0wHCoK/DtMfaH1uVbVnfC5+rmkoOvLj2Py+vVz6wCdcEsAlKw74ZSm07Tsbl/bTojdu/Kll/OTZH1xevf239MpOPtMk45WU76PDdYHWX9A6Fi2avfX8mcNPRkfIDp2DinQMAmVAAARAIB8CCEzzoYdnQQAE3CLAYk5iGBP+urp3stqp8Y6PRCM/tYwZiUE2dz2waaDn2Q9ZfDdt+CdWb2h6lW0HprFdYvurMGsorqJY8VfXPmeTWiw2pe3PjA+1D45e3M3HvPwknlXZRDwZDi2OT95onp2bW5yOx43Gts4NoaSc9q71hG93yzJRb6kQcMOH2H1XZSuxdOWy60N069XVn2NJB9ogfxBFWgD1lUH8IJ8fsIuHJbJrh1bNdrfyhzRaDdJFCLS940cHXmSHMNLfaYJk67a7Hma3QNjtAy+D2dkK8nrp0cQtw8H2LR2R7p+ct+oPNZYz/ccOJD9E7J/+lUy6RoFyIAACIJArAQSmuZLDcyAAAm4R4GfslG0ICQJZzCjGbLSuvZt8Dx05Mfrv4pWZiYO+t3mf5m8Zk63m3RsMbElPrHHRnRF4s7Xd/ySLDxNt2ShrfZB59tXsZvzh292yTtRbCgTc9CF23lXRh9SSacIm63V8m64PyaW/VnrUTjpYVcT/TgWdnib1hNTe1LlVIRwK1U/X1t4Ur39k9ciWndmRRyybaI+QxWb12u2DHXno0hZaPp9+JevQ42tHNpQFARAAgXwIIDDNhx6eBQEQKDYCqXiQO/RbJqNO3Cheqy7WYyc+tFPWCabw7U5QRB2VSEDXh+iwsfIhOnWwMoXyIR44EztqQlkQAAEQAAEZAXxLYBcgAAIgkE0gNXNYF/yU3XBWSpzg20tJW5C1HAmUiw9B0qEcrRN9AgEQAIEFJoDAdIGBozkQAIGSIJCcofT8PNeDHAvdSfj2QmsA7Vc6gXLxIUg6VLolo/8gAAIg4AABBKYOQEQVIAACIFBkBODbi0whEAcESoyAK2c6lBgDiAsCIAACIOAQAQSmDoFENSAAAiBQRATg24tIGRAFBEqQQEbSoQTlh8ggAAIgAAIgAAIgAAIgAAIgAAIgAAJFTGDNmjWexPaKIpYRooEACIAACIAACIAACIAACIAACIAACJQggVTSgf5HCcoPkUEABEAABIqEAJbgFokiIAYIgAAIOEgAvt1BmKgKBCqQAM50qEClo8sgAAIg4BYBBKZukUW9IAACIFA4AvDthWOPlkGgHAgg6VAOWkQfQAAEQKBICCAwLRJFQAwQAAEQcJAAfLuDMFEVCFQgASQdKlDp6DIIgAAIuEUAgalbZFEvCIAACBSOAHx74dijZRAoBwJIOpSDFtEHEAABECgSAghMi0QREAMEQAAEHCQA3+4gTFQFAhVIAEmHClQ6ugwCIAACbhFAYOoWWdQLAiAAAoUjAN9eOPZoGQTKgQCSDuWgRfQBBEAABIqEAALTIlEExAABEAABBwnAtzsIE1WBQAUSKMmkQygUWtHb2ztZ7voKh0OL33+592iUBEjnrpb7+/bt+0zV53BHy9bwobF+o63r0dhgz/5CsikmWQrJAW2DQCUSQGBaiVpHn0EABMqdAHx7uWsY/QMBdwmYJh2e3BtcOdAdiY4S0sjEaGhoOP0XdX/98d13e//n4Z6eD90VL7v2rjbjkZ7B2AvEF3yNjEa+v9DtL2R7qaTDlO/2zifa1iPpsJD00RYIgEAuBBCY5kINz4AACBQrgb3BwJZTQ9HwWMxXbRaL0Zh5+L1Tjw2OXtyd7osR9wfb/2kk0n3YrH97g/6dRyIj/xEjpJqVW+5re2nrtrse7g2Hb6qepZM8rxwaO0ifU0065SMX3y58e7FaKOQqdgI6PoSO+c70HzuQ4T+MluHN2+/dM9DzrOV4m77nbx+JHBqLkbWMh2EE3mxt9z8Z6f7JeZ5Rwt8MjTwTixFvqqwveGDbNu/Tor/JVy6ZD/HInMlTXZubD/YMnIgZRtxfV/cOffDLyyPNrENuzao/8UTnV8deP/mzs7Wrr4sOl4L69buXuuru2PHq6Inul4vd0PKRD0mHfOg5/6yZXTrfGmoEgdIkgMC0NPUGqUEABDIJZAfbvguqpEN6ks5Ysty3+tetTTVHPJ6ZW6/88Y/f/njZ+k+nopFnVHzZZJph+KOrNzS9Wj0z/rWhj0f+ITEgMJlgS8eIZCOtWxaT5yOXKC98O94QELBHQNeH8O8yTTZS/zEzPtR+dvTijhgxyOauBzaZJR5S43ViEH+g9blV1Z5x+nwygZHpt1KT94YxkRzbX15yeST27UTCU/A3+cql8iHmSQdf8Di/qiDdOd91qxl4e+pJlqaDu8F9fadGGwKfhB5at90sy5tL/aXyDJIOxaUp2GVx6QPSFCcBBKbFqRdIBQIgoE8g9b0nxhJf54bHl73TtzOqWHWajtWMb1gNDmQS0FnQmRr/eX42km9fVWdy8ED+ddOm2p+fODH6P8SkQ75yIemgby8oCQIiATs+JJV4FLbIs+3qpCHwO9V42Ow9l9VL/c0E8ZJopPttJjOftOD9TT5yySzCdHtFSggh6UArCvrILyOjZFdLR3jb2KHwMVZ5OBSqP3/9ejP9/y+qqi6ptmCwcxkorPjkjear5DbS19czlPj/+OzK0z2Hf0WTDjvbVz5W9cUXn5Pa2kss+WB2pkNX187m2dlF9R5P1c2vrKj+UJWw4MvRdnVfF7v9o6UQ8swAACAASURBVPXSTPMncc8KMx60HGMxOze3eMmSlR/W1k7fTJzpkMP2CtYm5WDWPzf6ozrTgfZveprUi+dxiP3u7Q1fSpatXUz/m9eNSve0H9Oklojl2bP52oWOXdK2crUrXftDORAodgJIOhS7hiAfCICAFYHEysaxL7c0rvO+UUumiVksxmJl0tb1b06dqWWVMEgNaHzBU+Gm8f8tO9PLabng262sBr+DQJqArg8xm2DWmXw2mxA1G8fzuuJXNLBxfb5yOZp0YNkPJhzt2PGjAy/ye0kSDRotw533B77Ln0fABqW+zs7dcyf7fsieoXU1jYf/niYzsoSdX/KhGtCmszTp/XCEGHHfpvbH+W0Ysj0vtJxVdjqX/vmDe79X8273Q9Gp5NI3FQ/6d9l+voZAMLzmo0irnaRD+hmuTUn/3OyPTEepbJ2wzEfWb5qtb53p+ZvIqG89v5KG1ZGV6GIHbkqSM07ZBUuyqewyV7uCgwaBciOAwLTcNIr+gEBlE7AK/NmKA6s40g7F9Cypj8hWFCdjkmSMtOL/Rn2ypIPTcsG329EgyoJAmoCZD7FaRZ181417Vf4lNc5pCPxBXA1h5UeYhLIkZ75yOZZ0kAlHndtbM6tXrb9n7fNsiZjq0Mf0ADSZlNi5/Z49y65eXRyv+volb9XsZ2YrHWQD2vTZEy0Xgu1bOmj7sqwNBSAqj5abeP/CfcTrf1c8aIMHlm//6GqNa7/vfSqRUBH2zPDLWgLB9l2NS/88ccu1D/zpQ4XU+whTBjN/ewVLbFCmiTYv/KYjEp0Ki0tz3OyPqCPVdhy7/babdHDSLqxWOuRqV3DKIFBuBBCYlptG0R8QqGwCVkkHPgFw2+cX6uPnr7Wcu0Kaau6oGf5vK1a8bXeLcCIu7e/9Txovys5pEFcwqCbjnJYLvr2y3wP0PncCZj7EajWCOMkvSmGWHLDyXawuWXIiX7kcSzqkkgkme0xoY6nOkgDhsy+qWe+szkvOdJA5V1UWSASmkidXM7Lsn8BHZRiqrSp2zs4w2/ejql/st1P94XX0gHfyvxKHkZLs8z/s9ttu0sFpu1Dpz2m7ytUe8RwIFAMBBKbFoAXIAAIg4BQBvWXGZKNhkAn+NPhk+0a8pePBB/htyDK52CHpHs9UTaIOo2XY37r+gHjrhSzekK4uTa0AzU8uXlb4dqcsCvVUGgE3kw78JLtv097d/Op+en7DkUj0NdkYjNeB7OyGwiUdCKmmV2VSAaempu5O+tGWYbaqQGU8KsiqrGwuSQezAZ/sNzbQpdsQvrPOu99uBprvq93+ycrrfczyuzJTdRCIMukgbFMwO6NBts8xVX7z5v21AwPtoyR7eWAu/baTdHDDLsyyiU7aVaU5Y/S3vAggMC0vfaI3IFDpBPTiFbLREK6co4mE7sjI/xJPj5fxDAe3fOvYxHRH4rfLl5ePxGKBRKgtHCwnm/W0TDrkIReSDpVu/ei/EwTcTDpQ+TK3khvxhoa5c6nxeqID6hXzlqvRJec60hqtVmDIuOkdJMklHerr6z+q8d79Fn/qJauYHqI3cfr0j5JXfPBnK2R21smkQ3pJCGlUGga34oCWj77e91bq2k/qjL/pfV51AGFGJijP/smMzollMVRGM6aq3/LVl1XSJcVOcuVTLv22k3Rwwy7MZM7HrpxwaKgDBIqFAJIOxaIJyAECIOAEAb2kg3xyyGo/tko+/pwolnjgD4/kb5QzTzo4Jxd8uxPWhDoqkYDbSYfEOHD+uICJmZk76f/X1Hg/aFy39PiFl3v7osKOA6YDs1tyCrfSQZHlyBiQJ67uib1AV0C0bVj9Qs3c3Of0juKzJwcfHYv5qmUHAsr2qtE6TQek82cXZDlh/qYL0aK5my/4BMmZo+/tS2aTrQ+STN9rmnv/iinp4FZ/xARI8kDI7H2JC5Z0cNAurA5VSWT+unY227GrSnS+6HN5E0BgWt76Re9AoNII6CUd5Ndl6m5vlTEVt80uOvPKnkScTZIzmewZz9TUquREX/Lv9d/a0bPV++djyZWozskF315plo/+OkVAK+kgOQiStp9r4jJjPO0LnuITlRm/EWOJbAuY2QGVucqlt9LBIumgOh3TaibciaSD7iEZKsNJOXXJbHx2Jihzm4Dd/hV6ewW79cEpfen0/37f1cjgvr5To8RYwp+8qvcRz8zQ21np4IZd6CQdmM3o2JVTzgz1gEAxEUBgWkzagCwgAAL5ErCKJ8wSC/kMGMSkwy0Tx7b++t1LXWJ/ZEkHehaE03LBt+drSXi+UgmY+RCzGyasfI8VT+vt8WSjeCOg1diX/p6rXM4mHYSDH5WDW2G1ggjNdD++5Nl8Msmq5Wq8TKrBpt3+qZSkkj+1GsFkL07WIFcom24zne12uz+6t1fY7bdqIK/i5LRdmNmlaMM6dmXlLPA7CJQiAQSmpag1yAwCIKCcnDK5ljsRgLPbw4TJK1Ws1dXZ2XqV3Eb6+nqG6POhUGhFb2/vpNg+i2FUE3Ri/CeWsyuXlQXAt1sRwu8gICdgNUhXjVeU4x7Bh8hatZ5gViccWH125bLSvyNJhzRMsjFxQGPj0kO3XLvgPTUUDSfPTrB3pgMVmj+Y729r4n+8cmUVGRzsflOWteH3pPgDrc/d2bi0n9Zx48afWsZPnv3B5dXbfxsb7NmfXCry0eG6QOsvaJlFi2ZvPX/m8JPREbJDlenJzOjk1z+V0fFXR1L5V1V7xmfGh9oHR+d2GCRGrE4dzfjoJTRuxGk9TTXxT5PbW8ha/ppOp/Sls9KBcqcSyW48Uff74u6k4WbaDX9OA7WzDdWeD1KcjFg8FvPdwm/jccMuZHZ5p/f8+VzsyurlxO8gUIoEEJiWotYgMwiAAE+AxjfxyRvNs3Nzi9NbhY3Gts4NoeT24aqbLGnAx1TLfW0vtTbVHEk/Q9by8aU4EFjxV9c+Z9sgWPxH5UjGNjQW0r8yPSvpwN1gYSWXjvbh23UooQwIJAnY8SGy8dBc/FzTUHTkxzFiEH6luCyZEPQZ+89VNV1rqq0doW3zz4pbJ9g4hhjGhL+u7p0sfdV4x0eikZ/Sv9uRS0fvjiQdaEPiQXp04Ovb1P74qtnu1siob72dMx0yOzp/IOV8Blm1VIQ/dCej49wtG9QAzvQfO5B05OxfUk7+ihEZOCf6Z7qloKNl6yuHxg6mDuA0WoY3b793z22nn/1nkZ9MviSXKwc3dm1vrzt9dHtkNPZwqofCycVO6ctO0oG2KcvaU7nFfm/cfs8jf3mk5+mocIsGs4vjRwdeZAeB0jNEzDg5bReZJ8TSvEjwtfC2pf+Yq13pvKQoAwKlRACBaSlpC7KCAAioYr7k1lDVIeWZyQBprGEYE4HW9n/hD16XrX6g19qlJ+m46NQIvNna7n8y0v2T82ZaMjtIXFcuHSuAb9ehhDIgkCRgfaB9pg+h44uM8Q2tRHJTpMyHpFd8c/Qlz/IJUqWeuMsXpOMuhVw6ejdNOuhUIJahHZqeJvWypWI51RcK1U/X1t60c7UlXapG2zKTIVmm9qbOrRW83E73L4sf7S+pJXblylUPbvdHV+dhrt9Wy5BonXx53TactItE+xK7zNWudPuAciBQ7AQQmBa7hiAfCICAWwRYTEUkB5gnYpf5rRiq1bU6cUouslvJpVMnfLsOJZQBgfwIWL2rZj4kOTYii50ag8vGvyrfptNrx5MOOo2iDAiYEdBJOoAgCIBAcRJAYFqceoFUIAAChSWQim3qgp+KJ8kXVjK91uHb9TihFAi4RaBcfIgHzsQtE0G9dgkg6WCXGMqDQPEQwLekeHQBSUAABIqHQHKG0vNzfrtx8UhnLQl8uzUjlAABNwmUiw9B0sFNK0Hdtgjwt0R07mq5v2/fvs9sVYDCIAACBSOAwLRg6NEwCIAACLhGAL7dNbSoGAQqggC2V1SEmtFJEAABEFgYAghMF4YzWgEBEACBhSQA376QtNEWCJQfgYykQ/l1Dz0CARAAARAAARAAARAAARAAARAAARAoJIE1a9Z4sL2ikBpA2yAAAiBQJgQwG1YmikQ3QAAEQIAjAN8OcwABEMiHALZX5EMPz4IACIAACGQQQGAKgwABEACB8iMA315+OkWPQGAhCSDpsJC00RYIgAAIlDkBBKZlrmB0DwRAoCIJwLdXpNrRaRBwjACSDo6hREUgAAIgAAIITGEDIAACIFB+BODby0+n6BEILCQBJB0WkjbaAgEQAIEyJ4DAtMwVjO6BAAhUJAH49opUOzoNAo4RQNLBMZSoCARAAARAAIEpbAAEQAAEyo8AfHv56RQ9AoGFJICkgybtUCi0ore3d1KzOIqBAAiAQNESCIdDi6enaxf39oYvOS0kAlOniaI+EAABECg8Afj2wusAEoBAKRNA0kFDe11txiM9g+RfN3c9sGmg59kPNR5xrUi4o2Vr+NBYv9HW9WhssGe/kw3Rgcj7L/cejZIA6dzVcn/fvn2fsfqRdJGTrhQuZrYhknHTRu3aezHJYld2N8u76dMQmLqpOdQNAiAAAoUhAN9eGO5oFQTKhQCSDhaa5AdboYfWbe8Nh28WUvluDqJSfZ3y3d75RNt6lnRIDlBiLxBf8DUyGvl+IftfTG1XEheVbcj04aaN2tV/McliV3Y3yz/Vtbn5YM/ACdLW9W9OJy8RmLqpOdQNAiDgBIG9wcCWU0PR8FjMV83HO3zdT+4Nrnz7SOTQWIysTf3dMCb8re1Pj0S6D+daVia/rC3DCLzZ2u5/MtL9k/O5tEXrHOiOREcJacxu03dB1W8VX/h2JywPdZQLgVx9iOq9pnH2mf5jBwZHL+5O+5uW4c3b792jM+G9N+jfeSQy8h8xQqrZ88t9bS9t3XbXw6qxq04fEvUOjTwTixEvq9fwBQ9s2+Z92u6YGEkHq6TD/MqClo7wtrFD4WOFflncHESpBpbU4H797qWuujt2vDp6ovvlQjNYyPafeKLzq2Ovn/zZ2drV18UXt5K4IOmwkFZn3ZaZXVo/nSwR9JFfRkZ96+0Gnlb1IzC1IoTfQQAECkUgO7CXD75ZYjZGDOIPtD63qtozPhc/1zQUHfkxDer5mNBOWVm/Zc/PjA+1JwcfmfLZaYsv29Awd45v2+NZM7XtwXUP2hk0wLcXymrRbjERyMeHqN7rdIxNNtJEQWtTzRFa9uzoxR3UB1mttGeToIbhj67e0PRq9cz414Y+HvmHRKJAMmGs24fU5CpNttbVvUPI5SWXR2LfTiQ2cpiIRtLBwpLdCsxzfYEKkXTIVdZyeI4O7gb39Z0abQh8UgwrXQrFFEmHQpGXt+uEXTJf4nRCFYFpcdkKpAEBEEgSSPlNYizxdW54fNk7fTujwspOxooF26J/TA3kfcHjbOWnnbKiLtLfVuMb4sAiNZDgttPaaYvJuqwj/IATk2bw7XiTKp2Arg/J9b0Wt86zOI00BH5nNgahKxZmavzn+VVRvKy8b9HtA9U1rXeCeEk00v020z2fzLRKhoj2op106OrsbJ2dm1v8RVXVpcM9PdJzDehSrk/inhW0kSVLVn4oHlKWPLyM1KsOZKT740lt7SUx89rVtbN5dnZRvcdTdfMrK6o/lGVm2d562kZ88kbzVXIb6evrGeI7zNcj/iZ7kXQDeyv5VP0Kh0L106SWyA5zU/FWJR1UZwuYtcFYUb1SfdXWTt9MnOkg+QjL6uf/xnRvZh+UMZXn/PXrzUkbWZJeMijRO68TWVvUHsz0yLdlJpfKdhJ84rMrT/cc/hVNOuxsX/lY1RdffM7bqNmZDlZ2kQpuOPvWsUv2nN3+0ee09TT/HunYRlYQJZw7wtp0Wl86/VG9LypfJL4T9N1UHbqYyztHZc7XLnTsUmxHZley4NmJgAKBqRMUUQcIgIDTBBIrxMa+3NK4zvtGLZkmqniHtpuccDLuFYNqmd+0U1bsk1mcmW9bSDo4bUGor9IJ6PoQO++12aSenQk/3YSmbh9UuuZXZdidtLJMOtCg/ZVDYwf5PSKEGHHeEVPHdvzowIsZ+96otEbLcOf9ge+KZwPIhJQNDtLZlPT+FNq2b1P74/wyf/asr7Nz99zJvh8yOVg70n15Qh9kcK2Cch350mV81/llzKq6rXjLOKlmLM2MVbb3pyEQDK/5KNIqJh3M2vQH936v5t3uh6JTZGOKoaD3RLJBtleJh26yTCfZ/pWDG7u2t//lkZ6nM9qS6FHXHhNyzQ+QZbbTNB7++8go2ZVlG/Oyqga0OnbBBsxZ+0U17VLnfeP7p6sn+owd25C9N4xL2p4423BIX7r9MbNdcdmqrN8069w60/M34jaEXN45p+wiGeCq7VLX3+kmVe0GGUg62CWG8iAAAgtNwCqYl60ySCRz58+44mck7ZQV+5n6LjQE/iDOZKZnJH2ExY922kLSYaGtCu1VEgEzH2LnvV5OLhKzFdWqpKYVa5n/UCcmMs/yM6vbbBWHlUymSQd+wLyz6+6/oysc6Czde0cPv3hlddcb9AAyfplFINi+iy7BoAJNvP+bRyLRqTC/JMRMCSLUVFmj5UKwfUsHXTKiyq6klp/MJzp2br9nz7KrVxfHq75+iT4n1p2U78J9xOt/VzyghwdmtpXBjnziR0JlqDq8nUg6iDprXPrniVuufeBPH0CSuYfQfOCWTC5R5nQVwLXf9z6VGBAJSQQZg4n+3v+kMwn+YPs/3emtOqbaWyjTb6KtC7/pEG2MBQVvzaxetf6etc8z/aoOfTSzHW/V7GdmKx1ME2UadpurXdK+5NM/Mz3ZtQ2zpEPiN942XNKXWX9EHVkmAYlBqB/TfSfEBKrlu+2AXVitdNC1K6ug2+rjofodSYdcyeE5EACBhSJg5f/4eJMdmrbozCt7EodqC0ud7ZQV+2eW/JXJaKct9r2bCwR7NlR7PqBtW604NOMP375Q1ol2SoGAmQ+x817f/vmH9fRg7xi3ZYvvv2pLlVViIDnGIrvMbju08oOyNnSSGVbxoUfmTHSyK2zWTbZ6QfxNlR2RKcfOcrX0wDH7QKBUmyRA7O7JN1O0LfnYVZRTyT17KyYO/nf64RKZ6fB2Iumg0plqQGaadBA+vjJdqnRgtZKEGa3ZniYz+8tIIHHXgfJ2YGY79HlTxyG5vlTXLvKxS+lA36p/Gnqi9dq1DdOkg2QPmmP60uwPb7sPeCf/K+HYSeaqo1z6bXelg9N2obJLu3al43PsfvwRmNolhvIgAAILTUAn2E5MUPX3PxMZjT3M5KMr+KaikWdEee2UlcYmU2Sjb9Pe3fwqXrqf+kgk+pr4zdJtS766jraevWJYhz98uw4llKkUAnrbIqzfa6eSDuxwe49nqiZxgKTRMuxvXX9AvGlH7n/0VzqoVlvp6F250kHXIZvtiZMNVmXCigG8WeAs+81sRQI/oKAfi++s8+7XPa1XlXSwKx+VITW4NYwJIxarjglL6XR48/XwmSs7AyC9lyTT+MySDlmHnqQSLOk6nEo6yLJ1usav6reV7dhJOti1CzYAt2uXpkkH4TwOVf/MZ1CynY+ufapslMnslr4s9bt58/7agYH2UZJepppKakls1uq3nN45SeJTZjM6dmFmlzrPs/4h6aDzmUQZEACBciOg803jt6o1NDScnpqauls1YLdTVmSZmRww4vSmiWRb7F/mhFo+bfHbCHPdj11utoD+gEAuBKx8iO577VTSIRzc8q1jE9Mdib5cvrx8JBYLJFKM3EG0Yj+t+qD2VdmTdzoMlUkHnf2+VmVkM9myLRbiDRHppRuyu4Xnu8XNdOoMHKOv973FznpILJX7pvd52QGOPDRV0sGufJkBPt2LnXkmBv3dimVqECSZXbczALKz5IedxZFv0oHKLpvh1l0yZKZf1W90G9DE6dM/Sl43w58JYr11hLcBO0kHu3ZBy+dil1S+fPsnczS52IbMyRRCX1ZJh3TsFnyNnTjO/pZLv3N656R3pWf7Mx27MJNZ53kkHXQ+jygDAiBQrgSsgm3q4xPnmXFb4vjBvjjxo1tWxTOxeuH9C/dNzMzcScvU1Hg/aFy39PiFl3v7olzC2o5cyrbm40i7V95hpUO5vg3oVy4ErHwIrVPnva6O/36l09sraNsqf8X3VacPWbEyMZbYvbWC1eFq0iE1uy/s7+dn15pv/eRS4gANX/AUGwzwAXXqxgDRIrjbDqySDuxROlA7c/S9fcnsT/bAX2zCMunA32hgIh8zvOSqkOShemLmqdyTDhlnJxAjbpAYockAmgCKjUYeMXvh7Q5i0/fKtgy3bVj9Qs3c3Ocez8ytZ08OPjoW81XzB3pa2U5OSQcbdsESCLnYJV06lWv/iinp4IS+rJIO6QMhs/e3LVjSwUG70PEXOv4OKx1yCTXwDAiAQKkTyGXVJ+1zenIhGXh/szp+XrXiVyw70POs9OY3FcvU8/PxsZnMdtoyO1/NTK9IOpS61UN+JwnYGbDz7YrvtdX7mE+cZrY9PXNsar69gvcvLR0P5nwFr6vbK1RLqfmB3oM1750LHxrr55d52VWk1cBRNDJVMkSVdNDZQmBlyIwFvSWB9PX9q7jMW7fPZqsOdA61y+VDm+9KB/4F67r7y5+Nj5/fenXRqpteb+Mxs4M8GVMz/YqJofSLkbmMXmdQSg9GFfVoJ+mgq0OVrejYpVP9K/T2CmarbvYn4VC5lUH3+65GEglOIUubzzuR7ztn5Tf4PvCzUjpJB/H9EWe10v3Ovh9eRy5VGQSm+dDDsyAAAgtBwMzv2xkE+MkIScxSSm6foP1wYsDAYlA7cpklOKzqgW9fCAtEG6VOINeYXxzTqOJgO0kBy3GF5Iw13frT/SQb7W7JEuUyvb1CdegbFWByclEzvfvdrEwy+5sd0PIBc6A+ej064vsGP/ucdtRkl04H7SYdxCyTlbJk+2F0D8SjdYvbTMxXgGT3medtlgBQ3RghXg2okj0140ystyDYOSsgY4D0nXWdVttalEkiUS7hgE76kVUNxpSDW8l2Fb592Z57s2SIHbtQJji4VT+6SRC7/VM5S7u2IXt30qtaBDtyUV+6SSXVYal2+616h1XvkNN2YWaXunaV6wfTKlBA0sGKEH4HARAoNAG9VQNmZwAlY9vUal3T84Iy4+Cuzs7Wq+Q2QmNoFQfZN11vcGKdRGbfI7O93jK54NsLbbVov5gI5BJDqd5h5VhasRVK9CGhUGhFb2/vpMjH6l236oOTCQcqm+aVmQbxB1qfW1XtGZ+Ln2saio78mF3twR+UsdzX9lJrU82R9FJ2slbl1BiIBCBh+wX9E7+Ug7Z9Z+PSfvr3Gzf+1DJ+8uwPLq/e/ls2M22WdEjK99HhukDrL2gdixbN3nr+zOEnoyNkh1VCw+x2BV35ZLOJKiXy1xWqeMv6mpaFNNJDCenVSDPjQ+2Do3M7DCMWj8V8t/BJHVk7qfKJbQ+ZB4Tku9KB6i09GBNfCSNOr8w0PV2VvXSJR404ZdNUE/80uV2CrOXth2ebOKCxcemhW65d8J4aioaTZ3pYJ1RULy2t729r4n+8cmUVGRzsftNcF8YSM7vN1S6d6p/K0di1DfOkw8LpSzfpkGGLXOZX3e+Lu5N9zLQbu++crr+wYxf8gZHMLu/0nj+v6+/srJaw86FHYGqHFsqCAAgsFAH6nYhP3mienZtbnI5Tjca2zg2h5DbMqpssEZCKUY2W4UDr+jC9RpnGj/SsqMHRi7v5uMNOWdmgI+gz9p+rarrWVFs7Qlmk4mxiEHEps25brJ1pwz+xekPTq2ybKY2fE1uMFTOfZrqAb18oS0U7xUrAng/Rf69Nx3/EIPwZCqIPWfFX1z5nk/xs7Ej5Jcd1NIbNngC07weNCX9d3TtZeqnxjo9EIz/V1Zdp0oFWQkEcPzrwIjuEkf6NJhe2brvrYXYLBH9YRbph8yt50rOh6rMV5PXScWfLcLB9Swdbmm+65z8cWnym/9iBJHj2T++6IKsMkI58qi0mqhlXK96qvmY9Z7QMb95+757bTj/7z5FR33pxJUnqMCJ2yKJJeSeSDmyJoa9zw+NNc3OfUk3wySmzBBBrnw76v3Vl6Cv89VXs/mz+RhL6QvIHNLLTplfNdreKLHRWyWRdOzWfJFM9q2MX1LZytUsn+me6pYAdoKVhG+qkw5WDG7u2t9edPrp9IfRlJ+lAZZZlf2XvxMbt9zzyl0d6no4Kt4JIfaPFO+e0XcjsMrxt6T/q2pWO7et+SPhyCExzoYZnQAAE3CbAJ4vlbaWDc/pNoddlDo3Gvp95GLURbwi09vA3odkpK0v2SidlhDiXyWunrb2bfA8dOTH675nyEyKLm3TYw7frUEKZciZgx4fYea9V421xvEvLyXwIvV43PbnKjXaNwJut7f4n+a3sun1IJzOSZxFK/9lMXlomHVKOLhSqnyZksWz5Bu8Mp6dJPSG1N+0uobcyUrp0hJYxa1+vDnuy6d6w4IR8vPxhDd7SAV/iuVqiyz/Zjn55K8bqQehYv2zVi9lqkpRdCVsg6EeX2pmVLeiW0+1TglVt7U3dK1dpvTp2kSxjzy5p3U73T+TglG3oyqlbTldfuZbj+22VeEzoIYd3yEm7UNmllV3ls9fYjC0C01wtD8+BAAgUIwEWj+l8p63KsmSvbKLFbtxn1ZbTsTl8ezFaJ2QqdgK23+v5MQ7hLkzIGB/Oj4lUk7U68WWhmGknHQolYKHb1RkUF1rGYm/fLHGjM9uqU6bYGUC+0iSgk3QoxZ65tbWCskBgWooWAZlBAATcJpD6ntQFPxWvbna7bSfqh293giLqAIHcCZSLD/HAmaiNIDkjmL1FIXezqawn+b1Ky32rf33HHct+u4xcIePjZ3eMjMTuo8uHOu8PfLdv377PZGSQdKgseymm3pZr0sFsti1f/viW5EsQz4MACJQjgaTf9fxc3O5aKn2Fby8VTUHOciVQLj4ESQcTC6V7saOnJx5ddtfmX9i9KAEYOQAAAQNJREFUZ7lcDd9uvyjD4fdOPfbx5S//empq6m56zkJDw9y5+jXf+tWd67wvmW1ZYAMkf3Dv98wOnLQrE8qDgBUB/paIzl0t96sSY1b1FNvvdK/vqfiqr637jne/ne1COv1AYKpDCWVAAARAoLQIwLeXlr4gLQgUGwFsryg2jUAeEAABEChhAghMS1h5EB0EQAAEFATg22EaIAAC+RBA0iEfengWBEAABEAggwACUxgECIAACJQfAfj28tMpegQCC0kgI+mwkA2jLRAAARAAARAAARAAARAAARAAARAAgfInsGbNGo+n/LuJHoIACIAACIAACIAACIAACIAACIAACBSCwP8H82GHrSzrzOIAAAAASUVORK5CYII=">
          <a:extLst>
            <a:ext uri="{FF2B5EF4-FFF2-40B4-BE49-F238E27FC236}">
              <a16:creationId xmlns:a16="http://schemas.microsoft.com/office/drawing/2014/main" id="{00000000-0008-0000-0A00-000004300000}"/>
            </a:ext>
          </a:extLst>
        </xdr:cNvPr>
        <xdr:cNvSpPr>
          <a:spLocks noChangeAspect="1" noChangeArrowheads="1"/>
        </xdr:cNvSpPr>
      </xdr:nvSpPr>
      <xdr:spPr bwMode="auto">
        <a:xfrm>
          <a:off x="4743450" y="489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18</xdr:row>
      <xdr:rowOff>76200</xdr:rowOff>
    </xdr:from>
    <xdr:to>
      <xdr:col>5</xdr:col>
      <xdr:colOff>304800</xdr:colOff>
      <xdr:row>20</xdr:row>
      <xdr:rowOff>57150</xdr:rowOff>
    </xdr:to>
    <xdr:sp macro="" textlink="">
      <xdr:nvSpPr>
        <xdr:cNvPr id="2" name="AutoShape 4" descr="data:image/png;base64,iVBORw0KGgoAAAANSUhEUgAABB0AAAB1CAYAAAAC7Zm6AAAgAElEQVR4Xu2dbXBUx5nvexbvfsIBS0JSKjpUrAuDzFJbkWZwsI3C1iWUBgwJonbLZCQTp2zCZnZF7fqlyuvY5fF1zG6VDUmkXd24bJeJLeZi39yAI7BGRbJlLAyO9eJ8sIkQCq7LyGUQGvFiPt2KrVs9o57p6ek+p8/MOZq3P59sTZ/up3/Pc57z9NNvno8++miO4B8IgAAIgAAIgAAIgAAIgAAIgAAIgAAIOEhgzZo1Hg9NOtD/cLBeVAUCIAACIFBhBPAtqTCFo7sgAAIVQQC+vSLUjE6CgGsEmA9B0sE1xKgYBEAABCqHAALTytE1egoCIFA5BODbK0fX6CkIuEEASQc3qKJOEAABEKhQAghMK1Tx6DYIgEBZE4BvL2v1onMg4DoBJB1cR4wGQAAEQKByCCAwrRxdo6cgAAKVQwC+vXJ0jZ6CgBsEkHRwgyrqBAEQAIEKJYDAtEIVj26DAAiUNQH49rJWLzoHAq4TQNLBdcRoAARAAAQqhwAC08rRNXoKAiBQOQTg2ytH1+gpCLhBAEkHN6iiThAAARCoUAIITCtU8eg2CIBAWROAby9r9aJzIOA6gYpIOoQ7WraGD431G21dj8YGe/a7ThUN5E0AOssbISoAgYIQQGBaEOxoFARAAARcJQDf7ipeVA4CZU/ANOnw5N7gyoHuSHSUkMZsEkZ8c9cDmwZ6nv2w2ClhAJutoXA4tHji/Q92D0VHfhwjpJqVWO5re2n9PWufj3T/5Hwh9QqdFZI+2gaB3AkgMM2dHZ4EARCoDAJ7g/6dR4ZGnonFiJf12PAFD2zb5n26Nxy+yVOg8dqZ/mMHBkcv7k793WgZ3rz93j2qGHxvMLDl1FA0PBbzVXc+0ba+b9++z0SyNMZ/+0jk0FiMrE3Xa0z4W9ufHol0HxbLw7dXhm2il6VBoJA+hPqk91/uPRqdIhvVtHwXgns3B/jxpGnS4amuzc0HewZOxAwj7q+re4eveG6u5sYdbS0HZI6s2NSFAWymRp54ovOr0df73kp+aIy431/3fxIlLl9ePhKLBQjxXVB9pBZKt9DZQpFGOyDgLAEEps7yRG0gAALlRaCrzXikZzD2AjGMiWRsfXnJ5ZHYtxMTQL7ga2Q08n3WYz64p5NCrU01R2bGh9rPjl7cESMGESf/shMU8nguFd8Tg/gDrc+tqvaMz8XPNbGJqJaO8LaxQ+FjPHn49vKyQ/SmdAkU2ocwP/Px5S//WqTo8UzVJJOp2b5HL+ngCx7nnWCpqQkD2EyNBX3kl5FRskuWVaeZ7+Gj5x5b1tn2dCETStBZqb1lkBcEkgQQmMISQAAEQEBNgK5CmCBeEo10v81K8UkAPpHABhfi9mAWI5GGwO9CD63bTldH0AmlwX19p0aJscTXueHxZe/07YxO+W6XTSKxesXkQkoOSdwP3w6rBoHiIFAMPkRFQseHeGTOxOxBsbFQKLSit7d3kmY/4pM3mq+S20hfX8+QWK6ra2fz7Oyieo+n6uZXVlR/KC4jo+VZXfS/6SD4k7hnxRdVVZcO9/SYbuXo6uxsnZ2bWyyWFQewOnXyMjCZ56pvn+SXiYRDofrz1683077I+prKVM+Xo/9v1o9c+s3zNJMhJcv8+Rb8h8rqFXJSt6wtKztQJR2ofU1Pk3pqa1Zy43cQAIGFJ4DAdOGZo0UQAIHSJsCvaGCJgPTfshMHst9o0mFs7Mstjeu8b9SSaZJc/ixPOiQnn4x7xZUSOgOG0iYN6UGgPAkstA9RUWQT22arpfJKOrABoq+zc/fcyb4fsv1hfIPpLG76/AC6tN+3qf3x0RPdL4uDYn9w7/dq3u1+KGO/iNEy3Hl/4LviDDxt/5VDYwf5swlo3cyZMvkaAsHwmo8irVZ1svJSGeazytf6X3kmMhp7OAVdIhvt8/GjAy9m7JejD0jKmrYpKS/di8f1ORdjkD3jpG5p/XbtgM/upzL7RbD9ozxdFnoFAvkTQNIhf4aoAQRAoLIIpAcMxjdY7JpaudAQ+IStZuCpqBIHtIxZwoL+rlpBofo7fQa+vbJsEr0tLQIL7UNkdFJjvIbAH2Q+y5HtFenBYHJAvXP7PXuWXb26OF719Ut0ZUD6bIiWC8H2LR30b7KMTMJRspn4+cE5ravqiy8+v/b73qfolgBxv1t6EOu7vrPr7r+jqyHoLPp7Rw+/eGV11xv0tgq7dWaUbwj8bmf7yseWkSvk/JHDz9OEhWGQiVjMqA4E23c1Lv3zxLULv+mIRKfComzUeb81s3oVfzBjah+OuG/PZr/Fj03yYMgL9xGv/13VIZAyg7R6pZzUbS52wJIOvJ4Lfd6EFTP8DgKVTACBaSVrH30HARDIhUB6a4SPsBjHarWxaouETtKBj8HZVttFZ17ZkzhrgtuywfcFvj0XzeIZEFgYAgvtQ2S9MvNJfOLSfKWD5CBJUuMdH4lGfpqZKJAfWGNnGZdsnxptQ5XxNcv0MiB261SVTw/AM2/usMpG84pJOXoSIHwWyI6MqjqszFpmkFbPWK0usKNbO2X57RUPeCf/K3GgKfFdR8LBSmP4HQQKSwCBaWH5o3UQAIHSIyBbYeBm0oElJib6+zNW7dIVwVPRyDMygvDtpWdXkLhyCBTCh/B0dcaYeisduCsVUw1wmVCzQ//MBsiy38z28ov706yWj4lJh6yDeFJXfmTueVPJoPoA6Mphln22029aD9szQz8Q31nn3S87G0N81XQMQnzGKd2m9hcKyZYMJtxvqXY3b95fOzDQPkrS2f/KcSHoKQiUHgEEpqWnM0gMAiBQOAKqlZxuJx34bboNDQ2np6am7pZte2Zk4NsLZyNoGQTMCBTKh/AymW3NEn2II2c6iIN62kh6oEsalcA0EhiqQ3MSJ/Uq9rs5nXRI9cUXPCW/0ij7wB661WPi9OkfJa834s+zyFwVYjfpkHntJSGJ5XHf9D7f2xu+pOKcz/aKfHW79P9N3po8VdmeHaT6ImxHgfsBARAoTgIITItTL5AKBECg+AjwN07YOdSR9iSv7RXsLDQjve2ZT0LIYj749uKzH0gEAoXyITx53fGl3koHiyszzWbD+a0H9GwEej5DlonU1l5iM/V2Bt+62xrs1EllU5W3m3RI36PaMty2YfULNXNzn3s8M7eePTn46FjMV81vFbArI2NIkxpnjr63byQWC/CHZ6peQ7NTRWXPOKXbfOygdabnbxJXfLZ1PUrP6ICLAQEQKF4CCEyLVzeQDARAoHgI8IOFlo4HHxg7FD7GS2d1KFuuB0marc41G8DAtxeP7UASEKAECuVDRPqprfgWE8SuJx3sbD0wG/DL6tGt2+6A3omkg2org0pmuzLmqnDVQZaq11dre4XiSiZ5Fkx+fZOqPzTRcL/vaoTdPS3OBMDtgAAIFBcBBKbFpQ9IAwIgUHwEVIep85KabYm1in/Nfs81mQHfXnx2BIkql0AhfYh8fJe+eUelFdeTDrRhO7PrdgffqrqpMiYnFzX39fUM2a3T0aSDsPVDmYyYv71C99wJUaGqVRjKcoQ0ylYOJG7B+M37j5D1WyKJW0YUcrF67ejWTlmxXdxeUbmOFT0vLQIITEtLX5AWBEBgYQnoDBasYiyrmUW91QzZZ2WZLZOGb19YO0FrIKAiUGgfwstllcTkyy5I0oFf/uEPtD53Z+PSfirEjRt/ahk/efYHl1dv/y1bNm83QZAejBqE1r2q2jM+Fz/XNBQd+XFsfluI3TqdSDrwBpE47LFx6aFbrl3wnhqKhsdiZC0huZ/pkOzzR4frAq2/oCwXLZq99fyZw09GR8iOlo7wNnGJnmi0tH+vHBo7mDhjwmgZ9jVV999R9xfnxsfP7hgZid3Hb9OwSjrY0a2dsrJ2U6s0FNc5wT2BAAgUngAC08LrABKAAAgULwE2AUMMY8JfV/dOlqTc7XCmMS4xCL/6k8ad8ckbzbNzc4vTW3mNxrbODaHk9t6qm3Qijp8MpDFgoHV9mF7/TmNJegbZ4OjF3eIV8PQZ+PbitSlIVlkEisGHWCVGZRpZkKQDbZg/oCZDEKNlONi+pYPOqtO/200Q0GeoUz5+dODF5GA++W+5r+2lrdvuepieFWG3TieSDlQG8bBHdirwqtnu1siob32uZzrQD8uZ/mMHEh+G1D8j7tvU/vjoie6XdV49qo/okaHu5FkQXC2GP9raHthrpQ/+GV3dOmEH7EXD+Q46WkYZEFh4AghMF545WgQBECgNAvyElFJiYWJFFuPSZAEfO7OY0/zA7vRkV2JVa3//M0Ojse9nHnJuxBsCrT2yW9Hg20vDxiBleRMoFh/Cxt8HewZOxIjvOj+mVWnANOngltpCodAKWndvb++kk22EQ6H6aUIWO11vvjJSA5meJvVuyJVkWXvT7NYKK/mdqIO1YUe3dspa9QG/gwAIFAcBBKbFoQdIAQIgUF4EWCxJuMPXneghi52tYkn4didoow4QKBwBt3yIbo8KknTQFQ7lQAAEQAAESosAAtPS0hekBQEQAAEdAvDtOpRQBgRAQEUASQfYBgiAAAiAgGMEEJg6hhIVgQAIgEDREIBvLxpVQBAQKEkCSDqUpNogNAiAAAgUJwEEpsWpF0gFAiAAAvkQgG/Phx6eBQEQQNIBNgACIAACIOAYAQSmjqFERSAAAiBQNATg24tGFRAEBEqSAJIOJak2CA0CIAACxUkAgWlx6gVSgQAIgEA+BODb86GHZ0EABDKSDsABAiAAAiAAAiAAAiAAAiAAAiAAAiAAAk4SWLNmjceDDKaTSFEXCIAACFQmAXxLKlPv6DUIgEB5E4BvL2/9oncg4DYBbK9wmzDqBwEQAIEKIoDAtIKUja6CAAhUDAH49opRNToKAq4QQNLBFayoFARAAAQqkwAC08rUO3oNAiBQ3gTg28tbv+gdCLhNAEkHtwmjfhAAARCoIAIITCtI2egqCIBAxRCAb68YVaOjIOAKASQdXMGKSkEABECgMgkgMK1MvaPXIAAC5U0Avr289YvegYDbBJB0cJsw6gcBEACBCiKAwLSClI2uggAIVAwB+PaKUTU6CgKuEEDSwRWsqBQEQAAEKpMAAtPK1Dt6DQIgUN4E4NvLW7/oHQi4TaDkkw7hjpat4UNj/UZb16OxwZ79bgND/SAAAiAAAmoCCExhHSAAAiBQfgTg28tPp+gRCCwkAWnSIRwOLX7/5d6j0Smy0UqYQg/2kXSw0hB+BwEQAIGFI4DAdOFYoyUQAAF7BPYG/TuPDI08E4sRL3vS8AUPbNvmfbo3HL7J10Zj4TP9xw4Mjl7cnfq70TK8efu9ewZ6nv2Q/e3JvcGVA92R6CghjdnS+C50PtG2vm/fvs/MJE3IFRn5jxgh1azccl/bS1u33fWwKJedsqyuvcHAllND0fBYzFetI49MVvh2e7aG0uVJwA0fwpPK9V21I5cdH2KnXiuNK1c6BAP+f5mYIU2sgi8vjzSPxchaw/BH6+rIRfb3Gu/db0Uj3W9bNST+/sQTnV8de/3kz87Wrr4uc6q69SHpoEsK5UAABEDAfQIITN1njBZAAATsE+hqMx7pGYy9QAxjwl9X9w4hl5dcHol9OzHQ9wVfI6OR77Na+ck3Ovhvbao5MjM+1H529OKOGDHI5q4HNrHEw1Ndm5sP9gycoH9vaJg7x0vm8ayZ2vbgugfFxAFfhslF4+vVG5perZ4Z/9rQxyP/kEiMCHLZKUvbyE6c6CVBkHSwb194ovwJuOVD8n1X7chlx4fYqVdH+9rbK1jDLR3hbWOHwsd0KjcrQ5MOg/v6To02BD4JPbRuu5lDNqsHSYd8NYHnQQAEQMA5Akg6OMcSNYEACDhHgM4gThAv4SfK+IQBn0hIBebC1l0Wc5KGwO9Y7MrqWNYRfiCX+JjKNVPjPx/p/sl51ttUjEyMJbxcdsrydfg6Nzy+7J2+ndEp3+1Y6eCcTaGmyiLglg/J9121I5cdH2KnXh1LcCXpQJeafRL3rKACLFmy8sPe3vAlXhiaeY3HZ1ee7jn8K5p02Nm+8rGqL774nNTWXuKTD+FQqP789evN9NkvqqouHe7pSS1nS2WjczjToauzs3V2bm6xqk5at04fpqdJfW9v76QMdCgUWiH2h5br6trZPDu7qN7jqbr5lRXVH8qSLfRZWm+C0+SN5qvkNtLX1zPEt8PXI/6mo3iUAQEQAAE3CCDp4AZV1AkCIOAGAX5FA5tUS/8te4Au+y3fpIOsX+l2jG/wSQc7ZRMrise+3NK4zvtGLZkmyW3TSDq4YUeos3IJOOFDnH5XqTZkcqm0lJu/IRvtLkRwNOlAHe/xowMv0m0YGR0zWoY77w98l+1pC/rILyOjZFdW5+eXkenWk4BqI+lAy75yaOwgv2eOECMuLpPT6YPZyg+ZTOlsenq/Hm3bt6n98dET3S+LSRRfZ+fuuZN9P2QsmWJpMuTtI5FDmYwz+1C5rz56DgIgUGgCSDoUWgNoHwRAQJeALNi2WombjGGNe1ns6EbSIT3z6SNWKxN0ypolUnRZwbfrkkK5SiLghA/heTnxrmYmHawTlzo+JDVOTZ37aF2vaAeOJR34JWqBYPsuunyNgpt4/zePRKJTYX4pmtVKBzqgf2tm9ar196x9ni03S+0rEffdaSYd0vL5ru/suvvv6KoJulrgvaOHX7yyuusNevOFnT6kyjYE/iBuD1F9kGJGy4Vg+5YO2idVBiq1dI9qymgZ3rn9nj3Lrl5dHK/6+iX6nFh3kvGF+4jX/y6/NK+SXnj0FQRAoHgIIDAtHl1AEhAAAXMCsmA7Fd/5gsf5cx5YTeKkEys/Fwj2bKj2fEDL0dWsua5CTcR1/b3/SSfnrA5r1y3rxEAGvh1vEwhkE3DCh7iRdNBNJOj6ECajbr0yW3Es6cBWL8iWWsh+s8oki8KmHCYJEH6Qr7vSQRysy2DY6YNqKYqsX6q2ZR+2dNIh+7AfFQM4ARAAARAoFgIITItFE5ADBEDAioDs7IZckw6Zq2gTM0dZq1lV8tAT4n/97qUuj2eqJnGApNEy7G9df2Ak0n1YfMZOWfYskg5WloDfQSA3Ak74EDeSDqpzaWhbufgQMelqlRB1Lelg5cxkiYGckw7CfjSdpIOVfBSMVRlZOzKFsnJZewOFZElGm9xvVv1hiZGGQDD8nXXe/bkewJnbq4WnQAAEQMCcAJIOsBAQAIFSIMCvgOW3MNhNOsj6yl9Jp7PvORzc8q1jE9MdibouX14+EosFEmkL4SDLROxooyySDqVgiZCxVAm44UOsxqM6rFRypfxBDj6EPmtVr5Vsjqx0sEogyBy41TN068PE6dM/Sl5PxJ+DkLkCwGqQTgFYtaVTRtYH2RaLZFLAt559wNLLUGT3N8+rhzsF2ao/tL7o631vsTMdEvdLf9P7vHhYp5Xi8TsIgAAIuEEASQc3qKJOEAABJwmobofICKw1t1eo5EqtXBW2Bev0gz+/y2pGUaesEwMZ+HYdzaFMpRBwy4fk+66ayaXSjY4PyaVesb0FSTrIHK9ZIiB9L2jLcNuG1S/UzM197vHM3Hr25OCjYzFfNZ+Rthqk6yQUdMqoPh781onmWz+5lLgG1Bc8xfYB8v1M3dIhaoG7tUOnP/RxmpQ5c/S9fclsOA6SrBQnh36CQLETQGBa7BqCfCBQ2QT44Lml48Gsay7Nzuyi5HS262YkLyRnf+loQHY9p2WCg5vE4svmO5ChdcG362gNZSqBgJs+JJ931UouM92Y+Zt86uXbdCTpYAVItg1BlXRQHVChakNnkG4lHwViVcbqzmaaiX6w5r1z4UNj/fxSOqt6RQPQ6U/Gh2T+IE2SQya9EhwD+ggCILCwBBCYLixvtAYCIKBPQOcaObOD0uzEdFbJCyupkXSwIoTfQWDhCbjtQ+z4GHli0f5VlolxMBtPColLnf7qasGRpEM680t2iXvXVAcuqg5FtJ2M0Ly9QnVIJJVjcnJRMz1l2KxM8n7j7OtBeHkD9dHr0RHfN8TrjcwOqMw36ZBqn1tdoat8lAMBEAABpwkg6eA0UdQHAiDgBAE7wbMyHrQx0cPqELdHdHV2tl4ltxF2u0UoFFrR29s7KfZR9rydsvIBie92qys4Vazh252wQtRRygQWwofoJB1EH2JHLjs+xE69Onp1LOmQPlyCVC/3tb3U2lRzJL0lgqyV7UnjD0X825r4H69cWUXuuuvPbycH+GRj4rDExqWHbrl2wXtqKBpOnmNg/0wHCoK/DtMfaH1uVbVnfC5+rmkoOvLj2Py+vVz6wCdcEsAlKw74ZSm07Tsbl/bTojdu/Kll/OTZH1xevf239MpOPtMk45WU76PDdYHWX9A6Fi2avfX8mcNPRkfIDp2DinQMAmVAAARAIB8CCEzzoYdnQQAE3CLAYk5iGBP+urp3stqp8Y6PRCM/tYwZiUE2dz2waaDn2Q9ZfDdt+CdWb2h6lW0HprFdYvurMGsorqJY8VfXPmeTWiw2pe3PjA+1D45e3M3HvPwknlXZRDwZDi2OT95onp2bW5yOx43Gts4NoaSc9q71hG93yzJRb6kQcMOH2H1XZSuxdOWy60N069XVn2NJB9ogfxBFWgD1lUH8IJ8fsIuHJbJrh1bNdrfyhzRaDdJFCLS940cHXmSHMNLfaYJk67a7Hma3QNjtAy+D2dkK8nrp0cQtw8H2LR2R7p+ct+oPNZYz/ccOJD9E7J/+lUy6RoFyIAACIJArAQSmuZLDcyAAAm4R4GfslG0ICQJZzCjGbLSuvZt8Dx05Mfrv4pWZiYO+t3mf5m8Zk63m3RsMbElPrHHRnRF4s7Xd/ySLDxNt2ShrfZB59tXsZvzh292yTtRbCgTc9CF23lXRh9SSacIm63V8m64PyaW/VnrUTjpYVcT/TgWdnib1hNTe1LlVIRwK1U/X1t4Ur39k9ciWndmRRyybaI+QxWb12u2DHXno0hZaPp9+JevQ42tHNpQFARAAgXwIIDDNhx6eBQEQKDYCqXiQO/RbJqNO3Cheqy7WYyc+tFPWCabw7U5QRB2VSEDXh+iwsfIhOnWwMoXyIR44EztqQlkQAAEQAAEZAXxLYBcgAAIgkE0gNXNYF/yU3XBWSpzg20tJW5C1HAmUiw9B0qEcrRN9AgEQAIEFJoDAdIGBozkQAIGSIJCcofT8PNeDHAvdSfj2QmsA7Vc6gXLxIUg6VLolo/8gAAIg4AABBKYOQEQVIAACIFBkBODbi0whEAcESoyAK2c6lBgDiAsCIAACIOAQAQSmDoFENSAAAiBQRATg24tIGRAFBEqQQEbSoQTlh8ggAAIgAAIgAAIgAAIgAAIgAAIgAAJFTGDNmjWexPaKIpYRooEACIAACIAACIAACIAACIAACIAACJQggVTSgf5HCcoPkUEABEAABIqEAJbgFokiIAYIgAAIOEgAvt1BmKgKBCqQAM50qEClo8sgAAIg4BYBBKZukUW9IAACIFA4AvDthWOPlkGgHAgg6VAOWkQfQAAEQKBICCAwLRJFQAwQAAEQcJAAfLuDMFEVCFQgASQdKlDp6DIIgAAIuEUAgalbZFEvCIAACBSOAHx74dijZRAoBwJIOpSDFtEHEAABECgSAghMi0QREAMEQAAEHCQA3+4gTFQFAhVIAEmHClQ6ugwCIAACbhFAYOoWWdQLAiAAAoUjAN9eOPZoGQTKgQCSDuWgRfQBBEAABIqEAALTIlEExAABEAABBwnAtzsIE1WBQAUSKMmkQygUWtHb2ztZ7voKh0OL33+592iUBEjnrpb7+/bt+0zV53BHy9bwobF+o63r0dhgz/5CsikmWQrJAW2DQCUSQGBaiVpHn0EABMqdAHx7uWsY/QMBdwmYJh2e3BtcOdAdiY4S0sjEaGhoOP0XdX/98d13e//n4Z6eD90VL7v2rjbjkZ7B2AvEF3yNjEa+v9DtL2R7qaTDlO/2zifa1iPpsJD00RYIgEAuBBCY5kINz4AACBQrgb3BwJZTQ9HwWMxXbRaL0Zh5+L1Tjw2OXtyd7osR9wfb/2kk0n3YrH97g/6dRyIj/xEjpJqVW+5re2nrtrse7g2Hb6qepZM8rxwaO0ifU0065SMX3y58e7FaKOQqdgI6PoSO+c70HzuQ4T+MluHN2+/dM9DzrOV4m77nbx+JHBqLkbWMh2EE3mxt9z8Z6f7JeZ5Rwt8MjTwTixFvqqwveGDbNu/Tor/JVy6ZD/HInMlTXZubD/YMnIgZRtxfV/cOffDLyyPNrENuzao/8UTnV8deP/mzs7Wrr4sOl4L69buXuuru2PHq6Inul4vd0PKRD0mHfOg5/6yZXTrfGmoEgdIkgMC0NPUGqUEABDIJZAfbvguqpEN6ks5Ysty3+tetTTVHPJ6ZW6/88Y/f/njZ+k+nopFnVHzZZJph+KOrNzS9Wj0z/rWhj0f+ITEgMJlgS8eIZCOtWxaT5yOXKC98O94QELBHQNeH8O8yTTZS/zEzPtR+dvTijhgxyOauBzaZJR5S43ViEH+g9blV1Z5x+nwygZHpt1KT94YxkRzbX15yeST27UTCU/A3+cql8iHmSQdf8Di/qiDdOd91qxl4e+pJlqaDu8F9fadGGwKfhB5at90sy5tL/aXyDJIOxaUp2GVx6QPSFCcBBKbFqRdIBQIgoE8g9b0nxhJf54bHl73TtzOqWHWajtWMb1gNDmQS0FnQmRr/eX42km9fVWdy8ED+ddOm2p+fODH6P8SkQ75yIemgby8oCQIiATs+JJV4FLbIs+3qpCHwO9V42Ow9l9VL/c0E8ZJopPttJjOftOD9TT5yySzCdHtFSggh6UArCvrILyOjZFdLR3jb2KHwMVZ5OBSqP3/9ejP9/y+qqi6ptmCwcxkorPjkjear5DbS19czlPj/+OzK0z2Hf0WTDjvbVz5W9cUXn5Pa2kss+WB2pkNX187m2dlF9R5P1c2vrKj+UJWw4MvRdnVfF7v9o6UQ8swAACAASURBVPXSTPMncc8KMx60HGMxOze3eMmSlR/W1k7fTJzpkMP2CtYm5WDWPzf6ozrTgfZveprUi+dxiP3u7Q1fSpatXUz/m9eNSve0H9Oklojl2bP52oWOXdK2crUrXftDORAodgJIOhS7hiAfCICAFYHEysaxL7c0rvO+UUumiVksxmJl0tb1b06dqWWVMEgNaHzBU+Gm8f8tO9PLabng262sBr+DQJqArg8xm2DWmXw2mxA1G8fzuuJXNLBxfb5yOZp0YNkPJhzt2PGjAy/ye0kSDRotw533B77Ln0fABqW+zs7dcyf7fsieoXU1jYf/niYzsoSdX/KhGtCmszTp/XCEGHHfpvbH+W0Ysj0vtJxVdjqX/vmDe79X8273Q9Gp5NI3FQ/6d9l+voZAMLzmo0irnaRD+hmuTUn/3OyPTEepbJ2wzEfWb5qtb53p+ZvIqG89v5KG1ZGV6GIHbkqSM07ZBUuyqewyV7uCgwaBciOAwLTcNIr+gEBlE7AK/NmKA6s40g7F9Cypj8hWFCdjkmSMtOL/Rn2ypIPTcsG329EgyoJAmoCZD7FaRZ181417Vf4lNc5pCPxBXA1h5UeYhLIkZ75yOZZ0kAlHndtbM6tXrb9n7fNsiZjq0Mf0ADSZlNi5/Z49y65eXRyv+volb9XsZ2YrHWQD2vTZEy0Xgu1bOmj7sqwNBSAqj5abeP/CfcTrf1c8aIMHlm//6GqNa7/vfSqRUBH2zPDLWgLB9l2NS/88ccu1D/zpQ4XU+whTBjN/ewVLbFCmiTYv/KYjEp0Ki0tz3OyPqCPVdhy7/babdHDSLqxWOuRqV3DKIFBuBBCYlptG0R8QqGwCVkkHPgFw2+cX6uPnr7Wcu0Kaau6oGf5vK1a8bXeLcCIu7e/9Txovys5pEFcwqCbjnJYLvr2y3wP0PncCZj7EajWCOMkvSmGWHLDyXawuWXIiX7kcSzqkkgkme0xoY6nOkgDhsy+qWe+szkvOdJA5V1UWSASmkidXM7Lsn8BHZRiqrSp2zs4w2/ejql/st1P94XX0gHfyvxKHkZLs8z/s9ttu0sFpu1Dpz2m7ytUe8RwIFAMBBKbFoAXIAAIg4BQBvWXGZKNhkAn+NPhk+0a8pePBB/htyDK52CHpHs9UTaIOo2XY37r+gHjrhSzekK4uTa0AzU8uXlb4dqcsCvVUGgE3kw78JLtv097d/Op+en7DkUj0NdkYjNeB7OyGwiUdCKmmV2VSAaempu5O+tGWYbaqQGU8KsiqrGwuSQezAZ/sNzbQpdsQvrPOu99uBprvq93+ycrrfczyuzJTdRCIMukgbFMwO6NBts8xVX7z5v21AwPtoyR7eWAu/baTdHDDLsyyiU7aVaU5Y/S3vAggMC0vfaI3IFDpBPTiFbLREK6co4mE7sjI/xJPj5fxDAe3fOvYxHRH4rfLl5ePxGKBRKgtHCwnm/W0TDrkIReSDpVu/ei/EwTcTDpQ+TK3khvxhoa5c6nxeqID6hXzlqvRJec60hqtVmDIuOkdJMklHerr6z+q8d79Fn/qJauYHqI3cfr0j5JXfPBnK2R21smkQ3pJCGlUGga34oCWj77e91bq2k/qjL/pfV51AGFGJijP/smMzollMVRGM6aq3/LVl1XSJcVOcuVTLv22k3Rwwy7MZM7HrpxwaKgDBIqFAJIOxaIJyAECIOAEAb2kg3xyyGo/tko+/pwolnjgD4/kb5QzTzo4Jxd8uxPWhDoqkYDbSYfEOHD+uICJmZk76f/X1Hg/aFy39PiFl3v7osKOA6YDs1tyCrfSQZHlyBiQJ67uib1AV0C0bVj9Qs3c3Of0juKzJwcfHYv5qmUHAsr2qtE6TQek82cXZDlh/qYL0aK5my/4BMmZo+/tS2aTrQ+STN9rmnv/iinp4FZ/xARI8kDI7H2JC5Z0cNAurA5VSWT+unY227GrSnS+6HN5E0BgWt76Re9AoNII6CUd5Ndl6m5vlTEVt80uOvPKnkScTZIzmewZz9TUquREX/Lv9d/a0bPV++djyZWozskF315plo/+OkVAK+kgOQiStp9r4jJjPO0LnuITlRm/EWOJbAuY2QGVucqlt9LBIumgOh3TaibciaSD7iEZKsNJOXXJbHx2Jihzm4Dd/hV6ewW79cEpfen0/37f1cjgvr5To8RYwp+8qvcRz8zQ21np4IZd6CQdmM3o2JVTzgz1gEAxEUBgWkzagCwgAAL5ErCKJ8wSC/kMGMSkwy0Tx7b++t1LXWJ/ZEkHehaE03LBt+drSXi+UgmY+RCzGyasfI8VT+vt8WSjeCOg1diX/p6rXM4mHYSDH5WDW2G1ggjNdD++5Nl8Msmq5Wq8TKrBpt3+qZSkkj+1GsFkL07WIFcom24zne12uz+6t1fY7bdqIK/i5LRdmNmlaMM6dmXlLPA7CJQiAQSmpag1yAwCIKCcnDK5ljsRgLPbw4TJK1Ws1dXZ2XqV3Eb6+nqG6POhUGhFb2/vpNg+i2FUE3Ri/CeWsyuXlQXAt1sRwu8gICdgNUhXjVeU4x7Bh8hatZ5gViccWH125bLSvyNJhzRMsjFxQGPj0kO3XLvgPTUUDSfPTrB3pgMVmj+Y729r4n+8cmUVGRzsflOWteH3pPgDrc/d2bi0n9Zx48afWsZPnv3B5dXbfxsb7NmfXCry0eG6QOsvaJlFi2ZvPX/m8JPREbJDlenJzOjk1z+V0fFXR1L5V1V7xmfGh9oHR+d2GCRGrE4dzfjoJTRuxGk9TTXxT5PbW8ha/ppOp/Sls9KBcqcSyW48Uff74u6k4WbaDX9OA7WzDdWeD1KcjFg8FvPdwm/jccMuZHZ5p/f8+VzsyurlxO8gUIoEEJiWotYgMwiAAE+AxjfxyRvNs3Nzi9NbhY3Gts4NoeT24aqbLGnAx1TLfW0vtTbVHEk/Q9by8aU4EFjxV9c+Z9sgWPxH5UjGNjQW0r8yPSvpwN1gYSWXjvbh23UooQwIJAnY8SGy8dBc/FzTUHTkxzFiEH6luCyZEPQZ+89VNV1rqq0doW3zz4pbJ9g4hhjGhL+u7p0sfdV4x0eikZ/Sv9uRS0fvjiQdaEPiQXp04Ovb1P74qtnu1siob72dMx0yOzp/IOV8Blm1VIQ/dCej49wtG9QAzvQfO5B05OxfUk7+ihEZOCf6Z7qloKNl6yuHxg6mDuA0WoY3b793z22nn/1nkZ9MviSXKwc3dm1vrzt9dHtkNPZwqofCycVO6ctO0oG2KcvaU7nFfm/cfs8jf3mk5+mocIsGs4vjRwdeZAeB0jNEzDg5bReZJ8TSvEjwtfC2pf+Yq13pvKQoAwKlRACBaSlpC7KCAAioYr7k1lDVIeWZyQBprGEYE4HW9n/hD16XrX6g19qlJ+m46NQIvNna7n8y0v2T82ZaMjtIXFcuHSuAb9ehhDIgkCRgfaB9pg+h44uM8Q2tRHJTpMyHpFd8c/Qlz/IJUqWeuMsXpOMuhVw6ejdNOuhUIJahHZqeJvWypWI51RcK1U/X1t60c7UlXapG2zKTIVmm9qbOrRW83E73L4sf7S+pJXblylUPbvdHV+dhrt9Wy5BonXx53TactItE+xK7zNWudPuAciBQ7AQQmBa7hiAfCICAWwRYTEUkB5gnYpf5rRiq1bU6cUouslvJpVMnfLsOJZQBgfwIWL2rZj4kOTYii50ag8vGvyrfptNrx5MOOo2iDAiYEdBJOoAgCIBAcRJAYFqceoFUIAAChSWQim3qgp+KJ8kXVjK91uHb9TihFAi4RaBcfIgHzsQtE0G9dgkg6WCXGMqDQPEQwLekeHQBSUAABIqHQHKG0vNzfrtx8UhnLQl8uzUjlAABNwmUiw9B0sFNK0Hdtgjwt0R07mq5v2/fvs9sVYDCIAACBSOAwLRg6NEwCIAACLhGAL7dNbSoGAQqggC2V1SEmtFJEAABEFgYAghMF4YzWgEBEACBhSQA376QtNEWCJQfgYykQ/l1Dz0CARAAARAAARAAARAAARAAARAAARAoJIE1a9Z4sL2ikBpA2yAAAiBQJgQwG1YmikQ3QAAEQIAjAN8OcwABEMiHALZX5EMPz4IACIAACGQQQGAKgwABEACB8iMA315+OkWPQGAhCSDpsJC00RYIgAAIlDkBBKZlrmB0DwRAoCIJwLdXpNrRaRBwjACSDo6hREUgAAIgAAIITGEDIAACIFB+BODby0+n6BEILCQBJB0WkjbaAgEQAIEyJ4DAtMwVjO6BAAhUJAH49opUOzoNAo4RQNLBMZSoCARAAARAAIEpbAAEQAAEyo8AfHv56RQ9AoGFJICkgybtUCi0ore3d1KzOIqBAAiAQNESCIdDi6enaxf39oYvOS0kAlOniaI+EAABECg8Afj2wusAEoBAKRNA0kFDe11txiM9g+RfN3c9sGmg59kPNR5xrUi4o2Vr+NBYv9HW9WhssGe/kw3Rgcj7L/cejZIA6dzVcn/fvn2fsfqRdJGTrhQuZrYhknHTRu3aezHJYld2N8u76dMQmLqpOdQNAiAAAoUhAN9eGO5oFQTKhQCSDhaa5AdboYfWbe8Nh28WUvluDqJSfZ3y3d75RNt6lnRIDlBiLxBf8DUyGvl+IftfTG1XEheVbcj04aaN2tV/McliV3Y3yz/Vtbn5YM/ACdLW9W9OJy8RmLqpOdQNAiDgBIG9wcCWU0PR8FjMV83HO3zdT+4Nrnz7SOTQWIysTf3dMCb8re1Pj0S6D+daVia/rC3DCLzZ2u5/MtL9k/O5tEXrHOiOREcJacxu03dB1W8VX/h2JywPdZQLgVx9iOq9pnH2mf5jBwZHL+5O+5uW4c3b792jM+G9N+jfeSQy8h8xQqrZ88t9bS9t3XbXw6qxq04fEvUOjTwTixEvq9fwBQ9s2+Z92u6YGEkHq6TD/MqClo7wtrFD4WOFflncHESpBpbU4H797qWuujt2vDp6ovvlQjNYyPafeKLzq2Ovn/zZ2drV18UXt5K4IOmwkFZn3ZaZXVo/nSwR9JFfRkZ96+0Gnlb1IzC1IoTfQQAECkUgO7CXD75ZYjZGDOIPtD63qtozPhc/1zQUHfkxDer5mNBOWVm/Zc/PjA+1JwcfmfLZaYsv29Awd45v2+NZM7XtwXUP2hk0wLcXymrRbjERyMeHqN7rdIxNNtJEQWtTzRFa9uzoxR3UB1mttGeToIbhj67e0PRq9cz414Y+HvmHRKJAMmGs24fU5CpNttbVvUPI5SWXR2LfTiQ2cpiIRtLBwpLdCsxzfYEKkXTIVdZyeI4O7gb39Z0abQh8UgwrXQrFFEmHQpGXt+uEXTJf4nRCFYFpcdkKpAEBEEgSSPlNYizxdW54fNk7fTujwspOxooF26J/TA3kfcHjbOWnnbKiLtLfVuMb4sAiNZDgttPaaYvJuqwj/IATk2bw7XiTKp2Arg/J9b0Wt86zOI00BH5nNgahKxZmavzn+VVRvKy8b9HtA9U1rXeCeEk00v020z2fzLRKhoj2op106OrsbJ2dm1v8RVXVpcM9PdJzDehSrk/inhW0kSVLVn4oHlKWPLyM1KsOZKT740lt7SUx89rVtbN5dnZRvcdTdfMrK6o/lGVm2d562kZ88kbzVXIb6evrGeI7zNcj/iZ7kXQDeyv5VP0Kh0L106SWyA5zU/FWJR1UZwuYtcFYUb1SfdXWTt9MnOkg+QjL6uf/xnRvZh+UMZXn/PXrzUkbWZJeMijRO68TWVvUHsz0yLdlJpfKdhJ84rMrT/cc/hVNOuxsX/lY1RdffM7bqNmZDlZ2kQpuOPvWsUv2nN3+0ee09TT/HunYRlYQJZw7wtp0Wl86/VG9LypfJL4T9N1UHbqYyztHZc7XLnTsUmxHZley4NmJgAKBqRMUUQcIgIDTBBIrxMa+3NK4zvtGLZkmqniHtpuccDLuFYNqmd+0U1bsk1mcmW9bSDo4bUGor9IJ6PoQO++12aSenQk/3YSmbh9UuuZXZdidtLJMOtCg/ZVDYwf5PSKEGHHeEVPHdvzowIsZ+96otEbLcOf9ge+KZwPIhJQNDtLZlPT+FNq2b1P74/wyf/asr7Nz99zJvh8yOVg70n15Qh9kcK2Cch350mV81/llzKq6rXjLOKlmLM2MVbb3pyEQDK/5KNIqJh3M2vQH936v5t3uh6JTZGOKoaD3RLJBtleJh26yTCfZ/pWDG7u2t//lkZ6nM9qS6FHXHhNyzQ+QZbbTNB7++8go2ZVlG/Oyqga0OnbBBsxZ+0U17VLnfeP7p6sn+owd25C9N4xL2p4423BIX7r9MbNdcdmqrN8069w60/M34jaEXN45p+wiGeCq7VLX3+kmVe0GGUg62CWG8iAAAgtNwCqYl60ySCRz58+44mck7ZQV+5n6LjQE/iDOZKZnJH2ExY922kLSYaGtCu1VEgEzH2LnvV5OLhKzFdWqpKYVa5n/UCcmMs/yM6vbbBWHlUymSQd+wLyz6+6/oysc6Czde0cPv3hlddcb9AAyfplFINi+iy7BoAJNvP+bRyLRqTC/JMRMCSLUVFmj5UKwfUsHXTKiyq6klp/MJzp2br9nz7KrVxfHq75+iT4n1p2U78J9xOt/VzyghwdmtpXBjnziR0JlqDq8nUg6iDprXPrniVuufeBPH0CSuYfQfOCWTC5R5nQVwLXf9z6VGBAJSQQZg4n+3v+kMwn+YPs/3emtOqbaWyjTb6KtC7/pEG2MBQVvzaxetf6etc8z/aoOfTSzHW/V7GdmKx1ME2UadpurXdK+5NM/Mz3ZtQ2zpEPiN942XNKXWX9EHVkmAYlBqB/TfSfEBKrlu+2AXVitdNC1K6ug2+rjofodSYdcyeE5EACBhSJg5f/4eJMdmrbozCt7EodqC0ud7ZQV+2eW/JXJaKct9r2bCwR7NlR7PqBtW604NOMP375Q1ol2SoGAmQ+x817f/vmH9fRg7xi3ZYvvv2pLlVViIDnGIrvMbju08oOyNnSSGVbxoUfmTHSyK2zWTbZ6QfxNlR2RKcfOcrX0wDH7QKBUmyRA7O7JN1O0LfnYVZRTyT17KyYO/nf64RKZ6fB2Iumg0plqQGaadBA+vjJdqnRgtZKEGa3ZniYz+8tIIHHXgfJ2YGY79HlTxyG5vlTXLvKxS+lA36p/Gnqi9dq1DdOkg2QPmmP60uwPb7sPeCf/K+HYSeaqo1z6bXelg9N2obJLu3al43PsfvwRmNolhvIgAAILTUAn2E5MUPX3PxMZjT3M5KMr+KaikWdEee2UlcYmU2Sjb9Pe3fwqXrqf+kgk+pr4zdJtS766jraevWJYhz98uw4llKkUAnrbIqzfa6eSDuxwe49nqiZxgKTRMuxvXX9AvGlH7n/0VzqoVlvp6F250kHXIZvtiZMNVmXCigG8WeAs+81sRQI/oKAfi++s8+7XPa1XlXSwKx+VITW4NYwJIxarjglL6XR48/XwmSs7AyC9lyTT+MySDlmHnqQSLOk6nEo6yLJ1usav6reV7dhJOti1CzYAt2uXpkkH4TwOVf/MZ1CynY+ufapslMnslr4s9bt58/7agYH2UZJepppKakls1uq3nN45SeJTZjM6dmFmlzrPs/4h6aDzmUQZEACBciOg803jt6o1NDScnpqauls1YLdTVmSZmRww4vSmiWRb7F/mhFo+bfHbCHPdj11utoD+gEAuBKx8iO577VTSIRzc8q1jE9Mdib5cvrx8JBYLJFKM3EG0Yj+t+qD2VdmTdzoMlUkHnf2+VmVkM9myLRbiDRHppRuyu4Xnu8XNdOoMHKOv973FznpILJX7pvd52QGOPDRV0sGufJkBPt2LnXkmBv3dimVqECSZXbczALKz5IedxZFv0oHKLpvh1l0yZKZf1W90G9DE6dM/Sl43w58JYr11hLcBO0kHu3ZBy+dil1S+fPsnczS52IbMyRRCX1ZJh3TsFnyNnTjO/pZLv3N656R3pWf7Mx27MJNZ53kkHXQ+jygDAiBQrgSsgm3q4xPnmXFb4vjBvjjxo1tWxTOxeuH9C/dNzMzcScvU1Hg/aFy39PiFl3v7olzC2o5cyrbm40i7V95hpUO5vg3oVy4ErHwIrVPnva6O/36l09sraNsqf8X3VacPWbEyMZbYvbWC1eFq0iE1uy/s7+dn15pv/eRS4gANX/AUGwzwAXXqxgDRIrjbDqySDuxROlA7c/S9fcnsT/bAX2zCMunA32hgIh8zvOSqkOShemLmqdyTDhlnJxAjbpAYockAmgCKjUYeMXvh7Q5i0/fKtgy3bVj9Qs3c3Ocez8ytZ08OPjoW81XzB3pa2U5OSQcbdsESCLnYJV06lWv/iinp4IS+rJIO6QMhs/e3LVjSwUG70PEXOv4OKx1yCTXwDAiAQKkTyGXVJ+1zenIhGXh/szp+XrXiVyw70POs9OY3FcvU8/PxsZnMdtoyO1/NTK9IOpS61UN+JwnYGbDz7YrvtdX7mE+cZrY9PXNsar69gvcvLR0P5nwFr6vbK1RLqfmB3oM1750LHxrr55d52VWk1cBRNDJVMkSVdNDZQmBlyIwFvSWB9PX9q7jMW7fPZqsOdA61y+VDm+9KB/4F67r7y5+Nj5/fenXRqpteb+Mxs4M8GVMz/YqJofSLkbmMXmdQSg9GFfVoJ+mgq0OVrejYpVP9K/T2CmarbvYn4VC5lUH3+65GEglOIUubzzuR7ztn5Tf4PvCzUjpJB/H9EWe10v3Ovh9eRy5VGQSm+dDDsyAAAgtBwMzv2xkE+MkIScxSSm6foP1wYsDAYlA7cpklOKzqgW9fCAtEG6VOINeYXxzTqOJgO0kBy3GF5Iw13frT/SQb7W7JEuUyvb1CdegbFWByclEzvfvdrEwy+5sd0PIBc6A+ej064vsGP/ucdtRkl04H7SYdxCyTlbJk+2F0D8SjdYvbTMxXgGT3medtlgBQ3RghXg2okj0140ystyDYOSsgY4D0nXWdVttalEkiUS7hgE76kVUNxpSDW8l2Fb592Z57s2SIHbtQJji4VT+6SRC7/VM5S7u2IXt30qtaBDtyUV+6SSXVYal2+616h1XvkNN2YWaXunaV6wfTKlBA0sGKEH4HARAoNAG9VQNmZwAlY9vUal3T84Iy4+Cuzs7Wq+Q2QmNoFQfZN11vcGKdRGbfI7O93jK54NsLbbVov5gI5BJDqd5h5VhasRVK9CGhUGhFb2/vpMjH6l236oOTCQcqm+aVmQbxB1qfW1XtGZ+Ln2saio78mF3twR+UsdzX9lJrU82R9FJ2slbl1BiIBCBh+wX9E7+Ug7Z9Z+PSfvr3Gzf+1DJ+8uwPLq/e/ls2M22WdEjK99HhukDrL2gdixbN3nr+zOEnoyNkh1VCw+x2BV35ZLOJKiXy1xWqeMv6mpaFNNJDCenVSDPjQ+2Do3M7DCMWj8V8t/BJHVk7qfKJbQ+ZB4Tku9KB6i09GBNfCSNOr8w0PV2VvXSJR404ZdNUE/80uV2CrOXth2ebOKCxcemhW65d8J4aioaTZ3pYJ1RULy2t729r4n+8cmUVGRzsftNcF8YSM7vN1S6d6p/K0di1DfOkw8LpSzfpkGGLXOZX3e+Lu5N9zLQbu++crr+wYxf8gZHMLu/0nj+v6+/srJaw86FHYGqHFsqCAAgsFAH6nYhP3mienZtbnI5Tjca2zg2h5DbMqpssEZCKUY2W4UDr+jC9RpnGj/SsqMHRi7v5uMNOWdmgI+gz9p+rarrWVFs7Qlmk4mxiEHEps25brJ1pwz+xekPTq2ybKY2fE1uMFTOfZrqAb18oS0U7xUrAng/Rf69Nx3/EIPwZCqIPWfFX1z5nk/xs7Ej5Jcd1NIbNngC07weNCX9d3TtZeqnxjo9EIz/V1Zdp0oFWQkEcPzrwIjuEkf6NJhe2brvrYXYLBH9YRbph8yt50rOh6rMV5PXScWfLcLB9Swdbmm+65z8cWnym/9iBJHj2T++6IKsMkI58qi0mqhlXK96qvmY9Z7QMb95+757bTj/7z5FR33pxJUnqMCJ2yKJJeSeSDmyJoa9zw+NNc3OfUk3wySmzBBBrnw76v3Vl6Cv89VXs/mz+RhL6QvIHNLLTplfNdreKLHRWyWRdOzWfJFM9q2MX1LZytUsn+me6pYAdoKVhG+qkw5WDG7u2t9edPrp9IfRlJ+lAZZZlf2XvxMbt9zzyl0d6no4Kt4JIfaPFO+e0XcjsMrxt6T/q2pWO7et+SPhyCExzoYZnQAAE3CbAJ4vlbaWDc/pNoddlDo3Gvp95GLURbwi09vA3odkpK0v2SidlhDiXyWunrb2bfA8dOTH675nyEyKLm3TYw7frUEKZciZgx4fYea9V421xvEvLyXwIvV43PbnKjXaNwJut7f4n+a3sun1IJzOSZxFK/9lMXlomHVKOLhSqnyZksWz5Bu8Mp6dJPSG1N+0uobcyUrp0hJYxa1+vDnuy6d6w4IR8vPxhDd7SAV/iuVqiyz/Zjn55K8bqQehYv2zVi9lqkpRdCVsg6EeX2pmVLeiW0+1TglVt7U3dK1dpvTp2kSxjzy5p3U73T+TglG3oyqlbTldfuZbj+22VeEzoIYd3yEm7UNmllV3ls9fYjC0C01wtD8+BAAgUIwEWj+l8p63KsmSvbKLFbtxn1ZbTsTl8ezFaJ2QqdgK23+v5MQ7hLkzIGB/Oj4lUk7U68WWhmGknHQolYKHb1RkUF1rGYm/fLHGjM9uqU6bYGUC+0iSgk3QoxZ65tbWCskBgWooWAZlBAATcJpD6ntQFPxWvbna7bSfqh293giLqAIHcCZSLD/HAmaiNIDkjmL1FIXezqawn+b1Ky32rf33HHct+u4xcIePjZ3eMjMTuo8uHOu8PfLdv377PZGSQdKgseymm3pZr0sFsti1f/viW5EsQz4MACJQjgaTf9fxc3O5aKn2Fby8VTUHOciVQLj4ESQcTC6V7saOnJx5ddtfmX9i9KAEYOQAAAQNJREFUZ7lcDd9uvyjD4fdOPfbx5S//empq6m56zkJDw9y5+jXf+tWd67wvmW1ZYAMkf3Dv98wOnLQrE8qDgBUB/paIzl0t96sSY1b1FNvvdK/vqfiqr637jne/ne1COv1AYKpDCWVAAARAoLQIwLeXlr4gLQgUGwFsryg2jUAeEAABEChhAghMS1h5EB0EQAAEFATg22EaIAAC+RBA0iEfengWBEAABEAggwACUxgECIAACJQfAfj28tMpegQCC0kgI+mwkA2jLRAAARAAARAAARAAARAAARAAARAAgfInsGbNGo+n/LuJHoIACIAACIAACIAACIAACIAACIAACBSCwP8H82GHrSzrzOIAAAAASUVORK5CYII=">
          <a:extLst>
            <a:ext uri="{FF2B5EF4-FFF2-40B4-BE49-F238E27FC236}">
              <a16:creationId xmlns:a16="http://schemas.microsoft.com/office/drawing/2014/main" id="{00000000-0008-0000-0B00-000002000000}"/>
            </a:ext>
          </a:extLst>
        </xdr:cNvPr>
        <xdr:cNvSpPr>
          <a:spLocks noChangeAspect="1" noChangeArrowheads="1"/>
        </xdr:cNvSpPr>
      </xdr:nvSpPr>
      <xdr:spPr bwMode="auto">
        <a:xfrm>
          <a:off x="7686675" y="300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xdr:row>
      <xdr:rowOff>0</xdr:rowOff>
    </xdr:from>
    <xdr:to>
      <xdr:col>4</xdr:col>
      <xdr:colOff>1493044</xdr:colOff>
      <xdr:row>265</xdr:row>
      <xdr:rowOff>7844</xdr:rowOff>
    </xdr:to>
    <xdr:pic>
      <xdr:nvPicPr>
        <xdr:cNvPr id="3" name="Picture 2" descr="https://attachment.outlook.live.net/owa/MSA%3Abronach_kelly%40hotmail.com/service.svc/s/GetAttachmentThumbnail?id=AQMkADAwATYwMAItODY2AGQtZDFjZC0wMAItMDAKAEYAAAMxRK5yqNdzS5nGiMRw5SrYBwBsMiyoV0A%2FRIpHvmMkZbaLAANG1om7AAAAbDIsqFdAP0SKR75jJGW2iwADTuH%2FmAAAAAESABAAotwzMS0WvkGYfH6Xh7se1Q%3D%3D&amp;thumbnailType=2&amp;owa=outlook.live.com&amp;scriptVer=2020040403.08&amp;isc=1&amp;X-OWA-CANARY=yMKUaSPqfk2XqhSxZuF8LgBCZTI63tcY7WRPhMajw8OnFIi9VdNy5igEmhFHzFY3X8lQ0kFEXtQ.&amp;token=eyJhbGciOiJSUzI1NiIsImtpZCI6IjU2MzU4ODUyMzRCOTI1MkRERTAwNTc2NkQ5RDlGMjc2NTY1RjYzRTIiLCJ4NXQiOiJWaldJVWpTNUpTM2VBRmRtMmRueWRsWmZZLUkiLCJ0eXAiOiJKV1QifQ.eyJvcmlnaW4iOiJodHRwczovL291dGxvb2subGl2ZS5jb20iLCJ2ZXIiOiJFeGNoYW5nZS5DYWxsYmFjay5WMSIsImFwcGN0eHNlbmRlciI6Ik93YURvd25sb2FkQDg0ZGY5ZTdmLWU5ZjYtNDBhZi1iNDM1LWFhYWFhYWFhYWFhYSIsImlzc3JpbmciOiJXVyIsImFwcGN0eCI6IntcIm1zZXhjaHByb3RcIjpcIm93YVwiLFwicHJpbWFyeXNpZFwiOlwiUy0xLTI4MjctMzkzMjE2LTIyNTUzNDQwNzdcIixcInB1aWRcIjpcIjE2ODg4NTIxMTU2MDgwMTNcIixcIm9pZFwiOlwiMDAwNjAwMDAtODY2ZC1kMWNkLTAwMDAtMDAwMDAwMDAwMDAwXCIsXCJzY29wZVwiOlwiT3dhRG93bmxvYWRcIn0iLCJuYmYiOjE1ODY2MjQ0MzUsImV4cCI6MTU4NjYyNTAzNSwiaXNzIjoiMDAwMDAwMDItMDAwMC0wZmYxLWNlMDAtMDAwMDAwMDAwMDAwQDg0ZGY5ZTdmLWU5ZjYtNDBhZi1iNDM1LWFhYWFhYWFhYWFhYSIsImF1ZCI6IjAwMDAwMDAyLTAwMDAtMGZmMS1jZTAwLTAwMDAwMDAwMDAwMC9hdHRhY2htZW50Lm91dGxvb2subGl2ZS5uZXRAODRkZjllN2YtZTlmNi00MGFmLWI0MzUtYWFhYWFhYWFhYWFhIiwiaGFwcCI6Im93YSJ9.O-C6GZaWT7xMx2DqSBguaBO8ILS-Ly4koTQ390QG36iow16Tgv-1aaNV7W4FLHwwHKZEhrFT_hGduTOCjI0GClehHSfuj9o0edKOIEQaoImlOyz1ylHnBgaK_2X07BhL_JOV1ZH2M5WQa1KerYBrGprFQGD-UMS7Va0SQclGdQhxSLdVZtl-sxwkr8VlBK8PUSKVKTXCx5y4fdIozq6ySs2lmy3bFNCQi1Bk1X5t8pv-fFvi4wg5TfdvCbtFxm_FxjbRohdOeIw2wbZesAbHyp-R4JCKTK_HZuQ7SbxZNfrutQRjMaaHYAK2y5cdPlC5-nUDw1CrGdrS7ZusXvar9Q&amp;animation=true">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091100"/>
          <a:ext cx="8036719"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557892</xdr:colOff>
      <xdr:row>3</xdr:row>
      <xdr:rowOff>326571</xdr:rowOff>
    </xdr:from>
    <xdr:to>
      <xdr:col>12</xdr:col>
      <xdr:colOff>789214</xdr:colOff>
      <xdr:row>4</xdr:row>
      <xdr:rowOff>190500</xdr:rowOff>
    </xdr:to>
    <xdr:sp macro="" textlink="">
      <xdr:nvSpPr>
        <xdr:cNvPr id="2" name="Isosceles Triangle 1">
          <a:extLst>
            <a:ext uri="{FF2B5EF4-FFF2-40B4-BE49-F238E27FC236}">
              <a16:creationId xmlns:a16="http://schemas.microsoft.com/office/drawing/2014/main" id="{00000000-0008-0000-0F00-000002000000}"/>
            </a:ext>
          </a:extLst>
        </xdr:cNvPr>
        <xdr:cNvSpPr/>
      </xdr:nvSpPr>
      <xdr:spPr>
        <a:xfrm>
          <a:off x="15253606"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12</xdr:col>
      <xdr:colOff>0</xdr:colOff>
      <xdr:row>3</xdr:row>
      <xdr:rowOff>285750</xdr:rowOff>
    </xdr:from>
    <xdr:to>
      <xdr:col>12</xdr:col>
      <xdr:colOff>2286000</xdr:colOff>
      <xdr:row>3</xdr:row>
      <xdr:rowOff>285751</xdr:rowOff>
    </xdr:to>
    <xdr:cxnSp macro="">
      <xdr:nvCxnSpPr>
        <xdr:cNvPr id="4" name="Straight Connector 3">
          <a:extLst>
            <a:ext uri="{FF2B5EF4-FFF2-40B4-BE49-F238E27FC236}">
              <a16:creationId xmlns:a16="http://schemas.microsoft.com/office/drawing/2014/main" id="{00000000-0008-0000-0F00-000004000000}"/>
            </a:ext>
          </a:extLst>
        </xdr:cNvPr>
        <xdr:cNvCxnSpPr/>
      </xdr:nvCxnSpPr>
      <xdr:spPr>
        <a:xfrm>
          <a:off x="15716250" y="1047750"/>
          <a:ext cx="2286000"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0</xdr:colOff>
      <xdr:row>3</xdr:row>
      <xdr:rowOff>149679</xdr:rowOff>
    </xdr:from>
    <xdr:to>
      <xdr:col>12</xdr:col>
      <xdr:colOff>1</xdr:colOff>
      <xdr:row>4</xdr:row>
      <xdr:rowOff>81643</xdr:rowOff>
    </xdr:to>
    <xdr:cxnSp macro="">
      <xdr:nvCxnSpPr>
        <xdr:cNvPr id="10" name="Straight Connector 9">
          <a:extLst>
            <a:ext uri="{FF2B5EF4-FFF2-40B4-BE49-F238E27FC236}">
              <a16:creationId xmlns:a16="http://schemas.microsoft.com/office/drawing/2014/main" id="{00000000-0008-0000-0F00-00000A000000}"/>
            </a:ext>
          </a:extLst>
        </xdr:cNvPr>
        <xdr:cNvCxnSpPr/>
      </xdr:nvCxnSpPr>
      <xdr:spPr>
        <a:xfrm>
          <a:off x="14695714"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13607</xdr:colOff>
      <xdr:row>3</xdr:row>
      <xdr:rowOff>136072</xdr:rowOff>
    </xdr:from>
    <xdr:to>
      <xdr:col>13</xdr:col>
      <xdr:colOff>13608</xdr:colOff>
      <xdr:row>4</xdr:row>
      <xdr:rowOff>68036</xdr:rowOff>
    </xdr:to>
    <xdr:cxnSp macro="">
      <xdr:nvCxnSpPr>
        <xdr:cNvPr id="15" name="Straight Connector 14">
          <a:extLst>
            <a:ext uri="{FF2B5EF4-FFF2-40B4-BE49-F238E27FC236}">
              <a16:creationId xmlns:a16="http://schemas.microsoft.com/office/drawing/2014/main" id="{00000000-0008-0000-0F00-00000F000000}"/>
            </a:ext>
          </a:extLst>
        </xdr:cNvPr>
        <xdr:cNvCxnSpPr/>
      </xdr:nvCxnSpPr>
      <xdr:spPr>
        <a:xfrm>
          <a:off x="16002000"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557892</xdr:colOff>
      <xdr:row>3</xdr:row>
      <xdr:rowOff>326571</xdr:rowOff>
    </xdr:from>
    <xdr:to>
      <xdr:col>18</xdr:col>
      <xdr:colOff>789214</xdr:colOff>
      <xdr:row>4</xdr:row>
      <xdr:rowOff>190500</xdr:rowOff>
    </xdr:to>
    <xdr:sp macro="" textlink="">
      <xdr:nvSpPr>
        <xdr:cNvPr id="16" name="Isosceles Triangle 15">
          <a:extLst>
            <a:ext uri="{FF2B5EF4-FFF2-40B4-BE49-F238E27FC236}">
              <a16:creationId xmlns:a16="http://schemas.microsoft.com/office/drawing/2014/main" id="{00000000-0008-0000-0F00-000010000000}"/>
            </a:ext>
          </a:extLst>
        </xdr:cNvPr>
        <xdr:cNvSpPr/>
      </xdr:nvSpPr>
      <xdr:spPr>
        <a:xfrm>
          <a:off x="15253606"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18</xdr:col>
      <xdr:colOff>0</xdr:colOff>
      <xdr:row>3</xdr:row>
      <xdr:rowOff>285750</xdr:rowOff>
    </xdr:from>
    <xdr:to>
      <xdr:col>18</xdr:col>
      <xdr:colOff>2286000</xdr:colOff>
      <xdr:row>3</xdr:row>
      <xdr:rowOff>285751</xdr:rowOff>
    </xdr:to>
    <xdr:cxnSp macro="">
      <xdr:nvCxnSpPr>
        <xdr:cNvPr id="17" name="Straight Connector 16">
          <a:extLst>
            <a:ext uri="{FF2B5EF4-FFF2-40B4-BE49-F238E27FC236}">
              <a16:creationId xmlns:a16="http://schemas.microsoft.com/office/drawing/2014/main" id="{00000000-0008-0000-0F00-000011000000}"/>
            </a:ext>
          </a:extLst>
        </xdr:cNvPr>
        <xdr:cNvCxnSpPr/>
      </xdr:nvCxnSpPr>
      <xdr:spPr>
        <a:xfrm>
          <a:off x="14695714" y="1047750"/>
          <a:ext cx="128587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0</xdr:colOff>
      <xdr:row>3</xdr:row>
      <xdr:rowOff>149679</xdr:rowOff>
    </xdr:from>
    <xdr:to>
      <xdr:col>18</xdr:col>
      <xdr:colOff>1</xdr:colOff>
      <xdr:row>4</xdr:row>
      <xdr:rowOff>81643</xdr:rowOff>
    </xdr:to>
    <xdr:cxnSp macro="">
      <xdr:nvCxnSpPr>
        <xdr:cNvPr id="18" name="Straight Connector 17">
          <a:extLst>
            <a:ext uri="{FF2B5EF4-FFF2-40B4-BE49-F238E27FC236}">
              <a16:creationId xmlns:a16="http://schemas.microsoft.com/office/drawing/2014/main" id="{00000000-0008-0000-0F00-000012000000}"/>
            </a:ext>
          </a:extLst>
        </xdr:cNvPr>
        <xdr:cNvCxnSpPr/>
      </xdr:nvCxnSpPr>
      <xdr:spPr>
        <a:xfrm>
          <a:off x="14695714"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19</xdr:col>
      <xdr:colOff>13607</xdr:colOff>
      <xdr:row>3</xdr:row>
      <xdr:rowOff>136072</xdr:rowOff>
    </xdr:from>
    <xdr:to>
      <xdr:col>19</xdr:col>
      <xdr:colOff>13608</xdr:colOff>
      <xdr:row>4</xdr:row>
      <xdr:rowOff>68036</xdr:rowOff>
    </xdr:to>
    <xdr:cxnSp macro="">
      <xdr:nvCxnSpPr>
        <xdr:cNvPr id="19" name="Straight Connector 18">
          <a:extLst>
            <a:ext uri="{FF2B5EF4-FFF2-40B4-BE49-F238E27FC236}">
              <a16:creationId xmlns:a16="http://schemas.microsoft.com/office/drawing/2014/main" id="{00000000-0008-0000-0F00-000013000000}"/>
            </a:ext>
          </a:extLst>
        </xdr:cNvPr>
        <xdr:cNvCxnSpPr/>
      </xdr:nvCxnSpPr>
      <xdr:spPr>
        <a:xfrm>
          <a:off x="16002000"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557892</xdr:colOff>
      <xdr:row>3</xdr:row>
      <xdr:rowOff>326571</xdr:rowOff>
    </xdr:from>
    <xdr:to>
      <xdr:col>24</xdr:col>
      <xdr:colOff>789214</xdr:colOff>
      <xdr:row>4</xdr:row>
      <xdr:rowOff>190500</xdr:rowOff>
    </xdr:to>
    <xdr:sp macro="" textlink="">
      <xdr:nvSpPr>
        <xdr:cNvPr id="20" name="Isosceles Triangle 19">
          <a:extLst>
            <a:ext uri="{FF2B5EF4-FFF2-40B4-BE49-F238E27FC236}">
              <a16:creationId xmlns:a16="http://schemas.microsoft.com/office/drawing/2014/main" id="{00000000-0008-0000-0F00-000014000000}"/>
            </a:ext>
          </a:extLst>
        </xdr:cNvPr>
        <xdr:cNvSpPr/>
      </xdr:nvSpPr>
      <xdr:spPr>
        <a:xfrm>
          <a:off x="19553463"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24</xdr:col>
      <xdr:colOff>0</xdr:colOff>
      <xdr:row>3</xdr:row>
      <xdr:rowOff>285750</xdr:rowOff>
    </xdr:from>
    <xdr:to>
      <xdr:col>24</xdr:col>
      <xdr:colOff>2286000</xdr:colOff>
      <xdr:row>3</xdr:row>
      <xdr:rowOff>285751</xdr:rowOff>
    </xdr:to>
    <xdr:cxnSp macro="">
      <xdr:nvCxnSpPr>
        <xdr:cNvPr id="21" name="Straight Connector 20">
          <a:extLst>
            <a:ext uri="{FF2B5EF4-FFF2-40B4-BE49-F238E27FC236}">
              <a16:creationId xmlns:a16="http://schemas.microsoft.com/office/drawing/2014/main" id="{00000000-0008-0000-0F00-000015000000}"/>
            </a:ext>
          </a:extLst>
        </xdr:cNvPr>
        <xdr:cNvCxnSpPr/>
      </xdr:nvCxnSpPr>
      <xdr:spPr>
        <a:xfrm>
          <a:off x="18995571" y="1047750"/>
          <a:ext cx="128587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0</xdr:colOff>
      <xdr:row>3</xdr:row>
      <xdr:rowOff>149679</xdr:rowOff>
    </xdr:from>
    <xdr:to>
      <xdr:col>24</xdr:col>
      <xdr:colOff>1</xdr:colOff>
      <xdr:row>4</xdr:row>
      <xdr:rowOff>81643</xdr:rowOff>
    </xdr:to>
    <xdr:cxnSp macro="">
      <xdr:nvCxnSpPr>
        <xdr:cNvPr id="22" name="Straight Connector 21">
          <a:extLst>
            <a:ext uri="{FF2B5EF4-FFF2-40B4-BE49-F238E27FC236}">
              <a16:creationId xmlns:a16="http://schemas.microsoft.com/office/drawing/2014/main" id="{00000000-0008-0000-0F00-000016000000}"/>
            </a:ext>
          </a:extLst>
        </xdr:cNvPr>
        <xdr:cNvCxnSpPr/>
      </xdr:nvCxnSpPr>
      <xdr:spPr>
        <a:xfrm>
          <a:off x="18995571"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25</xdr:col>
      <xdr:colOff>13607</xdr:colOff>
      <xdr:row>3</xdr:row>
      <xdr:rowOff>136072</xdr:rowOff>
    </xdr:from>
    <xdr:to>
      <xdr:col>25</xdr:col>
      <xdr:colOff>13608</xdr:colOff>
      <xdr:row>4</xdr:row>
      <xdr:rowOff>68036</xdr:rowOff>
    </xdr:to>
    <xdr:cxnSp macro="">
      <xdr:nvCxnSpPr>
        <xdr:cNvPr id="23" name="Straight Connector 22">
          <a:extLst>
            <a:ext uri="{FF2B5EF4-FFF2-40B4-BE49-F238E27FC236}">
              <a16:creationId xmlns:a16="http://schemas.microsoft.com/office/drawing/2014/main" id="{00000000-0008-0000-0F00-000017000000}"/>
            </a:ext>
          </a:extLst>
        </xdr:cNvPr>
        <xdr:cNvCxnSpPr/>
      </xdr:nvCxnSpPr>
      <xdr:spPr>
        <a:xfrm>
          <a:off x="20301857"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30</xdr:col>
      <xdr:colOff>557892</xdr:colOff>
      <xdr:row>3</xdr:row>
      <xdr:rowOff>326571</xdr:rowOff>
    </xdr:from>
    <xdr:to>
      <xdr:col>30</xdr:col>
      <xdr:colOff>789214</xdr:colOff>
      <xdr:row>4</xdr:row>
      <xdr:rowOff>190500</xdr:rowOff>
    </xdr:to>
    <xdr:sp macro="" textlink="">
      <xdr:nvSpPr>
        <xdr:cNvPr id="24" name="Isosceles Triangle 23">
          <a:extLst>
            <a:ext uri="{FF2B5EF4-FFF2-40B4-BE49-F238E27FC236}">
              <a16:creationId xmlns:a16="http://schemas.microsoft.com/office/drawing/2014/main" id="{00000000-0008-0000-0F00-000018000000}"/>
            </a:ext>
          </a:extLst>
        </xdr:cNvPr>
        <xdr:cNvSpPr/>
      </xdr:nvSpPr>
      <xdr:spPr>
        <a:xfrm>
          <a:off x="19553463"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30</xdr:col>
      <xdr:colOff>0</xdr:colOff>
      <xdr:row>3</xdr:row>
      <xdr:rowOff>285750</xdr:rowOff>
    </xdr:from>
    <xdr:to>
      <xdr:col>30</xdr:col>
      <xdr:colOff>2286000</xdr:colOff>
      <xdr:row>3</xdr:row>
      <xdr:rowOff>285751</xdr:rowOff>
    </xdr:to>
    <xdr:cxnSp macro="">
      <xdr:nvCxnSpPr>
        <xdr:cNvPr id="25" name="Straight Connector 24">
          <a:extLst>
            <a:ext uri="{FF2B5EF4-FFF2-40B4-BE49-F238E27FC236}">
              <a16:creationId xmlns:a16="http://schemas.microsoft.com/office/drawing/2014/main" id="{00000000-0008-0000-0F00-000019000000}"/>
            </a:ext>
          </a:extLst>
        </xdr:cNvPr>
        <xdr:cNvCxnSpPr/>
      </xdr:nvCxnSpPr>
      <xdr:spPr>
        <a:xfrm>
          <a:off x="18995571" y="1047750"/>
          <a:ext cx="128587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30</xdr:col>
      <xdr:colOff>0</xdr:colOff>
      <xdr:row>3</xdr:row>
      <xdr:rowOff>149679</xdr:rowOff>
    </xdr:from>
    <xdr:to>
      <xdr:col>30</xdr:col>
      <xdr:colOff>1</xdr:colOff>
      <xdr:row>4</xdr:row>
      <xdr:rowOff>81643</xdr:rowOff>
    </xdr:to>
    <xdr:cxnSp macro="">
      <xdr:nvCxnSpPr>
        <xdr:cNvPr id="26" name="Straight Connector 25">
          <a:extLst>
            <a:ext uri="{FF2B5EF4-FFF2-40B4-BE49-F238E27FC236}">
              <a16:creationId xmlns:a16="http://schemas.microsoft.com/office/drawing/2014/main" id="{00000000-0008-0000-0F00-00001A000000}"/>
            </a:ext>
          </a:extLst>
        </xdr:cNvPr>
        <xdr:cNvCxnSpPr/>
      </xdr:nvCxnSpPr>
      <xdr:spPr>
        <a:xfrm>
          <a:off x="18995571"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31</xdr:col>
      <xdr:colOff>13607</xdr:colOff>
      <xdr:row>3</xdr:row>
      <xdr:rowOff>136072</xdr:rowOff>
    </xdr:from>
    <xdr:to>
      <xdr:col>31</xdr:col>
      <xdr:colOff>13608</xdr:colOff>
      <xdr:row>4</xdr:row>
      <xdr:rowOff>68036</xdr:rowOff>
    </xdr:to>
    <xdr:cxnSp macro="">
      <xdr:nvCxnSpPr>
        <xdr:cNvPr id="27" name="Straight Connector 26">
          <a:extLst>
            <a:ext uri="{FF2B5EF4-FFF2-40B4-BE49-F238E27FC236}">
              <a16:creationId xmlns:a16="http://schemas.microsoft.com/office/drawing/2014/main" id="{00000000-0008-0000-0F00-00001B000000}"/>
            </a:ext>
          </a:extLst>
        </xdr:cNvPr>
        <xdr:cNvCxnSpPr/>
      </xdr:nvCxnSpPr>
      <xdr:spPr>
        <a:xfrm>
          <a:off x="20301857"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36</xdr:col>
      <xdr:colOff>557892</xdr:colOff>
      <xdr:row>3</xdr:row>
      <xdr:rowOff>326571</xdr:rowOff>
    </xdr:from>
    <xdr:to>
      <xdr:col>36</xdr:col>
      <xdr:colOff>789214</xdr:colOff>
      <xdr:row>4</xdr:row>
      <xdr:rowOff>190500</xdr:rowOff>
    </xdr:to>
    <xdr:sp macro="" textlink="">
      <xdr:nvSpPr>
        <xdr:cNvPr id="28" name="Isosceles Triangle 27">
          <a:extLst>
            <a:ext uri="{FF2B5EF4-FFF2-40B4-BE49-F238E27FC236}">
              <a16:creationId xmlns:a16="http://schemas.microsoft.com/office/drawing/2014/main" id="{00000000-0008-0000-0F00-00001C000000}"/>
            </a:ext>
          </a:extLst>
        </xdr:cNvPr>
        <xdr:cNvSpPr/>
      </xdr:nvSpPr>
      <xdr:spPr>
        <a:xfrm>
          <a:off x="19553463"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36</xdr:col>
      <xdr:colOff>0</xdr:colOff>
      <xdr:row>3</xdr:row>
      <xdr:rowOff>285750</xdr:rowOff>
    </xdr:from>
    <xdr:to>
      <xdr:col>36</xdr:col>
      <xdr:colOff>2286000</xdr:colOff>
      <xdr:row>3</xdr:row>
      <xdr:rowOff>285751</xdr:rowOff>
    </xdr:to>
    <xdr:cxnSp macro="">
      <xdr:nvCxnSpPr>
        <xdr:cNvPr id="29" name="Straight Connector 28">
          <a:extLst>
            <a:ext uri="{FF2B5EF4-FFF2-40B4-BE49-F238E27FC236}">
              <a16:creationId xmlns:a16="http://schemas.microsoft.com/office/drawing/2014/main" id="{00000000-0008-0000-0F00-00001D000000}"/>
            </a:ext>
          </a:extLst>
        </xdr:cNvPr>
        <xdr:cNvCxnSpPr/>
      </xdr:nvCxnSpPr>
      <xdr:spPr>
        <a:xfrm>
          <a:off x="18995571" y="1047750"/>
          <a:ext cx="128587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36</xdr:col>
      <xdr:colOff>0</xdr:colOff>
      <xdr:row>3</xdr:row>
      <xdr:rowOff>149679</xdr:rowOff>
    </xdr:from>
    <xdr:to>
      <xdr:col>36</xdr:col>
      <xdr:colOff>1</xdr:colOff>
      <xdr:row>4</xdr:row>
      <xdr:rowOff>81643</xdr:rowOff>
    </xdr:to>
    <xdr:cxnSp macro="">
      <xdr:nvCxnSpPr>
        <xdr:cNvPr id="30" name="Straight Connector 29">
          <a:extLst>
            <a:ext uri="{FF2B5EF4-FFF2-40B4-BE49-F238E27FC236}">
              <a16:creationId xmlns:a16="http://schemas.microsoft.com/office/drawing/2014/main" id="{00000000-0008-0000-0F00-00001E000000}"/>
            </a:ext>
          </a:extLst>
        </xdr:cNvPr>
        <xdr:cNvCxnSpPr/>
      </xdr:nvCxnSpPr>
      <xdr:spPr>
        <a:xfrm>
          <a:off x="18995571"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37</xdr:col>
      <xdr:colOff>13607</xdr:colOff>
      <xdr:row>3</xdr:row>
      <xdr:rowOff>136072</xdr:rowOff>
    </xdr:from>
    <xdr:to>
      <xdr:col>37</xdr:col>
      <xdr:colOff>13608</xdr:colOff>
      <xdr:row>4</xdr:row>
      <xdr:rowOff>68036</xdr:rowOff>
    </xdr:to>
    <xdr:cxnSp macro="">
      <xdr:nvCxnSpPr>
        <xdr:cNvPr id="31" name="Straight Connector 30">
          <a:extLst>
            <a:ext uri="{FF2B5EF4-FFF2-40B4-BE49-F238E27FC236}">
              <a16:creationId xmlns:a16="http://schemas.microsoft.com/office/drawing/2014/main" id="{00000000-0008-0000-0F00-00001F000000}"/>
            </a:ext>
          </a:extLst>
        </xdr:cNvPr>
        <xdr:cNvCxnSpPr/>
      </xdr:nvCxnSpPr>
      <xdr:spPr>
        <a:xfrm>
          <a:off x="20301857"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42</xdr:col>
      <xdr:colOff>557892</xdr:colOff>
      <xdr:row>3</xdr:row>
      <xdr:rowOff>326571</xdr:rowOff>
    </xdr:from>
    <xdr:to>
      <xdr:col>42</xdr:col>
      <xdr:colOff>789214</xdr:colOff>
      <xdr:row>4</xdr:row>
      <xdr:rowOff>190500</xdr:rowOff>
    </xdr:to>
    <xdr:sp macro="" textlink="">
      <xdr:nvSpPr>
        <xdr:cNvPr id="32" name="Isosceles Triangle 31">
          <a:extLst>
            <a:ext uri="{FF2B5EF4-FFF2-40B4-BE49-F238E27FC236}">
              <a16:creationId xmlns:a16="http://schemas.microsoft.com/office/drawing/2014/main" id="{00000000-0008-0000-0F00-000020000000}"/>
            </a:ext>
          </a:extLst>
        </xdr:cNvPr>
        <xdr:cNvSpPr/>
      </xdr:nvSpPr>
      <xdr:spPr>
        <a:xfrm>
          <a:off x="19553463"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42</xdr:col>
      <xdr:colOff>0</xdr:colOff>
      <xdr:row>3</xdr:row>
      <xdr:rowOff>285750</xdr:rowOff>
    </xdr:from>
    <xdr:to>
      <xdr:col>42</xdr:col>
      <xdr:colOff>2286000</xdr:colOff>
      <xdr:row>3</xdr:row>
      <xdr:rowOff>285751</xdr:rowOff>
    </xdr:to>
    <xdr:cxnSp macro="">
      <xdr:nvCxnSpPr>
        <xdr:cNvPr id="33" name="Straight Connector 32">
          <a:extLst>
            <a:ext uri="{FF2B5EF4-FFF2-40B4-BE49-F238E27FC236}">
              <a16:creationId xmlns:a16="http://schemas.microsoft.com/office/drawing/2014/main" id="{00000000-0008-0000-0F00-000021000000}"/>
            </a:ext>
          </a:extLst>
        </xdr:cNvPr>
        <xdr:cNvCxnSpPr/>
      </xdr:nvCxnSpPr>
      <xdr:spPr>
        <a:xfrm>
          <a:off x="18995571" y="1047750"/>
          <a:ext cx="128587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42</xdr:col>
      <xdr:colOff>0</xdr:colOff>
      <xdr:row>3</xdr:row>
      <xdr:rowOff>149679</xdr:rowOff>
    </xdr:from>
    <xdr:to>
      <xdr:col>42</xdr:col>
      <xdr:colOff>1</xdr:colOff>
      <xdr:row>4</xdr:row>
      <xdr:rowOff>81643</xdr:rowOff>
    </xdr:to>
    <xdr:cxnSp macro="">
      <xdr:nvCxnSpPr>
        <xdr:cNvPr id="34" name="Straight Connector 33">
          <a:extLst>
            <a:ext uri="{FF2B5EF4-FFF2-40B4-BE49-F238E27FC236}">
              <a16:creationId xmlns:a16="http://schemas.microsoft.com/office/drawing/2014/main" id="{00000000-0008-0000-0F00-000022000000}"/>
            </a:ext>
          </a:extLst>
        </xdr:cNvPr>
        <xdr:cNvCxnSpPr/>
      </xdr:nvCxnSpPr>
      <xdr:spPr>
        <a:xfrm>
          <a:off x="18995571"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43</xdr:col>
      <xdr:colOff>13607</xdr:colOff>
      <xdr:row>3</xdr:row>
      <xdr:rowOff>136072</xdr:rowOff>
    </xdr:from>
    <xdr:to>
      <xdr:col>43</xdr:col>
      <xdr:colOff>13608</xdr:colOff>
      <xdr:row>4</xdr:row>
      <xdr:rowOff>68036</xdr:rowOff>
    </xdr:to>
    <xdr:cxnSp macro="">
      <xdr:nvCxnSpPr>
        <xdr:cNvPr id="35" name="Straight Connector 34">
          <a:extLst>
            <a:ext uri="{FF2B5EF4-FFF2-40B4-BE49-F238E27FC236}">
              <a16:creationId xmlns:a16="http://schemas.microsoft.com/office/drawing/2014/main" id="{00000000-0008-0000-0F00-000023000000}"/>
            </a:ext>
          </a:extLst>
        </xdr:cNvPr>
        <xdr:cNvCxnSpPr/>
      </xdr:nvCxnSpPr>
      <xdr:spPr>
        <a:xfrm>
          <a:off x="20301857"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48</xdr:col>
      <xdr:colOff>557892</xdr:colOff>
      <xdr:row>3</xdr:row>
      <xdr:rowOff>326571</xdr:rowOff>
    </xdr:from>
    <xdr:to>
      <xdr:col>48</xdr:col>
      <xdr:colOff>789214</xdr:colOff>
      <xdr:row>4</xdr:row>
      <xdr:rowOff>190500</xdr:rowOff>
    </xdr:to>
    <xdr:sp macro="" textlink="">
      <xdr:nvSpPr>
        <xdr:cNvPr id="36" name="Isosceles Triangle 35">
          <a:extLst>
            <a:ext uri="{FF2B5EF4-FFF2-40B4-BE49-F238E27FC236}">
              <a16:creationId xmlns:a16="http://schemas.microsoft.com/office/drawing/2014/main" id="{00000000-0008-0000-0F00-000024000000}"/>
            </a:ext>
          </a:extLst>
        </xdr:cNvPr>
        <xdr:cNvSpPr/>
      </xdr:nvSpPr>
      <xdr:spPr>
        <a:xfrm>
          <a:off x="36752892" y="1088571"/>
          <a:ext cx="231322" cy="20410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48</xdr:col>
      <xdr:colOff>0</xdr:colOff>
      <xdr:row>3</xdr:row>
      <xdr:rowOff>285750</xdr:rowOff>
    </xdr:from>
    <xdr:to>
      <xdr:col>48</xdr:col>
      <xdr:colOff>2286000</xdr:colOff>
      <xdr:row>3</xdr:row>
      <xdr:rowOff>285751</xdr:rowOff>
    </xdr:to>
    <xdr:cxnSp macro="">
      <xdr:nvCxnSpPr>
        <xdr:cNvPr id="37" name="Straight Connector 36">
          <a:extLst>
            <a:ext uri="{FF2B5EF4-FFF2-40B4-BE49-F238E27FC236}">
              <a16:creationId xmlns:a16="http://schemas.microsoft.com/office/drawing/2014/main" id="{00000000-0008-0000-0F00-000025000000}"/>
            </a:ext>
          </a:extLst>
        </xdr:cNvPr>
        <xdr:cNvCxnSpPr/>
      </xdr:nvCxnSpPr>
      <xdr:spPr>
        <a:xfrm>
          <a:off x="36195000" y="1047750"/>
          <a:ext cx="1285875"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48</xdr:col>
      <xdr:colOff>0</xdr:colOff>
      <xdr:row>3</xdr:row>
      <xdr:rowOff>149679</xdr:rowOff>
    </xdr:from>
    <xdr:to>
      <xdr:col>48</xdr:col>
      <xdr:colOff>1</xdr:colOff>
      <xdr:row>4</xdr:row>
      <xdr:rowOff>81643</xdr:rowOff>
    </xdr:to>
    <xdr:cxnSp macro="">
      <xdr:nvCxnSpPr>
        <xdr:cNvPr id="38" name="Straight Connector 37">
          <a:extLst>
            <a:ext uri="{FF2B5EF4-FFF2-40B4-BE49-F238E27FC236}">
              <a16:creationId xmlns:a16="http://schemas.microsoft.com/office/drawing/2014/main" id="{00000000-0008-0000-0F00-000026000000}"/>
            </a:ext>
          </a:extLst>
        </xdr:cNvPr>
        <xdr:cNvCxnSpPr/>
      </xdr:nvCxnSpPr>
      <xdr:spPr>
        <a:xfrm>
          <a:off x="36195000" y="911679"/>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49</xdr:col>
      <xdr:colOff>13607</xdr:colOff>
      <xdr:row>3</xdr:row>
      <xdr:rowOff>136072</xdr:rowOff>
    </xdr:from>
    <xdr:to>
      <xdr:col>49</xdr:col>
      <xdr:colOff>13608</xdr:colOff>
      <xdr:row>4</xdr:row>
      <xdr:rowOff>68036</xdr:rowOff>
    </xdr:to>
    <xdr:cxnSp macro="">
      <xdr:nvCxnSpPr>
        <xdr:cNvPr id="39" name="Straight Connector 38">
          <a:extLst>
            <a:ext uri="{FF2B5EF4-FFF2-40B4-BE49-F238E27FC236}">
              <a16:creationId xmlns:a16="http://schemas.microsoft.com/office/drawing/2014/main" id="{00000000-0008-0000-0F00-000027000000}"/>
            </a:ext>
          </a:extLst>
        </xdr:cNvPr>
        <xdr:cNvCxnSpPr/>
      </xdr:nvCxnSpPr>
      <xdr:spPr>
        <a:xfrm>
          <a:off x="37501286" y="898072"/>
          <a:ext cx="1" cy="27214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431801</xdr:colOff>
      <xdr:row>15</xdr:row>
      <xdr:rowOff>88899</xdr:rowOff>
    </xdr:from>
    <xdr:to>
      <xdr:col>7</xdr:col>
      <xdr:colOff>762000</xdr:colOff>
      <xdr:row>32</xdr:row>
      <xdr:rowOff>179294</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898071</xdr:colOff>
      <xdr:row>66</xdr:row>
      <xdr:rowOff>0</xdr:rowOff>
    </xdr:from>
    <xdr:to>
      <xdr:col>6</xdr:col>
      <xdr:colOff>721178</xdr:colOff>
      <xdr:row>82</xdr:row>
      <xdr:rowOff>13606</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175078</xdr:colOff>
      <xdr:row>259</xdr:row>
      <xdr:rowOff>80736</xdr:rowOff>
    </xdr:from>
    <xdr:to>
      <xdr:col>7</xdr:col>
      <xdr:colOff>568778</xdr:colOff>
      <xdr:row>309</xdr:row>
      <xdr:rowOff>118836</xdr:rowOff>
    </xdr:to>
    <xdr:graphicFrame macro="">
      <xdr:nvGraphicFramePr>
        <xdr:cNvPr id="5" name="Chart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215900</xdr:colOff>
      <xdr:row>285</xdr:row>
      <xdr:rowOff>63500</xdr:rowOff>
    </xdr:from>
    <xdr:to>
      <xdr:col>7</xdr:col>
      <xdr:colOff>533400</xdr:colOff>
      <xdr:row>308</xdr:row>
      <xdr:rowOff>114300</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88901</xdr:colOff>
      <xdr:row>93</xdr:row>
      <xdr:rowOff>139699</xdr:rowOff>
    </xdr:from>
    <xdr:to>
      <xdr:col>7</xdr:col>
      <xdr:colOff>558801</xdr:colOff>
      <xdr:row>111</xdr:row>
      <xdr:rowOff>136071</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419101</xdr:colOff>
      <xdr:row>222</xdr:row>
      <xdr:rowOff>12700</xdr:rowOff>
    </xdr:from>
    <xdr:to>
      <xdr:col>7</xdr:col>
      <xdr:colOff>317501</xdr:colOff>
      <xdr:row>239</xdr:row>
      <xdr:rowOff>101600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89648</xdr:colOff>
      <xdr:row>132</xdr:row>
      <xdr:rowOff>179294</xdr:rowOff>
    </xdr:from>
    <xdr:to>
      <xdr:col>2</xdr:col>
      <xdr:colOff>394607</xdr:colOff>
      <xdr:row>150</xdr:row>
      <xdr:rowOff>149678</xdr:rowOff>
    </xdr:to>
    <xdr:graphicFrame macro="">
      <xdr:nvGraphicFramePr>
        <xdr:cNvPr id="8" name="Chart 7">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474651</xdr:colOff>
      <xdr:row>132</xdr:row>
      <xdr:rowOff>188097</xdr:rowOff>
    </xdr:from>
    <xdr:to>
      <xdr:col>7</xdr:col>
      <xdr:colOff>952502</xdr:colOff>
      <xdr:row>150</xdr:row>
      <xdr:rowOff>136071</xdr:rowOff>
    </xdr:to>
    <xdr:graphicFrame macro="">
      <xdr:nvGraphicFramePr>
        <xdr:cNvPr id="12" name="Chart 11">
          <a:extLst>
            <a:ext uri="{FF2B5EF4-FFF2-40B4-BE49-F238E27FC236}">
              <a16:creationId xmlns:a16="http://schemas.microsoft.com/office/drawing/2014/main" id="{00000000-0008-0000-1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48537</xdr:colOff>
      <xdr:row>153</xdr:row>
      <xdr:rowOff>46430</xdr:rowOff>
    </xdr:from>
    <xdr:to>
      <xdr:col>0</xdr:col>
      <xdr:colOff>3415393</xdr:colOff>
      <xdr:row>173</xdr:row>
      <xdr:rowOff>149679</xdr:rowOff>
    </xdr:to>
    <xdr:graphicFrame macro="">
      <xdr:nvGraphicFramePr>
        <xdr:cNvPr id="13" name="Chart 12">
          <a:extLst>
            <a:ext uri="{FF2B5EF4-FFF2-40B4-BE49-F238E27FC236}">
              <a16:creationId xmlns:a16="http://schemas.microsoft.com/office/drawing/2014/main" id="{00000000-0008-0000-1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3492378</xdr:colOff>
      <xdr:row>153</xdr:row>
      <xdr:rowOff>9896</xdr:rowOff>
    </xdr:from>
    <xdr:to>
      <xdr:col>4</xdr:col>
      <xdr:colOff>221716</xdr:colOff>
      <xdr:row>173</xdr:row>
      <xdr:rowOff>197921</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238308</xdr:colOff>
      <xdr:row>153</xdr:row>
      <xdr:rowOff>35729</xdr:rowOff>
    </xdr:from>
    <xdr:to>
      <xdr:col>7</xdr:col>
      <xdr:colOff>918301</xdr:colOff>
      <xdr:row>173</xdr:row>
      <xdr:rowOff>195303</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51954</xdr:colOff>
      <xdr:row>174</xdr:row>
      <xdr:rowOff>58140</xdr:rowOff>
    </xdr:from>
    <xdr:to>
      <xdr:col>0</xdr:col>
      <xdr:colOff>3401785</xdr:colOff>
      <xdr:row>195</xdr:row>
      <xdr:rowOff>27214</xdr:rowOff>
    </xdr:to>
    <xdr:graphicFrame macro="">
      <xdr:nvGraphicFramePr>
        <xdr:cNvPr id="16" name="Chart 15">
          <a:extLst>
            <a:ext uri="{FF2B5EF4-FFF2-40B4-BE49-F238E27FC236}">
              <a16:creationId xmlns:a16="http://schemas.microsoft.com/office/drawing/2014/main" id="{00000000-0008-0000-1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3462981</xdr:colOff>
      <xdr:row>174</xdr:row>
      <xdr:rowOff>58141</xdr:rowOff>
    </xdr:from>
    <xdr:to>
      <xdr:col>4</xdr:col>
      <xdr:colOff>184896</xdr:colOff>
      <xdr:row>195</xdr:row>
      <xdr:rowOff>7423</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244929</xdr:colOff>
      <xdr:row>174</xdr:row>
      <xdr:rowOff>44533</xdr:rowOff>
    </xdr:from>
    <xdr:to>
      <xdr:col>7</xdr:col>
      <xdr:colOff>980515</xdr:colOff>
      <xdr:row>194</xdr:row>
      <xdr:rowOff>149679</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326983</xdr:colOff>
      <xdr:row>19</xdr:row>
      <xdr:rowOff>127000</xdr:rowOff>
    </xdr:from>
    <xdr:to>
      <xdr:col>7</xdr:col>
      <xdr:colOff>592736</xdr:colOff>
      <xdr:row>39</xdr:row>
      <xdr:rowOff>149058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82550</xdr:colOff>
      <xdr:row>157</xdr:row>
      <xdr:rowOff>100852</xdr:rowOff>
    </xdr:from>
    <xdr:to>
      <xdr:col>7</xdr:col>
      <xdr:colOff>666750</xdr:colOff>
      <xdr:row>176</xdr:row>
      <xdr:rowOff>60030</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189006</xdr:colOff>
      <xdr:row>185</xdr:row>
      <xdr:rowOff>126885</xdr:rowOff>
    </xdr:from>
    <xdr:to>
      <xdr:col>7</xdr:col>
      <xdr:colOff>630331</xdr:colOff>
      <xdr:row>203</xdr:row>
      <xdr:rowOff>42136</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207668</xdr:colOff>
      <xdr:row>115</xdr:row>
      <xdr:rowOff>41511</xdr:rowOff>
    </xdr:from>
    <xdr:to>
      <xdr:col>7</xdr:col>
      <xdr:colOff>717177</xdr:colOff>
      <xdr:row>132</xdr:row>
      <xdr:rowOff>89647</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311108</xdr:colOff>
      <xdr:row>246</xdr:row>
      <xdr:rowOff>85558</xdr:rowOff>
    </xdr:from>
    <xdr:to>
      <xdr:col>7</xdr:col>
      <xdr:colOff>576861</xdr:colOff>
      <xdr:row>266</xdr:row>
      <xdr:rowOff>69683</xdr:rowOff>
    </xdr:to>
    <xdr:graphicFrame macro="">
      <xdr:nvGraphicFramePr>
        <xdr:cNvPr id="10" name="Chart 9">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548822</xdr:colOff>
      <xdr:row>303</xdr:row>
      <xdr:rowOff>111002</xdr:rowOff>
    </xdr:from>
    <xdr:to>
      <xdr:col>7</xdr:col>
      <xdr:colOff>605118</xdr:colOff>
      <xdr:row>327</xdr:row>
      <xdr:rowOff>179295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596900</xdr:colOff>
      <xdr:row>376</xdr:row>
      <xdr:rowOff>152399</xdr:rowOff>
    </xdr:from>
    <xdr:to>
      <xdr:col>7</xdr:col>
      <xdr:colOff>503465</xdr:colOff>
      <xdr:row>399</xdr:row>
      <xdr:rowOff>176893</xdr:rowOff>
    </xdr:to>
    <xdr:graphicFrame macro="">
      <xdr:nvGraphicFramePr>
        <xdr:cNvPr id="14" name="Chart 13">
          <a:extLst>
            <a:ext uri="{FF2B5EF4-FFF2-40B4-BE49-F238E27FC236}">
              <a16:creationId xmlns:a16="http://schemas.microsoft.com/office/drawing/2014/main" id="{00000000-0008-0000-1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561196</xdr:colOff>
      <xdr:row>443</xdr:row>
      <xdr:rowOff>126316</xdr:rowOff>
    </xdr:from>
    <xdr:to>
      <xdr:col>7</xdr:col>
      <xdr:colOff>426570</xdr:colOff>
      <xdr:row>465</xdr:row>
      <xdr:rowOff>112060</xdr:rowOff>
    </xdr:to>
    <xdr:graphicFrame macro="">
      <xdr:nvGraphicFramePr>
        <xdr:cNvPr id="15" name="Chart 14">
          <a:extLst>
            <a:ext uri="{FF2B5EF4-FFF2-40B4-BE49-F238E27FC236}">
              <a16:creationId xmlns:a16="http://schemas.microsoft.com/office/drawing/2014/main" id="{00000000-0008-0000-1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403413</xdr:colOff>
      <xdr:row>403</xdr:row>
      <xdr:rowOff>152400</xdr:rowOff>
    </xdr:from>
    <xdr:to>
      <xdr:col>7</xdr:col>
      <xdr:colOff>582707</xdr:colOff>
      <xdr:row>421</xdr:row>
      <xdr:rowOff>13607</xdr:rowOff>
    </xdr:to>
    <xdr:graphicFrame macro="">
      <xdr:nvGraphicFramePr>
        <xdr:cNvPr id="11" name="Chart 2">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414618</xdr:colOff>
      <xdr:row>329</xdr:row>
      <xdr:rowOff>50801</xdr:rowOff>
    </xdr:from>
    <xdr:to>
      <xdr:col>7</xdr:col>
      <xdr:colOff>571500</xdr:colOff>
      <xdr:row>346</xdr:row>
      <xdr:rowOff>156882</xdr:rowOff>
    </xdr:to>
    <xdr:graphicFrame macro="">
      <xdr:nvGraphicFramePr>
        <xdr:cNvPr id="12" name="Chart 2">
          <a:extLst>
            <a:ext uri="{FF2B5EF4-FFF2-40B4-BE49-F238E27FC236}">
              <a16:creationId xmlns:a16="http://schemas.microsoft.com/office/drawing/2014/main" id="{00000000-0008-0000-1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794017</xdr:colOff>
      <xdr:row>460</xdr:row>
      <xdr:rowOff>184097</xdr:rowOff>
    </xdr:from>
    <xdr:to>
      <xdr:col>4</xdr:col>
      <xdr:colOff>549088</xdr:colOff>
      <xdr:row>462</xdr:row>
      <xdr:rowOff>48025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6408164" y="77616744"/>
          <a:ext cx="729983"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n/a</a:t>
          </a:r>
        </a:p>
      </xdr:txBody>
    </xdr:sp>
    <xdr:clientData/>
  </xdr:twoCellAnchor>
  <xdr:twoCellAnchor>
    <xdr:from>
      <xdr:col>0</xdr:col>
      <xdr:colOff>326983</xdr:colOff>
      <xdr:row>60</xdr:row>
      <xdr:rowOff>127000</xdr:rowOff>
    </xdr:from>
    <xdr:to>
      <xdr:col>7</xdr:col>
      <xdr:colOff>592736</xdr:colOff>
      <xdr:row>80</xdr:row>
      <xdr:rowOff>149058</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174812</xdr:colOff>
      <xdr:row>70</xdr:row>
      <xdr:rowOff>60511</xdr:rowOff>
    </xdr:from>
    <xdr:to>
      <xdr:col>7</xdr:col>
      <xdr:colOff>632012</xdr:colOff>
      <xdr:row>88</xdr:row>
      <xdr:rowOff>151840</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425822</xdr:colOff>
      <xdr:row>107</xdr:row>
      <xdr:rowOff>22413</xdr:rowOff>
    </xdr:from>
    <xdr:to>
      <xdr:col>7</xdr:col>
      <xdr:colOff>502770</xdr:colOff>
      <xdr:row>128</xdr:row>
      <xdr:rowOff>12326</xdr:rowOff>
    </xdr:to>
    <xdr:graphicFrame macro="">
      <xdr:nvGraphicFramePr>
        <xdr:cNvPr id="4" name="Chart 4">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280147</xdr:colOff>
      <xdr:row>144</xdr:row>
      <xdr:rowOff>100854</xdr:rowOff>
    </xdr:from>
    <xdr:to>
      <xdr:col>7</xdr:col>
      <xdr:colOff>647701</xdr:colOff>
      <xdr:row>161</xdr:row>
      <xdr:rowOff>101601</xdr:rowOff>
    </xdr:to>
    <xdr:graphicFrame macro="">
      <xdr:nvGraphicFramePr>
        <xdr:cNvPr id="7" name="Chart 6">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191967</xdr:colOff>
      <xdr:row>22</xdr:row>
      <xdr:rowOff>203199</xdr:rowOff>
    </xdr:from>
    <xdr:to>
      <xdr:col>7</xdr:col>
      <xdr:colOff>647700</xdr:colOff>
      <xdr:row>40</xdr:row>
      <xdr:rowOff>97937</xdr:rowOff>
    </xdr:to>
    <xdr:graphicFrame macro="">
      <xdr:nvGraphicFramePr>
        <xdr:cNvPr id="2" name="Chart 3">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94761</xdr:colOff>
      <xdr:row>175</xdr:row>
      <xdr:rowOff>129713</xdr:rowOff>
    </xdr:from>
    <xdr:to>
      <xdr:col>7</xdr:col>
      <xdr:colOff>685800</xdr:colOff>
      <xdr:row>196</xdr:row>
      <xdr:rowOff>81018</xdr:rowOff>
    </xdr:to>
    <xdr:graphicFrame macro="">
      <xdr:nvGraphicFramePr>
        <xdr:cNvPr id="3" name="Chart 10">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261327</xdr:colOff>
      <xdr:row>124</xdr:row>
      <xdr:rowOff>134327</xdr:rowOff>
    </xdr:from>
    <xdr:to>
      <xdr:col>7</xdr:col>
      <xdr:colOff>685800</xdr:colOff>
      <xdr:row>150</xdr:row>
      <xdr:rowOff>127000</xdr:rowOff>
    </xdr:to>
    <xdr:graphicFrame macro="">
      <xdr:nvGraphicFramePr>
        <xdr:cNvPr id="6" name="Chart 10">
          <a:extLst>
            <a:ext uri="{FF2B5EF4-FFF2-40B4-BE49-F238E27FC236}">
              <a16:creationId xmlns:a16="http://schemas.microsoft.com/office/drawing/2014/main" id="{00000000-0008-0000-1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203689</xdr:colOff>
      <xdr:row>328</xdr:row>
      <xdr:rowOff>176334</xdr:rowOff>
    </xdr:from>
    <xdr:to>
      <xdr:col>7</xdr:col>
      <xdr:colOff>635000</xdr:colOff>
      <xdr:row>346</xdr:row>
      <xdr:rowOff>25400</xdr:rowOff>
    </xdr:to>
    <xdr:graphicFrame macro="">
      <xdr:nvGraphicFramePr>
        <xdr:cNvPr id="8" name="Chart 10">
          <a:extLst>
            <a:ext uri="{FF2B5EF4-FFF2-40B4-BE49-F238E27FC236}">
              <a16:creationId xmlns:a16="http://schemas.microsoft.com/office/drawing/2014/main" id="{00000000-0008-0000-1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95249</xdr:colOff>
      <xdr:row>234</xdr:row>
      <xdr:rowOff>97691</xdr:rowOff>
    </xdr:from>
    <xdr:to>
      <xdr:col>7</xdr:col>
      <xdr:colOff>761023</xdr:colOff>
      <xdr:row>254</xdr:row>
      <xdr:rowOff>97692</xdr:rowOff>
    </xdr:to>
    <xdr:graphicFrame macro="">
      <xdr:nvGraphicFramePr>
        <xdr:cNvPr id="9" name="Chart 7">
          <a:extLst>
            <a:ext uri="{FF2B5EF4-FFF2-40B4-BE49-F238E27FC236}">
              <a16:creationId xmlns:a16="http://schemas.microsoft.com/office/drawing/2014/main" id="{00000000-0008-0000-1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358</xdr:row>
      <xdr:rowOff>63500</xdr:rowOff>
    </xdr:from>
    <xdr:to>
      <xdr:col>7</xdr:col>
      <xdr:colOff>596899</xdr:colOff>
      <xdr:row>377</xdr:row>
      <xdr:rowOff>158749</xdr:rowOff>
    </xdr:to>
    <xdr:graphicFrame macro="">
      <xdr:nvGraphicFramePr>
        <xdr:cNvPr id="11" name="Chart 10">
          <a:extLst>
            <a:ext uri="{FF2B5EF4-FFF2-40B4-BE49-F238E27FC236}">
              <a16:creationId xmlns:a16="http://schemas.microsoft.com/office/drawing/2014/main" id="{00000000-0008-0000-1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2053600</xdr:colOff>
      <xdr:row>426</xdr:row>
      <xdr:rowOff>23530</xdr:rowOff>
    </xdr:from>
    <xdr:to>
      <xdr:col>1</xdr:col>
      <xdr:colOff>406335</xdr:colOff>
      <xdr:row>436</xdr:row>
      <xdr:rowOff>179294</xdr:rowOff>
    </xdr:to>
    <xdr:graphicFrame macro="">
      <xdr:nvGraphicFramePr>
        <xdr:cNvPr id="10" name="Chart 9">
          <a:extLst>
            <a:ext uri="{FF2B5EF4-FFF2-40B4-BE49-F238E27FC236}">
              <a16:creationId xmlns:a16="http://schemas.microsoft.com/office/drawing/2014/main" id="{00000000-0008-0000-1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xdr:colOff>
      <xdr:row>450</xdr:row>
      <xdr:rowOff>86631</xdr:rowOff>
    </xdr:from>
    <xdr:to>
      <xdr:col>5</xdr:col>
      <xdr:colOff>649942</xdr:colOff>
      <xdr:row>452</xdr:row>
      <xdr:rowOff>128357</xdr:rowOff>
    </xdr:to>
    <xdr:graphicFrame macro="">
      <xdr:nvGraphicFramePr>
        <xdr:cNvPr id="12" name="Chart 11">
          <a:extLst>
            <a:ext uri="{FF2B5EF4-FFF2-40B4-BE49-F238E27FC236}">
              <a16:creationId xmlns:a16="http://schemas.microsoft.com/office/drawing/2014/main" id="{00000000-0008-0000-1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432156</xdr:colOff>
      <xdr:row>426</xdr:row>
      <xdr:rowOff>16564</xdr:rowOff>
    </xdr:from>
    <xdr:to>
      <xdr:col>3</xdr:col>
      <xdr:colOff>538369</xdr:colOff>
      <xdr:row>436</xdr:row>
      <xdr:rowOff>173934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548462</xdr:colOff>
      <xdr:row>426</xdr:row>
      <xdr:rowOff>42363</xdr:rowOff>
    </xdr:from>
    <xdr:to>
      <xdr:col>5</xdr:col>
      <xdr:colOff>762000</xdr:colOff>
      <xdr:row>436</xdr:row>
      <xdr:rowOff>180312</xdr:rowOff>
    </xdr:to>
    <xdr:graphicFrame macro="">
      <xdr:nvGraphicFramePr>
        <xdr:cNvPr id="14" name="Chart 13">
          <a:extLst>
            <a:ext uri="{FF2B5EF4-FFF2-40B4-BE49-F238E27FC236}">
              <a16:creationId xmlns:a16="http://schemas.microsoft.com/office/drawing/2014/main" id="{00000000-0008-0000-1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2087218</xdr:colOff>
      <xdr:row>437</xdr:row>
      <xdr:rowOff>16568</xdr:rowOff>
    </xdr:from>
    <xdr:to>
      <xdr:col>1</xdr:col>
      <xdr:colOff>369794</xdr:colOff>
      <xdr:row>447</xdr:row>
      <xdr:rowOff>78443</xdr:rowOff>
    </xdr:to>
    <xdr:graphicFrame macro="">
      <xdr:nvGraphicFramePr>
        <xdr:cNvPr id="15" name="Chart 14">
          <a:extLst>
            <a:ext uri="{FF2B5EF4-FFF2-40B4-BE49-F238E27FC236}">
              <a16:creationId xmlns:a16="http://schemas.microsoft.com/office/drawing/2014/main" id="{00000000-0008-0000-1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414582</xdr:colOff>
      <xdr:row>437</xdr:row>
      <xdr:rowOff>19454</xdr:rowOff>
    </xdr:from>
    <xdr:to>
      <xdr:col>3</xdr:col>
      <xdr:colOff>515471</xdr:colOff>
      <xdr:row>447</xdr:row>
      <xdr:rowOff>112059</xdr:rowOff>
    </xdr:to>
    <xdr:graphicFrame macro="">
      <xdr:nvGraphicFramePr>
        <xdr:cNvPr id="16" name="Chart 15">
          <a:extLst>
            <a:ext uri="{FF2B5EF4-FFF2-40B4-BE49-F238E27FC236}">
              <a16:creationId xmlns:a16="http://schemas.microsoft.com/office/drawing/2014/main" id="{00000000-0008-0000-1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551756</xdr:colOff>
      <xdr:row>437</xdr:row>
      <xdr:rowOff>49625</xdr:rowOff>
    </xdr:from>
    <xdr:to>
      <xdr:col>5</xdr:col>
      <xdr:colOff>672353</xdr:colOff>
      <xdr:row>447</xdr:row>
      <xdr:rowOff>123264</xdr:rowOff>
    </xdr:to>
    <xdr:graphicFrame macro="">
      <xdr:nvGraphicFramePr>
        <xdr:cNvPr id="17" name="Chart 16">
          <a:extLst>
            <a:ext uri="{FF2B5EF4-FFF2-40B4-BE49-F238E27FC236}">
              <a16:creationId xmlns:a16="http://schemas.microsoft.com/office/drawing/2014/main" id="{00000000-0008-0000-1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431</xdr:row>
      <xdr:rowOff>78441</xdr:rowOff>
    </xdr:from>
    <xdr:to>
      <xdr:col>0</xdr:col>
      <xdr:colOff>2039471</xdr:colOff>
      <xdr:row>441</xdr:row>
      <xdr:rowOff>134471</xdr:rowOff>
    </xdr:to>
    <xdr:graphicFrame macro="">
      <xdr:nvGraphicFramePr>
        <xdr:cNvPr id="18" name="Chart 17">
          <a:extLst>
            <a:ext uri="{FF2B5EF4-FFF2-40B4-BE49-F238E27FC236}">
              <a16:creationId xmlns:a16="http://schemas.microsoft.com/office/drawing/2014/main" id="{00000000-0008-0000-1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2053600</xdr:colOff>
      <xdr:row>388</xdr:row>
      <xdr:rowOff>23530</xdr:rowOff>
    </xdr:from>
    <xdr:to>
      <xdr:col>1</xdr:col>
      <xdr:colOff>406335</xdr:colOff>
      <xdr:row>398</xdr:row>
      <xdr:rowOff>179294</xdr:rowOff>
    </xdr:to>
    <xdr:graphicFrame macro="">
      <xdr:nvGraphicFramePr>
        <xdr:cNvPr id="19" name="Chart 18">
          <a:extLst>
            <a:ext uri="{FF2B5EF4-FFF2-40B4-BE49-F238E27FC236}">
              <a16:creationId xmlns:a16="http://schemas.microsoft.com/office/drawing/2014/main" id="{00000000-0008-0000-1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8283</xdr:colOff>
      <xdr:row>410</xdr:row>
      <xdr:rowOff>25509</xdr:rowOff>
    </xdr:from>
    <xdr:to>
      <xdr:col>5</xdr:col>
      <xdr:colOff>717178</xdr:colOff>
      <xdr:row>411</xdr:row>
      <xdr:rowOff>123265</xdr:rowOff>
    </xdr:to>
    <xdr:graphicFrame macro="">
      <xdr:nvGraphicFramePr>
        <xdr:cNvPr id="20" name="Chart 19">
          <a:extLst>
            <a:ext uri="{FF2B5EF4-FFF2-40B4-BE49-F238E27FC236}">
              <a16:creationId xmlns:a16="http://schemas.microsoft.com/office/drawing/2014/main" id="{00000000-0008-0000-1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432156</xdr:colOff>
      <xdr:row>388</xdr:row>
      <xdr:rowOff>16564</xdr:rowOff>
    </xdr:from>
    <xdr:to>
      <xdr:col>3</xdr:col>
      <xdr:colOff>538369</xdr:colOff>
      <xdr:row>398</xdr:row>
      <xdr:rowOff>173934</xdr:rowOff>
    </xdr:to>
    <xdr:graphicFrame macro="">
      <xdr:nvGraphicFramePr>
        <xdr:cNvPr id="21" name="Chart 20">
          <a:extLst>
            <a:ext uri="{FF2B5EF4-FFF2-40B4-BE49-F238E27FC236}">
              <a16:creationId xmlns:a16="http://schemas.microsoft.com/office/drawing/2014/main" id="{00000000-0008-0000-13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548462</xdr:colOff>
      <xdr:row>388</xdr:row>
      <xdr:rowOff>7727</xdr:rowOff>
    </xdr:from>
    <xdr:to>
      <xdr:col>5</xdr:col>
      <xdr:colOff>750794</xdr:colOff>
      <xdr:row>398</xdr:row>
      <xdr:rowOff>137882</xdr:rowOff>
    </xdr:to>
    <xdr:graphicFrame macro="">
      <xdr:nvGraphicFramePr>
        <xdr:cNvPr id="22" name="Chart 21">
          <a:extLst>
            <a:ext uri="{FF2B5EF4-FFF2-40B4-BE49-F238E27FC236}">
              <a16:creationId xmlns:a16="http://schemas.microsoft.com/office/drawing/2014/main" id="{00000000-0008-0000-1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2053600</xdr:colOff>
      <xdr:row>399</xdr:row>
      <xdr:rowOff>5360</xdr:rowOff>
    </xdr:from>
    <xdr:to>
      <xdr:col>1</xdr:col>
      <xdr:colOff>369794</xdr:colOff>
      <xdr:row>409</xdr:row>
      <xdr:rowOff>159805</xdr:rowOff>
    </xdr:to>
    <xdr:graphicFrame macro="">
      <xdr:nvGraphicFramePr>
        <xdr:cNvPr id="23" name="Chart 22">
          <a:extLst>
            <a:ext uri="{FF2B5EF4-FFF2-40B4-BE49-F238E27FC236}">
              <a16:creationId xmlns:a16="http://schemas.microsoft.com/office/drawing/2014/main" id="{00000000-0008-0000-1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436995</xdr:colOff>
      <xdr:row>398</xdr:row>
      <xdr:rowOff>187542</xdr:rowOff>
    </xdr:from>
    <xdr:to>
      <xdr:col>3</xdr:col>
      <xdr:colOff>493059</xdr:colOff>
      <xdr:row>409</xdr:row>
      <xdr:rowOff>156847</xdr:rowOff>
    </xdr:to>
    <xdr:graphicFrame macro="">
      <xdr:nvGraphicFramePr>
        <xdr:cNvPr id="24" name="Chart 23">
          <a:extLst>
            <a:ext uri="{FF2B5EF4-FFF2-40B4-BE49-F238E27FC236}">
              <a16:creationId xmlns:a16="http://schemas.microsoft.com/office/drawing/2014/main" id="{00000000-0008-0000-13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585372</xdr:colOff>
      <xdr:row>398</xdr:row>
      <xdr:rowOff>172891</xdr:rowOff>
    </xdr:from>
    <xdr:to>
      <xdr:col>5</xdr:col>
      <xdr:colOff>705970</xdr:colOff>
      <xdr:row>409</xdr:row>
      <xdr:rowOff>101897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33617</xdr:colOff>
      <xdr:row>393</xdr:row>
      <xdr:rowOff>134471</xdr:rowOff>
    </xdr:from>
    <xdr:to>
      <xdr:col>0</xdr:col>
      <xdr:colOff>2073088</xdr:colOff>
      <xdr:row>404</xdr:row>
      <xdr:rowOff>67236</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176894</xdr:colOff>
      <xdr:row>267</xdr:row>
      <xdr:rowOff>27216</xdr:rowOff>
    </xdr:from>
    <xdr:to>
      <xdr:col>7</xdr:col>
      <xdr:colOff>666750</xdr:colOff>
      <xdr:row>289</xdr:row>
      <xdr:rowOff>95250</xdr:rowOff>
    </xdr:to>
    <xdr:graphicFrame macro="">
      <xdr:nvGraphicFramePr>
        <xdr:cNvPr id="27" name="Chart 10">
          <a:extLst>
            <a:ext uri="{FF2B5EF4-FFF2-40B4-BE49-F238E27FC236}">
              <a16:creationId xmlns:a16="http://schemas.microsoft.com/office/drawing/2014/main" id="{00000000-0008-0000-1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361872</xdr:colOff>
      <xdr:row>404</xdr:row>
      <xdr:rowOff>140129</xdr:rowOff>
    </xdr:from>
    <xdr:to>
      <xdr:col>6</xdr:col>
      <xdr:colOff>829464</xdr:colOff>
      <xdr:row>428</xdr:row>
      <xdr:rowOff>35280</xdr:rowOff>
    </xdr:to>
    <xdr:graphicFrame macro="">
      <xdr:nvGraphicFramePr>
        <xdr:cNvPr id="11" name="Chart 11">
          <a:extLst>
            <a:ext uri="{FF2B5EF4-FFF2-40B4-BE49-F238E27FC236}">
              <a16:creationId xmlns:a16="http://schemas.microsoft.com/office/drawing/2014/main" id="{00000000-0008-0000-1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96157</xdr:colOff>
      <xdr:row>159</xdr:row>
      <xdr:rowOff>159822</xdr:rowOff>
    </xdr:from>
    <xdr:to>
      <xdr:col>7</xdr:col>
      <xdr:colOff>326198</xdr:colOff>
      <xdr:row>185</xdr:row>
      <xdr:rowOff>26096</xdr:rowOff>
    </xdr:to>
    <xdr:graphicFrame macro="">
      <xdr:nvGraphicFramePr>
        <xdr:cNvPr id="13" name="Chart 7">
          <a:extLst>
            <a:ext uri="{FF2B5EF4-FFF2-40B4-BE49-F238E27FC236}">
              <a16:creationId xmlns:a16="http://schemas.microsoft.com/office/drawing/2014/main" id="{00000000-0008-0000-1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119740</xdr:colOff>
      <xdr:row>227</xdr:row>
      <xdr:rowOff>36338</xdr:rowOff>
    </xdr:from>
    <xdr:to>
      <xdr:col>2</xdr:col>
      <xdr:colOff>895350</xdr:colOff>
      <xdr:row>246</xdr:row>
      <xdr:rowOff>49946</xdr:rowOff>
    </xdr:to>
    <xdr:graphicFrame macro="">
      <xdr:nvGraphicFramePr>
        <xdr:cNvPr id="19" name="Chart 11">
          <a:extLst>
            <a:ext uri="{FF2B5EF4-FFF2-40B4-BE49-F238E27FC236}">
              <a16:creationId xmlns:a16="http://schemas.microsoft.com/office/drawing/2014/main" id="{00000000-0008-0000-1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1098176</xdr:colOff>
      <xdr:row>227</xdr:row>
      <xdr:rowOff>1</xdr:rowOff>
    </xdr:from>
    <xdr:to>
      <xdr:col>7</xdr:col>
      <xdr:colOff>720458</xdr:colOff>
      <xdr:row>245</xdr:row>
      <xdr:rowOff>147037</xdr:rowOff>
    </xdr:to>
    <xdr:graphicFrame macro="">
      <xdr:nvGraphicFramePr>
        <xdr:cNvPr id="20" name="Chart 11">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367393</xdr:colOff>
      <xdr:row>360</xdr:row>
      <xdr:rowOff>13607</xdr:rowOff>
    </xdr:from>
    <xdr:to>
      <xdr:col>6</xdr:col>
      <xdr:colOff>834985</xdr:colOff>
      <xdr:row>383</xdr:row>
      <xdr:rowOff>94879</xdr:rowOff>
    </xdr:to>
    <xdr:graphicFrame macro="">
      <xdr:nvGraphicFramePr>
        <xdr:cNvPr id="22" name="Chart 11">
          <a:extLst>
            <a:ext uri="{FF2B5EF4-FFF2-40B4-BE49-F238E27FC236}">
              <a16:creationId xmlns:a16="http://schemas.microsoft.com/office/drawing/2014/main" id="{00000000-0008-0000-1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701169</xdr:colOff>
      <xdr:row>314</xdr:row>
      <xdr:rowOff>17610</xdr:rowOff>
    </xdr:from>
    <xdr:to>
      <xdr:col>6</xdr:col>
      <xdr:colOff>1056782</xdr:colOff>
      <xdr:row>336</xdr:row>
      <xdr:rowOff>85275</xdr:rowOff>
    </xdr:to>
    <xdr:graphicFrame macro="">
      <xdr:nvGraphicFramePr>
        <xdr:cNvPr id="24" name="Chart 11">
          <a:extLst>
            <a:ext uri="{FF2B5EF4-FFF2-40B4-BE49-F238E27FC236}">
              <a16:creationId xmlns:a16="http://schemas.microsoft.com/office/drawing/2014/main" id="{00000000-0008-0000-1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498662</xdr:colOff>
      <xdr:row>269</xdr:row>
      <xdr:rowOff>164886</xdr:rowOff>
    </xdr:from>
    <xdr:to>
      <xdr:col>6</xdr:col>
      <xdr:colOff>966254</xdr:colOff>
      <xdr:row>292</xdr:row>
      <xdr:rowOff>123693</xdr:rowOff>
    </xdr:to>
    <xdr:graphicFrame macro="">
      <xdr:nvGraphicFramePr>
        <xdr:cNvPr id="25" name="Chart 11">
          <a:extLst>
            <a:ext uri="{FF2B5EF4-FFF2-40B4-BE49-F238E27FC236}">
              <a16:creationId xmlns:a16="http://schemas.microsoft.com/office/drawing/2014/main" id="{00000000-0008-0000-14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260959</xdr:colOff>
      <xdr:row>121</xdr:row>
      <xdr:rowOff>117432</xdr:rowOff>
    </xdr:from>
    <xdr:to>
      <xdr:col>7</xdr:col>
      <xdr:colOff>477952</xdr:colOff>
      <xdr:row>148</xdr:row>
      <xdr:rowOff>9801</xdr:rowOff>
    </xdr:to>
    <xdr:graphicFrame macro="">
      <xdr:nvGraphicFramePr>
        <xdr:cNvPr id="10" name="Chart 7">
          <a:extLst>
            <a:ext uri="{FF2B5EF4-FFF2-40B4-BE49-F238E27FC236}">
              <a16:creationId xmlns:a16="http://schemas.microsoft.com/office/drawing/2014/main" id="{00000000-0008-0000-1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471261</xdr:colOff>
      <xdr:row>374</xdr:row>
      <xdr:rowOff>87652</xdr:rowOff>
    </xdr:from>
    <xdr:to>
      <xdr:col>4</xdr:col>
      <xdr:colOff>927941</xdr:colOff>
      <xdr:row>376</xdr:row>
      <xdr:rowOff>1536</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7643586" y="73030102"/>
          <a:ext cx="456680" cy="2948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[1]</a:t>
          </a:r>
        </a:p>
      </xdr:txBody>
    </xdr:sp>
    <xdr:clientData/>
  </xdr:twoCellAnchor>
  <xdr:twoCellAnchor>
    <xdr:from>
      <xdr:col>6</xdr:col>
      <xdr:colOff>314837</xdr:colOff>
      <xdr:row>237</xdr:row>
      <xdr:rowOff>67236</xdr:rowOff>
    </xdr:from>
    <xdr:to>
      <xdr:col>6</xdr:col>
      <xdr:colOff>706278</xdr:colOff>
      <xdr:row>238</xdr:row>
      <xdr:rowOff>119427</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9705366" y="47333648"/>
          <a:ext cx="391441" cy="242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[1]</a:t>
          </a:r>
        </a:p>
      </xdr:txBody>
    </xdr:sp>
    <xdr:clientData/>
  </xdr:twoCellAnchor>
  <xdr:twoCellAnchor>
    <xdr:from>
      <xdr:col>3</xdr:col>
      <xdr:colOff>13048</xdr:colOff>
      <xdr:row>244</xdr:row>
      <xdr:rowOff>13049</xdr:rowOff>
    </xdr:from>
    <xdr:to>
      <xdr:col>7</xdr:col>
      <xdr:colOff>782877</xdr:colOff>
      <xdr:row>245</xdr:row>
      <xdr:rowOff>39145</xdr:rowOff>
    </xdr:to>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5996989" y="48612961"/>
          <a:ext cx="5229770" cy="2165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Note:  [1] The Southwest CIRA region has insufficient data for multiple courses</a:t>
          </a:r>
        </a:p>
      </xdr:txBody>
    </xdr:sp>
    <xdr:clientData/>
  </xdr:twoCellAnchor>
  <xdr:twoCellAnchor>
    <xdr:from>
      <xdr:col>0</xdr:col>
      <xdr:colOff>78288</xdr:colOff>
      <xdr:row>381</xdr:row>
      <xdr:rowOff>130478</xdr:rowOff>
    </xdr:from>
    <xdr:to>
      <xdr:col>2</xdr:col>
      <xdr:colOff>900308</xdr:colOff>
      <xdr:row>382</xdr:row>
      <xdr:rowOff>156574</xdr:rowOff>
    </xdr:to>
    <xdr:sp macro="" textlink="">
      <xdr:nvSpPr>
        <xdr:cNvPr id="14" name="TextBox 13">
          <a:extLst>
            <a:ext uri="{FF2B5EF4-FFF2-40B4-BE49-F238E27FC236}">
              <a16:creationId xmlns:a16="http://schemas.microsoft.com/office/drawing/2014/main" id="{00000000-0008-0000-1400-00000E000000}"/>
            </a:ext>
          </a:extLst>
        </xdr:cNvPr>
        <xdr:cNvSpPr txBox="1"/>
      </xdr:nvSpPr>
      <xdr:spPr>
        <a:xfrm>
          <a:off x="78288" y="70693766"/>
          <a:ext cx="5636712" cy="2218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Note:  [1] The Southwest CIRA region has insufficient data for multiple courses</a:t>
          </a:r>
        </a:p>
      </xdr:txBody>
    </xdr:sp>
    <xdr:clientData/>
  </xdr:twoCellAnchor>
  <xdr:twoCellAnchor>
    <xdr:from>
      <xdr:col>0</xdr:col>
      <xdr:colOff>169287</xdr:colOff>
      <xdr:row>427</xdr:row>
      <xdr:rowOff>57071</xdr:rowOff>
    </xdr:from>
    <xdr:to>
      <xdr:col>2</xdr:col>
      <xdr:colOff>991307</xdr:colOff>
      <xdr:row>428</xdr:row>
      <xdr:rowOff>77948</xdr:rowOff>
    </xdr:to>
    <xdr:sp macro="" textlink="">
      <xdr:nvSpPr>
        <xdr:cNvPr id="15" name="TextBox 14">
          <a:extLst>
            <a:ext uri="{FF2B5EF4-FFF2-40B4-BE49-F238E27FC236}">
              <a16:creationId xmlns:a16="http://schemas.microsoft.com/office/drawing/2014/main" id="{00000000-0008-0000-1400-00000F000000}"/>
            </a:ext>
          </a:extLst>
        </xdr:cNvPr>
        <xdr:cNvSpPr txBox="1"/>
      </xdr:nvSpPr>
      <xdr:spPr>
        <a:xfrm>
          <a:off x="169287" y="82016895"/>
          <a:ext cx="5629344" cy="2113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Note:  [1] The Southwest CIRA region has insufficient data for multiple courses</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0.73864</cdr:x>
      <cdr:y>0.61468</cdr:y>
    </cdr:from>
    <cdr:to>
      <cdr:x>0.78416</cdr:x>
      <cdr:y>0.68016</cdr:y>
    </cdr:to>
    <cdr:sp macro="" textlink="">
      <cdr:nvSpPr>
        <cdr:cNvPr id="2" name="TextBox 1"/>
        <cdr:cNvSpPr txBox="1"/>
      </cdr:nvSpPr>
      <cdr:spPr>
        <a:xfrm xmlns:a="http://schemas.openxmlformats.org/drawingml/2006/main">
          <a:off x="7409841" y="2816964"/>
          <a:ext cx="456680" cy="30010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b="1"/>
            <a:t>[1]</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88901</xdr:colOff>
      <xdr:row>20</xdr:row>
      <xdr:rowOff>139700</xdr:rowOff>
    </xdr:from>
    <xdr:to>
      <xdr:col>7</xdr:col>
      <xdr:colOff>707572</xdr:colOff>
      <xdr:row>39</xdr:row>
      <xdr:rowOff>13607</xdr:rowOff>
    </xdr:to>
    <xdr:graphicFrame macro="">
      <xdr:nvGraphicFramePr>
        <xdr:cNvPr id="30" name="Chart 29">
          <a:extLst>
            <a:ext uri="{FF2B5EF4-FFF2-40B4-BE49-F238E27FC236}">
              <a16:creationId xmlns:a16="http://schemas.microsoft.com/office/drawing/2014/main" id="{00000000-0008-0000-17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763500</xdr:colOff>
      <xdr:row>48</xdr:row>
      <xdr:rowOff>53323</xdr:rowOff>
    </xdr:from>
    <xdr:to>
      <xdr:col>7</xdr:col>
      <xdr:colOff>124240</xdr:colOff>
      <xdr:row>68</xdr:row>
      <xdr:rowOff>13804</xdr:rowOff>
    </xdr:to>
    <xdr:graphicFrame macro="">
      <xdr:nvGraphicFramePr>
        <xdr:cNvPr id="31" name="Chart 30">
          <a:extLst>
            <a:ext uri="{FF2B5EF4-FFF2-40B4-BE49-F238E27FC236}">
              <a16:creationId xmlns:a16="http://schemas.microsoft.com/office/drawing/2014/main" id="{00000000-0008-0000-17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152401</xdr:colOff>
      <xdr:row>100</xdr:row>
      <xdr:rowOff>38098</xdr:rowOff>
    </xdr:from>
    <xdr:to>
      <xdr:col>6</xdr:col>
      <xdr:colOff>1173370</xdr:colOff>
      <xdr:row>118</xdr:row>
      <xdr:rowOff>27608</xdr:rowOff>
    </xdr:to>
    <xdr:graphicFrame macro="">
      <xdr:nvGraphicFramePr>
        <xdr:cNvPr id="32" name="Chart 31">
          <a:extLst>
            <a:ext uri="{FF2B5EF4-FFF2-40B4-BE49-F238E27FC236}">
              <a16:creationId xmlns:a16="http://schemas.microsoft.com/office/drawing/2014/main" id="{00000000-0008-0000-17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647701</xdr:colOff>
      <xdr:row>128</xdr:row>
      <xdr:rowOff>76200</xdr:rowOff>
    </xdr:from>
    <xdr:to>
      <xdr:col>6</xdr:col>
      <xdr:colOff>1187174</xdr:colOff>
      <xdr:row>151</xdr:row>
      <xdr:rowOff>165652</xdr:rowOff>
    </xdr:to>
    <xdr:graphicFrame macro="">
      <xdr:nvGraphicFramePr>
        <xdr:cNvPr id="33" name="Chart 4">
          <a:extLst>
            <a:ext uri="{FF2B5EF4-FFF2-40B4-BE49-F238E27FC236}">
              <a16:creationId xmlns:a16="http://schemas.microsoft.com/office/drawing/2014/main" id="{00000000-0008-0000-1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191969</xdr:colOff>
      <xdr:row>161</xdr:row>
      <xdr:rowOff>0</xdr:rowOff>
    </xdr:from>
    <xdr:to>
      <xdr:col>6</xdr:col>
      <xdr:colOff>1200979</xdr:colOff>
      <xdr:row>177</xdr:row>
      <xdr:rowOff>179456</xdr:rowOff>
    </xdr:to>
    <xdr:graphicFrame macro="">
      <xdr:nvGraphicFramePr>
        <xdr:cNvPr id="34" name="Chart 3">
          <a:extLst>
            <a:ext uri="{FF2B5EF4-FFF2-40B4-BE49-F238E27FC236}">
              <a16:creationId xmlns:a16="http://schemas.microsoft.com/office/drawing/2014/main" id="{00000000-0008-0000-1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odd/Desktop/Trends%202015/Peer%20Group%20Benchmark%20Report%202015%20unpro.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odd/AppData/Local/Microsoft/Windows/Temporary%20Internet%20Files/Content.IE5/J82GFCUO/Trends%202011%20Master_Apr1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odd/AppData/Local/Microsoft/Windows/Temporary%20Internet%20Files/Content.IE5/J82GFCUO/Trends%202012%20Master_FINAL%20May22%20-%20updated%20initiation.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Instructions"/>
      <sheetName val="Report ALL"/>
      <sheetName val="Separate Copy of Trends Data"/>
      <sheetName val="data for client ppt"/>
      <sheetName val="DATA"/>
      <sheetName val="REPORT START&gt;"/>
      <sheetName val="Title(T)"/>
      <sheetName val="Contents(T)"/>
      <sheetName val="PeerGp(T)"/>
      <sheetName val="Membership(T)"/>
      <sheetName val="Bal Sheet(T)"/>
      <sheetName val="Op Rev &amp; Exp(T1)"/>
      <sheetName val="Op Rev &amp; Exp(T2)"/>
      <sheetName val="OpRev(T)"/>
      <sheetName val="OpExp(T)"/>
      <sheetName val="F&amp;B(T1)"/>
      <sheetName val="F&amp;B(T2)"/>
      <sheetName val="F&amp;BCompare(T)"/>
      <sheetName val="Golf"/>
      <sheetName val="not used"/>
      <sheetName val="Contact(T)"/>
      <sheetName val="&gt;RPT NEW END"/>
      <sheetName val="stuff"/>
    </sheetNames>
    <sheetDataSet>
      <sheetData sheetId="0"/>
      <sheetData sheetId="1"/>
      <sheetData sheetId="2"/>
      <sheetData sheetId="3"/>
      <sheetData sheetId="4"/>
      <sheetData sheetId="5">
        <row r="12">
          <cell r="A12" t="str">
            <v>Bay Colony C.A.</v>
          </cell>
          <cell r="V12">
            <v>3508</v>
          </cell>
          <cell r="W12">
            <v>3340</v>
          </cell>
          <cell r="HF12">
            <v>1</v>
          </cell>
          <cell r="HG12">
            <v>1</v>
          </cell>
        </row>
        <row r="165">
          <cell r="V165">
            <v>10900</v>
          </cell>
          <cell r="W165">
            <v>10600</v>
          </cell>
          <cell r="HF165">
            <v>0.9</v>
          </cell>
          <cell r="HG165">
            <v>0.9</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gt;&gt;"/>
      <sheetName val="in columns"/>
      <sheetName val="in rows"/>
      <sheetName val="pivot"/>
      <sheetName val="BK stuff"/>
      <sheetName val="Static Data"/>
      <sheetName val="Client List from PY"/>
      <sheetName val="TRENDS TABLES &amp; CHARTS&gt;&gt;"/>
      <sheetName val="Detail Summary"/>
      <sheetName val="Exec Summary"/>
      <sheetName val="Bal Sheet"/>
      <sheetName val="Membership"/>
      <sheetName val="Op Rev &amp; Exp"/>
      <sheetName val="F&amp;B"/>
      <sheetName val="Golf"/>
    </sheetNames>
    <sheetDataSet>
      <sheetData sheetId="0"/>
      <sheetData sheetId="1"/>
      <sheetData sheetId="2">
        <row r="8">
          <cell r="J8">
            <v>740</v>
          </cell>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gt;&gt;"/>
      <sheetName val="in columns"/>
      <sheetName val="in rows"/>
      <sheetName val="pivot"/>
      <sheetName val="&quot;Area&quot; Lookup"/>
      <sheetName val="Clubs FY12 v FY11"/>
      <sheetName val="TRENDS TABLES &amp; CHARTS&gt;&gt;"/>
      <sheetName val="Detail Summary - for reviewer"/>
      <sheetName val="Exec Summary"/>
      <sheetName val="Bal Sheet"/>
      <sheetName val="Membership"/>
      <sheetName val="Op Rev &amp; Exp"/>
      <sheetName val="F&amp;B"/>
      <sheetName val="Golf"/>
    </sheetNames>
    <sheetDataSet>
      <sheetData sheetId="0"/>
      <sheetData sheetId="1"/>
      <sheetData sheetId="2">
        <row r="9">
          <cell r="R9">
            <v>65000</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RSM Brand">
      <a:dk1>
        <a:sysClr val="windowText" lastClr="000000"/>
      </a:dk1>
      <a:lt1>
        <a:sysClr val="window" lastClr="FFFFFF"/>
      </a:lt1>
      <a:dk2>
        <a:srgbClr val="FFFFFF"/>
      </a:dk2>
      <a:lt2>
        <a:srgbClr val="EEECE1"/>
      </a:lt2>
      <a:accent1>
        <a:srgbClr val="009CDE"/>
      </a:accent1>
      <a:accent2>
        <a:srgbClr val="3F9C35"/>
      </a:accent2>
      <a:accent3>
        <a:srgbClr val="888B8D"/>
      </a:accent3>
      <a:accent4>
        <a:srgbClr val="63666A"/>
      </a:accent4>
      <a:accent5>
        <a:srgbClr val="34A798"/>
      </a:accent5>
      <a:accent6>
        <a:srgbClr val="9F5CC0"/>
      </a:accent6>
      <a:hlink>
        <a:srgbClr val="F1B434"/>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5.bin"/><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8.bin"/><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9.bin"/><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11.bin"/><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2.bin"/><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customProperty" Target="../customProperty14.bin"/><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16.bin"/><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17.bin"/><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18.bin"/><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9.bin"/><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20.bin"/><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21.bin"/><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24.bin"/><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tabColor rgb="FFFFFF00"/>
    <pageSetUpPr fitToPage="1"/>
  </sheetPr>
  <dimension ref="A1"/>
  <sheetViews>
    <sheetView showGridLines="0" view="pageBreakPreview" topLeftCell="B1" zoomScale="85" zoomScaleNormal="100" zoomScaleSheetLayoutView="85" workbookViewId="0">
      <selection activeCell="B159" sqref="B159"/>
    </sheetView>
  </sheetViews>
  <sheetFormatPr defaultColWidth="8.90625" defaultRowHeight="10.199999999999999"/>
  <cols>
    <col min="1" max="1" width="8.90625" style="869"/>
    <col min="2" max="16384" width="8.90625" style="674"/>
  </cols>
  <sheetData/>
  <sortState xmlns:xlrd2="http://schemas.microsoft.com/office/spreadsheetml/2017/richdata2" ref="A2:A246">
    <sortCondition ref="A2:A246"/>
  </sortState>
  <pageMargins left="0.16" right="0.41" top="0.63" bottom="0.45" header="0.3" footer="0.3"/>
  <pageSetup scale="18" orientation="portrait" r:id="rId1"/>
  <customProperties>
    <customPr name="OrphanNamesChecke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V162"/>
  <sheetViews>
    <sheetView showGridLines="0" zoomScale="25" zoomScaleNormal="25" workbookViewId="0">
      <selection activeCell="N51" sqref="N51"/>
    </sheetView>
  </sheetViews>
  <sheetFormatPr defaultRowHeight="15"/>
  <cols>
    <col min="1" max="1" width="12.54296875" customWidth="1"/>
  </cols>
  <sheetData>
    <row r="1" spans="1:282" ht="99.75" customHeight="1">
      <c r="A1" s="32"/>
      <c r="B1" s="31"/>
      <c r="C1" s="370"/>
      <c r="D1" s="32"/>
      <c r="E1" s="402"/>
      <c r="F1" s="32"/>
      <c r="G1" s="32"/>
      <c r="H1" s="33"/>
      <c r="I1" s="33"/>
      <c r="J1" s="33"/>
      <c r="K1" s="34"/>
      <c r="L1" s="35"/>
      <c r="M1" s="35"/>
      <c r="N1" s="35"/>
      <c r="O1" s="35"/>
      <c r="P1" s="36"/>
      <c r="Q1" s="36"/>
      <c r="R1" s="36"/>
      <c r="S1" s="36"/>
      <c r="T1" s="36"/>
      <c r="U1" s="36"/>
      <c r="V1" s="36"/>
      <c r="W1" s="36"/>
      <c r="X1" s="36"/>
      <c r="Y1" s="36"/>
      <c r="Z1" s="36"/>
      <c r="AA1" s="37"/>
      <c r="AB1" s="37"/>
      <c r="AC1" s="37"/>
      <c r="AD1" s="37"/>
      <c r="AE1" s="37"/>
      <c r="AF1" s="37"/>
      <c r="AG1" s="37"/>
      <c r="AH1" s="36"/>
      <c r="AI1" s="36"/>
      <c r="AJ1" s="392"/>
      <c r="AK1" s="392"/>
      <c r="AL1" s="36"/>
      <c r="AM1" s="36"/>
      <c r="AN1" s="392"/>
      <c r="AO1" s="392"/>
      <c r="AP1" s="390"/>
      <c r="AQ1" s="390"/>
      <c r="AR1" s="390"/>
      <c r="AS1" s="390"/>
      <c r="AT1" s="391"/>
      <c r="AU1" s="38"/>
      <c r="AV1" s="39"/>
      <c r="AW1" s="39"/>
      <c r="AX1" s="39"/>
      <c r="AY1" s="39"/>
      <c r="AZ1" s="39"/>
      <c r="BA1" s="38"/>
      <c r="BB1" s="38"/>
      <c r="BC1" s="39"/>
      <c r="BD1" s="38"/>
      <c r="BE1" s="40"/>
      <c r="BF1" s="39"/>
      <c r="BG1" s="39"/>
      <c r="BH1" s="39"/>
      <c r="BI1" s="41"/>
      <c r="BJ1" s="42"/>
      <c r="BK1" s="42"/>
      <c r="BL1" s="43"/>
      <c r="BM1" s="42"/>
      <c r="BN1" s="42"/>
      <c r="BO1" s="42"/>
      <c r="BP1" s="42"/>
      <c r="BQ1" s="42"/>
      <c r="BR1" s="42"/>
      <c r="BS1" s="42"/>
      <c r="BT1" s="84"/>
      <c r="BU1" s="84"/>
      <c r="BV1" s="84"/>
      <c r="BW1" s="84"/>
      <c r="BX1" s="84"/>
      <c r="BY1" s="84"/>
      <c r="BZ1" s="84"/>
      <c r="CA1" s="84"/>
      <c r="CB1" s="84"/>
      <c r="CC1" s="84"/>
      <c r="CD1" s="84"/>
      <c r="CE1" s="42"/>
      <c r="CF1" s="42"/>
      <c r="CG1" s="42"/>
      <c r="CH1" s="42"/>
      <c r="CI1" s="42"/>
      <c r="CJ1" s="42"/>
      <c r="CK1" s="42"/>
      <c r="CL1" s="85"/>
      <c r="CM1" s="85"/>
      <c r="CN1" s="85"/>
      <c r="CO1" s="85"/>
      <c r="CP1" s="85"/>
      <c r="CQ1" s="85"/>
      <c r="CR1" s="85"/>
      <c r="CS1" s="42"/>
      <c r="CT1" s="44"/>
      <c r="CU1" s="44"/>
      <c r="CV1" s="44"/>
      <c r="CW1" s="45"/>
      <c r="CX1" s="44"/>
      <c r="CY1" s="44"/>
      <c r="CZ1" s="44"/>
      <c r="DA1" s="44"/>
      <c r="DB1" s="44"/>
      <c r="DC1" s="44"/>
      <c r="DD1" s="44"/>
      <c r="DE1" s="44"/>
      <c r="DF1" s="44"/>
      <c r="DG1" s="44"/>
      <c r="DH1" s="44"/>
      <c r="DI1" s="44"/>
      <c r="DJ1" s="44"/>
      <c r="DK1" s="44"/>
      <c r="DL1" s="44"/>
      <c r="DM1" s="44"/>
      <c r="DN1" s="46"/>
      <c r="DO1" s="47"/>
      <c r="DP1" s="291"/>
      <c r="DQ1" s="32"/>
      <c r="DR1" s="48"/>
      <c r="DS1" s="32"/>
      <c r="DT1" s="32"/>
      <c r="DU1" s="32"/>
      <c r="DV1" s="48"/>
      <c r="DW1" s="32"/>
      <c r="DX1" s="48"/>
      <c r="DY1" s="66"/>
      <c r="DZ1" s="48"/>
      <c r="EA1" s="32"/>
      <c r="EB1" s="32"/>
      <c r="EC1" s="32"/>
      <c r="ED1" s="32"/>
      <c r="EE1" s="32"/>
      <c r="EF1" s="32"/>
      <c r="EG1" s="32"/>
      <c r="EH1" s="32"/>
      <c r="EI1" s="32"/>
      <c r="EJ1" s="32"/>
      <c r="EK1" s="86"/>
      <c r="EL1" s="86"/>
      <c r="EM1" s="86"/>
      <c r="EN1" s="86"/>
      <c r="EO1" s="86"/>
      <c r="EP1" s="86"/>
      <c r="EQ1" s="86"/>
      <c r="ER1" s="86"/>
      <c r="ES1" s="86"/>
      <c r="ET1" s="32"/>
      <c r="EU1" s="68"/>
      <c r="EV1" s="32"/>
      <c r="EW1" s="32"/>
      <c r="EX1" s="32"/>
      <c r="EY1" s="32"/>
      <c r="EZ1" s="32"/>
      <c r="FA1" s="32"/>
      <c r="FB1" s="68"/>
      <c r="FC1" s="32"/>
      <c r="FD1" s="32"/>
      <c r="FE1" s="32"/>
      <c r="FF1" s="32"/>
      <c r="FG1" s="32"/>
      <c r="FH1" s="32"/>
      <c r="FI1" s="32"/>
      <c r="FJ1" s="32"/>
      <c r="FK1" s="32"/>
      <c r="FL1" s="32"/>
      <c r="FM1" s="32"/>
      <c r="FN1" s="32"/>
      <c r="FO1" s="32"/>
      <c r="FP1" s="32"/>
      <c r="FQ1" s="87"/>
      <c r="FR1" s="87"/>
      <c r="FS1" s="87"/>
      <c r="FT1" s="87"/>
      <c r="FU1" s="87"/>
      <c r="FV1" s="87"/>
      <c r="FW1" s="87"/>
      <c r="FX1" s="87"/>
      <c r="FY1" s="87"/>
      <c r="FZ1" s="87"/>
      <c r="GA1" s="87"/>
      <c r="GB1" s="87"/>
      <c r="GC1" s="88"/>
      <c r="GD1" s="88"/>
      <c r="GE1" s="88"/>
      <c r="GF1" s="88"/>
      <c r="GG1" s="88"/>
      <c r="GH1" s="88"/>
      <c r="GI1" s="88"/>
      <c r="GJ1" s="89"/>
      <c r="GK1" s="89"/>
      <c r="GL1" s="89"/>
      <c r="GM1" s="89"/>
      <c r="GN1" s="89"/>
      <c r="GO1" s="89"/>
      <c r="GP1" s="89"/>
      <c r="GQ1" s="89"/>
      <c r="GR1" s="89"/>
      <c r="GS1" s="89"/>
      <c r="GT1" s="89"/>
      <c r="GU1" s="89"/>
      <c r="GV1" s="89"/>
      <c r="GW1" s="89"/>
      <c r="GX1" s="89"/>
      <c r="GY1" s="89"/>
      <c r="GZ1" s="89"/>
      <c r="HA1" s="89"/>
      <c r="HB1" s="89"/>
      <c r="HC1" s="402"/>
      <c r="HD1" s="55"/>
      <c r="HE1" s="55"/>
      <c r="HF1" s="55"/>
      <c r="HG1" s="55"/>
      <c r="HH1" s="55"/>
      <c r="HI1" s="55"/>
      <c r="HJ1" s="56"/>
      <c r="HK1" s="56"/>
      <c r="HL1" s="56"/>
      <c r="HM1" s="56"/>
      <c r="HN1" s="748"/>
      <c r="HO1" s="567"/>
      <c r="HP1" s="273"/>
      <c r="HQ1" s="273"/>
      <c r="HR1" s="273"/>
      <c r="HS1" s="273"/>
      <c r="HT1" s="273"/>
      <c r="HU1" s="273"/>
      <c r="HV1" s="273"/>
      <c r="HW1" s="273"/>
      <c r="HX1" s="273"/>
      <c r="HY1" s="273"/>
      <c r="HZ1" s="273"/>
      <c r="IA1" s="273"/>
      <c r="IB1" s="90"/>
      <c r="IC1" s="90"/>
      <c r="ID1" s="90"/>
      <c r="IE1" s="90"/>
      <c r="IF1" s="90"/>
      <c r="IG1" s="90"/>
      <c r="IH1" s="90"/>
      <c r="II1" s="380"/>
      <c r="IJ1" s="380"/>
      <c r="IK1" s="380"/>
      <c r="IL1" s="380"/>
      <c r="IM1" s="380"/>
      <c r="IN1" s="380"/>
      <c r="IO1" s="380"/>
      <c r="IP1" s="57"/>
      <c r="IQ1" s="57"/>
      <c r="IR1" s="57"/>
      <c r="IS1" s="57"/>
      <c r="IT1" s="57"/>
      <c r="IU1" s="57"/>
      <c r="IV1" s="57"/>
      <c r="IW1" s="673"/>
      <c r="IX1" s="57"/>
      <c r="IY1" s="57"/>
      <c r="IZ1" s="57"/>
      <c r="JA1" s="57"/>
      <c r="JB1" s="57"/>
      <c r="JC1" s="57"/>
      <c r="JD1" s="57"/>
      <c r="JE1" s="57"/>
      <c r="JF1" s="57"/>
      <c r="JG1" s="673"/>
      <c r="JH1" s="58"/>
      <c r="JI1" s="58"/>
      <c r="JJ1" s="58"/>
      <c r="JK1" s="58"/>
      <c r="JL1" s="58"/>
      <c r="JM1" s="58"/>
      <c r="JN1" s="58"/>
      <c r="JO1" s="58"/>
      <c r="JP1" s="58"/>
      <c r="JQ1" s="58"/>
      <c r="JR1" s="58"/>
      <c r="JS1" s="58"/>
      <c r="JT1" s="58"/>
      <c r="JU1" s="772"/>
      <c r="JV1" s="402"/>
    </row>
    <row r="2" spans="1:282">
      <c r="A2" s="672"/>
      <c r="B2" s="408"/>
      <c r="C2" s="873"/>
      <c r="D2" s="888"/>
      <c r="E2" s="671"/>
      <c r="F2" s="873"/>
      <c r="G2" s="873"/>
      <c r="H2" s="873"/>
      <c r="I2" s="873"/>
      <c r="J2" s="873"/>
      <c r="K2" s="873"/>
      <c r="L2" s="873"/>
      <c r="M2" s="873"/>
      <c r="N2" s="873"/>
      <c r="O2" s="873"/>
      <c r="P2" s="873"/>
      <c r="Q2" s="873"/>
      <c r="R2" s="873"/>
      <c r="S2" s="873"/>
      <c r="T2" s="873"/>
      <c r="U2" s="873"/>
      <c r="V2" s="873"/>
      <c r="W2" s="873"/>
      <c r="X2" s="873"/>
      <c r="Y2" s="873"/>
      <c r="Z2" s="873"/>
      <c r="AA2" s="394"/>
      <c r="AB2" s="873"/>
      <c r="AC2" s="394"/>
      <c r="AD2" s="873"/>
      <c r="AE2" s="873"/>
      <c r="AF2" s="873"/>
      <c r="AG2" s="873"/>
      <c r="AH2" s="873"/>
      <c r="AI2" s="873"/>
      <c r="AJ2" s="403"/>
      <c r="AK2" s="403"/>
      <c r="AL2" s="873"/>
      <c r="AM2" s="873"/>
      <c r="AN2" s="403"/>
      <c r="AO2" s="403"/>
      <c r="AP2" s="394"/>
      <c r="AQ2" s="394"/>
      <c r="AR2" s="394"/>
      <c r="AS2" s="394"/>
      <c r="AT2" s="394"/>
      <c r="AU2" s="873"/>
      <c r="AV2" s="873"/>
      <c r="AW2" s="873"/>
      <c r="AX2" s="873"/>
      <c r="AY2" s="873"/>
      <c r="AZ2" s="873"/>
      <c r="BA2" s="394"/>
      <c r="BB2" s="873"/>
      <c r="BC2" s="873"/>
      <c r="BD2" s="873"/>
      <c r="BE2" s="873"/>
      <c r="BF2" s="873"/>
      <c r="BG2" s="873"/>
      <c r="BH2" s="873"/>
      <c r="BI2" s="873"/>
      <c r="BJ2" s="873"/>
      <c r="BK2" s="873"/>
      <c r="BL2" s="873"/>
      <c r="BM2" s="873"/>
      <c r="BN2" s="873"/>
      <c r="BO2" s="873"/>
      <c r="BP2" s="873"/>
      <c r="BQ2" s="873"/>
      <c r="BR2" s="873"/>
      <c r="BS2" s="873"/>
      <c r="BT2" s="873"/>
      <c r="BU2" s="873"/>
      <c r="BV2" s="873"/>
      <c r="BW2" s="873"/>
      <c r="BX2" s="873"/>
      <c r="BY2" s="873"/>
      <c r="BZ2" s="873"/>
      <c r="CA2" s="873"/>
      <c r="CB2" s="873"/>
      <c r="CC2" s="873"/>
      <c r="CD2" s="873"/>
      <c r="CE2" s="873"/>
      <c r="CF2" s="873"/>
      <c r="CG2" s="873"/>
      <c r="CH2" s="873"/>
      <c r="CI2" s="873"/>
      <c r="CJ2" s="873"/>
      <c r="CK2" s="873"/>
      <c r="CL2" s="873"/>
      <c r="CM2" s="873"/>
      <c r="CN2" s="873"/>
      <c r="CO2" s="873"/>
      <c r="CP2" s="873"/>
      <c r="CQ2" s="873"/>
      <c r="CR2" s="873"/>
      <c r="CS2" s="873"/>
      <c r="CT2" s="873"/>
      <c r="CU2" s="873"/>
      <c r="CV2" s="873"/>
      <c r="CW2" s="873"/>
      <c r="CX2" s="873"/>
      <c r="CY2" s="873"/>
      <c r="CZ2" s="873"/>
      <c r="DA2" s="873"/>
      <c r="DB2" s="873"/>
      <c r="DC2" s="873"/>
      <c r="DD2" s="873"/>
      <c r="DE2" s="873"/>
      <c r="DF2" s="873"/>
      <c r="DG2" s="873"/>
      <c r="DH2" s="873"/>
      <c r="DI2" s="873"/>
      <c r="DJ2" s="873"/>
      <c r="DK2" s="873"/>
      <c r="DL2" s="873"/>
      <c r="DM2" s="873"/>
      <c r="DN2" s="873"/>
      <c r="DO2" s="873"/>
      <c r="DP2" s="873"/>
      <c r="DQ2" s="873"/>
      <c r="DR2" s="873"/>
      <c r="DS2" s="873"/>
      <c r="DT2" s="873"/>
      <c r="DU2" s="873"/>
      <c r="DV2" s="873"/>
      <c r="DW2" s="873"/>
      <c r="DX2" s="873"/>
      <c r="DY2" s="873"/>
      <c r="DZ2" s="873"/>
      <c r="EA2" s="873"/>
      <c r="EB2" s="873"/>
      <c r="EC2" s="873"/>
      <c r="ED2" s="873"/>
      <c r="EE2" s="873"/>
      <c r="EF2" s="873"/>
      <c r="EG2" s="873"/>
      <c r="EH2" s="873"/>
      <c r="EI2" s="873"/>
      <c r="EJ2" s="873"/>
      <c r="EK2" s="873"/>
      <c r="EL2" s="873"/>
      <c r="EM2" s="873"/>
      <c r="EN2" s="873"/>
      <c r="EO2" s="873"/>
      <c r="EP2" s="873"/>
      <c r="EQ2" s="873"/>
      <c r="ER2" s="873"/>
      <c r="ES2" s="873"/>
      <c r="ET2" s="873"/>
      <c r="EU2" s="873"/>
      <c r="EV2" s="873"/>
      <c r="EW2" s="873"/>
      <c r="EX2" s="873"/>
      <c r="EY2" s="873"/>
      <c r="EZ2" s="873"/>
      <c r="FA2" s="873"/>
      <c r="FB2" s="873"/>
      <c r="FC2" s="873"/>
      <c r="FD2" s="873"/>
      <c r="FE2" s="873"/>
      <c r="FF2" s="873"/>
      <c r="FG2" s="873"/>
      <c r="FH2" s="873"/>
      <c r="FI2" s="873"/>
      <c r="FJ2" s="873"/>
      <c r="FK2" s="873"/>
      <c r="FL2" s="873"/>
      <c r="FM2" s="873"/>
      <c r="FN2" s="873"/>
      <c r="FO2" s="873"/>
      <c r="FP2" s="873"/>
      <c r="FQ2" s="873"/>
      <c r="FR2" s="873"/>
      <c r="FS2" s="873"/>
      <c r="FT2" s="873"/>
      <c r="FU2" s="873"/>
      <c r="FV2" s="873"/>
      <c r="FW2" s="873"/>
      <c r="FX2" s="873"/>
      <c r="FY2" s="873"/>
      <c r="FZ2" s="873"/>
      <c r="GA2" s="873"/>
      <c r="GB2" s="873"/>
      <c r="GC2" s="873"/>
      <c r="GD2" s="873"/>
      <c r="GE2" s="873"/>
      <c r="GF2" s="873"/>
      <c r="GG2" s="873"/>
      <c r="GH2" s="873"/>
      <c r="GI2" s="873"/>
      <c r="GJ2" s="873"/>
      <c r="GK2" s="873"/>
      <c r="GL2" s="873"/>
      <c r="GM2" s="873"/>
      <c r="GN2" s="873"/>
      <c r="GO2" s="873"/>
      <c r="GP2" s="873"/>
      <c r="GQ2" s="873"/>
      <c r="GR2" s="873"/>
      <c r="GS2" s="873"/>
      <c r="GT2" s="873"/>
      <c r="GU2" s="873"/>
      <c r="GV2" s="873"/>
      <c r="GW2" s="873"/>
      <c r="GX2" s="873"/>
      <c r="GY2" s="873"/>
      <c r="GZ2" s="873"/>
      <c r="HA2" s="873"/>
      <c r="HB2" s="873"/>
      <c r="HC2" s="873"/>
      <c r="HD2" s="873"/>
      <c r="HE2" s="873"/>
      <c r="HF2" s="873"/>
      <c r="HG2" s="873"/>
      <c r="HH2" s="873"/>
      <c r="HI2" s="873"/>
      <c r="HJ2" s="873"/>
      <c r="HK2" s="873"/>
      <c r="HL2" s="873"/>
      <c r="HM2" s="873"/>
      <c r="HN2" s="873"/>
      <c r="HO2" s="873"/>
      <c r="HP2" s="873"/>
      <c r="HQ2" s="873"/>
      <c r="HR2" s="873"/>
      <c r="HS2" s="873"/>
      <c r="HT2" s="873"/>
      <c r="HU2" s="873"/>
      <c r="HV2" s="873"/>
      <c r="HW2" s="873"/>
      <c r="HX2" s="873"/>
      <c r="HY2" s="873"/>
      <c r="HZ2" s="873"/>
      <c r="IA2" s="873"/>
      <c r="IB2" s="873"/>
      <c r="IC2" s="873"/>
      <c r="ID2" s="873"/>
      <c r="IE2" s="873"/>
      <c r="IF2" s="873"/>
      <c r="IG2" s="873"/>
      <c r="IH2" s="873"/>
      <c r="II2" s="873"/>
      <c r="IJ2" s="873"/>
      <c r="IK2" s="873"/>
      <c r="IL2" s="873"/>
      <c r="IM2" s="873"/>
      <c r="IN2" s="873"/>
      <c r="IO2" s="873"/>
      <c r="IP2" s="873"/>
      <c r="IQ2" s="873"/>
      <c r="IR2" s="873"/>
      <c r="IS2" s="873"/>
      <c r="IT2" s="873"/>
      <c r="IU2" s="873"/>
      <c r="IV2" s="873"/>
      <c r="IW2" s="873"/>
      <c r="IX2" s="873"/>
      <c r="IY2" s="873"/>
      <c r="IZ2" s="873"/>
      <c r="JA2" s="873"/>
      <c r="JB2" s="873"/>
      <c r="JC2" s="873"/>
      <c r="JD2" s="873"/>
      <c r="JE2" s="873"/>
      <c r="JF2" s="873"/>
      <c r="JG2" s="873"/>
      <c r="JH2" s="873"/>
      <c r="JI2" s="873"/>
      <c r="JJ2" s="873"/>
      <c r="JK2" s="873"/>
      <c r="JL2" s="873"/>
      <c r="JM2" s="873"/>
      <c r="JN2" s="873"/>
      <c r="JO2" s="873"/>
      <c r="JP2" s="873"/>
      <c r="JQ2" s="873"/>
      <c r="JR2" s="873"/>
      <c r="JS2" s="873"/>
      <c r="JT2" s="873"/>
      <c r="JU2" s="873"/>
      <c r="JV2" s="402"/>
    </row>
    <row r="3" spans="1:282">
      <c r="A3" s="672"/>
      <c r="B3" s="408"/>
      <c r="C3" s="873"/>
      <c r="D3" s="888"/>
      <c r="E3" s="671"/>
      <c r="F3" s="873"/>
      <c r="G3" s="873"/>
      <c r="H3" s="873"/>
      <c r="I3" s="873"/>
      <c r="J3" s="873"/>
      <c r="K3" s="873"/>
      <c r="L3" s="873"/>
      <c r="M3" s="873"/>
      <c r="N3" s="873"/>
      <c r="O3" s="873"/>
      <c r="P3" s="873"/>
      <c r="Q3" s="873"/>
      <c r="R3" s="873"/>
      <c r="S3" s="873"/>
      <c r="T3" s="873"/>
      <c r="U3" s="873"/>
      <c r="V3" s="873"/>
      <c r="W3" s="873"/>
      <c r="X3" s="873"/>
      <c r="Y3" s="873"/>
      <c r="Z3" s="873"/>
      <c r="AA3" s="394"/>
      <c r="AB3" s="873"/>
      <c r="AC3" s="394"/>
      <c r="AD3" s="873"/>
      <c r="AE3" s="873"/>
      <c r="AF3" s="873"/>
      <c r="AG3" s="873"/>
      <c r="AH3" s="873"/>
      <c r="AI3" s="873"/>
      <c r="AJ3" s="403"/>
      <c r="AK3" s="403"/>
      <c r="AL3" s="873"/>
      <c r="AM3" s="873"/>
      <c r="AN3" s="403"/>
      <c r="AO3" s="403"/>
      <c r="AP3" s="394"/>
      <c r="AQ3" s="394"/>
      <c r="AR3" s="394"/>
      <c r="AS3" s="394"/>
      <c r="AT3" s="394"/>
      <c r="AU3" s="873"/>
      <c r="AV3" s="873"/>
      <c r="AW3" s="873"/>
      <c r="AX3" s="873"/>
      <c r="AY3" s="873"/>
      <c r="AZ3" s="873"/>
      <c r="BA3" s="394"/>
      <c r="BB3" s="873"/>
      <c r="BC3" s="873"/>
      <c r="BD3" s="873"/>
      <c r="BE3" s="873"/>
      <c r="BF3" s="873"/>
      <c r="BG3" s="873"/>
      <c r="BH3" s="873"/>
      <c r="BI3" s="873"/>
      <c r="BJ3" s="873"/>
      <c r="BK3" s="873"/>
      <c r="BL3" s="873"/>
      <c r="BM3" s="873"/>
      <c r="BN3" s="873"/>
      <c r="BO3" s="873"/>
      <c r="BP3" s="873"/>
      <c r="BQ3" s="873"/>
      <c r="BR3" s="873"/>
      <c r="BS3" s="873"/>
      <c r="BT3" s="873"/>
      <c r="BU3" s="873"/>
      <c r="BV3" s="873"/>
      <c r="BW3" s="873"/>
      <c r="BX3" s="873"/>
      <c r="BY3" s="873"/>
      <c r="BZ3" s="873"/>
      <c r="CA3" s="873"/>
      <c r="CB3" s="873"/>
      <c r="CC3" s="873"/>
      <c r="CD3" s="873"/>
      <c r="CE3" s="873"/>
      <c r="CF3" s="873"/>
      <c r="CG3" s="873"/>
      <c r="CH3" s="873"/>
      <c r="CI3" s="873"/>
      <c r="CJ3" s="873"/>
      <c r="CK3" s="873"/>
      <c r="CL3" s="873"/>
      <c r="CM3" s="873"/>
      <c r="CN3" s="873"/>
      <c r="CO3" s="873"/>
      <c r="CP3" s="873"/>
      <c r="CQ3" s="873"/>
      <c r="CR3" s="873"/>
      <c r="CS3" s="873"/>
      <c r="CT3" s="873"/>
      <c r="CU3" s="873"/>
      <c r="CV3" s="873"/>
      <c r="CW3" s="873"/>
      <c r="CX3" s="873"/>
      <c r="CY3" s="873"/>
      <c r="CZ3" s="873"/>
      <c r="DA3" s="873"/>
      <c r="DB3" s="873"/>
      <c r="DC3" s="873"/>
      <c r="DD3" s="873"/>
      <c r="DE3" s="873"/>
      <c r="DF3" s="873"/>
      <c r="DG3" s="873"/>
      <c r="DH3" s="873"/>
      <c r="DI3" s="873"/>
      <c r="DJ3" s="873"/>
      <c r="DK3" s="873"/>
      <c r="DL3" s="873"/>
      <c r="DM3" s="873"/>
      <c r="DN3" s="873"/>
      <c r="DO3" s="873"/>
      <c r="DP3" s="873"/>
      <c r="DQ3" s="873"/>
      <c r="DR3" s="873"/>
      <c r="DS3" s="873"/>
      <c r="DT3" s="873"/>
      <c r="DU3" s="873"/>
      <c r="DV3" s="873"/>
      <c r="DW3" s="873"/>
      <c r="DX3" s="873"/>
      <c r="DY3" s="873"/>
      <c r="DZ3" s="873"/>
      <c r="EA3" s="873"/>
      <c r="EB3" s="873"/>
      <c r="EC3" s="873"/>
      <c r="ED3" s="873"/>
      <c r="EE3" s="873"/>
      <c r="EF3" s="873"/>
      <c r="EG3" s="873"/>
      <c r="EH3" s="873"/>
      <c r="EI3" s="873"/>
      <c r="EJ3" s="873"/>
      <c r="EK3" s="873"/>
      <c r="EL3" s="873"/>
      <c r="EM3" s="873"/>
      <c r="EN3" s="873"/>
      <c r="EO3" s="873"/>
      <c r="EP3" s="873"/>
      <c r="EQ3" s="873"/>
      <c r="ER3" s="873"/>
      <c r="ES3" s="873"/>
      <c r="ET3" s="873"/>
      <c r="EU3" s="873"/>
      <c r="EV3" s="873"/>
      <c r="EW3" s="873"/>
      <c r="EX3" s="873"/>
      <c r="EY3" s="873"/>
      <c r="EZ3" s="873"/>
      <c r="FA3" s="873"/>
      <c r="FB3" s="873"/>
      <c r="FC3" s="873"/>
      <c r="FD3" s="873"/>
      <c r="FE3" s="873"/>
      <c r="FF3" s="873"/>
      <c r="FG3" s="873"/>
      <c r="FH3" s="873"/>
      <c r="FI3" s="873"/>
      <c r="FJ3" s="873"/>
      <c r="FK3" s="873"/>
      <c r="FL3" s="873"/>
      <c r="FM3" s="873"/>
      <c r="FN3" s="873"/>
      <c r="FO3" s="873"/>
      <c r="FP3" s="873"/>
      <c r="FQ3" s="873"/>
      <c r="FR3" s="873"/>
      <c r="FS3" s="873"/>
      <c r="FT3" s="873"/>
      <c r="FU3" s="873"/>
      <c r="FV3" s="873"/>
      <c r="FW3" s="873"/>
      <c r="FX3" s="873"/>
      <c r="FY3" s="873"/>
      <c r="FZ3" s="873"/>
      <c r="GA3" s="873"/>
      <c r="GB3" s="873"/>
      <c r="GC3" s="873"/>
      <c r="GD3" s="873"/>
      <c r="GE3" s="873"/>
      <c r="GF3" s="873"/>
      <c r="GG3" s="873"/>
      <c r="GH3" s="873"/>
      <c r="GI3" s="873"/>
      <c r="GJ3" s="873"/>
      <c r="GK3" s="873"/>
      <c r="GL3" s="873"/>
      <c r="GM3" s="873"/>
      <c r="GN3" s="873"/>
      <c r="GO3" s="873"/>
      <c r="GP3" s="873"/>
      <c r="GQ3" s="873"/>
      <c r="GR3" s="873"/>
      <c r="GS3" s="873"/>
      <c r="GT3" s="873"/>
      <c r="GU3" s="873"/>
      <c r="GV3" s="873"/>
      <c r="GW3" s="873"/>
      <c r="GX3" s="873"/>
      <c r="GY3" s="873"/>
      <c r="GZ3" s="873"/>
      <c r="HA3" s="873"/>
      <c r="HB3" s="873"/>
      <c r="HC3" s="873"/>
      <c r="HD3" s="873"/>
      <c r="HE3" s="873"/>
      <c r="HF3" s="873"/>
      <c r="HG3" s="873"/>
      <c r="HH3" s="873"/>
      <c r="HI3" s="873"/>
      <c r="HJ3" s="873"/>
      <c r="HK3" s="873"/>
      <c r="HL3" s="873"/>
      <c r="HM3" s="873"/>
      <c r="HN3" s="873"/>
      <c r="HO3" s="873"/>
      <c r="HP3" s="873"/>
      <c r="HQ3" s="873"/>
      <c r="HR3" s="873"/>
      <c r="HS3" s="873"/>
      <c r="HT3" s="873"/>
      <c r="HU3" s="873"/>
      <c r="HV3" s="873"/>
      <c r="HW3" s="873"/>
      <c r="HX3" s="873"/>
      <c r="HY3" s="873"/>
      <c r="HZ3" s="873"/>
      <c r="IA3" s="873"/>
      <c r="IB3" s="873"/>
      <c r="IC3" s="873"/>
      <c r="ID3" s="873"/>
      <c r="IE3" s="873"/>
      <c r="IF3" s="873"/>
      <c r="IG3" s="873"/>
      <c r="IH3" s="873"/>
      <c r="II3" s="873"/>
      <c r="IJ3" s="873"/>
      <c r="IK3" s="873"/>
      <c r="IL3" s="873"/>
      <c r="IM3" s="873"/>
      <c r="IN3" s="873"/>
      <c r="IO3" s="873"/>
      <c r="IP3" s="873"/>
      <c r="IQ3" s="873"/>
      <c r="IR3" s="873"/>
      <c r="IS3" s="873"/>
      <c r="IT3" s="873"/>
      <c r="IU3" s="873"/>
      <c r="IV3" s="873"/>
      <c r="IW3" s="873"/>
      <c r="IX3" s="873"/>
      <c r="IY3" s="873"/>
      <c r="IZ3" s="873"/>
      <c r="JA3" s="873"/>
      <c r="JB3" s="873"/>
      <c r="JC3" s="873"/>
      <c r="JD3" s="873"/>
      <c r="JE3" s="873"/>
      <c r="JF3" s="873"/>
      <c r="JG3" s="873"/>
      <c r="JH3" s="873"/>
      <c r="JI3" s="873"/>
      <c r="JJ3" s="873"/>
      <c r="JK3" s="873"/>
      <c r="JL3" s="873"/>
      <c r="JM3" s="873"/>
      <c r="JN3" s="873"/>
      <c r="JO3" s="873"/>
      <c r="JP3" s="873"/>
      <c r="JQ3" s="873"/>
      <c r="JR3" s="873"/>
      <c r="JS3" s="873"/>
      <c r="JT3" s="873"/>
      <c r="JU3" s="873"/>
      <c r="JV3" s="402"/>
    </row>
    <row r="4" spans="1:282">
      <c r="A4" s="672"/>
      <c r="B4" s="408"/>
      <c r="C4" s="873"/>
      <c r="D4" s="888"/>
      <c r="E4" s="671"/>
      <c r="F4" s="873"/>
      <c r="G4" s="873"/>
      <c r="H4" s="873"/>
      <c r="I4" s="873"/>
      <c r="J4" s="873"/>
      <c r="K4" s="873"/>
      <c r="L4" s="873"/>
      <c r="M4" s="873"/>
      <c r="N4" s="873"/>
      <c r="O4" s="873"/>
      <c r="P4" s="873"/>
      <c r="Q4" s="873"/>
      <c r="R4" s="873"/>
      <c r="S4" s="873"/>
      <c r="T4" s="873"/>
      <c r="U4" s="873"/>
      <c r="V4" s="873"/>
      <c r="W4" s="873"/>
      <c r="X4" s="873"/>
      <c r="Y4" s="873"/>
      <c r="Z4" s="873"/>
      <c r="AA4" s="394"/>
      <c r="AB4" s="873"/>
      <c r="AC4" s="394"/>
      <c r="AD4" s="873"/>
      <c r="AE4" s="873"/>
      <c r="AF4" s="873"/>
      <c r="AG4" s="873"/>
      <c r="AH4" s="873"/>
      <c r="AI4" s="873"/>
      <c r="AJ4" s="403"/>
      <c r="AK4" s="403"/>
      <c r="AL4" s="873"/>
      <c r="AM4" s="873"/>
      <c r="AN4" s="403"/>
      <c r="AO4" s="403"/>
      <c r="AP4" s="394"/>
      <c r="AQ4" s="394"/>
      <c r="AR4" s="394"/>
      <c r="AS4" s="394"/>
      <c r="AT4" s="394"/>
      <c r="AU4" s="873"/>
      <c r="AV4" s="873"/>
      <c r="AW4" s="873"/>
      <c r="AX4" s="873"/>
      <c r="AY4" s="873"/>
      <c r="AZ4" s="873"/>
      <c r="BA4" s="394"/>
      <c r="BB4" s="873"/>
      <c r="BC4" s="873"/>
      <c r="BD4" s="873"/>
      <c r="BE4" s="873"/>
      <c r="BF4" s="873"/>
      <c r="BG4" s="873"/>
      <c r="BH4" s="873"/>
      <c r="BI4" s="873"/>
      <c r="BJ4" s="873"/>
      <c r="BK4" s="873"/>
      <c r="BL4" s="873"/>
      <c r="BM4" s="873"/>
      <c r="BN4" s="873"/>
      <c r="BO4" s="873"/>
      <c r="BP4" s="873"/>
      <c r="BQ4" s="873"/>
      <c r="BR4" s="873"/>
      <c r="BS4" s="873"/>
      <c r="BT4" s="873"/>
      <c r="BU4" s="873"/>
      <c r="BV4" s="873"/>
      <c r="BW4" s="873"/>
      <c r="BX4" s="873"/>
      <c r="BY4" s="873"/>
      <c r="BZ4" s="873"/>
      <c r="CA4" s="873"/>
      <c r="CB4" s="873"/>
      <c r="CC4" s="873"/>
      <c r="CD4" s="873"/>
      <c r="CE4" s="873"/>
      <c r="CF4" s="873"/>
      <c r="CG4" s="873"/>
      <c r="CH4" s="873"/>
      <c r="CI4" s="873"/>
      <c r="CJ4" s="873"/>
      <c r="CK4" s="873"/>
      <c r="CL4" s="873"/>
      <c r="CM4" s="873"/>
      <c r="CN4" s="873"/>
      <c r="CO4" s="873"/>
      <c r="CP4" s="873"/>
      <c r="CQ4" s="873"/>
      <c r="CR4" s="873"/>
      <c r="CS4" s="873"/>
      <c r="CT4" s="873"/>
      <c r="CU4" s="873"/>
      <c r="CV4" s="873"/>
      <c r="CW4" s="873"/>
      <c r="CX4" s="873"/>
      <c r="CY4" s="873"/>
      <c r="CZ4" s="873"/>
      <c r="DA4" s="873"/>
      <c r="DB4" s="873"/>
      <c r="DC4" s="873"/>
      <c r="DD4" s="873"/>
      <c r="DE4" s="873"/>
      <c r="DF4" s="873"/>
      <c r="DG4" s="873"/>
      <c r="DH4" s="873"/>
      <c r="DI4" s="873"/>
      <c r="DJ4" s="873"/>
      <c r="DK4" s="873"/>
      <c r="DL4" s="873"/>
      <c r="DM4" s="873"/>
      <c r="DN4" s="873"/>
      <c r="DO4" s="873"/>
      <c r="DP4" s="873"/>
      <c r="DQ4" s="873"/>
      <c r="DR4" s="873"/>
      <c r="DS4" s="873"/>
      <c r="DT4" s="873"/>
      <c r="DU4" s="873"/>
      <c r="DV4" s="873"/>
      <c r="DW4" s="873"/>
      <c r="DX4" s="873"/>
      <c r="DY4" s="873"/>
      <c r="DZ4" s="873"/>
      <c r="EA4" s="873"/>
      <c r="EB4" s="873"/>
      <c r="EC4" s="873"/>
      <c r="ED4" s="873"/>
      <c r="EE4" s="873"/>
      <c r="EF4" s="873"/>
      <c r="EG4" s="873"/>
      <c r="EH4" s="873"/>
      <c r="EI4" s="873"/>
      <c r="EJ4" s="873"/>
      <c r="EK4" s="873"/>
      <c r="EL4" s="873"/>
      <c r="EM4" s="873"/>
      <c r="EN4" s="873"/>
      <c r="EO4" s="873"/>
      <c r="EP4" s="873"/>
      <c r="EQ4" s="873"/>
      <c r="ER4" s="873"/>
      <c r="ES4" s="873"/>
      <c r="ET4" s="873"/>
      <c r="EU4" s="873"/>
      <c r="EV4" s="873"/>
      <c r="EW4" s="873"/>
      <c r="EX4" s="873"/>
      <c r="EY4" s="873"/>
      <c r="EZ4" s="873"/>
      <c r="FA4" s="873"/>
      <c r="FB4" s="873"/>
      <c r="FC4" s="873"/>
      <c r="FD4" s="873"/>
      <c r="FE4" s="873"/>
      <c r="FF4" s="873"/>
      <c r="FG4" s="873"/>
      <c r="FH4" s="873"/>
      <c r="FI4" s="873"/>
      <c r="FJ4" s="873"/>
      <c r="FK4" s="873"/>
      <c r="FL4" s="873"/>
      <c r="FM4" s="873"/>
      <c r="FN4" s="873"/>
      <c r="FO4" s="873"/>
      <c r="FP4" s="873"/>
      <c r="FQ4" s="873"/>
      <c r="FR4" s="873"/>
      <c r="FS4" s="873"/>
      <c r="FT4" s="873"/>
      <c r="FU4" s="873"/>
      <c r="FV4" s="873"/>
      <c r="FW4" s="873"/>
      <c r="FX4" s="873"/>
      <c r="FY4" s="873"/>
      <c r="FZ4" s="873"/>
      <c r="GA4" s="873"/>
      <c r="GB4" s="873"/>
      <c r="GC4" s="873"/>
      <c r="GD4" s="873"/>
      <c r="GE4" s="873"/>
      <c r="GF4" s="873"/>
      <c r="GG4" s="873"/>
      <c r="GH4" s="873"/>
      <c r="GI4" s="873"/>
      <c r="GJ4" s="873"/>
      <c r="GK4" s="873"/>
      <c r="GL4" s="873"/>
      <c r="GM4" s="873"/>
      <c r="GN4" s="873"/>
      <c r="GO4" s="873"/>
      <c r="GP4" s="873"/>
      <c r="GQ4" s="873"/>
      <c r="GR4" s="873"/>
      <c r="GS4" s="873"/>
      <c r="GT4" s="873"/>
      <c r="GU4" s="873"/>
      <c r="GV4" s="873"/>
      <c r="GW4" s="873"/>
      <c r="GX4" s="873"/>
      <c r="GY4" s="873"/>
      <c r="GZ4" s="873"/>
      <c r="HA4" s="873"/>
      <c r="HB4" s="873"/>
      <c r="HC4" s="873"/>
      <c r="HD4" s="873"/>
      <c r="HE4" s="873"/>
      <c r="HF4" s="873"/>
      <c r="HG4" s="873"/>
      <c r="HH4" s="873"/>
      <c r="HI4" s="873"/>
      <c r="HJ4" s="873"/>
      <c r="HK4" s="873"/>
      <c r="HL4" s="873"/>
      <c r="HM4" s="873"/>
      <c r="HN4" s="873"/>
      <c r="HO4" s="873"/>
      <c r="HP4" s="873"/>
      <c r="HQ4" s="873"/>
      <c r="HR4" s="873"/>
      <c r="HS4" s="873"/>
      <c r="HT4" s="873"/>
      <c r="HU4" s="873"/>
      <c r="HV4" s="873"/>
      <c r="HW4" s="873"/>
      <c r="HX4" s="873"/>
      <c r="HY4" s="873"/>
      <c r="HZ4" s="873"/>
      <c r="IA4" s="873"/>
      <c r="IB4" s="873"/>
      <c r="IC4" s="873"/>
      <c r="ID4" s="873"/>
      <c r="IE4" s="873"/>
      <c r="IF4" s="873"/>
      <c r="IG4" s="873"/>
      <c r="IH4" s="873"/>
      <c r="II4" s="873"/>
      <c r="IJ4" s="873"/>
      <c r="IK4" s="873"/>
      <c r="IL4" s="873"/>
      <c r="IM4" s="873"/>
      <c r="IN4" s="873"/>
      <c r="IO4" s="873"/>
      <c r="IP4" s="873"/>
      <c r="IQ4" s="873"/>
      <c r="IR4" s="873"/>
      <c r="IS4" s="873"/>
      <c r="IT4" s="873"/>
      <c r="IU4" s="873"/>
      <c r="IV4" s="873"/>
      <c r="IW4" s="873"/>
      <c r="IX4" s="873"/>
      <c r="IY4" s="873"/>
      <c r="IZ4" s="873"/>
      <c r="JA4" s="873"/>
      <c r="JB4" s="873"/>
      <c r="JC4" s="873"/>
      <c r="JD4" s="873"/>
      <c r="JE4" s="873"/>
      <c r="JF4" s="873"/>
      <c r="JG4" s="873"/>
      <c r="JH4" s="873"/>
      <c r="JI4" s="873"/>
      <c r="JJ4" s="873"/>
      <c r="JK4" s="873"/>
      <c r="JL4" s="873"/>
      <c r="JM4" s="873"/>
      <c r="JN4" s="873"/>
      <c r="JO4" s="873"/>
      <c r="JP4" s="873"/>
      <c r="JQ4" s="873"/>
      <c r="JR4" s="873"/>
      <c r="JS4" s="873"/>
      <c r="JT4" s="873"/>
      <c r="JU4" s="873"/>
      <c r="JV4" s="402"/>
    </row>
    <row r="5" spans="1:282">
      <c r="A5" s="672"/>
      <c r="B5" s="408"/>
      <c r="C5" s="873"/>
      <c r="D5" s="888"/>
      <c r="E5" s="671"/>
      <c r="F5" s="873"/>
      <c r="G5" s="873"/>
      <c r="H5" s="873"/>
      <c r="I5" s="873"/>
      <c r="J5" s="873"/>
      <c r="K5" s="873"/>
      <c r="L5" s="873"/>
      <c r="M5" s="873"/>
      <c r="N5" s="873"/>
      <c r="O5" s="873"/>
      <c r="P5" s="873"/>
      <c r="Q5" s="873"/>
      <c r="R5" s="873"/>
      <c r="S5" s="873"/>
      <c r="T5" s="873"/>
      <c r="U5" s="873"/>
      <c r="V5" s="873"/>
      <c r="W5" s="873"/>
      <c r="X5" s="873"/>
      <c r="Y5" s="873"/>
      <c r="Z5" s="873"/>
      <c r="AA5" s="394"/>
      <c r="AB5" s="873"/>
      <c r="AC5" s="394"/>
      <c r="AD5" s="873"/>
      <c r="AE5" s="873"/>
      <c r="AF5" s="873"/>
      <c r="AG5" s="873"/>
      <c r="AH5" s="873"/>
      <c r="AI5" s="873"/>
      <c r="AJ5" s="403"/>
      <c r="AK5" s="403"/>
      <c r="AL5" s="873"/>
      <c r="AM5" s="873"/>
      <c r="AN5" s="403"/>
      <c r="AO5" s="403"/>
      <c r="AP5" s="394"/>
      <c r="AQ5" s="394"/>
      <c r="AR5" s="394"/>
      <c r="AS5" s="394"/>
      <c r="AT5" s="394"/>
      <c r="AU5" s="873"/>
      <c r="AV5" s="873"/>
      <c r="AW5" s="873"/>
      <c r="AX5" s="873"/>
      <c r="AY5" s="873"/>
      <c r="AZ5" s="873"/>
      <c r="BA5" s="394"/>
      <c r="BB5" s="873"/>
      <c r="BC5" s="873"/>
      <c r="BD5" s="873"/>
      <c r="BE5" s="873"/>
      <c r="BF5" s="873"/>
      <c r="BG5" s="873"/>
      <c r="BH5" s="873"/>
      <c r="BI5" s="873"/>
      <c r="BJ5" s="873"/>
      <c r="BK5" s="873"/>
      <c r="BL5" s="873"/>
      <c r="BM5" s="873"/>
      <c r="BN5" s="873"/>
      <c r="BO5" s="873"/>
      <c r="BP5" s="873"/>
      <c r="BQ5" s="873"/>
      <c r="BR5" s="873"/>
      <c r="BS5" s="873"/>
      <c r="BT5" s="873"/>
      <c r="BU5" s="873"/>
      <c r="BV5" s="873"/>
      <c r="BW5" s="873"/>
      <c r="BX5" s="873"/>
      <c r="BY5" s="873"/>
      <c r="BZ5" s="873"/>
      <c r="CA5" s="873"/>
      <c r="CB5" s="873"/>
      <c r="CC5" s="873"/>
      <c r="CD5" s="873"/>
      <c r="CE5" s="873"/>
      <c r="CF5" s="873"/>
      <c r="CG5" s="873"/>
      <c r="CH5" s="873"/>
      <c r="CI5" s="873"/>
      <c r="CJ5" s="873"/>
      <c r="CK5" s="873"/>
      <c r="CL5" s="873"/>
      <c r="CM5" s="873"/>
      <c r="CN5" s="873"/>
      <c r="CO5" s="873"/>
      <c r="CP5" s="873"/>
      <c r="CQ5" s="873"/>
      <c r="CR5" s="873"/>
      <c r="CS5" s="873"/>
      <c r="CT5" s="873"/>
      <c r="CU5" s="873"/>
      <c r="CV5" s="873"/>
      <c r="CW5" s="873"/>
      <c r="CX5" s="873"/>
      <c r="CY5" s="873"/>
      <c r="CZ5" s="873"/>
      <c r="DA5" s="873"/>
      <c r="DB5" s="873"/>
      <c r="DC5" s="873"/>
      <c r="DD5" s="873"/>
      <c r="DE5" s="873"/>
      <c r="DF5" s="873"/>
      <c r="DG5" s="873"/>
      <c r="DH5" s="873"/>
      <c r="DI5" s="873"/>
      <c r="DJ5" s="873"/>
      <c r="DK5" s="873"/>
      <c r="DL5" s="873"/>
      <c r="DM5" s="873"/>
      <c r="DN5" s="873"/>
      <c r="DO5" s="873"/>
      <c r="DP5" s="873"/>
      <c r="DQ5" s="873"/>
      <c r="DR5" s="873"/>
      <c r="DS5" s="873"/>
      <c r="DT5" s="873"/>
      <c r="DU5" s="873"/>
      <c r="DV5" s="873"/>
      <c r="DW5" s="873"/>
      <c r="DX5" s="873"/>
      <c r="DY5" s="873"/>
      <c r="DZ5" s="873"/>
      <c r="EA5" s="873"/>
      <c r="EB5" s="873"/>
      <c r="EC5" s="873"/>
      <c r="ED5" s="873"/>
      <c r="EE5" s="873"/>
      <c r="EF5" s="873"/>
      <c r="EG5" s="873"/>
      <c r="EH5" s="873"/>
      <c r="EI5" s="873"/>
      <c r="EJ5" s="873"/>
      <c r="EK5" s="873"/>
      <c r="EL5" s="873"/>
      <c r="EM5" s="873"/>
      <c r="EN5" s="873"/>
      <c r="EO5" s="873"/>
      <c r="EP5" s="873"/>
      <c r="EQ5" s="873"/>
      <c r="ER5" s="873"/>
      <c r="ES5" s="873"/>
      <c r="ET5" s="873"/>
      <c r="EU5" s="873"/>
      <c r="EV5" s="873"/>
      <c r="EW5" s="873"/>
      <c r="EX5" s="873"/>
      <c r="EY5" s="873"/>
      <c r="EZ5" s="873"/>
      <c r="FA5" s="873"/>
      <c r="FB5" s="873"/>
      <c r="FC5" s="873"/>
      <c r="FD5" s="873"/>
      <c r="FE5" s="873"/>
      <c r="FF5" s="873"/>
      <c r="FG5" s="873"/>
      <c r="FH5" s="873"/>
      <c r="FI5" s="873"/>
      <c r="FJ5" s="873"/>
      <c r="FK5" s="873"/>
      <c r="FL5" s="873"/>
      <c r="FM5" s="873"/>
      <c r="FN5" s="873"/>
      <c r="FO5" s="873"/>
      <c r="FP5" s="873"/>
      <c r="FQ5" s="873"/>
      <c r="FR5" s="873"/>
      <c r="FS5" s="873"/>
      <c r="FT5" s="873"/>
      <c r="FU5" s="873"/>
      <c r="FV5" s="873"/>
      <c r="FW5" s="873"/>
      <c r="FX5" s="873"/>
      <c r="FY5" s="873"/>
      <c r="FZ5" s="873"/>
      <c r="GA5" s="873"/>
      <c r="GB5" s="873"/>
      <c r="GC5" s="873"/>
      <c r="GD5" s="873"/>
      <c r="GE5" s="873"/>
      <c r="GF5" s="873"/>
      <c r="GG5" s="873"/>
      <c r="GH5" s="873"/>
      <c r="GI5" s="873"/>
      <c r="GJ5" s="873"/>
      <c r="GK5" s="873"/>
      <c r="GL5" s="873"/>
      <c r="GM5" s="873"/>
      <c r="GN5" s="873"/>
      <c r="GO5" s="873"/>
      <c r="GP5" s="873"/>
      <c r="GQ5" s="873"/>
      <c r="GR5" s="873"/>
      <c r="GS5" s="873"/>
      <c r="GT5" s="873"/>
      <c r="GU5" s="873"/>
      <c r="GV5" s="873"/>
      <c r="GW5" s="873"/>
      <c r="GX5" s="873"/>
      <c r="GY5" s="873"/>
      <c r="GZ5" s="873"/>
      <c r="HA5" s="873"/>
      <c r="HB5" s="873"/>
      <c r="HC5" s="873"/>
      <c r="HD5" s="873"/>
      <c r="HE5" s="873"/>
      <c r="HF5" s="873"/>
      <c r="HG5" s="873"/>
      <c r="HH5" s="873"/>
      <c r="HI5" s="873"/>
      <c r="HJ5" s="873"/>
      <c r="HK5" s="873"/>
      <c r="HL5" s="873"/>
      <c r="HM5" s="873"/>
      <c r="HN5" s="873"/>
      <c r="HO5" s="873"/>
      <c r="HP5" s="873"/>
      <c r="HQ5" s="873"/>
      <c r="HR5" s="873"/>
      <c r="HS5" s="873"/>
      <c r="HT5" s="873"/>
      <c r="HU5" s="873"/>
      <c r="HV5" s="873"/>
      <c r="HW5" s="873"/>
      <c r="HX5" s="873"/>
      <c r="HY5" s="873"/>
      <c r="HZ5" s="873"/>
      <c r="IA5" s="873"/>
      <c r="IB5" s="873"/>
      <c r="IC5" s="873"/>
      <c r="ID5" s="873"/>
      <c r="IE5" s="873"/>
      <c r="IF5" s="873"/>
      <c r="IG5" s="873"/>
      <c r="IH5" s="873"/>
      <c r="II5" s="873"/>
      <c r="IJ5" s="873"/>
      <c r="IK5" s="873"/>
      <c r="IL5" s="873"/>
      <c r="IM5" s="873"/>
      <c r="IN5" s="873"/>
      <c r="IO5" s="873"/>
      <c r="IP5" s="873"/>
      <c r="IQ5" s="873"/>
      <c r="IR5" s="873"/>
      <c r="IS5" s="873"/>
      <c r="IT5" s="873"/>
      <c r="IU5" s="873"/>
      <c r="IV5" s="873"/>
      <c r="IW5" s="873"/>
      <c r="IX5" s="873"/>
      <c r="IY5" s="873"/>
      <c r="IZ5" s="873"/>
      <c r="JA5" s="873"/>
      <c r="JB5" s="873"/>
      <c r="JC5" s="873"/>
      <c r="JD5" s="873"/>
      <c r="JE5" s="873"/>
      <c r="JF5" s="873"/>
      <c r="JG5" s="873"/>
      <c r="JH5" s="873"/>
      <c r="JI5" s="873"/>
      <c r="JJ5" s="873"/>
      <c r="JK5" s="873"/>
      <c r="JL5" s="873"/>
      <c r="JM5" s="873"/>
      <c r="JN5" s="873"/>
      <c r="JO5" s="873"/>
      <c r="JP5" s="873"/>
      <c r="JQ5" s="873"/>
      <c r="JR5" s="873"/>
      <c r="JS5" s="873"/>
      <c r="JT5" s="873"/>
      <c r="JU5" s="873"/>
      <c r="JV5" s="402"/>
    </row>
    <row r="6" spans="1:282">
      <c r="A6" s="672"/>
      <c r="B6" s="408"/>
      <c r="C6" s="873"/>
      <c r="D6" s="888"/>
      <c r="E6" s="671"/>
      <c r="F6" s="873"/>
      <c r="G6" s="873"/>
      <c r="H6" s="873"/>
      <c r="I6" s="873"/>
      <c r="J6" s="873"/>
      <c r="K6" s="873"/>
      <c r="L6" s="873"/>
      <c r="M6" s="873"/>
      <c r="N6" s="873"/>
      <c r="O6" s="873"/>
      <c r="P6" s="873"/>
      <c r="Q6" s="873"/>
      <c r="R6" s="873"/>
      <c r="S6" s="873"/>
      <c r="T6" s="873"/>
      <c r="U6" s="873"/>
      <c r="V6" s="873"/>
      <c r="W6" s="873"/>
      <c r="X6" s="873"/>
      <c r="Y6" s="873"/>
      <c r="Z6" s="873"/>
      <c r="AA6" s="394"/>
      <c r="AB6" s="873"/>
      <c r="AC6" s="394"/>
      <c r="AD6" s="873"/>
      <c r="AE6" s="873"/>
      <c r="AF6" s="873"/>
      <c r="AG6" s="873"/>
      <c r="AH6" s="873"/>
      <c r="AI6" s="873"/>
      <c r="AJ6" s="403"/>
      <c r="AK6" s="403"/>
      <c r="AL6" s="873"/>
      <c r="AM6" s="873"/>
      <c r="AN6" s="403"/>
      <c r="AO6" s="403"/>
      <c r="AP6" s="394"/>
      <c r="AQ6" s="394"/>
      <c r="AR6" s="394"/>
      <c r="AS6" s="394"/>
      <c r="AT6" s="394"/>
      <c r="AU6" s="873"/>
      <c r="AV6" s="873"/>
      <c r="AW6" s="873"/>
      <c r="AX6" s="873"/>
      <c r="AY6" s="873"/>
      <c r="AZ6" s="873"/>
      <c r="BA6" s="394"/>
      <c r="BB6" s="873"/>
      <c r="BC6" s="873"/>
      <c r="BD6" s="873"/>
      <c r="BE6" s="873"/>
      <c r="BF6" s="873"/>
      <c r="BG6" s="873"/>
      <c r="BH6" s="873"/>
      <c r="BI6" s="873"/>
      <c r="BJ6" s="873"/>
      <c r="BK6" s="873"/>
      <c r="BL6" s="873"/>
      <c r="BM6" s="873"/>
      <c r="BN6" s="873"/>
      <c r="BO6" s="873"/>
      <c r="BP6" s="873"/>
      <c r="BQ6" s="873"/>
      <c r="BR6" s="873"/>
      <c r="BS6" s="873"/>
      <c r="BT6" s="873"/>
      <c r="BU6" s="873"/>
      <c r="BV6" s="873"/>
      <c r="BW6" s="873"/>
      <c r="BX6" s="873"/>
      <c r="BY6" s="873"/>
      <c r="BZ6" s="873"/>
      <c r="CA6" s="873"/>
      <c r="CB6" s="873"/>
      <c r="CC6" s="873"/>
      <c r="CD6" s="873"/>
      <c r="CE6" s="873"/>
      <c r="CF6" s="873"/>
      <c r="CG6" s="873"/>
      <c r="CH6" s="873"/>
      <c r="CI6" s="873"/>
      <c r="CJ6" s="873"/>
      <c r="CK6" s="873"/>
      <c r="CL6" s="873"/>
      <c r="CM6" s="873"/>
      <c r="CN6" s="873"/>
      <c r="CO6" s="873"/>
      <c r="CP6" s="873"/>
      <c r="CQ6" s="873"/>
      <c r="CR6" s="873"/>
      <c r="CS6" s="873"/>
      <c r="CT6" s="873"/>
      <c r="CU6" s="873"/>
      <c r="CV6" s="873"/>
      <c r="CW6" s="873"/>
      <c r="CX6" s="873"/>
      <c r="CY6" s="873"/>
      <c r="CZ6" s="873"/>
      <c r="DA6" s="873"/>
      <c r="DB6" s="873"/>
      <c r="DC6" s="873"/>
      <c r="DD6" s="873"/>
      <c r="DE6" s="873"/>
      <c r="DF6" s="873"/>
      <c r="DG6" s="873"/>
      <c r="DH6" s="873"/>
      <c r="DI6" s="873"/>
      <c r="DJ6" s="873"/>
      <c r="DK6" s="873"/>
      <c r="DL6" s="873"/>
      <c r="DM6" s="873"/>
      <c r="DN6" s="873"/>
      <c r="DO6" s="873"/>
      <c r="DP6" s="873"/>
      <c r="DQ6" s="873"/>
      <c r="DR6" s="873"/>
      <c r="DS6" s="873"/>
      <c r="DT6" s="873"/>
      <c r="DU6" s="873"/>
      <c r="DV6" s="873"/>
      <c r="DW6" s="873"/>
      <c r="DX6" s="873"/>
      <c r="DY6" s="873"/>
      <c r="DZ6" s="873"/>
      <c r="EA6" s="873"/>
      <c r="EB6" s="873"/>
      <c r="EC6" s="873"/>
      <c r="ED6" s="873"/>
      <c r="EE6" s="873"/>
      <c r="EF6" s="873"/>
      <c r="EG6" s="873"/>
      <c r="EH6" s="873"/>
      <c r="EI6" s="873"/>
      <c r="EJ6" s="873"/>
      <c r="EK6" s="873"/>
      <c r="EL6" s="873"/>
      <c r="EM6" s="873"/>
      <c r="EN6" s="873"/>
      <c r="EO6" s="873"/>
      <c r="EP6" s="873"/>
      <c r="EQ6" s="873"/>
      <c r="ER6" s="873"/>
      <c r="ES6" s="873"/>
      <c r="ET6" s="873"/>
      <c r="EU6" s="873"/>
      <c r="EV6" s="873"/>
      <c r="EW6" s="873"/>
      <c r="EX6" s="873"/>
      <c r="EY6" s="873"/>
      <c r="EZ6" s="873"/>
      <c r="FA6" s="873"/>
      <c r="FB6" s="873"/>
      <c r="FC6" s="873"/>
      <c r="FD6" s="873"/>
      <c r="FE6" s="873"/>
      <c r="FF6" s="873"/>
      <c r="FG6" s="873"/>
      <c r="FH6" s="873"/>
      <c r="FI6" s="873"/>
      <c r="FJ6" s="873"/>
      <c r="FK6" s="873"/>
      <c r="FL6" s="873"/>
      <c r="FM6" s="873"/>
      <c r="FN6" s="873"/>
      <c r="FO6" s="873"/>
      <c r="FP6" s="873"/>
      <c r="FQ6" s="873"/>
      <c r="FR6" s="873"/>
      <c r="FS6" s="873"/>
      <c r="FT6" s="873"/>
      <c r="FU6" s="873"/>
      <c r="FV6" s="873"/>
      <c r="FW6" s="873"/>
      <c r="FX6" s="873"/>
      <c r="FY6" s="873"/>
      <c r="FZ6" s="873"/>
      <c r="GA6" s="873"/>
      <c r="GB6" s="873"/>
      <c r="GC6" s="873"/>
      <c r="GD6" s="873"/>
      <c r="GE6" s="873"/>
      <c r="GF6" s="873"/>
      <c r="GG6" s="873"/>
      <c r="GH6" s="873"/>
      <c r="GI6" s="873"/>
      <c r="GJ6" s="873"/>
      <c r="GK6" s="873"/>
      <c r="GL6" s="873"/>
      <c r="GM6" s="873"/>
      <c r="GN6" s="873"/>
      <c r="GO6" s="873"/>
      <c r="GP6" s="873"/>
      <c r="GQ6" s="873"/>
      <c r="GR6" s="873"/>
      <c r="GS6" s="873"/>
      <c r="GT6" s="873"/>
      <c r="GU6" s="873"/>
      <c r="GV6" s="873"/>
      <c r="GW6" s="873"/>
      <c r="GX6" s="873"/>
      <c r="GY6" s="873"/>
      <c r="GZ6" s="873"/>
      <c r="HA6" s="873"/>
      <c r="HB6" s="873"/>
      <c r="HC6" s="873"/>
      <c r="HD6" s="873"/>
      <c r="HE6" s="873"/>
      <c r="HF6" s="873"/>
      <c r="HG6" s="873"/>
      <c r="HH6" s="873"/>
      <c r="HI6" s="873"/>
      <c r="HJ6" s="873"/>
      <c r="HK6" s="873"/>
      <c r="HL6" s="873"/>
      <c r="HM6" s="873"/>
      <c r="HN6" s="873"/>
      <c r="HO6" s="873"/>
      <c r="HP6" s="873"/>
      <c r="HQ6" s="873"/>
      <c r="HR6" s="873"/>
      <c r="HS6" s="873"/>
      <c r="HT6" s="873"/>
      <c r="HU6" s="873"/>
      <c r="HV6" s="873"/>
      <c r="HW6" s="873"/>
      <c r="HX6" s="873"/>
      <c r="HY6" s="873"/>
      <c r="HZ6" s="873"/>
      <c r="IA6" s="873"/>
      <c r="IB6" s="873"/>
      <c r="IC6" s="873"/>
      <c r="ID6" s="873"/>
      <c r="IE6" s="873"/>
      <c r="IF6" s="873"/>
      <c r="IG6" s="873"/>
      <c r="IH6" s="873"/>
      <c r="II6" s="873"/>
      <c r="IJ6" s="873"/>
      <c r="IK6" s="873"/>
      <c r="IL6" s="873"/>
      <c r="IM6" s="873"/>
      <c r="IN6" s="873"/>
      <c r="IO6" s="873"/>
      <c r="IP6" s="873"/>
      <c r="IQ6" s="873"/>
      <c r="IR6" s="873"/>
      <c r="IS6" s="873"/>
      <c r="IT6" s="873"/>
      <c r="IU6" s="873"/>
      <c r="IV6" s="873"/>
      <c r="IW6" s="873"/>
      <c r="IX6" s="873"/>
      <c r="IY6" s="873"/>
      <c r="IZ6" s="873"/>
      <c r="JA6" s="873"/>
      <c r="JB6" s="873"/>
      <c r="JC6" s="873"/>
      <c r="JD6" s="873"/>
      <c r="JE6" s="873"/>
      <c r="JF6" s="873"/>
      <c r="JG6" s="873"/>
      <c r="JH6" s="873"/>
      <c r="JI6" s="873"/>
      <c r="JJ6" s="873"/>
      <c r="JK6" s="873"/>
      <c r="JL6" s="873"/>
      <c r="JM6" s="873"/>
      <c r="JN6" s="873"/>
      <c r="JO6" s="873"/>
      <c r="JP6" s="873"/>
      <c r="JQ6" s="873"/>
      <c r="JR6" s="873"/>
      <c r="JS6" s="873"/>
      <c r="JT6" s="873"/>
      <c r="JU6" s="873"/>
      <c r="JV6" s="402"/>
    </row>
    <row r="7" spans="1:282">
      <c r="A7" s="672"/>
      <c r="B7" s="408"/>
      <c r="C7" s="873"/>
      <c r="D7" s="888"/>
      <c r="E7" s="671"/>
      <c r="F7" s="873"/>
      <c r="G7" s="873"/>
      <c r="H7" s="873"/>
      <c r="I7" s="873"/>
      <c r="J7" s="873"/>
      <c r="K7" s="873"/>
      <c r="L7" s="873"/>
      <c r="M7" s="873"/>
      <c r="N7" s="873"/>
      <c r="O7" s="873"/>
      <c r="P7" s="873"/>
      <c r="Q7" s="873"/>
      <c r="R7" s="873"/>
      <c r="S7" s="873"/>
      <c r="T7" s="873"/>
      <c r="U7" s="873"/>
      <c r="V7" s="873"/>
      <c r="W7" s="873"/>
      <c r="X7" s="873"/>
      <c r="Y7" s="873"/>
      <c r="Z7" s="873"/>
      <c r="AA7" s="394"/>
      <c r="AB7" s="873"/>
      <c r="AC7" s="394"/>
      <c r="AD7" s="873"/>
      <c r="AE7" s="873"/>
      <c r="AF7" s="873"/>
      <c r="AG7" s="873"/>
      <c r="AH7" s="873"/>
      <c r="AI7" s="873"/>
      <c r="AJ7" s="403"/>
      <c r="AK7" s="403"/>
      <c r="AL7" s="873"/>
      <c r="AM7" s="873"/>
      <c r="AN7" s="403"/>
      <c r="AO7" s="403"/>
      <c r="AP7" s="394"/>
      <c r="AQ7" s="394"/>
      <c r="AR7" s="394"/>
      <c r="AS7" s="394"/>
      <c r="AT7" s="394"/>
      <c r="AU7" s="873"/>
      <c r="AV7" s="873"/>
      <c r="AW7" s="873"/>
      <c r="AX7" s="873"/>
      <c r="AY7" s="873"/>
      <c r="AZ7" s="873"/>
      <c r="BA7" s="394"/>
      <c r="BB7" s="873"/>
      <c r="BC7" s="873"/>
      <c r="BD7" s="873"/>
      <c r="BE7" s="873"/>
      <c r="BF7" s="873"/>
      <c r="BG7" s="873"/>
      <c r="BH7" s="873"/>
      <c r="BI7" s="873"/>
      <c r="BJ7" s="873"/>
      <c r="BK7" s="873"/>
      <c r="BL7" s="873"/>
      <c r="BM7" s="873"/>
      <c r="BN7" s="873"/>
      <c r="BO7" s="873"/>
      <c r="BP7" s="873"/>
      <c r="BQ7" s="873"/>
      <c r="BR7" s="873"/>
      <c r="BS7" s="873"/>
      <c r="BT7" s="873"/>
      <c r="BU7" s="873"/>
      <c r="BV7" s="873"/>
      <c r="BW7" s="873"/>
      <c r="BX7" s="873"/>
      <c r="BY7" s="873"/>
      <c r="BZ7" s="873"/>
      <c r="CA7" s="873"/>
      <c r="CB7" s="873"/>
      <c r="CC7" s="873"/>
      <c r="CD7" s="873"/>
      <c r="CE7" s="873"/>
      <c r="CF7" s="873"/>
      <c r="CG7" s="873"/>
      <c r="CH7" s="873"/>
      <c r="CI7" s="873"/>
      <c r="CJ7" s="873"/>
      <c r="CK7" s="873"/>
      <c r="CL7" s="873"/>
      <c r="CM7" s="873"/>
      <c r="CN7" s="873"/>
      <c r="CO7" s="873"/>
      <c r="CP7" s="873"/>
      <c r="CQ7" s="873"/>
      <c r="CR7" s="873"/>
      <c r="CS7" s="873"/>
      <c r="CT7" s="873"/>
      <c r="CU7" s="873"/>
      <c r="CV7" s="873"/>
      <c r="CW7" s="873"/>
      <c r="CX7" s="873"/>
      <c r="CY7" s="873"/>
      <c r="CZ7" s="873"/>
      <c r="DA7" s="873"/>
      <c r="DB7" s="873"/>
      <c r="DC7" s="873"/>
      <c r="DD7" s="873"/>
      <c r="DE7" s="873"/>
      <c r="DF7" s="873"/>
      <c r="DG7" s="873"/>
      <c r="DH7" s="873"/>
      <c r="DI7" s="873"/>
      <c r="DJ7" s="873"/>
      <c r="DK7" s="873"/>
      <c r="DL7" s="873"/>
      <c r="DM7" s="873"/>
      <c r="DN7" s="873"/>
      <c r="DO7" s="873"/>
      <c r="DP7" s="873"/>
      <c r="DQ7" s="873"/>
      <c r="DR7" s="873"/>
      <c r="DS7" s="873"/>
      <c r="DT7" s="873"/>
      <c r="DU7" s="873"/>
      <c r="DV7" s="873"/>
      <c r="DW7" s="873"/>
      <c r="DX7" s="873"/>
      <c r="DY7" s="873"/>
      <c r="DZ7" s="873"/>
      <c r="EA7" s="873"/>
      <c r="EB7" s="873"/>
      <c r="EC7" s="873"/>
      <c r="ED7" s="873"/>
      <c r="EE7" s="873"/>
      <c r="EF7" s="873"/>
      <c r="EG7" s="873"/>
      <c r="EH7" s="873"/>
      <c r="EI7" s="873"/>
      <c r="EJ7" s="873"/>
      <c r="EK7" s="873"/>
      <c r="EL7" s="873"/>
      <c r="EM7" s="873"/>
      <c r="EN7" s="873"/>
      <c r="EO7" s="873"/>
      <c r="EP7" s="873"/>
      <c r="EQ7" s="873"/>
      <c r="ER7" s="873"/>
      <c r="ES7" s="873"/>
      <c r="ET7" s="873"/>
      <c r="EU7" s="873"/>
      <c r="EV7" s="873"/>
      <c r="EW7" s="873"/>
      <c r="EX7" s="873"/>
      <c r="EY7" s="873"/>
      <c r="EZ7" s="873"/>
      <c r="FA7" s="873"/>
      <c r="FB7" s="873"/>
      <c r="FC7" s="873"/>
      <c r="FD7" s="873"/>
      <c r="FE7" s="873"/>
      <c r="FF7" s="873"/>
      <c r="FG7" s="873"/>
      <c r="FH7" s="873"/>
      <c r="FI7" s="873"/>
      <c r="FJ7" s="873"/>
      <c r="FK7" s="873"/>
      <c r="FL7" s="873"/>
      <c r="FM7" s="873"/>
      <c r="FN7" s="873"/>
      <c r="FO7" s="873"/>
      <c r="FP7" s="873"/>
      <c r="FQ7" s="873"/>
      <c r="FR7" s="873"/>
      <c r="FS7" s="873"/>
      <c r="FT7" s="873"/>
      <c r="FU7" s="873"/>
      <c r="FV7" s="873"/>
      <c r="FW7" s="873"/>
      <c r="FX7" s="873"/>
      <c r="FY7" s="873"/>
      <c r="FZ7" s="873"/>
      <c r="GA7" s="873"/>
      <c r="GB7" s="873"/>
      <c r="GC7" s="873"/>
      <c r="GD7" s="873"/>
      <c r="GE7" s="873"/>
      <c r="GF7" s="873"/>
      <c r="GG7" s="873"/>
      <c r="GH7" s="873"/>
      <c r="GI7" s="873"/>
      <c r="GJ7" s="873"/>
      <c r="GK7" s="873"/>
      <c r="GL7" s="873"/>
      <c r="GM7" s="873"/>
      <c r="GN7" s="873"/>
      <c r="GO7" s="873"/>
      <c r="GP7" s="873"/>
      <c r="GQ7" s="873"/>
      <c r="GR7" s="873"/>
      <c r="GS7" s="873"/>
      <c r="GT7" s="873"/>
      <c r="GU7" s="873"/>
      <c r="GV7" s="873"/>
      <c r="GW7" s="873"/>
      <c r="GX7" s="873"/>
      <c r="GY7" s="873"/>
      <c r="GZ7" s="873"/>
      <c r="HA7" s="873"/>
      <c r="HB7" s="873"/>
      <c r="HC7" s="873"/>
      <c r="HD7" s="873"/>
      <c r="HE7" s="873"/>
      <c r="HF7" s="873"/>
      <c r="HG7" s="873"/>
      <c r="HH7" s="873"/>
      <c r="HI7" s="873"/>
      <c r="HJ7" s="873"/>
      <c r="HK7" s="873"/>
      <c r="HL7" s="873"/>
      <c r="HM7" s="873"/>
      <c r="HN7" s="873"/>
      <c r="HO7" s="873"/>
      <c r="HP7" s="873"/>
      <c r="HQ7" s="873"/>
      <c r="HR7" s="873"/>
      <c r="HS7" s="873"/>
      <c r="HT7" s="873"/>
      <c r="HU7" s="873"/>
      <c r="HV7" s="873"/>
      <c r="HW7" s="873"/>
      <c r="HX7" s="873"/>
      <c r="HY7" s="873"/>
      <c r="HZ7" s="873"/>
      <c r="IA7" s="873"/>
      <c r="IB7" s="873"/>
      <c r="IC7" s="873"/>
      <c r="ID7" s="873"/>
      <c r="IE7" s="873"/>
      <c r="IF7" s="873"/>
      <c r="IG7" s="873"/>
      <c r="IH7" s="873"/>
      <c r="II7" s="873"/>
      <c r="IJ7" s="873"/>
      <c r="IK7" s="873"/>
      <c r="IL7" s="873"/>
      <c r="IM7" s="873"/>
      <c r="IN7" s="873"/>
      <c r="IO7" s="873"/>
      <c r="IP7" s="873"/>
      <c r="IQ7" s="873"/>
      <c r="IR7" s="873"/>
      <c r="IS7" s="873"/>
      <c r="IT7" s="873"/>
      <c r="IU7" s="873"/>
      <c r="IV7" s="873"/>
      <c r="IW7" s="873"/>
      <c r="IX7" s="873"/>
      <c r="IY7" s="873"/>
      <c r="IZ7" s="873"/>
      <c r="JA7" s="873"/>
      <c r="JB7" s="873"/>
      <c r="JC7" s="873"/>
      <c r="JD7" s="873"/>
      <c r="JE7" s="873"/>
      <c r="JF7" s="873"/>
      <c r="JG7" s="873"/>
      <c r="JH7" s="873"/>
      <c r="JI7" s="873"/>
      <c r="JJ7" s="873"/>
      <c r="JK7" s="873"/>
      <c r="JL7" s="873"/>
      <c r="JM7" s="873"/>
      <c r="JN7" s="873"/>
      <c r="JO7" s="873"/>
      <c r="JP7" s="873"/>
      <c r="JQ7" s="873"/>
      <c r="JR7" s="873"/>
      <c r="JS7" s="873"/>
      <c r="JT7" s="873"/>
      <c r="JU7" s="873"/>
      <c r="JV7" s="402"/>
    </row>
    <row r="8" spans="1:282">
      <c r="A8" s="672"/>
      <c r="B8" s="408"/>
      <c r="C8" s="873"/>
      <c r="D8" s="888"/>
      <c r="E8" s="671"/>
      <c r="F8" s="873"/>
      <c r="G8" s="873"/>
      <c r="H8" s="873"/>
      <c r="I8" s="873"/>
      <c r="J8" s="873"/>
      <c r="K8" s="873"/>
      <c r="L8" s="873"/>
      <c r="M8" s="873"/>
      <c r="N8" s="873"/>
      <c r="O8" s="873"/>
      <c r="P8" s="873"/>
      <c r="Q8" s="873"/>
      <c r="R8" s="873"/>
      <c r="S8" s="873"/>
      <c r="T8" s="873"/>
      <c r="U8" s="873"/>
      <c r="V8" s="873"/>
      <c r="W8" s="873"/>
      <c r="X8" s="873"/>
      <c r="Y8" s="873"/>
      <c r="Z8" s="873"/>
      <c r="AA8" s="394"/>
      <c r="AB8" s="873"/>
      <c r="AC8" s="394"/>
      <c r="AD8" s="873"/>
      <c r="AE8" s="873"/>
      <c r="AF8" s="873"/>
      <c r="AG8" s="873"/>
      <c r="AH8" s="873"/>
      <c r="AI8" s="873"/>
      <c r="AJ8" s="403"/>
      <c r="AK8" s="403"/>
      <c r="AL8" s="873"/>
      <c r="AM8" s="873"/>
      <c r="AN8" s="403"/>
      <c r="AO8" s="403"/>
      <c r="AP8" s="394"/>
      <c r="AQ8" s="394"/>
      <c r="AR8" s="394"/>
      <c r="AS8" s="394"/>
      <c r="AT8" s="394"/>
      <c r="AU8" s="873"/>
      <c r="AV8" s="873"/>
      <c r="AW8" s="873"/>
      <c r="AX8" s="873"/>
      <c r="AY8" s="873"/>
      <c r="AZ8" s="873"/>
      <c r="BA8" s="394"/>
      <c r="BB8" s="873"/>
      <c r="BC8" s="873"/>
      <c r="BD8" s="873"/>
      <c r="BE8" s="873"/>
      <c r="BF8" s="873"/>
      <c r="BG8" s="873"/>
      <c r="BH8" s="873"/>
      <c r="BI8" s="873"/>
      <c r="BJ8" s="873"/>
      <c r="BK8" s="873"/>
      <c r="BL8" s="873"/>
      <c r="BM8" s="873"/>
      <c r="BN8" s="873"/>
      <c r="BO8" s="873"/>
      <c r="BP8" s="873"/>
      <c r="BQ8" s="873"/>
      <c r="BR8" s="873"/>
      <c r="BS8" s="873"/>
      <c r="BT8" s="873"/>
      <c r="BU8" s="873"/>
      <c r="BV8" s="873"/>
      <c r="BW8" s="873"/>
      <c r="BX8" s="873"/>
      <c r="BY8" s="873"/>
      <c r="BZ8" s="873"/>
      <c r="CA8" s="873"/>
      <c r="CB8" s="873"/>
      <c r="CC8" s="873"/>
      <c r="CD8" s="873"/>
      <c r="CE8" s="873"/>
      <c r="CF8" s="873"/>
      <c r="CG8" s="873"/>
      <c r="CH8" s="873"/>
      <c r="CI8" s="873"/>
      <c r="CJ8" s="873"/>
      <c r="CK8" s="873"/>
      <c r="CL8" s="873"/>
      <c r="CM8" s="873"/>
      <c r="CN8" s="873"/>
      <c r="CO8" s="873"/>
      <c r="CP8" s="873"/>
      <c r="CQ8" s="873"/>
      <c r="CR8" s="873"/>
      <c r="CS8" s="873"/>
      <c r="CT8" s="873"/>
      <c r="CU8" s="873"/>
      <c r="CV8" s="873"/>
      <c r="CW8" s="873"/>
      <c r="CX8" s="873"/>
      <c r="CY8" s="873"/>
      <c r="CZ8" s="873"/>
      <c r="DA8" s="873"/>
      <c r="DB8" s="873"/>
      <c r="DC8" s="873"/>
      <c r="DD8" s="873"/>
      <c r="DE8" s="873"/>
      <c r="DF8" s="873"/>
      <c r="DG8" s="873"/>
      <c r="DH8" s="873"/>
      <c r="DI8" s="873"/>
      <c r="DJ8" s="873"/>
      <c r="DK8" s="873"/>
      <c r="DL8" s="873"/>
      <c r="DM8" s="873"/>
      <c r="DN8" s="873"/>
      <c r="DO8" s="873"/>
      <c r="DP8" s="873"/>
      <c r="DQ8" s="873"/>
      <c r="DR8" s="873"/>
      <c r="DS8" s="873"/>
      <c r="DT8" s="873"/>
      <c r="DU8" s="873"/>
      <c r="DV8" s="873"/>
      <c r="DW8" s="873"/>
      <c r="DX8" s="873"/>
      <c r="DY8" s="873"/>
      <c r="DZ8" s="873"/>
      <c r="EA8" s="873"/>
      <c r="EB8" s="873"/>
      <c r="EC8" s="873"/>
      <c r="ED8" s="873"/>
      <c r="EE8" s="873"/>
      <c r="EF8" s="873"/>
      <c r="EG8" s="873"/>
      <c r="EH8" s="873"/>
      <c r="EI8" s="873"/>
      <c r="EJ8" s="873"/>
      <c r="EK8" s="873"/>
      <c r="EL8" s="873"/>
      <c r="EM8" s="873"/>
      <c r="EN8" s="873"/>
      <c r="EO8" s="873"/>
      <c r="EP8" s="873"/>
      <c r="EQ8" s="873"/>
      <c r="ER8" s="873"/>
      <c r="ES8" s="873"/>
      <c r="ET8" s="873"/>
      <c r="EU8" s="873"/>
      <c r="EV8" s="873"/>
      <c r="EW8" s="873"/>
      <c r="EX8" s="873"/>
      <c r="EY8" s="873"/>
      <c r="EZ8" s="873"/>
      <c r="FA8" s="873"/>
      <c r="FB8" s="873"/>
      <c r="FC8" s="873"/>
      <c r="FD8" s="873"/>
      <c r="FE8" s="873"/>
      <c r="FF8" s="873"/>
      <c r="FG8" s="873"/>
      <c r="FH8" s="873"/>
      <c r="FI8" s="873"/>
      <c r="FJ8" s="873"/>
      <c r="FK8" s="873"/>
      <c r="FL8" s="873"/>
      <c r="FM8" s="873"/>
      <c r="FN8" s="873"/>
      <c r="FO8" s="873"/>
      <c r="FP8" s="873"/>
      <c r="FQ8" s="873"/>
      <c r="FR8" s="873"/>
      <c r="FS8" s="873"/>
      <c r="FT8" s="873"/>
      <c r="FU8" s="873"/>
      <c r="FV8" s="873"/>
      <c r="FW8" s="873"/>
      <c r="FX8" s="873"/>
      <c r="FY8" s="873"/>
      <c r="FZ8" s="873"/>
      <c r="GA8" s="873"/>
      <c r="GB8" s="873"/>
      <c r="GC8" s="873"/>
      <c r="GD8" s="873"/>
      <c r="GE8" s="873"/>
      <c r="GF8" s="873"/>
      <c r="GG8" s="873"/>
      <c r="GH8" s="873"/>
      <c r="GI8" s="873"/>
      <c r="GJ8" s="873"/>
      <c r="GK8" s="873"/>
      <c r="GL8" s="873"/>
      <c r="GM8" s="873"/>
      <c r="GN8" s="873"/>
      <c r="GO8" s="873"/>
      <c r="GP8" s="873"/>
      <c r="GQ8" s="873"/>
      <c r="GR8" s="873"/>
      <c r="GS8" s="873"/>
      <c r="GT8" s="873"/>
      <c r="GU8" s="873"/>
      <c r="GV8" s="873"/>
      <c r="GW8" s="873"/>
      <c r="GX8" s="873"/>
      <c r="GY8" s="873"/>
      <c r="GZ8" s="873"/>
      <c r="HA8" s="873"/>
      <c r="HB8" s="873"/>
      <c r="HC8" s="873"/>
      <c r="HD8" s="873"/>
      <c r="HE8" s="873"/>
      <c r="HF8" s="873"/>
      <c r="HG8" s="873"/>
      <c r="HH8" s="873"/>
      <c r="HI8" s="873"/>
      <c r="HJ8" s="873"/>
      <c r="HK8" s="873"/>
      <c r="HL8" s="873"/>
      <c r="HM8" s="873"/>
      <c r="HN8" s="873"/>
      <c r="HO8" s="873"/>
      <c r="HP8" s="873"/>
      <c r="HQ8" s="873"/>
      <c r="HR8" s="873"/>
      <c r="HS8" s="873"/>
      <c r="HT8" s="873"/>
      <c r="HU8" s="873"/>
      <c r="HV8" s="873"/>
      <c r="HW8" s="873"/>
      <c r="HX8" s="873"/>
      <c r="HY8" s="873"/>
      <c r="HZ8" s="873"/>
      <c r="IA8" s="873"/>
      <c r="IB8" s="873"/>
      <c r="IC8" s="873"/>
      <c r="ID8" s="873"/>
      <c r="IE8" s="873"/>
      <c r="IF8" s="873"/>
      <c r="IG8" s="873"/>
      <c r="IH8" s="873"/>
      <c r="II8" s="873"/>
      <c r="IJ8" s="873"/>
      <c r="IK8" s="873"/>
      <c r="IL8" s="873"/>
      <c r="IM8" s="873"/>
      <c r="IN8" s="873"/>
      <c r="IO8" s="873"/>
      <c r="IP8" s="873"/>
      <c r="IQ8" s="873"/>
      <c r="IR8" s="873"/>
      <c r="IS8" s="873"/>
      <c r="IT8" s="873"/>
      <c r="IU8" s="873"/>
      <c r="IV8" s="873"/>
      <c r="IW8" s="873"/>
      <c r="IX8" s="873"/>
      <c r="IY8" s="873"/>
      <c r="IZ8" s="873"/>
      <c r="JA8" s="873"/>
      <c r="JB8" s="873"/>
      <c r="JC8" s="873"/>
      <c r="JD8" s="873"/>
      <c r="JE8" s="873"/>
      <c r="JF8" s="873"/>
      <c r="JG8" s="873"/>
      <c r="JH8" s="873"/>
      <c r="JI8" s="873"/>
      <c r="JJ8" s="873"/>
      <c r="JK8" s="873"/>
      <c r="JL8" s="873"/>
      <c r="JM8" s="873"/>
      <c r="JN8" s="873"/>
      <c r="JO8" s="873"/>
      <c r="JP8" s="873"/>
      <c r="JQ8" s="873"/>
      <c r="JR8" s="873"/>
      <c r="JS8" s="873"/>
      <c r="JT8" s="873"/>
      <c r="JU8" s="873"/>
      <c r="JV8" s="402"/>
    </row>
    <row r="9" spans="1:282">
      <c r="A9" s="672"/>
      <c r="B9" s="408"/>
      <c r="C9" s="873"/>
      <c r="D9" s="888"/>
      <c r="E9" s="671"/>
      <c r="F9" s="873"/>
      <c r="G9" s="873"/>
      <c r="H9" s="873"/>
      <c r="I9" s="873"/>
      <c r="J9" s="873"/>
      <c r="K9" s="873"/>
      <c r="L9" s="873"/>
      <c r="M9" s="873"/>
      <c r="N9" s="873"/>
      <c r="O9" s="873"/>
      <c r="P9" s="873"/>
      <c r="Q9" s="873"/>
      <c r="R9" s="873"/>
      <c r="S9" s="873"/>
      <c r="T9" s="873"/>
      <c r="U9" s="873"/>
      <c r="V9" s="873"/>
      <c r="W9" s="873"/>
      <c r="X9" s="873"/>
      <c r="Y9" s="873"/>
      <c r="Z9" s="873"/>
      <c r="AA9" s="394"/>
      <c r="AB9" s="873"/>
      <c r="AC9" s="394"/>
      <c r="AD9" s="873"/>
      <c r="AE9" s="873"/>
      <c r="AF9" s="873"/>
      <c r="AG9" s="873"/>
      <c r="AH9" s="873"/>
      <c r="AI9" s="873"/>
      <c r="AJ9" s="403"/>
      <c r="AK9" s="403"/>
      <c r="AL9" s="873"/>
      <c r="AM9" s="873"/>
      <c r="AN9" s="403"/>
      <c r="AO9" s="403"/>
      <c r="AP9" s="394"/>
      <c r="AQ9" s="394"/>
      <c r="AR9" s="394"/>
      <c r="AS9" s="394"/>
      <c r="AT9" s="394"/>
      <c r="AU9" s="873"/>
      <c r="AV9" s="873"/>
      <c r="AW9" s="873"/>
      <c r="AX9" s="873"/>
      <c r="AY9" s="873"/>
      <c r="AZ9" s="873"/>
      <c r="BA9" s="394"/>
      <c r="BB9" s="873"/>
      <c r="BC9" s="873"/>
      <c r="BD9" s="873"/>
      <c r="BE9" s="873"/>
      <c r="BF9" s="873"/>
      <c r="BG9" s="873"/>
      <c r="BH9" s="873"/>
      <c r="BI9" s="873"/>
      <c r="BJ9" s="873"/>
      <c r="BK9" s="873"/>
      <c r="BL9" s="873"/>
      <c r="BM9" s="873"/>
      <c r="BN9" s="873"/>
      <c r="BO9" s="873"/>
      <c r="BP9" s="873"/>
      <c r="BQ9" s="873"/>
      <c r="BR9" s="873"/>
      <c r="BS9" s="873"/>
      <c r="BT9" s="873"/>
      <c r="BU9" s="873"/>
      <c r="BV9" s="873"/>
      <c r="BW9" s="873"/>
      <c r="BX9" s="873"/>
      <c r="BY9" s="873"/>
      <c r="BZ9" s="873"/>
      <c r="CA9" s="873"/>
      <c r="CB9" s="873"/>
      <c r="CC9" s="873"/>
      <c r="CD9" s="873"/>
      <c r="CE9" s="873"/>
      <c r="CF9" s="873"/>
      <c r="CG9" s="873"/>
      <c r="CH9" s="873"/>
      <c r="CI9" s="873"/>
      <c r="CJ9" s="873"/>
      <c r="CK9" s="873"/>
      <c r="CL9" s="873"/>
      <c r="CM9" s="873"/>
      <c r="CN9" s="873"/>
      <c r="CO9" s="873"/>
      <c r="CP9" s="873"/>
      <c r="CQ9" s="873"/>
      <c r="CR9" s="873"/>
      <c r="CS9" s="873"/>
      <c r="CT9" s="873"/>
      <c r="CU9" s="873"/>
      <c r="CV9" s="873"/>
      <c r="CW9" s="873"/>
      <c r="CX9" s="873"/>
      <c r="CY9" s="873"/>
      <c r="CZ9" s="873"/>
      <c r="DA9" s="873"/>
      <c r="DB9" s="873"/>
      <c r="DC9" s="873"/>
      <c r="DD9" s="873"/>
      <c r="DE9" s="873"/>
      <c r="DF9" s="873"/>
      <c r="DG9" s="873"/>
      <c r="DH9" s="873"/>
      <c r="DI9" s="873"/>
      <c r="DJ9" s="873"/>
      <c r="DK9" s="873"/>
      <c r="DL9" s="873"/>
      <c r="DM9" s="873"/>
      <c r="DN9" s="873"/>
      <c r="DO9" s="873"/>
      <c r="DP9" s="873"/>
      <c r="DQ9" s="873"/>
      <c r="DR9" s="873"/>
      <c r="DS9" s="873"/>
      <c r="DT9" s="873"/>
      <c r="DU9" s="873"/>
      <c r="DV9" s="873"/>
      <c r="DW9" s="873"/>
      <c r="DX9" s="873"/>
      <c r="DY9" s="873"/>
      <c r="DZ9" s="873"/>
      <c r="EA9" s="873"/>
      <c r="EB9" s="873"/>
      <c r="EC9" s="873"/>
      <c r="ED9" s="873"/>
      <c r="EE9" s="873"/>
      <c r="EF9" s="873"/>
      <c r="EG9" s="873"/>
      <c r="EH9" s="873"/>
      <c r="EI9" s="873"/>
      <c r="EJ9" s="873"/>
      <c r="EK9" s="873"/>
      <c r="EL9" s="873"/>
      <c r="EM9" s="873"/>
      <c r="EN9" s="873"/>
      <c r="EO9" s="873"/>
      <c r="EP9" s="873"/>
      <c r="EQ9" s="873"/>
      <c r="ER9" s="873"/>
      <c r="ES9" s="873"/>
      <c r="ET9" s="873"/>
      <c r="EU9" s="873"/>
      <c r="EV9" s="873"/>
      <c r="EW9" s="873"/>
      <c r="EX9" s="873"/>
      <c r="EY9" s="873"/>
      <c r="EZ9" s="873"/>
      <c r="FA9" s="873"/>
      <c r="FB9" s="873"/>
      <c r="FC9" s="873"/>
      <c r="FD9" s="873"/>
      <c r="FE9" s="873"/>
      <c r="FF9" s="873"/>
      <c r="FG9" s="873"/>
      <c r="FH9" s="873"/>
      <c r="FI9" s="873"/>
      <c r="FJ9" s="873"/>
      <c r="FK9" s="873"/>
      <c r="FL9" s="873"/>
      <c r="FM9" s="873"/>
      <c r="FN9" s="873"/>
      <c r="FO9" s="873"/>
      <c r="FP9" s="873"/>
      <c r="FQ9" s="873"/>
      <c r="FR9" s="873"/>
      <c r="FS9" s="873"/>
      <c r="FT9" s="873"/>
      <c r="FU9" s="873"/>
      <c r="FV9" s="873"/>
      <c r="FW9" s="873"/>
      <c r="FX9" s="873"/>
      <c r="FY9" s="873"/>
      <c r="FZ9" s="873"/>
      <c r="GA9" s="873"/>
      <c r="GB9" s="873"/>
      <c r="GC9" s="873"/>
      <c r="GD9" s="873"/>
      <c r="GE9" s="873"/>
      <c r="GF9" s="873"/>
      <c r="GG9" s="873"/>
      <c r="GH9" s="873"/>
      <c r="GI9" s="873"/>
      <c r="GJ9" s="873"/>
      <c r="GK9" s="873"/>
      <c r="GL9" s="873"/>
      <c r="GM9" s="873"/>
      <c r="GN9" s="873"/>
      <c r="GO9" s="873"/>
      <c r="GP9" s="873"/>
      <c r="GQ9" s="873"/>
      <c r="GR9" s="873"/>
      <c r="GS9" s="873"/>
      <c r="GT9" s="873"/>
      <c r="GU9" s="873"/>
      <c r="GV9" s="873"/>
      <c r="GW9" s="873"/>
      <c r="GX9" s="873"/>
      <c r="GY9" s="873"/>
      <c r="GZ9" s="873"/>
      <c r="HA9" s="873"/>
      <c r="HB9" s="873"/>
      <c r="HC9" s="873"/>
      <c r="HD9" s="873"/>
      <c r="HE9" s="873"/>
      <c r="HF9" s="873"/>
      <c r="HG9" s="873"/>
      <c r="HH9" s="873"/>
      <c r="HI9" s="873"/>
      <c r="HJ9" s="873"/>
      <c r="HK9" s="873"/>
      <c r="HL9" s="873"/>
      <c r="HM9" s="873"/>
      <c r="HN9" s="873"/>
      <c r="HO9" s="873"/>
      <c r="HP9" s="873"/>
      <c r="HQ9" s="873"/>
      <c r="HR9" s="873"/>
      <c r="HS9" s="873"/>
      <c r="HT9" s="873"/>
      <c r="HU9" s="873"/>
      <c r="HV9" s="873"/>
      <c r="HW9" s="873"/>
      <c r="HX9" s="873"/>
      <c r="HY9" s="873"/>
      <c r="HZ9" s="873"/>
      <c r="IA9" s="873"/>
      <c r="IB9" s="873"/>
      <c r="IC9" s="873"/>
      <c r="ID9" s="873"/>
      <c r="IE9" s="873"/>
      <c r="IF9" s="873"/>
      <c r="IG9" s="873"/>
      <c r="IH9" s="873"/>
      <c r="II9" s="873"/>
      <c r="IJ9" s="873"/>
      <c r="IK9" s="873"/>
      <c r="IL9" s="873"/>
      <c r="IM9" s="873"/>
      <c r="IN9" s="873"/>
      <c r="IO9" s="873"/>
      <c r="IP9" s="873"/>
      <c r="IQ9" s="873"/>
      <c r="IR9" s="873"/>
      <c r="IS9" s="873"/>
      <c r="IT9" s="873"/>
      <c r="IU9" s="873"/>
      <c r="IV9" s="873"/>
      <c r="IW9" s="873"/>
      <c r="IX9" s="873"/>
      <c r="IY9" s="873"/>
      <c r="IZ9" s="873"/>
      <c r="JA9" s="873"/>
      <c r="JB9" s="873"/>
      <c r="JC9" s="873"/>
      <c r="JD9" s="873"/>
      <c r="JE9" s="873"/>
      <c r="JF9" s="873"/>
      <c r="JG9" s="873"/>
      <c r="JH9" s="873"/>
      <c r="JI9" s="873"/>
      <c r="JJ9" s="873"/>
      <c r="JK9" s="873"/>
      <c r="JL9" s="873"/>
      <c r="JM9" s="873"/>
      <c r="JN9" s="873"/>
      <c r="JO9" s="873"/>
      <c r="JP9" s="873"/>
      <c r="JQ9" s="873"/>
      <c r="JR9" s="873"/>
      <c r="JS9" s="873"/>
      <c r="JT9" s="873"/>
      <c r="JU9" s="873"/>
      <c r="JV9" s="402"/>
    </row>
    <row r="10" spans="1:282">
      <c r="A10" s="672"/>
      <c r="B10" s="408"/>
      <c r="C10" s="873"/>
      <c r="D10" s="888"/>
      <c r="E10" s="671"/>
      <c r="F10" s="873"/>
      <c r="G10" s="873"/>
      <c r="H10" s="873"/>
      <c r="I10" s="873"/>
      <c r="J10" s="873"/>
      <c r="K10" s="873"/>
      <c r="L10" s="873"/>
      <c r="M10" s="873"/>
      <c r="N10" s="873"/>
      <c r="O10" s="873"/>
      <c r="P10" s="873"/>
      <c r="Q10" s="873"/>
      <c r="R10" s="873"/>
      <c r="S10" s="873"/>
      <c r="T10" s="873"/>
      <c r="U10" s="873"/>
      <c r="V10" s="873"/>
      <c r="W10" s="873"/>
      <c r="X10" s="873"/>
      <c r="Y10" s="873"/>
      <c r="Z10" s="873"/>
      <c r="AA10" s="394"/>
      <c r="AB10" s="873"/>
      <c r="AC10" s="394"/>
      <c r="AD10" s="873"/>
      <c r="AE10" s="873"/>
      <c r="AF10" s="873"/>
      <c r="AG10" s="873"/>
      <c r="AH10" s="873"/>
      <c r="AI10" s="873"/>
      <c r="AJ10" s="403"/>
      <c r="AK10" s="403"/>
      <c r="AL10" s="873"/>
      <c r="AM10" s="873"/>
      <c r="AN10" s="403"/>
      <c r="AO10" s="403"/>
      <c r="AP10" s="394"/>
      <c r="AQ10" s="394"/>
      <c r="AR10" s="394"/>
      <c r="AS10" s="394"/>
      <c r="AT10" s="394"/>
      <c r="AU10" s="873"/>
      <c r="AV10" s="873"/>
      <c r="AW10" s="873"/>
      <c r="AX10" s="873"/>
      <c r="AY10" s="873"/>
      <c r="AZ10" s="873"/>
      <c r="BA10" s="394"/>
      <c r="BB10" s="873"/>
      <c r="BC10" s="873"/>
      <c r="BD10" s="873"/>
      <c r="BE10" s="873"/>
      <c r="BF10" s="873"/>
      <c r="BG10" s="873"/>
      <c r="BH10" s="873"/>
      <c r="BI10" s="873"/>
      <c r="BJ10" s="873"/>
      <c r="BK10" s="873"/>
      <c r="BL10" s="873"/>
      <c r="BM10" s="873"/>
      <c r="BN10" s="873"/>
      <c r="BO10" s="873"/>
      <c r="BP10" s="873"/>
      <c r="BQ10" s="873"/>
      <c r="BR10" s="873"/>
      <c r="BS10" s="873"/>
      <c r="BT10" s="873"/>
      <c r="BU10" s="873"/>
      <c r="BV10" s="873"/>
      <c r="BW10" s="873"/>
      <c r="BX10" s="873"/>
      <c r="BY10" s="873"/>
      <c r="BZ10" s="873"/>
      <c r="CA10" s="873"/>
      <c r="CB10" s="873"/>
      <c r="CC10" s="873"/>
      <c r="CD10" s="873"/>
      <c r="CE10" s="873"/>
      <c r="CF10" s="873"/>
      <c r="CG10" s="873"/>
      <c r="CH10" s="873"/>
      <c r="CI10" s="873"/>
      <c r="CJ10" s="873"/>
      <c r="CK10" s="873"/>
      <c r="CL10" s="873"/>
      <c r="CM10" s="873"/>
      <c r="CN10" s="873"/>
      <c r="CO10" s="873"/>
      <c r="CP10" s="873"/>
      <c r="CQ10" s="873"/>
      <c r="CR10" s="873"/>
      <c r="CS10" s="873"/>
      <c r="CT10" s="873"/>
      <c r="CU10" s="873"/>
      <c r="CV10" s="873"/>
      <c r="CW10" s="873"/>
      <c r="CX10" s="873"/>
      <c r="CY10" s="873"/>
      <c r="CZ10" s="873"/>
      <c r="DA10" s="873"/>
      <c r="DB10" s="873"/>
      <c r="DC10" s="873"/>
      <c r="DD10" s="873"/>
      <c r="DE10" s="873"/>
      <c r="DF10" s="873"/>
      <c r="DG10" s="873"/>
      <c r="DH10" s="873"/>
      <c r="DI10" s="873"/>
      <c r="DJ10" s="873"/>
      <c r="DK10" s="873"/>
      <c r="DL10" s="873"/>
      <c r="DM10" s="873"/>
      <c r="DN10" s="873"/>
      <c r="DO10" s="873"/>
      <c r="DP10" s="873"/>
      <c r="DQ10" s="873"/>
      <c r="DR10" s="873"/>
      <c r="DS10" s="873"/>
      <c r="DT10" s="873"/>
      <c r="DU10" s="873"/>
      <c r="DV10" s="873"/>
      <c r="DW10" s="873"/>
      <c r="DX10" s="873"/>
      <c r="DY10" s="873"/>
      <c r="DZ10" s="873"/>
      <c r="EA10" s="873"/>
      <c r="EB10" s="873"/>
      <c r="EC10" s="873"/>
      <c r="ED10" s="873"/>
      <c r="EE10" s="873"/>
      <c r="EF10" s="873"/>
      <c r="EG10" s="873"/>
      <c r="EH10" s="873"/>
      <c r="EI10" s="873"/>
      <c r="EJ10" s="873"/>
      <c r="EK10" s="873"/>
      <c r="EL10" s="873"/>
      <c r="EM10" s="873"/>
      <c r="EN10" s="873"/>
      <c r="EO10" s="873"/>
      <c r="EP10" s="873"/>
      <c r="EQ10" s="873"/>
      <c r="ER10" s="873"/>
      <c r="ES10" s="873"/>
      <c r="ET10" s="873"/>
      <c r="EU10" s="873"/>
      <c r="EV10" s="873"/>
      <c r="EW10" s="873"/>
      <c r="EX10" s="873"/>
      <c r="EY10" s="873"/>
      <c r="EZ10" s="873"/>
      <c r="FA10" s="873"/>
      <c r="FB10" s="873"/>
      <c r="FC10" s="873"/>
      <c r="FD10" s="873"/>
      <c r="FE10" s="873"/>
      <c r="FF10" s="873"/>
      <c r="FG10" s="873"/>
      <c r="FH10" s="873"/>
      <c r="FI10" s="873"/>
      <c r="FJ10" s="873"/>
      <c r="FK10" s="873"/>
      <c r="FL10" s="873"/>
      <c r="FM10" s="873"/>
      <c r="FN10" s="873"/>
      <c r="FO10" s="873"/>
      <c r="FP10" s="873"/>
      <c r="FQ10" s="873"/>
      <c r="FR10" s="873"/>
      <c r="FS10" s="873"/>
      <c r="FT10" s="873"/>
      <c r="FU10" s="873"/>
      <c r="FV10" s="873"/>
      <c r="FW10" s="873"/>
      <c r="FX10" s="873"/>
      <c r="FY10" s="873"/>
      <c r="FZ10" s="873"/>
      <c r="GA10" s="873"/>
      <c r="GB10" s="873"/>
      <c r="GC10" s="873"/>
      <c r="GD10" s="873"/>
      <c r="GE10" s="873"/>
      <c r="GF10" s="873"/>
      <c r="GG10" s="873"/>
      <c r="GH10" s="873"/>
      <c r="GI10" s="873"/>
      <c r="GJ10" s="873"/>
      <c r="GK10" s="873"/>
      <c r="GL10" s="873"/>
      <c r="GM10" s="873"/>
      <c r="GN10" s="873"/>
      <c r="GO10" s="873"/>
      <c r="GP10" s="873"/>
      <c r="GQ10" s="873"/>
      <c r="GR10" s="873"/>
      <c r="GS10" s="873"/>
      <c r="GT10" s="873"/>
      <c r="GU10" s="873"/>
      <c r="GV10" s="873"/>
      <c r="GW10" s="873"/>
      <c r="GX10" s="873"/>
      <c r="GY10" s="873"/>
      <c r="GZ10" s="873"/>
      <c r="HA10" s="873"/>
      <c r="HB10" s="873"/>
      <c r="HC10" s="873"/>
      <c r="HD10" s="873"/>
      <c r="HE10" s="873"/>
      <c r="HF10" s="873"/>
      <c r="HG10" s="873"/>
      <c r="HH10" s="873"/>
      <c r="HI10" s="873"/>
      <c r="HJ10" s="873"/>
      <c r="HK10" s="873"/>
      <c r="HL10" s="873"/>
      <c r="HM10" s="873"/>
      <c r="HN10" s="873"/>
      <c r="HO10" s="873"/>
      <c r="HP10" s="873"/>
      <c r="HQ10" s="873"/>
      <c r="HR10" s="873"/>
      <c r="HS10" s="873"/>
      <c r="HT10" s="873"/>
      <c r="HU10" s="873"/>
      <c r="HV10" s="873"/>
      <c r="HW10" s="873"/>
      <c r="HX10" s="873"/>
      <c r="HY10" s="873"/>
      <c r="HZ10" s="873"/>
      <c r="IA10" s="873"/>
      <c r="IB10" s="873"/>
      <c r="IC10" s="873"/>
      <c r="ID10" s="873"/>
      <c r="IE10" s="873"/>
      <c r="IF10" s="873"/>
      <c r="IG10" s="873"/>
      <c r="IH10" s="873"/>
      <c r="II10" s="873"/>
      <c r="IJ10" s="873"/>
      <c r="IK10" s="873"/>
      <c r="IL10" s="873"/>
      <c r="IM10" s="873"/>
      <c r="IN10" s="873"/>
      <c r="IO10" s="873"/>
      <c r="IP10" s="873"/>
      <c r="IQ10" s="873"/>
      <c r="IR10" s="873"/>
      <c r="IS10" s="873"/>
      <c r="IT10" s="873"/>
      <c r="IU10" s="873"/>
      <c r="IV10" s="873"/>
      <c r="IW10" s="873"/>
      <c r="IX10" s="873"/>
      <c r="IY10" s="873"/>
      <c r="IZ10" s="873"/>
      <c r="JA10" s="873"/>
      <c r="JB10" s="873"/>
      <c r="JC10" s="873"/>
      <c r="JD10" s="873"/>
      <c r="JE10" s="873"/>
      <c r="JF10" s="873"/>
      <c r="JG10" s="873"/>
      <c r="JH10" s="873"/>
      <c r="JI10" s="873"/>
      <c r="JJ10" s="873"/>
      <c r="JK10" s="873"/>
      <c r="JL10" s="873"/>
      <c r="JM10" s="873"/>
      <c r="JN10" s="873"/>
      <c r="JO10" s="873"/>
      <c r="JP10" s="873"/>
      <c r="JQ10" s="873"/>
      <c r="JR10" s="873"/>
      <c r="JS10" s="873"/>
      <c r="JT10" s="873"/>
      <c r="JU10" s="873"/>
      <c r="JV10" s="402"/>
    </row>
    <row r="11" spans="1:282">
      <c r="A11" s="672"/>
      <c r="B11" s="408"/>
      <c r="C11" s="873"/>
      <c r="D11" s="888"/>
      <c r="E11" s="671"/>
      <c r="F11" s="873"/>
      <c r="G11" s="873"/>
      <c r="H11" s="873"/>
      <c r="I11" s="873"/>
      <c r="J11" s="873"/>
      <c r="K11" s="873"/>
      <c r="L11" s="873"/>
      <c r="M11" s="873"/>
      <c r="N11" s="873"/>
      <c r="O11" s="873"/>
      <c r="P11" s="873"/>
      <c r="Q11" s="873"/>
      <c r="R11" s="873"/>
      <c r="S11" s="873"/>
      <c r="T11" s="873"/>
      <c r="U11" s="873"/>
      <c r="V11" s="873"/>
      <c r="W11" s="873"/>
      <c r="X11" s="873"/>
      <c r="Y11" s="873"/>
      <c r="Z11" s="873"/>
      <c r="AA11" s="394"/>
      <c r="AB11" s="873"/>
      <c r="AC11" s="394"/>
      <c r="AD11" s="873"/>
      <c r="AE11" s="873"/>
      <c r="AF11" s="873"/>
      <c r="AG11" s="873"/>
      <c r="AH11" s="873"/>
      <c r="AI11" s="873"/>
      <c r="AJ11" s="403"/>
      <c r="AK11" s="403"/>
      <c r="AL11" s="873"/>
      <c r="AM11" s="873"/>
      <c r="AN11" s="403"/>
      <c r="AO11" s="403"/>
      <c r="AP11" s="394"/>
      <c r="AQ11" s="394"/>
      <c r="AR11" s="394"/>
      <c r="AS11" s="394"/>
      <c r="AT11" s="394"/>
      <c r="AU11" s="873"/>
      <c r="AV11" s="873"/>
      <c r="AW11" s="873"/>
      <c r="AX11" s="873"/>
      <c r="AY11" s="873"/>
      <c r="AZ11" s="873"/>
      <c r="BA11" s="394"/>
      <c r="BB11" s="873"/>
      <c r="BC11" s="873"/>
      <c r="BD11" s="873"/>
      <c r="BE11" s="873"/>
      <c r="BF11" s="873"/>
      <c r="BG11" s="873"/>
      <c r="BH11" s="873"/>
      <c r="BI11" s="873"/>
      <c r="BJ11" s="873"/>
      <c r="BK11" s="873"/>
      <c r="BL11" s="873"/>
      <c r="BM11" s="873"/>
      <c r="BN11" s="873"/>
      <c r="BO11" s="873"/>
      <c r="BP11" s="873"/>
      <c r="BQ11" s="873"/>
      <c r="BR11" s="873"/>
      <c r="BS11" s="873"/>
      <c r="BT11" s="873"/>
      <c r="BU11" s="873"/>
      <c r="BV11" s="873"/>
      <c r="BW11" s="873"/>
      <c r="BX11" s="873"/>
      <c r="BY11" s="873"/>
      <c r="BZ11" s="873"/>
      <c r="CA11" s="873"/>
      <c r="CB11" s="873"/>
      <c r="CC11" s="873"/>
      <c r="CD11" s="873"/>
      <c r="CE11" s="873"/>
      <c r="CF11" s="873"/>
      <c r="CG11" s="873"/>
      <c r="CH11" s="873"/>
      <c r="CI11" s="873"/>
      <c r="CJ11" s="873"/>
      <c r="CK11" s="873"/>
      <c r="CL11" s="873"/>
      <c r="CM11" s="873"/>
      <c r="CN11" s="873"/>
      <c r="CO11" s="873"/>
      <c r="CP11" s="873"/>
      <c r="CQ11" s="873"/>
      <c r="CR11" s="873"/>
      <c r="CS11" s="873"/>
      <c r="CT11" s="873"/>
      <c r="CU11" s="873"/>
      <c r="CV11" s="873"/>
      <c r="CW11" s="873"/>
      <c r="CX11" s="873"/>
      <c r="CY11" s="873"/>
      <c r="CZ11" s="873"/>
      <c r="DA11" s="873"/>
      <c r="DB11" s="873"/>
      <c r="DC11" s="873"/>
      <c r="DD11" s="873"/>
      <c r="DE11" s="873"/>
      <c r="DF11" s="873"/>
      <c r="DG11" s="873"/>
      <c r="DH11" s="873"/>
      <c r="DI11" s="873"/>
      <c r="DJ11" s="873"/>
      <c r="DK11" s="873"/>
      <c r="DL11" s="873"/>
      <c r="DM11" s="873"/>
      <c r="DN11" s="873"/>
      <c r="DO11" s="873"/>
      <c r="DP11" s="873"/>
      <c r="DQ11" s="873"/>
      <c r="DR11" s="873"/>
      <c r="DS11" s="873"/>
      <c r="DT11" s="873"/>
      <c r="DU11" s="873"/>
      <c r="DV11" s="873"/>
      <c r="DW11" s="873"/>
      <c r="DX11" s="873"/>
      <c r="DY11" s="873"/>
      <c r="DZ11" s="873"/>
      <c r="EA11" s="873"/>
      <c r="EB11" s="873"/>
      <c r="EC11" s="873"/>
      <c r="ED11" s="873"/>
      <c r="EE11" s="873"/>
      <c r="EF11" s="873"/>
      <c r="EG11" s="873"/>
      <c r="EH11" s="873"/>
      <c r="EI11" s="873"/>
      <c r="EJ11" s="873"/>
      <c r="EK11" s="873"/>
      <c r="EL11" s="873"/>
      <c r="EM11" s="873"/>
      <c r="EN11" s="873"/>
      <c r="EO11" s="873"/>
      <c r="EP11" s="873"/>
      <c r="EQ11" s="873"/>
      <c r="ER11" s="873"/>
      <c r="ES11" s="873"/>
      <c r="ET11" s="873"/>
      <c r="EU11" s="873"/>
      <c r="EV11" s="873"/>
      <c r="EW11" s="873"/>
      <c r="EX11" s="873"/>
      <c r="EY11" s="873"/>
      <c r="EZ11" s="873"/>
      <c r="FA11" s="873"/>
      <c r="FB11" s="873"/>
      <c r="FC11" s="873"/>
      <c r="FD11" s="873"/>
      <c r="FE11" s="873"/>
      <c r="FF11" s="873"/>
      <c r="FG11" s="873"/>
      <c r="FH11" s="873"/>
      <c r="FI11" s="873"/>
      <c r="FJ11" s="873"/>
      <c r="FK11" s="873"/>
      <c r="FL11" s="873"/>
      <c r="FM11" s="873"/>
      <c r="FN11" s="873"/>
      <c r="FO11" s="873"/>
      <c r="FP11" s="873"/>
      <c r="FQ11" s="873"/>
      <c r="FR11" s="873"/>
      <c r="FS11" s="873"/>
      <c r="FT11" s="873"/>
      <c r="FU11" s="873"/>
      <c r="FV11" s="873"/>
      <c r="FW11" s="873"/>
      <c r="FX11" s="873"/>
      <c r="FY11" s="873"/>
      <c r="FZ11" s="873"/>
      <c r="GA11" s="873"/>
      <c r="GB11" s="873"/>
      <c r="GC11" s="873"/>
      <c r="GD11" s="873"/>
      <c r="GE11" s="873"/>
      <c r="GF11" s="873"/>
      <c r="GG11" s="873"/>
      <c r="GH11" s="873"/>
      <c r="GI11" s="873"/>
      <c r="GJ11" s="873"/>
      <c r="GK11" s="873"/>
      <c r="GL11" s="873"/>
      <c r="GM11" s="873"/>
      <c r="GN11" s="873"/>
      <c r="GO11" s="873"/>
      <c r="GP11" s="873"/>
      <c r="GQ11" s="873"/>
      <c r="GR11" s="873"/>
      <c r="GS11" s="873"/>
      <c r="GT11" s="873"/>
      <c r="GU11" s="873"/>
      <c r="GV11" s="873"/>
      <c r="GW11" s="873"/>
      <c r="GX11" s="873"/>
      <c r="GY11" s="873"/>
      <c r="GZ11" s="873"/>
      <c r="HA11" s="873"/>
      <c r="HB11" s="873"/>
      <c r="HC11" s="873"/>
      <c r="HD11" s="873"/>
      <c r="HE11" s="873"/>
      <c r="HF11" s="873"/>
      <c r="HG11" s="873"/>
      <c r="HH11" s="873"/>
      <c r="HI11" s="873"/>
      <c r="HJ11" s="873"/>
      <c r="HK11" s="873"/>
      <c r="HL11" s="873"/>
      <c r="HM11" s="873"/>
      <c r="HN11" s="873"/>
      <c r="HO11" s="873"/>
      <c r="HP11" s="873"/>
      <c r="HQ11" s="873"/>
      <c r="HR11" s="873"/>
      <c r="HS11" s="873"/>
      <c r="HT11" s="873"/>
      <c r="HU11" s="873"/>
      <c r="HV11" s="873"/>
      <c r="HW11" s="873"/>
      <c r="HX11" s="873"/>
      <c r="HY11" s="873"/>
      <c r="HZ11" s="873"/>
      <c r="IA11" s="873"/>
      <c r="IB11" s="873"/>
      <c r="IC11" s="873"/>
      <c r="ID11" s="873"/>
      <c r="IE11" s="873"/>
      <c r="IF11" s="873"/>
      <c r="IG11" s="873"/>
      <c r="IH11" s="873"/>
      <c r="II11" s="873"/>
      <c r="IJ11" s="873"/>
      <c r="IK11" s="873"/>
      <c r="IL11" s="873"/>
      <c r="IM11" s="873"/>
      <c r="IN11" s="873"/>
      <c r="IO11" s="873"/>
      <c r="IP11" s="873"/>
      <c r="IQ11" s="873"/>
      <c r="IR11" s="873"/>
      <c r="IS11" s="873"/>
      <c r="IT11" s="873"/>
      <c r="IU11" s="873"/>
      <c r="IV11" s="873"/>
      <c r="IW11" s="873"/>
      <c r="IX11" s="873"/>
      <c r="IY11" s="873"/>
      <c r="IZ11" s="873"/>
      <c r="JA11" s="873"/>
      <c r="JB11" s="873"/>
      <c r="JC11" s="873"/>
      <c r="JD11" s="873"/>
      <c r="JE11" s="873"/>
      <c r="JF11" s="873"/>
      <c r="JG11" s="873"/>
      <c r="JH11" s="873"/>
      <c r="JI11" s="873"/>
      <c r="JJ11" s="873"/>
      <c r="JK11" s="873"/>
      <c r="JL11" s="873"/>
      <c r="JM11" s="873"/>
      <c r="JN11" s="873"/>
      <c r="JO11" s="873"/>
      <c r="JP11" s="873"/>
      <c r="JQ11" s="873"/>
      <c r="JR11" s="873"/>
      <c r="JS11" s="873"/>
      <c r="JT11" s="873"/>
      <c r="JU11" s="873"/>
      <c r="JV11" s="402"/>
    </row>
    <row r="12" spans="1:282">
      <c r="A12" s="672"/>
      <c r="B12" s="408"/>
      <c r="C12" s="873"/>
      <c r="D12" s="888"/>
      <c r="E12" s="671"/>
      <c r="F12" s="873"/>
      <c r="G12" s="873"/>
      <c r="H12" s="873"/>
      <c r="I12" s="873"/>
      <c r="J12" s="873"/>
      <c r="K12" s="873"/>
      <c r="L12" s="873"/>
      <c r="M12" s="873"/>
      <c r="N12" s="873"/>
      <c r="O12" s="873"/>
      <c r="P12" s="873"/>
      <c r="Q12" s="873"/>
      <c r="R12" s="873"/>
      <c r="S12" s="873"/>
      <c r="T12" s="873"/>
      <c r="U12" s="873"/>
      <c r="V12" s="873"/>
      <c r="W12" s="873"/>
      <c r="X12" s="873"/>
      <c r="Y12" s="873"/>
      <c r="Z12" s="873"/>
      <c r="AA12" s="394"/>
      <c r="AB12" s="873"/>
      <c r="AC12" s="394"/>
      <c r="AD12" s="873"/>
      <c r="AE12" s="873"/>
      <c r="AF12" s="873"/>
      <c r="AG12" s="873"/>
      <c r="AH12" s="873"/>
      <c r="AI12" s="873"/>
      <c r="AJ12" s="403"/>
      <c r="AK12" s="403"/>
      <c r="AL12" s="873"/>
      <c r="AM12" s="873"/>
      <c r="AN12" s="403"/>
      <c r="AO12" s="403"/>
      <c r="AP12" s="394"/>
      <c r="AQ12" s="394"/>
      <c r="AR12" s="394"/>
      <c r="AS12" s="394"/>
      <c r="AT12" s="394"/>
      <c r="AU12" s="873"/>
      <c r="AV12" s="873"/>
      <c r="AW12" s="873"/>
      <c r="AX12" s="873"/>
      <c r="AY12" s="873"/>
      <c r="AZ12" s="873"/>
      <c r="BA12" s="394"/>
      <c r="BB12" s="873"/>
      <c r="BC12" s="873"/>
      <c r="BD12" s="873"/>
      <c r="BE12" s="873"/>
      <c r="BF12" s="873"/>
      <c r="BG12" s="873"/>
      <c r="BH12" s="873"/>
      <c r="BI12" s="873"/>
      <c r="BJ12" s="873"/>
      <c r="BK12" s="873"/>
      <c r="BL12" s="873"/>
      <c r="BM12" s="873"/>
      <c r="BN12" s="873"/>
      <c r="BO12" s="873"/>
      <c r="BP12" s="873"/>
      <c r="BQ12" s="873"/>
      <c r="BR12" s="873"/>
      <c r="BS12" s="873"/>
      <c r="BT12" s="873"/>
      <c r="BU12" s="873"/>
      <c r="BV12" s="873"/>
      <c r="BW12" s="873"/>
      <c r="BX12" s="873"/>
      <c r="BY12" s="873"/>
      <c r="BZ12" s="873"/>
      <c r="CA12" s="873"/>
      <c r="CB12" s="873"/>
      <c r="CC12" s="873"/>
      <c r="CD12" s="873"/>
      <c r="CE12" s="873"/>
      <c r="CF12" s="873"/>
      <c r="CG12" s="873"/>
      <c r="CH12" s="873"/>
      <c r="CI12" s="873"/>
      <c r="CJ12" s="873"/>
      <c r="CK12" s="873"/>
      <c r="CL12" s="873"/>
      <c r="CM12" s="873"/>
      <c r="CN12" s="873"/>
      <c r="CO12" s="873"/>
      <c r="CP12" s="873"/>
      <c r="CQ12" s="873"/>
      <c r="CR12" s="873"/>
      <c r="CS12" s="873"/>
      <c r="CT12" s="873"/>
      <c r="CU12" s="873"/>
      <c r="CV12" s="873"/>
      <c r="CW12" s="873"/>
      <c r="CX12" s="873"/>
      <c r="CY12" s="873"/>
      <c r="CZ12" s="873"/>
      <c r="DA12" s="873"/>
      <c r="DB12" s="873"/>
      <c r="DC12" s="873"/>
      <c r="DD12" s="873"/>
      <c r="DE12" s="873"/>
      <c r="DF12" s="873"/>
      <c r="DG12" s="873"/>
      <c r="DH12" s="873"/>
      <c r="DI12" s="873"/>
      <c r="DJ12" s="873"/>
      <c r="DK12" s="873"/>
      <c r="DL12" s="873"/>
      <c r="DM12" s="873"/>
      <c r="DN12" s="873"/>
      <c r="DO12" s="873"/>
      <c r="DP12" s="873"/>
      <c r="DQ12" s="873"/>
      <c r="DR12" s="873"/>
      <c r="DS12" s="873"/>
      <c r="DT12" s="873"/>
      <c r="DU12" s="873"/>
      <c r="DV12" s="873"/>
      <c r="DW12" s="873"/>
      <c r="DX12" s="873"/>
      <c r="DY12" s="873"/>
      <c r="DZ12" s="873"/>
      <c r="EA12" s="873"/>
      <c r="EB12" s="873"/>
      <c r="EC12" s="873"/>
      <c r="ED12" s="873"/>
      <c r="EE12" s="873"/>
      <c r="EF12" s="873"/>
      <c r="EG12" s="873"/>
      <c r="EH12" s="873"/>
      <c r="EI12" s="873"/>
      <c r="EJ12" s="873"/>
      <c r="EK12" s="873"/>
      <c r="EL12" s="873"/>
      <c r="EM12" s="873"/>
      <c r="EN12" s="873"/>
      <c r="EO12" s="873"/>
      <c r="EP12" s="873"/>
      <c r="EQ12" s="873"/>
      <c r="ER12" s="873"/>
      <c r="ES12" s="873"/>
      <c r="ET12" s="873"/>
      <c r="EU12" s="873"/>
      <c r="EV12" s="873"/>
      <c r="EW12" s="873"/>
      <c r="EX12" s="873"/>
      <c r="EY12" s="873"/>
      <c r="EZ12" s="873"/>
      <c r="FA12" s="873"/>
      <c r="FB12" s="873"/>
      <c r="FC12" s="873"/>
      <c r="FD12" s="873"/>
      <c r="FE12" s="873"/>
      <c r="FF12" s="873"/>
      <c r="FG12" s="873"/>
      <c r="FH12" s="873"/>
      <c r="FI12" s="873"/>
      <c r="FJ12" s="873"/>
      <c r="FK12" s="873"/>
      <c r="FL12" s="873"/>
      <c r="FM12" s="873"/>
      <c r="FN12" s="873"/>
      <c r="FO12" s="873"/>
      <c r="FP12" s="873"/>
      <c r="FQ12" s="873"/>
      <c r="FR12" s="873"/>
      <c r="FS12" s="873"/>
      <c r="FT12" s="873"/>
      <c r="FU12" s="873"/>
      <c r="FV12" s="873"/>
      <c r="FW12" s="873"/>
      <c r="FX12" s="873"/>
      <c r="FY12" s="873"/>
      <c r="FZ12" s="873"/>
      <c r="GA12" s="873"/>
      <c r="GB12" s="873"/>
      <c r="GC12" s="873"/>
      <c r="GD12" s="873"/>
      <c r="GE12" s="873"/>
      <c r="GF12" s="873"/>
      <c r="GG12" s="873"/>
      <c r="GH12" s="873"/>
      <c r="GI12" s="873"/>
      <c r="GJ12" s="873"/>
      <c r="GK12" s="873"/>
      <c r="GL12" s="873"/>
      <c r="GM12" s="873"/>
      <c r="GN12" s="873"/>
      <c r="GO12" s="873"/>
      <c r="GP12" s="873"/>
      <c r="GQ12" s="873"/>
      <c r="GR12" s="873"/>
      <c r="GS12" s="873"/>
      <c r="GT12" s="873"/>
      <c r="GU12" s="873"/>
      <c r="GV12" s="873"/>
      <c r="GW12" s="873"/>
      <c r="GX12" s="873"/>
      <c r="GY12" s="873"/>
      <c r="GZ12" s="873"/>
      <c r="HA12" s="873"/>
      <c r="HB12" s="873"/>
      <c r="HC12" s="873"/>
      <c r="HD12" s="873"/>
      <c r="HE12" s="873"/>
      <c r="HF12" s="873"/>
      <c r="HG12" s="873"/>
      <c r="HH12" s="873"/>
      <c r="HI12" s="873"/>
      <c r="HJ12" s="873"/>
      <c r="HK12" s="873"/>
      <c r="HL12" s="873"/>
      <c r="HM12" s="873"/>
      <c r="HN12" s="873"/>
      <c r="HO12" s="873"/>
      <c r="HP12" s="873"/>
      <c r="HQ12" s="873"/>
      <c r="HR12" s="873"/>
      <c r="HS12" s="873"/>
      <c r="HT12" s="873"/>
      <c r="HU12" s="873"/>
      <c r="HV12" s="873"/>
      <c r="HW12" s="873"/>
      <c r="HX12" s="873"/>
      <c r="HY12" s="873"/>
      <c r="HZ12" s="873"/>
      <c r="IA12" s="873"/>
      <c r="IB12" s="873"/>
      <c r="IC12" s="873"/>
      <c r="ID12" s="873"/>
      <c r="IE12" s="873"/>
      <c r="IF12" s="873"/>
      <c r="IG12" s="873"/>
      <c r="IH12" s="873"/>
      <c r="II12" s="873"/>
      <c r="IJ12" s="873"/>
      <c r="IK12" s="873"/>
      <c r="IL12" s="873"/>
      <c r="IM12" s="873"/>
      <c r="IN12" s="873"/>
      <c r="IO12" s="873"/>
      <c r="IP12" s="873"/>
      <c r="IQ12" s="873"/>
      <c r="IR12" s="873"/>
      <c r="IS12" s="873"/>
      <c r="IT12" s="873"/>
      <c r="IU12" s="873"/>
      <c r="IV12" s="873"/>
      <c r="IW12" s="873"/>
      <c r="IX12" s="873"/>
      <c r="IY12" s="873"/>
      <c r="IZ12" s="873"/>
      <c r="JA12" s="873"/>
      <c r="JB12" s="873"/>
      <c r="JC12" s="873"/>
      <c r="JD12" s="873"/>
      <c r="JE12" s="873"/>
      <c r="JF12" s="873"/>
      <c r="JG12" s="873"/>
      <c r="JH12" s="873"/>
      <c r="JI12" s="873"/>
      <c r="JJ12" s="873"/>
      <c r="JK12" s="873"/>
      <c r="JL12" s="873"/>
      <c r="JM12" s="873"/>
      <c r="JN12" s="873"/>
      <c r="JO12" s="873"/>
      <c r="JP12" s="873"/>
      <c r="JQ12" s="873"/>
      <c r="JR12" s="873"/>
      <c r="JS12" s="873"/>
      <c r="JT12" s="873"/>
      <c r="JU12" s="873"/>
      <c r="JV12" s="402"/>
    </row>
    <row r="13" spans="1:282">
      <c r="A13" s="672"/>
      <c r="B13" s="408"/>
      <c r="C13" s="873"/>
      <c r="D13" s="888"/>
      <c r="E13" s="671"/>
      <c r="F13" s="873"/>
      <c r="G13" s="873"/>
      <c r="H13" s="873"/>
      <c r="I13" s="873"/>
      <c r="J13" s="873"/>
      <c r="K13" s="873"/>
      <c r="L13" s="873"/>
      <c r="M13" s="873"/>
      <c r="N13" s="873"/>
      <c r="O13" s="873"/>
      <c r="P13" s="873"/>
      <c r="Q13" s="873"/>
      <c r="R13" s="873"/>
      <c r="S13" s="873"/>
      <c r="T13" s="873"/>
      <c r="U13" s="873"/>
      <c r="V13" s="873"/>
      <c r="W13" s="873"/>
      <c r="X13" s="873"/>
      <c r="Y13" s="873"/>
      <c r="Z13" s="873"/>
      <c r="AA13" s="394"/>
      <c r="AB13" s="873"/>
      <c r="AC13" s="394"/>
      <c r="AD13" s="873"/>
      <c r="AE13" s="873"/>
      <c r="AF13" s="873"/>
      <c r="AG13" s="873"/>
      <c r="AH13" s="873"/>
      <c r="AI13" s="873"/>
      <c r="AJ13" s="403"/>
      <c r="AK13" s="403"/>
      <c r="AL13" s="873"/>
      <c r="AM13" s="873"/>
      <c r="AN13" s="403"/>
      <c r="AO13" s="403"/>
      <c r="AP13" s="394"/>
      <c r="AQ13" s="394"/>
      <c r="AR13" s="394"/>
      <c r="AS13" s="394"/>
      <c r="AT13" s="394"/>
      <c r="AU13" s="873"/>
      <c r="AV13" s="873"/>
      <c r="AW13" s="873"/>
      <c r="AX13" s="873"/>
      <c r="AY13" s="873"/>
      <c r="AZ13" s="873"/>
      <c r="BA13" s="394"/>
      <c r="BB13" s="873"/>
      <c r="BC13" s="873"/>
      <c r="BD13" s="873"/>
      <c r="BE13" s="873"/>
      <c r="BF13" s="873"/>
      <c r="BG13" s="873"/>
      <c r="BH13" s="873"/>
      <c r="BI13" s="873"/>
      <c r="BJ13" s="873"/>
      <c r="BK13" s="873"/>
      <c r="BL13" s="873"/>
      <c r="BM13" s="873"/>
      <c r="BN13" s="873"/>
      <c r="BO13" s="873"/>
      <c r="BP13" s="873"/>
      <c r="BQ13" s="873"/>
      <c r="BR13" s="873"/>
      <c r="BS13" s="873"/>
      <c r="BT13" s="873"/>
      <c r="BU13" s="873"/>
      <c r="BV13" s="873"/>
      <c r="BW13" s="873"/>
      <c r="BX13" s="873"/>
      <c r="BY13" s="873"/>
      <c r="BZ13" s="873"/>
      <c r="CA13" s="873"/>
      <c r="CB13" s="873"/>
      <c r="CC13" s="873"/>
      <c r="CD13" s="873"/>
      <c r="CE13" s="873"/>
      <c r="CF13" s="873"/>
      <c r="CG13" s="873"/>
      <c r="CH13" s="873"/>
      <c r="CI13" s="873"/>
      <c r="CJ13" s="873"/>
      <c r="CK13" s="873"/>
      <c r="CL13" s="873"/>
      <c r="CM13" s="873"/>
      <c r="CN13" s="873"/>
      <c r="CO13" s="873"/>
      <c r="CP13" s="873"/>
      <c r="CQ13" s="873"/>
      <c r="CR13" s="873"/>
      <c r="CS13" s="873"/>
      <c r="CT13" s="873"/>
      <c r="CU13" s="873"/>
      <c r="CV13" s="873"/>
      <c r="CW13" s="873"/>
      <c r="CX13" s="873"/>
      <c r="CY13" s="873"/>
      <c r="CZ13" s="873"/>
      <c r="DA13" s="873"/>
      <c r="DB13" s="873"/>
      <c r="DC13" s="873"/>
      <c r="DD13" s="873"/>
      <c r="DE13" s="873"/>
      <c r="DF13" s="873"/>
      <c r="DG13" s="873"/>
      <c r="DH13" s="873"/>
      <c r="DI13" s="873"/>
      <c r="DJ13" s="873"/>
      <c r="DK13" s="873"/>
      <c r="DL13" s="873"/>
      <c r="DM13" s="873"/>
      <c r="DN13" s="873"/>
      <c r="DO13" s="873"/>
      <c r="DP13" s="873"/>
      <c r="DQ13" s="873"/>
      <c r="DR13" s="873"/>
      <c r="DS13" s="873"/>
      <c r="DT13" s="873"/>
      <c r="DU13" s="873"/>
      <c r="DV13" s="873"/>
      <c r="DW13" s="873"/>
      <c r="DX13" s="873"/>
      <c r="DY13" s="873"/>
      <c r="DZ13" s="873"/>
      <c r="EA13" s="873"/>
      <c r="EB13" s="873"/>
      <c r="EC13" s="873"/>
      <c r="ED13" s="873"/>
      <c r="EE13" s="873"/>
      <c r="EF13" s="873"/>
      <c r="EG13" s="873"/>
      <c r="EH13" s="873"/>
      <c r="EI13" s="873"/>
      <c r="EJ13" s="873"/>
      <c r="EK13" s="873"/>
      <c r="EL13" s="873"/>
      <c r="EM13" s="873"/>
      <c r="EN13" s="873"/>
      <c r="EO13" s="873"/>
      <c r="EP13" s="873"/>
      <c r="EQ13" s="873"/>
      <c r="ER13" s="873"/>
      <c r="ES13" s="873"/>
      <c r="ET13" s="873"/>
      <c r="EU13" s="873"/>
      <c r="EV13" s="873"/>
      <c r="EW13" s="873"/>
      <c r="EX13" s="873"/>
      <c r="EY13" s="873"/>
      <c r="EZ13" s="873"/>
      <c r="FA13" s="873"/>
      <c r="FB13" s="873"/>
      <c r="FC13" s="873"/>
      <c r="FD13" s="873"/>
      <c r="FE13" s="873"/>
      <c r="FF13" s="873"/>
      <c r="FG13" s="873"/>
      <c r="FH13" s="873"/>
      <c r="FI13" s="873"/>
      <c r="FJ13" s="873"/>
      <c r="FK13" s="873"/>
      <c r="FL13" s="873"/>
      <c r="FM13" s="873"/>
      <c r="FN13" s="873"/>
      <c r="FO13" s="873"/>
      <c r="FP13" s="873"/>
      <c r="FQ13" s="873"/>
      <c r="FR13" s="873"/>
      <c r="FS13" s="873"/>
      <c r="FT13" s="873"/>
      <c r="FU13" s="873"/>
      <c r="FV13" s="873"/>
      <c r="FW13" s="873"/>
      <c r="FX13" s="873"/>
      <c r="FY13" s="873"/>
      <c r="FZ13" s="873"/>
      <c r="GA13" s="873"/>
      <c r="GB13" s="873"/>
      <c r="GC13" s="873"/>
      <c r="GD13" s="873"/>
      <c r="GE13" s="873"/>
      <c r="GF13" s="873"/>
      <c r="GG13" s="873"/>
      <c r="GH13" s="873"/>
      <c r="GI13" s="873"/>
      <c r="GJ13" s="873"/>
      <c r="GK13" s="873"/>
      <c r="GL13" s="873"/>
      <c r="GM13" s="873"/>
      <c r="GN13" s="873"/>
      <c r="GO13" s="873"/>
      <c r="GP13" s="873"/>
      <c r="GQ13" s="873"/>
      <c r="GR13" s="873"/>
      <c r="GS13" s="873"/>
      <c r="GT13" s="873"/>
      <c r="GU13" s="873"/>
      <c r="GV13" s="873"/>
      <c r="GW13" s="873"/>
      <c r="GX13" s="873"/>
      <c r="GY13" s="873"/>
      <c r="GZ13" s="873"/>
      <c r="HA13" s="873"/>
      <c r="HB13" s="873"/>
      <c r="HC13" s="873"/>
      <c r="HD13" s="873"/>
      <c r="HE13" s="873"/>
      <c r="HF13" s="873"/>
      <c r="HG13" s="873"/>
      <c r="HH13" s="873"/>
      <c r="HI13" s="873"/>
      <c r="HJ13" s="873"/>
      <c r="HK13" s="873"/>
      <c r="HL13" s="873"/>
      <c r="HM13" s="873"/>
      <c r="HN13" s="873"/>
      <c r="HO13" s="873"/>
      <c r="HP13" s="873"/>
      <c r="HQ13" s="873"/>
      <c r="HR13" s="873"/>
      <c r="HS13" s="873"/>
      <c r="HT13" s="873"/>
      <c r="HU13" s="873"/>
      <c r="HV13" s="873"/>
      <c r="HW13" s="873"/>
      <c r="HX13" s="873"/>
      <c r="HY13" s="873"/>
      <c r="HZ13" s="873"/>
      <c r="IA13" s="873"/>
      <c r="IB13" s="873"/>
      <c r="IC13" s="873"/>
      <c r="ID13" s="873"/>
      <c r="IE13" s="873"/>
      <c r="IF13" s="873"/>
      <c r="IG13" s="873"/>
      <c r="IH13" s="873"/>
      <c r="II13" s="873"/>
      <c r="IJ13" s="873"/>
      <c r="IK13" s="873"/>
      <c r="IL13" s="873"/>
      <c r="IM13" s="873"/>
      <c r="IN13" s="873"/>
      <c r="IO13" s="873"/>
      <c r="IP13" s="873"/>
      <c r="IQ13" s="873"/>
      <c r="IR13" s="873"/>
      <c r="IS13" s="873"/>
      <c r="IT13" s="873"/>
      <c r="IU13" s="873"/>
      <c r="IV13" s="873"/>
      <c r="IW13" s="873"/>
      <c r="IX13" s="873"/>
      <c r="IY13" s="873"/>
      <c r="IZ13" s="873"/>
      <c r="JA13" s="873"/>
      <c r="JB13" s="873"/>
      <c r="JC13" s="873"/>
      <c r="JD13" s="873"/>
      <c r="JE13" s="873"/>
      <c r="JF13" s="873"/>
      <c r="JG13" s="873"/>
      <c r="JH13" s="873"/>
      <c r="JI13" s="873"/>
      <c r="JJ13" s="873"/>
      <c r="JK13" s="873"/>
      <c r="JL13" s="873"/>
      <c r="JM13" s="873"/>
      <c r="JN13" s="873"/>
      <c r="JO13" s="873"/>
      <c r="JP13" s="873"/>
      <c r="JQ13" s="873"/>
      <c r="JR13" s="873"/>
      <c r="JS13" s="873"/>
      <c r="JT13" s="873"/>
      <c r="JU13" s="873"/>
      <c r="JV13" s="402"/>
    </row>
    <row r="14" spans="1:282">
      <c r="A14" s="672"/>
      <c r="B14" s="408"/>
      <c r="C14" s="873"/>
      <c r="D14" s="888"/>
      <c r="E14" s="671"/>
      <c r="F14" s="873"/>
      <c r="G14" s="873"/>
      <c r="H14" s="873"/>
      <c r="I14" s="873"/>
      <c r="J14" s="873"/>
      <c r="K14" s="873"/>
      <c r="L14" s="873"/>
      <c r="M14" s="873"/>
      <c r="N14" s="873"/>
      <c r="O14" s="873"/>
      <c r="P14" s="873"/>
      <c r="Q14" s="873"/>
      <c r="R14" s="873"/>
      <c r="S14" s="873"/>
      <c r="T14" s="873"/>
      <c r="U14" s="873"/>
      <c r="V14" s="873"/>
      <c r="W14" s="873"/>
      <c r="X14" s="873"/>
      <c r="Y14" s="873"/>
      <c r="Z14" s="873"/>
      <c r="AA14" s="394"/>
      <c r="AB14" s="873"/>
      <c r="AC14" s="394"/>
      <c r="AD14" s="873"/>
      <c r="AE14" s="873"/>
      <c r="AF14" s="873"/>
      <c r="AG14" s="873"/>
      <c r="AH14" s="873"/>
      <c r="AI14" s="873"/>
      <c r="AJ14" s="403"/>
      <c r="AK14" s="403"/>
      <c r="AL14" s="873"/>
      <c r="AM14" s="873"/>
      <c r="AN14" s="403"/>
      <c r="AO14" s="403"/>
      <c r="AP14" s="394"/>
      <c r="AQ14" s="394"/>
      <c r="AR14" s="394"/>
      <c r="AS14" s="394"/>
      <c r="AT14" s="394"/>
      <c r="AU14" s="873"/>
      <c r="AV14" s="873"/>
      <c r="AW14" s="873"/>
      <c r="AX14" s="873"/>
      <c r="AY14" s="873"/>
      <c r="AZ14" s="873"/>
      <c r="BA14" s="394"/>
      <c r="BB14" s="873"/>
      <c r="BC14" s="873"/>
      <c r="BD14" s="873"/>
      <c r="BE14" s="873"/>
      <c r="BF14" s="873"/>
      <c r="BG14" s="873"/>
      <c r="BH14" s="873"/>
      <c r="BI14" s="873"/>
      <c r="BJ14" s="873"/>
      <c r="BK14" s="873"/>
      <c r="BL14" s="873"/>
      <c r="BM14" s="873"/>
      <c r="BN14" s="873"/>
      <c r="BO14" s="873"/>
      <c r="BP14" s="873"/>
      <c r="BQ14" s="873"/>
      <c r="BR14" s="873"/>
      <c r="BS14" s="873"/>
      <c r="BT14" s="873"/>
      <c r="BU14" s="873"/>
      <c r="BV14" s="873"/>
      <c r="BW14" s="873"/>
      <c r="BX14" s="873"/>
      <c r="BY14" s="873"/>
      <c r="BZ14" s="873"/>
      <c r="CA14" s="873"/>
      <c r="CB14" s="873"/>
      <c r="CC14" s="873"/>
      <c r="CD14" s="873"/>
      <c r="CE14" s="873"/>
      <c r="CF14" s="873"/>
      <c r="CG14" s="873"/>
      <c r="CH14" s="873"/>
      <c r="CI14" s="873"/>
      <c r="CJ14" s="873"/>
      <c r="CK14" s="873"/>
      <c r="CL14" s="873"/>
      <c r="CM14" s="873"/>
      <c r="CN14" s="873"/>
      <c r="CO14" s="873"/>
      <c r="CP14" s="873"/>
      <c r="CQ14" s="873"/>
      <c r="CR14" s="873"/>
      <c r="CS14" s="873"/>
      <c r="CT14" s="873"/>
      <c r="CU14" s="873"/>
      <c r="CV14" s="873"/>
      <c r="CW14" s="873"/>
      <c r="CX14" s="873"/>
      <c r="CY14" s="873"/>
      <c r="CZ14" s="873"/>
      <c r="DA14" s="873"/>
      <c r="DB14" s="873"/>
      <c r="DC14" s="873"/>
      <c r="DD14" s="873"/>
      <c r="DE14" s="873"/>
      <c r="DF14" s="873"/>
      <c r="DG14" s="873"/>
      <c r="DH14" s="873"/>
      <c r="DI14" s="873"/>
      <c r="DJ14" s="873"/>
      <c r="DK14" s="873"/>
      <c r="DL14" s="873"/>
      <c r="DM14" s="873"/>
      <c r="DN14" s="873"/>
      <c r="DO14" s="873"/>
      <c r="DP14" s="873"/>
      <c r="DQ14" s="873"/>
      <c r="DR14" s="873"/>
      <c r="DS14" s="873"/>
      <c r="DT14" s="873"/>
      <c r="DU14" s="873"/>
      <c r="DV14" s="873"/>
      <c r="DW14" s="873"/>
      <c r="DX14" s="873"/>
      <c r="DY14" s="873"/>
      <c r="DZ14" s="873"/>
      <c r="EA14" s="873"/>
      <c r="EB14" s="873"/>
      <c r="EC14" s="873"/>
      <c r="ED14" s="873"/>
      <c r="EE14" s="873"/>
      <c r="EF14" s="873"/>
      <c r="EG14" s="873"/>
      <c r="EH14" s="873"/>
      <c r="EI14" s="873"/>
      <c r="EJ14" s="873"/>
      <c r="EK14" s="873"/>
      <c r="EL14" s="873"/>
      <c r="EM14" s="873"/>
      <c r="EN14" s="873"/>
      <c r="EO14" s="873"/>
      <c r="EP14" s="873"/>
      <c r="EQ14" s="873"/>
      <c r="ER14" s="873"/>
      <c r="ES14" s="873"/>
      <c r="ET14" s="873"/>
      <c r="EU14" s="873"/>
      <c r="EV14" s="873"/>
      <c r="EW14" s="873"/>
      <c r="EX14" s="873"/>
      <c r="EY14" s="873"/>
      <c r="EZ14" s="873"/>
      <c r="FA14" s="873"/>
      <c r="FB14" s="873"/>
      <c r="FC14" s="873"/>
      <c r="FD14" s="873"/>
      <c r="FE14" s="873"/>
      <c r="FF14" s="873"/>
      <c r="FG14" s="873"/>
      <c r="FH14" s="873"/>
      <c r="FI14" s="873"/>
      <c r="FJ14" s="873"/>
      <c r="FK14" s="873"/>
      <c r="FL14" s="873"/>
      <c r="FM14" s="873"/>
      <c r="FN14" s="873"/>
      <c r="FO14" s="873"/>
      <c r="FP14" s="873"/>
      <c r="FQ14" s="873"/>
      <c r="FR14" s="873"/>
      <c r="FS14" s="873"/>
      <c r="FT14" s="873"/>
      <c r="FU14" s="873"/>
      <c r="FV14" s="873"/>
      <c r="FW14" s="873"/>
      <c r="FX14" s="873"/>
      <c r="FY14" s="873"/>
      <c r="FZ14" s="873"/>
      <c r="GA14" s="873"/>
      <c r="GB14" s="873"/>
      <c r="GC14" s="873"/>
      <c r="GD14" s="873"/>
      <c r="GE14" s="873"/>
      <c r="GF14" s="873"/>
      <c r="GG14" s="873"/>
      <c r="GH14" s="873"/>
      <c r="GI14" s="873"/>
      <c r="GJ14" s="873"/>
      <c r="GK14" s="873"/>
      <c r="GL14" s="873"/>
      <c r="GM14" s="873"/>
      <c r="GN14" s="873"/>
      <c r="GO14" s="873"/>
      <c r="GP14" s="873"/>
      <c r="GQ14" s="873"/>
      <c r="GR14" s="873"/>
      <c r="GS14" s="873"/>
      <c r="GT14" s="873"/>
      <c r="GU14" s="873"/>
      <c r="GV14" s="873"/>
      <c r="GW14" s="873"/>
      <c r="GX14" s="873"/>
      <c r="GY14" s="873"/>
      <c r="GZ14" s="873"/>
      <c r="HA14" s="873"/>
      <c r="HB14" s="873"/>
      <c r="HC14" s="873"/>
      <c r="HD14" s="873"/>
      <c r="HE14" s="873"/>
      <c r="HF14" s="873"/>
      <c r="HG14" s="873"/>
      <c r="HH14" s="873"/>
      <c r="HI14" s="873"/>
      <c r="HJ14" s="873"/>
      <c r="HK14" s="873"/>
      <c r="HL14" s="873"/>
      <c r="HM14" s="873"/>
      <c r="HN14" s="873"/>
      <c r="HO14" s="873"/>
      <c r="HP14" s="873"/>
      <c r="HQ14" s="873"/>
      <c r="HR14" s="873"/>
      <c r="HS14" s="873"/>
      <c r="HT14" s="873"/>
      <c r="HU14" s="873"/>
      <c r="HV14" s="873"/>
      <c r="HW14" s="873"/>
      <c r="HX14" s="873"/>
      <c r="HY14" s="873"/>
      <c r="HZ14" s="873"/>
      <c r="IA14" s="873"/>
      <c r="IB14" s="873"/>
      <c r="IC14" s="873"/>
      <c r="ID14" s="873"/>
      <c r="IE14" s="873"/>
      <c r="IF14" s="873"/>
      <c r="IG14" s="873"/>
      <c r="IH14" s="873"/>
      <c r="II14" s="873"/>
      <c r="IJ14" s="873"/>
      <c r="IK14" s="873"/>
      <c r="IL14" s="873"/>
      <c r="IM14" s="873"/>
      <c r="IN14" s="873"/>
      <c r="IO14" s="873"/>
      <c r="IP14" s="873"/>
      <c r="IQ14" s="873"/>
      <c r="IR14" s="873"/>
      <c r="IS14" s="873"/>
      <c r="IT14" s="873"/>
      <c r="IU14" s="873"/>
      <c r="IV14" s="873"/>
      <c r="IW14" s="873"/>
      <c r="IX14" s="873"/>
      <c r="IY14" s="873"/>
      <c r="IZ14" s="873"/>
      <c r="JA14" s="873"/>
      <c r="JB14" s="873"/>
      <c r="JC14" s="873"/>
      <c r="JD14" s="873"/>
      <c r="JE14" s="873"/>
      <c r="JF14" s="873"/>
      <c r="JG14" s="873"/>
      <c r="JH14" s="873"/>
      <c r="JI14" s="873"/>
      <c r="JJ14" s="873"/>
      <c r="JK14" s="873"/>
      <c r="JL14" s="873"/>
      <c r="JM14" s="873"/>
      <c r="JN14" s="873"/>
      <c r="JO14" s="873"/>
      <c r="JP14" s="873"/>
      <c r="JQ14" s="873"/>
      <c r="JR14" s="873"/>
      <c r="JS14" s="873"/>
      <c r="JT14" s="873"/>
      <c r="JU14" s="873"/>
      <c r="JV14" s="402"/>
    </row>
    <row r="15" spans="1:282">
      <c r="A15" s="672"/>
      <c r="B15" s="408"/>
      <c r="C15" s="873"/>
      <c r="D15" s="888"/>
      <c r="E15" s="671"/>
      <c r="F15" s="873"/>
      <c r="G15" s="873"/>
      <c r="H15" s="873"/>
      <c r="I15" s="873"/>
      <c r="J15" s="873"/>
      <c r="K15" s="873"/>
      <c r="L15" s="873"/>
      <c r="M15" s="873"/>
      <c r="N15" s="873"/>
      <c r="O15" s="873"/>
      <c r="P15" s="873"/>
      <c r="Q15" s="873"/>
      <c r="R15" s="873"/>
      <c r="S15" s="873"/>
      <c r="T15" s="873"/>
      <c r="U15" s="873"/>
      <c r="V15" s="873"/>
      <c r="W15" s="873"/>
      <c r="X15" s="873"/>
      <c r="Y15" s="873"/>
      <c r="Z15" s="873"/>
      <c r="AA15" s="394"/>
      <c r="AB15" s="873"/>
      <c r="AC15" s="394"/>
      <c r="AD15" s="873"/>
      <c r="AE15" s="873"/>
      <c r="AF15" s="873"/>
      <c r="AG15" s="873"/>
      <c r="AH15" s="873"/>
      <c r="AI15" s="873"/>
      <c r="AJ15" s="403"/>
      <c r="AK15" s="403"/>
      <c r="AL15" s="873"/>
      <c r="AM15" s="873"/>
      <c r="AN15" s="403"/>
      <c r="AO15" s="403"/>
      <c r="AP15" s="394"/>
      <c r="AQ15" s="394"/>
      <c r="AR15" s="394"/>
      <c r="AS15" s="394"/>
      <c r="AT15" s="394"/>
      <c r="AU15" s="873"/>
      <c r="AV15" s="873"/>
      <c r="AW15" s="873"/>
      <c r="AX15" s="873"/>
      <c r="AY15" s="873"/>
      <c r="AZ15" s="873"/>
      <c r="BA15" s="394"/>
      <c r="BB15" s="873"/>
      <c r="BC15" s="873"/>
      <c r="BD15" s="873"/>
      <c r="BE15" s="873"/>
      <c r="BF15" s="873"/>
      <c r="BG15" s="873"/>
      <c r="BH15" s="873"/>
      <c r="BI15" s="873"/>
      <c r="BJ15" s="873"/>
      <c r="BK15" s="873"/>
      <c r="BL15" s="873"/>
      <c r="BM15" s="873"/>
      <c r="BN15" s="873"/>
      <c r="BO15" s="873"/>
      <c r="BP15" s="873"/>
      <c r="BQ15" s="873"/>
      <c r="BR15" s="873"/>
      <c r="BS15" s="873"/>
      <c r="BT15" s="873"/>
      <c r="BU15" s="873"/>
      <c r="BV15" s="873"/>
      <c r="BW15" s="873"/>
      <c r="BX15" s="873"/>
      <c r="BY15" s="873"/>
      <c r="BZ15" s="873"/>
      <c r="CA15" s="873"/>
      <c r="CB15" s="873"/>
      <c r="CC15" s="873"/>
      <c r="CD15" s="873"/>
      <c r="CE15" s="873"/>
      <c r="CF15" s="873"/>
      <c r="CG15" s="873"/>
      <c r="CH15" s="873"/>
      <c r="CI15" s="873"/>
      <c r="CJ15" s="873"/>
      <c r="CK15" s="873"/>
      <c r="CL15" s="873"/>
      <c r="CM15" s="873"/>
      <c r="CN15" s="873"/>
      <c r="CO15" s="873"/>
      <c r="CP15" s="873"/>
      <c r="CQ15" s="873"/>
      <c r="CR15" s="873"/>
      <c r="CS15" s="873"/>
      <c r="CT15" s="873"/>
      <c r="CU15" s="873"/>
      <c r="CV15" s="873"/>
      <c r="CW15" s="873"/>
      <c r="CX15" s="873"/>
      <c r="CY15" s="873"/>
      <c r="CZ15" s="873"/>
      <c r="DA15" s="873"/>
      <c r="DB15" s="873"/>
      <c r="DC15" s="873"/>
      <c r="DD15" s="873"/>
      <c r="DE15" s="873"/>
      <c r="DF15" s="873"/>
      <c r="DG15" s="873"/>
      <c r="DH15" s="873"/>
      <c r="DI15" s="873"/>
      <c r="DJ15" s="873"/>
      <c r="DK15" s="873"/>
      <c r="DL15" s="873"/>
      <c r="DM15" s="873"/>
      <c r="DN15" s="873"/>
      <c r="DO15" s="873"/>
      <c r="DP15" s="873"/>
      <c r="DQ15" s="873"/>
      <c r="DR15" s="873"/>
      <c r="DS15" s="873"/>
      <c r="DT15" s="873"/>
      <c r="DU15" s="873"/>
      <c r="DV15" s="873"/>
      <c r="DW15" s="873"/>
      <c r="DX15" s="873"/>
      <c r="DY15" s="873"/>
      <c r="DZ15" s="873"/>
      <c r="EA15" s="873"/>
      <c r="EB15" s="873"/>
      <c r="EC15" s="873"/>
      <c r="ED15" s="873"/>
      <c r="EE15" s="873"/>
      <c r="EF15" s="873"/>
      <c r="EG15" s="873"/>
      <c r="EH15" s="873"/>
      <c r="EI15" s="873"/>
      <c r="EJ15" s="873"/>
      <c r="EK15" s="873"/>
      <c r="EL15" s="873"/>
      <c r="EM15" s="873"/>
      <c r="EN15" s="873"/>
      <c r="EO15" s="873"/>
      <c r="EP15" s="873"/>
      <c r="EQ15" s="873"/>
      <c r="ER15" s="873"/>
      <c r="ES15" s="873"/>
      <c r="ET15" s="873"/>
      <c r="EU15" s="873"/>
      <c r="EV15" s="873"/>
      <c r="EW15" s="873"/>
      <c r="EX15" s="873"/>
      <c r="EY15" s="873"/>
      <c r="EZ15" s="873"/>
      <c r="FA15" s="873"/>
      <c r="FB15" s="873"/>
      <c r="FC15" s="873"/>
      <c r="FD15" s="873"/>
      <c r="FE15" s="873"/>
      <c r="FF15" s="873"/>
      <c r="FG15" s="873"/>
      <c r="FH15" s="873"/>
      <c r="FI15" s="873"/>
      <c r="FJ15" s="873"/>
      <c r="FK15" s="873"/>
      <c r="FL15" s="873"/>
      <c r="FM15" s="873"/>
      <c r="FN15" s="873"/>
      <c r="FO15" s="873"/>
      <c r="FP15" s="873"/>
      <c r="FQ15" s="873"/>
      <c r="FR15" s="873"/>
      <c r="FS15" s="873"/>
      <c r="FT15" s="873"/>
      <c r="FU15" s="873"/>
      <c r="FV15" s="873"/>
      <c r="FW15" s="873"/>
      <c r="FX15" s="873"/>
      <c r="FY15" s="873"/>
      <c r="FZ15" s="873"/>
      <c r="GA15" s="873"/>
      <c r="GB15" s="873"/>
      <c r="GC15" s="873"/>
      <c r="GD15" s="873"/>
      <c r="GE15" s="873"/>
      <c r="GF15" s="873"/>
      <c r="GG15" s="873"/>
      <c r="GH15" s="873"/>
      <c r="GI15" s="873"/>
      <c r="GJ15" s="873"/>
      <c r="GK15" s="873"/>
      <c r="GL15" s="873"/>
      <c r="GM15" s="873"/>
      <c r="GN15" s="873"/>
      <c r="GO15" s="873"/>
      <c r="GP15" s="873"/>
      <c r="GQ15" s="873"/>
      <c r="GR15" s="873"/>
      <c r="GS15" s="873"/>
      <c r="GT15" s="873"/>
      <c r="GU15" s="873"/>
      <c r="GV15" s="873"/>
      <c r="GW15" s="873"/>
      <c r="GX15" s="873"/>
      <c r="GY15" s="873"/>
      <c r="GZ15" s="873"/>
      <c r="HA15" s="873"/>
      <c r="HB15" s="873"/>
      <c r="HC15" s="873"/>
      <c r="HD15" s="873"/>
      <c r="HE15" s="873"/>
      <c r="HF15" s="873"/>
      <c r="HG15" s="873"/>
      <c r="HH15" s="873"/>
      <c r="HI15" s="873"/>
      <c r="HJ15" s="873"/>
      <c r="HK15" s="873"/>
      <c r="HL15" s="873"/>
      <c r="HM15" s="873"/>
      <c r="HN15" s="873"/>
      <c r="HO15" s="873"/>
      <c r="HP15" s="873"/>
      <c r="HQ15" s="873"/>
      <c r="HR15" s="873"/>
      <c r="HS15" s="873"/>
      <c r="HT15" s="873"/>
      <c r="HU15" s="873"/>
      <c r="HV15" s="873"/>
      <c r="HW15" s="873"/>
      <c r="HX15" s="873"/>
      <c r="HY15" s="873"/>
      <c r="HZ15" s="873"/>
      <c r="IA15" s="873"/>
      <c r="IB15" s="873"/>
      <c r="IC15" s="873"/>
      <c r="ID15" s="873"/>
      <c r="IE15" s="873"/>
      <c r="IF15" s="873"/>
      <c r="IG15" s="873"/>
      <c r="IH15" s="873"/>
      <c r="II15" s="873"/>
      <c r="IJ15" s="873"/>
      <c r="IK15" s="873"/>
      <c r="IL15" s="873"/>
      <c r="IM15" s="873"/>
      <c r="IN15" s="873"/>
      <c r="IO15" s="873"/>
      <c r="IP15" s="873"/>
      <c r="IQ15" s="873"/>
      <c r="IR15" s="873"/>
      <c r="IS15" s="873"/>
      <c r="IT15" s="873"/>
      <c r="IU15" s="873"/>
      <c r="IV15" s="873"/>
      <c r="IW15" s="873"/>
      <c r="IX15" s="873"/>
      <c r="IY15" s="873"/>
      <c r="IZ15" s="873"/>
      <c r="JA15" s="873"/>
      <c r="JB15" s="873"/>
      <c r="JC15" s="873"/>
      <c r="JD15" s="873"/>
      <c r="JE15" s="873"/>
      <c r="JF15" s="873"/>
      <c r="JG15" s="873"/>
      <c r="JH15" s="873"/>
      <c r="JI15" s="873"/>
      <c r="JJ15" s="873"/>
      <c r="JK15" s="873"/>
      <c r="JL15" s="873"/>
      <c r="JM15" s="873"/>
      <c r="JN15" s="873"/>
      <c r="JO15" s="873"/>
      <c r="JP15" s="873"/>
      <c r="JQ15" s="873"/>
      <c r="JR15" s="873"/>
      <c r="JS15" s="873"/>
      <c r="JT15" s="873"/>
      <c r="JU15" s="873"/>
      <c r="JV15" s="402"/>
    </row>
    <row r="16" spans="1:282">
      <c r="A16" s="672"/>
      <c r="B16" s="408"/>
      <c r="C16" s="873"/>
      <c r="D16" s="888"/>
      <c r="E16" s="671"/>
      <c r="F16" s="873"/>
      <c r="G16" s="873"/>
      <c r="H16" s="873"/>
      <c r="I16" s="873"/>
      <c r="J16" s="873"/>
      <c r="K16" s="873"/>
      <c r="L16" s="873"/>
      <c r="M16" s="873"/>
      <c r="N16" s="873"/>
      <c r="O16" s="873"/>
      <c r="P16" s="873"/>
      <c r="Q16" s="873"/>
      <c r="R16" s="873"/>
      <c r="S16" s="873"/>
      <c r="T16" s="873"/>
      <c r="U16" s="873"/>
      <c r="V16" s="873"/>
      <c r="W16" s="873"/>
      <c r="X16" s="873"/>
      <c r="Y16" s="873"/>
      <c r="Z16" s="873"/>
      <c r="AA16" s="394"/>
      <c r="AB16" s="873"/>
      <c r="AC16" s="394"/>
      <c r="AD16" s="873"/>
      <c r="AE16" s="873"/>
      <c r="AF16" s="873"/>
      <c r="AG16" s="873"/>
      <c r="AH16" s="873"/>
      <c r="AI16" s="873"/>
      <c r="AJ16" s="403"/>
      <c r="AK16" s="403"/>
      <c r="AL16" s="873"/>
      <c r="AM16" s="873"/>
      <c r="AN16" s="403"/>
      <c r="AO16" s="403"/>
      <c r="AP16" s="394"/>
      <c r="AQ16" s="394"/>
      <c r="AR16" s="394"/>
      <c r="AS16" s="394"/>
      <c r="AT16" s="394"/>
      <c r="AU16" s="873"/>
      <c r="AV16" s="873"/>
      <c r="AW16" s="873"/>
      <c r="AX16" s="873"/>
      <c r="AY16" s="873"/>
      <c r="AZ16" s="873"/>
      <c r="BA16" s="394"/>
      <c r="BB16" s="873"/>
      <c r="BC16" s="873"/>
      <c r="BD16" s="873"/>
      <c r="BE16" s="873"/>
      <c r="BF16" s="873"/>
      <c r="BG16" s="873"/>
      <c r="BH16" s="873"/>
      <c r="BI16" s="873"/>
      <c r="BJ16" s="873"/>
      <c r="BK16" s="873"/>
      <c r="BL16" s="873"/>
      <c r="BM16" s="873"/>
      <c r="BN16" s="873"/>
      <c r="BO16" s="873"/>
      <c r="BP16" s="873"/>
      <c r="BQ16" s="873"/>
      <c r="BR16" s="873"/>
      <c r="BS16" s="873"/>
      <c r="BT16" s="873"/>
      <c r="BU16" s="873"/>
      <c r="BV16" s="873"/>
      <c r="BW16" s="873"/>
      <c r="BX16" s="873"/>
      <c r="BY16" s="873"/>
      <c r="BZ16" s="873"/>
      <c r="CA16" s="873"/>
      <c r="CB16" s="873"/>
      <c r="CC16" s="873"/>
      <c r="CD16" s="873"/>
      <c r="CE16" s="873"/>
      <c r="CF16" s="873"/>
      <c r="CG16" s="873"/>
      <c r="CH16" s="873"/>
      <c r="CI16" s="873"/>
      <c r="CJ16" s="873"/>
      <c r="CK16" s="873"/>
      <c r="CL16" s="873"/>
      <c r="CM16" s="873"/>
      <c r="CN16" s="873"/>
      <c r="CO16" s="873"/>
      <c r="CP16" s="873"/>
      <c r="CQ16" s="873"/>
      <c r="CR16" s="873"/>
      <c r="CS16" s="873"/>
      <c r="CT16" s="873"/>
      <c r="CU16" s="873"/>
      <c r="CV16" s="873"/>
      <c r="CW16" s="873"/>
      <c r="CX16" s="873"/>
      <c r="CY16" s="873"/>
      <c r="CZ16" s="873"/>
      <c r="DA16" s="873"/>
      <c r="DB16" s="873"/>
      <c r="DC16" s="873"/>
      <c r="DD16" s="873"/>
      <c r="DE16" s="873"/>
      <c r="DF16" s="873"/>
      <c r="DG16" s="873"/>
      <c r="DH16" s="873"/>
      <c r="DI16" s="873"/>
      <c r="DJ16" s="873"/>
      <c r="DK16" s="873"/>
      <c r="DL16" s="873"/>
      <c r="DM16" s="873"/>
      <c r="DN16" s="873"/>
      <c r="DO16" s="873"/>
      <c r="DP16" s="873"/>
      <c r="DQ16" s="873"/>
      <c r="DR16" s="873"/>
      <c r="DS16" s="873"/>
      <c r="DT16" s="873"/>
      <c r="DU16" s="873"/>
      <c r="DV16" s="873"/>
      <c r="DW16" s="873"/>
      <c r="DX16" s="873"/>
      <c r="DY16" s="873"/>
      <c r="DZ16" s="873"/>
      <c r="EA16" s="873"/>
      <c r="EB16" s="873"/>
      <c r="EC16" s="873"/>
      <c r="ED16" s="873"/>
      <c r="EE16" s="873"/>
      <c r="EF16" s="873"/>
      <c r="EG16" s="873"/>
      <c r="EH16" s="873"/>
      <c r="EI16" s="873"/>
      <c r="EJ16" s="873"/>
      <c r="EK16" s="873"/>
      <c r="EL16" s="873"/>
      <c r="EM16" s="873"/>
      <c r="EN16" s="873"/>
      <c r="EO16" s="873"/>
      <c r="EP16" s="873"/>
      <c r="EQ16" s="873"/>
      <c r="ER16" s="873"/>
      <c r="ES16" s="873"/>
      <c r="ET16" s="873"/>
      <c r="EU16" s="873"/>
      <c r="EV16" s="873"/>
      <c r="EW16" s="873"/>
      <c r="EX16" s="873"/>
      <c r="EY16" s="873"/>
      <c r="EZ16" s="873"/>
      <c r="FA16" s="873"/>
      <c r="FB16" s="873"/>
      <c r="FC16" s="873"/>
      <c r="FD16" s="873"/>
      <c r="FE16" s="873"/>
      <c r="FF16" s="873"/>
      <c r="FG16" s="873"/>
      <c r="FH16" s="873"/>
      <c r="FI16" s="873"/>
      <c r="FJ16" s="873"/>
      <c r="FK16" s="873"/>
      <c r="FL16" s="873"/>
      <c r="FM16" s="873"/>
      <c r="FN16" s="873"/>
      <c r="FO16" s="873"/>
      <c r="FP16" s="873"/>
      <c r="FQ16" s="873"/>
      <c r="FR16" s="873"/>
      <c r="FS16" s="873"/>
      <c r="FT16" s="873"/>
      <c r="FU16" s="873"/>
      <c r="FV16" s="873"/>
      <c r="FW16" s="873"/>
      <c r="FX16" s="873"/>
      <c r="FY16" s="873"/>
      <c r="FZ16" s="873"/>
      <c r="GA16" s="873"/>
      <c r="GB16" s="873"/>
      <c r="GC16" s="873"/>
      <c r="GD16" s="873"/>
      <c r="GE16" s="873"/>
      <c r="GF16" s="873"/>
      <c r="GG16" s="873"/>
      <c r="GH16" s="873"/>
      <c r="GI16" s="873"/>
      <c r="GJ16" s="873"/>
      <c r="GK16" s="873"/>
      <c r="GL16" s="873"/>
      <c r="GM16" s="873"/>
      <c r="GN16" s="873"/>
      <c r="GO16" s="873"/>
      <c r="GP16" s="873"/>
      <c r="GQ16" s="873"/>
      <c r="GR16" s="873"/>
      <c r="GS16" s="873"/>
      <c r="GT16" s="873"/>
      <c r="GU16" s="873"/>
      <c r="GV16" s="873"/>
      <c r="GW16" s="873"/>
      <c r="GX16" s="873"/>
      <c r="GY16" s="873"/>
      <c r="GZ16" s="873"/>
      <c r="HA16" s="873"/>
      <c r="HB16" s="873"/>
      <c r="HC16" s="873"/>
      <c r="HD16" s="873"/>
      <c r="HE16" s="873"/>
      <c r="HF16" s="873"/>
      <c r="HG16" s="873"/>
      <c r="HH16" s="873"/>
      <c r="HI16" s="873"/>
      <c r="HJ16" s="873"/>
      <c r="HK16" s="873"/>
      <c r="HL16" s="873"/>
      <c r="HM16" s="873"/>
      <c r="HN16" s="873"/>
      <c r="HO16" s="873"/>
      <c r="HP16" s="873"/>
      <c r="HQ16" s="873"/>
      <c r="HR16" s="873"/>
      <c r="HS16" s="873"/>
      <c r="HT16" s="873"/>
      <c r="HU16" s="873"/>
      <c r="HV16" s="873"/>
      <c r="HW16" s="873"/>
      <c r="HX16" s="873"/>
      <c r="HY16" s="873"/>
      <c r="HZ16" s="873"/>
      <c r="IA16" s="873"/>
      <c r="IB16" s="873"/>
      <c r="IC16" s="873"/>
      <c r="ID16" s="873"/>
      <c r="IE16" s="873"/>
      <c r="IF16" s="873"/>
      <c r="IG16" s="873"/>
      <c r="IH16" s="873"/>
      <c r="II16" s="873"/>
      <c r="IJ16" s="873"/>
      <c r="IK16" s="873"/>
      <c r="IL16" s="873"/>
      <c r="IM16" s="873"/>
      <c r="IN16" s="873"/>
      <c r="IO16" s="873"/>
      <c r="IP16" s="873"/>
      <c r="IQ16" s="873"/>
      <c r="IR16" s="873"/>
      <c r="IS16" s="873"/>
      <c r="IT16" s="873"/>
      <c r="IU16" s="873"/>
      <c r="IV16" s="873"/>
      <c r="IW16" s="873"/>
      <c r="IX16" s="873"/>
      <c r="IY16" s="873"/>
      <c r="IZ16" s="873"/>
      <c r="JA16" s="873"/>
      <c r="JB16" s="873"/>
      <c r="JC16" s="873"/>
      <c r="JD16" s="873"/>
      <c r="JE16" s="873"/>
      <c r="JF16" s="873"/>
      <c r="JG16" s="873"/>
      <c r="JH16" s="873"/>
      <c r="JI16" s="873"/>
      <c r="JJ16" s="873"/>
      <c r="JK16" s="873"/>
      <c r="JL16" s="873"/>
      <c r="JM16" s="873"/>
      <c r="JN16" s="873"/>
      <c r="JO16" s="873"/>
      <c r="JP16" s="873"/>
      <c r="JQ16" s="873"/>
      <c r="JR16" s="873"/>
      <c r="JS16" s="873"/>
      <c r="JT16" s="873"/>
      <c r="JU16" s="873"/>
      <c r="JV16" s="402"/>
    </row>
    <row r="17" spans="1:282">
      <c r="A17" s="672"/>
      <c r="B17" s="408"/>
      <c r="C17" s="873"/>
      <c r="D17" s="888"/>
      <c r="E17" s="671"/>
      <c r="F17" s="873"/>
      <c r="G17" s="873"/>
      <c r="H17" s="873"/>
      <c r="I17" s="873"/>
      <c r="J17" s="873"/>
      <c r="K17" s="873"/>
      <c r="L17" s="873"/>
      <c r="M17" s="873"/>
      <c r="N17" s="873"/>
      <c r="O17" s="873"/>
      <c r="P17" s="873"/>
      <c r="Q17" s="873"/>
      <c r="R17" s="873"/>
      <c r="S17" s="873"/>
      <c r="T17" s="873"/>
      <c r="U17" s="873"/>
      <c r="V17" s="873"/>
      <c r="W17" s="873"/>
      <c r="X17" s="873"/>
      <c r="Y17" s="873"/>
      <c r="Z17" s="873"/>
      <c r="AA17" s="394"/>
      <c r="AB17" s="873"/>
      <c r="AC17" s="394"/>
      <c r="AD17" s="873"/>
      <c r="AE17" s="873"/>
      <c r="AF17" s="873"/>
      <c r="AG17" s="873"/>
      <c r="AH17" s="873"/>
      <c r="AI17" s="873"/>
      <c r="AJ17" s="403"/>
      <c r="AK17" s="403"/>
      <c r="AL17" s="873"/>
      <c r="AM17" s="873"/>
      <c r="AN17" s="403"/>
      <c r="AO17" s="403"/>
      <c r="AP17" s="394"/>
      <c r="AQ17" s="394"/>
      <c r="AR17" s="394"/>
      <c r="AS17" s="394"/>
      <c r="AT17" s="394"/>
      <c r="AU17" s="873"/>
      <c r="AV17" s="873"/>
      <c r="AW17" s="873"/>
      <c r="AX17" s="873"/>
      <c r="AY17" s="873"/>
      <c r="AZ17" s="873"/>
      <c r="BA17" s="394"/>
      <c r="BB17" s="873"/>
      <c r="BC17" s="873"/>
      <c r="BD17" s="873"/>
      <c r="BE17" s="873"/>
      <c r="BF17" s="873"/>
      <c r="BG17" s="873"/>
      <c r="BH17" s="873"/>
      <c r="BI17" s="873"/>
      <c r="BJ17" s="873"/>
      <c r="BK17" s="873"/>
      <c r="BL17" s="873"/>
      <c r="BM17" s="873"/>
      <c r="BN17" s="873"/>
      <c r="BO17" s="873"/>
      <c r="BP17" s="873"/>
      <c r="BQ17" s="873"/>
      <c r="BR17" s="873"/>
      <c r="BS17" s="873"/>
      <c r="BT17" s="873"/>
      <c r="BU17" s="873"/>
      <c r="BV17" s="873"/>
      <c r="BW17" s="873"/>
      <c r="BX17" s="873"/>
      <c r="BY17" s="873"/>
      <c r="BZ17" s="873"/>
      <c r="CA17" s="873"/>
      <c r="CB17" s="873"/>
      <c r="CC17" s="873"/>
      <c r="CD17" s="873"/>
      <c r="CE17" s="873"/>
      <c r="CF17" s="873"/>
      <c r="CG17" s="873"/>
      <c r="CH17" s="873"/>
      <c r="CI17" s="873"/>
      <c r="CJ17" s="873"/>
      <c r="CK17" s="873"/>
      <c r="CL17" s="873"/>
      <c r="CM17" s="873"/>
      <c r="CN17" s="873"/>
      <c r="CO17" s="873"/>
      <c r="CP17" s="873"/>
      <c r="CQ17" s="873"/>
      <c r="CR17" s="873"/>
      <c r="CS17" s="873"/>
      <c r="CT17" s="873"/>
      <c r="CU17" s="873"/>
      <c r="CV17" s="873"/>
      <c r="CW17" s="873"/>
      <c r="CX17" s="873"/>
      <c r="CY17" s="873"/>
      <c r="CZ17" s="873"/>
      <c r="DA17" s="873"/>
      <c r="DB17" s="873"/>
      <c r="DC17" s="873"/>
      <c r="DD17" s="873"/>
      <c r="DE17" s="873"/>
      <c r="DF17" s="873"/>
      <c r="DG17" s="873"/>
      <c r="DH17" s="873"/>
      <c r="DI17" s="873"/>
      <c r="DJ17" s="873"/>
      <c r="DK17" s="873"/>
      <c r="DL17" s="873"/>
      <c r="DM17" s="873"/>
      <c r="DN17" s="873"/>
      <c r="DO17" s="873"/>
      <c r="DP17" s="873"/>
      <c r="DQ17" s="873"/>
      <c r="DR17" s="873"/>
      <c r="DS17" s="873"/>
      <c r="DT17" s="873"/>
      <c r="DU17" s="873"/>
      <c r="DV17" s="873"/>
      <c r="DW17" s="873"/>
      <c r="DX17" s="873"/>
      <c r="DY17" s="873"/>
      <c r="DZ17" s="873"/>
      <c r="EA17" s="873"/>
      <c r="EB17" s="873"/>
      <c r="EC17" s="873"/>
      <c r="ED17" s="873"/>
      <c r="EE17" s="873"/>
      <c r="EF17" s="873"/>
      <c r="EG17" s="873"/>
      <c r="EH17" s="873"/>
      <c r="EI17" s="873"/>
      <c r="EJ17" s="873"/>
      <c r="EK17" s="873"/>
      <c r="EL17" s="873"/>
      <c r="EM17" s="873"/>
      <c r="EN17" s="873"/>
      <c r="EO17" s="873"/>
      <c r="EP17" s="873"/>
      <c r="EQ17" s="873"/>
      <c r="ER17" s="873"/>
      <c r="ES17" s="873"/>
      <c r="ET17" s="873"/>
      <c r="EU17" s="873"/>
      <c r="EV17" s="873"/>
      <c r="EW17" s="873"/>
      <c r="EX17" s="873"/>
      <c r="EY17" s="873"/>
      <c r="EZ17" s="873"/>
      <c r="FA17" s="873"/>
      <c r="FB17" s="873"/>
      <c r="FC17" s="873"/>
      <c r="FD17" s="873"/>
      <c r="FE17" s="873"/>
      <c r="FF17" s="873"/>
      <c r="FG17" s="873"/>
      <c r="FH17" s="873"/>
      <c r="FI17" s="873"/>
      <c r="FJ17" s="873"/>
      <c r="FK17" s="873"/>
      <c r="FL17" s="873"/>
      <c r="FM17" s="873"/>
      <c r="FN17" s="873"/>
      <c r="FO17" s="873"/>
      <c r="FP17" s="873"/>
      <c r="FQ17" s="873"/>
      <c r="FR17" s="873"/>
      <c r="FS17" s="873"/>
      <c r="FT17" s="873"/>
      <c r="FU17" s="873"/>
      <c r="FV17" s="873"/>
      <c r="FW17" s="873"/>
      <c r="FX17" s="873"/>
      <c r="FY17" s="873"/>
      <c r="FZ17" s="873"/>
      <c r="GA17" s="873"/>
      <c r="GB17" s="873"/>
      <c r="GC17" s="873"/>
      <c r="GD17" s="873"/>
      <c r="GE17" s="873"/>
      <c r="GF17" s="873"/>
      <c r="GG17" s="873"/>
      <c r="GH17" s="873"/>
      <c r="GI17" s="873"/>
      <c r="GJ17" s="873"/>
      <c r="GK17" s="873"/>
      <c r="GL17" s="873"/>
      <c r="GM17" s="873"/>
      <c r="GN17" s="873"/>
      <c r="GO17" s="873"/>
      <c r="GP17" s="873"/>
      <c r="GQ17" s="873"/>
      <c r="GR17" s="873"/>
      <c r="GS17" s="873"/>
      <c r="GT17" s="873"/>
      <c r="GU17" s="873"/>
      <c r="GV17" s="873"/>
      <c r="GW17" s="873"/>
      <c r="GX17" s="873"/>
      <c r="GY17" s="873"/>
      <c r="GZ17" s="873"/>
      <c r="HA17" s="873"/>
      <c r="HB17" s="873"/>
      <c r="HC17" s="873"/>
      <c r="HD17" s="873"/>
      <c r="HE17" s="873"/>
      <c r="HF17" s="873"/>
      <c r="HG17" s="873"/>
      <c r="HH17" s="873"/>
      <c r="HI17" s="873"/>
      <c r="HJ17" s="873"/>
      <c r="HK17" s="873"/>
      <c r="HL17" s="873"/>
      <c r="HM17" s="873"/>
      <c r="HN17" s="873"/>
      <c r="HO17" s="873"/>
      <c r="HP17" s="873"/>
      <c r="HQ17" s="873"/>
      <c r="HR17" s="873"/>
      <c r="HS17" s="873"/>
      <c r="HT17" s="873"/>
      <c r="HU17" s="873"/>
      <c r="HV17" s="873"/>
      <c r="HW17" s="873"/>
      <c r="HX17" s="873"/>
      <c r="HY17" s="873"/>
      <c r="HZ17" s="873"/>
      <c r="IA17" s="873"/>
      <c r="IB17" s="873"/>
      <c r="IC17" s="873"/>
      <c r="ID17" s="873"/>
      <c r="IE17" s="873"/>
      <c r="IF17" s="873"/>
      <c r="IG17" s="873"/>
      <c r="IH17" s="873"/>
      <c r="II17" s="873"/>
      <c r="IJ17" s="873"/>
      <c r="IK17" s="873"/>
      <c r="IL17" s="873"/>
      <c r="IM17" s="873"/>
      <c r="IN17" s="873"/>
      <c r="IO17" s="873"/>
      <c r="IP17" s="873"/>
      <c r="IQ17" s="873"/>
      <c r="IR17" s="873"/>
      <c r="IS17" s="873"/>
      <c r="IT17" s="873"/>
      <c r="IU17" s="873"/>
      <c r="IV17" s="873"/>
      <c r="IW17" s="873"/>
      <c r="IX17" s="873"/>
      <c r="IY17" s="873"/>
      <c r="IZ17" s="873"/>
      <c r="JA17" s="873"/>
      <c r="JB17" s="873"/>
      <c r="JC17" s="873"/>
      <c r="JD17" s="873"/>
      <c r="JE17" s="873"/>
      <c r="JF17" s="873"/>
      <c r="JG17" s="873"/>
      <c r="JH17" s="873"/>
      <c r="JI17" s="873"/>
      <c r="JJ17" s="873"/>
      <c r="JK17" s="873"/>
      <c r="JL17" s="873"/>
      <c r="JM17" s="873"/>
      <c r="JN17" s="873"/>
      <c r="JO17" s="873"/>
      <c r="JP17" s="873"/>
      <c r="JQ17" s="873"/>
      <c r="JR17" s="873"/>
      <c r="JS17" s="873"/>
      <c r="JT17" s="873"/>
      <c r="JU17" s="873"/>
      <c r="JV17" s="402"/>
    </row>
    <row r="18" spans="1:282">
      <c r="A18" s="672"/>
      <c r="B18" s="408"/>
      <c r="C18" s="873"/>
      <c r="D18" s="888"/>
      <c r="E18" s="671"/>
      <c r="F18" s="873"/>
      <c r="G18" s="873"/>
      <c r="H18" s="873"/>
      <c r="I18" s="873"/>
      <c r="J18" s="873"/>
      <c r="K18" s="873"/>
      <c r="L18" s="873"/>
      <c r="M18" s="873"/>
      <c r="N18" s="873"/>
      <c r="O18" s="873"/>
      <c r="P18" s="873"/>
      <c r="Q18" s="873"/>
      <c r="R18" s="873"/>
      <c r="S18" s="873"/>
      <c r="T18" s="873"/>
      <c r="U18" s="873"/>
      <c r="V18" s="873"/>
      <c r="W18" s="873"/>
      <c r="X18" s="873"/>
      <c r="Y18" s="873"/>
      <c r="Z18" s="873"/>
      <c r="AA18" s="394"/>
      <c r="AB18" s="873"/>
      <c r="AC18" s="394"/>
      <c r="AD18" s="873"/>
      <c r="AE18" s="873"/>
      <c r="AF18" s="873"/>
      <c r="AG18" s="873"/>
      <c r="AH18" s="873"/>
      <c r="AI18" s="873"/>
      <c r="AJ18" s="403"/>
      <c r="AK18" s="403"/>
      <c r="AL18" s="873"/>
      <c r="AM18" s="873"/>
      <c r="AN18" s="403"/>
      <c r="AO18" s="403"/>
      <c r="AP18" s="394"/>
      <c r="AQ18" s="394"/>
      <c r="AR18" s="394"/>
      <c r="AS18" s="394"/>
      <c r="AT18" s="394"/>
      <c r="AU18" s="873"/>
      <c r="AV18" s="873"/>
      <c r="AW18" s="873"/>
      <c r="AX18" s="873"/>
      <c r="AY18" s="873"/>
      <c r="AZ18" s="873"/>
      <c r="BA18" s="394"/>
      <c r="BB18" s="873"/>
      <c r="BC18" s="873"/>
      <c r="BD18" s="873"/>
      <c r="BE18" s="873"/>
      <c r="BF18" s="873"/>
      <c r="BG18" s="873"/>
      <c r="BH18" s="873"/>
      <c r="BI18" s="873"/>
      <c r="BJ18" s="873"/>
      <c r="BK18" s="873"/>
      <c r="BL18" s="873"/>
      <c r="BM18" s="873"/>
      <c r="BN18" s="873"/>
      <c r="BO18" s="873"/>
      <c r="BP18" s="873"/>
      <c r="BQ18" s="873"/>
      <c r="BR18" s="873"/>
      <c r="BS18" s="873"/>
      <c r="BT18" s="873"/>
      <c r="BU18" s="873"/>
      <c r="BV18" s="873"/>
      <c r="BW18" s="873"/>
      <c r="BX18" s="873"/>
      <c r="BY18" s="873"/>
      <c r="BZ18" s="873"/>
      <c r="CA18" s="873"/>
      <c r="CB18" s="873"/>
      <c r="CC18" s="873"/>
      <c r="CD18" s="873"/>
      <c r="CE18" s="873"/>
      <c r="CF18" s="873"/>
      <c r="CG18" s="873"/>
      <c r="CH18" s="873"/>
      <c r="CI18" s="873"/>
      <c r="CJ18" s="873"/>
      <c r="CK18" s="873"/>
      <c r="CL18" s="873"/>
      <c r="CM18" s="873"/>
      <c r="CN18" s="873"/>
      <c r="CO18" s="873"/>
      <c r="CP18" s="873"/>
      <c r="CQ18" s="873"/>
      <c r="CR18" s="873"/>
      <c r="CS18" s="873"/>
      <c r="CT18" s="873"/>
      <c r="CU18" s="873"/>
      <c r="CV18" s="873"/>
      <c r="CW18" s="873"/>
      <c r="CX18" s="873"/>
      <c r="CY18" s="873"/>
      <c r="CZ18" s="873"/>
      <c r="DA18" s="873"/>
      <c r="DB18" s="873"/>
      <c r="DC18" s="873"/>
      <c r="DD18" s="873"/>
      <c r="DE18" s="873"/>
      <c r="DF18" s="873"/>
      <c r="DG18" s="873"/>
      <c r="DH18" s="873"/>
      <c r="DI18" s="873"/>
      <c r="DJ18" s="873"/>
      <c r="DK18" s="873"/>
      <c r="DL18" s="873"/>
      <c r="DM18" s="873"/>
      <c r="DN18" s="873"/>
      <c r="DO18" s="873"/>
      <c r="DP18" s="873"/>
      <c r="DQ18" s="873"/>
      <c r="DR18" s="873"/>
      <c r="DS18" s="873"/>
      <c r="DT18" s="873"/>
      <c r="DU18" s="873"/>
      <c r="DV18" s="873"/>
      <c r="DW18" s="873"/>
      <c r="DX18" s="873"/>
      <c r="DY18" s="873"/>
      <c r="DZ18" s="873"/>
      <c r="EA18" s="873"/>
      <c r="EB18" s="873"/>
      <c r="EC18" s="873"/>
      <c r="ED18" s="873"/>
      <c r="EE18" s="873"/>
      <c r="EF18" s="873"/>
      <c r="EG18" s="873"/>
      <c r="EH18" s="873"/>
      <c r="EI18" s="873"/>
      <c r="EJ18" s="873"/>
      <c r="EK18" s="873"/>
      <c r="EL18" s="873"/>
      <c r="EM18" s="873"/>
      <c r="EN18" s="873"/>
      <c r="EO18" s="873"/>
      <c r="EP18" s="873"/>
      <c r="EQ18" s="873"/>
      <c r="ER18" s="873"/>
      <c r="ES18" s="873"/>
      <c r="ET18" s="873"/>
      <c r="EU18" s="873"/>
      <c r="EV18" s="873"/>
      <c r="EW18" s="873"/>
      <c r="EX18" s="873"/>
      <c r="EY18" s="873"/>
      <c r="EZ18" s="873"/>
      <c r="FA18" s="873"/>
      <c r="FB18" s="873"/>
      <c r="FC18" s="873"/>
      <c r="FD18" s="873"/>
      <c r="FE18" s="873"/>
      <c r="FF18" s="873"/>
      <c r="FG18" s="873"/>
      <c r="FH18" s="873"/>
      <c r="FI18" s="873"/>
      <c r="FJ18" s="873"/>
      <c r="FK18" s="873"/>
      <c r="FL18" s="873"/>
      <c r="FM18" s="873"/>
      <c r="FN18" s="873"/>
      <c r="FO18" s="873"/>
      <c r="FP18" s="873"/>
      <c r="FQ18" s="873"/>
      <c r="FR18" s="873"/>
      <c r="FS18" s="873"/>
      <c r="FT18" s="873"/>
      <c r="FU18" s="873"/>
      <c r="FV18" s="873"/>
      <c r="FW18" s="873"/>
      <c r="FX18" s="873"/>
      <c r="FY18" s="873"/>
      <c r="FZ18" s="873"/>
      <c r="GA18" s="873"/>
      <c r="GB18" s="873"/>
      <c r="GC18" s="873"/>
      <c r="GD18" s="873"/>
      <c r="GE18" s="873"/>
      <c r="GF18" s="873"/>
      <c r="GG18" s="873"/>
      <c r="GH18" s="873"/>
      <c r="GI18" s="873"/>
      <c r="GJ18" s="873"/>
      <c r="GK18" s="873"/>
      <c r="GL18" s="873"/>
      <c r="GM18" s="873"/>
      <c r="GN18" s="873"/>
      <c r="GO18" s="873"/>
      <c r="GP18" s="873"/>
      <c r="GQ18" s="873"/>
      <c r="GR18" s="873"/>
      <c r="GS18" s="873"/>
      <c r="GT18" s="873"/>
      <c r="GU18" s="873"/>
      <c r="GV18" s="873"/>
      <c r="GW18" s="873"/>
      <c r="GX18" s="873"/>
      <c r="GY18" s="873"/>
      <c r="GZ18" s="873"/>
      <c r="HA18" s="873"/>
      <c r="HB18" s="873"/>
      <c r="HC18" s="873"/>
      <c r="HD18" s="873"/>
      <c r="HE18" s="873"/>
      <c r="HF18" s="873"/>
      <c r="HG18" s="873"/>
      <c r="HH18" s="873"/>
      <c r="HI18" s="873"/>
      <c r="HJ18" s="873"/>
      <c r="HK18" s="873"/>
      <c r="HL18" s="873"/>
      <c r="HM18" s="873"/>
      <c r="HN18" s="873"/>
      <c r="HO18" s="873"/>
      <c r="HP18" s="873"/>
      <c r="HQ18" s="873"/>
      <c r="HR18" s="873"/>
      <c r="HS18" s="873"/>
      <c r="HT18" s="873"/>
      <c r="HU18" s="873"/>
      <c r="HV18" s="873"/>
      <c r="HW18" s="873"/>
      <c r="HX18" s="873"/>
      <c r="HY18" s="873"/>
      <c r="HZ18" s="873"/>
      <c r="IA18" s="873"/>
      <c r="IB18" s="873"/>
      <c r="IC18" s="873"/>
      <c r="ID18" s="873"/>
      <c r="IE18" s="873"/>
      <c r="IF18" s="873"/>
      <c r="IG18" s="873"/>
      <c r="IH18" s="873"/>
      <c r="II18" s="873"/>
      <c r="IJ18" s="873"/>
      <c r="IK18" s="873"/>
      <c r="IL18" s="873"/>
      <c r="IM18" s="873"/>
      <c r="IN18" s="873"/>
      <c r="IO18" s="873"/>
      <c r="IP18" s="873"/>
      <c r="IQ18" s="873"/>
      <c r="IR18" s="873"/>
      <c r="IS18" s="873"/>
      <c r="IT18" s="873"/>
      <c r="IU18" s="873"/>
      <c r="IV18" s="873"/>
      <c r="IW18" s="873"/>
      <c r="IX18" s="873"/>
      <c r="IY18" s="873"/>
      <c r="IZ18" s="873"/>
      <c r="JA18" s="873"/>
      <c r="JB18" s="873"/>
      <c r="JC18" s="873"/>
      <c r="JD18" s="873"/>
      <c r="JE18" s="873"/>
      <c r="JF18" s="873"/>
      <c r="JG18" s="873"/>
      <c r="JH18" s="873"/>
      <c r="JI18" s="873"/>
      <c r="JJ18" s="873"/>
      <c r="JK18" s="873"/>
      <c r="JL18" s="873"/>
      <c r="JM18" s="873"/>
      <c r="JN18" s="873"/>
      <c r="JO18" s="873"/>
      <c r="JP18" s="873"/>
      <c r="JQ18" s="873"/>
      <c r="JR18" s="873"/>
      <c r="JS18" s="873"/>
      <c r="JT18" s="873"/>
      <c r="JU18" s="873"/>
      <c r="JV18" s="402"/>
    </row>
    <row r="19" spans="1:282">
      <c r="A19" s="672"/>
      <c r="B19" s="408"/>
      <c r="C19" s="873"/>
      <c r="D19" s="888"/>
      <c r="E19" s="671"/>
      <c r="F19" s="873"/>
      <c r="G19" s="873"/>
      <c r="H19" s="873"/>
      <c r="I19" s="873"/>
      <c r="J19" s="873"/>
      <c r="K19" s="873"/>
      <c r="L19" s="873"/>
      <c r="M19" s="873"/>
      <c r="N19" s="873"/>
      <c r="O19" s="873"/>
      <c r="P19" s="873"/>
      <c r="Q19" s="873"/>
      <c r="R19" s="873"/>
      <c r="S19" s="873"/>
      <c r="T19" s="873"/>
      <c r="U19" s="873"/>
      <c r="V19" s="873"/>
      <c r="W19" s="873"/>
      <c r="X19" s="873"/>
      <c r="Y19" s="873"/>
      <c r="Z19" s="873"/>
      <c r="AA19" s="394"/>
      <c r="AB19" s="873"/>
      <c r="AC19" s="394"/>
      <c r="AD19" s="873"/>
      <c r="AE19" s="873"/>
      <c r="AF19" s="873"/>
      <c r="AG19" s="873"/>
      <c r="AH19" s="873"/>
      <c r="AI19" s="873"/>
      <c r="AJ19" s="403"/>
      <c r="AK19" s="403"/>
      <c r="AL19" s="873"/>
      <c r="AM19" s="873"/>
      <c r="AN19" s="403"/>
      <c r="AO19" s="403"/>
      <c r="AP19" s="394"/>
      <c r="AQ19" s="394"/>
      <c r="AR19" s="394"/>
      <c r="AS19" s="394"/>
      <c r="AT19" s="394"/>
      <c r="AU19" s="873"/>
      <c r="AV19" s="873"/>
      <c r="AW19" s="873"/>
      <c r="AX19" s="873"/>
      <c r="AY19" s="873"/>
      <c r="AZ19" s="873"/>
      <c r="BA19" s="394"/>
      <c r="BB19" s="873"/>
      <c r="BC19" s="873"/>
      <c r="BD19" s="873"/>
      <c r="BE19" s="873"/>
      <c r="BF19" s="873"/>
      <c r="BG19" s="873"/>
      <c r="BH19" s="873"/>
      <c r="BI19" s="873"/>
      <c r="BJ19" s="873"/>
      <c r="BK19" s="873"/>
      <c r="BL19" s="873"/>
      <c r="BM19" s="873"/>
      <c r="BN19" s="873"/>
      <c r="BO19" s="873"/>
      <c r="BP19" s="873"/>
      <c r="BQ19" s="873"/>
      <c r="BR19" s="873"/>
      <c r="BS19" s="873"/>
      <c r="BT19" s="873"/>
      <c r="BU19" s="873"/>
      <c r="BV19" s="873"/>
      <c r="BW19" s="873"/>
      <c r="BX19" s="873"/>
      <c r="BY19" s="873"/>
      <c r="BZ19" s="873"/>
      <c r="CA19" s="873"/>
      <c r="CB19" s="873"/>
      <c r="CC19" s="873"/>
      <c r="CD19" s="873"/>
      <c r="CE19" s="873"/>
      <c r="CF19" s="873"/>
      <c r="CG19" s="873"/>
      <c r="CH19" s="873"/>
      <c r="CI19" s="873"/>
      <c r="CJ19" s="873"/>
      <c r="CK19" s="873"/>
      <c r="CL19" s="873"/>
      <c r="CM19" s="873"/>
      <c r="CN19" s="873"/>
      <c r="CO19" s="873"/>
      <c r="CP19" s="873"/>
      <c r="CQ19" s="873"/>
      <c r="CR19" s="873"/>
      <c r="CS19" s="873"/>
      <c r="CT19" s="873"/>
      <c r="CU19" s="873"/>
      <c r="CV19" s="873"/>
      <c r="CW19" s="873"/>
      <c r="CX19" s="873"/>
      <c r="CY19" s="873"/>
      <c r="CZ19" s="873"/>
      <c r="DA19" s="873"/>
      <c r="DB19" s="873"/>
      <c r="DC19" s="873"/>
      <c r="DD19" s="873"/>
      <c r="DE19" s="873"/>
      <c r="DF19" s="873"/>
      <c r="DG19" s="873"/>
      <c r="DH19" s="873"/>
      <c r="DI19" s="873"/>
      <c r="DJ19" s="873"/>
      <c r="DK19" s="873"/>
      <c r="DL19" s="873"/>
      <c r="DM19" s="873"/>
      <c r="DN19" s="873"/>
      <c r="DO19" s="873"/>
      <c r="DP19" s="873"/>
      <c r="DQ19" s="873"/>
      <c r="DR19" s="873"/>
      <c r="DS19" s="873"/>
      <c r="DT19" s="873"/>
      <c r="DU19" s="873"/>
      <c r="DV19" s="873"/>
      <c r="DW19" s="873"/>
      <c r="DX19" s="873"/>
      <c r="DY19" s="873"/>
      <c r="DZ19" s="873"/>
      <c r="EA19" s="873"/>
      <c r="EB19" s="873"/>
      <c r="EC19" s="873"/>
      <c r="ED19" s="873"/>
      <c r="EE19" s="873"/>
      <c r="EF19" s="873"/>
      <c r="EG19" s="873"/>
      <c r="EH19" s="873"/>
      <c r="EI19" s="873"/>
      <c r="EJ19" s="873"/>
      <c r="EK19" s="873"/>
      <c r="EL19" s="873"/>
      <c r="EM19" s="873"/>
      <c r="EN19" s="873"/>
      <c r="EO19" s="873"/>
      <c r="EP19" s="873"/>
      <c r="EQ19" s="873"/>
      <c r="ER19" s="873"/>
      <c r="ES19" s="873"/>
      <c r="ET19" s="873"/>
      <c r="EU19" s="873"/>
      <c r="EV19" s="873"/>
      <c r="EW19" s="873"/>
      <c r="EX19" s="873"/>
      <c r="EY19" s="873"/>
      <c r="EZ19" s="873"/>
      <c r="FA19" s="873"/>
      <c r="FB19" s="873"/>
      <c r="FC19" s="873"/>
      <c r="FD19" s="873"/>
      <c r="FE19" s="873"/>
      <c r="FF19" s="873"/>
      <c r="FG19" s="873"/>
      <c r="FH19" s="873"/>
      <c r="FI19" s="873"/>
      <c r="FJ19" s="873"/>
      <c r="FK19" s="873"/>
      <c r="FL19" s="873"/>
      <c r="FM19" s="873"/>
      <c r="FN19" s="873"/>
      <c r="FO19" s="873"/>
      <c r="FP19" s="873"/>
      <c r="FQ19" s="873"/>
      <c r="FR19" s="873"/>
      <c r="FS19" s="873"/>
      <c r="FT19" s="873"/>
      <c r="FU19" s="873"/>
      <c r="FV19" s="873"/>
      <c r="FW19" s="873"/>
      <c r="FX19" s="873"/>
      <c r="FY19" s="873"/>
      <c r="FZ19" s="873"/>
      <c r="GA19" s="873"/>
      <c r="GB19" s="873"/>
      <c r="GC19" s="873"/>
      <c r="GD19" s="873"/>
      <c r="GE19" s="873"/>
      <c r="GF19" s="873"/>
      <c r="GG19" s="873"/>
      <c r="GH19" s="873"/>
      <c r="GI19" s="873"/>
      <c r="GJ19" s="873"/>
      <c r="GK19" s="873"/>
      <c r="GL19" s="873"/>
      <c r="GM19" s="873"/>
      <c r="GN19" s="873"/>
      <c r="GO19" s="873"/>
      <c r="GP19" s="873"/>
      <c r="GQ19" s="873"/>
      <c r="GR19" s="873"/>
      <c r="GS19" s="873"/>
      <c r="GT19" s="873"/>
      <c r="GU19" s="873"/>
      <c r="GV19" s="873"/>
      <c r="GW19" s="873"/>
      <c r="GX19" s="873"/>
      <c r="GY19" s="873"/>
      <c r="GZ19" s="873"/>
      <c r="HA19" s="873"/>
      <c r="HB19" s="873"/>
      <c r="HC19" s="873"/>
      <c r="HD19" s="873"/>
      <c r="HE19" s="873"/>
      <c r="HF19" s="873"/>
      <c r="HG19" s="873"/>
      <c r="HH19" s="873"/>
      <c r="HI19" s="873"/>
      <c r="HJ19" s="873"/>
      <c r="HK19" s="873"/>
      <c r="HL19" s="873"/>
      <c r="HM19" s="873"/>
      <c r="HN19" s="873"/>
      <c r="HO19" s="873"/>
      <c r="HP19" s="873"/>
      <c r="HQ19" s="873"/>
      <c r="HR19" s="873"/>
      <c r="HS19" s="873"/>
      <c r="HT19" s="873"/>
      <c r="HU19" s="873"/>
      <c r="HV19" s="873"/>
      <c r="HW19" s="873"/>
      <c r="HX19" s="873"/>
      <c r="HY19" s="873"/>
      <c r="HZ19" s="873"/>
      <c r="IA19" s="873"/>
      <c r="IB19" s="873"/>
      <c r="IC19" s="873"/>
      <c r="ID19" s="873"/>
      <c r="IE19" s="873"/>
      <c r="IF19" s="873"/>
      <c r="IG19" s="873"/>
      <c r="IH19" s="873"/>
      <c r="II19" s="873"/>
      <c r="IJ19" s="873"/>
      <c r="IK19" s="873"/>
      <c r="IL19" s="873"/>
      <c r="IM19" s="873"/>
      <c r="IN19" s="873"/>
      <c r="IO19" s="873"/>
      <c r="IP19" s="873"/>
      <c r="IQ19" s="873"/>
      <c r="IR19" s="873"/>
      <c r="IS19" s="873"/>
      <c r="IT19" s="873"/>
      <c r="IU19" s="873"/>
      <c r="IV19" s="873"/>
      <c r="IW19" s="873"/>
      <c r="IX19" s="873"/>
      <c r="IY19" s="873"/>
      <c r="IZ19" s="873"/>
      <c r="JA19" s="873"/>
      <c r="JB19" s="873"/>
      <c r="JC19" s="873"/>
      <c r="JD19" s="873"/>
      <c r="JE19" s="873"/>
      <c r="JF19" s="873"/>
      <c r="JG19" s="873"/>
      <c r="JH19" s="873"/>
      <c r="JI19" s="873"/>
      <c r="JJ19" s="873"/>
      <c r="JK19" s="873"/>
      <c r="JL19" s="873"/>
      <c r="JM19" s="873"/>
      <c r="JN19" s="873"/>
      <c r="JO19" s="873"/>
      <c r="JP19" s="873"/>
      <c r="JQ19" s="873"/>
      <c r="JR19" s="873"/>
      <c r="JS19" s="873"/>
      <c r="JT19" s="873"/>
      <c r="JU19" s="873"/>
      <c r="JV19" s="402"/>
    </row>
    <row r="20" spans="1:282">
      <c r="A20" s="672"/>
      <c r="B20" s="408"/>
      <c r="C20" s="873"/>
      <c r="D20" s="888"/>
      <c r="E20" s="671"/>
      <c r="F20" s="873"/>
      <c r="G20" s="873"/>
      <c r="H20" s="873"/>
      <c r="I20" s="873"/>
      <c r="J20" s="873"/>
      <c r="K20" s="873"/>
      <c r="L20" s="873"/>
      <c r="M20" s="873"/>
      <c r="N20" s="873"/>
      <c r="O20" s="873"/>
      <c r="P20" s="873"/>
      <c r="Q20" s="873"/>
      <c r="R20" s="873"/>
      <c r="S20" s="873"/>
      <c r="T20" s="873"/>
      <c r="U20" s="873"/>
      <c r="V20" s="873"/>
      <c r="W20" s="873"/>
      <c r="X20" s="873"/>
      <c r="Y20" s="873"/>
      <c r="Z20" s="873"/>
      <c r="AA20" s="394"/>
      <c r="AB20" s="873"/>
      <c r="AC20" s="394"/>
      <c r="AD20" s="873"/>
      <c r="AE20" s="873"/>
      <c r="AF20" s="873"/>
      <c r="AG20" s="873"/>
      <c r="AH20" s="873"/>
      <c r="AI20" s="873"/>
      <c r="AJ20" s="403"/>
      <c r="AK20" s="403"/>
      <c r="AL20" s="873"/>
      <c r="AM20" s="873"/>
      <c r="AN20" s="403"/>
      <c r="AO20" s="403"/>
      <c r="AP20" s="394"/>
      <c r="AQ20" s="394"/>
      <c r="AR20" s="394"/>
      <c r="AS20" s="394"/>
      <c r="AT20" s="394"/>
      <c r="AU20" s="873"/>
      <c r="AV20" s="873"/>
      <c r="AW20" s="873"/>
      <c r="AX20" s="873"/>
      <c r="AY20" s="873"/>
      <c r="AZ20" s="873"/>
      <c r="BA20" s="394"/>
      <c r="BB20" s="873"/>
      <c r="BC20" s="873"/>
      <c r="BD20" s="873"/>
      <c r="BE20" s="873"/>
      <c r="BF20" s="873"/>
      <c r="BG20" s="873"/>
      <c r="BH20" s="873"/>
      <c r="BI20" s="873"/>
      <c r="BJ20" s="873"/>
      <c r="BK20" s="873"/>
      <c r="BL20" s="873"/>
      <c r="BM20" s="873"/>
      <c r="BN20" s="873"/>
      <c r="BO20" s="873"/>
      <c r="BP20" s="873"/>
      <c r="BQ20" s="873"/>
      <c r="BR20" s="873"/>
      <c r="BS20" s="873"/>
      <c r="BT20" s="873"/>
      <c r="BU20" s="873"/>
      <c r="BV20" s="873"/>
      <c r="BW20" s="873"/>
      <c r="BX20" s="873"/>
      <c r="BY20" s="873"/>
      <c r="BZ20" s="873"/>
      <c r="CA20" s="873"/>
      <c r="CB20" s="873"/>
      <c r="CC20" s="873"/>
      <c r="CD20" s="873"/>
      <c r="CE20" s="873"/>
      <c r="CF20" s="873"/>
      <c r="CG20" s="873"/>
      <c r="CH20" s="873"/>
      <c r="CI20" s="873"/>
      <c r="CJ20" s="873"/>
      <c r="CK20" s="873"/>
      <c r="CL20" s="873"/>
      <c r="CM20" s="873"/>
      <c r="CN20" s="873"/>
      <c r="CO20" s="873"/>
      <c r="CP20" s="873"/>
      <c r="CQ20" s="873"/>
      <c r="CR20" s="873"/>
      <c r="CS20" s="873"/>
      <c r="CT20" s="873"/>
      <c r="CU20" s="873"/>
      <c r="CV20" s="873"/>
      <c r="CW20" s="873"/>
      <c r="CX20" s="873"/>
      <c r="CY20" s="873"/>
      <c r="CZ20" s="873"/>
      <c r="DA20" s="873"/>
      <c r="DB20" s="873"/>
      <c r="DC20" s="873"/>
      <c r="DD20" s="873"/>
      <c r="DE20" s="873"/>
      <c r="DF20" s="873"/>
      <c r="DG20" s="873"/>
      <c r="DH20" s="873"/>
      <c r="DI20" s="873"/>
      <c r="DJ20" s="873"/>
      <c r="DK20" s="873"/>
      <c r="DL20" s="873"/>
      <c r="DM20" s="873"/>
      <c r="DN20" s="873"/>
      <c r="DO20" s="873"/>
      <c r="DP20" s="873"/>
      <c r="DQ20" s="873"/>
      <c r="DR20" s="873"/>
      <c r="DS20" s="873"/>
      <c r="DT20" s="873"/>
      <c r="DU20" s="873"/>
      <c r="DV20" s="873"/>
      <c r="DW20" s="873"/>
      <c r="DX20" s="873"/>
      <c r="DY20" s="873"/>
      <c r="DZ20" s="873"/>
      <c r="EA20" s="873"/>
      <c r="EB20" s="873"/>
      <c r="EC20" s="873"/>
      <c r="ED20" s="873"/>
      <c r="EE20" s="873"/>
      <c r="EF20" s="873"/>
      <c r="EG20" s="873"/>
      <c r="EH20" s="873"/>
      <c r="EI20" s="873"/>
      <c r="EJ20" s="873"/>
      <c r="EK20" s="873"/>
      <c r="EL20" s="873"/>
      <c r="EM20" s="873"/>
      <c r="EN20" s="873"/>
      <c r="EO20" s="873"/>
      <c r="EP20" s="873"/>
      <c r="EQ20" s="873"/>
      <c r="ER20" s="873"/>
      <c r="ES20" s="873"/>
      <c r="ET20" s="873"/>
      <c r="EU20" s="873"/>
      <c r="EV20" s="873"/>
      <c r="EW20" s="873"/>
      <c r="EX20" s="873"/>
      <c r="EY20" s="873"/>
      <c r="EZ20" s="873"/>
      <c r="FA20" s="873"/>
      <c r="FB20" s="873"/>
      <c r="FC20" s="873"/>
      <c r="FD20" s="873"/>
      <c r="FE20" s="873"/>
      <c r="FF20" s="873"/>
      <c r="FG20" s="873"/>
      <c r="FH20" s="873"/>
      <c r="FI20" s="873"/>
      <c r="FJ20" s="873"/>
      <c r="FK20" s="873"/>
      <c r="FL20" s="873"/>
      <c r="FM20" s="873"/>
      <c r="FN20" s="873"/>
      <c r="FO20" s="873"/>
      <c r="FP20" s="873"/>
      <c r="FQ20" s="873"/>
      <c r="FR20" s="873"/>
      <c r="FS20" s="873"/>
      <c r="FT20" s="873"/>
      <c r="FU20" s="873"/>
      <c r="FV20" s="873"/>
      <c r="FW20" s="873"/>
      <c r="FX20" s="873"/>
      <c r="FY20" s="873"/>
      <c r="FZ20" s="873"/>
      <c r="GA20" s="873"/>
      <c r="GB20" s="873"/>
      <c r="GC20" s="873"/>
      <c r="GD20" s="873"/>
      <c r="GE20" s="873"/>
      <c r="GF20" s="873"/>
      <c r="GG20" s="873"/>
      <c r="GH20" s="873"/>
      <c r="GI20" s="873"/>
      <c r="GJ20" s="873"/>
      <c r="GK20" s="873"/>
      <c r="GL20" s="873"/>
      <c r="GM20" s="873"/>
      <c r="GN20" s="873"/>
      <c r="GO20" s="873"/>
      <c r="GP20" s="873"/>
      <c r="GQ20" s="873"/>
      <c r="GR20" s="873"/>
      <c r="GS20" s="873"/>
      <c r="GT20" s="873"/>
      <c r="GU20" s="873"/>
      <c r="GV20" s="873"/>
      <c r="GW20" s="873"/>
      <c r="GX20" s="873"/>
      <c r="GY20" s="873"/>
      <c r="GZ20" s="873"/>
      <c r="HA20" s="873"/>
      <c r="HB20" s="873"/>
      <c r="HC20" s="873"/>
      <c r="HD20" s="873"/>
      <c r="HE20" s="873"/>
      <c r="HF20" s="873"/>
      <c r="HG20" s="873"/>
      <c r="HH20" s="873"/>
      <c r="HI20" s="873"/>
      <c r="HJ20" s="873"/>
      <c r="HK20" s="873"/>
      <c r="HL20" s="873"/>
      <c r="HM20" s="873"/>
      <c r="HN20" s="873"/>
      <c r="HO20" s="873"/>
      <c r="HP20" s="873"/>
      <c r="HQ20" s="873"/>
      <c r="HR20" s="873"/>
      <c r="HS20" s="873"/>
      <c r="HT20" s="873"/>
      <c r="HU20" s="873"/>
      <c r="HV20" s="873"/>
      <c r="HW20" s="873"/>
      <c r="HX20" s="873"/>
      <c r="HY20" s="873"/>
      <c r="HZ20" s="873"/>
      <c r="IA20" s="873"/>
      <c r="IB20" s="873"/>
      <c r="IC20" s="873"/>
      <c r="ID20" s="873"/>
      <c r="IE20" s="873"/>
      <c r="IF20" s="873"/>
      <c r="IG20" s="873"/>
      <c r="IH20" s="873"/>
      <c r="II20" s="873"/>
      <c r="IJ20" s="873"/>
      <c r="IK20" s="873"/>
      <c r="IL20" s="873"/>
      <c r="IM20" s="873"/>
      <c r="IN20" s="873"/>
      <c r="IO20" s="873"/>
      <c r="IP20" s="873"/>
      <c r="IQ20" s="873"/>
      <c r="IR20" s="873"/>
      <c r="IS20" s="873"/>
      <c r="IT20" s="873"/>
      <c r="IU20" s="873"/>
      <c r="IV20" s="873"/>
      <c r="IW20" s="873"/>
      <c r="IX20" s="873"/>
      <c r="IY20" s="873"/>
      <c r="IZ20" s="873"/>
      <c r="JA20" s="873"/>
      <c r="JB20" s="873"/>
      <c r="JC20" s="873"/>
      <c r="JD20" s="873"/>
      <c r="JE20" s="873"/>
      <c r="JF20" s="873"/>
      <c r="JG20" s="873"/>
      <c r="JH20" s="873"/>
      <c r="JI20" s="873"/>
      <c r="JJ20" s="873"/>
      <c r="JK20" s="873"/>
      <c r="JL20" s="873"/>
      <c r="JM20" s="873"/>
      <c r="JN20" s="873"/>
      <c r="JO20" s="873"/>
      <c r="JP20" s="873"/>
      <c r="JQ20" s="873"/>
      <c r="JR20" s="873"/>
      <c r="JS20" s="873"/>
      <c r="JT20" s="873"/>
      <c r="JU20" s="873"/>
      <c r="JV20" s="402"/>
    </row>
    <row r="21" spans="1:282">
      <c r="A21" s="672"/>
      <c r="B21" s="408"/>
      <c r="C21" s="873"/>
      <c r="D21" s="888"/>
      <c r="E21" s="671"/>
      <c r="F21" s="873"/>
      <c r="G21" s="873"/>
      <c r="H21" s="873"/>
      <c r="I21" s="873"/>
      <c r="J21" s="873"/>
      <c r="K21" s="873"/>
      <c r="L21" s="873"/>
      <c r="M21" s="873"/>
      <c r="N21" s="873"/>
      <c r="O21" s="873"/>
      <c r="P21" s="873"/>
      <c r="Q21" s="873"/>
      <c r="R21" s="873"/>
      <c r="S21" s="873"/>
      <c r="T21" s="873"/>
      <c r="U21" s="873"/>
      <c r="V21" s="873"/>
      <c r="W21" s="873"/>
      <c r="X21" s="873"/>
      <c r="Y21" s="873"/>
      <c r="Z21" s="873"/>
      <c r="AA21" s="394"/>
      <c r="AB21" s="873"/>
      <c r="AC21" s="394"/>
      <c r="AD21" s="873"/>
      <c r="AE21" s="873"/>
      <c r="AF21" s="873"/>
      <c r="AG21" s="873"/>
      <c r="AH21" s="873"/>
      <c r="AI21" s="873"/>
      <c r="AJ21" s="403"/>
      <c r="AK21" s="403"/>
      <c r="AL21" s="873"/>
      <c r="AM21" s="873"/>
      <c r="AN21" s="403"/>
      <c r="AO21" s="403"/>
      <c r="AP21" s="394"/>
      <c r="AQ21" s="394"/>
      <c r="AR21" s="394"/>
      <c r="AS21" s="394"/>
      <c r="AT21" s="394"/>
      <c r="AU21" s="873"/>
      <c r="AV21" s="873"/>
      <c r="AW21" s="873"/>
      <c r="AX21" s="873"/>
      <c r="AY21" s="873"/>
      <c r="AZ21" s="873"/>
      <c r="BA21" s="394"/>
      <c r="BB21" s="873"/>
      <c r="BC21" s="873"/>
      <c r="BD21" s="873"/>
      <c r="BE21" s="873"/>
      <c r="BF21" s="873"/>
      <c r="BG21" s="873"/>
      <c r="BH21" s="873"/>
      <c r="BI21" s="873"/>
      <c r="BJ21" s="873"/>
      <c r="BK21" s="873"/>
      <c r="BL21" s="873"/>
      <c r="BM21" s="873"/>
      <c r="BN21" s="873"/>
      <c r="BO21" s="873"/>
      <c r="BP21" s="873"/>
      <c r="BQ21" s="873"/>
      <c r="BR21" s="873"/>
      <c r="BS21" s="873"/>
      <c r="BT21" s="873"/>
      <c r="BU21" s="873"/>
      <c r="BV21" s="873"/>
      <c r="BW21" s="873"/>
      <c r="BX21" s="873"/>
      <c r="BY21" s="873"/>
      <c r="BZ21" s="873"/>
      <c r="CA21" s="873"/>
      <c r="CB21" s="873"/>
      <c r="CC21" s="873"/>
      <c r="CD21" s="873"/>
      <c r="CE21" s="873"/>
      <c r="CF21" s="873"/>
      <c r="CG21" s="873"/>
      <c r="CH21" s="873"/>
      <c r="CI21" s="873"/>
      <c r="CJ21" s="873"/>
      <c r="CK21" s="873"/>
      <c r="CL21" s="873"/>
      <c r="CM21" s="873"/>
      <c r="CN21" s="873"/>
      <c r="CO21" s="873"/>
      <c r="CP21" s="873"/>
      <c r="CQ21" s="873"/>
      <c r="CR21" s="873"/>
      <c r="CS21" s="873"/>
      <c r="CT21" s="873"/>
      <c r="CU21" s="873"/>
      <c r="CV21" s="873"/>
      <c r="CW21" s="873"/>
      <c r="CX21" s="873"/>
      <c r="CY21" s="873"/>
      <c r="CZ21" s="873"/>
      <c r="DA21" s="873"/>
      <c r="DB21" s="873"/>
      <c r="DC21" s="873"/>
      <c r="DD21" s="873"/>
      <c r="DE21" s="873"/>
      <c r="DF21" s="873"/>
      <c r="DG21" s="873"/>
      <c r="DH21" s="873"/>
      <c r="DI21" s="873"/>
      <c r="DJ21" s="873"/>
      <c r="DK21" s="873"/>
      <c r="DL21" s="873"/>
      <c r="DM21" s="873"/>
      <c r="DN21" s="873"/>
      <c r="DO21" s="873"/>
      <c r="DP21" s="873"/>
      <c r="DQ21" s="873"/>
      <c r="DR21" s="873"/>
      <c r="DS21" s="873"/>
      <c r="DT21" s="873"/>
      <c r="DU21" s="873"/>
      <c r="DV21" s="873"/>
      <c r="DW21" s="873"/>
      <c r="DX21" s="873"/>
      <c r="DY21" s="873"/>
      <c r="DZ21" s="873"/>
      <c r="EA21" s="873"/>
      <c r="EB21" s="873"/>
      <c r="EC21" s="873"/>
      <c r="ED21" s="873"/>
      <c r="EE21" s="873"/>
      <c r="EF21" s="873"/>
      <c r="EG21" s="873"/>
      <c r="EH21" s="873"/>
      <c r="EI21" s="873"/>
      <c r="EJ21" s="873"/>
      <c r="EK21" s="873"/>
      <c r="EL21" s="873"/>
      <c r="EM21" s="873"/>
      <c r="EN21" s="873"/>
      <c r="EO21" s="873"/>
      <c r="EP21" s="873"/>
      <c r="EQ21" s="873"/>
      <c r="ER21" s="873"/>
      <c r="ES21" s="873"/>
      <c r="ET21" s="873"/>
      <c r="EU21" s="873"/>
      <c r="EV21" s="873"/>
      <c r="EW21" s="873"/>
      <c r="EX21" s="873"/>
      <c r="EY21" s="873"/>
      <c r="EZ21" s="873"/>
      <c r="FA21" s="873"/>
      <c r="FB21" s="873"/>
      <c r="FC21" s="873"/>
      <c r="FD21" s="873"/>
      <c r="FE21" s="873"/>
      <c r="FF21" s="873"/>
      <c r="FG21" s="873"/>
      <c r="FH21" s="873"/>
      <c r="FI21" s="873"/>
      <c r="FJ21" s="873"/>
      <c r="FK21" s="873"/>
      <c r="FL21" s="873"/>
      <c r="FM21" s="873"/>
      <c r="FN21" s="873"/>
      <c r="FO21" s="873"/>
      <c r="FP21" s="873"/>
      <c r="FQ21" s="873"/>
      <c r="FR21" s="873"/>
      <c r="FS21" s="873"/>
      <c r="FT21" s="873"/>
      <c r="FU21" s="873"/>
      <c r="FV21" s="873"/>
      <c r="FW21" s="873"/>
      <c r="FX21" s="873"/>
      <c r="FY21" s="873"/>
      <c r="FZ21" s="873"/>
      <c r="GA21" s="873"/>
      <c r="GB21" s="873"/>
      <c r="GC21" s="873"/>
      <c r="GD21" s="873"/>
      <c r="GE21" s="873"/>
      <c r="GF21" s="873"/>
      <c r="GG21" s="873"/>
      <c r="GH21" s="873"/>
      <c r="GI21" s="873"/>
      <c r="GJ21" s="873"/>
      <c r="GK21" s="873"/>
      <c r="GL21" s="873"/>
      <c r="GM21" s="873"/>
      <c r="GN21" s="873"/>
      <c r="GO21" s="873"/>
      <c r="GP21" s="873"/>
      <c r="GQ21" s="873"/>
      <c r="GR21" s="873"/>
      <c r="GS21" s="873"/>
      <c r="GT21" s="873"/>
      <c r="GU21" s="873"/>
      <c r="GV21" s="873"/>
      <c r="GW21" s="873"/>
      <c r="GX21" s="873"/>
      <c r="GY21" s="873"/>
      <c r="GZ21" s="873"/>
      <c r="HA21" s="873"/>
      <c r="HB21" s="873"/>
      <c r="HC21" s="873"/>
      <c r="HD21" s="873"/>
      <c r="HE21" s="873"/>
      <c r="HF21" s="873"/>
      <c r="HG21" s="873"/>
      <c r="HH21" s="873"/>
      <c r="HI21" s="873"/>
      <c r="HJ21" s="873"/>
      <c r="HK21" s="873"/>
      <c r="HL21" s="873"/>
      <c r="HM21" s="873"/>
      <c r="HN21" s="873"/>
      <c r="HO21" s="873"/>
      <c r="HP21" s="873"/>
      <c r="HQ21" s="873"/>
      <c r="HR21" s="873"/>
      <c r="HS21" s="873"/>
      <c r="HT21" s="873"/>
      <c r="HU21" s="873"/>
      <c r="HV21" s="873"/>
      <c r="HW21" s="873"/>
      <c r="HX21" s="873"/>
      <c r="HY21" s="873"/>
      <c r="HZ21" s="873"/>
      <c r="IA21" s="873"/>
      <c r="IB21" s="873"/>
      <c r="IC21" s="873"/>
      <c r="ID21" s="873"/>
      <c r="IE21" s="873"/>
      <c r="IF21" s="873"/>
      <c r="IG21" s="873"/>
      <c r="IH21" s="873"/>
      <c r="II21" s="873"/>
      <c r="IJ21" s="873"/>
      <c r="IK21" s="873"/>
      <c r="IL21" s="873"/>
      <c r="IM21" s="873"/>
      <c r="IN21" s="873"/>
      <c r="IO21" s="873"/>
      <c r="IP21" s="873"/>
      <c r="IQ21" s="873"/>
      <c r="IR21" s="873"/>
      <c r="IS21" s="873"/>
      <c r="IT21" s="873"/>
      <c r="IU21" s="873"/>
      <c r="IV21" s="873"/>
      <c r="IW21" s="873"/>
      <c r="IX21" s="873"/>
      <c r="IY21" s="873"/>
      <c r="IZ21" s="873"/>
      <c r="JA21" s="873"/>
      <c r="JB21" s="873"/>
      <c r="JC21" s="873"/>
      <c r="JD21" s="873"/>
      <c r="JE21" s="873"/>
      <c r="JF21" s="873"/>
      <c r="JG21" s="873"/>
      <c r="JH21" s="873"/>
      <c r="JI21" s="873"/>
      <c r="JJ21" s="873"/>
      <c r="JK21" s="873"/>
      <c r="JL21" s="873"/>
      <c r="JM21" s="873"/>
      <c r="JN21" s="873"/>
      <c r="JO21" s="873"/>
      <c r="JP21" s="873"/>
      <c r="JQ21" s="873"/>
      <c r="JR21" s="873"/>
      <c r="JS21" s="873"/>
      <c r="JT21" s="873"/>
      <c r="JU21" s="873"/>
      <c r="JV21" s="402"/>
    </row>
    <row r="22" spans="1:282">
      <c r="A22" s="672"/>
      <c r="B22" s="408"/>
      <c r="C22" s="873"/>
      <c r="D22" s="888"/>
      <c r="E22" s="671"/>
      <c r="F22" s="873"/>
      <c r="G22" s="873"/>
      <c r="H22" s="873"/>
      <c r="I22" s="873"/>
      <c r="J22" s="873"/>
      <c r="K22" s="873"/>
      <c r="L22" s="873"/>
      <c r="M22" s="873"/>
      <c r="N22" s="873"/>
      <c r="O22" s="873"/>
      <c r="P22" s="873"/>
      <c r="Q22" s="873"/>
      <c r="R22" s="873"/>
      <c r="S22" s="873"/>
      <c r="T22" s="873"/>
      <c r="U22" s="873"/>
      <c r="V22" s="873"/>
      <c r="W22" s="873"/>
      <c r="X22" s="873"/>
      <c r="Y22" s="873"/>
      <c r="Z22" s="873"/>
      <c r="AA22" s="394"/>
      <c r="AB22" s="873"/>
      <c r="AC22" s="394"/>
      <c r="AD22" s="873"/>
      <c r="AE22" s="873"/>
      <c r="AF22" s="873"/>
      <c r="AG22" s="873"/>
      <c r="AH22" s="873"/>
      <c r="AI22" s="873"/>
      <c r="AJ22" s="403"/>
      <c r="AK22" s="403"/>
      <c r="AL22" s="873"/>
      <c r="AM22" s="873"/>
      <c r="AN22" s="403"/>
      <c r="AO22" s="403"/>
      <c r="AP22" s="394"/>
      <c r="AQ22" s="394"/>
      <c r="AR22" s="394"/>
      <c r="AS22" s="394"/>
      <c r="AT22" s="394"/>
      <c r="AU22" s="873"/>
      <c r="AV22" s="873"/>
      <c r="AW22" s="873"/>
      <c r="AX22" s="873"/>
      <c r="AY22" s="873"/>
      <c r="AZ22" s="873"/>
      <c r="BA22" s="394"/>
      <c r="BB22" s="873"/>
      <c r="BC22" s="873"/>
      <c r="BD22" s="873"/>
      <c r="BE22" s="873"/>
      <c r="BF22" s="873"/>
      <c r="BG22" s="873"/>
      <c r="BH22" s="873"/>
      <c r="BI22" s="873"/>
      <c r="BJ22" s="873"/>
      <c r="BK22" s="873"/>
      <c r="BL22" s="873"/>
      <c r="BM22" s="873"/>
      <c r="BN22" s="873"/>
      <c r="BO22" s="873"/>
      <c r="BP22" s="873"/>
      <c r="BQ22" s="873"/>
      <c r="BR22" s="873"/>
      <c r="BS22" s="873"/>
      <c r="BT22" s="873"/>
      <c r="BU22" s="873"/>
      <c r="BV22" s="873"/>
      <c r="BW22" s="873"/>
      <c r="BX22" s="873"/>
      <c r="BY22" s="873"/>
      <c r="BZ22" s="873"/>
      <c r="CA22" s="873"/>
      <c r="CB22" s="873"/>
      <c r="CC22" s="873"/>
      <c r="CD22" s="873"/>
      <c r="CE22" s="873"/>
      <c r="CF22" s="873"/>
      <c r="CG22" s="873"/>
      <c r="CH22" s="873"/>
      <c r="CI22" s="873"/>
      <c r="CJ22" s="873"/>
      <c r="CK22" s="873"/>
      <c r="CL22" s="873"/>
      <c r="CM22" s="873"/>
      <c r="CN22" s="873"/>
      <c r="CO22" s="873"/>
      <c r="CP22" s="873"/>
      <c r="CQ22" s="873"/>
      <c r="CR22" s="873"/>
      <c r="CS22" s="873"/>
      <c r="CT22" s="873"/>
      <c r="CU22" s="873"/>
      <c r="CV22" s="873"/>
      <c r="CW22" s="873"/>
      <c r="CX22" s="873"/>
      <c r="CY22" s="873"/>
      <c r="CZ22" s="873"/>
      <c r="DA22" s="873"/>
      <c r="DB22" s="873"/>
      <c r="DC22" s="873"/>
      <c r="DD22" s="873"/>
      <c r="DE22" s="873"/>
      <c r="DF22" s="873"/>
      <c r="DG22" s="873"/>
      <c r="DH22" s="873"/>
      <c r="DI22" s="873"/>
      <c r="DJ22" s="873"/>
      <c r="DK22" s="873"/>
      <c r="DL22" s="873"/>
      <c r="DM22" s="873"/>
      <c r="DN22" s="873"/>
      <c r="DO22" s="873"/>
      <c r="DP22" s="873"/>
      <c r="DQ22" s="873"/>
      <c r="DR22" s="873"/>
      <c r="DS22" s="873"/>
      <c r="DT22" s="873"/>
      <c r="DU22" s="873"/>
      <c r="DV22" s="873"/>
      <c r="DW22" s="873"/>
      <c r="DX22" s="873"/>
      <c r="DY22" s="873"/>
      <c r="DZ22" s="873"/>
      <c r="EA22" s="873"/>
      <c r="EB22" s="873"/>
      <c r="EC22" s="873"/>
      <c r="ED22" s="873"/>
      <c r="EE22" s="873"/>
      <c r="EF22" s="873"/>
      <c r="EG22" s="873"/>
      <c r="EH22" s="873"/>
      <c r="EI22" s="873"/>
      <c r="EJ22" s="873"/>
      <c r="EK22" s="873"/>
      <c r="EL22" s="873"/>
      <c r="EM22" s="873"/>
      <c r="EN22" s="873"/>
      <c r="EO22" s="873"/>
      <c r="EP22" s="873"/>
      <c r="EQ22" s="873"/>
      <c r="ER22" s="873"/>
      <c r="ES22" s="873"/>
      <c r="ET22" s="873"/>
      <c r="EU22" s="873"/>
      <c r="EV22" s="873"/>
      <c r="EW22" s="873"/>
      <c r="EX22" s="873"/>
      <c r="EY22" s="873"/>
      <c r="EZ22" s="873"/>
      <c r="FA22" s="873"/>
      <c r="FB22" s="873"/>
      <c r="FC22" s="873"/>
      <c r="FD22" s="873"/>
      <c r="FE22" s="873"/>
      <c r="FF22" s="873"/>
      <c r="FG22" s="873"/>
      <c r="FH22" s="873"/>
      <c r="FI22" s="873"/>
      <c r="FJ22" s="873"/>
      <c r="FK22" s="873"/>
      <c r="FL22" s="873"/>
      <c r="FM22" s="873"/>
      <c r="FN22" s="873"/>
      <c r="FO22" s="873"/>
      <c r="FP22" s="873"/>
      <c r="FQ22" s="873"/>
      <c r="FR22" s="873"/>
      <c r="FS22" s="873"/>
      <c r="FT22" s="873"/>
      <c r="FU22" s="873"/>
      <c r="FV22" s="873"/>
      <c r="FW22" s="873"/>
      <c r="FX22" s="873"/>
      <c r="FY22" s="873"/>
      <c r="FZ22" s="873"/>
      <c r="GA22" s="873"/>
      <c r="GB22" s="873"/>
      <c r="GC22" s="873"/>
      <c r="GD22" s="873"/>
      <c r="GE22" s="873"/>
      <c r="GF22" s="873"/>
      <c r="GG22" s="873"/>
      <c r="GH22" s="873"/>
      <c r="GI22" s="873"/>
      <c r="GJ22" s="873"/>
      <c r="GK22" s="873"/>
      <c r="GL22" s="873"/>
      <c r="GM22" s="873"/>
      <c r="GN22" s="873"/>
      <c r="GO22" s="873"/>
      <c r="GP22" s="873"/>
      <c r="GQ22" s="873"/>
      <c r="GR22" s="873"/>
      <c r="GS22" s="873"/>
      <c r="GT22" s="873"/>
      <c r="GU22" s="873"/>
      <c r="GV22" s="873"/>
      <c r="GW22" s="873"/>
      <c r="GX22" s="873"/>
      <c r="GY22" s="873"/>
      <c r="GZ22" s="873"/>
      <c r="HA22" s="873"/>
      <c r="HB22" s="873"/>
      <c r="HC22" s="873"/>
      <c r="HD22" s="873"/>
      <c r="HE22" s="873"/>
      <c r="HF22" s="873"/>
      <c r="HG22" s="873"/>
      <c r="HH22" s="873"/>
      <c r="HI22" s="873"/>
      <c r="HJ22" s="873"/>
      <c r="HK22" s="873"/>
      <c r="HL22" s="873"/>
      <c r="HM22" s="873"/>
      <c r="HN22" s="873"/>
      <c r="HO22" s="873"/>
      <c r="HP22" s="873"/>
      <c r="HQ22" s="873"/>
      <c r="HR22" s="873"/>
      <c r="HS22" s="873"/>
      <c r="HT22" s="873"/>
      <c r="HU22" s="873"/>
      <c r="HV22" s="873"/>
      <c r="HW22" s="873"/>
      <c r="HX22" s="873"/>
      <c r="HY22" s="873"/>
      <c r="HZ22" s="873"/>
      <c r="IA22" s="873"/>
      <c r="IB22" s="873"/>
      <c r="IC22" s="873"/>
      <c r="ID22" s="873"/>
      <c r="IE22" s="873"/>
      <c r="IF22" s="873"/>
      <c r="IG22" s="873"/>
      <c r="IH22" s="873"/>
      <c r="II22" s="873"/>
      <c r="IJ22" s="873"/>
      <c r="IK22" s="873"/>
      <c r="IL22" s="873"/>
      <c r="IM22" s="873"/>
      <c r="IN22" s="873"/>
      <c r="IO22" s="873"/>
      <c r="IP22" s="873"/>
      <c r="IQ22" s="873"/>
      <c r="IR22" s="873"/>
      <c r="IS22" s="873"/>
      <c r="IT22" s="873"/>
      <c r="IU22" s="873"/>
      <c r="IV22" s="873"/>
      <c r="IW22" s="873"/>
      <c r="IX22" s="873"/>
      <c r="IY22" s="873"/>
      <c r="IZ22" s="873"/>
      <c r="JA22" s="873"/>
      <c r="JB22" s="873"/>
      <c r="JC22" s="873"/>
      <c r="JD22" s="873"/>
      <c r="JE22" s="873"/>
      <c r="JF22" s="873"/>
      <c r="JG22" s="873"/>
      <c r="JH22" s="873"/>
      <c r="JI22" s="873"/>
      <c r="JJ22" s="873"/>
      <c r="JK22" s="873"/>
      <c r="JL22" s="873"/>
      <c r="JM22" s="873"/>
      <c r="JN22" s="873"/>
      <c r="JO22" s="873"/>
      <c r="JP22" s="873"/>
      <c r="JQ22" s="873"/>
      <c r="JR22" s="873"/>
      <c r="JS22" s="873"/>
      <c r="JT22" s="873"/>
      <c r="JU22" s="873"/>
      <c r="JV22" s="402"/>
    </row>
    <row r="23" spans="1:282">
      <c r="A23" s="672"/>
      <c r="B23" s="408"/>
      <c r="C23" s="873"/>
      <c r="D23" s="888"/>
      <c r="E23" s="671"/>
      <c r="F23" s="873"/>
      <c r="G23" s="873"/>
      <c r="H23" s="873"/>
      <c r="I23" s="873"/>
      <c r="J23" s="873"/>
      <c r="K23" s="873"/>
      <c r="L23" s="873"/>
      <c r="M23" s="873"/>
      <c r="N23" s="873"/>
      <c r="O23" s="873"/>
      <c r="P23" s="873"/>
      <c r="Q23" s="873"/>
      <c r="R23" s="873"/>
      <c r="S23" s="873"/>
      <c r="T23" s="873"/>
      <c r="U23" s="873"/>
      <c r="V23" s="873"/>
      <c r="W23" s="873"/>
      <c r="X23" s="873"/>
      <c r="Y23" s="873"/>
      <c r="Z23" s="873"/>
      <c r="AA23" s="394"/>
      <c r="AB23" s="873"/>
      <c r="AC23" s="394"/>
      <c r="AD23" s="873"/>
      <c r="AE23" s="873"/>
      <c r="AF23" s="873"/>
      <c r="AG23" s="873"/>
      <c r="AH23" s="873"/>
      <c r="AI23" s="873"/>
      <c r="AJ23" s="403"/>
      <c r="AK23" s="403"/>
      <c r="AL23" s="873"/>
      <c r="AM23" s="873"/>
      <c r="AN23" s="403"/>
      <c r="AO23" s="403"/>
      <c r="AP23" s="394"/>
      <c r="AQ23" s="394"/>
      <c r="AR23" s="394"/>
      <c r="AS23" s="394"/>
      <c r="AT23" s="394"/>
      <c r="AU23" s="873"/>
      <c r="AV23" s="873"/>
      <c r="AW23" s="873"/>
      <c r="AX23" s="873"/>
      <c r="AY23" s="873"/>
      <c r="AZ23" s="873"/>
      <c r="BA23" s="394"/>
      <c r="BB23" s="873"/>
      <c r="BC23" s="873"/>
      <c r="BD23" s="873"/>
      <c r="BE23" s="873"/>
      <c r="BF23" s="873"/>
      <c r="BG23" s="873"/>
      <c r="BH23" s="873"/>
      <c r="BI23" s="873"/>
      <c r="BJ23" s="873"/>
      <c r="BK23" s="873"/>
      <c r="BL23" s="873"/>
      <c r="BM23" s="873"/>
      <c r="BN23" s="873"/>
      <c r="BO23" s="873"/>
      <c r="BP23" s="873"/>
      <c r="BQ23" s="873"/>
      <c r="BR23" s="873"/>
      <c r="BS23" s="873"/>
      <c r="BT23" s="873"/>
      <c r="BU23" s="873"/>
      <c r="BV23" s="873"/>
      <c r="BW23" s="873"/>
      <c r="BX23" s="873"/>
      <c r="BY23" s="873"/>
      <c r="BZ23" s="873"/>
      <c r="CA23" s="873"/>
      <c r="CB23" s="873"/>
      <c r="CC23" s="873"/>
      <c r="CD23" s="873"/>
      <c r="CE23" s="873"/>
      <c r="CF23" s="873"/>
      <c r="CG23" s="873"/>
      <c r="CH23" s="873"/>
      <c r="CI23" s="873"/>
      <c r="CJ23" s="873"/>
      <c r="CK23" s="873"/>
      <c r="CL23" s="873"/>
      <c r="CM23" s="873"/>
      <c r="CN23" s="873"/>
      <c r="CO23" s="873"/>
      <c r="CP23" s="873"/>
      <c r="CQ23" s="873"/>
      <c r="CR23" s="873"/>
      <c r="CS23" s="873"/>
      <c r="CT23" s="873"/>
      <c r="CU23" s="873"/>
      <c r="CV23" s="873"/>
      <c r="CW23" s="873"/>
      <c r="CX23" s="873"/>
      <c r="CY23" s="873"/>
      <c r="CZ23" s="873"/>
      <c r="DA23" s="873"/>
      <c r="DB23" s="873"/>
      <c r="DC23" s="873"/>
      <c r="DD23" s="873"/>
      <c r="DE23" s="873"/>
      <c r="DF23" s="873"/>
      <c r="DG23" s="873"/>
      <c r="DH23" s="873"/>
      <c r="DI23" s="873"/>
      <c r="DJ23" s="873"/>
      <c r="DK23" s="873"/>
      <c r="DL23" s="873"/>
      <c r="DM23" s="873"/>
      <c r="DN23" s="873"/>
      <c r="DO23" s="873"/>
      <c r="DP23" s="873"/>
      <c r="DQ23" s="873"/>
      <c r="DR23" s="873"/>
      <c r="DS23" s="873"/>
      <c r="DT23" s="873"/>
      <c r="DU23" s="873"/>
      <c r="DV23" s="873"/>
      <c r="DW23" s="873"/>
      <c r="DX23" s="873"/>
      <c r="DY23" s="873"/>
      <c r="DZ23" s="873"/>
      <c r="EA23" s="873"/>
      <c r="EB23" s="873"/>
      <c r="EC23" s="873"/>
      <c r="ED23" s="873"/>
      <c r="EE23" s="873"/>
      <c r="EF23" s="873"/>
      <c r="EG23" s="873"/>
      <c r="EH23" s="873"/>
      <c r="EI23" s="873"/>
      <c r="EJ23" s="873"/>
      <c r="EK23" s="873"/>
      <c r="EL23" s="873"/>
      <c r="EM23" s="873"/>
      <c r="EN23" s="873"/>
      <c r="EO23" s="873"/>
      <c r="EP23" s="873"/>
      <c r="EQ23" s="873"/>
      <c r="ER23" s="873"/>
      <c r="ES23" s="873"/>
      <c r="ET23" s="873"/>
      <c r="EU23" s="873"/>
      <c r="EV23" s="873"/>
      <c r="EW23" s="873"/>
      <c r="EX23" s="873"/>
      <c r="EY23" s="873"/>
      <c r="EZ23" s="873"/>
      <c r="FA23" s="873"/>
      <c r="FB23" s="873"/>
      <c r="FC23" s="873"/>
      <c r="FD23" s="873"/>
      <c r="FE23" s="873"/>
      <c r="FF23" s="873"/>
      <c r="FG23" s="873"/>
      <c r="FH23" s="873"/>
      <c r="FI23" s="873"/>
      <c r="FJ23" s="873"/>
      <c r="FK23" s="873"/>
      <c r="FL23" s="873"/>
      <c r="FM23" s="873"/>
      <c r="FN23" s="873"/>
      <c r="FO23" s="873"/>
      <c r="FP23" s="873"/>
      <c r="FQ23" s="873"/>
      <c r="FR23" s="873"/>
      <c r="FS23" s="873"/>
      <c r="FT23" s="873"/>
      <c r="FU23" s="873"/>
      <c r="FV23" s="873"/>
      <c r="FW23" s="873"/>
      <c r="FX23" s="873"/>
      <c r="FY23" s="873"/>
      <c r="FZ23" s="873"/>
      <c r="GA23" s="873"/>
      <c r="GB23" s="873"/>
      <c r="GC23" s="873"/>
      <c r="GD23" s="873"/>
      <c r="GE23" s="873"/>
      <c r="GF23" s="873"/>
      <c r="GG23" s="873"/>
      <c r="GH23" s="873"/>
      <c r="GI23" s="873"/>
      <c r="GJ23" s="873"/>
      <c r="GK23" s="873"/>
      <c r="GL23" s="873"/>
      <c r="GM23" s="873"/>
      <c r="GN23" s="873"/>
      <c r="GO23" s="873"/>
      <c r="GP23" s="873"/>
      <c r="GQ23" s="873"/>
      <c r="GR23" s="873"/>
      <c r="GS23" s="873"/>
      <c r="GT23" s="873"/>
      <c r="GU23" s="873"/>
      <c r="GV23" s="873"/>
      <c r="GW23" s="873"/>
      <c r="GX23" s="873"/>
      <c r="GY23" s="873"/>
      <c r="GZ23" s="873"/>
      <c r="HA23" s="873"/>
      <c r="HB23" s="873"/>
      <c r="HC23" s="873"/>
      <c r="HD23" s="873"/>
      <c r="HE23" s="873"/>
      <c r="HF23" s="873"/>
      <c r="HG23" s="873"/>
      <c r="HH23" s="873"/>
      <c r="HI23" s="873"/>
      <c r="HJ23" s="873"/>
      <c r="HK23" s="873"/>
      <c r="HL23" s="873"/>
      <c r="HM23" s="873"/>
      <c r="HN23" s="873"/>
      <c r="HO23" s="873"/>
      <c r="HP23" s="873"/>
      <c r="HQ23" s="873"/>
      <c r="HR23" s="873"/>
      <c r="HS23" s="873"/>
      <c r="HT23" s="873"/>
      <c r="HU23" s="873"/>
      <c r="HV23" s="873"/>
      <c r="HW23" s="873"/>
      <c r="HX23" s="873"/>
      <c r="HY23" s="873"/>
      <c r="HZ23" s="873"/>
      <c r="IA23" s="873"/>
      <c r="IB23" s="873"/>
      <c r="IC23" s="873"/>
      <c r="ID23" s="873"/>
      <c r="IE23" s="873"/>
      <c r="IF23" s="873"/>
      <c r="IG23" s="873"/>
      <c r="IH23" s="873"/>
      <c r="II23" s="873"/>
      <c r="IJ23" s="873"/>
      <c r="IK23" s="873"/>
      <c r="IL23" s="873"/>
      <c r="IM23" s="873"/>
      <c r="IN23" s="873"/>
      <c r="IO23" s="873"/>
      <c r="IP23" s="873"/>
      <c r="IQ23" s="873"/>
      <c r="IR23" s="873"/>
      <c r="IS23" s="873"/>
      <c r="IT23" s="873"/>
      <c r="IU23" s="873"/>
      <c r="IV23" s="873"/>
      <c r="IW23" s="873"/>
      <c r="IX23" s="873"/>
      <c r="IY23" s="873"/>
      <c r="IZ23" s="873"/>
      <c r="JA23" s="873"/>
      <c r="JB23" s="873"/>
      <c r="JC23" s="873"/>
      <c r="JD23" s="873"/>
      <c r="JE23" s="873"/>
      <c r="JF23" s="873"/>
      <c r="JG23" s="873"/>
      <c r="JH23" s="873"/>
      <c r="JI23" s="873"/>
      <c r="JJ23" s="873"/>
      <c r="JK23" s="873"/>
      <c r="JL23" s="873"/>
      <c r="JM23" s="873"/>
      <c r="JN23" s="873"/>
      <c r="JO23" s="873"/>
      <c r="JP23" s="873"/>
      <c r="JQ23" s="873"/>
      <c r="JR23" s="873"/>
      <c r="JS23" s="873"/>
      <c r="JT23" s="873"/>
      <c r="JU23" s="873"/>
      <c r="JV23" s="402"/>
    </row>
    <row r="24" spans="1:282">
      <c r="A24" s="672"/>
      <c r="B24" s="408"/>
      <c r="C24" s="873"/>
      <c r="D24" s="888"/>
      <c r="E24" s="671"/>
      <c r="F24" s="873"/>
      <c r="G24" s="873"/>
      <c r="H24" s="873"/>
      <c r="I24" s="873"/>
      <c r="J24" s="873"/>
      <c r="K24" s="873"/>
      <c r="L24" s="873"/>
      <c r="M24" s="873"/>
      <c r="N24" s="873"/>
      <c r="O24" s="873"/>
      <c r="P24" s="873"/>
      <c r="Q24" s="873"/>
      <c r="R24" s="873"/>
      <c r="S24" s="873"/>
      <c r="T24" s="873"/>
      <c r="U24" s="873"/>
      <c r="V24" s="873"/>
      <c r="W24" s="873"/>
      <c r="X24" s="873"/>
      <c r="Y24" s="873"/>
      <c r="Z24" s="873"/>
      <c r="AA24" s="394"/>
      <c r="AB24" s="873"/>
      <c r="AC24" s="394"/>
      <c r="AD24" s="873"/>
      <c r="AE24" s="873"/>
      <c r="AF24" s="873"/>
      <c r="AG24" s="873"/>
      <c r="AH24" s="873"/>
      <c r="AI24" s="873"/>
      <c r="AJ24" s="403"/>
      <c r="AK24" s="403"/>
      <c r="AL24" s="873"/>
      <c r="AM24" s="873"/>
      <c r="AN24" s="403"/>
      <c r="AO24" s="403"/>
      <c r="AP24" s="394"/>
      <c r="AQ24" s="394"/>
      <c r="AR24" s="394"/>
      <c r="AS24" s="394"/>
      <c r="AT24" s="394"/>
      <c r="AU24" s="873"/>
      <c r="AV24" s="873"/>
      <c r="AW24" s="873"/>
      <c r="AX24" s="873"/>
      <c r="AY24" s="873"/>
      <c r="AZ24" s="873"/>
      <c r="BA24" s="394"/>
      <c r="BB24" s="873"/>
      <c r="BC24" s="873"/>
      <c r="BD24" s="873"/>
      <c r="BE24" s="873"/>
      <c r="BF24" s="873"/>
      <c r="BG24" s="873"/>
      <c r="BH24" s="873"/>
      <c r="BI24" s="873"/>
      <c r="BJ24" s="873"/>
      <c r="BK24" s="873"/>
      <c r="BL24" s="873"/>
      <c r="BM24" s="873"/>
      <c r="BN24" s="873"/>
      <c r="BO24" s="873"/>
      <c r="BP24" s="873"/>
      <c r="BQ24" s="873"/>
      <c r="BR24" s="873"/>
      <c r="BS24" s="873"/>
      <c r="BT24" s="873"/>
      <c r="BU24" s="873"/>
      <c r="BV24" s="873"/>
      <c r="BW24" s="873"/>
      <c r="BX24" s="873"/>
      <c r="BY24" s="873"/>
      <c r="BZ24" s="873"/>
      <c r="CA24" s="873"/>
      <c r="CB24" s="873"/>
      <c r="CC24" s="873"/>
      <c r="CD24" s="873"/>
      <c r="CE24" s="873"/>
      <c r="CF24" s="873"/>
      <c r="CG24" s="873"/>
      <c r="CH24" s="873"/>
      <c r="CI24" s="873"/>
      <c r="CJ24" s="873"/>
      <c r="CK24" s="873"/>
      <c r="CL24" s="873"/>
      <c r="CM24" s="873"/>
      <c r="CN24" s="873"/>
      <c r="CO24" s="873"/>
      <c r="CP24" s="873"/>
      <c r="CQ24" s="873"/>
      <c r="CR24" s="873"/>
      <c r="CS24" s="873"/>
      <c r="CT24" s="873"/>
      <c r="CU24" s="873"/>
      <c r="CV24" s="873"/>
      <c r="CW24" s="873"/>
      <c r="CX24" s="873"/>
      <c r="CY24" s="873"/>
      <c r="CZ24" s="873"/>
      <c r="DA24" s="873"/>
      <c r="DB24" s="873"/>
      <c r="DC24" s="873"/>
      <c r="DD24" s="873"/>
      <c r="DE24" s="873"/>
      <c r="DF24" s="873"/>
      <c r="DG24" s="873"/>
      <c r="DH24" s="873"/>
      <c r="DI24" s="873"/>
      <c r="DJ24" s="873"/>
      <c r="DK24" s="873"/>
      <c r="DL24" s="873"/>
      <c r="DM24" s="873"/>
      <c r="DN24" s="873"/>
      <c r="DO24" s="873"/>
      <c r="DP24" s="873"/>
      <c r="DQ24" s="873"/>
      <c r="DR24" s="873"/>
      <c r="DS24" s="873"/>
      <c r="DT24" s="873"/>
      <c r="DU24" s="873"/>
      <c r="DV24" s="873"/>
      <c r="DW24" s="873"/>
      <c r="DX24" s="873"/>
      <c r="DY24" s="873"/>
      <c r="DZ24" s="873"/>
      <c r="EA24" s="873"/>
      <c r="EB24" s="873"/>
      <c r="EC24" s="873"/>
      <c r="ED24" s="873"/>
      <c r="EE24" s="873"/>
      <c r="EF24" s="873"/>
      <c r="EG24" s="873"/>
      <c r="EH24" s="873"/>
      <c r="EI24" s="873"/>
      <c r="EJ24" s="873"/>
      <c r="EK24" s="873"/>
      <c r="EL24" s="873"/>
      <c r="EM24" s="873"/>
      <c r="EN24" s="873"/>
      <c r="EO24" s="873"/>
      <c r="EP24" s="873"/>
      <c r="EQ24" s="873"/>
      <c r="ER24" s="873"/>
      <c r="ES24" s="873"/>
      <c r="ET24" s="873"/>
      <c r="EU24" s="873"/>
      <c r="EV24" s="873"/>
      <c r="EW24" s="873"/>
      <c r="EX24" s="873"/>
      <c r="EY24" s="873"/>
      <c r="EZ24" s="873"/>
      <c r="FA24" s="873"/>
      <c r="FB24" s="873"/>
      <c r="FC24" s="873"/>
      <c r="FD24" s="873"/>
      <c r="FE24" s="873"/>
      <c r="FF24" s="873"/>
      <c r="FG24" s="873"/>
      <c r="FH24" s="873"/>
      <c r="FI24" s="873"/>
      <c r="FJ24" s="873"/>
      <c r="FK24" s="873"/>
      <c r="FL24" s="873"/>
      <c r="FM24" s="873"/>
      <c r="FN24" s="873"/>
      <c r="FO24" s="873"/>
      <c r="FP24" s="873"/>
      <c r="FQ24" s="873"/>
      <c r="FR24" s="873"/>
      <c r="FS24" s="873"/>
      <c r="FT24" s="873"/>
      <c r="FU24" s="873"/>
      <c r="FV24" s="873"/>
      <c r="FW24" s="873"/>
      <c r="FX24" s="873"/>
      <c r="FY24" s="873"/>
      <c r="FZ24" s="873"/>
      <c r="GA24" s="873"/>
      <c r="GB24" s="873"/>
      <c r="GC24" s="873"/>
      <c r="GD24" s="873"/>
      <c r="GE24" s="873"/>
      <c r="GF24" s="873"/>
      <c r="GG24" s="873"/>
      <c r="GH24" s="873"/>
      <c r="GI24" s="873"/>
      <c r="GJ24" s="873"/>
      <c r="GK24" s="873"/>
      <c r="GL24" s="873"/>
      <c r="GM24" s="873"/>
      <c r="GN24" s="873"/>
      <c r="GO24" s="873"/>
      <c r="GP24" s="873"/>
      <c r="GQ24" s="873"/>
      <c r="GR24" s="873"/>
      <c r="GS24" s="873"/>
      <c r="GT24" s="873"/>
      <c r="GU24" s="873"/>
      <c r="GV24" s="873"/>
      <c r="GW24" s="873"/>
      <c r="GX24" s="873"/>
      <c r="GY24" s="873"/>
      <c r="GZ24" s="873"/>
      <c r="HA24" s="873"/>
      <c r="HB24" s="873"/>
      <c r="HC24" s="873"/>
      <c r="HD24" s="873"/>
      <c r="HE24" s="873"/>
      <c r="HF24" s="873"/>
      <c r="HG24" s="873"/>
      <c r="HH24" s="873"/>
      <c r="HI24" s="873"/>
      <c r="HJ24" s="873"/>
      <c r="HK24" s="873"/>
      <c r="HL24" s="873"/>
      <c r="HM24" s="873"/>
      <c r="HN24" s="873"/>
      <c r="HO24" s="873"/>
      <c r="HP24" s="873"/>
      <c r="HQ24" s="873"/>
      <c r="HR24" s="873"/>
      <c r="HS24" s="873"/>
      <c r="HT24" s="873"/>
      <c r="HU24" s="873"/>
      <c r="HV24" s="873"/>
      <c r="HW24" s="873"/>
      <c r="HX24" s="873"/>
      <c r="HY24" s="873"/>
      <c r="HZ24" s="873"/>
      <c r="IA24" s="873"/>
      <c r="IB24" s="873"/>
      <c r="IC24" s="873"/>
      <c r="ID24" s="873"/>
      <c r="IE24" s="873"/>
      <c r="IF24" s="873"/>
      <c r="IG24" s="873"/>
      <c r="IH24" s="873"/>
      <c r="II24" s="873"/>
      <c r="IJ24" s="873"/>
      <c r="IK24" s="873"/>
      <c r="IL24" s="873"/>
      <c r="IM24" s="873"/>
      <c r="IN24" s="873"/>
      <c r="IO24" s="873"/>
      <c r="IP24" s="873"/>
      <c r="IQ24" s="873"/>
      <c r="IR24" s="873"/>
      <c r="IS24" s="873"/>
      <c r="IT24" s="873"/>
      <c r="IU24" s="873"/>
      <c r="IV24" s="873"/>
      <c r="IW24" s="873"/>
      <c r="IX24" s="873"/>
      <c r="IY24" s="873"/>
      <c r="IZ24" s="873"/>
      <c r="JA24" s="873"/>
      <c r="JB24" s="873"/>
      <c r="JC24" s="873"/>
      <c r="JD24" s="873"/>
      <c r="JE24" s="873"/>
      <c r="JF24" s="873"/>
      <c r="JG24" s="873"/>
      <c r="JH24" s="873"/>
      <c r="JI24" s="873"/>
      <c r="JJ24" s="873"/>
      <c r="JK24" s="873"/>
      <c r="JL24" s="873"/>
      <c r="JM24" s="873"/>
      <c r="JN24" s="873"/>
      <c r="JO24" s="873"/>
      <c r="JP24" s="873"/>
      <c r="JQ24" s="873"/>
      <c r="JR24" s="873"/>
      <c r="JS24" s="873"/>
      <c r="JT24" s="873"/>
      <c r="JU24" s="873"/>
      <c r="JV24" s="402"/>
    </row>
    <row r="25" spans="1:282">
      <c r="A25" s="672"/>
      <c r="B25" s="408"/>
      <c r="C25" s="873"/>
      <c r="D25" s="888"/>
      <c r="E25" s="671"/>
      <c r="F25" s="873"/>
      <c r="G25" s="873"/>
      <c r="H25" s="873"/>
      <c r="I25" s="873"/>
      <c r="J25" s="873"/>
      <c r="K25" s="873"/>
      <c r="L25" s="873"/>
      <c r="M25" s="873"/>
      <c r="N25" s="873"/>
      <c r="O25" s="873"/>
      <c r="P25" s="873"/>
      <c r="Q25" s="873"/>
      <c r="R25" s="873"/>
      <c r="S25" s="873"/>
      <c r="T25" s="873"/>
      <c r="U25" s="873"/>
      <c r="V25" s="873"/>
      <c r="W25" s="873"/>
      <c r="X25" s="873"/>
      <c r="Y25" s="873"/>
      <c r="Z25" s="873"/>
      <c r="AA25" s="394"/>
      <c r="AB25" s="873"/>
      <c r="AC25" s="394"/>
      <c r="AD25" s="873"/>
      <c r="AE25" s="873"/>
      <c r="AF25" s="873"/>
      <c r="AG25" s="873"/>
      <c r="AH25" s="873"/>
      <c r="AI25" s="873"/>
      <c r="AJ25" s="403"/>
      <c r="AK25" s="403"/>
      <c r="AL25" s="873"/>
      <c r="AM25" s="873"/>
      <c r="AN25" s="403"/>
      <c r="AO25" s="403"/>
      <c r="AP25" s="394"/>
      <c r="AQ25" s="394"/>
      <c r="AR25" s="394"/>
      <c r="AS25" s="394"/>
      <c r="AT25" s="394"/>
      <c r="AU25" s="873"/>
      <c r="AV25" s="873"/>
      <c r="AW25" s="873"/>
      <c r="AX25" s="873"/>
      <c r="AY25" s="873"/>
      <c r="AZ25" s="873"/>
      <c r="BA25" s="394"/>
      <c r="BB25" s="873"/>
      <c r="BC25" s="873"/>
      <c r="BD25" s="873"/>
      <c r="BE25" s="873"/>
      <c r="BF25" s="873"/>
      <c r="BG25" s="873"/>
      <c r="BH25" s="873"/>
      <c r="BI25" s="873"/>
      <c r="BJ25" s="873"/>
      <c r="BK25" s="873"/>
      <c r="BL25" s="873"/>
      <c r="BM25" s="873"/>
      <c r="BN25" s="873"/>
      <c r="BO25" s="873"/>
      <c r="BP25" s="873"/>
      <c r="BQ25" s="873"/>
      <c r="BR25" s="873"/>
      <c r="BS25" s="873"/>
      <c r="BT25" s="873"/>
      <c r="BU25" s="873"/>
      <c r="BV25" s="873"/>
      <c r="BW25" s="873"/>
      <c r="BX25" s="873"/>
      <c r="BY25" s="873"/>
      <c r="BZ25" s="873"/>
      <c r="CA25" s="873"/>
      <c r="CB25" s="873"/>
      <c r="CC25" s="873"/>
      <c r="CD25" s="873"/>
      <c r="CE25" s="873"/>
      <c r="CF25" s="873"/>
      <c r="CG25" s="873"/>
      <c r="CH25" s="873"/>
      <c r="CI25" s="873"/>
      <c r="CJ25" s="873"/>
      <c r="CK25" s="873"/>
      <c r="CL25" s="873"/>
      <c r="CM25" s="873"/>
      <c r="CN25" s="873"/>
      <c r="CO25" s="873"/>
      <c r="CP25" s="873"/>
      <c r="CQ25" s="873"/>
      <c r="CR25" s="873"/>
      <c r="CS25" s="873"/>
      <c r="CT25" s="873"/>
      <c r="CU25" s="873"/>
      <c r="CV25" s="873"/>
      <c r="CW25" s="873"/>
      <c r="CX25" s="873"/>
      <c r="CY25" s="873"/>
      <c r="CZ25" s="873"/>
      <c r="DA25" s="873"/>
      <c r="DB25" s="873"/>
      <c r="DC25" s="873"/>
      <c r="DD25" s="873"/>
      <c r="DE25" s="873"/>
      <c r="DF25" s="873"/>
      <c r="DG25" s="873"/>
      <c r="DH25" s="873"/>
      <c r="DI25" s="873"/>
      <c r="DJ25" s="873"/>
      <c r="DK25" s="873"/>
      <c r="DL25" s="873"/>
      <c r="DM25" s="873"/>
      <c r="DN25" s="873"/>
      <c r="DO25" s="873"/>
      <c r="DP25" s="873"/>
      <c r="DQ25" s="873"/>
      <c r="DR25" s="873"/>
      <c r="DS25" s="873"/>
      <c r="DT25" s="873"/>
      <c r="DU25" s="873"/>
      <c r="DV25" s="873"/>
      <c r="DW25" s="873"/>
      <c r="DX25" s="873"/>
      <c r="DY25" s="873"/>
      <c r="DZ25" s="873"/>
      <c r="EA25" s="873"/>
      <c r="EB25" s="873"/>
      <c r="EC25" s="873"/>
      <c r="ED25" s="873"/>
      <c r="EE25" s="873"/>
      <c r="EF25" s="873"/>
      <c r="EG25" s="873"/>
      <c r="EH25" s="873"/>
      <c r="EI25" s="873"/>
      <c r="EJ25" s="873"/>
      <c r="EK25" s="873"/>
      <c r="EL25" s="873"/>
      <c r="EM25" s="873"/>
      <c r="EN25" s="873"/>
      <c r="EO25" s="873"/>
      <c r="EP25" s="873"/>
      <c r="EQ25" s="873"/>
      <c r="ER25" s="873"/>
      <c r="ES25" s="873"/>
      <c r="ET25" s="873"/>
      <c r="EU25" s="873"/>
      <c r="EV25" s="873"/>
      <c r="EW25" s="873"/>
      <c r="EX25" s="873"/>
      <c r="EY25" s="873"/>
      <c r="EZ25" s="873"/>
      <c r="FA25" s="873"/>
      <c r="FB25" s="873"/>
      <c r="FC25" s="873"/>
      <c r="FD25" s="873"/>
      <c r="FE25" s="873"/>
      <c r="FF25" s="873"/>
      <c r="FG25" s="873"/>
      <c r="FH25" s="873"/>
      <c r="FI25" s="873"/>
      <c r="FJ25" s="873"/>
      <c r="FK25" s="873"/>
      <c r="FL25" s="873"/>
      <c r="FM25" s="873"/>
      <c r="FN25" s="873"/>
      <c r="FO25" s="873"/>
      <c r="FP25" s="873"/>
      <c r="FQ25" s="873"/>
      <c r="FR25" s="873"/>
      <c r="FS25" s="873"/>
      <c r="FT25" s="873"/>
      <c r="FU25" s="873"/>
      <c r="FV25" s="873"/>
      <c r="FW25" s="873"/>
      <c r="FX25" s="873"/>
      <c r="FY25" s="873"/>
      <c r="FZ25" s="873"/>
      <c r="GA25" s="873"/>
      <c r="GB25" s="873"/>
      <c r="GC25" s="873"/>
      <c r="GD25" s="873"/>
      <c r="GE25" s="873"/>
      <c r="GF25" s="873"/>
      <c r="GG25" s="873"/>
      <c r="GH25" s="873"/>
      <c r="GI25" s="873"/>
      <c r="GJ25" s="873"/>
      <c r="GK25" s="873"/>
      <c r="GL25" s="873"/>
      <c r="GM25" s="873"/>
      <c r="GN25" s="873"/>
      <c r="GO25" s="873"/>
      <c r="GP25" s="873"/>
      <c r="GQ25" s="873"/>
      <c r="GR25" s="873"/>
      <c r="GS25" s="873"/>
      <c r="GT25" s="873"/>
      <c r="GU25" s="873"/>
      <c r="GV25" s="873"/>
      <c r="GW25" s="873"/>
      <c r="GX25" s="873"/>
      <c r="GY25" s="873"/>
      <c r="GZ25" s="873"/>
      <c r="HA25" s="873"/>
      <c r="HB25" s="873"/>
      <c r="HC25" s="873"/>
      <c r="HD25" s="873"/>
      <c r="HE25" s="873"/>
      <c r="HF25" s="873"/>
      <c r="HG25" s="873"/>
      <c r="HH25" s="873"/>
      <c r="HI25" s="873"/>
      <c r="HJ25" s="873"/>
      <c r="HK25" s="873"/>
      <c r="HL25" s="873"/>
      <c r="HM25" s="873"/>
      <c r="HN25" s="873"/>
      <c r="HO25" s="873"/>
      <c r="HP25" s="873"/>
      <c r="HQ25" s="873"/>
      <c r="HR25" s="873"/>
      <c r="HS25" s="873"/>
      <c r="HT25" s="873"/>
      <c r="HU25" s="873"/>
      <c r="HV25" s="873"/>
      <c r="HW25" s="873"/>
      <c r="HX25" s="873"/>
      <c r="HY25" s="873"/>
      <c r="HZ25" s="873"/>
      <c r="IA25" s="873"/>
      <c r="IB25" s="873"/>
      <c r="IC25" s="873"/>
      <c r="ID25" s="873"/>
      <c r="IE25" s="873"/>
      <c r="IF25" s="873"/>
      <c r="IG25" s="873"/>
      <c r="IH25" s="873"/>
      <c r="II25" s="873"/>
      <c r="IJ25" s="873"/>
      <c r="IK25" s="873"/>
      <c r="IL25" s="873"/>
      <c r="IM25" s="873"/>
      <c r="IN25" s="873"/>
      <c r="IO25" s="873"/>
      <c r="IP25" s="873"/>
      <c r="IQ25" s="873"/>
      <c r="IR25" s="873"/>
      <c r="IS25" s="873"/>
      <c r="IT25" s="873"/>
      <c r="IU25" s="873"/>
      <c r="IV25" s="873"/>
      <c r="IW25" s="873"/>
      <c r="IX25" s="873"/>
      <c r="IY25" s="873"/>
      <c r="IZ25" s="873"/>
      <c r="JA25" s="873"/>
      <c r="JB25" s="873"/>
      <c r="JC25" s="873"/>
      <c r="JD25" s="873"/>
      <c r="JE25" s="873"/>
      <c r="JF25" s="873"/>
      <c r="JG25" s="873"/>
      <c r="JH25" s="873"/>
      <c r="JI25" s="873"/>
      <c r="JJ25" s="873"/>
      <c r="JK25" s="873"/>
      <c r="JL25" s="873"/>
      <c r="JM25" s="873"/>
      <c r="JN25" s="873"/>
      <c r="JO25" s="873"/>
      <c r="JP25" s="873"/>
      <c r="JQ25" s="873"/>
      <c r="JR25" s="873"/>
      <c r="JS25" s="873"/>
      <c r="JT25" s="873"/>
      <c r="JU25" s="873"/>
      <c r="JV25" s="402"/>
    </row>
    <row r="26" spans="1:282">
      <c r="A26" s="672"/>
      <c r="B26" s="408"/>
      <c r="C26" s="873"/>
      <c r="D26" s="888"/>
      <c r="E26" s="671"/>
      <c r="F26" s="873"/>
      <c r="G26" s="873"/>
      <c r="H26" s="873"/>
      <c r="I26" s="873"/>
      <c r="J26" s="873"/>
      <c r="K26" s="873"/>
      <c r="L26" s="873"/>
      <c r="M26" s="873"/>
      <c r="N26" s="873"/>
      <c r="O26" s="873"/>
      <c r="P26" s="873"/>
      <c r="Q26" s="873"/>
      <c r="R26" s="873"/>
      <c r="S26" s="873"/>
      <c r="T26" s="873"/>
      <c r="U26" s="873"/>
      <c r="V26" s="873"/>
      <c r="W26" s="873"/>
      <c r="X26" s="873"/>
      <c r="Y26" s="873"/>
      <c r="Z26" s="873"/>
      <c r="AA26" s="394"/>
      <c r="AB26" s="873"/>
      <c r="AC26" s="394"/>
      <c r="AD26" s="873"/>
      <c r="AE26" s="873"/>
      <c r="AF26" s="873"/>
      <c r="AG26" s="873"/>
      <c r="AH26" s="873"/>
      <c r="AI26" s="873"/>
      <c r="AJ26" s="403"/>
      <c r="AK26" s="403"/>
      <c r="AL26" s="873"/>
      <c r="AM26" s="873"/>
      <c r="AN26" s="403"/>
      <c r="AO26" s="403"/>
      <c r="AP26" s="394"/>
      <c r="AQ26" s="394"/>
      <c r="AR26" s="394"/>
      <c r="AS26" s="394"/>
      <c r="AT26" s="394"/>
      <c r="AU26" s="873"/>
      <c r="AV26" s="873"/>
      <c r="AW26" s="873"/>
      <c r="AX26" s="873"/>
      <c r="AY26" s="873"/>
      <c r="AZ26" s="873"/>
      <c r="BA26" s="394"/>
      <c r="BB26" s="873"/>
      <c r="BC26" s="873"/>
      <c r="BD26" s="873"/>
      <c r="BE26" s="873"/>
      <c r="BF26" s="873"/>
      <c r="BG26" s="873"/>
      <c r="BH26" s="873"/>
      <c r="BI26" s="873"/>
      <c r="BJ26" s="873"/>
      <c r="BK26" s="873"/>
      <c r="BL26" s="873"/>
      <c r="BM26" s="873"/>
      <c r="BN26" s="873"/>
      <c r="BO26" s="873"/>
      <c r="BP26" s="873"/>
      <c r="BQ26" s="873"/>
      <c r="BR26" s="873"/>
      <c r="BS26" s="873"/>
      <c r="BT26" s="873"/>
      <c r="BU26" s="873"/>
      <c r="BV26" s="873"/>
      <c r="BW26" s="873"/>
      <c r="BX26" s="873"/>
      <c r="BY26" s="873"/>
      <c r="BZ26" s="873"/>
      <c r="CA26" s="873"/>
      <c r="CB26" s="873"/>
      <c r="CC26" s="873"/>
      <c r="CD26" s="873"/>
      <c r="CE26" s="873"/>
      <c r="CF26" s="873"/>
      <c r="CG26" s="873"/>
      <c r="CH26" s="873"/>
      <c r="CI26" s="873"/>
      <c r="CJ26" s="873"/>
      <c r="CK26" s="873"/>
      <c r="CL26" s="873"/>
      <c r="CM26" s="873"/>
      <c r="CN26" s="873"/>
      <c r="CO26" s="873"/>
      <c r="CP26" s="873"/>
      <c r="CQ26" s="873"/>
      <c r="CR26" s="873"/>
      <c r="CS26" s="873"/>
      <c r="CT26" s="873"/>
      <c r="CU26" s="873"/>
      <c r="CV26" s="873"/>
      <c r="CW26" s="873"/>
      <c r="CX26" s="873"/>
      <c r="CY26" s="873"/>
      <c r="CZ26" s="873"/>
      <c r="DA26" s="873"/>
      <c r="DB26" s="873"/>
      <c r="DC26" s="873"/>
      <c r="DD26" s="873"/>
      <c r="DE26" s="873"/>
      <c r="DF26" s="873"/>
      <c r="DG26" s="873"/>
      <c r="DH26" s="873"/>
      <c r="DI26" s="873"/>
      <c r="DJ26" s="873"/>
      <c r="DK26" s="873"/>
      <c r="DL26" s="873"/>
      <c r="DM26" s="873"/>
      <c r="DN26" s="873"/>
      <c r="DO26" s="873"/>
      <c r="DP26" s="873"/>
      <c r="DQ26" s="873"/>
      <c r="DR26" s="873"/>
      <c r="DS26" s="873"/>
      <c r="DT26" s="873"/>
      <c r="DU26" s="873"/>
      <c r="DV26" s="873"/>
      <c r="DW26" s="873"/>
      <c r="DX26" s="873"/>
      <c r="DY26" s="873"/>
      <c r="DZ26" s="873"/>
      <c r="EA26" s="873"/>
      <c r="EB26" s="873"/>
      <c r="EC26" s="873"/>
      <c r="ED26" s="873"/>
      <c r="EE26" s="873"/>
      <c r="EF26" s="873"/>
      <c r="EG26" s="873"/>
      <c r="EH26" s="873"/>
      <c r="EI26" s="873"/>
      <c r="EJ26" s="873"/>
      <c r="EK26" s="873"/>
      <c r="EL26" s="873"/>
      <c r="EM26" s="873"/>
      <c r="EN26" s="873"/>
      <c r="EO26" s="873"/>
      <c r="EP26" s="873"/>
      <c r="EQ26" s="873"/>
      <c r="ER26" s="873"/>
      <c r="ES26" s="873"/>
      <c r="ET26" s="873"/>
      <c r="EU26" s="873"/>
      <c r="EV26" s="873"/>
      <c r="EW26" s="873"/>
      <c r="EX26" s="873"/>
      <c r="EY26" s="873"/>
      <c r="EZ26" s="873"/>
      <c r="FA26" s="873"/>
      <c r="FB26" s="873"/>
      <c r="FC26" s="873"/>
      <c r="FD26" s="873"/>
      <c r="FE26" s="873"/>
      <c r="FF26" s="873"/>
      <c r="FG26" s="873"/>
      <c r="FH26" s="873"/>
      <c r="FI26" s="873"/>
      <c r="FJ26" s="873"/>
      <c r="FK26" s="873"/>
      <c r="FL26" s="873"/>
      <c r="FM26" s="873"/>
      <c r="FN26" s="873"/>
      <c r="FO26" s="873"/>
      <c r="FP26" s="873"/>
      <c r="FQ26" s="873"/>
      <c r="FR26" s="873"/>
      <c r="FS26" s="873"/>
      <c r="FT26" s="873"/>
      <c r="FU26" s="873"/>
      <c r="FV26" s="873"/>
      <c r="FW26" s="873"/>
      <c r="FX26" s="873"/>
      <c r="FY26" s="873"/>
      <c r="FZ26" s="873"/>
      <c r="GA26" s="873"/>
      <c r="GB26" s="873"/>
      <c r="GC26" s="873"/>
      <c r="GD26" s="873"/>
      <c r="GE26" s="873"/>
      <c r="GF26" s="873"/>
      <c r="GG26" s="873"/>
      <c r="GH26" s="873"/>
      <c r="GI26" s="873"/>
      <c r="GJ26" s="873"/>
      <c r="GK26" s="873"/>
      <c r="GL26" s="873"/>
      <c r="GM26" s="873"/>
      <c r="GN26" s="873"/>
      <c r="GO26" s="873"/>
      <c r="GP26" s="873"/>
      <c r="GQ26" s="873"/>
      <c r="GR26" s="873"/>
      <c r="GS26" s="873"/>
      <c r="GT26" s="873"/>
      <c r="GU26" s="873"/>
      <c r="GV26" s="873"/>
      <c r="GW26" s="873"/>
      <c r="GX26" s="873"/>
      <c r="GY26" s="873"/>
      <c r="GZ26" s="873"/>
      <c r="HA26" s="873"/>
      <c r="HB26" s="873"/>
      <c r="HC26" s="873"/>
      <c r="HD26" s="873"/>
      <c r="HE26" s="873"/>
      <c r="HF26" s="873"/>
      <c r="HG26" s="873"/>
      <c r="HH26" s="873"/>
      <c r="HI26" s="873"/>
      <c r="HJ26" s="873"/>
      <c r="HK26" s="873"/>
      <c r="HL26" s="873"/>
      <c r="HM26" s="873"/>
      <c r="HN26" s="873"/>
      <c r="HO26" s="873"/>
      <c r="HP26" s="873"/>
      <c r="HQ26" s="873"/>
      <c r="HR26" s="873"/>
      <c r="HS26" s="873"/>
      <c r="HT26" s="873"/>
      <c r="HU26" s="873"/>
      <c r="HV26" s="873"/>
      <c r="HW26" s="873"/>
      <c r="HX26" s="873"/>
      <c r="HY26" s="873"/>
      <c r="HZ26" s="873"/>
      <c r="IA26" s="873"/>
      <c r="IB26" s="873"/>
      <c r="IC26" s="873"/>
      <c r="ID26" s="873"/>
      <c r="IE26" s="873"/>
      <c r="IF26" s="873"/>
      <c r="IG26" s="873"/>
      <c r="IH26" s="873"/>
      <c r="II26" s="873"/>
      <c r="IJ26" s="873"/>
      <c r="IK26" s="873"/>
      <c r="IL26" s="873"/>
      <c r="IM26" s="873"/>
      <c r="IN26" s="873"/>
      <c r="IO26" s="873"/>
      <c r="IP26" s="873"/>
      <c r="IQ26" s="873"/>
      <c r="IR26" s="873"/>
      <c r="IS26" s="873"/>
      <c r="IT26" s="873"/>
      <c r="IU26" s="873"/>
      <c r="IV26" s="873"/>
      <c r="IW26" s="873"/>
      <c r="IX26" s="873"/>
      <c r="IY26" s="873"/>
      <c r="IZ26" s="873"/>
      <c r="JA26" s="873"/>
      <c r="JB26" s="873"/>
      <c r="JC26" s="873"/>
      <c r="JD26" s="873"/>
      <c r="JE26" s="873"/>
      <c r="JF26" s="873"/>
      <c r="JG26" s="873"/>
      <c r="JH26" s="873"/>
      <c r="JI26" s="873"/>
      <c r="JJ26" s="873"/>
      <c r="JK26" s="873"/>
      <c r="JL26" s="873"/>
      <c r="JM26" s="873"/>
      <c r="JN26" s="873"/>
      <c r="JO26" s="873"/>
      <c r="JP26" s="873"/>
      <c r="JQ26" s="873"/>
      <c r="JR26" s="873"/>
      <c r="JS26" s="873"/>
      <c r="JT26" s="873"/>
      <c r="JU26" s="873"/>
      <c r="JV26" s="402"/>
    </row>
    <row r="27" spans="1:282">
      <c r="A27" s="672"/>
      <c r="B27" s="408"/>
      <c r="C27" s="873"/>
      <c r="D27" s="888"/>
      <c r="E27" s="671"/>
      <c r="F27" s="873"/>
      <c r="G27" s="873"/>
      <c r="H27" s="873"/>
      <c r="I27" s="873"/>
      <c r="J27" s="873"/>
      <c r="K27" s="873"/>
      <c r="L27" s="873"/>
      <c r="M27" s="873"/>
      <c r="N27" s="873"/>
      <c r="O27" s="873"/>
      <c r="P27" s="873"/>
      <c r="Q27" s="873"/>
      <c r="R27" s="873"/>
      <c r="S27" s="873"/>
      <c r="T27" s="873"/>
      <c r="U27" s="873"/>
      <c r="V27" s="873"/>
      <c r="W27" s="873"/>
      <c r="X27" s="873"/>
      <c r="Y27" s="873"/>
      <c r="Z27" s="873"/>
      <c r="AA27" s="394"/>
      <c r="AB27" s="873"/>
      <c r="AC27" s="394"/>
      <c r="AD27" s="873"/>
      <c r="AE27" s="873"/>
      <c r="AF27" s="873"/>
      <c r="AG27" s="873"/>
      <c r="AH27" s="873"/>
      <c r="AI27" s="873"/>
      <c r="AJ27" s="403"/>
      <c r="AK27" s="403"/>
      <c r="AL27" s="873"/>
      <c r="AM27" s="873"/>
      <c r="AN27" s="403"/>
      <c r="AO27" s="403"/>
      <c r="AP27" s="394"/>
      <c r="AQ27" s="394"/>
      <c r="AR27" s="394"/>
      <c r="AS27" s="394"/>
      <c r="AT27" s="394"/>
      <c r="AU27" s="873"/>
      <c r="AV27" s="873"/>
      <c r="AW27" s="873"/>
      <c r="AX27" s="873"/>
      <c r="AY27" s="873"/>
      <c r="AZ27" s="873"/>
      <c r="BA27" s="394"/>
      <c r="BB27" s="873"/>
      <c r="BC27" s="873"/>
      <c r="BD27" s="873"/>
      <c r="BE27" s="873"/>
      <c r="BF27" s="873"/>
      <c r="BG27" s="873"/>
      <c r="BH27" s="873"/>
      <c r="BI27" s="873"/>
      <c r="BJ27" s="873"/>
      <c r="BK27" s="873"/>
      <c r="BL27" s="873"/>
      <c r="BM27" s="873"/>
      <c r="BN27" s="873"/>
      <c r="BO27" s="873"/>
      <c r="BP27" s="873"/>
      <c r="BQ27" s="873"/>
      <c r="BR27" s="873"/>
      <c r="BS27" s="873"/>
      <c r="BT27" s="873"/>
      <c r="BU27" s="873"/>
      <c r="BV27" s="873"/>
      <c r="BW27" s="873"/>
      <c r="BX27" s="873"/>
      <c r="BY27" s="873"/>
      <c r="BZ27" s="873"/>
      <c r="CA27" s="873"/>
      <c r="CB27" s="873"/>
      <c r="CC27" s="873"/>
      <c r="CD27" s="873"/>
      <c r="CE27" s="873"/>
      <c r="CF27" s="873"/>
      <c r="CG27" s="873"/>
      <c r="CH27" s="873"/>
      <c r="CI27" s="873"/>
      <c r="CJ27" s="873"/>
      <c r="CK27" s="873"/>
      <c r="CL27" s="873"/>
      <c r="CM27" s="873"/>
      <c r="CN27" s="873"/>
      <c r="CO27" s="873"/>
      <c r="CP27" s="873"/>
      <c r="CQ27" s="873"/>
      <c r="CR27" s="873"/>
      <c r="CS27" s="873"/>
      <c r="CT27" s="873"/>
      <c r="CU27" s="873"/>
      <c r="CV27" s="873"/>
      <c r="CW27" s="873"/>
      <c r="CX27" s="873"/>
      <c r="CY27" s="873"/>
      <c r="CZ27" s="873"/>
      <c r="DA27" s="873"/>
      <c r="DB27" s="873"/>
      <c r="DC27" s="873"/>
      <c r="DD27" s="873"/>
      <c r="DE27" s="873"/>
      <c r="DF27" s="873"/>
      <c r="DG27" s="873"/>
      <c r="DH27" s="873"/>
      <c r="DI27" s="873"/>
      <c r="DJ27" s="873"/>
      <c r="DK27" s="873"/>
      <c r="DL27" s="873"/>
      <c r="DM27" s="873"/>
      <c r="DN27" s="873"/>
      <c r="DO27" s="873"/>
      <c r="DP27" s="873"/>
      <c r="DQ27" s="873"/>
      <c r="DR27" s="873"/>
      <c r="DS27" s="873"/>
      <c r="DT27" s="873"/>
      <c r="DU27" s="873"/>
      <c r="DV27" s="873"/>
      <c r="DW27" s="873"/>
      <c r="DX27" s="873"/>
      <c r="DY27" s="873"/>
      <c r="DZ27" s="873"/>
      <c r="EA27" s="873"/>
      <c r="EB27" s="873"/>
      <c r="EC27" s="873"/>
      <c r="ED27" s="873"/>
      <c r="EE27" s="873"/>
      <c r="EF27" s="873"/>
      <c r="EG27" s="873"/>
      <c r="EH27" s="873"/>
      <c r="EI27" s="873"/>
      <c r="EJ27" s="873"/>
      <c r="EK27" s="873"/>
      <c r="EL27" s="873"/>
      <c r="EM27" s="873"/>
      <c r="EN27" s="873"/>
      <c r="EO27" s="873"/>
      <c r="EP27" s="873"/>
      <c r="EQ27" s="873"/>
      <c r="ER27" s="873"/>
      <c r="ES27" s="873"/>
      <c r="ET27" s="873"/>
      <c r="EU27" s="873"/>
      <c r="EV27" s="873"/>
      <c r="EW27" s="873"/>
      <c r="EX27" s="873"/>
      <c r="EY27" s="873"/>
      <c r="EZ27" s="873"/>
      <c r="FA27" s="873"/>
      <c r="FB27" s="873"/>
      <c r="FC27" s="873"/>
      <c r="FD27" s="873"/>
      <c r="FE27" s="873"/>
      <c r="FF27" s="873"/>
      <c r="FG27" s="873"/>
      <c r="FH27" s="873"/>
      <c r="FI27" s="873"/>
      <c r="FJ27" s="873"/>
      <c r="FK27" s="873"/>
      <c r="FL27" s="873"/>
      <c r="FM27" s="873"/>
      <c r="FN27" s="873"/>
      <c r="FO27" s="873"/>
      <c r="FP27" s="873"/>
      <c r="FQ27" s="873"/>
      <c r="FR27" s="873"/>
      <c r="FS27" s="873"/>
      <c r="FT27" s="873"/>
      <c r="FU27" s="873"/>
      <c r="FV27" s="873"/>
      <c r="FW27" s="873"/>
      <c r="FX27" s="873"/>
      <c r="FY27" s="873"/>
      <c r="FZ27" s="873"/>
      <c r="GA27" s="873"/>
      <c r="GB27" s="873"/>
      <c r="GC27" s="873"/>
      <c r="GD27" s="873"/>
      <c r="GE27" s="873"/>
      <c r="GF27" s="873"/>
      <c r="GG27" s="873"/>
      <c r="GH27" s="873"/>
      <c r="GI27" s="873"/>
      <c r="GJ27" s="873"/>
      <c r="GK27" s="873"/>
      <c r="GL27" s="873"/>
      <c r="GM27" s="873"/>
      <c r="GN27" s="873"/>
      <c r="GO27" s="873"/>
      <c r="GP27" s="873"/>
      <c r="GQ27" s="873"/>
      <c r="GR27" s="873"/>
      <c r="GS27" s="873"/>
      <c r="GT27" s="873"/>
      <c r="GU27" s="873"/>
      <c r="GV27" s="873"/>
      <c r="GW27" s="873"/>
      <c r="GX27" s="873"/>
      <c r="GY27" s="873"/>
      <c r="GZ27" s="873"/>
      <c r="HA27" s="873"/>
      <c r="HB27" s="873"/>
      <c r="HC27" s="873"/>
      <c r="HD27" s="873"/>
      <c r="HE27" s="873"/>
      <c r="HF27" s="873"/>
      <c r="HG27" s="873"/>
      <c r="HH27" s="873"/>
      <c r="HI27" s="873"/>
      <c r="HJ27" s="873"/>
      <c r="HK27" s="873"/>
      <c r="HL27" s="873"/>
      <c r="HM27" s="873"/>
      <c r="HN27" s="873"/>
      <c r="HO27" s="873"/>
      <c r="HP27" s="873"/>
      <c r="HQ27" s="873"/>
      <c r="HR27" s="873"/>
      <c r="HS27" s="873"/>
      <c r="HT27" s="873"/>
      <c r="HU27" s="873"/>
      <c r="HV27" s="873"/>
      <c r="HW27" s="873"/>
      <c r="HX27" s="873"/>
      <c r="HY27" s="873"/>
      <c r="HZ27" s="873"/>
      <c r="IA27" s="873"/>
      <c r="IB27" s="873"/>
      <c r="IC27" s="873"/>
      <c r="ID27" s="873"/>
      <c r="IE27" s="873"/>
      <c r="IF27" s="873"/>
      <c r="IG27" s="873"/>
      <c r="IH27" s="873"/>
      <c r="II27" s="873"/>
      <c r="IJ27" s="873"/>
      <c r="IK27" s="873"/>
      <c r="IL27" s="873"/>
      <c r="IM27" s="873"/>
      <c r="IN27" s="873"/>
      <c r="IO27" s="873"/>
      <c r="IP27" s="873"/>
      <c r="IQ27" s="873"/>
      <c r="IR27" s="873"/>
      <c r="IS27" s="873"/>
      <c r="IT27" s="873"/>
      <c r="IU27" s="873"/>
      <c r="IV27" s="873"/>
      <c r="IW27" s="873"/>
      <c r="IX27" s="873"/>
      <c r="IY27" s="873"/>
      <c r="IZ27" s="873"/>
      <c r="JA27" s="873"/>
      <c r="JB27" s="873"/>
      <c r="JC27" s="873"/>
      <c r="JD27" s="873"/>
      <c r="JE27" s="873"/>
      <c r="JF27" s="873"/>
      <c r="JG27" s="873"/>
      <c r="JH27" s="873"/>
      <c r="JI27" s="873"/>
      <c r="JJ27" s="873"/>
      <c r="JK27" s="873"/>
      <c r="JL27" s="873"/>
      <c r="JM27" s="873"/>
      <c r="JN27" s="873"/>
      <c r="JO27" s="873"/>
      <c r="JP27" s="873"/>
      <c r="JQ27" s="873"/>
      <c r="JR27" s="873"/>
      <c r="JS27" s="873"/>
      <c r="JT27" s="873"/>
      <c r="JU27" s="873"/>
      <c r="JV27" s="402"/>
    </row>
    <row r="28" spans="1:282">
      <c r="A28" s="672"/>
      <c r="B28" s="408"/>
      <c r="C28" s="873"/>
      <c r="D28" s="888"/>
      <c r="E28" s="671"/>
      <c r="F28" s="873"/>
      <c r="G28" s="873"/>
      <c r="H28" s="873"/>
      <c r="I28" s="873"/>
      <c r="J28" s="873"/>
      <c r="K28" s="873"/>
      <c r="L28" s="873"/>
      <c r="M28" s="873"/>
      <c r="N28" s="873"/>
      <c r="O28" s="873"/>
      <c r="P28" s="873"/>
      <c r="Q28" s="873"/>
      <c r="R28" s="873"/>
      <c r="S28" s="873"/>
      <c r="T28" s="873"/>
      <c r="U28" s="873"/>
      <c r="V28" s="873"/>
      <c r="W28" s="873"/>
      <c r="X28" s="873"/>
      <c r="Y28" s="873"/>
      <c r="Z28" s="873"/>
      <c r="AA28" s="394"/>
      <c r="AB28" s="873"/>
      <c r="AC28" s="394"/>
      <c r="AD28" s="873"/>
      <c r="AE28" s="873"/>
      <c r="AF28" s="873"/>
      <c r="AG28" s="873"/>
      <c r="AH28" s="873"/>
      <c r="AI28" s="873"/>
      <c r="AJ28" s="403"/>
      <c r="AK28" s="403"/>
      <c r="AL28" s="873"/>
      <c r="AM28" s="873"/>
      <c r="AN28" s="403"/>
      <c r="AO28" s="403"/>
      <c r="AP28" s="394"/>
      <c r="AQ28" s="394"/>
      <c r="AR28" s="394"/>
      <c r="AS28" s="394"/>
      <c r="AT28" s="394"/>
      <c r="AU28" s="873"/>
      <c r="AV28" s="873"/>
      <c r="AW28" s="873"/>
      <c r="AX28" s="873"/>
      <c r="AY28" s="873"/>
      <c r="AZ28" s="873"/>
      <c r="BA28" s="394"/>
      <c r="BB28" s="873"/>
      <c r="BC28" s="873"/>
      <c r="BD28" s="873"/>
      <c r="BE28" s="873"/>
      <c r="BF28" s="873"/>
      <c r="BG28" s="873"/>
      <c r="BH28" s="873"/>
      <c r="BI28" s="873"/>
      <c r="BJ28" s="873"/>
      <c r="BK28" s="873"/>
      <c r="BL28" s="873"/>
      <c r="BM28" s="873"/>
      <c r="BN28" s="873"/>
      <c r="BO28" s="873"/>
      <c r="BP28" s="873"/>
      <c r="BQ28" s="873"/>
      <c r="BR28" s="873"/>
      <c r="BS28" s="873"/>
      <c r="BT28" s="873"/>
      <c r="BU28" s="873"/>
      <c r="BV28" s="873"/>
      <c r="BW28" s="873"/>
      <c r="BX28" s="873"/>
      <c r="BY28" s="873"/>
      <c r="BZ28" s="873"/>
      <c r="CA28" s="873"/>
      <c r="CB28" s="873"/>
      <c r="CC28" s="873"/>
      <c r="CD28" s="873"/>
      <c r="CE28" s="873"/>
      <c r="CF28" s="873"/>
      <c r="CG28" s="873"/>
      <c r="CH28" s="873"/>
      <c r="CI28" s="873"/>
      <c r="CJ28" s="873"/>
      <c r="CK28" s="873"/>
      <c r="CL28" s="873"/>
      <c r="CM28" s="873"/>
      <c r="CN28" s="873"/>
      <c r="CO28" s="873"/>
      <c r="CP28" s="873"/>
      <c r="CQ28" s="873"/>
      <c r="CR28" s="873"/>
      <c r="CS28" s="873"/>
      <c r="CT28" s="873"/>
      <c r="CU28" s="873"/>
      <c r="CV28" s="873"/>
      <c r="CW28" s="873"/>
      <c r="CX28" s="873"/>
      <c r="CY28" s="873"/>
      <c r="CZ28" s="873"/>
      <c r="DA28" s="873"/>
      <c r="DB28" s="873"/>
      <c r="DC28" s="873"/>
      <c r="DD28" s="873"/>
      <c r="DE28" s="873"/>
      <c r="DF28" s="873"/>
      <c r="DG28" s="873"/>
      <c r="DH28" s="873"/>
      <c r="DI28" s="873"/>
      <c r="DJ28" s="873"/>
      <c r="DK28" s="873"/>
      <c r="DL28" s="873"/>
      <c r="DM28" s="873"/>
      <c r="DN28" s="873"/>
      <c r="DO28" s="873"/>
      <c r="DP28" s="873"/>
      <c r="DQ28" s="873"/>
      <c r="DR28" s="873"/>
      <c r="DS28" s="873"/>
      <c r="DT28" s="873"/>
      <c r="DU28" s="873"/>
      <c r="DV28" s="873"/>
      <c r="DW28" s="873"/>
      <c r="DX28" s="873"/>
      <c r="DY28" s="873"/>
      <c r="DZ28" s="873"/>
      <c r="EA28" s="873"/>
      <c r="EB28" s="873"/>
      <c r="EC28" s="873"/>
      <c r="ED28" s="873"/>
      <c r="EE28" s="873"/>
      <c r="EF28" s="873"/>
      <c r="EG28" s="873"/>
      <c r="EH28" s="873"/>
      <c r="EI28" s="873"/>
      <c r="EJ28" s="873"/>
      <c r="EK28" s="873"/>
      <c r="EL28" s="873"/>
      <c r="EM28" s="873"/>
      <c r="EN28" s="873"/>
      <c r="EO28" s="873"/>
      <c r="EP28" s="873"/>
      <c r="EQ28" s="873"/>
      <c r="ER28" s="873"/>
      <c r="ES28" s="873"/>
      <c r="ET28" s="873"/>
      <c r="EU28" s="873"/>
      <c r="EV28" s="873"/>
      <c r="EW28" s="873"/>
      <c r="EX28" s="873"/>
      <c r="EY28" s="873"/>
      <c r="EZ28" s="873"/>
      <c r="FA28" s="873"/>
      <c r="FB28" s="873"/>
      <c r="FC28" s="873"/>
      <c r="FD28" s="873"/>
      <c r="FE28" s="873"/>
      <c r="FF28" s="873"/>
      <c r="FG28" s="873"/>
      <c r="FH28" s="873"/>
      <c r="FI28" s="873"/>
      <c r="FJ28" s="873"/>
      <c r="FK28" s="873"/>
      <c r="FL28" s="873"/>
      <c r="FM28" s="873"/>
      <c r="FN28" s="873"/>
      <c r="FO28" s="873"/>
      <c r="FP28" s="873"/>
      <c r="FQ28" s="873"/>
      <c r="FR28" s="873"/>
      <c r="FS28" s="873"/>
      <c r="FT28" s="873"/>
      <c r="FU28" s="873"/>
      <c r="FV28" s="873"/>
      <c r="FW28" s="873"/>
      <c r="FX28" s="873"/>
      <c r="FY28" s="873"/>
      <c r="FZ28" s="873"/>
      <c r="GA28" s="873"/>
      <c r="GB28" s="873"/>
      <c r="GC28" s="873"/>
      <c r="GD28" s="873"/>
      <c r="GE28" s="873"/>
      <c r="GF28" s="873"/>
      <c r="GG28" s="873"/>
      <c r="GH28" s="873"/>
      <c r="GI28" s="873"/>
      <c r="GJ28" s="873"/>
      <c r="GK28" s="873"/>
      <c r="GL28" s="873"/>
      <c r="GM28" s="873"/>
      <c r="GN28" s="873"/>
      <c r="GO28" s="873"/>
      <c r="GP28" s="873"/>
      <c r="GQ28" s="873"/>
      <c r="GR28" s="873"/>
      <c r="GS28" s="873"/>
      <c r="GT28" s="873"/>
      <c r="GU28" s="873"/>
      <c r="GV28" s="873"/>
      <c r="GW28" s="873"/>
      <c r="GX28" s="873"/>
      <c r="GY28" s="873"/>
      <c r="GZ28" s="873"/>
      <c r="HA28" s="873"/>
      <c r="HB28" s="873"/>
      <c r="HC28" s="873"/>
      <c r="HD28" s="873"/>
      <c r="HE28" s="873"/>
      <c r="HF28" s="873"/>
      <c r="HG28" s="873"/>
      <c r="HH28" s="873"/>
      <c r="HI28" s="873"/>
      <c r="HJ28" s="873"/>
      <c r="HK28" s="873"/>
      <c r="HL28" s="873"/>
      <c r="HM28" s="873"/>
      <c r="HN28" s="873"/>
      <c r="HO28" s="873"/>
      <c r="HP28" s="873"/>
      <c r="HQ28" s="873"/>
      <c r="HR28" s="873"/>
      <c r="HS28" s="873"/>
      <c r="HT28" s="873"/>
      <c r="HU28" s="873"/>
      <c r="HV28" s="873"/>
      <c r="HW28" s="873"/>
      <c r="HX28" s="873"/>
      <c r="HY28" s="873"/>
      <c r="HZ28" s="873"/>
      <c r="IA28" s="873"/>
      <c r="IB28" s="873"/>
      <c r="IC28" s="873"/>
      <c r="ID28" s="873"/>
      <c r="IE28" s="873"/>
      <c r="IF28" s="873"/>
      <c r="IG28" s="873"/>
      <c r="IH28" s="873"/>
      <c r="II28" s="873"/>
      <c r="IJ28" s="873"/>
      <c r="IK28" s="873"/>
      <c r="IL28" s="873"/>
      <c r="IM28" s="873"/>
      <c r="IN28" s="873"/>
      <c r="IO28" s="873"/>
      <c r="IP28" s="873"/>
      <c r="IQ28" s="873"/>
      <c r="IR28" s="873"/>
      <c r="IS28" s="873"/>
      <c r="IT28" s="873"/>
      <c r="IU28" s="873"/>
      <c r="IV28" s="873"/>
      <c r="IW28" s="873"/>
      <c r="IX28" s="873"/>
      <c r="IY28" s="873"/>
      <c r="IZ28" s="873"/>
      <c r="JA28" s="873"/>
      <c r="JB28" s="873"/>
      <c r="JC28" s="873"/>
      <c r="JD28" s="873"/>
      <c r="JE28" s="873"/>
      <c r="JF28" s="873"/>
      <c r="JG28" s="873"/>
      <c r="JH28" s="873"/>
      <c r="JI28" s="873"/>
      <c r="JJ28" s="873"/>
      <c r="JK28" s="873"/>
      <c r="JL28" s="873"/>
      <c r="JM28" s="873"/>
      <c r="JN28" s="873"/>
      <c r="JO28" s="873"/>
      <c r="JP28" s="873"/>
      <c r="JQ28" s="873"/>
      <c r="JR28" s="873"/>
      <c r="JS28" s="873"/>
      <c r="JT28" s="873"/>
      <c r="JU28" s="873"/>
      <c r="JV28" s="402"/>
    </row>
    <row r="29" spans="1:282">
      <c r="A29" s="672"/>
      <c r="B29" s="408"/>
      <c r="C29" s="873"/>
      <c r="D29" s="888"/>
      <c r="E29" s="671"/>
      <c r="F29" s="873"/>
      <c r="G29" s="873"/>
      <c r="H29" s="873"/>
      <c r="I29" s="873"/>
      <c r="J29" s="873"/>
      <c r="K29" s="873"/>
      <c r="L29" s="873"/>
      <c r="M29" s="873"/>
      <c r="N29" s="873"/>
      <c r="O29" s="873"/>
      <c r="P29" s="873"/>
      <c r="Q29" s="873"/>
      <c r="R29" s="873"/>
      <c r="S29" s="873"/>
      <c r="T29" s="873"/>
      <c r="U29" s="873"/>
      <c r="V29" s="873"/>
      <c r="W29" s="873"/>
      <c r="X29" s="873"/>
      <c r="Y29" s="873"/>
      <c r="Z29" s="873"/>
      <c r="AA29" s="394"/>
      <c r="AB29" s="873"/>
      <c r="AC29" s="394"/>
      <c r="AD29" s="873"/>
      <c r="AE29" s="873"/>
      <c r="AF29" s="873"/>
      <c r="AG29" s="873"/>
      <c r="AH29" s="873"/>
      <c r="AI29" s="873"/>
      <c r="AJ29" s="403"/>
      <c r="AK29" s="403"/>
      <c r="AL29" s="873"/>
      <c r="AM29" s="873"/>
      <c r="AN29" s="403"/>
      <c r="AO29" s="403"/>
      <c r="AP29" s="394"/>
      <c r="AQ29" s="394"/>
      <c r="AR29" s="394"/>
      <c r="AS29" s="394"/>
      <c r="AT29" s="394"/>
      <c r="AU29" s="873"/>
      <c r="AV29" s="873"/>
      <c r="AW29" s="873"/>
      <c r="AX29" s="873"/>
      <c r="AY29" s="873"/>
      <c r="AZ29" s="873"/>
      <c r="BA29" s="394"/>
      <c r="BB29" s="873"/>
      <c r="BC29" s="873"/>
      <c r="BD29" s="873"/>
      <c r="BE29" s="873"/>
      <c r="BF29" s="873"/>
      <c r="BG29" s="873"/>
      <c r="BH29" s="873"/>
      <c r="BI29" s="873"/>
      <c r="BJ29" s="873"/>
      <c r="BK29" s="873"/>
      <c r="BL29" s="873"/>
      <c r="BM29" s="873"/>
      <c r="BN29" s="873"/>
      <c r="BO29" s="873"/>
      <c r="BP29" s="873"/>
      <c r="BQ29" s="873"/>
      <c r="BR29" s="873"/>
      <c r="BS29" s="873"/>
      <c r="BT29" s="873"/>
      <c r="BU29" s="873"/>
      <c r="BV29" s="873"/>
      <c r="BW29" s="873"/>
      <c r="BX29" s="873"/>
      <c r="BY29" s="873"/>
      <c r="BZ29" s="873"/>
      <c r="CA29" s="873"/>
      <c r="CB29" s="873"/>
      <c r="CC29" s="873"/>
      <c r="CD29" s="873"/>
      <c r="CE29" s="873"/>
      <c r="CF29" s="873"/>
      <c r="CG29" s="873"/>
      <c r="CH29" s="873"/>
      <c r="CI29" s="873"/>
      <c r="CJ29" s="873"/>
      <c r="CK29" s="873"/>
      <c r="CL29" s="873"/>
      <c r="CM29" s="873"/>
      <c r="CN29" s="873"/>
      <c r="CO29" s="873"/>
      <c r="CP29" s="873"/>
      <c r="CQ29" s="873"/>
      <c r="CR29" s="873"/>
      <c r="CS29" s="873"/>
      <c r="CT29" s="873"/>
      <c r="CU29" s="873"/>
      <c r="CV29" s="873"/>
      <c r="CW29" s="873"/>
      <c r="CX29" s="873"/>
      <c r="CY29" s="873"/>
      <c r="CZ29" s="873"/>
      <c r="DA29" s="873"/>
      <c r="DB29" s="873"/>
      <c r="DC29" s="873"/>
      <c r="DD29" s="873"/>
      <c r="DE29" s="873"/>
      <c r="DF29" s="873"/>
      <c r="DG29" s="873"/>
      <c r="DH29" s="873"/>
      <c r="DI29" s="873"/>
      <c r="DJ29" s="873"/>
      <c r="DK29" s="873"/>
      <c r="DL29" s="873"/>
      <c r="DM29" s="873"/>
      <c r="DN29" s="873"/>
      <c r="DO29" s="873"/>
      <c r="DP29" s="873"/>
      <c r="DQ29" s="873"/>
      <c r="DR29" s="873"/>
      <c r="DS29" s="873"/>
      <c r="DT29" s="873"/>
      <c r="DU29" s="873"/>
      <c r="DV29" s="873"/>
      <c r="DW29" s="873"/>
      <c r="DX29" s="873"/>
      <c r="DY29" s="873"/>
      <c r="DZ29" s="873"/>
      <c r="EA29" s="873"/>
      <c r="EB29" s="873"/>
      <c r="EC29" s="873"/>
      <c r="ED29" s="873"/>
      <c r="EE29" s="873"/>
      <c r="EF29" s="873"/>
      <c r="EG29" s="873"/>
      <c r="EH29" s="873"/>
      <c r="EI29" s="873"/>
      <c r="EJ29" s="873"/>
      <c r="EK29" s="873"/>
      <c r="EL29" s="873"/>
      <c r="EM29" s="873"/>
      <c r="EN29" s="873"/>
      <c r="EO29" s="873"/>
      <c r="EP29" s="873"/>
      <c r="EQ29" s="873"/>
      <c r="ER29" s="873"/>
      <c r="ES29" s="873"/>
      <c r="ET29" s="873"/>
      <c r="EU29" s="873"/>
      <c r="EV29" s="873"/>
      <c r="EW29" s="873"/>
      <c r="EX29" s="873"/>
      <c r="EY29" s="873"/>
      <c r="EZ29" s="873"/>
      <c r="FA29" s="873"/>
      <c r="FB29" s="873"/>
      <c r="FC29" s="873"/>
      <c r="FD29" s="873"/>
      <c r="FE29" s="873"/>
      <c r="FF29" s="873"/>
      <c r="FG29" s="873"/>
      <c r="FH29" s="873"/>
      <c r="FI29" s="873"/>
      <c r="FJ29" s="873"/>
      <c r="FK29" s="873"/>
      <c r="FL29" s="873"/>
      <c r="FM29" s="873"/>
      <c r="FN29" s="873"/>
      <c r="FO29" s="873"/>
      <c r="FP29" s="873"/>
      <c r="FQ29" s="873"/>
      <c r="FR29" s="873"/>
      <c r="FS29" s="873"/>
      <c r="FT29" s="873"/>
      <c r="FU29" s="873"/>
      <c r="FV29" s="873"/>
      <c r="FW29" s="873"/>
      <c r="FX29" s="873"/>
      <c r="FY29" s="873"/>
      <c r="FZ29" s="873"/>
      <c r="GA29" s="873"/>
      <c r="GB29" s="873"/>
      <c r="GC29" s="873"/>
      <c r="GD29" s="873"/>
      <c r="GE29" s="873"/>
      <c r="GF29" s="873"/>
      <c r="GG29" s="873"/>
      <c r="GH29" s="873"/>
      <c r="GI29" s="873"/>
      <c r="GJ29" s="873"/>
      <c r="GK29" s="873"/>
      <c r="GL29" s="873"/>
      <c r="GM29" s="873"/>
      <c r="GN29" s="873"/>
      <c r="GO29" s="873"/>
      <c r="GP29" s="873"/>
      <c r="GQ29" s="873"/>
      <c r="GR29" s="873"/>
      <c r="GS29" s="873"/>
      <c r="GT29" s="873"/>
      <c r="GU29" s="873"/>
      <c r="GV29" s="873"/>
      <c r="GW29" s="873"/>
      <c r="GX29" s="873"/>
      <c r="GY29" s="873"/>
      <c r="GZ29" s="873"/>
      <c r="HA29" s="873"/>
      <c r="HB29" s="873"/>
      <c r="HC29" s="873"/>
      <c r="HD29" s="873"/>
      <c r="HE29" s="873"/>
      <c r="HF29" s="873"/>
      <c r="HG29" s="873"/>
      <c r="HH29" s="873"/>
      <c r="HI29" s="873"/>
      <c r="HJ29" s="873"/>
      <c r="HK29" s="873"/>
      <c r="HL29" s="873"/>
      <c r="HM29" s="873"/>
      <c r="HN29" s="873"/>
      <c r="HO29" s="873"/>
      <c r="HP29" s="873"/>
      <c r="HQ29" s="873"/>
      <c r="HR29" s="873"/>
      <c r="HS29" s="873"/>
      <c r="HT29" s="873"/>
      <c r="HU29" s="873"/>
      <c r="HV29" s="873"/>
      <c r="HW29" s="873"/>
      <c r="HX29" s="873"/>
      <c r="HY29" s="873"/>
      <c r="HZ29" s="873"/>
      <c r="IA29" s="873"/>
      <c r="IB29" s="873"/>
      <c r="IC29" s="873"/>
      <c r="ID29" s="873"/>
      <c r="IE29" s="873"/>
      <c r="IF29" s="873"/>
      <c r="IG29" s="873"/>
      <c r="IH29" s="873"/>
      <c r="II29" s="873"/>
      <c r="IJ29" s="873"/>
      <c r="IK29" s="873"/>
      <c r="IL29" s="873"/>
      <c r="IM29" s="873"/>
      <c r="IN29" s="873"/>
      <c r="IO29" s="873"/>
      <c r="IP29" s="873"/>
      <c r="IQ29" s="873"/>
      <c r="IR29" s="873"/>
      <c r="IS29" s="873"/>
      <c r="IT29" s="873"/>
      <c r="IU29" s="873"/>
      <c r="IV29" s="873"/>
      <c r="IW29" s="873"/>
      <c r="IX29" s="873"/>
      <c r="IY29" s="873"/>
      <c r="IZ29" s="873"/>
      <c r="JA29" s="873"/>
      <c r="JB29" s="873"/>
      <c r="JC29" s="873"/>
      <c r="JD29" s="873"/>
      <c r="JE29" s="873"/>
      <c r="JF29" s="873"/>
      <c r="JG29" s="873"/>
      <c r="JH29" s="873"/>
      <c r="JI29" s="873"/>
      <c r="JJ29" s="873"/>
      <c r="JK29" s="873"/>
      <c r="JL29" s="873"/>
      <c r="JM29" s="873"/>
      <c r="JN29" s="873"/>
      <c r="JO29" s="873"/>
      <c r="JP29" s="873"/>
      <c r="JQ29" s="873"/>
      <c r="JR29" s="873"/>
      <c r="JS29" s="873"/>
      <c r="JT29" s="873"/>
      <c r="JU29" s="873"/>
      <c r="JV29" s="402"/>
    </row>
    <row r="30" spans="1:282">
      <c r="A30" s="672"/>
      <c r="B30" s="408"/>
      <c r="C30" s="873"/>
      <c r="D30" s="888"/>
      <c r="E30" s="671"/>
      <c r="F30" s="873"/>
      <c r="G30" s="873"/>
      <c r="H30" s="873"/>
      <c r="I30" s="873"/>
      <c r="J30" s="873"/>
      <c r="K30" s="873"/>
      <c r="L30" s="873"/>
      <c r="M30" s="873"/>
      <c r="N30" s="873"/>
      <c r="O30" s="873"/>
      <c r="P30" s="873"/>
      <c r="Q30" s="873"/>
      <c r="R30" s="873"/>
      <c r="S30" s="873"/>
      <c r="T30" s="873"/>
      <c r="U30" s="873"/>
      <c r="V30" s="873"/>
      <c r="W30" s="873"/>
      <c r="X30" s="873"/>
      <c r="Y30" s="873"/>
      <c r="Z30" s="873"/>
      <c r="AA30" s="394"/>
      <c r="AB30" s="873"/>
      <c r="AC30" s="394"/>
      <c r="AD30" s="873"/>
      <c r="AE30" s="873"/>
      <c r="AF30" s="873"/>
      <c r="AG30" s="873"/>
      <c r="AH30" s="873"/>
      <c r="AI30" s="873"/>
      <c r="AJ30" s="403"/>
      <c r="AK30" s="403"/>
      <c r="AL30" s="873"/>
      <c r="AM30" s="873"/>
      <c r="AN30" s="403"/>
      <c r="AO30" s="403"/>
      <c r="AP30" s="394"/>
      <c r="AQ30" s="394"/>
      <c r="AR30" s="394"/>
      <c r="AS30" s="394"/>
      <c r="AT30" s="394"/>
      <c r="AU30" s="873"/>
      <c r="AV30" s="873"/>
      <c r="AW30" s="873"/>
      <c r="AX30" s="873"/>
      <c r="AY30" s="873"/>
      <c r="AZ30" s="873"/>
      <c r="BA30" s="394"/>
      <c r="BB30" s="873"/>
      <c r="BC30" s="873"/>
      <c r="BD30" s="873"/>
      <c r="BE30" s="873"/>
      <c r="BF30" s="873"/>
      <c r="BG30" s="873"/>
      <c r="BH30" s="873"/>
      <c r="BI30" s="873"/>
      <c r="BJ30" s="873"/>
      <c r="BK30" s="873"/>
      <c r="BL30" s="873"/>
      <c r="BM30" s="873"/>
      <c r="BN30" s="873"/>
      <c r="BO30" s="873"/>
      <c r="BP30" s="873"/>
      <c r="BQ30" s="873"/>
      <c r="BR30" s="873"/>
      <c r="BS30" s="873"/>
      <c r="BT30" s="873"/>
      <c r="BU30" s="873"/>
      <c r="BV30" s="873"/>
      <c r="BW30" s="873"/>
      <c r="BX30" s="873"/>
      <c r="BY30" s="873"/>
      <c r="BZ30" s="873"/>
      <c r="CA30" s="873"/>
      <c r="CB30" s="873"/>
      <c r="CC30" s="873"/>
      <c r="CD30" s="873"/>
      <c r="CE30" s="873"/>
      <c r="CF30" s="873"/>
      <c r="CG30" s="873"/>
      <c r="CH30" s="873"/>
      <c r="CI30" s="873"/>
      <c r="CJ30" s="873"/>
      <c r="CK30" s="873"/>
      <c r="CL30" s="873"/>
      <c r="CM30" s="873"/>
      <c r="CN30" s="873"/>
      <c r="CO30" s="873"/>
      <c r="CP30" s="873"/>
      <c r="CQ30" s="873"/>
      <c r="CR30" s="873"/>
      <c r="CS30" s="873"/>
      <c r="CT30" s="873"/>
      <c r="CU30" s="873"/>
      <c r="CV30" s="873"/>
      <c r="CW30" s="873"/>
      <c r="CX30" s="873"/>
      <c r="CY30" s="873"/>
      <c r="CZ30" s="873"/>
      <c r="DA30" s="873"/>
      <c r="DB30" s="873"/>
      <c r="DC30" s="873"/>
      <c r="DD30" s="873"/>
      <c r="DE30" s="873"/>
      <c r="DF30" s="873"/>
      <c r="DG30" s="873"/>
      <c r="DH30" s="873"/>
      <c r="DI30" s="873"/>
      <c r="DJ30" s="873"/>
      <c r="DK30" s="873"/>
      <c r="DL30" s="873"/>
      <c r="DM30" s="873"/>
      <c r="DN30" s="873"/>
      <c r="DO30" s="873"/>
      <c r="DP30" s="873"/>
      <c r="DQ30" s="873"/>
      <c r="DR30" s="873"/>
      <c r="DS30" s="873"/>
      <c r="DT30" s="873"/>
      <c r="DU30" s="873"/>
      <c r="DV30" s="873"/>
      <c r="DW30" s="873"/>
      <c r="DX30" s="873"/>
      <c r="DY30" s="873"/>
      <c r="DZ30" s="873"/>
      <c r="EA30" s="873"/>
      <c r="EB30" s="873"/>
      <c r="EC30" s="873"/>
      <c r="ED30" s="873"/>
      <c r="EE30" s="873"/>
      <c r="EF30" s="873"/>
      <c r="EG30" s="873"/>
      <c r="EH30" s="873"/>
      <c r="EI30" s="873"/>
      <c r="EJ30" s="873"/>
      <c r="EK30" s="873"/>
      <c r="EL30" s="873"/>
      <c r="EM30" s="873"/>
      <c r="EN30" s="873"/>
      <c r="EO30" s="873"/>
      <c r="EP30" s="873"/>
      <c r="EQ30" s="873"/>
      <c r="ER30" s="873"/>
      <c r="ES30" s="873"/>
      <c r="ET30" s="873"/>
      <c r="EU30" s="873"/>
      <c r="EV30" s="873"/>
      <c r="EW30" s="873"/>
      <c r="EX30" s="873"/>
      <c r="EY30" s="873"/>
      <c r="EZ30" s="873"/>
      <c r="FA30" s="873"/>
      <c r="FB30" s="873"/>
      <c r="FC30" s="873"/>
      <c r="FD30" s="873"/>
      <c r="FE30" s="873"/>
      <c r="FF30" s="873"/>
      <c r="FG30" s="873"/>
      <c r="FH30" s="873"/>
      <c r="FI30" s="873"/>
      <c r="FJ30" s="873"/>
      <c r="FK30" s="873"/>
      <c r="FL30" s="873"/>
      <c r="FM30" s="873"/>
      <c r="FN30" s="873"/>
      <c r="FO30" s="873"/>
      <c r="FP30" s="873"/>
      <c r="FQ30" s="873"/>
      <c r="FR30" s="873"/>
      <c r="FS30" s="873"/>
      <c r="FT30" s="873"/>
      <c r="FU30" s="873"/>
      <c r="FV30" s="873"/>
      <c r="FW30" s="873"/>
      <c r="FX30" s="873"/>
      <c r="FY30" s="873"/>
      <c r="FZ30" s="873"/>
      <c r="GA30" s="873"/>
      <c r="GB30" s="873"/>
      <c r="GC30" s="873"/>
      <c r="GD30" s="873"/>
      <c r="GE30" s="873"/>
      <c r="GF30" s="873"/>
      <c r="GG30" s="873"/>
      <c r="GH30" s="873"/>
      <c r="GI30" s="873"/>
      <c r="GJ30" s="873"/>
      <c r="GK30" s="873"/>
      <c r="GL30" s="873"/>
      <c r="GM30" s="873"/>
      <c r="GN30" s="873"/>
      <c r="GO30" s="873"/>
      <c r="GP30" s="873"/>
      <c r="GQ30" s="873"/>
      <c r="GR30" s="873"/>
      <c r="GS30" s="873"/>
      <c r="GT30" s="873"/>
      <c r="GU30" s="873"/>
      <c r="GV30" s="873"/>
      <c r="GW30" s="873"/>
      <c r="GX30" s="873"/>
      <c r="GY30" s="873"/>
      <c r="GZ30" s="873"/>
      <c r="HA30" s="873"/>
      <c r="HB30" s="873"/>
      <c r="HC30" s="873"/>
      <c r="HD30" s="873"/>
      <c r="HE30" s="873"/>
      <c r="HF30" s="873"/>
      <c r="HG30" s="873"/>
      <c r="HH30" s="873"/>
      <c r="HI30" s="873"/>
      <c r="HJ30" s="873"/>
      <c r="HK30" s="873"/>
      <c r="HL30" s="873"/>
      <c r="HM30" s="873"/>
      <c r="HN30" s="873"/>
      <c r="HO30" s="873"/>
      <c r="HP30" s="873"/>
      <c r="HQ30" s="873"/>
      <c r="HR30" s="873"/>
      <c r="HS30" s="873"/>
      <c r="HT30" s="873"/>
      <c r="HU30" s="873"/>
      <c r="HV30" s="873"/>
      <c r="HW30" s="873"/>
      <c r="HX30" s="873"/>
      <c r="HY30" s="873"/>
      <c r="HZ30" s="873"/>
      <c r="IA30" s="873"/>
      <c r="IB30" s="873"/>
      <c r="IC30" s="873"/>
      <c r="ID30" s="873"/>
      <c r="IE30" s="873"/>
      <c r="IF30" s="873"/>
      <c r="IG30" s="873"/>
      <c r="IH30" s="873"/>
      <c r="II30" s="873"/>
      <c r="IJ30" s="873"/>
      <c r="IK30" s="873"/>
      <c r="IL30" s="873"/>
      <c r="IM30" s="873"/>
      <c r="IN30" s="873"/>
      <c r="IO30" s="873"/>
      <c r="IP30" s="873"/>
      <c r="IQ30" s="873"/>
      <c r="IR30" s="873"/>
      <c r="IS30" s="873"/>
      <c r="IT30" s="873"/>
      <c r="IU30" s="873"/>
      <c r="IV30" s="873"/>
      <c r="IW30" s="873"/>
      <c r="IX30" s="873"/>
      <c r="IY30" s="873"/>
      <c r="IZ30" s="873"/>
      <c r="JA30" s="873"/>
      <c r="JB30" s="873"/>
      <c r="JC30" s="873"/>
      <c r="JD30" s="873"/>
      <c r="JE30" s="873"/>
      <c r="JF30" s="873"/>
      <c r="JG30" s="873"/>
      <c r="JH30" s="873"/>
      <c r="JI30" s="873"/>
      <c r="JJ30" s="873"/>
      <c r="JK30" s="873"/>
      <c r="JL30" s="873"/>
      <c r="JM30" s="873"/>
      <c r="JN30" s="873"/>
      <c r="JO30" s="873"/>
      <c r="JP30" s="873"/>
      <c r="JQ30" s="873"/>
      <c r="JR30" s="873"/>
      <c r="JS30" s="873"/>
      <c r="JT30" s="873"/>
      <c r="JU30" s="873"/>
      <c r="JV30" s="402"/>
    </row>
    <row r="31" spans="1:282">
      <c r="A31" s="672"/>
      <c r="B31" s="408"/>
      <c r="C31" s="873"/>
      <c r="D31" s="888"/>
      <c r="E31" s="671"/>
      <c r="F31" s="873"/>
      <c r="G31" s="873"/>
      <c r="H31" s="873"/>
      <c r="I31" s="873"/>
      <c r="J31" s="873"/>
      <c r="K31" s="873"/>
      <c r="L31" s="873"/>
      <c r="M31" s="873"/>
      <c r="N31" s="873"/>
      <c r="O31" s="873"/>
      <c r="P31" s="873"/>
      <c r="Q31" s="873"/>
      <c r="R31" s="873"/>
      <c r="S31" s="873"/>
      <c r="T31" s="873"/>
      <c r="U31" s="873"/>
      <c r="V31" s="873"/>
      <c r="W31" s="873"/>
      <c r="X31" s="873"/>
      <c r="Y31" s="873"/>
      <c r="Z31" s="873"/>
      <c r="AA31" s="394"/>
      <c r="AB31" s="873"/>
      <c r="AC31" s="394"/>
      <c r="AD31" s="873"/>
      <c r="AE31" s="873"/>
      <c r="AF31" s="873"/>
      <c r="AG31" s="873"/>
      <c r="AH31" s="873"/>
      <c r="AI31" s="873"/>
      <c r="AJ31" s="403"/>
      <c r="AK31" s="403"/>
      <c r="AL31" s="873"/>
      <c r="AM31" s="873"/>
      <c r="AN31" s="403"/>
      <c r="AO31" s="403"/>
      <c r="AP31" s="394"/>
      <c r="AQ31" s="394"/>
      <c r="AR31" s="394"/>
      <c r="AS31" s="394"/>
      <c r="AT31" s="394"/>
      <c r="AU31" s="873"/>
      <c r="AV31" s="873"/>
      <c r="AW31" s="873"/>
      <c r="AX31" s="873"/>
      <c r="AY31" s="873"/>
      <c r="AZ31" s="873"/>
      <c r="BA31" s="394"/>
      <c r="BB31" s="873"/>
      <c r="BC31" s="873"/>
      <c r="BD31" s="873"/>
      <c r="BE31" s="873"/>
      <c r="BF31" s="873"/>
      <c r="BG31" s="873"/>
      <c r="BH31" s="873"/>
      <c r="BI31" s="873"/>
      <c r="BJ31" s="873"/>
      <c r="BK31" s="873"/>
      <c r="BL31" s="873"/>
      <c r="BM31" s="873"/>
      <c r="BN31" s="873"/>
      <c r="BO31" s="873"/>
      <c r="BP31" s="873"/>
      <c r="BQ31" s="873"/>
      <c r="BR31" s="873"/>
      <c r="BS31" s="873"/>
      <c r="BT31" s="873"/>
      <c r="BU31" s="873"/>
      <c r="BV31" s="873"/>
      <c r="BW31" s="873"/>
      <c r="BX31" s="873"/>
      <c r="BY31" s="873"/>
      <c r="BZ31" s="873"/>
      <c r="CA31" s="873"/>
      <c r="CB31" s="873"/>
      <c r="CC31" s="873"/>
      <c r="CD31" s="873"/>
      <c r="CE31" s="873"/>
      <c r="CF31" s="873"/>
      <c r="CG31" s="873"/>
      <c r="CH31" s="873"/>
      <c r="CI31" s="873"/>
      <c r="CJ31" s="873"/>
      <c r="CK31" s="873"/>
      <c r="CL31" s="873"/>
      <c r="CM31" s="873"/>
      <c r="CN31" s="873"/>
      <c r="CO31" s="873"/>
      <c r="CP31" s="873"/>
      <c r="CQ31" s="873"/>
      <c r="CR31" s="873"/>
      <c r="CS31" s="873"/>
      <c r="CT31" s="873"/>
      <c r="CU31" s="873"/>
      <c r="CV31" s="873"/>
      <c r="CW31" s="873"/>
      <c r="CX31" s="873"/>
      <c r="CY31" s="873"/>
      <c r="CZ31" s="873"/>
      <c r="DA31" s="873"/>
      <c r="DB31" s="873"/>
      <c r="DC31" s="873"/>
      <c r="DD31" s="873"/>
      <c r="DE31" s="873"/>
      <c r="DF31" s="873"/>
      <c r="DG31" s="873"/>
      <c r="DH31" s="873"/>
      <c r="DI31" s="873"/>
      <c r="DJ31" s="873"/>
      <c r="DK31" s="873"/>
      <c r="DL31" s="873"/>
      <c r="DM31" s="873"/>
      <c r="DN31" s="873"/>
      <c r="DO31" s="873"/>
      <c r="DP31" s="873"/>
      <c r="DQ31" s="873"/>
      <c r="DR31" s="873"/>
      <c r="DS31" s="873"/>
      <c r="DT31" s="873"/>
      <c r="DU31" s="873"/>
      <c r="DV31" s="873"/>
      <c r="DW31" s="873"/>
      <c r="DX31" s="873"/>
      <c r="DY31" s="873"/>
      <c r="DZ31" s="873"/>
      <c r="EA31" s="873"/>
      <c r="EB31" s="873"/>
      <c r="EC31" s="873"/>
      <c r="ED31" s="873"/>
      <c r="EE31" s="873"/>
      <c r="EF31" s="873"/>
      <c r="EG31" s="873"/>
      <c r="EH31" s="873"/>
      <c r="EI31" s="873"/>
      <c r="EJ31" s="873"/>
      <c r="EK31" s="873"/>
      <c r="EL31" s="873"/>
      <c r="EM31" s="873"/>
      <c r="EN31" s="873"/>
      <c r="EO31" s="873"/>
      <c r="EP31" s="873"/>
      <c r="EQ31" s="873"/>
      <c r="ER31" s="873"/>
      <c r="ES31" s="873"/>
      <c r="ET31" s="873"/>
      <c r="EU31" s="873"/>
      <c r="EV31" s="873"/>
      <c r="EW31" s="873"/>
      <c r="EX31" s="873"/>
      <c r="EY31" s="873"/>
      <c r="EZ31" s="873"/>
      <c r="FA31" s="873"/>
      <c r="FB31" s="873"/>
      <c r="FC31" s="873"/>
      <c r="FD31" s="873"/>
      <c r="FE31" s="873"/>
      <c r="FF31" s="873"/>
      <c r="FG31" s="873"/>
      <c r="FH31" s="873"/>
      <c r="FI31" s="873"/>
      <c r="FJ31" s="873"/>
      <c r="FK31" s="873"/>
      <c r="FL31" s="873"/>
      <c r="FM31" s="873"/>
      <c r="FN31" s="873"/>
      <c r="FO31" s="873"/>
      <c r="FP31" s="873"/>
      <c r="FQ31" s="873"/>
      <c r="FR31" s="873"/>
      <c r="FS31" s="873"/>
      <c r="FT31" s="873"/>
      <c r="FU31" s="873"/>
      <c r="FV31" s="873"/>
      <c r="FW31" s="873"/>
      <c r="FX31" s="873"/>
      <c r="FY31" s="873"/>
      <c r="FZ31" s="873"/>
      <c r="GA31" s="873"/>
      <c r="GB31" s="873"/>
      <c r="GC31" s="873"/>
      <c r="GD31" s="873"/>
      <c r="GE31" s="873"/>
      <c r="GF31" s="873"/>
      <c r="GG31" s="873"/>
      <c r="GH31" s="873"/>
      <c r="GI31" s="873"/>
      <c r="GJ31" s="873"/>
      <c r="GK31" s="873"/>
      <c r="GL31" s="873"/>
      <c r="GM31" s="873"/>
      <c r="GN31" s="873"/>
      <c r="GO31" s="873"/>
      <c r="GP31" s="873"/>
      <c r="GQ31" s="873"/>
      <c r="GR31" s="873"/>
      <c r="GS31" s="873"/>
      <c r="GT31" s="873"/>
      <c r="GU31" s="873"/>
      <c r="GV31" s="873"/>
      <c r="GW31" s="873"/>
      <c r="GX31" s="873"/>
      <c r="GY31" s="873"/>
      <c r="GZ31" s="873"/>
      <c r="HA31" s="873"/>
      <c r="HB31" s="873"/>
      <c r="HC31" s="873"/>
      <c r="HD31" s="873"/>
      <c r="HE31" s="873"/>
      <c r="HF31" s="873"/>
      <c r="HG31" s="873"/>
      <c r="HH31" s="873"/>
      <c r="HI31" s="873"/>
      <c r="HJ31" s="873"/>
      <c r="HK31" s="873"/>
      <c r="HL31" s="873"/>
      <c r="HM31" s="873"/>
      <c r="HN31" s="873"/>
      <c r="HO31" s="873"/>
      <c r="HP31" s="873"/>
      <c r="HQ31" s="873"/>
      <c r="HR31" s="873"/>
      <c r="HS31" s="873"/>
      <c r="HT31" s="873"/>
      <c r="HU31" s="873"/>
      <c r="HV31" s="873"/>
      <c r="HW31" s="873"/>
      <c r="HX31" s="873"/>
      <c r="HY31" s="873"/>
      <c r="HZ31" s="873"/>
      <c r="IA31" s="873"/>
      <c r="IB31" s="873"/>
      <c r="IC31" s="873"/>
      <c r="ID31" s="873"/>
      <c r="IE31" s="873"/>
      <c r="IF31" s="873"/>
      <c r="IG31" s="873"/>
      <c r="IH31" s="873"/>
      <c r="II31" s="873"/>
      <c r="IJ31" s="873"/>
      <c r="IK31" s="873"/>
      <c r="IL31" s="873"/>
      <c r="IM31" s="873"/>
      <c r="IN31" s="873"/>
      <c r="IO31" s="873"/>
      <c r="IP31" s="873"/>
      <c r="IQ31" s="873"/>
      <c r="IR31" s="873"/>
      <c r="IS31" s="873"/>
      <c r="IT31" s="873"/>
      <c r="IU31" s="873"/>
      <c r="IV31" s="873"/>
      <c r="IW31" s="873"/>
      <c r="IX31" s="873"/>
      <c r="IY31" s="873"/>
      <c r="IZ31" s="873"/>
      <c r="JA31" s="873"/>
      <c r="JB31" s="873"/>
      <c r="JC31" s="873"/>
      <c r="JD31" s="873"/>
      <c r="JE31" s="873"/>
      <c r="JF31" s="873"/>
      <c r="JG31" s="873"/>
      <c r="JH31" s="873"/>
      <c r="JI31" s="873"/>
      <c r="JJ31" s="873"/>
      <c r="JK31" s="873"/>
      <c r="JL31" s="873"/>
      <c r="JM31" s="873"/>
      <c r="JN31" s="873"/>
      <c r="JO31" s="873"/>
      <c r="JP31" s="873"/>
      <c r="JQ31" s="873"/>
      <c r="JR31" s="873"/>
      <c r="JS31" s="873"/>
      <c r="JT31" s="873"/>
      <c r="JU31" s="873"/>
      <c r="JV31" s="402"/>
    </row>
    <row r="32" spans="1:282">
      <c r="A32" s="672"/>
      <c r="B32" s="408"/>
      <c r="C32" s="873"/>
      <c r="D32" s="888"/>
      <c r="E32" s="671"/>
      <c r="F32" s="873"/>
      <c r="G32" s="873"/>
      <c r="H32" s="873"/>
      <c r="I32" s="873"/>
      <c r="J32" s="873"/>
      <c r="K32" s="873"/>
      <c r="L32" s="873"/>
      <c r="M32" s="873"/>
      <c r="N32" s="873"/>
      <c r="O32" s="873"/>
      <c r="P32" s="873"/>
      <c r="Q32" s="873"/>
      <c r="R32" s="873"/>
      <c r="S32" s="873"/>
      <c r="T32" s="873"/>
      <c r="U32" s="873"/>
      <c r="V32" s="873"/>
      <c r="W32" s="873"/>
      <c r="X32" s="873"/>
      <c r="Y32" s="873"/>
      <c r="Z32" s="873"/>
      <c r="AA32" s="394"/>
      <c r="AB32" s="873"/>
      <c r="AC32" s="394"/>
      <c r="AD32" s="873"/>
      <c r="AE32" s="873"/>
      <c r="AF32" s="873"/>
      <c r="AG32" s="873"/>
      <c r="AH32" s="873"/>
      <c r="AI32" s="873"/>
      <c r="AJ32" s="403"/>
      <c r="AK32" s="403"/>
      <c r="AL32" s="873"/>
      <c r="AM32" s="873"/>
      <c r="AN32" s="403"/>
      <c r="AO32" s="403"/>
      <c r="AP32" s="394"/>
      <c r="AQ32" s="394"/>
      <c r="AR32" s="394"/>
      <c r="AS32" s="394"/>
      <c r="AT32" s="394"/>
      <c r="AU32" s="873"/>
      <c r="AV32" s="873"/>
      <c r="AW32" s="873"/>
      <c r="AX32" s="873"/>
      <c r="AY32" s="873"/>
      <c r="AZ32" s="873"/>
      <c r="BA32" s="394"/>
      <c r="BB32" s="873"/>
      <c r="BC32" s="873"/>
      <c r="BD32" s="873"/>
      <c r="BE32" s="873"/>
      <c r="BF32" s="873"/>
      <c r="BG32" s="873"/>
      <c r="BH32" s="873"/>
      <c r="BI32" s="873"/>
      <c r="BJ32" s="873"/>
      <c r="BK32" s="873"/>
      <c r="BL32" s="873"/>
      <c r="BM32" s="873"/>
      <c r="BN32" s="873"/>
      <c r="BO32" s="873"/>
      <c r="BP32" s="873"/>
      <c r="BQ32" s="873"/>
      <c r="BR32" s="873"/>
      <c r="BS32" s="873"/>
      <c r="BT32" s="873"/>
      <c r="BU32" s="873"/>
      <c r="BV32" s="873"/>
      <c r="BW32" s="873"/>
      <c r="BX32" s="873"/>
      <c r="BY32" s="873"/>
      <c r="BZ32" s="873"/>
      <c r="CA32" s="873"/>
      <c r="CB32" s="873"/>
      <c r="CC32" s="873"/>
      <c r="CD32" s="873"/>
      <c r="CE32" s="873"/>
      <c r="CF32" s="873"/>
      <c r="CG32" s="873"/>
      <c r="CH32" s="873"/>
      <c r="CI32" s="873"/>
      <c r="CJ32" s="873"/>
      <c r="CK32" s="873"/>
      <c r="CL32" s="873"/>
      <c r="CM32" s="873"/>
      <c r="CN32" s="873"/>
      <c r="CO32" s="873"/>
      <c r="CP32" s="873"/>
      <c r="CQ32" s="873"/>
      <c r="CR32" s="873"/>
      <c r="CS32" s="873"/>
      <c r="CT32" s="873"/>
      <c r="CU32" s="873"/>
      <c r="CV32" s="873"/>
      <c r="CW32" s="873"/>
      <c r="CX32" s="873"/>
      <c r="CY32" s="873"/>
      <c r="CZ32" s="873"/>
      <c r="DA32" s="873"/>
      <c r="DB32" s="873"/>
      <c r="DC32" s="873"/>
      <c r="DD32" s="873"/>
      <c r="DE32" s="873"/>
      <c r="DF32" s="873"/>
      <c r="DG32" s="873"/>
      <c r="DH32" s="873"/>
      <c r="DI32" s="873"/>
      <c r="DJ32" s="873"/>
      <c r="DK32" s="873"/>
      <c r="DL32" s="873"/>
      <c r="DM32" s="873"/>
      <c r="DN32" s="873"/>
      <c r="DO32" s="873"/>
      <c r="DP32" s="873"/>
      <c r="DQ32" s="873"/>
      <c r="DR32" s="873"/>
      <c r="DS32" s="873"/>
      <c r="DT32" s="873"/>
      <c r="DU32" s="873"/>
      <c r="DV32" s="873"/>
      <c r="DW32" s="873"/>
      <c r="DX32" s="873"/>
      <c r="DY32" s="873"/>
      <c r="DZ32" s="873"/>
      <c r="EA32" s="873"/>
      <c r="EB32" s="873"/>
      <c r="EC32" s="873"/>
      <c r="ED32" s="873"/>
      <c r="EE32" s="873"/>
      <c r="EF32" s="873"/>
      <c r="EG32" s="873"/>
      <c r="EH32" s="873"/>
      <c r="EI32" s="873"/>
      <c r="EJ32" s="873"/>
      <c r="EK32" s="873"/>
      <c r="EL32" s="873"/>
      <c r="EM32" s="873"/>
      <c r="EN32" s="873"/>
      <c r="EO32" s="873"/>
      <c r="EP32" s="873"/>
      <c r="EQ32" s="873"/>
      <c r="ER32" s="873"/>
      <c r="ES32" s="873"/>
      <c r="ET32" s="873"/>
      <c r="EU32" s="873"/>
      <c r="EV32" s="873"/>
      <c r="EW32" s="873"/>
      <c r="EX32" s="873"/>
      <c r="EY32" s="873"/>
      <c r="EZ32" s="873"/>
      <c r="FA32" s="873"/>
      <c r="FB32" s="873"/>
      <c r="FC32" s="873"/>
      <c r="FD32" s="873"/>
      <c r="FE32" s="873"/>
      <c r="FF32" s="873"/>
      <c r="FG32" s="873"/>
      <c r="FH32" s="873"/>
      <c r="FI32" s="873"/>
      <c r="FJ32" s="873"/>
      <c r="FK32" s="873"/>
      <c r="FL32" s="873"/>
      <c r="FM32" s="873"/>
      <c r="FN32" s="873"/>
      <c r="FO32" s="873"/>
      <c r="FP32" s="873"/>
      <c r="FQ32" s="873"/>
      <c r="FR32" s="873"/>
      <c r="FS32" s="873"/>
      <c r="FT32" s="873"/>
      <c r="FU32" s="873"/>
      <c r="FV32" s="873"/>
      <c r="FW32" s="873"/>
      <c r="FX32" s="873"/>
      <c r="FY32" s="873"/>
      <c r="FZ32" s="873"/>
      <c r="GA32" s="873"/>
      <c r="GB32" s="873"/>
      <c r="GC32" s="873"/>
      <c r="GD32" s="873"/>
      <c r="GE32" s="873"/>
      <c r="GF32" s="873"/>
      <c r="GG32" s="873"/>
      <c r="GH32" s="873"/>
      <c r="GI32" s="873"/>
      <c r="GJ32" s="873"/>
      <c r="GK32" s="873"/>
      <c r="GL32" s="873"/>
      <c r="GM32" s="873"/>
      <c r="GN32" s="873"/>
      <c r="GO32" s="873"/>
      <c r="GP32" s="873"/>
      <c r="GQ32" s="873"/>
      <c r="GR32" s="873"/>
      <c r="GS32" s="873"/>
      <c r="GT32" s="873"/>
      <c r="GU32" s="873"/>
      <c r="GV32" s="873"/>
      <c r="GW32" s="873"/>
      <c r="GX32" s="873"/>
      <c r="GY32" s="873"/>
      <c r="GZ32" s="873"/>
      <c r="HA32" s="873"/>
      <c r="HB32" s="873"/>
      <c r="HC32" s="873"/>
      <c r="HD32" s="873"/>
      <c r="HE32" s="873"/>
      <c r="HF32" s="873"/>
      <c r="HG32" s="873"/>
      <c r="HH32" s="873"/>
      <c r="HI32" s="873"/>
      <c r="HJ32" s="873"/>
      <c r="HK32" s="873"/>
      <c r="HL32" s="873"/>
      <c r="HM32" s="873"/>
      <c r="HN32" s="873"/>
      <c r="HO32" s="873"/>
      <c r="HP32" s="873"/>
      <c r="HQ32" s="873"/>
      <c r="HR32" s="873"/>
      <c r="HS32" s="873"/>
      <c r="HT32" s="873"/>
      <c r="HU32" s="873"/>
      <c r="HV32" s="873"/>
      <c r="HW32" s="873"/>
      <c r="HX32" s="873"/>
      <c r="HY32" s="873"/>
      <c r="HZ32" s="873"/>
      <c r="IA32" s="873"/>
      <c r="IB32" s="873"/>
      <c r="IC32" s="873"/>
      <c r="ID32" s="873"/>
      <c r="IE32" s="873"/>
      <c r="IF32" s="873"/>
      <c r="IG32" s="873"/>
      <c r="IH32" s="873"/>
      <c r="II32" s="873"/>
      <c r="IJ32" s="873"/>
      <c r="IK32" s="873"/>
      <c r="IL32" s="873"/>
      <c r="IM32" s="873"/>
      <c r="IN32" s="873"/>
      <c r="IO32" s="873"/>
      <c r="IP32" s="873"/>
      <c r="IQ32" s="873"/>
      <c r="IR32" s="873"/>
      <c r="IS32" s="873"/>
      <c r="IT32" s="873"/>
      <c r="IU32" s="873"/>
      <c r="IV32" s="873"/>
      <c r="IW32" s="873"/>
      <c r="IX32" s="873"/>
      <c r="IY32" s="873"/>
      <c r="IZ32" s="873"/>
      <c r="JA32" s="873"/>
      <c r="JB32" s="873"/>
      <c r="JC32" s="873"/>
      <c r="JD32" s="873"/>
      <c r="JE32" s="873"/>
      <c r="JF32" s="873"/>
      <c r="JG32" s="873"/>
      <c r="JH32" s="873"/>
      <c r="JI32" s="873"/>
      <c r="JJ32" s="873"/>
      <c r="JK32" s="873"/>
      <c r="JL32" s="873"/>
      <c r="JM32" s="873"/>
      <c r="JN32" s="873"/>
      <c r="JO32" s="873"/>
      <c r="JP32" s="873"/>
      <c r="JQ32" s="873"/>
      <c r="JR32" s="873"/>
      <c r="JS32" s="873"/>
      <c r="JT32" s="873"/>
      <c r="JU32" s="873"/>
      <c r="JV32" s="402"/>
    </row>
    <row r="33" spans="1:282">
      <c r="A33" s="672"/>
      <c r="B33" s="408"/>
      <c r="C33" s="873"/>
      <c r="D33" s="888"/>
      <c r="E33" s="671"/>
      <c r="F33" s="873"/>
      <c r="G33" s="873"/>
      <c r="H33" s="873"/>
      <c r="I33" s="873"/>
      <c r="J33" s="873"/>
      <c r="K33" s="873"/>
      <c r="L33" s="873"/>
      <c r="M33" s="873"/>
      <c r="N33" s="873"/>
      <c r="O33" s="873"/>
      <c r="P33" s="873"/>
      <c r="Q33" s="873"/>
      <c r="R33" s="873"/>
      <c r="S33" s="873"/>
      <c r="T33" s="873"/>
      <c r="U33" s="873"/>
      <c r="V33" s="873"/>
      <c r="W33" s="873"/>
      <c r="X33" s="873"/>
      <c r="Y33" s="873"/>
      <c r="Z33" s="873"/>
      <c r="AA33" s="394"/>
      <c r="AB33" s="873"/>
      <c r="AC33" s="394"/>
      <c r="AD33" s="873"/>
      <c r="AE33" s="873"/>
      <c r="AF33" s="873"/>
      <c r="AG33" s="873"/>
      <c r="AH33" s="873"/>
      <c r="AI33" s="873"/>
      <c r="AJ33" s="403"/>
      <c r="AK33" s="403"/>
      <c r="AL33" s="873"/>
      <c r="AM33" s="873"/>
      <c r="AN33" s="403"/>
      <c r="AO33" s="403"/>
      <c r="AP33" s="394"/>
      <c r="AQ33" s="394"/>
      <c r="AR33" s="394"/>
      <c r="AS33" s="394"/>
      <c r="AT33" s="394"/>
      <c r="AU33" s="873"/>
      <c r="AV33" s="873"/>
      <c r="AW33" s="873"/>
      <c r="AX33" s="873"/>
      <c r="AY33" s="873"/>
      <c r="AZ33" s="873"/>
      <c r="BA33" s="394"/>
      <c r="BB33" s="873"/>
      <c r="BC33" s="873"/>
      <c r="BD33" s="873"/>
      <c r="BE33" s="873"/>
      <c r="BF33" s="873"/>
      <c r="BG33" s="873"/>
      <c r="BH33" s="873"/>
      <c r="BI33" s="873"/>
      <c r="BJ33" s="873"/>
      <c r="BK33" s="873"/>
      <c r="BL33" s="873"/>
      <c r="BM33" s="873"/>
      <c r="BN33" s="873"/>
      <c r="BO33" s="873"/>
      <c r="BP33" s="873"/>
      <c r="BQ33" s="873"/>
      <c r="BR33" s="873"/>
      <c r="BS33" s="873"/>
      <c r="BT33" s="873"/>
      <c r="BU33" s="873"/>
      <c r="BV33" s="873"/>
      <c r="BW33" s="873"/>
      <c r="BX33" s="873"/>
      <c r="BY33" s="873"/>
      <c r="BZ33" s="873"/>
      <c r="CA33" s="873"/>
      <c r="CB33" s="873"/>
      <c r="CC33" s="873"/>
      <c r="CD33" s="873"/>
      <c r="CE33" s="873"/>
      <c r="CF33" s="873"/>
      <c r="CG33" s="873"/>
      <c r="CH33" s="873"/>
      <c r="CI33" s="873"/>
      <c r="CJ33" s="873"/>
      <c r="CK33" s="873"/>
      <c r="CL33" s="873"/>
      <c r="CM33" s="873"/>
      <c r="CN33" s="873"/>
      <c r="CO33" s="873"/>
      <c r="CP33" s="873"/>
      <c r="CQ33" s="873"/>
      <c r="CR33" s="873"/>
      <c r="CS33" s="873"/>
      <c r="CT33" s="873"/>
      <c r="CU33" s="873"/>
      <c r="CV33" s="873"/>
      <c r="CW33" s="873"/>
      <c r="CX33" s="873"/>
      <c r="CY33" s="873"/>
      <c r="CZ33" s="873"/>
      <c r="DA33" s="873"/>
      <c r="DB33" s="873"/>
      <c r="DC33" s="873"/>
      <c r="DD33" s="873"/>
      <c r="DE33" s="873"/>
      <c r="DF33" s="873"/>
      <c r="DG33" s="873"/>
      <c r="DH33" s="873"/>
      <c r="DI33" s="873"/>
      <c r="DJ33" s="873"/>
      <c r="DK33" s="873"/>
      <c r="DL33" s="873"/>
      <c r="DM33" s="873"/>
      <c r="DN33" s="873"/>
      <c r="DO33" s="873"/>
      <c r="DP33" s="873"/>
      <c r="DQ33" s="873"/>
      <c r="DR33" s="873"/>
      <c r="DS33" s="873"/>
      <c r="DT33" s="873"/>
      <c r="DU33" s="873"/>
      <c r="DV33" s="873"/>
      <c r="DW33" s="873"/>
      <c r="DX33" s="873"/>
      <c r="DY33" s="873"/>
      <c r="DZ33" s="873"/>
      <c r="EA33" s="873"/>
      <c r="EB33" s="873"/>
      <c r="EC33" s="873"/>
      <c r="ED33" s="873"/>
      <c r="EE33" s="873"/>
      <c r="EF33" s="873"/>
      <c r="EG33" s="873"/>
      <c r="EH33" s="873"/>
      <c r="EI33" s="873"/>
      <c r="EJ33" s="873"/>
      <c r="EK33" s="873"/>
      <c r="EL33" s="873"/>
      <c r="EM33" s="873"/>
      <c r="EN33" s="873"/>
      <c r="EO33" s="873"/>
      <c r="EP33" s="873"/>
      <c r="EQ33" s="873"/>
      <c r="ER33" s="873"/>
      <c r="ES33" s="873"/>
      <c r="ET33" s="873"/>
      <c r="EU33" s="873"/>
      <c r="EV33" s="873"/>
      <c r="EW33" s="873"/>
      <c r="EX33" s="873"/>
      <c r="EY33" s="873"/>
      <c r="EZ33" s="873"/>
      <c r="FA33" s="873"/>
      <c r="FB33" s="873"/>
      <c r="FC33" s="873"/>
      <c r="FD33" s="873"/>
      <c r="FE33" s="873"/>
      <c r="FF33" s="873"/>
      <c r="FG33" s="873"/>
      <c r="FH33" s="873"/>
      <c r="FI33" s="873"/>
      <c r="FJ33" s="873"/>
      <c r="FK33" s="873"/>
      <c r="FL33" s="873"/>
      <c r="FM33" s="873"/>
      <c r="FN33" s="873"/>
      <c r="FO33" s="873"/>
      <c r="FP33" s="873"/>
      <c r="FQ33" s="873"/>
      <c r="FR33" s="873"/>
      <c r="FS33" s="873"/>
      <c r="FT33" s="873"/>
      <c r="FU33" s="873"/>
      <c r="FV33" s="873"/>
      <c r="FW33" s="873"/>
      <c r="FX33" s="873"/>
      <c r="FY33" s="873"/>
      <c r="FZ33" s="873"/>
      <c r="GA33" s="873"/>
      <c r="GB33" s="873"/>
      <c r="GC33" s="873"/>
      <c r="GD33" s="873"/>
      <c r="GE33" s="873"/>
      <c r="GF33" s="873"/>
      <c r="GG33" s="873"/>
      <c r="GH33" s="873"/>
      <c r="GI33" s="873"/>
      <c r="GJ33" s="873"/>
      <c r="GK33" s="873"/>
      <c r="GL33" s="873"/>
      <c r="GM33" s="873"/>
      <c r="GN33" s="873"/>
      <c r="GO33" s="873"/>
      <c r="GP33" s="873"/>
      <c r="GQ33" s="873"/>
      <c r="GR33" s="873"/>
      <c r="GS33" s="873"/>
      <c r="GT33" s="873"/>
      <c r="GU33" s="873"/>
      <c r="GV33" s="873"/>
      <c r="GW33" s="873"/>
      <c r="GX33" s="873"/>
      <c r="GY33" s="873"/>
      <c r="GZ33" s="873"/>
      <c r="HA33" s="873"/>
      <c r="HB33" s="873"/>
      <c r="HC33" s="873"/>
      <c r="HD33" s="873"/>
      <c r="HE33" s="873"/>
      <c r="HF33" s="873"/>
      <c r="HG33" s="873"/>
      <c r="HH33" s="873"/>
      <c r="HI33" s="873"/>
      <c r="HJ33" s="873"/>
      <c r="HK33" s="873"/>
      <c r="HL33" s="873"/>
      <c r="HM33" s="873"/>
      <c r="HN33" s="873"/>
      <c r="HO33" s="873"/>
      <c r="HP33" s="873"/>
      <c r="HQ33" s="873"/>
      <c r="HR33" s="873"/>
      <c r="HS33" s="873"/>
      <c r="HT33" s="873"/>
      <c r="HU33" s="873"/>
      <c r="HV33" s="873"/>
      <c r="HW33" s="873"/>
      <c r="HX33" s="873"/>
      <c r="HY33" s="873"/>
      <c r="HZ33" s="873"/>
      <c r="IA33" s="873"/>
      <c r="IB33" s="873"/>
      <c r="IC33" s="873"/>
      <c r="ID33" s="873"/>
      <c r="IE33" s="873"/>
      <c r="IF33" s="873"/>
      <c r="IG33" s="873"/>
      <c r="IH33" s="873"/>
      <c r="II33" s="873"/>
      <c r="IJ33" s="873"/>
      <c r="IK33" s="873"/>
      <c r="IL33" s="873"/>
      <c r="IM33" s="873"/>
      <c r="IN33" s="873"/>
      <c r="IO33" s="873"/>
      <c r="IP33" s="873"/>
      <c r="IQ33" s="873"/>
      <c r="IR33" s="873"/>
      <c r="IS33" s="873"/>
      <c r="IT33" s="873"/>
      <c r="IU33" s="873"/>
      <c r="IV33" s="873"/>
      <c r="IW33" s="873"/>
      <c r="IX33" s="873"/>
      <c r="IY33" s="873"/>
      <c r="IZ33" s="873"/>
      <c r="JA33" s="873"/>
      <c r="JB33" s="873"/>
      <c r="JC33" s="873"/>
      <c r="JD33" s="873"/>
      <c r="JE33" s="873"/>
      <c r="JF33" s="873"/>
      <c r="JG33" s="873"/>
      <c r="JH33" s="873"/>
      <c r="JI33" s="873"/>
      <c r="JJ33" s="873"/>
      <c r="JK33" s="873"/>
      <c r="JL33" s="873"/>
      <c r="JM33" s="873"/>
      <c r="JN33" s="873"/>
      <c r="JO33" s="873"/>
      <c r="JP33" s="873"/>
      <c r="JQ33" s="873"/>
      <c r="JR33" s="873"/>
      <c r="JS33" s="873"/>
      <c r="JT33" s="873"/>
      <c r="JU33" s="873"/>
      <c r="JV33" s="402"/>
    </row>
    <row r="34" spans="1:282">
      <c r="A34" s="672"/>
      <c r="B34" s="408"/>
      <c r="C34" s="873"/>
      <c r="D34" s="888"/>
      <c r="E34" s="671"/>
      <c r="F34" s="873"/>
      <c r="G34" s="873"/>
      <c r="H34" s="873"/>
      <c r="I34" s="873"/>
      <c r="J34" s="873"/>
      <c r="K34" s="873"/>
      <c r="L34" s="873"/>
      <c r="M34" s="873"/>
      <c r="N34" s="873"/>
      <c r="O34" s="873"/>
      <c r="P34" s="873"/>
      <c r="Q34" s="873"/>
      <c r="R34" s="873"/>
      <c r="S34" s="873"/>
      <c r="T34" s="873"/>
      <c r="U34" s="873"/>
      <c r="V34" s="873"/>
      <c r="W34" s="873"/>
      <c r="X34" s="873"/>
      <c r="Y34" s="873"/>
      <c r="Z34" s="873"/>
      <c r="AA34" s="394"/>
      <c r="AB34" s="873"/>
      <c r="AC34" s="394"/>
      <c r="AD34" s="873"/>
      <c r="AE34" s="873"/>
      <c r="AF34" s="873"/>
      <c r="AG34" s="873"/>
      <c r="AH34" s="873"/>
      <c r="AI34" s="873"/>
      <c r="AJ34" s="403"/>
      <c r="AK34" s="403"/>
      <c r="AL34" s="873"/>
      <c r="AM34" s="873"/>
      <c r="AN34" s="403"/>
      <c r="AO34" s="403"/>
      <c r="AP34" s="394"/>
      <c r="AQ34" s="394"/>
      <c r="AR34" s="394"/>
      <c r="AS34" s="394"/>
      <c r="AT34" s="394"/>
      <c r="AU34" s="873"/>
      <c r="AV34" s="873"/>
      <c r="AW34" s="873"/>
      <c r="AX34" s="873"/>
      <c r="AY34" s="873"/>
      <c r="AZ34" s="873"/>
      <c r="BA34" s="394"/>
      <c r="BB34" s="873"/>
      <c r="BC34" s="873"/>
      <c r="BD34" s="873"/>
      <c r="BE34" s="873"/>
      <c r="BF34" s="873"/>
      <c r="BG34" s="873"/>
      <c r="BH34" s="873"/>
      <c r="BI34" s="873"/>
      <c r="BJ34" s="873"/>
      <c r="BK34" s="873"/>
      <c r="BL34" s="873"/>
      <c r="BM34" s="873"/>
      <c r="BN34" s="873"/>
      <c r="BO34" s="873"/>
      <c r="BP34" s="873"/>
      <c r="BQ34" s="873"/>
      <c r="BR34" s="873"/>
      <c r="BS34" s="873"/>
      <c r="BT34" s="873"/>
      <c r="BU34" s="873"/>
      <c r="BV34" s="873"/>
      <c r="BW34" s="873"/>
      <c r="BX34" s="873"/>
      <c r="BY34" s="873"/>
      <c r="BZ34" s="873"/>
      <c r="CA34" s="873"/>
      <c r="CB34" s="873"/>
      <c r="CC34" s="873"/>
      <c r="CD34" s="873"/>
      <c r="CE34" s="873"/>
      <c r="CF34" s="873"/>
      <c r="CG34" s="873"/>
      <c r="CH34" s="873"/>
      <c r="CI34" s="873"/>
      <c r="CJ34" s="873"/>
      <c r="CK34" s="873"/>
      <c r="CL34" s="873"/>
      <c r="CM34" s="873"/>
      <c r="CN34" s="873"/>
      <c r="CO34" s="873"/>
      <c r="CP34" s="873"/>
      <c r="CQ34" s="873"/>
      <c r="CR34" s="873"/>
      <c r="CS34" s="873"/>
      <c r="CT34" s="873"/>
      <c r="CU34" s="873"/>
      <c r="CV34" s="873"/>
      <c r="CW34" s="873"/>
      <c r="CX34" s="873"/>
      <c r="CY34" s="873"/>
      <c r="CZ34" s="873"/>
      <c r="DA34" s="873"/>
      <c r="DB34" s="873"/>
      <c r="DC34" s="873"/>
      <c r="DD34" s="873"/>
      <c r="DE34" s="873"/>
      <c r="DF34" s="873"/>
      <c r="DG34" s="873"/>
      <c r="DH34" s="873"/>
      <c r="DI34" s="873"/>
      <c r="DJ34" s="873"/>
      <c r="DK34" s="873"/>
      <c r="DL34" s="873"/>
      <c r="DM34" s="873"/>
      <c r="DN34" s="873"/>
      <c r="DO34" s="873"/>
      <c r="DP34" s="873"/>
      <c r="DQ34" s="873"/>
      <c r="DR34" s="873"/>
      <c r="DS34" s="873"/>
      <c r="DT34" s="873"/>
      <c r="DU34" s="873"/>
      <c r="DV34" s="873"/>
      <c r="DW34" s="873"/>
      <c r="DX34" s="873"/>
      <c r="DY34" s="873"/>
      <c r="DZ34" s="873"/>
      <c r="EA34" s="873"/>
      <c r="EB34" s="873"/>
      <c r="EC34" s="873"/>
      <c r="ED34" s="873"/>
      <c r="EE34" s="873"/>
      <c r="EF34" s="873"/>
      <c r="EG34" s="873"/>
      <c r="EH34" s="873"/>
      <c r="EI34" s="873"/>
      <c r="EJ34" s="873"/>
      <c r="EK34" s="873"/>
      <c r="EL34" s="873"/>
      <c r="EM34" s="873"/>
      <c r="EN34" s="873"/>
      <c r="EO34" s="873"/>
      <c r="EP34" s="873"/>
      <c r="EQ34" s="873"/>
      <c r="ER34" s="873"/>
      <c r="ES34" s="873"/>
      <c r="ET34" s="873"/>
      <c r="EU34" s="873"/>
      <c r="EV34" s="873"/>
      <c r="EW34" s="873"/>
      <c r="EX34" s="873"/>
      <c r="EY34" s="873"/>
      <c r="EZ34" s="873"/>
      <c r="FA34" s="873"/>
      <c r="FB34" s="873"/>
      <c r="FC34" s="873"/>
      <c r="FD34" s="873"/>
      <c r="FE34" s="873"/>
      <c r="FF34" s="873"/>
      <c r="FG34" s="873"/>
      <c r="FH34" s="873"/>
      <c r="FI34" s="873"/>
      <c r="FJ34" s="873"/>
      <c r="FK34" s="873"/>
      <c r="FL34" s="873"/>
      <c r="FM34" s="873"/>
      <c r="FN34" s="873"/>
      <c r="FO34" s="873"/>
      <c r="FP34" s="873"/>
      <c r="FQ34" s="873"/>
      <c r="FR34" s="873"/>
      <c r="FS34" s="873"/>
      <c r="FT34" s="873"/>
      <c r="FU34" s="873"/>
      <c r="FV34" s="873"/>
      <c r="FW34" s="873"/>
      <c r="FX34" s="873"/>
      <c r="FY34" s="873"/>
      <c r="FZ34" s="873"/>
      <c r="GA34" s="873"/>
      <c r="GB34" s="873"/>
      <c r="GC34" s="873"/>
      <c r="GD34" s="873"/>
      <c r="GE34" s="873"/>
      <c r="GF34" s="873"/>
      <c r="GG34" s="873"/>
      <c r="GH34" s="873"/>
      <c r="GI34" s="873"/>
      <c r="GJ34" s="873"/>
      <c r="GK34" s="873"/>
      <c r="GL34" s="873"/>
      <c r="GM34" s="873"/>
      <c r="GN34" s="873"/>
      <c r="GO34" s="873"/>
      <c r="GP34" s="873"/>
      <c r="GQ34" s="873"/>
      <c r="GR34" s="873"/>
      <c r="GS34" s="873"/>
      <c r="GT34" s="873"/>
      <c r="GU34" s="873"/>
      <c r="GV34" s="873"/>
      <c r="GW34" s="873"/>
      <c r="GX34" s="873"/>
      <c r="GY34" s="873"/>
      <c r="GZ34" s="873"/>
      <c r="HA34" s="873"/>
      <c r="HB34" s="873"/>
      <c r="HC34" s="873"/>
      <c r="HD34" s="873"/>
      <c r="HE34" s="873"/>
      <c r="HF34" s="873"/>
      <c r="HG34" s="873"/>
      <c r="HH34" s="873"/>
      <c r="HI34" s="873"/>
      <c r="HJ34" s="873"/>
      <c r="HK34" s="873"/>
      <c r="HL34" s="873"/>
      <c r="HM34" s="873"/>
      <c r="HN34" s="873"/>
      <c r="HO34" s="873"/>
      <c r="HP34" s="873"/>
      <c r="HQ34" s="873"/>
      <c r="HR34" s="873"/>
      <c r="HS34" s="873"/>
      <c r="HT34" s="873"/>
      <c r="HU34" s="873"/>
      <c r="HV34" s="873"/>
      <c r="HW34" s="873"/>
      <c r="HX34" s="873"/>
      <c r="HY34" s="873"/>
      <c r="HZ34" s="873"/>
      <c r="IA34" s="873"/>
      <c r="IB34" s="873"/>
      <c r="IC34" s="873"/>
      <c r="ID34" s="873"/>
      <c r="IE34" s="873"/>
      <c r="IF34" s="873"/>
      <c r="IG34" s="873"/>
      <c r="IH34" s="873"/>
      <c r="II34" s="873"/>
      <c r="IJ34" s="873"/>
      <c r="IK34" s="873"/>
      <c r="IL34" s="873"/>
      <c r="IM34" s="873"/>
      <c r="IN34" s="873"/>
      <c r="IO34" s="873"/>
      <c r="IP34" s="873"/>
      <c r="IQ34" s="873"/>
      <c r="IR34" s="873"/>
      <c r="IS34" s="873"/>
      <c r="IT34" s="873"/>
      <c r="IU34" s="873"/>
      <c r="IV34" s="873"/>
      <c r="IW34" s="873"/>
      <c r="IX34" s="873"/>
      <c r="IY34" s="873"/>
      <c r="IZ34" s="873"/>
      <c r="JA34" s="873"/>
      <c r="JB34" s="873"/>
      <c r="JC34" s="873"/>
      <c r="JD34" s="873"/>
      <c r="JE34" s="873"/>
      <c r="JF34" s="873"/>
      <c r="JG34" s="873"/>
      <c r="JH34" s="873"/>
      <c r="JI34" s="873"/>
      <c r="JJ34" s="873"/>
      <c r="JK34" s="873"/>
      <c r="JL34" s="873"/>
      <c r="JM34" s="873"/>
      <c r="JN34" s="873"/>
      <c r="JO34" s="873"/>
      <c r="JP34" s="873"/>
      <c r="JQ34" s="873"/>
      <c r="JR34" s="873"/>
      <c r="JS34" s="873"/>
      <c r="JT34" s="873"/>
      <c r="JU34" s="873"/>
      <c r="JV34" s="402"/>
    </row>
    <row r="35" spans="1:282">
      <c r="A35" s="672"/>
      <c r="B35" s="408"/>
      <c r="C35" s="873"/>
      <c r="D35" s="888"/>
      <c r="E35" s="671"/>
      <c r="F35" s="873"/>
      <c r="G35" s="873"/>
      <c r="H35" s="873"/>
      <c r="I35" s="873"/>
      <c r="J35" s="873"/>
      <c r="K35" s="873"/>
      <c r="L35" s="873"/>
      <c r="M35" s="873"/>
      <c r="N35" s="873"/>
      <c r="O35" s="873"/>
      <c r="P35" s="873"/>
      <c r="Q35" s="873"/>
      <c r="R35" s="873"/>
      <c r="S35" s="873"/>
      <c r="T35" s="873"/>
      <c r="U35" s="873"/>
      <c r="V35" s="873"/>
      <c r="W35" s="873"/>
      <c r="X35" s="873"/>
      <c r="Y35" s="873"/>
      <c r="Z35" s="873"/>
      <c r="AA35" s="394"/>
      <c r="AB35" s="873"/>
      <c r="AC35" s="394"/>
      <c r="AD35" s="873"/>
      <c r="AE35" s="873"/>
      <c r="AF35" s="873"/>
      <c r="AG35" s="873"/>
      <c r="AH35" s="873"/>
      <c r="AI35" s="873"/>
      <c r="AJ35" s="403"/>
      <c r="AK35" s="403"/>
      <c r="AL35" s="873"/>
      <c r="AM35" s="873"/>
      <c r="AN35" s="403"/>
      <c r="AO35" s="403"/>
      <c r="AP35" s="394"/>
      <c r="AQ35" s="394"/>
      <c r="AR35" s="394"/>
      <c r="AS35" s="394"/>
      <c r="AT35" s="394"/>
      <c r="AU35" s="873"/>
      <c r="AV35" s="873"/>
      <c r="AW35" s="873"/>
      <c r="AX35" s="873"/>
      <c r="AY35" s="873"/>
      <c r="AZ35" s="873"/>
      <c r="BA35" s="394"/>
      <c r="BB35" s="873"/>
      <c r="BC35" s="873"/>
      <c r="BD35" s="873"/>
      <c r="BE35" s="873"/>
      <c r="BF35" s="873"/>
      <c r="BG35" s="873"/>
      <c r="BH35" s="873"/>
      <c r="BI35" s="873"/>
      <c r="BJ35" s="873"/>
      <c r="BK35" s="873"/>
      <c r="BL35" s="873"/>
      <c r="BM35" s="873"/>
      <c r="BN35" s="873"/>
      <c r="BO35" s="873"/>
      <c r="BP35" s="873"/>
      <c r="BQ35" s="873"/>
      <c r="BR35" s="873"/>
      <c r="BS35" s="873"/>
      <c r="BT35" s="873"/>
      <c r="BU35" s="873"/>
      <c r="BV35" s="873"/>
      <c r="BW35" s="873"/>
      <c r="BX35" s="873"/>
      <c r="BY35" s="873"/>
      <c r="BZ35" s="873"/>
      <c r="CA35" s="873"/>
      <c r="CB35" s="873"/>
      <c r="CC35" s="873"/>
      <c r="CD35" s="873"/>
      <c r="CE35" s="873"/>
      <c r="CF35" s="873"/>
      <c r="CG35" s="873"/>
      <c r="CH35" s="873"/>
      <c r="CI35" s="873"/>
      <c r="CJ35" s="873"/>
      <c r="CK35" s="873"/>
      <c r="CL35" s="873"/>
      <c r="CM35" s="873"/>
      <c r="CN35" s="873"/>
      <c r="CO35" s="873"/>
      <c r="CP35" s="873"/>
      <c r="CQ35" s="873"/>
      <c r="CR35" s="873"/>
      <c r="CS35" s="873"/>
      <c r="CT35" s="873"/>
      <c r="CU35" s="873"/>
      <c r="CV35" s="873"/>
      <c r="CW35" s="873"/>
      <c r="CX35" s="873"/>
      <c r="CY35" s="873"/>
      <c r="CZ35" s="873"/>
      <c r="DA35" s="873"/>
      <c r="DB35" s="873"/>
      <c r="DC35" s="873"/>
      <c r="DD35" s="873"/>
      <c r="DE35" s="873"/>
      <c r="DF35" s="873"/>
      <c r="DG35" s="873"/>
      <c r="DH35" s="873"/>
      <c r="DI35" s="873"/>
      <c r="DJ35" s="873"/>
      <c r="DK35" s="873"/>
      <c r="DL35" s="873"/>
      <c r="DM35" s="873"/>
      <c r="DN35" s="873"/>
      <c r="DO35" s="873"/>
      <c r="DP35" s="873"/>
      <c r="DQ35" s="873"/>
      <c r="DR35" s="873"/>
      <c r="DS35" s="873"/>
      <c r="DT35" s="873"/>
      <c r="DU35" s="873"/>
      <c r="DV35" s="873"/>
      <c r="DW35" s="873"/>
      <c r="DX35" s="873"/>
      <c r="DY35" s="873"/>
      <c r="DZ35" s="873"/>
      <c r="EA35" s="873"/>
      <c r="EB35" s="873"/>
      <c r="EC35" s="873"/>
      <c r="ED35" s="873"/>
      <c r="EE35" s="873"/>
      <c r="EF35" s="873"/>
      <c r="EG35" s="873"/>
      <c r="EH35" s="873"/>
      <c r="EI35" s="873"/>
      <c r="EJ35" s="873"/>
      <c r="EK35" s="873"/>
      <c r="EL35" s="873"/>
      <c r="EM35" s="873"/>
      <c r="EN35" s="873"/>
      <c r="EO35" s="873"/>
      <c r="EP35" s="873"/>
      <c r="EQ35" s="873"/>
      <c r="ER35" s="873"/>
      <c r="ES35" s="873"/>
      <c r="ET35" s="873"/>
      <c r="EU35" s="873"/>
      <c r="EV35" s="873"/>
      <c r="EW35" s="873"/>
      <c r="EX35" s="873"/>
      <c r="EY35" s="873"/>
      <c r="EZ35" s="873"/>
      <c r="FA35" s="873"/>
      <c r="FB35" s="873"/>
      <c r="FC35" s="873"/>
      <c r="FD35" s="873"/>
      <c r="FE35" s="873"/>
      <c r="FF35" s="873"/>
      <c r="FG35" s="873"/>
      <c r="FH35" s="873"/>
      <c r="FI35" s="873"/>
      <c r="FJ35" s="873"/>
      <c r="FK35" s="873"/>
      <c r="FL35" s="873"/>
      <c r="FM35" s="873"/>
      <c r="FN35" s="873"/>
      <c r="FO35" s="873"/>
      <c r="FP35" s="873"/>
      <c r="FQ35" s="873"/>
      <c r="FR35" s="873"/>
      <c r="FS35" s="873"/>
      <c r="FT35" s="873"/>
      <c r="FU35" s="873"/>
      <c r="FV35" s="873"/>
      <c r="FW35" s="873"/>
      <c r="FX35" s="873"/>
      <c r="FY35" s="873"/>
      <c r="FZ35" s="873"/>
      <c r="GA35" s="873"/>
      <c r="GB35" s="873"/>
      <c r="GC35" s="873"/>
      <c r="GD35" s="873"/>
      <c r="GE35" s="873"/>
      <c r="GF35" s="873"/>
      <c r="GG35" s="873"/>
      <c r="GH35" s="873"/>
      <c r="GI35" s="873"/>
      <c r="GJ35" s="873"/>
      <c r="GK35" s="873"/>
      <c r="GL35" s="873"/>
      <c r="GM35" s="873"/>
      <c r="GN35" s="873"/>
      <c r="GO35" s="873"/>
      <c r="GP35" s="873"/>
      <c r="GQ35" s="873"/>
      <c r="GR35" s="873"/>
      <c r="GS35" s="873"/>
      <c r="GT35" s="873"/>
      <c r="GU35" s="873"/>
      <c r="GV35" s="873"/>
      <c r="GW35" s="873"/>
      <c r="GX35" s="873"/>
      <c r="GY35" s="873"/>
      <c r="GZ35" s="873"/>
      <c r="HA35" s="873"/>
      <c r="HB35" s="873"/>
      <c r="HC35" s="873"/>
      <c r="HD35" s="873"/>
      <c r="HE35" s="873"/>
      <c r="HF35" s="873"/>
      <c r="HG35" s="873"/>
      <c r="HH35" s="873"/>
      <c r="HI35" s="873"/>
      <c r="HJ35" s="873"/>
      <c r="HK35" s="873"/>
      <c r="HL35" s="873"/>
      <c r="HM35" s="873"/>
      <c r="HN35" s="873"/>
      <c r="HO35" s="873"/>
      <c r="HP35" s="873"/>
      <c r="HQ35" s="873"/>
      <c r="HR35" s="873"/>
      <c r="HS35" s="873"/>
      <c r="HT35" s="873"/>
      <c r="HU35" s="873"/>
      <c r="HV35" s="873"/>
      <c r="HW35" s="873"/>
      <c r="HX35" s="873"/>
      <c r="HY35" s="873"/>
      <c r="HZ35" s="873"/>
      <c r="IA35" s="873"/>
      <c r="IB35" s="873"/>
      <c r="IC35" s="873"/>
      <c r="ID35" s="873"/>
      <c r="IE35" s="873"/>
      <c r="IF35" s="873"/>
      <c r="IG35" s="873"/>
      <c r="IH35" s="873"/>
      <c r="II35" s="873"/>
      <c r="IJ35" s="873"/>
      <c r="IK35" s="873"/>
      <c r="IL35" s="873"/>
      <c r="IM35" s="873"/>
      <c r="IN35" s="873"/>
      <c r="IO35" s="873"/>
      <c r="IP35" s="873"/>
      <c r="IQ35" s="873"/>
      <c r="IR35" s="873"/>
      <c r="IS35" s="873"/>
      <c r="IT35" s="873"/>
      <c r="IU35" s="873"/>
      <c r="IV35" s="873"/>
      <c r="IW35" s="873"/>
      <c r="IX35" s="873"/>
      <c r="IY35" s="873"/>
      <c r="IZ35" s="873"/>
      <c r="JA35" s="873"/>
      <c r="JB35" s="873"/>
      <c r="JC35" s="873"/>
      <c r="JD35" s="873"/>
      <c r="JE35" s="873"/>
      <c r="JF35" s="873"/>
      <c r="JG35" s="873"/>
      <c r="JH35" s="873"/>
      <c r="JI35" s="873"/>
      <c r="JJ35" s="873"/>
      <c r="JK35" s="873"/>
      <c r="JL35" s="873"/>
      <c r="JM35" s="873"/>
      <c r="JN35" s="873"/>
      <c r="JO35" s="873"/>
      <c r="JP35" s="873"/>
      <c r="JQ35" s="873"/>
      <c r="JR35" s="873"/>
      <c r="JS35" s="873"/>
      <c r="JT35" s="873"/>
      <c r="JU35" s="873"/>
      <c r="JV35" s="402"/>
    </row>
    <row r="36" spans="1:282">
      <c r="A36" s="672"/>
      <c r="B36" s="408"/>
      <c r="C36" s="873"/>
      <c r="D36" s="888"/>
      <c r="E36" s="671"/>
      <c r="F36" s="873"/>
      <c r="G36" s="873"/>
      <c r="H36" s="873"/>
      <c r="I36" s="873"/>
      <c r="J36" s="873"/>
      <c r="K36" s="873"/>
      <c r="L36" s="873"/>
      <c r="M36" s="873"/>
      <c r="N36" s="873"/>
      <c r="O36" s="873"/>
      <c r="P36" s="873"/>
      <c r="Q36" s="873"/>
      <c r="R36" s="873"/>
      <c r="S36" s="873"/>
      <c r="T36" s="873"/>
      <c r="U36" s="873"/>
      <c r="V36" s="873"/>
      <c r="W36" s="873"/>
      <c r="X36" s="873"/>
      <c r="Y36" s="873"/>
      <c r="Z36" s="873"/>
      <c r="AA36" s="394"/>
      <c r="AB36" s="873"/>
      <c r="AC36" s="394"/>
      <c r="AD36" s="873"/>
      <c r="AE36" s="873"/>
      <c r="AF36" s="873"/>
      <c r="AG36" s="873"/>
      <c r="AH36" s="873"/>
      <c r="AI36" s="873"/>
      <c r="AJ36" s="403"/>
      <c r="AK36" s="403"/>
      <c r="AL36" s="873"/>
      <c r="AM36" s="873"/>
      <c r="AN36" s="403"/>
      <c r="AO36" s="403"/>
      <c r="AP36" s="394"/>
      <c r="AQ36" s="394"/>
      <c r="AR36" s="394"/>
      <c r="AS36" s="394"/>
      <c r="AT36" s="394"/>
      <c r="AU36" s="873"/>
      <c r="AV36" s="873"/>
      <c r="AW36" s="873"/>
      <c r="AX36" s="873"/>
      <c r="AY36" s="873"/>
      <c r="AZ36" s="873"/>
      <c r="BA36" s="394"/>
      <c r="BB36" s="873"/>
      <c r="BC36" s="873"/>
      <c r="BD36" s="873"/>
      <c r="BE36" s="873"/>
      <c r="BF36" s="873"/>
      <c r="BG36" s="873"/>
      <c r="BH36" s="873"/>
      <c r="BI36" s="873"/>
      <c r="BJ36" s="873"/>
      <c r="BK36" s="873"/>
      <c r="BL36" s="873"/>
      <c r="BM36" s="873"/>
      <c r="BN36" s="873"/>
      <c r="BO36" s="873"/>
      <c r="BP36" s="873"/>
      <c r="BQ36" s="873"/>
      <c r="BR36" s="873"/>
      <c r="BS36" s="873"/>
      <c r="BT36" s="873"/>
      <c r="BU36" s="873"/>
      <c r="BV36" s="873"/>
      <c r="BW36" s="873"/>
      <c r="BX36" s="873"/>
      <c r="BY36" s="873"/>
      <c r="BZ36" s="873"/>
      <c r="CA36" s="873"/>
      <c r="CB36" s="873"/>
      <c r="CC36" s="873"/>
      <c r="CD36" s="873"/>
      <c r="CE36" s="873"/>
      <c r="CF36" s="873"/>
      <c r="CG36" s="873"/>
      <c r="CH36" s="873"/>
      <c r="CI36" s="873"/>
      <c r="CJ36" s="873"/>
      <c r="CK36" s="873"/>
      <c r="CL36" s="873"/>
      <c r="CM36" s="873"/>
      <c r="CN36" s="873"/>
      <c r="CO36" s="873"/>
      <c r="CP36" s="873"/>
      <c r="CQ36" s="873"/>
      <c r="CR36" s="873"/>
      <c r="CS36" s="873"/>
      <c r="CT36" s="873"/>
      <c r="CU36" s="873"/>
      <c r="CV36" s="873"/>
      <c r="CW36" s="873"/>
      <c r="CX36" s="873"/>
      <c r="CY36" s="873"/>
      <c r="CZ36" s="873"/>
      <c r="DA36" s="873"/>
      <c r="DB36" s="873"/>
      <c r="DC36" s="873"/>
      <c r="DD36" s="873"/>
      <c r="DE36" s="873"/>
      <c r="DF36" s="873"/>
      <c r="DG36" s="873"/>
      <c r="DH36" s="873"/>
      <c r="DI36" s="873"/>
      <c r="DJ36" s="873"/>
      <c r="DK36" s="873"/>
      <c r="DL36" s="873"/>
      <c r="DM36" s="873"/>
      <c r="DN36" s="873"/>
      <c r="DO36" s="873"/>
      <c r="DP36" s="873"/>
      <c r="DQ36" s="873"/>
      <c r="DR36" s="873"/>
      <c r="DS36" s="873"/>
      <c r="DT36" s="873"/>
      <c r="DU36" s="873"/>
      <c r="DV36" s="873"/>
      <c r="DW36" s="873"/>
      <c r="DX36" s="873"/>
      <c r="DY36" s="873"/>
      <c r="DZ36" s="873"/>
      <c r="EA36" s="873"/>
      <c r="EB36" s="873"/>
      <c r="EC36" s="873"/>
      <c r="ED36" s="873"/>
      <c r="EE36" s="873"/>
      <c r="EF36" s="873"/>
      <c r="EG36" s="873"/>
      <c r="EH36" s="873"/>
      <c r="EI36" s="873"/>
      <c r="EJ36" s="873"/>
      <c r="EK36" s="873"/>
      <c r="EL36" s="873"/>
      <c r="EM36" s="873"/>
      <c r="EN36" s="873"/>
      <c r="EO36" s="873"/>
      <c r="EP36" s="873"/>
      <c r="EQ36" s="873"/>
      <c r="ER36" s="873"/>
      <c r="ES36" s="873"/>
      <c r="ET36" s="873"/>
      <c r="EU36" s="873"/>
      <c r="EV36" s="873"/>
      <c r="EW36" s="873"/>
      <c r="EX36" s="873"/>
      <c r="EY36" s="873"/>
      <c r="EZ36" s="873"/>
      <c r="FA36" s="873"/>
      <c r="FB36" s="873"/>
      <c r="FC36" s="873"/>
      <c r="FD36" s="873"/>
      <c r="FE36" s="873"/>
      <c r="FF36" s="873"/>
      <c r="FG36" s="873"/>
      <c r="FH36" s="873"/>
      <c r="FI36" s="873"/>
      <c r="FJ36" s="873"/>
      <c r="FK36" s="873"/>
      <c r="FL36" s="873"/>
      <c r="FM36" s="873"/>
      <c r="FN36" s="873"/>
      <c r="FO36" s="873"/>
      <c r="FP36" s="873"/>
      <c r="FQ36" s="873"/>
      <c r="FR36" s="873"/>
      <c r="FS36" s="873"/>
      <c r="FT36" s="873"/>
      <c r="FU36" s="873"/>
      <c r="FV36" s="873"/>
      <c r="FW36" s="873"/>
      <c r="FX36" s="873"/>
      <c r="FY36" s="873"/>
      <c r="FZ36" s="873"/>
      <c r="GA36" s="873"/>
      <c r="GB36" s="873"/>
      <c r="GC36" s="873"/>
      <c r="GD36" s="873"/>
      <c r="GE36" s="873"/>
      <c r="GF36" s="873"/>
      <c r="GG36" s="873"/>
      <c r="GH36" s="873"/>
      <c r="GI36" s="873"/>
      <c r="GJ36" s="873"/>
      <c r="GK36" s="873"/>
      <c r="GL36" s="873"/>
      <c r="GM36" s="873"/>
      <c r="GN36" s="873"/>
      <c r="GO36" s="873"/>
      <c r="GP36" s="873"/>
      <c r="GQ36" s="873"/>
      <c r="GR36" s="873"/>
      <c r="GS36" s="873"/>
      <c r="GT36" s="873"/>
      <c r="GU36" s="873"/>
      <c r="GV36" s="873"/>
      <c r="GW36" s="873"/>
      <c r="GX36" s="873"/>
      <c r="GY36" s="873"/>
      <c r="GZ36" s="873"/>
      <c r="HA36" s="873"/>
      <c r="HB36" s="873"/>
      <c r="HC36" s="873"/>
      <c r="HD36" s="873"/>
      <c r="HE36" s="873"/>
      <c r="HF36" s="873"/>
      <c r="HG36" s="873"/>
      <c r="HH36" s="873"/>
      <c r="HI36" s="873"/>
      <c r="HJ36" s="873"/>
      <c r="HK36" s="873"/>
      <c r="HL36" s="873"/>
      <c r="HM36" s="873"/>
      <c r="HN36" s="873"/>
      <c r="HO36" s="873"/>
      <c r="HP36" s="873"/>
      <c r="HQ36" s="873"/>
      <c r="HR36" s="873"/>
      <c r="HS36" s="873"/>
      <c r="HT36" s="873"/>
      <c r="HU36" s="873"/>
      <c r="HV36" s="873"/>
      <c r="HW36" s="873"/>
      <c r="HX36" s="873"/>
      <c r="HY36" s="873"/>
      <c r="HZ36" s="873"/>
      <c r="IA36" s="873"/>
      <c r="IB36" s="873"/>
      <c r="IC36" s="873"/>
      <c r="ID36" s="873"/>
      <c r="IE36" s="873"/>
      <c r="IF36" s="873"/>
      <c r="IG36" s="873"/>
      <c r="IH36" s="873"/>
      <c r="II36" s="873"/>
      <c r="IJ36" s="873"/>
      <c r="IK36" s="873"/>
      <c r="IL36" s="873"/>
      <c r="IM36" s="873"/>
      <c r="IN36" s="873"/>
      <c r="IO36" s="873"/>
      <c r="IP36" s="873"/>
      <c r="IQ36" s="873"/>
      <c r="IR36" s="873"/>
      <c r="IS36" s="873"/>
      <c r="IT36" s="873"/>
      <c r="IU36" s="873"/>
      <c r="IV36" s="873"/>
      <c r="IW36" s="873"/>
      <c r="IX36" s="873"/>
      <c r="IY36" s="873"/>
      <c r="IZ36" s="873"/>
      <c r="JA36" s="873"/>
      <c r="JB36" s="873"/>
      <c r="JC36" s="873"/>
      <c r="JD36" s="873"/>
      <c r="JE36" s="873"/>
      <c r="JF36" s="873"/>
      <c r="JG36" s="873"/>
      <c r="JH36" s="873"/>
      <c r="JI36" s="873"/>
      <c r="JJ36" s="873"/>
      <c r="JK36" s="873"/>
      <c r="JL36" s="873"/>
      <c r="JM36" s="873"/>
      <c r="JN36" s="873"/>
      <c r="JO36" s="873"/>
      <c r="JP36" s="873"/>
      <c r="JQ36" s="873"/>
      <c r="JR36" s="873"/>
      <c r="JS36" s="873"/>
      <c r="JT36" s="873"/>
      <c r="JU36" s="873"/>
      <c r="JV36" s="402"/>
    </row>
    <row r="37" spans="1:282">
      <c r="A37" s="672"/>
      <c r="B37" s="408"/>
      <c r="C37" s="873"/>
      <c r="D37" s="888"/>
      <c r="E37" s="671"/>
      <c r="F37" s="873"/>
      <c r="G37" s="873"/>
      <c r="H37" s="873"/>
      <c r="I37" s="873"/>
      <c r="J37" s="873"/>
      <c r="K37" s="873"/>
      <c r="L37" s="873"/>
      <c r="M37" s="873"/>
      <c r="N37" s="873"/>
      <c r="O37" s="873"/>
      <c r="P37" s="873"/>
      <c r="Q37" s="873"/>
      <c r="R37" s="873"/>
      <c r="S37" s="873"/>
      <c r="T37" s="873"/>
      <c r="U37" s="873"/>
      <c r="V37" s="873"/>
      <c r="W37" s="873"/>
      <c r="X37" s="873"/>
      <c r="Y37" s="873"/>
      <c r="Z37" s="873"/>
      <c r="AA37" s="394"/>
      <c r="AB37" s="873"/>
      <c r="AC37" s="394"/>
      <c r="AD37" s="873"/>
      <c r="AE37" s="873"/>
      <c r="AF37" s="873"/>
      <c r="AG37" s="873"/>
      <c r="AH37" s="873"/>
      <c r="AI37" s="873"/>
      <c r="AJ37" s="403"/>
      <c r="AK37" s="403"/>
      <c r="AL37" s="873"/>
      <c r="AM37" s="873"/>
      <c r="AN37" s="403"/>
      <c r="AO37" s="403"/>
      <c r="AP37" s="394"/>
      <c r="AQ37" s="394"/>
      <c r="AR37" s="394"/>
      <c r="AS37" s="394"/>
      <c r="AT37" s="394"/>
      <c r="AU37" s="873"/>
      <c r="AV37" s="873"/>
      <c r="AW37" s="873"/>
      <c r="AX37" s="873"/>
      <c r="AY37" s="873"/>
      <c r="AZ37" s="873"/>
      <c r="BA37" s="394"/>
      <c r="BB37" s="873"/>
      <c r="BC37" s="873"/>
      <c r="BD37" s="873"/>
      <c r="BE37" s="873"/>
      <c r="BF37" s="873"/>
      <c r="BG37" s="873"/>
      <c r="BH37" s="873"/>
      <c r="BI37" s="873"/>
      <c r="BJ37" s="873"/>
      <c r="BK37" s="873"/>
      <c r="BL37" s="873"/>
      <c r="BM37" s="873"/>
      <c r="BN37" s="873"/>
      <c r="BO37" s="873"/>
      <c r="BP37" s="873"/>
      <c r="BQ37" s="873"/>
      <c r="BR37" s="873"/>
      <c r="BS37" s="873"/>
      <c r="BT37" s="873"/>
      <c r="BU37" s="873"/>
      <c r="BV37" s="873"/>
      <c r="BW37" s="873"/>
      <c r="BX37" s="873"/>
      <c r="BY37" s="873"/>
      <c r="BZ37" s="873"/>
      <c r="CA37" s="873"/>
      <c r="CB37" s="873"/>
      <c r="CC37" s="873"/>
      <c r="CD37" s="873"/>
      <c r="CE37" s="873"/>
      <c r="CF37" s="873"/>
      <c r="CG37" s="873"/>
      <c r="CH37" s="873"/>
      <c r="CI37" s="873"/>
      <c r="CJ37" s="873"/>
      <c r="CK37" s="873"/>
      <c r="CL37" s="873"/>
      <c r="CM37" s="873"/>
      <c r="CN37" s="873"/>
      <c r="CO37" s="873"/>
      <c r="CP37" s="873"/>
      <c r="CQ37" s="873"/>
      <c r="CR37" s="873"/>
      <c r="CS37" s="873"/>
      <c r="CT37" s="873"/>
      <c r="CU37" s="873"/>
      <c r="CV37" s="873"/>
      <c r="CW37" s="873"/>
      <c r="CX37" s="873"/>
      <c r="CY37" s="873"/>
      <c r="CZ37" s="873"/>
      <c r="DA37" s="873"/>
      <c r="DB37" s="873"/>
      <c r="DC37" s="873"/>
      <c r="DD37" s="873"/>
      <c r="DE37" s="873"/>
      <c r="DF37" s="873"/>
      <c r="DG37" s="873"/>
      <c r="DH37" s="873"/>
      <c r="DI37" s="873"/>
      <c r="DJ37" s="873"/>
      <c r="DK37" s="873"/>
      <c r="DL37" s="873"/>
      <c r="DM37" s="873"/>
      <c r="DN37" s="873"/>
      <c r="DO37" s="873"/>
      <c r="DP37" s="873"/>
      <c r="DQ37" s="873"/>
      <c r="DR37" s="873"/>
      <c r="DS37" s="873"/>
      <c r="DT37" s="873"/>
      <c r="DU37" s="873"/>
      <c r="DV37" s="873"/>
      <c r="DW37" s="873"/>
      <c r="DX37" s="873"/>
      <c r="DY37" s="873"/>
      <c r="DZ37" s="873"/>
      <c r="EA37" s="873"/>
      <c r="EB37" s="873"/>
      <c r="EC37" s="873"/>
      <c r="ED37" s="873"/>
      <c r="EE37" s="873"/>
      <c r="EF37" s="873"/>
      <c r="EG37" s="873"/>
      <c r="EH37" s="873"/>
      <c r="EI37" s="873"/>
      <c r="EJ37" s="873"/>
      <c r="EK37" s="873"/>
      <c r="EL37" s="873"/>
      <c r="EM37" s="873"/>
      <c r="EN37" s="873"/>
      <c r="EO37" s="873"/>
      <c r="EP37" s="873"/>
      <c r="EQ37" s="873"/>
      <c r="ER37" s="873"/>
      <c r="ES37" s="873"/>
      <c r="ET37" s="873"/>
      <c r="EU37" s="873"/>
      <c r="EV37" s="873"/>
      <c r="EW37" s="873"/>
      <c r="EX37" s="873"/>
      <c r="EY37" s="873"/>
      <c r="EZ37" s="873"/>
      <c r="FA37" s="873"/>
      <c r="FB37" s="873"/>
      <c r="FC37" s="873"/>
      <c r="FD37" s="873"/>
      <c r="FE37" s="873"/>
      <c r="FF37" s="873"/>
      <c r="FG37" s="873"/>
      <c r="FH37" s="873"/>
      <c r="FI37" s="873"/>
      <c r="FJ37" s="873"/>
      <c r="FK37" s="873"/>
      <c r="FL37" s="873"/>
      <c r="FM37" s="873"/>
      <c r="FN37" s="873"/>
      <c r="FO37" s="873"/>
      <c r="FP37" s="873"/>
      <c r="FQ37" s="873"/>
      <c r="FR37" s="873"/>
      <c r="FS37" s="873"/>
      <c r="FT37" s="873"/>
      <c r="FU37" s="873"/>
      <c r="FV37" s="873"/>
      <c r="FW37" s="873"/>
      <c r="FX37" s="873"/>
      <c r="FY37" s="873"/>
      <c r="FZ37" s="873"/>
      <c r="GA37" s="873"/>
      <c r="GB37" s="873"/>
      <c r="GC37" s="873"/>
      <c r="GD37" s="873"/>
      <c r="GE37" s="873"/>
      <c r="GF37" s="873"/>
      <c r="GG37" s="873"/>
      <c r="GH37" s="873"/>
      <c r="GI37" s="873"/>
      <c r="GJ37" s="873"/>
      <c r="GK37" s="873"/>
      <c r="GL37" s="873"/>
      <c r="GM37" s="873"/>
      <c r="GN37" s="873"/>
      <c r="GO37" s="873"/>
      <c r="GP37" s="873"/>
      <c r="GQ37" s="873"/>
      <c r="GR37" s="873"/>
      <c r="GS37" s="873"/>
      <c r="GT37" s="873"/>
      <c r="GU37" s="873"/>
      <c r="GV37" s="873"/>
      <c r="GW37" s="873"/>
      <c r="GX37" s="873"/>
      <c r="GY37" s="873"/>
      <c r="GZ37" s="873"/>
      <c r="HA37" s="873"/>
      <c r="HB37" s="873"/>
      <c r="HC37" s="873"/>
      <c r="HD37" s="873"/>
      <c r="HE37" s="873"/>
      <c r="HF37" s="873"/>
      <c r="HG37" s="873"/>
      <c r="HH37" s="873"/>
      <c r="HI37" s="873"/>
      <c r="HJ37" s="873"/>
      <c r="HK37" s="873"/>
      <c r="HL37" s="873"/>
      <c r="HM37" s="873"/>
      <c r="HN37" s="873"/>
      <c r="HO37" s="873"/>
      <c r="HP37" s="873"/>
      <c r="HQ37" s="873"/>
      <c r="HR37" s="873"/>
      <c r="HS37" s="873"/>
      <c r="HT37" s="873"/>
      <c r="HU37" s="873"/>
      <c r="HV37" s="873"/>
      <c r="HW37" s="873"/>
      <c r="HX37" s="873"/>
      <c r="HY37" s="873"/>
      <c r="HZ37" s="873"/>
      <c r="IA37" s="873"/>
      <c r="IB37" s="873"/>
      <c r="IC37" s="873"/>
      <c r="ID37" s="873"/>
      <c r="IE37" s="873"/>
      <c r="IF37" s="873"/>
      <c r="IG37" s="873"/>
      <c r="IH37" s="873"/>
      <c r="II37" s="873"/>
      <c r="IJ37" s="873"/>
      <c r="IK37" s="873"/>
      <c r="IL37" s="873"/>
      <c r="IM37" s="873"/>
      <c r="IN37" s="873"/>
      <c r="IO37" s="873"/>
      <c r="IP37" s="873"/>
      <c r="IQ37" s="873"/>
      <c r="IR37" s="873"/>
      <c r="IS37" s="873"/>
      <c r="IT37" s="873"/>
      <c r="IU37" s="873"/>
      <c r="IV37" s="873"/>
      <c r="IW37" s="873"/>
      <c r="IX37" s="873"/>
      <c r="IY37" s="873"/>
      <c r="IZ37" s="873"/>
      <c r="JA37" s="873"/>
      <c r="JB37" s="873"/>
      <c r="JC37" s="873"/>
      <c r="JD37" s="873"/>
      <c r="JE37" s="873"/>
      <c r="JF37" s="873"/>
      <c r="JG37" s="873"/>
      <c r="JH37" s="873"/>
      <c r="JI37" s="873"/>
      <c r="JJ37" s="873"/>
      <c r="JK37" s="873"/>
      <c r="JL37" s="873"/>
      <c r="JM37" s="873"/>
      <c r="JN37" s="873"/>
      <c r="JO37" s="873"/>
      <c r="JP37" s="873"/>
      <c r="JQ37" s="873"/>
      <c r="JR37" s="873"/>
      <c r="JS37" s="873"/>
      <c r="JT37" s="873"/>
      <c r="JU37" s="873"/>
      <c r="JV37" s="402"/>
    </row>
    <row r="38" spans="1:282">
      <c r="A38" s="672"/>
      <c r="B38" s="408"/>
      <c r="C38" s="873"/>
      <c r="D38" s="888"/>
      <c r="E38" s="671"/>
      <c r="F38" s="873"/>
      <c r="G38" s="873"/>
      <c r="H38" s="873"/>
      <c r="I38" s="873"/>
      <c r="J38" s="873"/>
      <c r="K38" s="873"/>
      <c r="L38" s="873"/>
      <c r="M38" s="873"/>
      <c r="N38" s="873"/>
      <c r="O38" s="873"/>
      <c r="P38" s="873"/>
      <c r="Q38" s="873"/>
      <c r="R38" s="873"/>
      <c r="S38" s="873"/>
      <c r="T38" s="873"/>
      <c r="U38" s="873"/>
      <c r="V38" s="873"/>
      <c r="W38" s="873"/>
      <c r="X38" s="873"/>
      <c r="Y38" s="873"/>
      <c r="Z38" s="873"/>
      <c r="AA38" s="394"/>
      <c r="AB38" s="873"/>
      <c r="AC38" s="394"/>
      <c r="AD38" s="873"/>
      <c r="AE38" s="873"/>
      <c r="AF38" s="873"/>
      <c r="AG38" s="873"/>
      <c r="AH38" s="873"/>
      <c r="AI38" s="873"/>
      <c r="AJ38" s="403"/>
      <c r="AK38" s="403"/>
      <c r="AL38" s="873"/>
      <c r="AM38" s="873"/>
      <c r="AN38" s="403"/>
      <c r="AO38" s="403"/>
      <c r="AP38" s="394"/>
      <c r="AQ38" s="394"/>
      <c r="AR38" s="394"/>
      <c r="AS38" s="394"/>
      <c r="AT38" s="394"/>
      <c r="AU38" s="873"/>
      <c r="AV38" s="873"/>
      <c r="AW38" s="873"/>
      <c r="AX38" s="873"/>
      <c r="AY38" s="873"/>
      <c r="AZ38" s="873"/>
      <c r="BA38" s="394"/>
      <c r="BB38" s="873"/>
      <c r="BC38" s="873"/>
      <c r="BD38" s="873"/>
      <c r="BE38" s="873"/>
      <c r="BF38" s="873"/>
      <c r="BG38" s="873"/>
      <c r="BH38" s="873"/>
      <c r="BI38" s="873"/>
      <c r="BJ38" s="873"/>
      <c r="BK38" s="873"/>
      <c r="BL38" s="873"/>
      <c r="BM38" s="873"/>
      <c r="BN38" s="873"/>
      <c r="BO38" s="873"/>
      <c r="BP38" s="873"/>
      <c r="BQ38" s="873"/>
      <c r="BR38" s="873"/>
      <c r="BS38" s="873"/>
      <c r="BT38" s="873"/>
      <c r="BU38" s="873"/>
      <c r="BV38" s="873"/>
      <c r="BW38" s="873"/>
      <c r="BX38" s="873"/>
      <c r="BY38" s="873"/>
      <c r="BZ38" s="873"/>
      <c r="CA38" s="873"/>
      <c r="CB38" s="873"/>
      <c r="CC38" s="873"/>
      <c r="CD38" s="873"/>
      <c r="CE38" s="873"/>
      <c r="CF38" s="873"/>
      <c r="CG38" s="873"/>
      <c r="CH38" s="873"/>
      <c r="CI38" s="873"/>
      <c r="CJ38" s="873"/>
      <c r="CK38" s="873"/>
      <c r="CL38" s="873"/>
      <c r="CM38" s="873"/>
      <c r="CN38" s="873"/>
      <c r="CO38" s="873"/>
      <c r="CP38" s="873"/>
      <c r="CQ38" s="873"/>
      <c r="CR38" s="873"/>
      <c r="CS38" s="873"/>
      <c r="CT38" s="873"/>
      <c r="CU38" s="873"/>
      <c r="CV38" s="873"/>
      <c r="CW38" s="873"/>
      <c r="CX38" s="873"/>
      <c r="CY38" s="873"/>
      <c r="CZ38" s="873"/>
      <c r="DA38" s="873"/>
      <c r="DB38" s="873"/>
      <c r="DC38" s="873"/>
      <c r="DD38" s="873"/>
      <c r="DE38" s="873"/>
      <c r="DF38" s="873"/>
      <c r="DG38" s="873"/>
      <c r="DH38" s="873"/>
      <c r="DI38" s="873"/>
      <c r="DJ38" s="873"/>
      <c r="DK38" s="873"/>
      <c r="DL38" s="873"/>
      <c r="DM38" s="873"/>
      <c r="DN38" s="873"/>
      <c r="DO38" s="873"/>
      <c r="DP38" s="873"/>
      <c r="DQ38" s="873"/>
      <c r="DR38" s="873"/>
      <c r="DS38" s="873"/>
      <c r="DT38" s="873"/>
      <c r="DU38" s="873"/>
      <c r="DV38" s="873"/>
      <c r="DW38" s="873"/>
      <c r="DX38" s="873"/>
      <c r="DY38" s="873"/>
      <c r="DZ38" s="873"/>
      <c r="EA38" s="873"/>
      <c r="EB38" s="873"/>
      <c r="EC38" s="873"/>
      <c r="ED38" s="873"/>
      <c r="EE38" s="873"/>
      <c r="EF38" s="873"/>
      <c r="EG38" s="873"/>
      <c r="EH38" s="873"/>
      <c r="EI38" s="873"/>
      <c r="EJ38" s="873"/>
      <c r="EK38" s="873"/>
      <c r="EL38" s="873"/>
      <c r="EM38" s="873"/>
      <c r="EN38" s="873"/>
      <c r="EO38" s="873"/>
      <c r="EP38" s="873"/>
      <c r="EQ38" s="873"/>
      <c r="ER38" s="873"/>
      <c r="ES38" s="873"/>
      <c r="ET38" s="873"/>
      <c r="EU38" s="873"/>
      <c r="EV38" s="873"/>
      <c r="EW38" s="873"/>
      <c r="EX38" s="873"/>
      <c r="EY38" s="873"/>
      <c r="EZ38" s="873"/>
      <c r="FA38" s="873"/>
      <c r="FB38" s="873"/>
      <c r="FC38" s="873"/>
      <c r="FD38" s="873"/>
      <c r="FE38" s="873"/>
      <c r="FF38" s="873"/>
      <c r="FG38" s="873"/>
      <c r="FH38" s="873"/>
      <c r="FI38" s="873"/>
      <c r="FJ38" s="873"/>
      <c r="FK38" s="873"/>
      <c r="FL38" s="873"/>
      <c r="FM38" s="873"/>
      <c r="FN38" s="873"/>
      <c r="FO38" s="873"/>
      <c r="FP38" s="873"/>
      <c r="FQ38" s="873"/>
      <c r="FR38" s="873"/>
      <c r="FS38" s="873"/>
      <c r="FT38" s="873"/>
      <c r="FU38" s="873"/>
      <c r="FV38" s="873"/>
      <c r="FW38" s="873"/>
      <c r="FX38" s="873"/>
      <c r="FY38" s="873"/>
      <c r="FZ38" s="873"/>
      <c r="GA38" s="873"/>
      <c r="GB38" s="873"/>
      <c r="GC38" s="873"/>
      <c r="GD38" s="873"/>
      <c r="GE38" s="873"/>
      <c r="GF38" s="873"/>
      <c r="GG38" s="873"/>
      <c r="GH38" s="873"/>
      <c r="GI38" s="873"/>
      <c r="GJ38" s="873"/>
      <c r="GK38" s="873"/>
      <c r="GL38" s="873"/>
      <c r="GM38" s="873"/>
      <c r="GN38" s="873"/>
      <c r="GO38" s="873"/>
      <c r="GP38" s="873"/>
      <c r="GQ38" s="873"/>
      <c r="GR38" s="873"/>
      <c r="GS38" s="873"/>
      <c r="GT38" s="873"/>
      <c r="GU38" s="873"/>
      <c r="GV38" s="873"/>
      <c r="GW38" s="873"/>
      <c r="GX38" s="873"/>
      <c r="GY38" s="873"/>
      <c r="GZ38" s="873"/>
      <c r="HA38" s="873"/>
      <c r="HB38" s="873"/>
      <c r="HC38" s="873"/>
      <c r="HD38" s="873"/>
      <c r="HE38" s="873"/>
      <c r="HF38" s="873"/>
      <c r="HG38" s="873"/>
      <c r="HH38" s="873"/>
      <c r="HI38" s="873"/>
      <c r="HJ38" s="873"/>
      <c r="HK38" s="873"/>
      <c r="HL38" s="873"/>
      <c r="HM38" s="873"/>
      <c r="HN38" s="873"/>
      <c r="HO38" s="873"/>
      <c r="HP38" s="873"/>
      <c r="HQ38" s="873"/>
      <c r="HR38" s="873"/>
      <c r="HS38" s="873"/>
      <c r="HT38" s="873"/>
      <c r="HU38" s="873"/>
      <c r="HV38" s="873"/>
      <c r="HW38" s="873"/>
      <c r="HX38" s="873"/>
      <c r="HY38" s="873"/>
      <c r="HZ38" s="873"/>
      <c r="IA38" s="873"/>
      <c r="IB38" s="873"/>
      <c r="IC38" s="873"/>
      <c r="ID38" s="873"/>
      <c r="IE38" s="873"/>
      <c r="IF38" s="873"/>
      <c r="IG38" s="873"/>
      <c r="IH38" s="873"/>
      <c r="II38" s="873"/>
      <c r="IJ38" s="873"/>
      <c r="IK38" s="873"/>
      <c r="IL38" s="873"/>
      <c r="IM38" s="873"/>
      <c r="IN38" s="873"/>
      <c r="IO38" s="873"/>
      <c r="IP38" s="873"/>
      <c r="IQ38" s="873"/>
      <c r="IR38" s="873"/>
      <c r="IS38" s="873"/>
      <c r="IT38" s="873"/>
      <c r="IU38" s="873"/>
      <c r="IV38" s="873"/>
      <c r="IW38" s="873"/>
      <c r="IX38" s="873"/>
      <c r="IY38" s="873"/>
      <c r="IZ38" s="873"/>
      <c r="JA38" s="873"/>
      <c r="JB38" s="873"/>
      <c r="JC38" s="873"/>
      <c r="JD38" s="873"/>
      <c r="JE38" s="873"/>
      <c r="JF38" s="873"/>
      <c r="JG38" s="873"/>
      <c r="JH38" s="873"/>
      <c r="JI38" s="873"/>
      <c r="JJ38" s="873"/>
      <c r="JK38" s="873"/>
      <c r="JL38" s="873"/>
      <c r="JM38" s="873"/>
      <c r="JN38" s="873"/>
      <c r="JO38" s="873"/>
      <c r="JP38" s="873"/>
      <c r="JQ38" s="873"/>
      <c r="JR38" s="873"/>
      <c r="JS38" s="873"/>
      <c r="JT38" s="873"/>
      <c r="JU38" s="873"/>
      <c r="JV38" s="402"/>
    </row>
    <row r="39" spans="1:282">
      <c r="A39" s="672"/>
      <c r="B39" s="408"/>
      <c r="C39" s="873"/>
      <c r="D39" s="888"/>
      <c r="E39" s="671"/>
      <c r="F39" s="873"/>
      <c r="G39" s="873"/>
      <c r="H39" s="873"/>
      <c r="I39" s="873"/>
      <c r="J39" s="873"/>
      <c r="K39" s="873"/>
      <c r="L39" s="873"/>
      <c r="M39" s="873"/>
      <c r="N39" s="873"/>
      <c r="O39" s="873"/>
      <c r="P39" s="873"/>
      <c r="Q39" s="873"/>
      <c r="R39" s="873"/>
      <c r="S39" s="873"/>
      <c r="T39" s="873"/>
      <c r="U39" s="873"/>
      <c r="V39" s="873"/>
      <c r="W39" s="873"/>
      <c r="X39" s="873"/>
      <c r="Y39" s="873"/>
      <c r="Z39" s="873"/>
      <c r="AA39" s="394"/>
      <c r="AB39" s="873"/>
      <c r="AC39" s="394"/>
      <c r="AD39" s="873"/>
      <c r="AE39" s="873"/>
      <c r="AF39" s="873"/>
      <c r="AG39" s="873"/>
      <c r="AH39" s="873"/>
      <c r="AI39" s="873"/>
      <c r="AJ39" s="403"/>
      <c r="AK39" s="403"/>
      <c r="AL39" s="873"/>
      <c r="AM39" s="873"/>
      <c r="AN39" s="403"/>
      <c r="AO39" s="403"/>
      <c r="AP39" s="394"/>
      <c r="AQ39" s="394"/>
      <c r="AR39" s="394"/>
      <c r="AS39" s="394"/>
      <c r="AT39" s="394"/>
      <c r="AU39" s="873"/>
      <c r="AV39" s="873"/>
      <c r="AW39" s="873"/>
      <c r="AX39" s="873"/>
      <c r="AY39" s="873"/>
      <c r="AZ39" s="873"/>
      <c r="BA39" s="394"/>
      <c r="BB39" s="873"/>
      <c r="BC39" s="873"/>
      <c r="BD39" s="873"/>
      <c r="BE39" s="873"/>
      <c r="BF39" s="873"/>
      <c r="BG39" s="873"/>
      <c r="BH39" s="873"/>
      <c r="BI39" s="873"/>
      <c r="BJ39" s="873"/>
      <c r="BK39" s="873"/>
      <c r="BL39" s="873"/>
      <c r="BM39" s="873"/>
      <c r="BN39" s="873"/>
      <c r="BO39" s="873"/>
      <c r="BP39" s="873"/>
      <c r="BQ39" s="873"/>
      <c r="BR39" s="873"/>
      <c r="BS39" s="873"/>
      <c r="BT39" s="873"/>
      <c r="BU39" s="873"/>
      <c r="BV39" s="873"/>
      <c r="BW39" s="873"/>
      <c r="BX39" s="873"/>
      <c r="BY39" s="873"/>
      <c r="BZ39" s="873"/>
      <c r="CA39" s="873"/>
      <c r="CB39" s="873"/>
      <c r="CC39" s="873"/>
      <c r="CD39" s="873"/>
      <c r="CE39" s="873"/>
      <c r="CF39" s="873"/>
      <c r="CG39" s="873"/>
      <c r="CH39" s="873"/>
      <c r="CI39" s="873"/>
      <c r="CJ39" s="873"/>
      <c r="CK39" s="873"/>
      <c r="CL39" s="873"/>
      <c r="CM39" s="873"/>
      <c r="CN39" s="873"/>
      <c r="CO39" s="873"/>
      <c r="CP39" s="873"/>
      <c r="CQ39" s="873"/>
      <c r="CR39" s="873"/>
      <c r="CS39" s="873"/>
      <c r="CT39" s="873"/>
      <c r="CU39" s="873"/>
      <c r="CV39" s="873"/>
      <c r="CW39" s="873"/>
      <c r="CX39" s="873"/>
      <c r="CY39" s="873"/>
      <c r="CZ39" s="873"/>
      <c r="DA39" s="873"/>
      <c r="DB39" s="873"/>
      <c r="DC39" s="873"/>
      <c r="DD39" s="873"/>
      <c r="DE39" s="873"/>
      <c r="DF39" s="873"/>
      <c r="DG39" s="873"/>
      <c r="DH39" s="873"/>
      <c r="DI39" s="873"/>
      <c r="DJ39" s="873"/>
      <c r="DK39" s="873"/>
      <c r="DL39" s="873"/>
      <c r="DM39" s="873"/>
      <c r="DN39" s="873"/>
      <c r="DO39" s="873"/>
      <c r="DP39" s="873"/>
      <c r="DQ39" s="873"/>
      <c r="DR39" s="873"/>
      <c r="DS39" s="873"/>
      <c r="DT39" s="873"/>
      <c r="DU39" s="873"/>
      <c r="DV39" s="873"/>
      <c r="DW39" s="873"/>
      <c r="DX39" s="873"/>
      <c r="DY39" s="873"/>
      <c r="DZ39" s="873"/>
      <c r="EA39" s="873"/>
      <c r="EB39" s="873"/>
      <c r="EC39" s="873"/>
      <c r="ED39" s="873"/>
      <c r="EE39" s="873"/>
      <c r="EF39" s="873"/>
      <c r="EG39" s="873"/>
      <c r="EH39" s="873"/>
      <c r="EI39" s="873"/>
      <c r="EJ39" s="873"/>
      <c r="EK39" s="873"/>
      <c r="EL39" s="873"/>
      <c r="EM39" s="873"/>
      <c r="EN39" s="873"/>
      <c r="EO39" s="873"/>
      <c r="EP39" s="873"/>
      <c r="EQ39" s="873"/>
      <c r="ER39" s="873"/>
      <c r="ES39" s="873"/>
      <c r="ET39" s="873"/>
      <c r="EU39" s="873"/>
      <c r="EV39" s="873"/>
      <c r="EW39" s="873"/>
      <c r="EX39" s="873"/>
      <c r="EY39" s="873"/>
      <c r="EZ39" s="873"/>
      <c r="FA39" s="873"/>
      <c r="FB39" s="873"/>
      <c r="FC39" s="873"/>
      <c r="FD39" s="873"/>
      <c r="FE39" s="873"/>
      <c r="FF39" s="873"/>
      <c r="FG39" s="873"/>
      <c r="FH39" s="873"/>
      <c r="FI39" s="873"/>
      <c r="FJ39" s="873"/>
      <c r="FK39" s="873"/>
      <c r="FL39" s="873"/>
      <c r="FM39" s="873"/>
      <c r="FN39" s="873"/>
      <c r="FO39" s="873"/>
      <c r="FP39" s="873"/>
      <c r="FQ39" s="873"/>
      <c r="FR39" s="873"/>
      <c r="FS39" s="873"/>
      <c r="FT39" s="873"/>
      <c r="FU39" s="873"/>
      <c r="FV39" s="873"/>
      <c r="FW39" s="873"/>
      <c r="FX39" s="873"/>
      <c r="FY39" s="873"/>
      <c r="FZ39" s="873"/>
      <c r="GA39" s="873"/>
      <c r="GB39" s="873"/>
      <c r="GC39" s="873"/>
      <c r="GD39" s="873"/>
      <c r="GE39" s="873"/>
      <c r="GF39" s="873"/>
      <c r="GG39" s="873"/>
      <c r="GH39" s="873"/>
      <c r="GI39" s="873"/>
      <c r="GJ39" s="873"/>
      <c r="GK39" s="873"/>
      <c r="GL39" s="873"/>
      <c r="GM39" s="873"/>
      <c r="GN39" s="873"/>
      <c r="GO39" s="873"/>
      <c r="GP39" s="873"/>
      <c r="GQ39" s="873"/>
      <c r="GR39" s="873"/>
      <c r="GS39" s="873"/>
      <c r="GT39" s="873"/>
      <c r="GU39" s="873"/>
      <c r="GV39" s="873"/>
      <c r="GW39" s="873"/>
      <c r="GX39" s="873"/>
      <c r="GY39" s="873"/>
      <c r="GZ39" s="873"/>
      <c r="HA39" s="873"/>
      <c r="HB39" s="873"/>
      <c r="HC39" s="873"/>
      <c r="HD39" s="873"/>
      <c r="HE39" s="873"/>
      <c r="HF39" s="873"/>
      <c r="HG39" s="873"/>
      <c r="HH39" s="873"/>
      <c r="HI39" s="873"/>
      <c r="HJ39" s="873"/>
      <c r="HK39" s="873"/>
      <c r="HL39" s="873"/>
      <c r="HM39" s="873"/>
      <c r="HN39" s="873"/>
      <c r="HO39" s="873"/>
      <c r="HP39" s="873"/>
      <c r="HQ39" s="873"/>
      <c r="HR39" s="873"/>
      <c r="HS39" s="873"/>
      <c r="HT39" s="873"/>
      <c r="HU39" s="873"/>
      <c r="HV39" s="873"/>
      <c r="HW39" s="873"/>
      <c r="HX39" s="873"/>
      <c r="HY39" s="873"/>
      <c r="HZ39" s="873"/>
      <c r="IA39" s="873"/>
      <c r="IB39" s="873"/>
      <c r="IC39" s="873"/>
      <c r="ID39" s="873"/>
      <c r="IE39" s="873"/>
      <c r="IF39" s="873"/>
      <c r="IG39" s="873"/>
      <c r="IH39" s="873"/>
      <c r="II39" s="873"/>
      <c r="IJ39" s="873"/>
      <c r="IK39" s="873"/>
      <c r="IL39" s="873"/>
      <c r="IM39" s="873"/>
      <c r="IN39" s="873"/>
      <c r="IO39" s="873"/>
      <c r="IP39" s="873"/>
      <c r="IQ39" s="873"/>
      <c r="IR39" s="873"/>
      <c r="IS39" s="873"/>
      <c r="IT39" s="873"/>
      <c r="IU39" s="873"/>
      <c r="IV39" s="873"/>
      <c r="IW39" s="873"/>
      <c r="IX39" s="873"/>
      <c r="IY39" s="873"/>
      <c r="IZ39" s="873"/>
      <c r="JA39" s="873"/>
      <c r="JB39" s="873"/>
      <c r="JC39" s="873"/>
      <c r="JD39" s="873"/>
      <c r="JE39" s="873"/>
      <c r="JF39" s="873"/>
      <c r="JG39" s="873"/>
      <c r="JH39" s="873"/>
      <c r="JI39" s="873"/>
      <c r="JJ39" s="873"/>
      <c r="JK39" s="873"/>
      <c r="JL39" s="873"/>
      <c r="JM39" s="873"/>
      <c r="JN39" s="873"/>
      <c r="JO39" s="873"/>
      <c r="JP39" s="873"/>
      <c r="JQ39" s="873"/>
      <c r="JR39" s="873"/>
      <c r="JS39" s="873"/>
      <c r="JT39" s="873"/>
      <c r="JU39" s="873"/>
      <c r="JV39" s="402"/>
    </row>
    <row r="40" spans="1:282">
      <c r="A40" s="672"/>
      <c r="B40" s="408"/>
      <c r="C40" s="873"/>
      <c r="D40" s="888"/>
      <c r="E40" s="671"/>
      <c r="F40" s="873"/>
      <c r="G40" s="873"/>
      <c r="H40" s="873"/>
      <c r="I40" s="873"/>
      <c r="J40" s="873"/>
      <c r="K40" s="873"/>
      <c r="L40" s="873"/>
      <c r="M40" s="873"/>
      <c r="N40" s="873"/>
      <c r="O40" s="873"/>
      <c r="P40" s="873"/>
      <c r="Q40" s="873"/>
      <c r="R40" s="873"/>
      <c r="S40" s="873"/>
      <c r="T40" s="873"/>
      <c r="U40" s="873"/>
      <c r="V40" s="873"/>
      <c r="W40" s="873"/>
      <c r="X40" s="873"/>
      <c r="Y40" s="873"/>
      <c r="Z40" s="873"/>
      <c r="AA40" s="394"/>
      <c r="AB40" s="873"/>
      <c r="AC40" s="394"/>
      <c r="AD40" s="873"/>
      <c r="AE40" s="873"/>
      <c r="AF40" s="873"/>
      <c r="AG40" s="873"/>
      <c r="AH40" s="873"/>
      <c r="AI40" s="873"/>
      <c r="AJ40" s="403"/>
      <c r="AK40" s="403"/>
      <c r="AL40" s="873"/>
      <c r="AM40" s="873"/>
      <c r="AN40" s="403"/>
      <c r="AO40" s="403"/>
      <c r="AP40" s="394"/>
      <c r="AQ40" s="394"/>
      <c r="AR40" s="394"/>
      <c r="AS40" s="394"/>
      <c r="AT40" s="394"/>
      <c r="AU40" s="873"/>
      <c r="AV40" s="873"/>
      <c r="AW40" s="873"/>
      <c r="AX40" s="873"/>
      <c r="AY40" s="873"/>
      <c r="AZ40" s="873"/>
      <c r="BA40" s="394"/>
      <c r="BB40" s="873"/>
      <c r="BC40" s="873"/>
      <c r="BD40" s="873"/>
      <c r="BE40" s="873"/>
      <c r="BF40" s="873"/>
      <c r="BG40" s="873"/>
      <c r="BH40" s="873"/>
      <c r="BI40" s="873"/>
      <c r="BJ40" s="873"/>
      <c r="BK40" s="873"/>
      <c r="BL40" s="873"/>
      <c r="BM40" s="873"/>
      <c r="BN40" s="873"/>
      <c r="BO40" s="873"/>
      <c r="BP40" s="873"/>
      <c r="BQ40" s="873"/>
      <c r="BR40" s="873"/>
      <c r="BS40" s="873"/>
      <c r="BT40" s="873"/>
      <c r="BU40" s="873"/>
      <c r="BV40" s="873"/>
      <c r="BW40" s="873"/>
      <c r="BX40" s="873"/>
      <c r="BY40" s="873"/>
      <c r="BZ40" s="873"/>
      <c r="CA40" s="873"/>
      <c r="CB40" s="873"/>
      <c r="CC40" s="873"/>
      <c r="CD40" s="873"/>
      <c r="CE40" s="873"/>
      <c r="CF40" s="873"/>
      <c r="CG40" s="873"/>
      <c r="CH40" s="873"/>
      <c r="CI40" s="873"/>
      <c r="CJ40" s="873"/>
      <c r="CK40" s="873"/>
      <c r="CL40" s="873"/>
      <c r="CM40" s="873"/>
      <c r="CN40" s="873"/>
      <c r="CO40" s="873"/>
      <c r="CP40" s="873"/>
      <c r="CQ40" s="873"/>
      <c r="CR40" s="873"/>
      <c r="CS40" s="873"/>
      <c r="CT40" s="873"/>
      <c r="CU40" s="873"/>
      <c r="CV40" s="873"/>
      <c r="CW40" s="873"/>
      <c r="CX40" s="873"/>
      <c r="CY40" s="873"/>
      <c r="CZ40" s="873"/>
      <c r="DA40" s="873"/>
      <c r="DB40" s="873"/>
      <c r="DC40" s="873"/>
      <c r="DD40" s="873"/>
      <c r="DE40" s="873"/>
      <c r="DF40" s="873"/>
      <c r="DG40" s="873"/>
      <c r="DH40" s="873"/>
      <c r="DI40" s="873"/>
      <c r="DJ40" s="873"/>
      <c r="DK40" s="873"/>
      <c r="DL40" s="873"/>
      <c r="DM40" s="873"/>
      <c r="DN40" s="873"/>
      <c r="DO40" s="873"/>
      <c r="DP40" s="873"/>
      <c r="DQ40" s="873"/>
      <c r="DR40" s="873"/>
      <c r="DS40" s="873"/>
      <c r="DT40" s="873"/>
      <c r="DU40" s="873"/>
      <c r="DV40" s="873"/>
      <c r="DW40" s="873"/>
      <c r="DX40" s="873"/>
      <c r="DY40" s="873"/>
      <c r="DZ40" s="873"/>
      <c r="EA40" s="873"/>
      <c r="EB40" s="873"/>
      <c r="EC40" s="873"/>
      <c r="ED40" s="873"/>
      <c r="EE40" s="873"/>
      <c r="EF40" s="873"/>
      <c r="EG40" s="873"/>
      <c r="EH40" s="873"/>
      <c r="EI40" s="873"/>
      <c r="EJ40" s="873"/>
      <c r="EK40" s="873"/>
      <c r="EL40" s="873"/>
      <c r="EM40" s="873"/>
      <c r="EN40" s="873"/>
      <c r="EO40" s="873"/>
      <c r="EP40" s="873"/>
      <c r="EQ40" s="873"/>
      <c r="ER40" s="873"/>
      <c r="ES40" s="873"/>
      <c r="ET40" s="873"/>
      <c r="EU40" s="873"/>
      <c r="EV40" s="873"/>
      <c r="EW40" s="873"/>
      <c r="EX40" s="873"/>
      <c r="EY40" s="873"/>
      <c r="EZ40" s="873"/>
      <c r="FA40" s="873"/>
      <c r="FB40" s="873"/>
      <c r="FC40" s="873"/>
      <c r="FD40" s="873"/>
      <c r="FE40" s="873"/>
      <c r="FF40" s="873"/>
      <c r="FG40" s="873"/>
      <c r="FH40" s="873"/>
      <c r="FI40" s="873"/>
      <c r="FJ40" s="873"/>
      <c r="FK40" s="873"/>
      <c r="FL40" s="873"/>
      <c r="FM40" s="873"/>
      <c r="FN40" s="873"/>
      <c r="FO40" s="873"/>
      <c r="FP40" s="873"/>
      <c r="FQ40" s="873"/>
      <c r="FR40" s="873"/>
      <c r="FS40" s="873"/>
      <c r="FT40" s="873"/>
      <c r="FU40" s="873"/>
      <c r="FV40" s="873"/>
      <c r="FW40" s="873"/>
      <c r="FX40" s="873"/>
      <c r="FY40" s="873"/>
      <c r="FZ40" s="873"/>
      <c r="GA40" s="873"/>
      <c r="GB40" s="873"/>
      <c r="GC40" s="873"/>
      <c r="GD40" s="873"/>
      <c r="GE40" s="873"/>
      <c r="GF40" s="873"/>
      <c r="GG40" s="873"/>
      <c r="GH40" s="873"/>
      <c r="GI40" s="873"/>
      <c r="GJ40" s="873"/>
      <c r="GK40" s="873"/>
      <c r="GL40" s="873"/>
      <c r="GM40" s="873"/>
      <c r="GN40" s="873"/>
      <c r="GO40" s="873"/>
      <c r="GP40" s="873"/>
      <c r="GQ40" s="873"/>
      <c r="GR40" s="873"/>
      <c r="GS40" s="873"/>
      <c r="GT40" s="873"/>
      <c r="GU40" s="873"/>
      <c r="GV40" s="873"/>
      <c r="GW40" s="873"/>
      <c r="GX40" s="873"/>
      <c r="GY40" s="873"/>
      <c r="GZ40" s="873"/>
      <c r="HA40" s="873"/>
      <c r="HB40" s="873"/>
      <c r="HC40" s="873"/>
      <c r="HD40" s="873"/>
      <c r="HE40" s="873"/>
      <c r="HF40" s="873"/>
      <c r="HG40" s="873"/>
      <c r="HH40" s="873"/>
      <c r="HI40" s="873"/>
      <c r="HJ40" s="873"/>
      <c r="HK40" s="873"/>
      <c r="HL40" s="873"/>
      <c r="HM40" s="873"/>
      <c r="HN40" s="873"/>
      <c r="HO40" s="873"/>
      <c r="HP40" s="873"/>
      <c r="HQ40" s="873"/>
      <c r="HR40" s="873"/>
      <c r="HS40" s="873"/>
      <c r="HT40" s="873"/>
      <c r="HU40" s="873"/>
      <c r="HV40" s="873"/>
      <c r="HW40" s="873"/>
      <c r="HX40" s="873"/>
      <c r="HY40" s="873"/>
      <c r="HZ40" s="873"/>
      <c r="IA40" s="873"/>
      <c r="IB40" s="873"/>
      <c r="IC40" s="873"/>
      <c r="ID40" s="873"/>
      <c r="IE40" s="873"/>
      <c r="IF40" s="873"/>
      <c r="IG40" s="873"/>
      <c r="IH40" s="873"/>
      <c r="II40" s="873"/>
      <c r="IJ40" s="873"/>
      <c r="IK40" s="873"/>
      <c r="IL40" s="873"/>
      <c r="IM40" s="873"/>
      <c r="IN40" s="873"/>
      <c r="IO40" s="873"/>
      <c r="IP40" s="873"/>
      <c r="IQ40" s="873"/>
      <c r="IR40" s="873"/>
      <c r="IS40" s="873"/>
      <c r="IT40" s="873"/>
      <c r="IU40" s="873"/>
      <c r="IV40" s="873"/>
      <c r="IW40" s="873"/>
      <c r="IX40" s="873"/>
      <c r="IY40" s="873"/>
      <c r="IZ40" s="873"/>
      <c r="JA40" s="873"/>
      <c r="JB40" s="873"/>
      <c r="JC40" s="873"/>
      <c r="JD40" s="873"/>
      <c r="JE40" s="873"/>
      <c r="JF40" s="873"/>
      <c r="JG40" s="873"/>
      <c r="JH40" s="873"/>
      <c r="JI40" s="873"/>
      <c r="JJ40" s="873"/>
      <c r="JK40" s="873"/>
      <c r="JL40" s="873"/>
      <c r="JM40" s="873"/>
      <c r="JN40" s="873"/>
      <c r="JO40" s="873"/>
      <c r="JP40" s="873"/>
      <c r="JQ40" s="873"/>
      <c r="JR40" s="873"/>
      <c r="JS40" s="873"/>
      <c r="JT40" s="873"/>
      <c r="JU40" s="873"/>
      <c r="JV40" s="402"/>
    </row>
    <row r="41" spans="1:282">
      <c r="A41" s="672"/>
      <c r="B41" s="408"/>
      <c r="C41" s="873"/>
      <c r="D41" s="888"/>
      <c r="E41" s="671"/>
      <c r="F41" s="873"/>
      <c r="G41" s="873"/>
      <c r="H41" s="873"/>
      <c r="I41" s="873"/>
      <c r="J41" s="873"/>
      <c r="K41" s="873"/>
      <c r="L41" s="873"/>
      <c r="M41" s="873"/>
      <c r="N41" s="873"/>
      <c r="O41" s="873"/>
      <c r="P41" s="873"/>
      <c r="Q41" s="873"/>
      <c r="R41" s="873"/>
      <c r="S41" s="873"/>
      <c r="T41" s="873"/>
      <c r="U41" s="873"/>
      <c r="V41" s="873"/>
      <c r="W41" s="873"/>
      <c r="X41" s="873"/>
      <c r="Y41" s="873"/>
      <c r="Z41" s="873"/>
      <c r="AA41" s="394"/>
      <c r="AB41" s="873"/>
      <c r="AC41" s="394"/>
      <c r="AD41" s="873"/>
      <c r="AE41" s="873"/>
      <c r="AF41" s="873"/>
      <c r="AG41" s="873"/>
      <c r="AH41" s="873"/>
      <c r="AI41" s="873"/>
      <c r="AJ41" s="403"/>
      <c r="AK41" s="403"/>
      <c r="AL41" s="873"/>
      <c r="AM41" s="873"/>
      <c r="AN41" s="403"/>
      <c r="AO41" s="403"/>
      <c r="AP41" s="394"/>
      <c r="AQ41" s="394"/>
      <c r="AR41" s="394"/>
      <c r="AS41" s="394"/>
      <c r="AT41" s="394"/>
      <c r="AU41" s="873"/>
      <c r="AV41" s="873"/>
      <c r="AW41" s="873"/>
      <c r="AX41" s="873"/>
      <c r="AY41" s="873"/>
      <c r="AZ41" s="873"/>
      <c r="BA41" s="394"/>
      <c r="BB41" s="873"/>
      <c r="BC41" s="873"/>
      <c r="BD41" s="873"/>
      <c r="BE41" s="873"/>
      <c r="BF41" s="873"/>
      <c r="BG41" s="873"/>
      <c r="BH41" s="873"/>
      <c r="BI41" s="873"/>
      <c r="BJ41" s="873"/>
      <c r="BK41" s="873"/>
      <c r="BL41" s="873"/>
      <c r="BM41" s="873"/>
      <c r="BN41" s="873"/>
      <c r="BO41" s="873"/>
      <c r="BP41" s="873"/>
      <c r="BQ41" s="873"/>
      <c r="BR41" s="873"/>
      <c r="BS41" s="873"/>
      <c r="BT41" s="873"/>
      <c r="BU41" s="873"/>
      <c r="BV41" s="873"/>
      <c r="BW41" s="873"/>
      <c r="BX41" s="873"/>
      <c r="BY41" s="873"/>
      <c r="BZ41" s="873"/>
      <c r="CA41" s="873"/>
      <c r="CB41" s="873"/>
      <c r="CC41" s="873"/>
      <c r="CD41" s="873"/>
      <c r="CE41" s="873"/>
      <c r="CF41" s="873"/>
      <c r="CG41" s="873"/>
      <c r="CH41" s="873"/>
      <c r="CI41" s="873"/>
      <c r="CJ41" s="873"/>
      <c r="CK41" s="873"/>
      <c r="CL41" s="873"/>
      <c r="CM41" s="873"/>
      <c r="CN41" s="873"/>
      <c r="CO41" s="873"/>
      <c r="CP41" s="873"/>
      <c r="CQ41" s="873"/>
      <c r="CR41" s="873"/>
      <c r="CS41" s="873"/>
      <c r="CT41" s="873"/>
      <c r="CU41" s="873"/>
      <c r="CV41" s="873"/>
      <c r="CW41" s="873"/>
      <c r="CX41" s="873"/>
      <c r="CY41" s="873"/>
      <c r="CZ41" s="873"/>
      <c r="DA41" s="873"/>
      <c r="DB41" s="873"/>
      <c r="DC41" s="873"/>
      <c r="DD41" s="873"/>
      <c r="DE41" s="873"/>
      <c r="DF41" s="873"/>
      <c r="DG41" s="873"/>
      <c r="DH41" s="873"/>
      <c r="DI41" s="873"/>
      <c r="DJ41" s="873"/>
      <c r="DK41" s="873"/>
      <c r="DL41" s="873"/>
      <c r="DM41" s="873"/>
      <c r="DN41" s="873"/>
      <c r="DO41" s="873"/>
      <c r="DP41" s="873"/>
      <c r="DQ41" s="873"/>
      <c r="DR41" s="873"/>
      <c r="DS41" s="873"/>
      <c r="DT41" s="873"/>
      <c r="DU41" s="873"/>
      <c r="DV41" s="873"/>
      <c r="DW41" s="873"/>
      <c r="DX41" s="873"/>
      <c r="DY41" s="873"/>
      <c r="DZ41" s="873"/>
      <c r="EA41" s="873"/>
      <c r="EB41" s="873"/>
      <c r="EC41" s="873"/>
      <c r="ED41" s="873"/>
      <c r="EE41" s="873"/>
      <c r="EF41" s="873"/>
      <c r="EG41" s="873"/>
      <c r="EH41" s="873"/>
      <c r="EI41" s="873"/>
      <c r="EJ41" s="873"/>
      <c r="EK41" s="873"/>
      <c r="EL41" s="873"/>
      <c r="EM41" s="873"/>
      <c r="EN41" s="873"/>
      <c r="EO41" s="873"/>
      <c r="EP41" s="873"/>
      <c r="EQ41" s="873"/>
      <c r="ER41" s="873"/>
      <c r="ES41" s="873"/>
      <c r="ET41" s="873"/>
      <c r="EU41" s="873"/>
      <c r="EV41" s="873"/>
      <c r="EW41" s="873"/>
      <c r="EX41" s="873"/>
      <c r="EY41" s="873"/>
      <c r="EZ41" s="873"/>
      <c r="FA41" s="873"/>
      <c r="FB41" s="873"/>
      <c r="FC41" s="873"/>
      <c r="FD41" s="873"/>
      <c r="FE41" s="873"/>
      <c r="FF41" s="873"/>
      <c r="FG41" s="873"/>
      <c r="FH41" s="873"/>
      <c r="FI41" s="873"/>
      <c r="FJ41" s="873"/>
      <c r="FK41" s="873"/>
      <c r="FL41" s="873"/>
      <c r="FM41" s="873"/>
      <c r="FN41" s="873"/>
      <c r="FO41" s="873"/>
      <c r="FP41" s="873"/>
      <c r="FQ41" s="873"/>
      <c r="FR41" s="873"/>
      <c r="FS41" s="873"/>
      <c r="FT41" s="873"/>
      <c r="FU41" s="873"/>
      <c r="FV41" s="873"/>
      <c r="FW41" s="873"/>
      <c r="FX41" s="873"/>
      <c r="FY41" s="873"/>
      <c r="FZ41" s="873"/>
      <c r="GA41" s="873"/>
      <c r="GB41" s="873"/>
      <c r="GC41" s="873"/>
      <c r="GD41" s="873"/>
      <c r="GE41" s="873"/>
      <c r="GF41" s="873"/>
      <c r="GG41" s="873"/>
      <c r="GH41" s="873"/>
      <c r="GI41" s="873"/>
      <c r="GJ41" s="873"/>
      <c r="GK41" s="873"/>
      <c r="GL41" s="873"/>
      <c r="GM41" s="873"/>
      <c r="GN41" s="873"/>
      <c r="GO41" s="873"/>
      <c r="GP41" s="873"/>
      <c r="GQ41" s="873"/>
      <c r="GR41" s="873"/>
      <c r="GS41" s="873"/>
      <c r="GT41" s="873"/>
      <c r="GU41" s="873"/>
      <c r="GV41" s="873"/>
      <c r="GW41" s="873"/>
      <c r="GX41" s="873"/>
      <c r="GY41" s="873"/>
      <c r="GZ41" s="873"/>
      <c r="HA41" s="873"/>
      <c r="HB41" s="873"/>
      <c r="HC41" s="873"/>
      <c r="HD41" s="873"/>
      <c r="HE41" s="873"/>
      <c r="HF41" s="873"/>
      <c r="HG41" s="873"/>
      <c r="HH41" s="873"/>
      <c r="HI41" s="873"/>
      <c r="HJ41" s="873"/>
      <c r="HK41" s="873"/>
      <c r="HL41" s="873"/>
      <c r="HM41" s="873"/>
      <c r="HN41" s="873"/>
      <c r="HO41" s="873"/>
      <c r="HP41" s="873"/>
      <c r="HQ41" s="873"/>
      <c r="HR41" s="873"/>
      <c r="HS41" s="873"/>
      <c r="HT41" s="873"/>
      <c r="HU41" s="873"/>
      <c r="HV41" s="873"/>
      <c r="HW41" s="873"/>
      <c r="HX41" s="873"/>
      <c r="HY41" s="873"/>
      <c r="HZ41" s="873"/>
      <c r="IA41" s="873"/>
      <c r="IB41" s="873"/>
      <c r="IC41" s="873"/>
      <c r="ID41" s="873"/>
      <c r="IE41" s="873"/>
      <c r="IF41" s="873"/>
      <c r="IG41" s="873"/>
      <c r="IH41" s="873"/>
      <c r="II41" s="873"/>
      <c r="IJ41" s="873"/>
      <c r="IK41" s="873"/>
      <c r="IL41" s="873"/>
      <c r="IM41" s="873"/>
      <c r="IN41" s="873"/>
      <c r="IO41" s="873"/>
      <c r="IP41" s="873"/>
      <c r="IQ41" s="873"/>
      <c r="IR41" s="873"/>
      <c r="IS41" s="873"/>
      <c r="IT41" s="873"/>
      <c r="IU41" s="873"/>
      <c r="IV41" s="873"/>
      <c r="IW41" s="873"/>
      <c r="IX41" s="873"/>
      <c r="IY41" s="873"/>
      <c r="IZ41" s="873"/>
      <c r="JA41" s="873"/>
      <c r="JB41" s="873"/>
      <c r="JC41" s="873"/>
      <c r="JD41" s="873"/>
      <c r="JE41" s="873"/>
      <c r="JF41" s="873"/>
      <c r="JG41" s="873"/>
      <c r="JH41" s="873"/>
      <c r="JI41" s="873"/>
      <c r="JJ41" s="873"/>
      <c r="JK41" s="873"/>
      <c r="JL41" s="873"/>
      <c r="JM41" s="873"/>
      <c r="JN41" s="873"/>
      <c r="JO41" s="873"/>
      <c r="JP41" s="873"/>
      <c r="JQ41" s="873"/>
      <c r="JR41" s="873"/>
      <c r="JS41" s="873"/>
      <c r="JT41" s="873"/>
      <c r="JU41" s="873"/>
      <c r="JV41" s="402"/>
    </row>
    <row r="42" spans="1:282">
      <c r="A42" s="672"/>
      <c r="B42" s="408"/>
      <c r="C42" s="873"/>
      <c r="D42" s="888"/>
      <c r="E42" s="671"/>
      <c r="F42" s="873"/>
      <c r="G42" s="873"/>
      <c r="H42" s="873"/>
      <c r="I42" s="873"/>
      <c r="J42" s="873"/>
      <c r="K42" s="873"/>
      <c r="L42" s="873"/>
      <c r="M42" s="873"/>
      <c r="N42" s="873"/>
      <c r="O42" s="873"/>
      <c r="P42" s="873"/>
      <c r="Q42" s="873"/>
      <c r="R42" s="873"/>
      <c r="S42" s="873"/>
      <c r="T42" s="873"/>
      <c r="U42" s="873"/>
      <c r="V42" s="873"/>
      <c r="W42" s="873"/>
      <c r="X42" s="873"/>
      <c r="Y42" s="873"/>
      <c r="Z42" s="873"/>
      <c r="AA42" s="394"/>
      <c r="AB42" s="873"/>
      <c r="AC42" s="394"/>
      <c r="AD42" s="873"/>
      <c r="AE42" s="873"/>
      <c r="AF42" s="873"/>
      <c r="AG42" s="873"/>
      <c r="AH42" s="873"/>
      <c r="AI42" s="873"/>
      <c r="AJ42" s="403"/>
      <c r="AK42" s="403"/>
      <c r="AL42" s="873"/>
      <c r="AM42" s="873"/>
      <c r="AN42" s="403"/>
      <c r="AO42" s="403"/>
      <c r="AP42" s="394"/>
      <c r="AQ42" s="394"/>
      <c r="AR42" s="394"/>
      <c r="AS42" s="394"/>
      <c r="AT42" s="394"/>
      <c r="AU42" s="873"/>
      <c r="AV42" s="873"/>
      <c r="AW42" s="873"/>
      <c r="AX42" s="873"/>
      <c r="AY42" s="873"/>
      <c r="AZ42" s="873"/>
      <c r="BA42" s="394"/>
      <c r="BB42" s="873"/>
      <c r="BC42" s="873"/>
      <c r="BD42" s="873"/>
      <c r="BE42" s="873"/>
      <c r="BF42" s="873"/>
      <c r="BG42" s="873"/>
      <c r="BH42" s="873"/>
      <c r="BI42" s="873"/>
      <c r="BJ42" s="873"/>
      <c r="BK42" s="873"/>
      <c r="BL42" s="873"/>
      <c r="BM42" s="873"/>
      <c r="BN42" s="873"/>
      <c r="BO42" s="873"/>
      <c r="BP42" s="873"/>
      <c r="BQ42" s="873"/>
      <c r="BR42" s="873"/>
      <c r="BS42" s="873"/>
      <c r="BT42" s="873"/>
      <c r="BU42" s="873"/>
      <c r="BV42" s="873"/>
      <c r="BW42" s="873"/>
      <c r="BX42" s="873"/>
      <c r="BY42" s="873"/>
      <c r="BZ42" s="873"/>
      <c r="CA42" s="873"/>
      <c r="CB42" s="873"/>
      <c r="CC42" s="873"/>
      <c r="CD42" s="873"/>
      <c r="CE42" s="873"/>
      <c r="CF42" s="873"/>
      <c r="CG42" s="873"/>
      <c r="CH42" s="873"/>
      <c r="CI42" s="873"/>
      <c r="CJ42" s="873"/>
      <c r="CK42" s="873"/>
      <c r="CL42" s="873"/>
      <c r="CM42" s="873"/>
      <c r="CN42" s="873"/>
      <c r="CO42" s="873"/>
      <c r="CP42" s="873"/>
      <c r="CQ42" s="873"/>
      <c r="CR42" s="873"/>
      <c r="CS42" s="873"/>
      <c r="CT42" s="873"/>
      <c r="CU42" s="873"/>
      <c r="CV42" s="873"/>
      <c r="CW42" s="873"/>
      <c r="CX42" s="873"/>
      <c r="CY42" s="873"/>
      <c r="CZ42" s="873"/>
      <c r="DA42" s="873"/>
      <c r="DB42" s="873"/>
      <c r="DC42" s="873"/>
      <c r="DD42" s="873"/>
      <c r="DE42" s="873"/>
      <c r="DF42" s="873"/>
      <c r="DG42" s="873"/>
      <c r="DH42" s="873"/>
      <c r="DI42" s="873"/>
      <c r="DJ42" s="873"/>
      <c r="DK42" s="873"/>
      <c r="DL42" s="873"/>
      <c r="DM42" s="873"/>
      <c r="DN42" s="873"/>
      <c r="DO42" s="873"/>
      <c r="DP42" s="873"/>
      <c r="DQ42" s="873"/>
      <c r="DR42" s="873"/>
      <c r="DS42" s="873"/>
      <c r="DT42" s="873"/>
      <c r="DU42" s="873"/>
      <c r="DV42" s="873"/>
      <c r="DW42" s="873"/>
      <c r="DX42" s="873"/>
      <c r="DY42" s="873"/>
      <c r="DZ42" s="873"/>
      <c r="EA42" s="873"/>
      <c r="EB42" s="873"/>
      <c r="EC42" s="873"/>
      <c r="ED42" s="873"/>
      <c r="EE42" s="873"/>
      <c r="EF42" s="873"/>
      <c r="EG42" s="873"/>
      <c r="EH42" s="873"/>
      <c r="EI42" s="873"/>
      <c r="EJ42" s="873"/>
      <c r="EK42" s="873"/>
      <c r="EL42" s="873"/>
      <c r="EM42" s="873"/>
      <c r="EN42" s="873"/>
      <c r="EO42" s="873"/>
      <c r="EP42" s="873"/>
      <c r="EQ42" s="873"/>
      <c r="ER42" s="873"/>
      <c r="ES42" s="873"/>
      <c r="ET42" s="873"/>
      <c r="EU42" s="873"/>
      <c r="EV42" s="873"/>
      <c r="EW42" s="873"/>
      <c r="EX42" s="873"/>
      <c r="EY42" s="873"/>
      <c r="EZ42" s="873"/>
      <c r="FA42" s="873"/>
      <c r="FB42" s="873"/>
      <c r="FC42" s="873"/>
      <c r="FD42" s="873"/>
      <c r="FE42" s="873"/>
      <c r="FF42" s="873"/>
      <c r="FG42" s="873"/>
      <c r="FH42" s="873"/>
      <c r="FI42" s="873"/>
      <c r="FJ42" s="873"/>
      <c r="FK42" s="873"/>
      <c r="FL42" s="873"/>
      <c r="FM42" s="873"/>
      <c r="FN42" s="873"/>
      <c r="FO42" s="873"/>
      <c r="FP42" s="873"/>
      <c r="FQ42" s="873"/>
      <c r="FR42" s="873"/>
      <c r="FS42" s="873"/>
      <c r="FT42" s="873"/>
      <c r="FU42" s="873"/>
      <c r="FV42" s="873"/>
      <c r="FW42" s="873"/>
      <c r="FX42" s="873"/>
      <c r="FY42" s="873"/>
      <c r="FZ42" s="873"/>
      <c r="GA42" s="873"/>
      <c r="GB42" s="873"/>
      <c r="GC42" s="873"/>
      <c r="GD42" s="873"/>
      <c r="GE42" s="873"/>
      <c r="GF42" s="873"/>
      <c r="GG42" s="873"/>
      <c r="GH42" s="873"/>
      <c r="GI42" s="873"/>
      <c r="GJ42" s="873"/>
      <c r="GK42" s="873"/>
      <c r="GL42" s="873"/>
      <c r="GM42" s="873"/>
      <c r="GN42" s="873"/>
      <c r="GO42" s="873"/>
      <c r="GP42" s="873"/>
      <c r="GQ42" s="873"/>
      <c r="GR42" s="873"/>
      <c r="GS42" s="873"/>
      <c r="GT42" s="873"/>
      <c r="GU42" s="873"/>
      <c r="GV42" s="873"/>
      <c r="GW42" s="873"/>
      <c r="GX42" s="873"/>
      <c r="GY42" s="873"/>
      <c r="GZ42" s="873"/>
      <c r="HA42" s="873"/>
      <c r="HB42" s="873"/>
      <c r="HC42" s="873"/>
      <c r="HD42" s="873"/>
      <c r="HE42" s="873"/>
      <c r="HF42" s="873"/>
      <c r="HG42" s="873"/>
      <c r="HH42" s="873"/>
      <c r="HI42" s="873"/>
      <c r="HJ42" s="873"/>
      <c r="HK42" s="873"/>
      <c r="HL42" s="873"/>
      <c r="HM42" s="873"/>
      <c r="HN42" s="873"/>
      <c r="HO42" s="873"/>
      <c r="HP42" s="873"/>
      <c r="HQ42" s="873"/>
      <c r="HR42" s="873"/>
      <c r="HS42" s="873"/>
      <c r="HT42" s="873"/>
      <c r="HU42" s="873"/>
      <c r="HV42" s="873"/>
      <c r="HW42" s="873"/>
      <c r="HX42" s="873"/>
      <c r="HY42" s="873"/>
      <c r="HZ42" s="873"/>
      <c r="IA42" s="873"/>
      <c r="IB42" s="873"/>
      <c r="IC42" s="873"/>
      <c r="ID42" s="873"/>
      <c r="IE42" s="873"/>
      <c r="IF42" s="873"/>
      <c r="IG42" s="873"/>
      <c r="IH42" s="873"/>
      <c r="II42" s="873"/>
      <c r="IJ42" s="873"/>
      <c r="IK42" s="873"/>
      <c r="IL42" s="873"/>
      <c r="IM42" s="873"/>
      <c r="IN42" s="873"/>
      <c r="IO42" s="873"/>
      <c r="IP42" s="873"/>
      <c r="IQ42" s="873"/>
      <c r="IR42" s="873"/>
      <c r="IS42" s="873"/>
      <c r="IT42" s="873"/>
      <c r="IU42" s="873"/>
      <c r="IV42" s="873"/>
      <c r="IW42" s="873"/>
      <c r="IX42" s="873"/>
      <c r="IY42" s="873"/>
      <c r="IZ42" s="873"/>
      <c r="JA42" s="873"/>
      <c r="JB42" s="873"/>
      <c r="JC42" s="873"/>
      <c r="JD42" s="873"/>
      <c r="JE42" s="873"/>
      <c r="JF42" s="873"/>
      <c r="JG42" s="873"/>
      <c r="JH42" s="873"/>
      <c r="JI42" s="873"/>
      <c r="JJ42" s="873"/>
      <c r="JK42" s="873"/>
      <c r="JL42" s="873"/>
      <c r="JM42" s="873"/>
      <c r="JN42" s="873"/>
      <c r="JO42" s="873"/>
      <c r="JP42" s="873"/>
      <c r="JQ42" s="873"/>
      <c r="JR42" s="873"/>
      <c r="JS42" s="873"/>
      <c r="JT42" s="873"/>
      <c r="JU42" s="873"/>
      <c r="JV42" s="402"/>
    </row>
    <row r="43" spans="1:282">
      <c r="A43" s="672"/>
      <c r="B43" s="408"/>
      <c r="C43" s="873"/>
      <c r="D43" s="888"/>
      <c r="E43" s="671"/>
      <c r="F43" s="873"/>
      <c r="G43" s="873"/>
      <c r="H43" s="873"/>
      <c r="I43" s="873"/>
      <c r="J43" s="873"/>
      <c r="K43" s="873"/>
      <c r="L43" s="873"/>
      <c r="M43" s="873"/>
      <c r="N43" s="873"/>
      <c r="O43" s="873"/>
      <c r="P43" s="873"/>
      <c r="Q43" s="873"/>
      <c r="R43" s="873"/>
      <c r="S43" s="873"/>
      <c r="T43" s="873"/>
      <c r="U43" s="873"/>
      <c r="V43" s="873"/>
      <c r="W43" s="873"/>
      <c r="X43" s="873"/>
      <c r="Y43" s="873"/>
      <c r="Z43" s="873"/>
      <c r="AA43" s="394"/>
      <c r="AB43" s="873"/>
      <c r="AC43" s="394"/>
      <c r="AD43" s="873"/>
      <c r="AE43" s="873"/>
      <c r="AF43" s="873"/>
      <c r="AG43" s="873"/>
      <c r="AH43" s="873"/>
      <c r="AI43" s="873"/>
      <c r="AJ43" s="403"/>
      <c r="AK43" s="403"/>
      <c r="AL43" s="873"/>
      <c r="AM43" s="873"/>
      <c r="AN43" s="403"/>
      <c r="AO43" s="403"/>
      <c r="AP43" s="394"/>
      <c r="AQ43" s="394"/>
      <c r="AR43" s="394"/>
      <c r="AS43" s="394"/>
      <c r="AT43" s="394"/>
      <c r="AU43" s="873"/>
      <c r="AV43" s="873"/>
      <c r="AW43" s="873"/>
      <c r="AX43" s="873"/>
      <c r="AY43" s="873"/>
      <c r="AZ43" s="873"/>
      <c r="BA43" s="394"/>
      <c r="BB43" s="873"/>
      <c r="BC43" s="873"/>
      <c r="BD43" s="873"/>
      <c r="BE43" s="873"/>
      <c r="BF43" s="873"/>
      <c r="BG43" s="873"/>
      <c r="BH43" s="873"/>
      <c r="BI43" s="873"/>
      <c r="BJ43" s="873"/>
      <c r="BK43" s="873"/>
      <c r="BL43" s="873"/>
      <c r="BM43" s="873"/>
      <c r="BN43" s="873"/>
      <c r="BO43" s="873"/>
      <c r="BP43" s="873"/>
      <c r="BQ43" s="873"/>
      <c r="BR43" s="873"/>
      <c r="BS43" s="873"/>
      <c r="BT43" s="873"/>
      <c r="BU43" s="873"/>
      <c r="BV43" s="873"/>
      <c r="BW43" s="873"/>
      <c r="BX43" s="873"/>
      <c r="BY43" s="873"/>
      <c r="BZ43" s="873"/>
      <c r="CA43" s="873"/>
      <c r="CB43" s="873"/>
      <c r="CC43" s="873"/>
      <c r="CD43" s="873"/>
      <c r="CE43" s="873"/>
      <c r="CF43" s="873"/>
      <c r="CG43" s="873"/>
      <c r="CH43" s="873"/>
      <c r="CI43" s="873"/>
      <c r="CJ43" s="873"/>
      <c r="CK43" s="873"/>
      <c r="CL43" s="873"/>
      <c r="CM43" s="873"/>
      <c r="CN43" s="873"/>
      <c r="CO43" s="873"/>
      <c r="CP43" s="873"/>
      <c r="CQ43" s="873"/>
      <c r="CR43" s="873"/>
      <c r="CS43" s="873"/>
      <c r="CT43" s="873"/>
      <c r="CU43" s="873"/>
      <c r="CV43" s="873"/>
      <c r="CW43" s="873"/>
      <c r="CX43" s="873"/>
      <c r="CY43" s="873"/>
      <c r="CZ43" s="873"/>
      <c r="DA43" s="873"/>
      <c r="DB43" s="873"/>
      <c r="DC43" s="873"/>
      <c r="DD43" s="873"/>
      <c r="DE43" s="873"/>
      <c r="DF43" s="873"/>
      <c r="DG43" s="873"/>
      <c r="DH43" s="873"/>
      <c r="DI43" s="873"/>
      <c r="DJ43" s="873"/>
      <c r="DK43" s="873"/>
      <c r="DL43" s="873"/>
      <c r="DM43" s="873"/>
      <c r="DN43" s="873"/>
      <c r="DO43" s="873"/>
      <c r="DP43" s="873"/>
      <c r="DQ43" s="873"/>
      <c r="DR43" s="873"/>
      <c r="DS43" s="873"/>
      <c r="DT43" s="873"/>
      <c r="DU43" s="873"/>
      <c r="DV43" s="873"/>
      <c r="DW43" s="873"/>
      <c r="DX43" s="873"/>
      <c r="DY43" s="873"/>
      <c r="DZ43" s="873"/>
      <c r="EA43" s="873"/>
      <c r="EB43" s="873"/>
      <c r="EC43" s="873"/>
      <c r="ED43" s="873"/>
      <c r="EE43" s="873"/>
      <c r="EF43" s="873"/>
      <c r="EG43" s="873"/>
      <c r="EH43" s="873"/>
      <c r="EI43" s="873"/>
      <c r="EJ43" s="873"/>
      <c r="EK43" s="873"/>
      <c r="EL43" s="873"/>
      <c r="EM43" s="873"/>
      <c r="EN43" s="873"/>
      <c r="EO43" s="873"/>
      <c r="EP43" s="873"/>
      <c r="EQ43" s="873"/>
      <c r="ER43" s="873"/>
      <c r="ES43" s="873"/>
      <c r="ET43" s="873"/>
      <c r="EU43" s="873"/>
      <c r="EV43" s="873"/>
      <c r="EW43" s="873"/>
      <c r="EX43" s="873"/>
      <c r="EY43" s="873"/>
      <c r="EZ43" s="873"/>
      <c r="FA43" s="873"/>
      <c r="FB43" s="873"/>
      <c r="FC43" s="873"/>
      <c r="FD43" s="873"/>
      <c r="FE43" s="873"/>
      <c r="FF43" s="873"/>
      <c r="FG43" s="873"/>
      <c r="FH43" s="873"/>
      <c r="FI43" s="873"/>
      <c r="FJ43" s="873"/>
      <c r="FK43" s="873"/>
      <c r="FL43" s="873"/>
      <c r="FM43" s="873"/>
      <c r="FN43" s="873"/>
      <c r="FO43" s="873"/>
      <c r="FP43" s="873"/>
      <c r="FQ43" s="873"/>
      <c r="FR43" s="873"/>
      <c r="FS43" s="873"/>
      <c r="FT43" s="873"/>
      <c r="FU43" s="873"/>
      <c r="FV43" s="873"/>
      <c r="FW43" s="873"/>
      <c r="FX43" s="873"/>
      <c r="FY43" s="873"/>
      <c r="FZ43" s="873"/>
      <c r="GA43" s="873"/>
      <c r="GB43" s="873"/>
      <c r="GC43" s="873"/>
      <c r="GD43" s="873"/>
      <c r="GE43" s="873"/>
      <c r="GF43" s="873"/>
      <c r="GG43" s="873"/>
      <c r="GH43" s="873"/>
      <c r="GI43" s="873"/>
      <c r="GJ43" s="873"/>
      <c r="GK43" s="873"/>
      <c r="GL43" s="873"/>
      <c r="GM43" s="873"/>
      <c r="GN43" s="873"/>
      <c r="GO43" s="873"/>
      <c r="GP43" s="873"/>
      <c r="GQ43" s="873"/>
      <c r="GR43" s="873"/>
      <c r="GS43" s="873"/>
      <c r="GT43" s="873"/>
      <c r="GU43" s="873"/>
      <c r="GV43" s="873"/>
      <c r="GW43" s="873"/>
      <c r="GX43" s="873"/>
      <c r="GY43" s="873"/>
      <c r="GZ43" s="873"/>
      <c r="HA43" s="873"/>
      <c r="HB43" s="873"/>
      <c r="HC43" s="873"/>
      <c r="HD43" s="873"/>
      <c r="HE43" s="873"/>
      <c r="HF43" s="873"/>
      <c r="HG43" s="873"/>
      <c r="HH43" s="873"/>
      <c r="HI43" s="873"/>
      <c r="HJ43" s="873"/>
      <c r="HK43" s="873"/>
      <c r="HL43" s="873"/>
      <c r="HM43" s="873"/>
      <c r="HN43" s="873"/>
      <c r="HO43" s="873"/>
      <c r="HP43" s="873"/>
      <c r="HQ43" s="873"/>
      <c r="HR43" s="873"/>
      <c r="HS43" s="873"/>
      <c r="HT43" s="873"/>
      <c r="HU43" s="873"/>
      <c r="HV43" s="873"/>
      <c r="HW43" s="873"/>
      <c r="HX43" s="873"/>
      <c r="HY43" s="873"/>
      <c r="HZ43" s="873"/>
      <c r="IA43" s="873"/>
      <c r="IB43" s="873"/>
      <c r="IC43" s="873"/>
      <c r="ID43" s="873"/>
      <c r="IE43" s="873"/>
      <c r="IF43" s="873"/>
      <c r="IG43" s="873"/>
      <c r="IH43" s="873"/>
      <c r="II43" s="873"/>
      <c r="IJ43" s="873"/>
      <c r="IK43" s="873"/>
      <c r="IL43" s="873"/>
      <c r="IM43" s="873"/>
      <c r="IN43" s="873"/>
      <c r="IO43" s="873"/>
      <c r="IP43" s="873"/>
      <c r="IQ43" s="873"/>
      <c r="IR43" s="873"/>
      <c r="IS43" s="873"/>
      <c r="IT43" s="873"/>
      <c r="IU43" s="873"/>
      <c r="IV43" s="873"/>
      <c r="IW43" s="873"/>
      <c r="IX43" s="873"/>
      <c r="IY43" s="873"/>
      <c r="IZ43" s="873"/>
      <c r="JA43" s="873"/>
      <c r="JB43" s="873"/>
      <c r="JC43" s="873"/>
      <c r="JD43" s="873"/>
      <c r="JE43" s="873"/>
      <c r="JF43" s="873"/>
      <c r="JG43" s="873"/>
      <c r="JH43" s="873"/>
      <c r="JI43" s="873"/>
      <c r="JJ43" s="873"/>
      <c r="JK43" s="873"/>
      <c r="JL43" s="873"/>
      <c r="JM43" s="873"/>
      <c r="JN43" s="873"/>
      <c r="JO43" s="873"/>
      <c r="JP43" s="873"/>
      <c r="JQ43" s="873"/>
      <c r="JR43" s="873"/>
      <c r="JS43" s="873"/>
      <c r="JT43" s="873"/>
      <c r="JU43" s="873"/>
      <c r="JV43" s="402"/>
    </row>
    <row r="44" spans="1:282">
      <c r="A44" s="672"/>
      <c r="B44" s="408"/>
      <c r="C44" s="873"/>
      <c r="D44" s="888"/>
      <c r="E44" s="671"/>
      <c r="F44" s="873"/>
      <c r="G44" s="873"/>
      <c r="H44" s="873"/>
      <c r="I44" s="873"/>
      <c r="J44" s="873"/>
      <c r="K44" s="873"/>
      <c r="L44" s="873"/>
      <c r="M44" s="873"/>
      <c r="N44" s="873"/>
      <c r="O44" s="873"/>
      <c r="P44" s="873"/>
      <c r="Q44" s="873"/>
      <c r="R44" s="873"/>
      <c r="S44" s="873"/>
      <c r="T44" s="873"/>
      <c r="U44" s="873"/>
      <c r="V44" s="873"/>
      <c r="W44" s="873"/>
      <c r="X44" s="873"/>
      <c r="Y44" s="873"/>
      <c r="Z44" s="873"/>
      <c r="AA44" s="394"/>
      <c r="AB44" s="873"/>
      <c r="AC44" s="394"/>
      <c r="AD44" s="873"/>
      <c r="AE44" s="873"/>
      <c r="AF44" s="873"/>
      <c r="AG44" s="873"/>
      <c r="AH44" s="873"/>
      <c r="AI44" s="873"/>
      <c r="AJ44" s="403"/>
      <c r="AK44" s="403"/>
      <c r="AL44" s="873"/>
      <c r="AM44" s="873"/>
      <c r="AN44" s="403"/>
      <c r="AO44" s="403"/>
      <c r="AP44" s="394"/>
      <c r="AQ44" s="394"/>
      <c r="AR44" s="394"/>
      <c r="AS44" s="394"/>
      <c r="AT44" s="394"/>
      <c r="AU44" s="873"/>
      <c r="AV44" s="873"/>
      <c r="AW44" s="873"/>
      <c r="AX44" s="873"/>
      <c r="AY44" s="873"/>
      <c r="AZ44" s="873"/>
      <c r="BA44" s="394"/>
      <c r="BB44" s="873"/>
      <c r="BC44" s="873"/>
      <c r="BD44" s="873"/>
      <c r="BE44" s="873"/>
      <c r="BF44" s="873"/>
      <c r="BG44" s="873"/>
      <c r="BH44" s="873"/>
      <c r="BI44" s="873"/>
      <c r="BJ44" s="873"/>
      <c r="BK44" s="873"/>
      <c r="BL44" s="873"/>
      <c r="BM44" s="873"/>
      <c r="BN44" s="873"/>
      <c r="BO44" s="873"/>
      <c r="BP44" s="873"/>
      <c r="BQ44" s="873"/>
      <c r="BR44" s="873"/>
      <c r="BS44" s="873"/>
      <c r="BT44" s="873"/>
      <c r="BU44" s="873"/>
      <c r="BV44" s="873"/>
      <c r="BW44" s="873"/>
      <c r="BX44" s="873"/>
      <c r="BY44" s="873"/>
      <c r="BZ44" s="873"/>
      <c r="CA44" s="873"/>
      <c r="CB44" s="873"/>
      <c r="CC44" s="873"/>
      <c r="CD44" s="873"/>
      <c r="CE44" s="873"/>
      <c r="CF44" s="873"/>
      <c r="CG44" s="873"/>
      <c r="CH44" s="873"/>
      <c r="CI44" s="873"/>
      <c r="CJ44" s="873"/>
      <c r="CK44" s="873"/>
      <c r="CL44" s="873"/>
      <c r="CM44" s="873"/>
      <c r="CN44" s="873"/>
      <c r="CO44" s="873"/>
      <c r="CP44" s="873"/>
      <c r="CQ44" s="873"/>
      <c r="CR44" s="873"/>
      <c r="CS44" s="873"/>
      <c r="CT44" s="873"/>
      <c r="CU44" s="873"/>
      <c r="CV44" s="873"/>
      <c r="CW44" s="873"/>
      <c r="CX44" s="873"/>
      <c r="CY44" s="873"/>
      <c r="CZ44" s="873"/>
      <c r="DA44" s="873"/>
      <c r="DB44" s="873"/>
      <c r="DC44" s="873"/>
      <c r="DD44" s="873"/>
      <c r="DE44" s="873"/>
      <c r="DF44" s="873"/>
      <c r="DG44" s="873"/>
      <c r="DH44" s="873"/>
      <c r="DI44" s="873"/>
      <c r="DJ44" s="873"/>
      <c r="DK44" s="873"/>
      <c r="DL44" s="873"/>
      <c r="DM44" s="873"/>
      <c r="DN44" s="873"/>
      <c r="DO44" s="873"/>
      <c r="DP44" s="873"/>
      <c r="DQ44" s="873"/>
      <c r="DR44" s="873"/>
      <c r="DS44" s="873"/>
      <c r="DT44" s="873"/>
      <c r="DU44" s="873"/>
      <c r="DV44" s="873"/>
      <c r="DW44" s="873"/>
      <c r="DX44" s="873"/>
      <c r="DY44" s="873"/>
      <c r="DZ44" s="873"/>
      <c r="EA44" s="873"/>
      <c r="EB44" s="873"/>
      <c r="EC44" s="873"/>
      <c r="ED44" s="873"/>
      <c r="EE44" s="873"/>
      <c r="EF44" s="873"/>
      <c r="EG44" s="873"/>
      <c r="EH44" s="873"/>
      <c r="EI44" s="873"/>
      <c r="EJ44" s="873"/>
      <c r="EK44" s="873"/>
      <c r="EL44" s="873"/>
      <c r="EM44" s="873"/>
      <c r="EN44" s="873"/>
      <c r="EO44" s="873"/>
      <c r="EP44" s="873"/>
      <c r="EQ44" s="873"/>
      <c r="ER44" s="873"/>
      <c r="ES44" s="873"/>
      <c r="ET44" s="873"/>
      <c r="EU44" s="873"/>
      <c r="EV44" s="873"/>
      <c r="EW44" s="873"/>
      <c r="EX44" s="873"/>
      <c r="EY44" s="873"/>
      <c r="EZ44" s="873"/>
      <c r="FA44" s="873"/>
      <c r="FB44" s="873"/>
      <c r="FC44" s="873"/>
      <c r="FD44" s="873"/>
      <c r="FE44" s="873"/>
      <c r="FF44" s="873"/>
      <c r="FG44" s="873"/>
      <c r="FH44" s="873"/>
      <c r="FI44" s="873"/>
      <c r="FJ44" s="873"/>
      <c r="FK44" s="873"/>
      <c r="FL44" s="873"/>
      <c r="FM44" s="873"/>
      <c r="FN44" s="873"/>
      <c r="FO44" s="873"/>
      <c r="FP44" s="873"/>
      <c r="FQ44" s="873"/>
      <c r="FR44" s="873"/>
      <c r="FS44" s="873"/>
      <c r="FT44" s="873"/>
      <c r="FU44" s="873"/>
      <c r="FV44" s="873"/>
      <c r="FW44" s="873"/>
      <c r="FX44" s="873"/>
      <c r="FY44" s="873"/>
      <c r="FZ44" s="873"/>
      <c r="GA44" s="873"/>
      <c r="GB44" s="873"/>
      <c r="GC44" s="873"/>
      <c r="GD44" s="873"/>
      <c r="GE44" s="873"/>
      <c r="GF44" s="873"/>
      <c r="GG44" s="873"/>
      <c r="GH44" s="873"/>
      <c r="GI44" s="873"/>
      <c r="GJ44" s="873"/>
      <c r="GK44" s="873"/>
      <c r="GL44" s="873"/>
      <c r="GM44" s="873"/>
      <c r="GN44" s="873"/>
      <c r="GO44" s="873"/>
      <c r="GP44" s="873"/>
      <c r="GQ44" s="873"/>
      <c r="GR44" s="873"/>
      <c r="GS44" s="873"/>
      <c r="GT44" s="873"/>
      <c r="GU44" s="873"/>
      <c r="GV44" s="873"/>
      <c r="GW44" s="873"/>
      <c r="GX44" s="873"/>
      <c r="GY44" s="873"/>
      <c r="GZ44" s="873"/>
      <c r="HA44" s="873"/>
      <c r="HB44" s="873"/>
      <c r="HC44" s="873"/>
      <c r="HD44" s="873"/>
      <c r="HE44" s="873"/>
      <c r="HF44" s="873"/>
      <c r="HG44" s="873"/>
      <c r="HH44" s="873"/>
      <c r="HI44" s="873"/>
      <c r="HJ44" s="873"/>
      <c r="HK44" s="873"/>
      <c r="HL44" s="873"/>
      <c r="HM44" s="873"/>
      <c r="HN44" s="873"/>
      <c r="HO44" s="873"/>
      <c r="HP44" s="873"/>
      <c r="HQ44" s="873"/>
      <c r="HR44" s="873"/>
      <c r="HS44" s="873"/>
      <c r="HT44" s="873"/>
      <c r="HU44" s="873"/>
      <c r="HV44" s="873"/>
      <c r="HW44" s="873"/>
      <c r="HX44" s="873"/>
      <c r="HY44" s="873"/>
      <c r="HZ44" s="873"/>
      <c r="IA44" s="873"/>
      <c r="IB44" s="873"/>
      <c r="IC44" s="873"/>
      <c r="ID44" s="873"/>
      <c r="IE44" s="873"/>
      <c r="IF44" s="873"/>
      <c r="IG44" s="873"/>
      <c r="IH44" s="873"/>
      <c r="II44" s="873"/>
      <c r="IJ44" s="873"/>
      <c r="IK44" s="873"/>
      <c r="IL44" s="873"/>
      <c r="IM44" s="873"/>
      <c r="IN44" s="873"/>
      <c r="IO44" s="873"/>
      <c r="IP44" s="873"/>
      <c r="IQ44" s="873"/>
      <c r="IR44" s="873"/>
      <c r="IS44" s="873"/>
      <c r="IT44" s="873"/>
      <c r="IU44" s="873"/>
      <c r="IV44" s="873"/>
      <c r="IW44" s="873"/>
      <c r="IX44" s="873"/>
      <c r="IY44" s="873"/>
      <c r="IZ44" s="873"/>
      <c r="JA44" s="873"/>
      <c r="JB44" s="873"/>
      <c r="JC44" s="873"/>
      <c r="JD44" s="873"/>
      <c r="JE44" s="873"/>
      <c r="JF44" s="873"/>
      <c r="JG44" s="873"/>
      <c r="JH44" s="873"/>
      <c r="JI44" s="873"/>
      <c r="JJ44" s="873"/>
      <c r="JK44" s="873"/>
      <c r="JL44" s="873"/>
      <c r="JM44" s="873"/>
      <c r="JN44" s="873"/>
      <c r="JO44" s="873"/>
      <c r="JP44" s="873"/>
      <c r="JQ44" s="873"/>
      <c r="JR44" s="873"/>
      <c r="JS44" s="873"/>
      <c r="JT44" s="873"/>
      <c r="JU44" s="873"/>
      <c r="JV44" s="402"/>
    </row>
    <row r="45" spans="1:282">
      <c r="A45" s="672"/>
      <c r="B45" s="408"/>
      <c r="C45" s="873"/>
      <c r="D45" s="888"/>
      <c r="E45" s="671"/>
      <c r="F45" s="873"/>
      <c r="G45" s="873"/>
      <c r="H45" s="873"/>
      <c r="I45" s="873"/>
      <c r="J45" s="873"/>
      <c r="K45" s="873"/>
      <c r="L45" s="873"/>
      <c r="M45" s="873"/>
      <c r="N45" s="873"/>
      <c r="O45" s="873"/>
      <c r="P45" s="873"/>
      <c r="Q45" s="873"/>
      <c r="R45" s="873"/>
      <c r="S45" s="873"/>
      <c r="T45" s="873"/>
      <c r="U45" s="873"/>
      <c r="V45" s="873"/>
      <c r="W45" s="873"/>
      <c r="X45" s="873"/>
      <c r="Y45" s="873"/>
      <c r="Z45" s="873"/>
      <c r="AA45" s="394"/>
      <c r="AB45" s="873"/>
      <c r="AC45" s="394"/>
      <c r="AD45" s="873"/>
      <c r="AE45" s="873"/>
      <c r="AF45" s="873"/>
      <c r="AG45" s="873"/>
      <c r="AH45" s="873"/>
      <c r="AI45" s="873"/>
      <c r="AJ45" s="403"/>
      <c r="AK45" s="403"/>
      <c r="AL45" s="873"/>
      <c r="AM45" s="873"/>
      <c r="AN45" s="403"/>
      <c r="AO45" s="403"/>
      <c r="AP45" s="394"/>
      <c r="AQ45" s="394"/>
      <c r="AR45" s="394"/>
      <c r="AS45" s="394"/>
      <c r="AT45" s="394"/>
      <c r="AU45" s="873"/>
      <c r="AV45" s="873"/>
      <c r="AW45" s="873"/>
      <c r="AX45" s="873"/>
      <c r="AY45" s="873"/>
      <c r="AZ45" s="873"/>
      <c r="BA45" s="394"/>
      <c r="BB45" s="873"/>
      <c r="BC45" s="873"/>
      <c r="BD45" s="873"/>
      <c r="BE45" s="873"/>
      <c r="BF45" s="873"/>
      <c r="BG45" s="873"/>
      <c r="BH45" s="873"/>
      <c r="BI45" s="873"/>
      <c r="BJ45" s="873"/>
      <c r="BK45" s="873"/>
      <c r="BL45" s="873"/>
      <c r="BM45" s="873"/>
      <c r="BN45" s="873"/>
      <c r="BO45" s="873"/>
      <c r="BP45" s="873"/>
      <c r="BQ45" s="873"/>
      <c r="BR45" s="873"/>
      <c r="BS45" s="873"/>
      <c r="BT45" s="873"/>
      <c r="BU45" s="873"/>
      <c r="BV45" s="873"/>
      <c r="BW45" s="873"/>
      <c r="BX45" s="873"/>
      <c r="BY45" s="873"/>
      <c r="BZ45" s="873"/>
      <c r="CA45" s="873"/>
      <c r="CB45" s="873"/>
      <c r="CC45" s="873"/>
      <c r="CD45" s="873"/>
      <c r="CE45" s="873"/>
      <c r="CF45" s="873"/>
      <c r="CG45" s="873"/>
      <c r="CH45" s="873"/>
      <c r="CI45" s="873"/>
      <c r="CJ45" s="873"/>
      <c r="CK45" s="873"/>
      <c r="CL45" s="873"/>
      <c r="CM45" s="873"/>
      <c r="CN45" s="873"/>
      <c r="CO45" s="873"/>
      <c r="CP45" s="873"/>
      <c r="CQ45" s="873"/>
      <c r="CR45" s="873"/>
      <c r="CS45" s="873"/>
      <c r="CT45" s="873"/>
      <c r="CU45" s="873"/>
      <c r="CV45" s="873"/>
      <c r="CW45" s="873"/>
      <c r="CX45" s="873"/>
      <c r="CY45" s="873"/>
      <c r="CZ45" s="873"/>
      <c r="DA45" s="873"/>
      <c r="DB45" s="873"/>
      <c r="DC45" s="873"/>
      <c r="DD45" s="873"/>
      <c r="DE45" s="873"/>
      <c r="DF45" s="873"/>
      <c r="DG45" s="873"/>
      <c r="DH45" s="873"/>
      <c r="DI45" s="873"/>
      <c r="DJ45" s="873"/>
      <c r="DK45" s="873"/>
      <c r="DL45" s="873"/>
      <c r="DM45" s="873"/>
      <c r="DN45" s="873"/>
      <c r="DO45" s="873"/>
      <c r="DP45" s="873"/>
      <c r="DQ45" s="873"/>
      <c r="DR45" s="873"/>
      <c r="DS45" s="873"/>
      <c r="DT45" s="873"/>
      <c r="DU45" s="873"/>
      <c r="DV45" s="873"/>
      <c r="DW45" s="873"/>
      <c r="DX45" s="873"/>
      <c r="DY45" s="873"/>
      <c r="DZ45" s="873"/>
      <c r="EA45" s="873"/>
      <c r="EB45" s="873"/>
      <c r="EC45" s="873"/>
      <c r="ED45" s="873"/>
      <c r="EE45" s="873"/>
      <c r="EF45" s="873"/>
      <c r="EG45" s="873"/>
      <c r="EH45" s="873"/>
      <c r="EI45" s="873"/>
      <c r="EJ45" s="873"/>
      <c r="EK45" s="873"/>
      <c r="EL45" s="873"/>
      <c r="EM45" s="873"/>
      <c r="EN45" s="873"/>
      <c r="EO45" s="873"/>
      <c r="EP45" s="873"/>
      <c r="EQ45" s="873"/>
      <c r="ER45" s="873"/>
      <c r="ES45" s="873"/>
      <c r="ET45" s="873"/>
      <c r="EU45" s="873"/>
      <c r="EV45" s="873"/>
      <c r="EW45" s="873"/>
      <c r="EX45" s="873"/>
      <c r="EY45" s="873"/>
      <c r="EZ45" s="873"/>
      <c r="FA45" s="873"/>
      <c r="FB45" s="873"/>
      <c r="FC45" s="873"/>
      <c r="FD45" s="873"/>
      <c r="FE45" s="873"/>
      <c r="FF45" s="873"/>
      <c r="FG45" s="873"/>
      <c r="FH45" s="873"/>
      <c r="FI45" s="873"/>
      <c r="FJ45" s="873"/>
      <c r="FK45" s="873"/>
      <c r="FL45" s="873"/>
      <c r="FM45" s="873"/>
      <c r="FN45" s="873"/>
      <c r="FO45" s="873"/>
      <c r="FP45" s="873"/>
      <c r="FQ45" s="873"/>
      <c r="FR45" s="873"/>
      <c r="FS45" s="873"/>
      <c r="FT45" s="873"/>
      <c r="FU45" s="873"/>
      <c r="FV45" s="873"/>
      <c r="FW45" s="873"/>
      <c r="FX45" s="873"/>
      <c r="FY45" s="873"/>
      <c r="FZ45" s="873"/>
      <c r="GA45" s="873"/>
      <c r="GB45" s="873"/>
      <c r="GC45" s="873"/>
      <c r="GD45" s="873"/>
      <c r="GE45" s="873"/>
      <c r="GF45" s="873"/>
      <c r="GG45" s="873"/>
      <c r="GH45" s="873"/>
      <c r="GI45" s="873"/>
      <c r="GJ45" s="873"/>
      <c r="GK45" s="873"/>
      <c r="GL45" s="873"/>
      <c r="GM45" s="873"/>
      <c r="GN45" s="873"/>
      <c r="GO45" s="873"/>
      <c r="GP45" s="873"/>
      <c r="GQ45" s="873"/>
      <c r="GR45" s="873"/>
      <c r="GS45" s="873"/>
      <c r="GT45" s="873"/>
      <c r="GU45" s="873"/>
      <c r="GV45" s="873"/>
      <c r="GW45" s="873"/>
      <c r="GX45" s="873"/>
      <c r="GY45" s="873"/>
      <c r="GZ45" s="873"/>
      <c r="HA45" s="873"/>
      <c r="HB45" s="873"/>
      <c r="HC45" s="873"/>
      <c r="HD45" s="873"/>
      <c r="HE45" s="873"/>
      <c r="HF45" s="873"/>
      <c r="HG45" s="873"/>
      <c r="HH45" s="873"/>
      <c r="HI45" s="873"/>
      <c r="HJ45" s="873"/>
      <c r="HK45" s="873"/>
      <c r="HL45" s="873"/>
      <c r="HM45" s="873"/>
      <c r="HN45" s="873"/>
      <c r="HO45" s="873"/>
      <c r="HP45" s="873"/>
      <c r="HQ45" s="873"/>
      <c r="HR45" s="873"/>
      <c r="HS45" s="873"/>
      <c r="HT45" s="873"/>
      <c r="HU45" s="873"/>
      <c r="HV45" s="873"/>
      <c r="HW45" s="873"/>
      <c r="HX45" s="873"/>
      <c r="HY45" s="873"/>
      <c r="HZ45" s="873"/>
      <c r="IA45" s="873"/>
      <c r="IB45" s="873"/>
      <c r="IC45" s="873"/>
      <c r="ID45" s="873"/>
      <c r="IE45" s="873"/>
      <c r="IF45" s="873"/>
      <c r="IG45" s="873"/>
      <c r="IH45" s="873"/>
      <c r="II45" s="873"/>
      <c r="IJ45" s="873"/>
      <c r="IK45" s="873"/>
      <c r="IL45" s="873"/>
      <c r="IM45" s="873"/>
      <c r="IN45" s="873"/>
      <c r="IO45" s="873"/>
      <c r="IP45" s="873"/>
      <c r="IQ45" s="873"/>
      <c r="IR45" s="873"/>
      <c r="IS45" s="873"/>
      <c r="IT45" s="873"/>
      <c r="IU45" s="873"/>
      <c r="IV45" s="873"/>
      <c r="IW45" s="873"/>
      <c r="IX45" s="873"/>
      <c r="IY45" s="873"/>
      <c r="IZ45" s="873"/>
      <c r="JA45" s="873"/>
      <c r="JB45" s="873"/>
      <c r="JC45" s="873"/>
      <c r="JD45" s="873"/>
      <c r="JE45" s="873"/>
      <c r="JF45" s="873"/>
      <c r="JG45" s="873"/>
      <c r="JH45" s="873"/>
      <c r="JI45" s="873"/>
      <c r="JJ45" s="873"/>
      <c r="JK45" s="873"/>
      <c r="JL45" s="873"/>
      <c r="JM45" s="873"/>
      <c r="JN45" s="873"/>
      <c r="JO45" s="873"/>
      <c r="JP45" s="873"/>
      <c r="JQ45" s="873"/>
      <c r="JR45" s="873"/>
      <c r="JS45" s="873"/>
      <c r="JT45" s="873"/>
      <c r="JU45" s="873"/>
      <c r="JV45" s="402"/>
    </row>
    <row r="46" spans="1:282">
      <c r="A46" s="672"/>
      <c r="B46" s="408"/>
      <c r="C46" s="873"/>
      <c r="D46" s="888"/>
      <c r="E46" s="671"/>
      <c r="F46" s="873"/>
      <c r="G46" s="873"/>
      <c r="H46" s="873"/>
      <c r="I46" s="873"/>
      <c r="J46" s="873"/>
      <c r="K46" s="873"/>
      <c r="L46" s="873"/>
      <c r="M46" s="873"/>
      <c r="N46" s="873"/>
      <c r="O46" s="873"/>
      <c r="P46" s="873"/>
      <c r="Q46" s="873"/>
      <c r="R46" s="873"/>
      <c r="S46" s="873"/>
      <c r="T46" s="873"/>
      <c r="U46" s="873"/>
      <c r="V46" s="873"/>
      <c r="W46" s="873"/>
      <c r="X46" s="873"/>
      <c r="Y46" s="873"/>
      <c r="Z46" s="873"/>
      <c r="AA46" s="394"/>
      <c r="AB46" s="873"/>
      <c r="AC46" s="394"/>
      <c r="AD46" s="873"/>
      <c r="AE46" s="873"/>
      <c r="AF46" s="873"/>
      <c r="AG46" s="873"/>
      <c r="AH46" s="873"/>
      <c r="AI46" s="873"/>
      <c r="AJ46" s="403"/>
      <c r="AK46" s="403"/>
      <c r="AL46" s="873"/>
      <c r="AM46" s="873"/>
      <c r="AN46" s="403"/>
      <c r="AO46" s="403"/>
      <c r="AP46" s="394"/>
      <c r="AQ46" s="394"/>
      <c r="AR46" s="394"/>
      <c r="AS46" s="394"/>
      <c r="AT46" s="394"/>
      <c r="AU46" s="873"/>
      <c r="AV46" s="873"/>
      <c r="AW46" s="873"/>
      <c r="AX46" s="873"/>
      <c r="AY46" s="873"/>
      <c r="AZ46" s="873"/>
      <c r="BA46" s="394"/>
      <c r="BB46" s="873"/>
      <c r="BC46" s="873"/>
      <c r="BD46" s="873"/>
      <c r="BE46" s="873"/>
      <c r="BF46" s="873"/>
      <c r="BG46" s="873"/>
      <c r="BH46" s="873"/>
      <c r="BI46" s="873"/>
      <c r="BJ46" s="873"/>
      <c r="BK46" s="873"/>
      <c r="BL46" s="873"/>
      <c r="BM46" s="873"/>
      <c r="BN46" s="873"/>
      <c r="BO46" s="873"/>
      <c r="BP46" s="873"/>
      <c r="BQ46" s="873"/>
      <c r="BR46" s="873"/>
      <c r="BS46" s="873"/>
      <c r="BT46" s="873"/>
      <c r="BU46" s="873"/>
      <c r="BV46" s="873"/>
      <c r="BW46" s="873"/>
      <c r="BX46" s="873"/>
      <c r="BY46" s="873"/>
      <c r="BZ46" s="873"/>
      <c r="CA46" s="873"/>
      <c r="CB46" s="873"/>
      <c r="CC46" s="873"/>
      <c r="CD46" s="873"/>
      <c r="CE46" s="873"/>
      <c r="CF46" s="873"/>
      <c r="CG46" s="873"/>
      <c r="CH46" s="873"/>
      <c r="CI46" s="873"/>
      <c r="CJ46" s="873"/>
      <c r="CK46" s="873"/>
      <c r="CL46" s="873"/>
      <c r="CM46" s="873"/>
      <c r="CN46" s="873"/>
      <c r="CO46" s="873"/>
      <c r="CP46" s="873"/>
      <c r="CQ46" s="873"/>
      <c r="CR46" s="873"/>
      <c r="CS46" s="873"/>
      <c r="CT46" s="873"/>
      <c r="CU46" s="873"/>
      <c r="CV46" s="873"/>
      <c r="CW46" s="873"/>
      <c r="CX46" s="873"/>
      <c r="CY46" s="873"/>
      <c r="CZ46" s="873"/>
      <c r="DA46" s="873"/>
      <c r="DB46" s="873"/>
      <c r="DC46" s="873"/>
      <c r="DD46" s="873"/>
      <c r="DE46" s="873"/>
      <c r="DF46" s="873"/>
      <c r="DG46" s="873"/>
      <c r="DH46" s="873"/>
      <c r="DI46" s="873"/>
      <c r="DJ46" s="873"/>
      <c r="DK46" s="873"/>
      <c r="DL46" s="873"/>
      <c r="DM46" s="873"/>
      <c r="DN46" s="873"/>
      <c r="DO46" s="873"/>
      <c r="DP46" s="873"/>
      <c r="DQ46" s="873"/>
      <c r="DR46" s="873"/>
      <c r="DS46" s="873"/>
      <c r="DT46" s="873"/>
      <c r="DU46" s="873"/>
      <c r="DV46" s="873"/>
      <c r="DW46" s="873"/>
      <c r="DX46" s="873"/>
      <c r="DY46" s="873"/>
      <c r="DZ46" s="873"/>
      <c r="EA46" s="873"/>
      <c r="EB46" s="873"/>
      <c r="EC46" s="873"/>
      <c r="ED46" s="873"/>
      <c r="EE46" s="873"/>
      <c r="EF46" s="873"/>
      <c r="EG46" s="873"/>
      <c r="EH46" s="873"/>
      <c r="EI46" s="873"/>
      <c r="EJ46" s="873"/>
      <c r="EK46" s="873"/>
      <c r="EL46" s="873"/>
      <c r="EM46" s="873"/>
      <c r="EN46" s="873"/>
      <c r="EO46" s="873"/>
      <c r="EP46" s="873"/>
      <c r="EQ46" s="873"/>
      <c r="ER46" s="873"/>
      <c r="ES46" s="873"/>
      <c r="ET46" s="873"/>
      <c r="EU46" s="873"/>
      <c r="EV46" s="873"/>
      <c r="EW46" s="873"/>
      <c r="EX46" s="873"/>
      <c r="EY46" s="873"/>
      <c r="EZ46" s="873"/>
      <c r="FA46" s="873"/>
      <c r="FB46" s="873"/>
      <c r="FC46" s="873"/>
      <c r="FD46" s="873"/>
      <c r="FE46" s="873"/>
      <c r="FF46" s="873"/>
      <c r="FG46" s="873"/>
      <c r="FH46" s="873"/>
      <c r="FI46" s="873"/>
      <c r="FJ46" s="873"/>
      <c r="FK46" s="873"/>
      <c r="FL46" s="873"/>
      <c r="FM46" s="873"/>
      <c r="FN46" s="873"/>
      <c r="FO46" s="873"/>
      <c r="FP46" s="873"/>
      <c r="FQ46" s="873"/>
      <c r="FR46" s="873"/>
      <c r="FS46" s="873"/>
      <c r="FT46" s="873"/>
      <c r="FU46" s="873"/>
      <c r="FV46" s="873"/>
      <c r="FW46" s="873"/>
      <c r="FX46" s="873"/>
      <c r="FY46" s="873"/>
      <c r="FZ46" s="873"/>
      <c r="GA46" s="873"/>
      <c r="GB46" s="873"/>
      <c r="GC46" s="873"/>
      <c r="GD46" s="873"/>
      <c r="GE46" s="873"/>
      <c r="GF46" s="873"/>
      <c r="GG46" s="873"/>
      <c r="GH46" s="873"/>
      <c r="GI46" s="873"/>
      <c r="GJ46" s="873"/>
      <c r="GK46" s="873"/>
      <c r="GL46" s="873"/>
      <c r="GM46" s="873"/>
      <c r="GN46" s="873"/>
      <c r="GO46" s="873"/>
      <c r="GP46" s="873"/>
      <c r="GQ46" s="873"/>
      <c r="GR46" s="873"/>
      <c r="GS46" s="873"/>
      <c r="GT46" s="873"/>
      <c r="GU46" s="873"/>
      <c r="GV46" s="873"/>
      <c r="GW46" s="873"/>
      <c r="GX46" s="873"/>
      <c r="GY46" s="873"/>
      <c r="GZ46" s="873"/>
      <c r="HA46" s="873"/>
      <c r="HB46" s="873"/>
      <c r="HC46" s="873"/>
      <c r="HD46" s="873"/>
      <c r="HE46" s="873"/>
      <c r="HF46" s="873"/>
      <c r="HG46" s="873"/>
      <c r="HH46" s="873"/>
      <c r="HI46" s="873"/>
      <c r="HJ46" s="873"/>
      <c r="HK46" s="873"/>
      <c r="HL46" s="873"/>
      <c r="HM46" s="873"/>
      <c r="HN46" s="873"/>
      <c r="HO46" s="873"/>
      <c r="HP46" s="873"/>
      <c r="HQ46" s="873"/>
      <c r="HR46" s="873"/>
      <c r="HS46" s="873"/>
      <c r="HT46" s="873"/>
      <c r="HU46" s="873"/>
      <c r="HV46" s="873"/>
      <c r="HW46" s="873"/>
      <c r="HX46" s="873"/>
      <c r="HY46" s="873"/>
      <c r="HZ46" s="873"/>
      <c r="IA46" s="873"/>
      <c r="IB46" s="873"/>
      <c r="IC46" s="873"/>
      <c r="ID46" s="873"/>
      <c r="IE46" s="873"/>
      <c r="IF46" s="873"/>
      <c r="IG46" s="873"/>
      <c r="IH46" s="873"/>
      <c r="II46" s="873"/>
      <c r="IJ46" s="873"/>
      <c r="IK46" s="873"/>
      <c r="IL46" s="873"/>
      <c r="IM46" s="873"/>
      <c r="IN46" s="873"/>
      <c r="IO46" s="873"/>
      <c r="IP46" s="873"/>
      <c r="IQ46" s="873"/>
      <c r="IR46" s="873"/>
      <c r="IS46" s="873"/>
      <c r="IT46" s="873"/>
      <c r="IU46" s="873"/>
      <c r="IV46" s="873"/>
      <c r="IW46" s="873"/>
      <c r="IX46" s="873"/>
      <c r="IY46" s="873"/>
      <c r="IZ46" s="873"/>
      <c r="JA46" s="873"/>
      <c r="JB46" s="873"/>
      <c r="JC46" s="873"/>
      <c r="JD46" s="873"/>
      <c r="JE46" s="873"/>
      <c r="JF46" s="873"/>
      <c r="JG46" s="873"/>
      <c r="JH46" s="873"/>
      <c r="JI46" s="873"/>
      <c r="JJ46" s="873"/>
      <c r="JK46" s="873"/>
      <c r="JL46" s="873"/>
      <c r="JM46" s="873"/>
      <c r="JN46" s="873"/>
      <c r="JO46" s="873"/>
      <c r="JP46" s="873"/>
      <c r="JQ46" s="873"/>
      <c r="JR46" s="873"/>
      <c r="JS46" s="873"/>
      <c r="JT46" s="873"/>
      <c r="JU46" s="873"/>
      <c r="JV46" s="402"/>
    </row>
    <row r="47" spans="1:282">
      <c r="A47" s="672"/>
      <c r="B47" s="408"/>
      <c r="C47" s="873"/>
      <c r="D47" s="888"/>
      <c r="E47" s="671"/>
      <c r="F47" s="873"/>
      <c r="G47" s="873"/>
      <c r="H47" s="873"/>
      <c r="I47" s="873"/>
      <c r="J47" s="873"/>
      <c r="K47" s="873"/>
      <c r="L47" s="873"/>
      <c r="M47" s="873"/>
      <c r="N47" s="873"/>
      <c r="O47" s="873"/>
      <c r="P47" s="873"/>
      <c r="Q47" s="873"/>
      <c r="R47" s="873"/>
      <c r="S47" s="873"/>
      <c r="T47" s="873"/>
      <c r="U47" s="873"/>
      <c r="V47" s="873"/>
      <c r="W47" s="873"/>
      <c r="X47" s="873"/>
      <c r="Y47" s="873"/>
      <c r="Z47" s="873"/>
      <c r="AA47" s="394"/>
      <c r="AB47" s="873"/>
      <c r="AC47" s="394"/>
      <c r="AD47" s="873"/>
      <c r="AE47" s="873"/>
      <c r="AF47" s="873"/>
      <c r="AG47" s="873"/>
      <c r="AH47" s="873"/>
      <c r="AI47" s="873"/>
      <c r="AJ47" s="403"/>
      <c r="AK47" s="403"/>
      <c r="AL47" s="873"/>
      <c r="AM47" s="873"/>
      <c r="AN47" s="403"/>
      <c r="AO47" s="403"/>
      <c r="AP47" s="394"/>
      <c r="AQ47" s="394"/>
      <c r="AR47" s="394"/>
      <c r="AS47" s="394"/>
      <c r="AT47" s="394"/>
      <c r="AU47" s="873"/>
      <c r="AV47" s="873"/>
      <c r="AW47" s="873"/>
      <c r="AX47" s="873"/>
      <c r="AY47" s="873"/>
      <c r="AZ47" s="873"/>
      <c r="BA47" s="394"/>
      <c r="BB47" s="873"/>
      <c r="BC47" s="873"/>
      <c r="BD47" s="873"/>
      <c r="BE47" s="873"/>
      <c r="BF47" s="873"/>
      <c r="BG47" s="873"/>
      <c r="BH47" s="873"/>
      <c r="BI47" s="873"/>
      <c r="BJ47" s="873"/>
      <c r="BK47" s="873"/>
      <c r="BL47" s="873"/>
      <c r="BM47" s="873"/>
      <c r="BN47" s="873"/>
      <c r="BO47" s="873"/>
      <c r="BP47" s="873"/>
      <c r="BQ47" s="873"/>
      <c r="BR47" s="873"/>
      <c r="BS47" s="873"/>
      <c r="BT47" s="873"/>
      <c r="BU47" s="873"/>
      <c r="BV47" s="873"/>
      <c r="BW47" s="873"/>
      <c r="BX47" s="873"/>
      <c r="BY47" s="873"/>
      <c r="BZ47" s="873"/>
      <c r="CA47" s="873"/>
      <c r="CB47" s="873"/>
      <c r="CC47" s="873"/>
      <c r="CD47" s="873"/>
      <c r="CE47" s="873"/>
      <c r="CF47" s="873"/>
      <c r="CG47" s="873"/>
      <c r="CH47" s="873"/>
      <c r="CI47" s="873"/>
      <c r="CJ47" s="873"/>
      <c r="CK47" s="873"/>
      <c r="CL47" s="873"/>
      <c r="CM47" s="873"/>
      <c r="CN47" s="873"/>
      <c r="CO47" s="873"/>
      <c r="CP47" s="873"/>
      <c r="CQ47" s="873"/>
      <c r="CR47" s="873"/>
      <c r="CS47" s="873"/>
      <c r="CT47" s="873"/>
      <c r="CU47" s="873"/>
      <c r="CV47" s="873"/>
      <c r="CW47" s="873"/>
      <c r="CX47" s="873"/>
      <c r="CY47" s="873"/>
      <c r="CZ47" s="873"/>
      <c r="DA47" s="873"/>
      <c r="DB47" s="873"/>
      <c r="DC47" s="873"/>
      <c r="DD47" s="873"/>
      <c r="DE47" s="873"/>
      <c r="DF47" s="873"/>
      <c r="DG47" s="873"/>
      <c r="DH47" s="873"/>
      <c r="DI47" s="873"/>
      <c r="DJ47" s="873"/>
      <c r="DK47" s="873"/>
      <c r="DL47" s="873"/>
      <c r="DM47" s="873"/>
      <c r="DN47" s="873"/>
      <c r="DO47" s="873"/>
      <c r="DP47" s="873"/>
      <c r="DQ47" s="873"/>
      <c r="DR47" s="873"/>
      <c r="DS47" s="873"/>
      <c r="DT47" s="873"/>
      <c r="DU47" s="873"/>
      <c r="DV47" s="873"/>
      <c r="DW47" s="873"/>
      <c r="DX47" s="873"/>
      <c r="DY47" s="873"/>
      <c r="DZ47" s="873"/>
      <c r="EA47" s="873"/>
      <c r="EB47" s="873"/>
      <c r="EC47" s="873"/>
      <c r="ED47" s="873"/>
      <c r="EE47" s="873"/>
      <c r="EF47" s="873"/>
      <c r="EG47" s="873"/>
      <c r="EH47" s="873"/>
      <c r="EI47" s="873"/>
      <c r="EJ47" s="873"/>
      <c r="EK47" s="873"/>
      <c r="EL47" s="873"/>
      <c r="EM47" s="873"/>
      <c r="EN47" s="873"/>
      <c r="EO47" s="873"/>
      <c r="EP47" s="873"/>
      <c r="EQ47" s="873"/>
      <c r="ER47" s="873"/>
      <c r="ES47" s="873"/>
      <c r="ET47" s="873"/>
      <c r="EU47" s="873"/>
      <c r="EV47" s="873"/>
      <c r="EW47" s="873"/>
      <c r="EX47" s="873"/>
      <c r="EY47" s="873"/>
      <c r="EZ47" s="873"/>
      <c r="FA47" s="873"/>
      <c r="FB47" s="873"/>
      <c r="FC47" s="873"/>
      <c r="FD47" s="873"/>
      <c r="FE47" s="873"/>
      <c r="FF47" s="873"/>
      <c r="FG47" s="873"/>
      <c r="FH47" s="873"/>
      <c r="FI47" s="873"/>
      <c r="FJ47" s="873"/>
      <c r="FK47" s="873"/>
      <c r="FL47" s="873"/>
      <c r="FM47" s="873"/>
      <c r="FN47" s="873"/>
      <c r="FO47" s="873"/>
      <c r="FP47" s="873"/>
      <c r="FQ47" s="873"/>
      <c r="FR47" s="873"/>
      <c r="FS47" s="873"/>
      <c r="FT47" s="873"/>
      <c r="FU47" s="873"/>
      <c r="FV47" s="873"/>
      <c r="FW47" s="873"/>
      <c r="FX47" s="873"/>
      <c r="FY47" s="873"/>
      <c r="FZ47" s="873"/>
      <c r="GA47" s="873"/>
      <c r="GB47" s="873"/>
      <c r="GC47" s="873"/>
      <c r="GD47" s="873"/>
      <c r="GE47" s="873"/>
      <c r="GF47" s="873"/>
      <c r="GG47" s="873"/>
      <c r="GH47" s="873"/>
      <c r="GI47" s="873"/>
      <c r="GJ47" s="873"/>
      <c r="GK47" s="873"/>
      <c r="GL47" s="873"/>
      <c r="GM47" s="873"/>
      <c r="GN47" s="873"/>
      <c r="GO47" s="873"/>
      <c r="GP47" s="873"/>
      <c r="GQ47" s="873"/>
      <c r="GR47" s="873"/>
      <c r="GS47" s="873"/>
      <c r="GT47" s="873"/>
      <c r="GU47" s="873"/>
      <c r="GV47" s="873"/>
      <c r="GW47" s="873"/>
      <c r="GX47" s="873"/>
      <c r="GY47" s="873"/>
      <c r="GZ47" s="873"/>
      <c r="HA47" s="873"/>
      <c r="HB47" s="873"/>
      <c r="HC47" s="873"/>
      <c r="HD47" s="873"/>
      <c r="HE47" s="873"/>
      <c r="HF47" s="873"/>
      <c r="HG47" s="873"/>
      <c r="HH47" s="873"/>
      <c r="HI47" s="873"/>
      <c r="HJ47" s="873"/>
      <c r="HK47" s="873"/>
      <c r="HL47" s="873"/>
      <c r="HM47" s="873"/>
      <c r="HN47" s="873"/>
      <c r="HO47" s="873"/>
      <c r="HP47" s="873"/>
      <c r="HQ47" s="873"/>
      <c r="HR47" s="873"/>
      <c r="HS47" s="873"/>
      <c r="HT47" s="873"/>
      <c r="HU47" s="873"/>
      <c r="HV47" s="873"/>
      <c r="HW47" s="873"/>
      <c r="HX47" s="873"/>
      <c r="HY47" s="873"/>
      <c r="HZ47" s="873"/>
      <c r="IA47" s="873"/>
      <c r="IB47" s="873"/>
      <c r="IC47" s="873"/>
      <c r="ID47" s="873"/>
      <c r="IE47" s="873"/>
      <c r="IF47" s="873"/>
      <c r="IG47" s="873"/>
      <c r="IH47" s="873"/>
      <c r="II47" s="873"/>
      <c r="IJ47" s="873"/>
      <c r="IK47" s="873"/>
      <c r="IL47" s="873"/>
      <c r="IM47" s="873"/>
      <c r="IN47" s="873"/>
      <c r="IO47" s="873"/>
      <c r="IP47" s="873"/>
      <c r="IQ47" s="873"/>
      <c r="IR47" s="873"/>
      <c r="IS47" s="873"/>
      <c r="IT47" s="873"/>
      <c r="IU47" s="873"/>
      <c r="IV47" s="873"/>
      <c r="IW47" s="873"/>
      <c r="IX47" s="873"/>
      <c r="IY47" s="873"/>
      <c r="IZ47" s="873"/>
      <c r="JA47" s="873"/>
      <c r="JB47" s="873"/>
      <c r="JC47" s="873"/>
      <c r="JD47" s="873"/>
      <c r="JE47" s="873"/>
      <c r="JF47" s="873"/>
      <c r="JG47" s="873"/>
      <c r="JH47" s="873"/>
      <c r="JI47" s="873"/>
      <c r="JJ47" s="873"/>
      <c r="JK47" s="873"/>
      <c r="JL47" s="873"/>
      <c r="JM47" s="873"/>
      <c r="JN47" s="873"/>
      <c r="JO47" s="873"/>
      <c r="JP47" s="873"/>
      <c r="JQ47" s="873"/>
      <c r="JR47" s="873"/>
      <c r="JS47" s="873"/>
      <c r="JT47" s="873"/>
      <c r="JU47" s="873"/>
      <c r="JV47" s="402"/>
    </row>
    <row r="48" spans="1:282">
      <c r="A48" s="672"/>
      <c r="B48" s="408"/>
      <c r="C48" s="873"/>
      <c r="D48" s="888"/>
      <c r="E48" s="671"/>
      <c r="F48" s="873"/>
      <c r="G48" s="873"/>
      <c r="H48" s="873"/>
      <c r="I48" s="873"/>
      <c r="J48" s="873"/>
      <c r="K48" s="873"/>
      <c r="L48" s="873"/>
      <c r="M48" s="873"/>
      <c r="N48" s="873"/>
      <c r="O48" s="873"/>
      <c r="P48" s="873"/>
      <c r="Q48" s="873"/>
      <c r="R48" s="873"/>
      <c r="S48" s="873"/>
      <c r="T48" s="873"/>
      <c r="U48" s="873"/>
      <c r="V48" s="873"/>
      <c r="W48" s="873"/>
      <c r="X48" s="873"/>
      <c r="Y48" s="873"/>
      <c r="Z48" s="873"/>
      <c r="AA48" s="394"/>
      <c r="AB48" s="873"/>
      <c r="AC48" s="394"/>
      <c r="AD48" s="873"/>
      <c r="AE48" s="873"/>
      <c r="AF48" s="873"/>
      <c r="AG48" s="873"/>
      <c r="AH48" s="873"/>
      <c r="AI48" s="873"/>
      <c r="AJ48" s="403"/>
      <c r="AK48" s="403"/>
      <c r="AL48" s="873"/>
      <c r="AM48" s="873"/>
      <c r="AN48" s="403"/>
      <c r="AO48" s="403"/>
      <c r="AP48" s="394"/>
      <c r="AQ48" s="394"/>
      <c r="AR48" s="394"/>
      <c r="AS48" s="394"/>
      <c r="AT48" s="394"/>
      <c r="AU48" s="873"/>
      <c r="AV48" s="873"/>
      <c r="AW48" s="873"/>
      <c r="AX48" s="873"/>
      <c r="AY48" s="873"/>
      <c r="AZ48" s="873"/>
      <c r="BA48" s="394"/>
      <c r="BB48" s="873"/>
      <c r="BC48" s="873"/>
      <c r="BD48" s="873"/>
      <c r="BE48" s="873"/>
      <c r="BF48" s="873"/>
      <c r="BG48" s="873"/>
      <c r="BH48" s="873"/>
      <c r="BI48" s="873"/>
      <c r="BJ48" s="873"/>
      <c r="BK48" s="873"/>
      <c r="BL48" s="873"/>
      <c r="BM48" s="873"/>
      <c r="BN48" s="873"/>
      <c r="BO48" s="873"/>
      <c r="BP48" s="873"/>
      <c r="BQ48" s="873"/>
      <c r="BR48" s="873"/>
      <c r="BS48" s="873"/>
      <c r="BT48" s="873"/>
      <c r="BU48" s="873"/>
      <c r="BV48" s="873"/>
      <c r="BW48" s="873"/>
      <c r="BX48" s="873"/>
      <c r="BY48" s="873"/>
      <c r="BZ48" s="873"/>
      <c r="CA48" s="873"/>
      <c r="CB48" s="873"/>
      <c r="CC48" s="873"/>
      <c r="CD48" s="873"/>
      <c r="CE48" s="873"/>
      <c r="CF48" s="873"/>
      <c r="CG48" s="873"/>
      <c r="CH48" s="873"/>
      <c r="CI48" s="873"/>
      <c r="CJ48" s="873"/>
      <c r="CK48" s="873"/>
      <c r="CL48" s="873"/>
      <c r="CM48" s="873"/>
      <c r="CN48" s="873"/>
      <c r="CO48" s="873"/>
      <c r="CP48" s="873"/>
      <c r="CQ48" s="873"/>
      <c r="CR48" s="873"/>
      <c r="CS48" s="873"/>
      <c r="CT48" s="873"/>
      <c r="CU48" s="873"/>
      <c r="CV48" s="873"/>
      <c r="CW48" s="873"/>
      <c r="CX48" s="873"/>
      <c r="CY48" s="873"/>
      <c r="CZ48" s="873"/>
      <c r="DA48" s="873"/>
      <c r="DB48" s="873"/>
      <c r="DC48" s="873"/>
      <c r="DD48" s="873"/>
      <c r="DE48" s="873"/>
      <c r="DF48" s="873"/>
      <c r="DG48" s="873"/>
      <c r="DH48" s="873"/>
      <c r="DI48" s="873"/>
      <c r="DJ48" s="873"/>
      <c r="DK48" s="873"/>
      <c r="DL48" s="873"/>
      <c r="DM48" s="873"/>
      <c r="DN48" s="873"/>
      <c r="DO48" s="873"/>
      <c r="DP48" s="873"/>
      <c r="DQ48" s="873"/>
      <c r="DR48" s="873"/>
      <c r="DS48" s="873"/>
      <c r="DT48" s="873"/>
      <c r="DU48" s="873"/>
      <c r="DV48" s="873"/>
      <c r="DW48" s="873"/>
      <c r="DX48" s="873"/>
      <c r="DY48" s="873"/>
      <c r="DZ48" s="873"/>
      <c r="EA48" s="873"/>
      <c r="EB48" s="873"/>
      <c r="EC48" s="873"/>
      <c r="ED48" s="873"/>
      <c r="EE48" s="873"/>
      <c r="EF48" s="873"/>
      <c r="EG48" s="873"/>
      <c r="EH48" s="873"/>
      <c r="EI48" s="873"/>
      <c r="EJ48" s="873"/>
      <c r="EK48" s="873"/>
      <c r="EL48" s="873"/>
      <c r="EM48" s="873"/>
      <c r="EN48" s="873"/>
      <c r="EO48" s="873"/>
      <c r="EP48" s="873"/>
      <c r="EQ48" s="873"/>
      <c r="ER48" s="873"/>
      <c r="ES48" s="873"/>
      <c r="ET48" s="873"/>
      <c r="EU48" s="873"/>
      <c r="EV48" s="873"/>
      <c r="EW48" s="873"/>
      <c r="EX48" s="873"/>
      <c r="EY48" s="873"/>
      <c r="EZ48" s="873"/>
      <c r="FA48" s="873"/>
      <c r="FB48" s="873"/>
      <c r="FC48" s="873"/>
      <c r="FD48" s="873"/>
      <c r="FE48" s="873"/>
      <c r="FF48" s="873"/>
      <c r="FG48" s="873"/>
      <c r="FH48" s="873"/>
      <c r="FI48" s="873"/>
      <c r="FJ48" s="873"/>
      <c r="FK48" s="873"/>
      <c r="FL48" s="873"/>
      <c r="FM48" s="873"/>
      <c r="FN48" s="873"/>
      <c r="FO48" s="873"/>
      <c r="FP48" s="873"/>
      <c r="FQ48" s="873"/>
      <c r="FR48" s="873"/>
      <c r="FS48" s="873"/>
      <c r="FT48" s="873"/>
      <c r="FU48" s="873"/>
      <c r="FV48" s="873"/>
      <c r="FW48" s="873"/>
      <c r="FX48" s="873"/>
      <c r="FY48" s="873"/>
      <c r="FZ48" s="873"/>
      <c r="GA48" s="873"/>
      <c r="GB48" s="873"/>
      <c r="GC48" s="873"/>
      <c r="GD48" s="873"/>
      <c r="GE48" s="873"/>
      <c r="GF48" s="873"/>
      <c r="GG48" s="873"/>
      <c r="GH48" s="873"/>
      <c r="GI48" s="873"/>
      <c r="GJ48" s="873"/>
      <c r="GK48" s="873"/>
      <c r="GL48" s="873"/>
      <c r="GM48" s="873"/>
      <c r="GN48" s="873"/>
      <c r="GO48" s="873"/>
      <c r="GP48" s="873"/>
      <c r="GQ48" s="873"/>
      <c r="GR48" s="873"/>
      <c r="GS48" s="873"/>
      <c r="GT48" s="873"/>
      <c r="GU48" s="873"/>
      <c r="GV48" s="873"/>
      <c r="GW48" s="873"/>
      <c r="GX48" s="873"/>
      <c r="GY48" s="873"/>
      <c r="GZ48" s="873"/>
      <c r="HA48" s="873"/>
      <c r="HB48" s="873"/>
      <c r="HC48" s="873"/>
      <c r="HD48" s="873"/>
      <c r="HE48" s="873"/>
      <c r="HF48" s="873"/>
      <c r="HG48" s="873"/>
      <c r="HH48" s="873"/>
      <c r="HI48" s="873"/>
      <c r="HJ48" s="873"/>
      <c r="HK48" s="873"/>
      <c r="HL48" s="873"/>
      <c r="HM48" s="873"/>
      <c r="HN48" s="873"/>
      <c r="HO48" s="873"/>
      <c r="HP48" s="873"/>
      <c r="HQ48" s="873"/>
      <c r="HR48" s="873"/>
      <c r="HS48" s="873"/>
      <c r="HT48" s="873"/>
      <c r="HU48" s="873"/>
      <c r="HV48" s="873"/>
      <c r="HW48" s="873"/>
      <c r="HX48" s="873"/>
      <c r="HY48" s="873"/>
      <c r="HZ48" s="873"/>
      <c r="IA48" s="873"/>
      <c r="IB48" s="873"/>
      <c r="IC48" s="873"/>
      <c r="ID48" s="873"/>
      <c r="IE48" s="873"/>
      <c r="IF48" s="873"/>
      <c r="IG48" s="873"/>
      <c r="IH48" s="873"/>
      <c r="II48" s="873"/>
      <c r="IJ48" s="873"/>
      <c r="IK48" s="873"/>
      <c r="IL48" s="873"/>
      <c r="IM48" s="873"/>
      <c r="IN48" s="873"/>
      <c r="IO48" s="873"/>
      <c r="IP48" s="873"/>
      <c r="IQ48" s="873"/>
      <c r="IR48" s="873"/>
      <c r="IS48" s="873"/>
      <c r="IT48" s="873"/>
      <c r="IU48" s="873"/>
      <c r="IV48" s="873"/>
      <c r="IW48" s="873"/>
      <c r="IX48" s="873"/>
      <c r="IY48" s="873"/>
      <c r="IZ48" s="873"/>
      <c r="JA48" s="873"/>
      <c r="JB48" s="873"/>
      <c r="JC48" s="873"/>
      <c r="JD48" s="873"/>
      <c r="JE48" s="873"/>
      <c r="JF48" s="873"/>
      <c r="JG48" s="873"/>
      <c r="JH48" s="873"/>
      <c r="JI48" s="873"/>
      <c r="JJ48" s="873"/>
      <c r="JK48" s="873"/>
      <c r="JL48" s="873"/>
      <c r="JM48" s="873"/>
      <c r="JN48" s="873"/>
      <c r="JO48" s="873"/>
      <c r="JP48" s="873"/>
      <c r="JQ48" s="873"/>
      <c r="JR48" s="873"/>
      <c r="JS48" s="873"/>
      <c r="JT48" s="873"/>
      <c r="JU48" s="873"/>
      <c r="JV48" s="402"/>
    </row>
    <row r="49" spans="1:282">
      <c r="A49" s="672"/>
      <c r="B49" s="408"/>
      <c r="C49" s="873"/>
      <c r="D49" s="888"/>
      <c r="E49" s="671"/>
      <c r="F49" s="873"/>
      <c r="G49" s="873"/>
      <c r="H49" s="873"/>
      <c r="I49" s="873"/>
      <c r="J49" s="873"/>
      <c r="K49" s="873"/>
      <c r="L49" s="873"/>
      <c r="M49" s="873"/>
      <c r="N49" s="873"/>
      <c r="O49" s="873"/>
      <c r="P49" s="873"/>
      <c r="Q49" s="873"/>
      <c r="R49" s="873"/>
      <c r="S49" s="873"/>
      <c r="T49" s="873"/>
      <c r="U49" s="873"/>
      <c r="V49" s="873"/>
      <c r="W49" s="873"/>
      <c r="X49" s="873"/>
      <c r="Y49" s="873"/>
      <c r="Z49" s="873"/>
      <c r="AA49" s="394"/>
      <c r="AB49" s="873"/>
      <c r="AC49" s="394"/>
      <c r="AD49" s="873"/>
      <c r="AE49" s="873"/>
      <c r="AF49" s="873"/>
      <c r="AG49" s="873"/>
      <c r="AH49" s="873"/>
      <c r="AI49" s="873"/>
      <c r="AJ49" s="403"/>
      <c r="AK49" s="403"/>
      <c r="AL49" s="873"/>
      <c r="AM49" s="873"/>
      <c r="AN49" s="403"/>
      <c r="AO49" s="403"/>
      <c r="AP49" s="394"/>
      <c r="AQ49" s="394"/>
      <c r="AR49" s="394"/>
      <c r="AS49" s="394"/>
      <c r="AT49" s="394"/>
      <c r="AU49" s="873"/>
      <c r="AV49" s="873"/>
      <c r="AW49" s="873"/>
      <c r="AX49" s="873"/>
      <c r="AY49" s="873"/>
      <c r="AZ49" s="873"/>
      <c r="BA49" s="394"/>
      <c r="BB49" s="873"/>
      <c r="BC49" s="873"/>
      <c r="BD49" s="873"/>
      <c r="BE49" s="873"/>
      <c r="BF49" s="873"/>
      <c r="BG49" s="873"/>
      <c r="BH49" s="873"/>
      <c r="BI49" s="873"/>
      <c r="BJ49" s="873"/>
      <c r="BK49" s="873"/>
      <c r="BL49" s="873"/>
      <c r="BM49" s="873"/>
      <c r="BN49" s="873"/>
      <c r="BO49" s="873"/>
      <c r="BP49" s="873"/>
      <c r="BQ49" s="873"/>
      <c r="BR49" s="873"/>
      <c r="BS49" s="873"/>
      <c r="BT49" s="873"/>
      <c r="BU49" s="873"/>
      <c r="BV49" s="873"/>
      <c r="BW49" s="873"/>
      <c r="BX49" s="873"/>
      <c r="BY49" s="873"/>
      <c r="BZ49" s="873"/>
      <c r="CA49" s="873"/>
      <c r="CB49" s="873"/>
      <c r="CC49" s="873"/>
      <c r="CD49" s="873"/>
      <c r="CE49" s="873"/>
      <c r="CF49" s="873"/>
      <c r="CG49" s="873"/>
      <c r="CH49" s="873"/>
      <c r="CI49" s="873"/>
      <c r="CJ49" s="873"/>
      <c r="CK49" s="873"/>
      <c r="CL49" s="873"/>
      <c r="CM49" s="873"/>
      <c r="CN49" s="873"/>
      <c r="CO49" s="873"/>
      <c r="CP49" s="873"/>
      <c r="CQ49" s="873"/>
      <c r="CR49" s="873"/>
      <c r="CS49" s="873"/>
      <c r="CT49" s="873"/>
      <c r="CU49" s="873"/>
      <c r="CV49" s="873"/>
      <c r="CW49" s="873"/>
      <c r="CX49" s="873"/>
      <c r="CY49" s="873"/>
      <c r="CZ49" s="873"/>
      <c r="DA49" s="873"/>
      <c r="DB49" s="873"/>
      <c r="DC49" s="873"/>
      <c r="DD49" s="873"/>
      <c r="DE49" s="873"/>
      <c r="DF49" s="873"/>
      <c r="DG49" s="873"/>
      <c r="DH49" s="873"/>
      <c r="DI49" s="873"/>
      <c r="DJ49" s="873"/>
      <c r="DK49" s="873"/>
      <c r="DL49" s="873"/>
      <c r="DM49" s="873"/>
      <c r="DN49" s="873"/>
      <c r="DO49" s="873"/>
      <c r="DP49" s="873"/>
      <c r="DQ49" s="873"/>
      <c r="DR49" s="873"/>
      <c r="DS49" s="873"/>
      <c r="DT49" s="873"/>
      <c r="DU49" s="873"/>
      <c r="DV49" s="873"/>
      <c r="DW49" s="873"/>
      <c r="DX49" s="873"/>
      <c r="DY49" s="873"/>
      <c r="DZ49" s="873"/>
      <c r="EA49" s="873"/>
      <c r="EB49" s="873"/>
      <c r="EC49" s="873"/>
      <c r="ED49" s="873"/>
      <c r="EE49" s="873"/>
      <c r="EF49" s="873"/>
      <c r="EG49" s="873"/>
      <c r="EH49" s="873"/>
      <c r="EI49" s="873"/>
      <c r="EJ49" s="873"/>
      <c r="EK49" s="873"/>
      <c r="EL49" s="873"/>
      <c r="EM49" s="873"/>
      <c r="EN49" s="873"/>
      <c r="EO49" s="873"/>
      <c r="EP49" s="873"/>
      <c r="EQ49" s="873"/>
      <c r="ER49" s="873"/>
      <c r="ES49" s="873"/>
      <c r="ET49" s="873"/>
      <c r="EU49" s="873"/>
      <c r="EV49" s="873"/>
      <c r="EW49" s="873"/>
      <c r="EX49" s="873"/>
      <c r="EY49" s="873"/>
      <c r="EZ49" s="873"/>
      <c r="FA49" s="873"/>
      <c r="FB49" s="873"/>
      <c r="FC49" s="873"/>
      <c r="FD49" s="873"/>
      <c r="FE49" s="873"/>
      <c r="FF49" s="873"/>
      <c r="FG49" s="873"/>
      <c r="FH49" s="873"/>
      <c r="FI49" s="873"/>
      <c r="FJ49" s="873"/>
      <c r="FK49" s="873"/>
      <c r="FL49" s="873"/>
      <c r="FM49" s="873"/>
      <c r="FN49" s="873"/>
      <c r="FO49" s="873"/>
      <c r="FP49" s="873"/>
      <c r="FQ49" s="873"/>
      <c r="FR49" s="873"/>
      <c r="FS49" s="873"/>
      <c r="FT49" s="873"/>
      <c r="FU49" s="873"/>
      <c r="FV49" s="873"/>
      <c r="FW49" s="873"/>
      <c r="FX49" s="873"/>
      <c r="FY49" s="873"/>
      <c r="FZ49" s="873"/>
      <c r="GA49" s="873"/>
      <c r="GB49" s="873"/>
      <c r="GC49" s="873"/>
      <c r="GD49" s="873"/>
      <c r="GE49" s="873"/>
      <c r="GF49" s="873"/>
      <c r="GG49" s="873"/>
      <c r="GH49" s="873"/>
      <c r="GI49" s="873"/>
      <c r="GJ49" s="873"/>
      <c r="GK49" s="873"/>
      <c r="GL49" s="873"/>
      <c r="GM49" s="873"/>
      <c r="GN49" s="873"/>
      <c r="GO49" s="873"/>
      <c r="GP49" s="873"/>
      <c r="GQ49" s="873"/>
      <c r="GR49" s="873"/>
      <c r="GS49" s="873"/>
      <c r="GT49" s="873"/>
      <c r="GU49" s="873"/>
      <c r="GV49" s="873"/>
      <c r="GW49" s="873"/>
      <c r="GX49" s="873"/>
      <c r="GY49" s="873"/>
      <c r="GZ49" s="873"/>
      <c r="HA49" s="873"/>
      <c r="HB49" s="873"/>
      <c r="HC49" s="873"/>
      <c r="HD49" s="873"/>
      <c r="HE49" s="873"/>
      <c r="HF49" s="873"/>
      <c r="HG49" s="873"/>
      <c r="HH49" s="873"/>
      <c r="HI49" s="873"/>
      <c r="HJ49" s="873"/>
      <c r="HK49" s="873"/>
      <c r="HL49" s="873"/>
      <c r="HM49" s="873"/>
      <c r="HN49" s="873"/>
      <c r="HO49" s="873"/>
      <c r="HP49" s="873"/>
      <c r="HQ49" s="873"/>
      <c r="HR49" s="873"/>
      <c r="HS49" s="873"/>
      <c r="HT49" s="873"/>
      <c r="HU49" s="873"/>
      <c r="HV49" s="873"/>
      <c r="HW49" s="873"/>
      <c r="HX49" s="873"/>
      <c r="HY49" s="873"/>
      <c r="HZ49" s="873"/>
      <c r="IA49" s="873"/>
      <c r="IB49" s="873"/>
      <c r="IC49" s="873"/>
      <c r="ID49" s="873"/>
      <c r="IE49" s="873"/>
      <c r="IF49" s="873"/>
      <c r="IG49" s="873"/>
      <c r="IH49" s="873"/>
      <c r="II49" s="873"/>
      <c r="IJ49" s="873"/>
      <c r="IK49" s="873"/>
      <c r="IL49" s="873"/>
      <c r="IM49" s="873"/>
      <c r="IN49" s="873"/>
      <c r="IO49" s="873"/>
      <c r="IP49" s="873"/>
      <c r="IQ49" s="873"/>
      <c r="IR49" s="873"/>
      <c r="IS49" s="873"/>
      <c r="IT49" s="873"/>
      <c r="IU49" s="873"/>
      <c r="IV49" s="873"/>
      <c r="IW49" s="873"/>
      <c r="IX49" s="873"/>
      <c r="IY49" s="873"/>
      <c r="IZ49" s="873"/>
      <c r="JA49" s="873"/>
      <c r="JB49" s="873"/>
      <c r="JC49" s="873"/>
      <c r="JD49" s="873"/>
      <c r="JE49" s="873"/>
      <c r="JF49" s="873"/>
      <c r="JG49" s="873"/>
      <c r="JH49" s="873"/>
      <c r="JI49" s="873"/>
      <c r="JJ49" s="873"/>
      <c r="JK49" s="873"/>
      <c r="JL49" s="873"/>
      <c r="JM49" s="873"/>
      <c r="JN49" s="873"/>
      <c r="JO49" s="873"/>
      <c r="JP49" s="873"/>
      <c r="JQ49" s="873"/>
      <c r="JR49" s="873"/>
      <c r="JS49" s="873"/>
      <c r="JT49" s="873"/>
      <c r="JU49" s="873"/>
      <c r="JV49" s="402"/>
    </row>
    <row r="50" spans="1:282">
      <c r="A50" s="672"/>
      <c r="B50" s="408"/>
      <c r="C50" s="873"/>
      <c r="D50" s="888"/>
      <c r="E50" s="671"/>
      <c r="F50" s="873"/>
      <c r="G50" s="873"/>
      <c r="H50" s="873"/>
      <c r="I50" s="873"/>
      <c r="J50" s="873"/>
      <c r="K50" s="873"/>
      <c r="L50" s="873"/>
      <c r="M50" s="873"/>
      <c r="N50" s="873"/>
      <c r="O50" s="873"/>
      <c r="P50" s="873"/>
      <c r="Q50" s="873"/>
      <c r="R50" s="873"/>
      <c r="S50" s="873"/>
      <c r="T50" s="873"/>
      <c r="U50" s="873"/>
      <c r="V50" s="873"/>
      <c r="W50" s="873"/>
      <c r="X50" s="873"/>
      <c r="Y50" s="873"/>
      <c r="Z50" s="873"/>
      <c r="AA50" s="394"/>
      <c r="AB50" s="873"/>
      <c r="AC50" s="394"/>
      <c r="AD50" s="873"/>
      <c r="AE50" s="873"/>
      <c r="AF50" s="873"/>
      <c r="AG50" s="873"/>
      <c r="AH50" s="873"/>
      <c r="AI50" s="873"/>
      <c r="AJ50" s="403"/>
      <c r="AK50" s="403"/>
      <c r="AL50" s="873"/>
      <c r="AM50" s="873"/>
      <c r="AN50" s="403"/>
      <c r="AO50" s="403"/>
      <c r="AP50" s="394"/>
      <c r="AQ50" s="394"/>
      <c r="AR50" s="394"/>
      <c r="AS50" s="394"/>
      <c r="AT50" s="394"/>
      <c r="AU50" s="873"/>
      <c r="AV50" s="873"/>
      <c r="AW50" s="873"/>
      <c r="AX50" s="873"/>
      <c r="AY50" s="873"/>
      <c r="AZ50" s="873"/>
      <c r="BA50" s="394"/>
      <c r="BB50" s="873"/>
      <c r="BC50" s="873"/>
      <c r="BD50" s="873"/>
      <c r="BE50" s="873"/>
      <c r="BF50" s="873"/>
      <c r="BG50" s="873"/>
      <c r="BH50" s="873"/>
      <c r="BI50" s="873"/>
      <c r="BJ50" s="873"/>
      <c r="BK50" s="873"/>
      <c r="BL50" s="873"/>
      <c r="BM50" s="873"/>
      <c r="BN50" s="873"/>
      <c r="BO50" s="873"/>
      <c r="BP50" s="873"/>
      <c r="BQ50" s="873"/>
      <c r="BR50" s="873"/>
      <c r="BS50" s="873"/>
      <c r="BT50" s="873"/>
      <c r="BU50" s="873"/>
      <c r="BV50" s="873"/>
      <c r="BW50" s="873"/>
      <c r="BX50" s="873"/>
      <c r="BY50" s="873"/>
      <c r="BZ50" s="873"/>
      <c r="CA50" s="873"/>
      <c r="CB50" s="873"/>
      <c r="CC50" s="873"/>
      <c r="CD50" s="873"/>
      <c r="CE50" s="873"/>
      <c r="CF50" s="873"/>
      <c r="CG50" s="873"/>
      <c r="CH50" s="873"/>
      <c r="CI50" s="873"/>
      <c r="CJ50" s="873"/>
      <c r="CK50" s="873"/>
      <c r="CL50" s="873"/>
      <c r="CM50" s="873"/>
      <c r="CN50" s="873"/>
      <c r="CO50" s="873"/>
      <c r="CP50" s="873"/>
      <c r="CQ50" s="873"/>
      <c r="CR50" s="873"/>
      <c r="CS50" s="873"/>
      <c r="CT50" s="873"/>
      <c r="CU50" s="873"/>
      <c r="CV50" s="873"/>
      <c r="CW50" s="873"/>
      <c r="CX50" s="873"/>
      <c r="CY50" s="873"/>
      <c r="CZ50" s="873"/>
      <c r="DA50" s="873"/>
      <c r="DB50" s="873"/>
      <c r="DC50" s="873"/>
      <c r="DD50" s="873"/>
      <c r="DE50" s="873"/>
      <c r="DF50" s="873"/>
      <c r="DG50" s="873"/>
      <c r="DH50" s="873"/>
      <c r="DI50" s="873"/>
      <c r="DJ50" s="873"/>
      <c r="DK50" s="873"/>
      <c r="DL50" s="873"/>
      <c r="DM50" s="873"/>
      <c r="DN50" s="873"/>
      <c r="DO50" s="873"/>
      <c r="DP50" s="873"/>
      <c r="DQ50" s="873"/>
      <c r="DR50" s="873"/>
      <c r="DS50" s="873"/>
      <c r="DT50" s="873"/>
      <c r="DU50" s="873"/>
      <c r="DV50" s="873"/>
      <c r="DW50" s="873"/>
      <c r="DX50" s="873"/>
      <c r="DY50" s="873"/>
      <c r="DZ50" s="873"/>
      <c r="EA50" s="873"/>
      <c r="EB50" s="873"/>
      <c r="EC50" s="873"/>
      <c r="ED50" s="873"/>
      <c r="EE50" s="873"/>
      <c r="EF50" s="873"/>
      <c r="EG50" s="873"/>
      <c r="EH50" s="873"/>
      <c r="EI50" s="873"/>
      <c r="EJ50" s="873"/>
      <c r="EK50" s="873"/>
      <c r="EL50" s="873"/>
      <c r="EM50" s="873"/>
      <c r="EN50" s="873"/>
      <c r="EO50" s="873"/>
      <c r="EP50" s="873"/>
      <c r="EQ50" s="873"/>
      <c r="ER50" s="873"/>
      <c r="ES50" s="873"/>
      <c r="ET50" s="873"/>
      <c r="EU50" s="873"/>
      <c r="EV50" s="873"/>
      <c r="EW50" s="873"/>
      <c r="EX50" s="873"/>
      <c r="EY50" s="873"/>
      <c r="EZ50" s="873"/>
      <c r="FA50" s="873"/>
      <c r="FB50" s="873"/>
      <c r="FC50" s="873"/>
      <c r="FD50" s="873"/>
      <c r="FE50" s="873"/>
      <c r="FF50" s="873"/>
      <c r="FG50" s="873"/>
      <c r="FH50" s="873"/>
      <c r="FI50" s="873"/>
      <c r="FJ50" s="873"/>
      <c r="FK50" s="873"/>
      <c r="FL50" s="873"/>
      <c r="FM50" s="873"/>
      <c r="FN50" s="873"/>
      <c r="FO50" s="873"/>
      <c r="FP50" s="873"/>
      <c r="FQ50" s="873"/>
      <c r="FR50" s="873"/>
      <c r="FS50" s="873"/>
      <c r="FT50" s="873"/>
      <c r="FU50" s="873"/>
      <c r="FV50" s="873"/>
      <c r="FW50" s="873"/>
      <c r="FX50" s="873"/>
      <c r="FY50" s="873"/>
      <c r="FZ50" s="873"/>
      <c r="GA50" s="873"/>
      <c r="GB50" s="873"/>
      <c r="GC50" s="873"/>
      <c r="GD50" s="873"/>
      <c r="GE50" s="873"/>
      <c r="GF50" s="873"/>
      <c r="GG50" s="873"/>
      <c r="GH50" s="873"/>
      <c r="GI50" s="873"/>
      <c r="GJ50" s="873"/>
      <c r="GK50" s="873"/>
      <c r="GL50" s="873"/>
      <c r="GM50" s="873"/>
      <c r="GN50" s="873"/>
      <c r="GO50" s="873"/>
      <c r="GP50" s="873"/>
      <c r="GQ50" s="873"/>
      <c r="GR50" s="873"/>
      <c r="GS50" s="873"/>
      <c r="GT50" s="873"/>
      <c r="GU50" s="873"/>
      <c r="GV50" s="873"/>
      <c r="GW50" s="873"/>
      <c r="GX50" s="873"/>
      <c r="GY50" s="873"/>
      <c r="GZ50" s="873"/>
      <c r="HA50" s="873"/>
      <c r="HB50" s="873"/>
      <c r="HC50" s="873"/>
      <c r="HD50" s="873"/>
      <c r="HE50" s="873"/>
      <c r="HF50" s="873"/>
      <c r="HG50" s="873"/>
      <c r="HH50" s="873"/>
      <c r="HI50" s="873"/>
      <c r="HJ50" s="873"/>
      <c r="HK50" s="873"/>
      <c r="HL50" s="873"/>
      <c r="HM50" s="873"/>
      <c r="HN50" s="873"/>
      <c r="HO50" s="873"/>
      <c r="HP50" s="873"/>
      <c r="HQ50" s="873"/>
      <c r="HR50" s="873"/>
      <c r="HS50" s="873"/>
      <c r="HT50" s="873"/>
      <c r="HU50" s="873"/>
      <c r="HV50" s="873"/>
      <c r="HW50" s="873"/>
      <c r="HX50" s="873"/>
      <c r="HY50" s="873"/>
      <c r="HZ50" s="873"/>
      <c r="IA50" s="873"/>
      <c r="IB50" s="873"/>
      <c r="IC50" s="873"/>
      <c r="ID50" s="873"/>
      <c r="IE50" s="873"/>
      <c r="IF50" s="873"/>
      <c r="IG50" s="873"/>
      <c r="IH50" s="873"/>
      <c r="II50" s="873"/>
      <c r="IJ50" s="873"/>
      <c r="IK50" s="873"/>
      <c r="IL50" s="873"/>
      <c r="IM50" s="873"/>
      <c r="IN50" s="873"/>
      <c r="IO50" s="873"/>
      <c r="IP50" s="873"/>
      <c r="IQ50" s="873"/>
      <c r="IR50" s="873"/>
      <c r="IS50" s="873"/>
      <c r="IT50" s="873"/>
      <c r="IU50" s="873"/>
      <c r="IV50" s="873"/>
      <c r="IW50" s="873"/>
      <c r="IX50" s="873"/>
      <c r="IY50" s="873"/>
      <c r="IZ50" s="873"/>
      <c r="JA50" s="873"/>
      <c r="JB50" s="873"/>
      <c r="JC50" s="873"/>
      <c r="JD50" s="873"/>
      <c r="JE50" s="873"/>
      <c r="JF50" s="873"/>
      <c r="JG50" s="873"/>
      <c r="JH50" s="873"/>
      <c r="JI50" s="873"/>
      <c r="JJ50" s="873"/>
      <c r="JK50" s="873"/>
      <c r="JL50" s="873"/>
      <c r="JM50" s="873"/>
      <c r="JN50" s="873"/>
      <c r="JO50" s="873"/>
      <c r="JP50" s="873"/>
      <c r="JQ50" s="873"/>
      <c r="JR50" s="873"/>
      <c r="JS50" s="873"/>
      <c r="JT50" s="873"/>
      <c r="JU50" s="873"/>
      <c r="JV50" s="402"/>
    </row>
    <row r="51" spans="1:282">
      <c r="A51" s="672"/>
      <c r="B51" s="408"/>
      <c r="C51" s="873"/>
      <c r="D51" s="888"/>
      <c r="E51" s="671"/>
      <c r="F51" s="873"/>
      <c r="G51" s="873"/>
      <c r="H51" s="873"/>
      <c r="I51" s="873"/>
      <c r="J51" s="873"/>
      <c r="K51" s="873"/>
      <c r="L51" s="873"/>
      <c r="M51" s="873"/>
      <c r="N51" s="873"/>
      <c r="O51" s="873"/>
      <c r="P51" s="873"/>
      <c r="Q51" s="873"/>
      <c r="R51" s="873"/>
      <c r="S51" s="873"/>
      <c r="T51" s="873"/>
      <c r="U51" s="873"/>
      <c r="V51" s="873"/>
      <c r="W51" s="873"/>
      <c r="X51" s="873"/>
      <c r="Y51" s="873"/>
      <c r="Z51" s="873"/>
      <c r="AA51" s="394"/>
      <c r="AB51" s="873"/>
      <c r="AC51" s="394"/>
      <c r="AD51" s="873"/>
      <c r="AE51" s="873"/>
      <c r="AF51" s="873"/>
      <c r="AG51" s="873"/>
      <c r="AH51" s="873"/>
      <c r="AI51" s="873"/>
      <c r="AJ51" s="403"/>
      <c r="AK51" s="403"/>
      <c r="AL51" s="873"/>
      <c r="AM51" s="873"/>
      <c r="AN51" s="403"/>
      <c r="AO51" s="403"/>
      <c r="AP51" s="394"/>
      <c r="AQ51" s="394"/>
      <c r="AR51" s="394"/>
      <c r="AS51" s="394"/>
      <c r="AT51" s="394"/>
      <c r="AU51" s="873"/>
      <c r="AV51" s="873"/>
      <c r="AW51" s="873"/>
      <c r="AX51" s="873"/>
      <c r="AY51" s="873"/>
      <c r="AZ51" s="873"/>
      <c r="BA51" s="394"/>
      <c r="BB51" s="873"/>
      <c r="BC51" s="873"/>
      <c r="BD51" s="873"/>
      <c r="BE51" s="873"/>
      <c r="BF51" s="873"/>
      <c r="BG51" s="873"/>
      <c r="BH51" s="873"/>
      <c r="BI51" s="873"/>
      <c r="BJ51" s="873"/>
      <c r="BK51" s="873"/>
      <c r="BL51" s="873"/>
      <c r="BM51" s="873"/>
      <c r="BN51" s="873"/>
      <c r="BO51" s="873"/>
      <c r="BP51" s="873"/>
      <c r="BQ51" s="873"/>
      <c r="BR51" s="873"/>
      <c r="BS51" s="873"/>
      <c r="BT51" s="873"/>
      <c r="BU51" s="873"/>
      <c r="BV51" s="873"/>
      <c r="BW51" s="873"/>
      <c r="BX51" s="873"/>
      <c r="BY51" s="873"/>
      <c r="BZ51" s="873"/>
      <c r="CA51" s="873"/>
      <c r="CB51" s="873"/>
      <c r="CC51" s="873"/>
      <c r="CD51" s="873"/>
      <c r="CE51" s="873"/>
      <c r="CF51" s="873"/>
      <c r="CG51" s="873"/>
      <c r="CH51" s="873"/>
      <c r="CI51" s="873"/>
      <c r="CJ51" s="873"/>
      <c r="CK51" s="873"/>
      <c r="CL51" s="873"/>
      <c r="CM51" s="873"/>
      <c r="CN51" s="873"/>
      <c r="CO51" s="873"/>
      <c r="CP51" s="873"/>
      <c r="CQ51" s="873"/>
      <c r="CR51" s="873"/>
      <c r="CS51" s="873"/>
      <c r="CT51" s="873"/>
      <c r="CU51" s="873"/>
      <c r="CV51" s="873"/>
      <c r="CW51" s="873"/>
      <c r="CX51" s="873"/>
      <c r="CY51" s="873"/>
      <c r="CZ51" s="873"/>
      <c r="DA51" s="873"/>
      <c r="DB51" s="873"/>
      <c r="DC51" s="873"/>
      <c r="DD51" s="873"/>
      <c r="DE51" s="873"/>
      <c r="DF51" s="873"/>
      <c r="DG51" s="873"/>
      <c r="DH51" s="873"/>
      <c r="DI51" s="873"/>
      <c r="DJ51" s="873"/>
      <c r="DK51" s="873"/>
      <c r="DL51" s="873"/>
      <c r="DM51" s="873"/>
      <c r="DN51" s="873"/>
      <c r="DO51" s="873"/>
      <c r="DP51" s="873"/>
      <c r="DQ51" s="873"/>
      <c r="DR51" s="873"/>
      <c r="DS51" s="873"/>
      <c r="DT51" s="873"/>
      <c r="DU51" s="873"/>
      <c r="DV51" s="873"/>
      <c r="DW51" s="873"/>
      <c r="DX51" s="873"/>
      <c r="DY51" s="873"/>
      <c r="DZ51" s="873"/>
      <c r="EA51" s="873"/>
      <c r="EB51" s="873"/>
      <c r="EC51" s="873"/>
      <c r="ED51" s="873"/>
      <c r="EE51" s="873"/>
      <c r="EF51" s="873"/>
      <c r="EG51" s="873"/>
      <c r="EH51" s="873"/>
      <c r="EI51" s="873"/>
      <c r="EJ51" s="873"/>
      <c r="EK51" s="873"/>
      <c r="EL51" s="873"/>
      <c r="EM51" s="873"/>
      <c r="EN51" s="873"/>
      <c r="EO51" s="873"/>
      <c r="EP51" s="873"/>
      <c r="EQ51" s="873"/>
      <c r="ER51" s="873"/>
      <c r="ES51" s="873"/>
      <c r="ET51" s="873"/>
      <c r="EU51" s="873"/>
      <c r="EV51" s="873"/>
      <c r="EW51" s="873"/>
      <c r="EX51" s="873"/>
      <c r="EY51" s="873"/>
      <c r="EZ51" s="873"/>
      <c r="FA51" s="873"/>
      <c r="FB51" s="873"/>
      <c r="FC51" s="873"/>
      <c r="FD51" s="873"/>
      <c r="FE51" s="873"/>
      <c r="FF51" s="873"/>
      <c r="FG51" s="873"/>
      <c r="FH51" s="873"/>
      <c r="FI51" s="873"/>
      <c r="FJ51" s="873"/>
      <c r="FK51" s="873"/>
      <c r="FL51" s="873"/>
      <c r="FM51" s="873"/>
      <c r="FN51" s="873"/>
      <c r="FO51" s="873"/>
      <c r="FP51" s="873"/>
      <c r="FQ51" s="873"/>
      <c r="FR51" s="873"/>
      <c r="FS51" s="873"/>
      <c r="FT51" s="873"/>
      <c r="FU51" s="873"/>
      <c r="FV51" s="873"/>
      <c r="FW51" s="873"/>
      <c r="FX51" s="873"/>
      <c r="FY51" s="873"/>
      <c r="FZ51" s="873"/>
      <c r="GA51" s="873"/>
      <c r="GB51" s="873"/>
      <c r="GC51" s="873"/>
      <c r="GD51" s="873"/>
      <c r="GE51" s="873"/>
      <c r="GF51" s="873"/>
      <c r="GG51" s="873"/>
      <c r="GH51" s="873"/>
      <c r="GI51" s="873"/>
      <c r="GJ51" s="873"/>
      <c r="GK51" s="873"/>
      <c r="GL51" s="873"/>
      <c r="GM51" s="873"/>
      <c r="GN51" s="873"/>
      <c r="GO51" s="873"/>
      <c r="GP51" s="873"/>
      <c r="GQ51" s="873"/>
      <c r="GR51" s="873"/>
      <c r="GS51" s="873"/>
      <c r="GT51" s="873"/>
      <c r="GU51" s="873"/>
      <c r="GV51" s="873"/>
      <c r="GW51" s="873"/>
      <c r="GX51" s="873"/>
      <c r="GY51" s="873"/>
      <c r="GZ51" s="873"/>
      <c r="HA51" s="873"/>
      <c r="HB51" s="873"/>
      <c r="HC51" s="873"/>
      <c r="HD51" s="873"/>
      <c r="HE51" s="873"/>
      <c r="HF51" s="873"/>
      <c r="HG51" s="873"/>
      <c r="HH51" s="873"/>
      <c r="HI51" s="873"/>
      <c r="HJ51" s="873"/>
      <c r="HK51" s="873"/>
      <c r="HL51" s="873"/>
      <c r="HM51" s="873"/>
      <c r="HN51" s="873"/>
      <c r="HO51" s="873"/>
      <c r="HP51" s="873"/>
      <c r="HQ51" s="873"/>
      <c r="HR51" s="873"/>
      <c r="HS51" s="873"/>
      <c r="HT51" s="873"/>
      <c r="HU51" s="873"/>
      <c r="HV51" s="873"/>
      <c r="HW51" s="873"/>
      <c r="HX51" s="873"/>
      <c r="HY51" s="873"/>
      <c r="HZ51" s="873"/>
      <c r="IA51" s="873"/>
      <c r="IB51" s="873"/>
      <c r="IC51" s="873"/>
      <c r="ID51" s="873"/>
      <c r="IE51" s="873"/>
      <c r="IF51" s="873"/>
      <c r="IG51" s="873"/>
      <c r="IH51" s="873"/>
      <c r="II51" s="873"/>
      <c r="IJ51" s="873"/>
      <c r="IK51" s="873"/>
      <c r="IL51" s="873"/>
      <c r="IM51" s="873"/>
      <c r="IN51" s="873"/>
      <c r="IO51" s="873"/>
      <c r="IP51" s="873"/>
      <c r="IQ51" s="873"/>
      <c r="IR51" s="873"/>
      <c r="IS51" s="873"/>
      <c r="IT51" s="873"/>
      <c r="IU51" s="873"/>
      <c r="IV51" s="873"/>
      <c r="IW51" s="873"/>
      <c r="IX51" s="873"/>
      <c r="IY51" s="873"/>
      <c r="IZ51" s="873"/>
      <c r="JA51" s="873"/>
      <c r="JB51" s="873"/>
      <c r="JC51" s="873"/>
      <c r="JD51" s="873"/>
      <c r="JE51" s="873"/>
      <c r="JF51" s="873"/>
      <c r="JG51" s="873"/>
      <c r="JH51" s="873"/>
      <c r="JI51" s="873"/>
      <c r="JJ51" s="873"/>
      <c r="JK51" s="873"/>
      <c r="JL51" s="873"/>
      <c r="JM51" s="873"/>
      <c r="JN51" s="873"/>
      <c r="JO51" s="873"/>
      <c r="JP51" s="873"/>
      <c r="JQ51" s="873"/>
      <c r="JR51" s="873"/>
      <c r="JS51" s="873"/>
      <c r="JT51" s="873"/>
      <c r="JU51" s="873"/>
      <c r="JV51" s="402"/>
    </row>
    <row r="52" spans="1:282">
      <c r="A52" s="672"/>
      <c r="B52" s="408"/>
      <c r="C52" s="873"/>
      <c r="D52" s="888"/>
      <c r="E52" s="671"/>
      <c r="F52" s="873"/>
      <c r="G52" s="873"/>
      <c r="H52" s="873"/>
      <c r="I52" s="873"/>
      <c r="J52" s="873"/>
      <c r="K52" s="873"/>
      <c r="L52" s="873"/>
      <c r="M52" s="873"/>
      <c r="N52" s="873"/>
      <c r="O52" s="873"/>
      <c r="P52" s="873"/>
      <c r="Q52" s="873"/>
      <c r="R52" s="873"/>
      <c r="S52" s="873"/>
      <c r="T52" s="873"/>
      <c r="U52" s="873"/>
      <c r="V52" s="873"/>
      <c r="W52" s="873"/>
      <c r="X52" s="873"/>
      <c r="Y52" s="873"/>
      <c r="Z52" s="873"/>
      <c r="AA52" s="394"/>
      <c r="AB52" s="873"/>
      <c r="AC52" s="394"/>
      <c r="AD52" s="873"/>
      <c r="AE52" s="873"/>
      <c r="AF52" s="873"/>
      <c r="AG52" s="873"/>
      <c r="AH52" s="873"/>
      <c r="AI52" s="873"/>
      <c r="AJ52" s="403"/>
      <c r="AK52" s="403"/>
      <c r="AL52" s="873"/>
      <c r="AM52" s="873"/>
      <c r="AN52" s="403"/>
      <c r="AO52" s="403"/>
      <c r="AP52" s="394"/>
      <c r="AQ52" s="394"/>
      <c r="AR52" s="394"/>
      <c r="AS52" s="394"/>
      <c r="AT52" s="394"/>
      <c r="AU52" s="873"/>
      <c r="AV52" s="873"/>
      <c r="AW52" s="873"/>
      <c r="AX52" s="873"/>
      <c r="AY52" s="873"/>
      <c r="AZ52" s="873"/>
      <c r="BA52" s="394"/>
      <c r="BB52" s="873"/>
      <c r="BC52" s="873"/>
      <c r="BD52" s="873"/>
      <c r="BE52" s="873"/>
      <c r="BF52" s="873"/>
      <c r="BG52" s="873"/>
      <c r="BH52" s="873"/>
      <c r="BI52" s="873"/>
      <c r="BJ52" s="873"/>
      <c r="BK52" s="873"/>
      <c r="BL52" s="873"/>
      <c r="BM52" s="873"/>
      <c r="BN52" s="873"/>
      <c r="BO52" s="873"/>
      <c r="BP52" s="873"/>
      <c r="BQ52" s="873"/>
      <c r="BR52" s="873"/>
      <c r="BS52" s="873"/>
      <c r="BT52" s="873"/>
      <c r="BU52" s="873"/>
      <c r="BV52" s="873"/>
      <c r="BW52" s="873"/>
      <c r="BX52" s="873"/>
      <c r="BY52" s="873"/>
      <c r="BZ52" s="873"/>
      <c r="CA52" s="873"/>
      <c r="CB52" s="873"/>
      <c r="CC52" s="873"/>
      <c r="CD52" s="873"/>
      <c r="CE52" s="873"/>
      <c r="CF52" s="873"/>
      <c r="CG52" s="873"/>
      <c r="CH52" s="873"/>
      <c r="CI52" s="873"/>
      <c r="CJ52" s="873"/>
      <c r="CK52" s="873"/>
      <c r="CL52" s="873"/>
      <c r="CM52" s="873"/>
      <c r="CN52" s="873"/>
      <c r="CO52" s="873"/>
      <c r="CP52" s="873"/>
      <c r="CQ52" s="873"/>
      <c r="CR52" s="873"/>
      <c r="CS52" s="873"/>
      <c r="CT52" s="873"/>
      <c r="CU52" s="873"/>
      <c r="CV52" s="873"/>
      <c r="CW52" s="873"/>
      <c r="CX52" s="873"/>
      <c r="CY52" s="873"/>
      <c r="CZ52" s="873"/>
      <c r="DA52" s="873"/>
      <c r="DB52" s="873"/>
      <c r="DC52" s="873"/>
      <c r="DD52" s="873"/>
      <c r="DE52" s="873"/>
      <c r="DF52" s="873"/>
      <c r="DG52" s="873"/>
      <c r="DH52" s="873"/>
      <c r="DI52" s="873"/>
      <c r="DJ52" s="873"/>
      <c r="DK52" s="873"/>
      <c r="DL52" s="873"/>
      <c r="DM52" s="873"/>
      <c r="DN52" s="873"/>
      <c r="DO52" s="873"/>
      <c r="DP52" s="873"/>
      <c r="DQ52" s="873"/>
      <c r="DR52" s="873"/>
      <c r="DS52" s="873"/>
      <c r="DT52" s="873"/>
      <c r="DU52" s="873"/>
      <c r="DV52" s="873"/>
      <c r="DW52" s="873"/>
      <c r="DX52" s="873"/>
      <c r="DY52" s="873"/>
      <c r="DZ52" s="873"/>
      <c r="EA52" s="873"/>
      <c r="EB52" s="873"/>
      <c r="EC52" s="873"/>
      <c r="ED52" s="873"/>
      <c r="EE52" s="873"/>
      <c r="EF52" s="873"/>
      <c r="EG52" s="873"/>
      <c r="EH52" s="873"/>
      <c r="EI52" s="873"/>
      <c r="EJ52" s="873"/>
      <c r="EK52" s="873"/>
      <c r="EL52" s="873"/>
      <c r="EM52" s="873"/>
      <c r="EN52" s="873"/>
      <c r="EO52" s="873"/>
      <c r="EP52" s="873"/>
      <c r="EQ52" s="873"/>
      <c r="ER52" s="873"/>
      <c r="ES52" s="873"/>
      <c r="ET52" s="873"/>
      <c r="EU52" s="873"/>
      <c r="EV52" s="873"/>
      <c r="EW52" s="873"/>
      <c r="EX52" s="873"/>
      <c r="EY52" s="873"/>
      <c r="EZ52" s="873"/>
      <c r="FA52" s="873"/>
      <c r="FB52" s="873"/>
      <c r="FC52" s="873"/>
      <c r="FD52" s="873"/>
      <c r="FE52" s="873"/>
      <c r="FF52" s="873"/>
      <c r="FG52" s="873"/>
      <c r="FH52" s="873"/>
      <c r="FI52" s="873"/>
      <c r="FJ52" s="873"/>
      <c r="FK52" s="873"/>
      <c r="FL52" s="873"/>
      <c r="FM52" s="873"/>
      <c r="FN52" s="873"/>
      <c r="FO52" s="873"/>
      <c r="FP52" s="873"/>
      <c r="FQ52" s="873"/>
      <c r="FR52" s="873"/>
      <c r="FS52" s="873"/>
      <c r="FT52" s="873"/>
      <c r="FU52" s="873"/>
      <c r="FV52" s="873"/>
      <c r="FW52" s="873"/>
      <c r="FX52" s="873"/>
      <c r="FY52" s="873"/>
      <c r="FZ52" s="873"/>
      <c r="GA52" s="873"/>
      <c r="GB52" s="873"/>
      <c r="GC52" s="873"/>
      <c r="GD52" s="873"/>
      <c r="GE52" s="873"/>
      <c r="GF52" s="873"/>
      <c r="GG52" s="873"/>
      <c r="GH52" s="873"/>
      <c r="GI52" s="873"/>
      <c r="GJ52" s="873"/>
      <c r="GK52" s="873"/>
      <c r="GL52" s="873"/>
      <c r="GM52" s="873"/>
      <c r="GN52" s="873"/>
      <c r="GO52" s="873"/>
      <c r="GP52" s="873"/>
      <c r="GQ52" s="873"/>
      <c r="GR52" s="873"/>
      <c r="GS52" s="873"/>
      <c r="GT52" s="873"/>
      <c r="GU52" s="873"/>
      <c r="GV52" s="873"/>
      <c r="GW52" s="873"/>
      <c r="GX52" s="873"/>
      <c r="GY52" s="873"/>
      <c r="GZ52" s="873"/>
      <c r="HA52" s="873"/>
      <c r="HB52" s="873"/>
      <c r="HC52" s="873"/>
      <c r="HD52" s="873"/>
      <c r="HE52" s="873"/>
      <c r="HF52" s="873"/>
      <c r="HG52" s="873"/>
      <c r="HH52" s="873"/>
      <c r="HI52" s="873"/>
      <c r="HJ52" s="873"/>
      <c r="HK52" s="873"/>
      <c r="HL52" s="873"/>
      <c r="HM52" s="873"/>
      <c r="HN52" s="873"/>
      <c r="HO52" s="873"/>
      <c r="HP52" s="873"/>
      <c r="HQ52" s="873"/>
      <c r="HR52" s="873"/>
      <c r="HS52" s="873"/>
      <c r="HT52" s="873"/>
      <c r="HU52" s="873"/>
      <c r="HV52" s="873"/>
      <c r="HW52" s="873"/>
      <c r="HX52" s="873"/>
      <c r="HY52" s="873"/>
      <c r="HZ52" s="873"/>
      <c r="IA52" s="873"/>
      <c r="IB52" s="873"/>
      <c r="IC52" s="873"/>
      <c r="ID52" s="873"/>
      <c r="IE52" s="873"/>
      <c r="IF52" s="873"/>
      <c r="IG52" s="873"/>
      <c r="IH52" s="873"/>
      <c r="II52" s="873"/>
      <c r="IJ52" s="873"/>
      <c r="IK52" s="873"/>
      <c r="IL52" s="873"/>
      <c r="IM52" s="873"/>
      <c r="IN52" s="873"/>
      <c r="IO52" s="873"/>
      <c r="IP52" s="873"/>
      <c r="IQ52" s="873"/>
      <c r="IR52" s="873"/>
      <c r="IS52" s="873"/>
      <c r="IT52" s="873"/>
      <c r="IU52" s="873"/>
      <c r="IV52" s="873"/>
      <c r="IW52" s="873"/>
      <c r="IX52" s="873"/>
      <c r="IY52" s="873"/>
      <c r="IZ52" s="873"/>
      <c r="JA52" s="873"/>
      <c r="JB52" s="873"/>
      <c r="JC52" s="873"/>
      <c r="JD52" s="873"/>
      <c r="JE52" s="873"/>
      <c r="JF52" s="873"/>
      <c r="JG52" s="873"/>
      <c r="JH52" s="873"/>
      <c r="JI52" s="873"/>
      <c r="JJ52" s="873"/>
      <c r="JK52" s="873"/>
      <c r="JL52" s="873"/>
      <c r="JM52" s="873"/>
      <c r="JN52" s="873"/>
      <c r="JO52" s="873"/>
      <c r="JP52" s="873"/>
      <c r="JQ52" s="873"/>
      <c r="JR52" s="873"/>
      <c r="JS52" s="873"/>
      <c r="JT52" s="873"/>
      <c r="JU52" s="873"/>
      <c r="JV52" s="402"/>
    </row>
    <row r="53" spans="1:282">
      <c r="A53" s="672"/>
      <c r="B53" s="408"/>
      <c r="C53" s="873"/>
      <c r="D53" s="888"/>
      <c r="E53" s="671"/>
      <c r="F53" s="873"/>
      <c r="G53" s="873"/>
      <c r="H53" s="873"/>
      <c r="I53" s="873"/>
      <c r="J53" s="873"/>
      <c r="K53" s="873"/>
      <c r="L53" s="873"/>
      <c r="M53" s="873"/>
      <c r="N53" s="873"/>
      <c r="O53" s="873"/>
      <c r="P53" s="873"/>
      <c r="Q53" s="873"/>
      <c r="R53" s="873"/>
      <c r="S53" s="873"/>
      <c r="T53" s="873"/>
      <c r="U53" s="873"/>
      <c r="V53" s="873"/>
      <c r="W53" s="873"/>
      <c r="X53" s="873"/>
      <c r="Y53" s="873"/>
      <c r="Z53" s="873"/>
      <c r="AA53" s="394"/>
      <c r="AB53" s="873"/>
      <c r="AC53" s="394"/>
      <c r="AD53" s="873"/>
      <c r="AE53" s="873"/>
      <c r="AF53" s="873"/>
      <c r="AG53" s="873"/>
      <c r="AH53" s="873"/>
      <c r="AI53" s="873"/>
      <c r="AJ53" s="403"/>
      <c r="AK53" s="403"/>
      <c r="AL53" s="873"/>
      <c r="AM53" s="873"/>
      <c r="AN53" s="403"/>
      <c r="AO53" s="403"/>
      <c r="AP53" s="394"/>
      <c r="AQ53" s="394"/>
      <c r="AR53" s="394"/>
      <c r="AS53" s="394"/>
      <c r="AT53" s="394"/>
      <c r="AU53" s="873"/>
      <c r="AV53" s="873"/>
      <c r="AW53" s="873"/>
      <c r="AX53" s="873"/>
      <c r="AY53" s="873"/>
      <c r="AZ53" s="873"/>
      <c r="BA53" s="394"/>
      <c r="BB53" s="873"/>
      <c r="BC53" s="873"/>
      <c r="BD53" s="873"/>
      <c r="BE53" s="873"/>
      <c r="BF53" s="873"/>
      <c r="BG53" s="873"/>
      <c r="BH53" s="873"/>
      <c r="BI53" s="873"/>
      <c r="BJ53" s="873"/>
      <c r="BK53" s="873"/>
      <c r="BL53" s="873"/>
      <c r="BM53" s="873"/>
      <c r="BN53" s="873"/>
      <c r="BO53" s="873"/>
      <c r="BP53" s="873"/>
      <c r="BQ53" s="873"/>
      <c r="BR53" s="873"/>
      <c r="BS53" s="873"/>
      <c r="BT53" s="873"/>
      <c r="BU53" s="873"/>
      <c r="BV53" s="873"/>
      <c r="BW53" s="873"/>
      <c r="BX53" s="873"/>
      <c r="BY53" s="873"/>
      <c r="BZ53" s="873"/>
      <c r="CA53" s="873"/>
      <c r="CB53" s="873"/>
      <c r="CC53" s="873"/>
      <c r="CD53" s="873"/>
      <c r="CE53" s="873"/>
      <c r="CF53" s="873"/>
      <c r="CG53" s="873"/>
      <c r="CH53" s="873"/>
      <c r="CI53" s="873"/>
      <c r="CJ53" s="873"/>
      <c r="CK53" s="873"/>
      <c r="CL53" s="873"/>
      <c r="CM53" s="873"/>
      <c r="CN53" s="873"/>
      <c r="CO53" s="873"/>
      <c r="CP53" s="873"/>
      <c r="CQ53" s="873"/>
      <c r="CR53" s="873"/>
      <c r="CS53" s="873"/>
      <c r="CT53" s="873"/>
      <c r="CU53" s="873"/>
      <c r="CV53" s="873"/>
      <c r="CW53" s="873"/>
      <c r="CX53" s="873"/>
      <c r="CY53" s="873"/>
      <c r="CZ53" s="873"/>
      <c r="DA53" s="873"/>
      <c r="DB53" s="873"/>
      <c r="DC53" s="873"/>
      <c r="DD53" s="873"/>
      <c r="DE53" s="873"/>
      <c r="DF53" s="873"/>
      <c r="DG53" s="873"/>
      <c r="DH53" s="873"/>
      <c r="DI53" s="873"/>
      <c r="DJ53" s="873"/>
      <c r="DK53" s="873"/>
      <c r="DL53" s="873"/>
      <c r="DM53" s="873"/>
      <c r="DN53" s="873"/>
      <c r="DO53" s="873"/>
      <c r="DP53" s="873"/>
      <c r="DQ53" s="873"/>
      <c r="DR53" s="873"/>
      <c r="DS53" s="873"/>
      <c r="DT53" s="873"/>
      <c r="DU53" s="873"/>
      <c r="DV53" s="873"/>
      <c r="DW53" s="873"/>
      <c r="DX53" s="873"/>
      <c r="DY53" s="873"/>
      <c r="DZ53" s="873"/>
      <c r="EA53" s="873"/>
      <c r="EB53" s="873"/>
      <c r="EC53" s="873"/>
      <c r="ED53" s="873"/>
      <c r="EE53" s="873"/>
      <c r="EF53" s="873"/>
      <c r="EG53" s="873"/>
      <c r="EH53" s="873"/>
      <c r="EI53" s="873"/>
      <c r="EJ53" s="873"/>
      <c r="EK53" s="873"/>
      <c r="EL53" s="873"/>
      <c r="EM53" s="873"/>
      <c r="EN53" s="873"/>
      <c r="EO53" s="873"/>
      <c r="EP53" s="873"/>
      <c r="EQ53" s="873"/>
      <c r="ER53" s="873"/>
      <c r="ES53" s="873"/>
      <c r="ET53" s="873"/>
      <c r="EU53" s="873"/>
      <c r="EV53" s="873"/>
      <c r="EW53" s="873"/>
      <c r="EX53" s="873"/>
      <c r="EY53" s="873"/>
      <c r="EZ53" s="873"/>
      <c r="FA53" s="873"/>
      <c r="FB53" s="873"/>
      <c r="FC53" s="873"/>
      <c r="FD53" s="873"/>
      <c r="FE53" s="873"/>
      <c r="FF53" s="873"/>
      <c r="FG53" s="873"/>
      <c r="FH53" s="873"/>
      <c r="FI53" s="873"/>
      <c r="FJ53" s="873"/>
      <c r="FK53" s="873"/>
      <c r="FL53" s="873"/>
      <c r="FM53" s="873"/>
      <c r="FN53" s="873"/>
      <c r="FO53" s="873"/>
      <c r="FP53" s="873"/>
      <c r="FQ53" s="873"/>
      <c r="FR53" s="873"/>
      <c r="FS53" s="873"/>
      <c r="FT53" s="873"/>
      <c r="FU53" s="873"/>
      <c r="FV53" s="873"/>
      <c r="FW53" s="873"/>
      <c r="FX53" s="873"/>
      <c r="FY53" s="873"/>
      <c r="FZ53" s="873"/>
      <c r="GA53" s="873"/>
      <c r="GB53" s="873"/>
      <c r="GC53" s="873"/>
      <c r="GD53" s="873"/>
      <c r="GE53" s="873"/>
      <c r="GF53" s="873"/>
      <c r="GG53" s="873"/>
      <c r="GH53" s="873"/>
      <c r="GI53" s="873"/>
      <c r="GJ53" s="873"/>
      <c r="GK53" s="873"/>
      <c r="GL53" s="873"/>
      <c r="GM53" s="873"/>
      <c r="GN53" s="873"/>
      <c r="GO53" s="873"/>
      <c r="GP53" s="873"/>
      <c r="GQ53" s="873"/>
      <c r="GR53" s="873"/>
      <c r="GS53" s="873"/>
      <c r="GT53" s="873"/>
      <c r="GU53" s="873"/>
      <c r="GV53" s="873"/>
      <c r="GW53" s="873"/>
      <c r="GX53" s="873"/>
      <c r="GY53" s="873"/>
      <c r="GZ53" s="873"/>
      <c r="HA53" s="873"/>
      <c r="HB53" s="873"/>
      <c r="HC53" s="873"/>
      <c r="HD53" s="873"/>
      <c r="HE53" s="873"/>
      <c r="HF53" s="873"/>
      <c r="HG53" s="873"/>
      <c r="HH53" s="873"/>
      <c r="HI53" s="873"/>
      <c r="HJ53" s="873"/>
      <c r="HK53" s="873"/>
      <c r="HL53" s="873"/>
      <c r="HM53" s="873"/>
      <c r="HN53" s="873"/>
      <c r="HO53" s="873"/>
      <c r="HP53" s="873"/>
      <c r="HQ53" s="873"/>
      <c r="HR53" s="873"/>
      <c r="HS53" s="873"/>
      <c r="HT53" s="873"/>
      <c r="HU53" s="873"/>
      <c r="HV53" s="873"/>
      <c r="HW53" s="873"/>
      <c r="HX53" s="873"/>
      <c r="HY53" s="873"/>
      <c r="HZ53" s="873"/>
      <c r="IA53" s="873"/>
      <c r="IB53" s="873"/>
      <c r="IC53" s="873"/>
      <c r="ID53" s="873"/>
      <c r="IE53" s="873"/>
      <c r="IF53" s="873"/>
      <c r="IG53" s="873"/>
      <c r="IH53" s="873"/>
      <c r="II53" s="873"/>
      <c r="IJ53" s="873"/>
      <c r="IK53" s="873"/>
      <c r="IL53" s="873"/>
      <c r="IM53" s="873"/>
      <c r="IN53" s="873"/>
      <c r="IO53" s="873"/>
      <c r="IP53" s="873"/>
      <c r="IQ53" s="873"/>
      <c r="IR53" s="873"/>
      <c r="IS53" s="873"/>
      <c r="IT53" s="873"/>
      <c r="IU53" s="873"/>
      <c r="IV53" s="873"/>
      <c r="IW53" s="873"/>
      <c r="IX53" s="873"/>
      <c r="IY53" s="873"/>
      <c r="IZ53" s="873"/>
      <c r="JA53" s="873"/>
      <c r="JB53" s="873"/>
      <c r="JC53" s="873"/>
      <c r="JD53" s="873"/>
      <c r="JE53" s="873"/>
      <c r="JF53" s="873"/>
      <c r="JG53" s="873"/>
      <c r="JH53" s="873"/>
      <c r="JI53" s="873"/>
      <c r="JJ53" s="873"/>
      <c r="JK53" s="873"/>
      <c r="JL53" s="873"/>
      <c r="JM53" s="873"/>
      <c r="JN53" s="873"/>
      <c r="JO53" s="873"/>
      <c r="JP53" s="873"/>
      <c r="JQ53" s="873"/>
      <c r="JR53" s="873"/>
      <c r="JS53" s="873"/>
      <c r="JT53" s="873"/>
      <c r="JU53" s="873"/>
      <c r="JV53" s="402"/>
    </row>
    <row r="54" spans="1:282">
      <c r="A54" s="672"/>
      <c r="B54" s="408"/>
      <c r="C54" s="873"/>
      <c r="D54" s="888"/>
      <c r="E54" s="671"/>
      <c r="F54" s="873"/>
      <c r="G54" s="873"/>
      <c r="H54" s="873"/>
      <c r="I54" s="873"/>
      <c r="J54" s="873"/>
      <c r="K54" s="873"/>
      <c r="L54" s="873"/>
      <c r="M54" s="873"/>
      <c r="N54" s="873"/>
      <c r="O54" s="873"/>
      <c r="P54" s="873"/>
      <c r="Q54" s="873"/>
      <c r="R54" s="873"/>
      <c r="S54" s="873"/>
      <c r="T54" s="873"/>
      <c r="U54" s="873"/>
      <c r="V54" s="873"/>
      <c r="W54" s="873"/>
      <c r="X54" s="873"/>
      <c r="Y54" s="873"/>
      <c r="Z54" s="873"/>
      <c r="AA54" s="394"/>
      <c r="AB54" s="873"/>
      <c r="AC54" s="394"/>
      <c r="AD54" s="873"/>
      <c r="AE54" s="873"/>
      <c r="AF54" s="873"/>
      <c r="AG54" s="873"/>
      <c r="AH54" s="873"/>
      <c r="AI54" s="873"/>
      <c r="AJ54" s="403"/>
      <c r="AK54" s="403"/>
      <c r="AL54" s="873"/>
      <c r="AM54" s="873"/>
      <c r="AN54" s="403"/>
      <c r="AO54" s="403"/>
      <c r="AP54" s="394"/>
      <c r="AQ54" s="394"/>
      <c r="AR54" s="394"/>
      <c r="AS54" s="394"/>
      <c r="AT54" s="394"/>
      <c r="AU54" s="873"/>
      <c r="AV54" s="873"/>
      <c r="AW54" s="873"/>
      <c r="AX54" s="873"/>
      <c r="AY54" s="873"/>
      <c r="AZ54" s="873"/>
      <c r="BA54" s="394"/>
      <c r="BB54" s="873"/>
      <c r="BC54" s="873"/>
      <c r="BD54" s="873"/>
      <c r="BE54" s="873"/>
      <c r="BF54" s="873"/>
      <c r="BG54" s="873"/>
      <c r="BH54" s="873"/>
      <c r="BI54" s="873"/>
      <c r="BJ54" s="873"/>
      <c r="BK54" s="873"/>
      <c r="BL54" s="873"/>
      <c r="BM54" s="873"/>
      <c r="BN54" s="873"/>
      <c r="BO54" s="873"/>
      <c r="BP54" s="873"/>
      <c r="BQ54" s="873"/>
      <c r="BR54" s="873"/>
      <c r="BS54" s="873"/>
      <c r="BT54" s="873"/>
      <c r="BU54" s="873"/>
      <c r="BV54" s="873"/>
      <c r="BW54" s="873"/>
      <c r="BX54" s="873"/>
      <c r="BY54" s="873"/>
      <c r="BZ54" s="873"/>
      <c r="CA54" s="873"/>
      <c r="CB54" s="873"/>
      <c r="CC54" s="873"/>
      <c r="CD54" s="873"/>
      <c r="CE54" s="873"/>
      <c r="CF54" s="873"/>
      <c r="CG54" s="873"/>
      <c r="CH54" s="873"/>
      <c r="CI54" s="873"/>
      <c r="CJ54" s="873"/>
      <c r="CK54" s="873"/>
      <c r="CL54" s="873"/>
      <c r="CM54" s="873"/>
      <c r="CN54" s="873"/>
      <c r="CO54" s="873"/>
      <c r="CP54" s="873"/>
      <c r="CQ54" s="873"/>
      <c r="CR54" s="873"/>
      <c r="CS54" s="873"/>
      <c r="CT54" s="873"/>
      <c r="CU54" s="873"/>
      <c r="CV54" s="873"/>
      <c r="CW54" s="873"/>
      <c r="CX54" s="873"/>
      <c r="CY54" s="873"/>
      <c r="CZ54" s="873"/>
      <c r="DA54" s="873"/>
      <c r="DB54" s="873"/>
      <c r="DC54" s="873"/>
      <c r="DD54" s="873"/>
      <c r="DE54" s="873"/>
      <c r="DF54" s="873"/>
      <c r="DG54" s="873"/>
      <c r="DH54" s="873"/>
      <c r="DI54" s="873"/>
      <c r="DJ54" s="873"/>
      <c r="DK54" s="873"/>
      <c r="DL54" s="873"/>
      <c r="DM54" s="873"/>
      <c r="DN54" s="873"/>
      <c r="DO54" s="873"/>
      <c r="DP54" s="873"/>
      <c r="DQ54" s="873"/>
      <c r="DR54" s="873"/>
      <c r="DS54" s="873"/>
      <c r="DT54" s="873"/>
      <c r="DU54" s="873"/>
      <c r="DV54" s="873"/>
      <c r="DW54" s="873"/>
      <c r="DX54" s="873"/>
      <c r="DY54" s="873"/>
      <c r="DZ54" s="873"/>
      <c r="EA54" s="873"/>
      <c r="EB54" s="873"/>
      <c r="EC54" s="873"/>
      <c r="ED54" s="873"/>
      <c r="EE54" s="873"/>
      <c r="EF54" s="873"/>
      <c r="EG54" s="873"/>
      <c r="EH54" s="873"/>
      <c r="EI54" s="873"/>
      <c r="EJ54" s="873"/>
      <c r="EK54" s="873"/>
      <c r="EL54" s="873"/>
      <c r="EM54" s="873"/>
      <c r="EN54" s="873"/>
      <c r="EO54" s="873"/>
      <c r="EP54" s="873"/>
      <c r="EQ54" s="873"/>
      <c r="ER54" s="873"/>
      <c r="ES54" s="873"/>
      <c r="ET54" s="873"/>
      <c r="EU54" s="873"/>
      <c r="EV54" s="873"/>
      <c r="EW54" s="873"/>
      <c r="EX54" s="873"/>
      <c r="EY54" s="873"/>
      <c r="EZ54" s="873"/>
      <c r="FA54" s="873"/>
      <c r="FB54" s="873"/>
      <c r="FC54" s="873"/>
      <c r="FD54" s="873"/>
      <c r="FE54" s="873"/>
      <c r="FF54" s="873"/>
      <c r="FG54" s="873"/>
      <c r="FH54" s="873"/>
      <c r="FI54" s="873"/>
      <c r="FJ54" s="873"/>
      <c r="FK54" s="873"/>
      <c r="FL54" s="873"/>
      <c r="FM54" s="873"/>
      <c r="FN54" s="873"/>
      <c r="FO54" s="873"/>
      <c r="FP54" s="873"/>
      <c r="FQ54" s="873"/>
      <c r="FR54" s="873"/>
      <c r="FS54" s="873"/>
      <c r="FT54" s="873"/>
      <c r="FU54" s="873"/>
      <c r="FV54" s="873"/>
      <c r="FW54" s="873"/>
      <c r="FX54" s="873"/>
      <c r="FY54" s="873"/>
      <c r="FZ54" s="873"/>
      <c r="GA54" s="873"/>
      <c r="GB54" s="873"/>
      <c r="GC54" s="873"/>
      <c r="GD54" s="873"/>
      <c r="GE54" s="873"/>
      <c r="GF54" s="873"/>
      <c r="GG54" s="873"/>
      <c r="GH54" s="873"/>
      <c r="GI54" s="873"/>
      <c r="GJ54" s="873"/>
      <c r="GK54" s="873"/>
      <c r="GL54" s="873"/>
      <c r="GM54" s="873"/>
      <c r="GN54" s="873"/>
      <c r="GO54" s="873"/>
      <c r="GP54" s="873"/>
      <c r="GQ54" s="873"/>
      <c r="GR54" s="873"/>
      <c r="GS54" s="873"/>
      <c r="GT54" s="873"/>
      <c r="GU54" s="873"/>
      <c r="GV54" s="873"/>
      <c r="GW54" s="873"/>
      <c r="GX54" s="873"/>
      <c r="GY54" s="873"/>
      <c r="GZ54" s="873"/>
      <c r="HA54" s="873"/>
      <c r="HB54" s="873"/>
      <c r="HC54" s="873"/>
      <c r="HD54" s="873"/>
      <c r="HE54" s="873"/>
      <c r="HF54" s="873"/>
      <c r="HG54" s="873"/>
      <c r="HH54" s="873"/>
      <c r="HI54" s="873"/>
      <c r="HJ54" s="873"/>
      <c r="HK54" s="873"/>
      <c r="HL54" s="873"/>
      <c r="HM54" s="873"/>
      <c r="HN54" s="873"/>
      <c r="HO54" s="873"/>
      <c r="HP54" s="873"/>
      <c r="HQ54" s="873"/>
      <c r="HR54" s="873"/>
      <c r="HS54" s="873"/>
      <c r="HT54" s="873"/>
      <c r="HU54" s="873"/>
      <c r="HV54" s="873"/>
      <c r="HW54" s="873"/>
      <c r="HX54" s="873"/>
      <c r="HY54" s="873"/>
      <c r="HZ54" s="873"/>
      <c r="IA54" s="873"/>
      <c r="IB54" s="873"/>
      <c r="IC54" s="873"/>
      <c r="ID54" s="873"/>
      <c r="IE54" s="873"/>
      <c r="IF54" s="873"/>
      <c r="IG54" s="873"/>
      <c r="IH54" s="873"/>
      <c r="II54" s="873"/>
      <c r="IJ54" s="873"/>
      <c r="IK54" s="873"/>
      <c r="IL54" s="873"/>
      <c r="IM54" s="873"/>
      <c r="IN54" s="873"/>
      <c r="IO54" s="873"/>
      <c r="IP54" s="873"/>
      <c r="IQ54" s="873"/>
      <c r="IR54" s="873"/>
      <c r="IS54" s="873"/>
      <c r="IT54" s="873"/>
      <c r="IU54" s="873"/>
      <c r="IV54" s="873"/>
      <c r="IW54" s="873"/>
      <c r="IX54" s="873"/>
      <c r="IY54" s="873"/>
      <c r="IZ54" s="873"/>
      <c r="JA54" s="873"/>
      <c r="JB54" s="873"/>
      <c r="JC54" s="873"/>
      <c r="JD54" s="873"/>
      <c r="JE54" s="873"/>
      <c r="JF54" s="873"/>
      <c r="JG54" s="873"/>
      <c r="JH54" s="873"/>
      <c r="JI54" s="873"/>
      <c r="JJ54" s="873"/>
      <c r="JK54" s="873"/>
      <c r="JL54" s="873"/>
      <c r="JM54" s="873"/>
      <c r="JN54" s="873"/>
      <c r="JO54" s="873"/>
      <c r="JP54" s="873"/>
      <c r="JQ54" s="873"/>
      <c r="JR54" s="873"/>
      <c r="JS54" s="873"/>
      <c r="JT54" s="873"/>
      <c r="JU54" s="873"/>
      <c r="JV54" s="402"/>
    </row>
    <row r="55" spans="1:282">
      <c r="A55" s="672"/>
      <c r="B55" s="408"/>
      <c r="C55" s="873"/>
      <c r="D55" s="888"/>
      <c r="E55" s="671"/>
      <c r="F55" s="873"/>
      <c r="G55" s="873"/>
      <c r="H55" s="873"/>
      <c r="I55" s="873"/>
      <c r="J55" s="873"/>
      <c r="K55" s="873"/>
      <c r="L55" s="873"/>
      <c r="M55" s="873"/>
      <c r="N55" s="873"/>
      <c r="O55" s="873"/>
      <c r="P55" s="873"/>
      <c r="Q55" s="873"/>
      <c r="R55" s="873"/>
      <c r="S55" s="873"/>
      <c r="T55" s="873"/>
      <c r="U55" s="873"/>
      <c r="V55" s="873"/>
      <c r="W55" s="873"/>
      <c r="X55" s="873"/>
      <c r="Y55" s="873"/>
      <c r="Z55" s="873"/>
      <c r="AA55" s="394"/>
      <c r="AB55" s="873"/>
      <c r="AC55" s="394"/>
      <c r="AD55" s="873"/>
      <c r="AE55" s="873"/>
      <c r="AF55" s="873"/>
      <c r="AG55" s="873"/>
      <c r="AH55" s="873"/>
      <c r="AI55" s="873"/>
      <c r="AJ55" s="403"/>
      <c r="AK55" s="403"/>
      <c r="AL55" s="873"/>
      <c r="AM55" s="873"/>
      <c r="AN55" s="403"/>
      <c r="AO55" s="403"/>
      <c r="AP55" s="394"/>
      <c r="AQ55" s="394"/>
      <c r="AR55" s="394"/>
      <c r="AS55" s="394"/>
      <c r="AT55" s="394"/>
      <c r="AU55" s="873"/>
      <c r="AV55" s="873"/>
      <c r="AW55" s="873"/>
      <c r="AX55" s="873"/>
      <c r="AY55" s="873"/>
      <c r="AZ55" s="873"/>
      <c r="BA55" s="394"/>
      <c r="BB55" s="873"/>
      <c r="BC55" s="873"/>
      <c r="BD55" s="873"/>
      <c r="BE55" s="873"/>
      <c r="BF55" s="873"/>
      <c r="BG55" s="873"/>
      <c r="BH55" s="873"/>
      <c r="BI55" s="873"/>
      <c r="BJ55" s="873"/>
      <c r="BK55" s="873"/>
      <c r="BL55" s="873"/>
      <c r="BM55" s="873"/>
      <c r="BN55" s="873"/>
      <c r="BO55" s="873"/>
      <c r="BP55" s="873"/>
      <c r="BQ55" s="873"/>
      <c r="BR55" s="873"/>
      <c r="BS55" s="873"/>
      <c r="BT55" s="873"/>
      <c r="BU55" s="873"/>
      <c r="BV55" s="873"/>
      <c r="BW55" s="873"/>
      <c r="BX55" s="873"/>
      <c r="BY55" s="873"/>
      <c r="BZ55" s="873"/>
      <c r="CA55" s="873"/>
      <c r="CB55" s="873"/>
      <c r="CC55" s="873"/>
      <c r="CD55" s="873"/>
      <c r="CE55" s="873"/>
      <c r="CF55" s="873"/>
      <c r="CG55" s="873"/>
      <c r="CH55" s="873"/>
      <c r="CI55" s="873"/>
      <c r="CJ55" s="873"/>
      <c r="CK55" s="873"/>
      <c r="CL55" s="873"/>
      <c r="CM55" s="873"/>
      <c r="CN55" s="873"/>
      <c r="CO55" s="873"/>
      <c r="CP55" s="873"/>
      <c r="CQ55" s="873"/>
      <c r="CR55" s="873"/>
      <c r="CS55" s="873"/>
      <c r="CT55" s="873"/>
      <c r="CU55" s="873"/>
      <c r="CV55" s="873"/>
      <c r="CW55" s="873"/>
      <c r="CX55" s="873"/>
      <c r="CY55" s="873"/>
      <c r="CZ55" s="873"/>
      <c r="DA55" s="873"/>
      <c r="DB55" s="873"/>
      <c r="DC55" s="873"/>
      <c r="DD55" s="873"/>
      <c r="DE55" s="873"/>
      <c r="DF55" s="873"/>
      <c r="DG55" s="873"/>
      <c r="DH55" s="873"/>
      <c r="DI55" s="873"/>
      <c r="DJ55" s="873"/>
      <c r="DK55" s="873"/>
      <c r="DL55" s="873"/>
      <c r="DM55" s="873"/>
      <c r="DN55" s="873"/>
      <c r="DO55" s="873"/>
      <c r="DP55" s="873"/>
      <c r="DQ55" s="873"/>
      <c r="DR55" s="873"/>
      <c r="DS55" s="873"/>
      <c r="DT55" s="873"/>
      <c r="DU55" s="873"/>
      <c r="DV55" s="873"/>
      <c r="DW55" s="873"/>
      <c r="DX55" s="873"/>
      <c r="DY55" s="873"/>
      <c r="DZ55" s="873"/>
      <c r="EA55" s="873"/>
      <c r="EB55" s="873"/>
      <c r="EC55" s="873"/>
      <c r="ED55" s="873"/>
      <c r="EE55" s="873"/>
      <c r="EF55" s="873"/>
      <c r="EG55" s="873"/>
      <c r="EH55" s="873"/>
      <c r="EI55" s="873"/>
      <c r="EJ55" s="873"/>
      <c r="EK55" s="873"/>
      <c r="EL55" s="873"/>
      <c r="EM55" s="873"/>
      <c r="EN55" s="873"/>
      <c r="EO55" s="873"/>
      <c r="EP55" s="873"/>
      <c r="EQ55" s="873"/>
      <c r="ER55" s="873"/>
      <c r="ES55" s="873"/>
      <c r="ET55" s="873"/>
      <c r="EU55" s="873"/>
      <c r="EV55" s="873"/>
      <c r="EW55" s="873"/>
      <c r="EX55" s="873"/>
      <c r="EY55" s="873"/>
      <c r="EZ55" s="873"/>
      <c r="FA55" s="873"/>
      <c r="FB55" s="873"/>
      <c r="FC55" s="873"/>
      <c r="FD55" s="873"/>
      <c r="FE55" s="873"/>
      <c r="FF55" s="873"/>
      <c r="FG55" s="873"/>
      <c r="FH55" s="873"/>
      <c r="FI55" s="873"/>
      <c r="FJ55" s="873"/>
      <c r="FK55" s="873"/>
      <c r="FL55" s="873"/>
      <c r="FM55" s="873"/>
      <c r="FN55" s="873"/>
      <c r="FO55" s="873"/>
      <c r="FP55" s="873"/>
      <c r="FQ55" s="873"/>
      <c r="FR55" s="873"/>
      <c r="FS55" s="873"/>
      <c r="FT55" s="873"/>
      <c r="FU55" s="873"/>
      <c r="FV55" s="873"/>
      <c r="FW55" s="873"/>
      <c r="FX55" s="873"/>
      <c r="FY55" s="873"/>
      <c r="FZ55" s="873"/>
      <c r="GA55" s="873"/>
      <c r="GB55" s="873"/>
      <c r="GC55" s="873"/>
      <c r="GD55" s="873"/>
      <c r="GE55" s="873"/>
      <c r="GF55" s="873"/>
      <c r="GG55" s="873"/>
      <c r="GH55" s="873"/>
      <c r="GI55" s="873"/>
      <c r="GJ55" s="873"/>
      <c r="GK55" s="873"/>
      <c r="GL55" s="873"/>
      <c r="GM55" s="873"/>
      <c r="GN55" s="873"/>
      <c r="GO55" s="873"/>
      <c r="GP55" s="873"/>
      <c r="GQ55" s="873"/>
      <c r="GR55" s="873"/>
      <c r="GS55" s="873"/>
      <c r="GT55" s="873"/>
      <c r="GU55" s="873"/>
      <c r="GV55" s="873"/>
      <c r="GW55" s="873"/>
      <c r="GX55" s="873"/>
      <c r="GY55" s="873"/>
      <c r="GZ55" s="873"/>
      <c r="HA55" s="873"/>
      <c r="HB55" s="873"/>
      <c r="HC55" s="873"/>
      <c r="HD55" s="873"/>
      <c r="HE55" s="873"/>
      <c r="HF55" s="873"/>
      <c r="HG55" s="873"/>
      <c r="HH55" s="873"/>
      <c r="HI55" s="873"/>
      <c r="HJ55" s="873"/>
      <c r="HK55" s="873"/>
      <c r="HL55" s="873"/>
      <c r="HM55" s="873"/>
      <c r="HN55" s="873"/>
      <c r="HO55" s="873"/>
      <c r="HP55" s="873"/>
      <c r="HQ55" s="873"/>
      <c r="HR55" s="873"/>
      <c r="HS55" s="873"/>
      <c r="HT55" s="873"/>
      <c r="HU55" s="873"/>
      <c r="HV55" s="873"/>
      <c r="HW55" s="873"/>
      <c r="HX55" s="873"/>
      <c r="HY55" s="873"/>
      <c r="HZ55" s="873"/>
      <c r="IA55" s="873"/>
      <c r="IB55" s="873"/>
      <c r="IC55" s="873"/>
      <c r="ID55" s="873"/>
      <c r="IE55" s="873"/>
      <c r="IF55" s="873"/>
      <c r="IG55" s="873"/>
      <c r="IH55" s="873"/>
      <c r="II55" s="873"/>
      <c r="IJ55" s="873"/>
      <c r="IK55" s="873"/>
      <c r="IL55" s="873"/>
      <c r="IM55" s="873"/>
      <c r="IN55" s="873"/>
      <c r="IO55" s="873"/>
      <c r="IP55" s="873"/>
      <c r="IQ55" s="873"/>
      <c r="IR55" s="873"/>
      <c r="IS55" s="873"/>
      <c r="IT55" s="873"/>
      <c r="IU55" s="873"/>
      <c r="IV55" s="873"/>
      <c r="IW55" s="873"/>
      <c r="IX55" s="873"/>
      <c r="IY55" s="873"/>
      <c r="IZ55" s="873"/>
      <c r="JA55" s="873"/>
      <c r="JB55" s="873"/>
      <c r="JC55" s="873"/>
      <c r="JD55" s="873"/>
      <c r="JE55" s="873"/>
      <c r="JF55" s="873"/>
      <c r="JG55" s="873"/>
      <c r="JH55" s="873"/>
      <c r="JI55" s="873"/>
      <c r="JJ55" s="873"/>
      <c r="JK55" s="873"/>
      <c r="JL55" s="873"/>
      <c r="JM55" s="873"/>
      <c r="JN55" s="873"/>
      <c r="JO55" s="873"/>
      <c r="JP55" s="873"/>
      <c r="JQ55" s="873"/>
      <c r="JR55" s="873"/>
      <c r="JS55" s="873"/>
      <c r="JT55" s="873"/>
      <c r="JU55" s="873"/>
      <c r="JV55" s="402"/>
    </row>
    <row r="56" spans="1:282">
      <c r="A56" s="672"/>
      <c r="B56" s="408"/>
      <c r="C56" s="873"/>
      <c r="D56" s="888"/>
      <c r="E56" s="671"/>
      <c r="F56" s="873"/>
      <c r="G56" s="873"/>
      <c r="H56" s="873"/>
      <c r="I56" s="873"/>
      <c r="J56" s="873"/>
      <c r="K56" s="873"/>
      <c r="L56" s="873"/>
      <c r="M56" s="873"/>
      <c r="N56" s="873"/>
      <c r="O56" s="873"/>
      <c r="P56" s="873"/>
      <c r="Q56" s="873"/>
      <c r="R56" s="873"/>
      <c r="S56" s="873"/>
      <c r="T56" s="873"/>
      <c r="U56" s="873"/>
      <c r="V56" s="873"/>
      <c r="W56" s="873"/>
      <c r="X56" s="873"/>
      <c r="Y56" s="873"/>
      <c r="Z56" s="873"/>
      <c r="AA56" s="394"/>
      <c r="AB56" s="873"/>
      <c r="AC56" s="394"/>
      <c r="AD56" s="873"/>
      <c r="AE56" s="873"/>
      <c r="AF56" s="873"/>
      <c r="AG56" s="873"/>
      <c r="AH56" s="873"/>
      <c r="AI56" s="873"/>
      <c r="AJ56" s="403"/>
      <c r="AK56" s="403"/>
      <c r="AL56" s="873"/>
      <c r="AM56" s="873"/>
      <c r="AN56" s="403"/>
      <c r="AO56" s="403"/>
      <c r="AP56" s="394"/>
      <c r="AQ56" s="394"/>
      <c r="AR56" s="394"/>
      <c r="AS56" s="394"/>
      <c r="AT56" s="394"/>
      <c r="AU56" s="873"/>
      <c r="AV56" s="873"/>
      <c r="AW56" s="873"/>
      <c r="AX56" s="873"/>
      <c r="AY56" s="873"/>
      <c r="AZ56" s="873"/>
      <c r="BA56" s="394"/>
      <c r="BB56" s="873"/>
      <c r="BC56" s="873"/>
      <c r="BD56" s="873"/>
      <c r="BE56" s="873"/>
      <c r="BF56" s="873"/>
      <c r="BG56" s="873"/>
      <c r="BH56" s="873"/>
      <c r="BI56" s="873"/>
      <c r="BJ56" s="873"/>
      <c r="BK56" s="873"/>
      <c r="BL56" s="873"/>
      <c r="BM56" s="873"/>
      <c r="BN56" s="873"/>
      <c r="BO56" s="873"/>
      <c r="BP56" s="873"/>
      <c r="BQ56" s="873"/>
      <c r="BR56" s="873"/>
      <c r="BS56" s="873"/>
      <c r="BT56" s="873"/>
      <c r="BU56" s="873"/>
      <c r="BV56" s="873"/>
      <c r="BW56" s="873"/>
      <c r="BX56" s="873"/>
      <c r="BY56" s="873"/>
      <c r="BZ56" s="873"/>
      <c r="CA56" s="873"/>
      <c r="CB56" s="873"/>
      <c r="CC56" s="873"/>
      <c r="CD56" s="873"/>
      <c r="CE56" s="873"/>
      <c r="CF56" s="873"/>
      <c r="CG56" s="873"/>
      <c r="CH56" s="873"/>
      <c r="CI56" s="873"/>
      <c r="CJ56" s="873"/>
      <c r="CK56" s="873"/>
      <c r="CL56" s="873"/>
      <c r="CM56" s="873"/>
      <c r="CN56" s="873"/>
      <c r="CO56" s="873"/>
      <c r="CP56" s="873"/>
      <c r="CQ56" s="873"/>
      <c r="CR56" s="873"/>
      <c r="CS56" s="873"/>
      <c r="CT56" s="873"/>
      <c r="CU56" s="873"/>
      <c r="CV56" s="873"/>
      <c r="CW56" s="873"/>
      <c r="CX56" s="873"/>
      <c r="CY56" s="873"/>
      <c r="CZ56" s="873"/>
      <c r="DA56" s="873"/>
      <c r="DB56" s="873"/>
      <c r="DC56" s="873"/>
      <c r="DD56" s="873"/>
      <c r="DE56" s="873"/>
      <c r="DF56" s="873"/>
      <c r="DG56" s="873"/>
      <c r="DH56" s="873"/>
      <c r="DI56" s="873"/>
      <c r="DJ56" s="873"/>
      <c r="DK56" s="873"/>
      <c r="DL56" s="873"/>
      <c r="DM56" s="873"/>
      <c r="DN56" s="873"/>
      <c r="DO56" s="873"/>
      <c r="DP56" s="873"/>
      <c r="DQ56" s="873"/>
      <c r="DR56" s="873"/>
      <c r="DS56" s="873"/>
      <c r="DT56" s="873"/>
      <c r="DU56" s="873"/>
      <c r="DV56" s="873"/>
      <c r="DW56" s="873"/>
      <c r="DX56" s="873"/>
      <c r="DY56" s="873"/>
      <c r="DZ56" s="873"/>
      <c r="EA56" s="873"/>
      <c r="EB56" s="873"/>
      <c r="EC56" s="873"/>
      <c r="ED56" s="873"/>
      <c r="EE56" s="873"/>
      <c r="EF56" s="873"/>
      <c r="EG56" s="873"/>
      <c r="EH56" s="873"/>
      <c r="EI56" s="873"/>
      <c r="EJ56" s="873"/>
      <c r="EK56" s="873"/>
      <c r="EL56" s="873"/>
      <c r="EM56" s="873"/>
      <c r="EN56" s="873"/>
      <c r="EO56" s="873"/>
      <c r="EP56" s="873"/>
      <c r="EQ56" s="873"/>
      <c r="ER56" s="873"/>
      <c r="ES56" s="873"/>
      <c r="ET56" s="873"/>
      <c r="EU56" s="873"/>
      <c r="EV56" s="873"/>
      <c r="EW56" s="873"/>
      <c r="EX56" s="873"/>
      <c r="EY56" s="873"/>
      <c r="EZ56" s="873"/>
      <c r="FA56" s="873"/>
      <c r="FB56" s="873"/>
      <c r="FC56" s="873"/>
      <c r="FD56" s="873"/>
      <c r="FE56" s="873"/>
      <c r="FF56" s="873"/>
      <c r="FG56" s="873"/>
      <c r="FH56" s="873"/>
      <c r="FI56" s="873"/>
      <c r="FJ56" s="873"/>
      <c r="FK56" s="873"/>
      <c r="FL56" s="873"/>
      <c r="FM56" s="873"/>
      <c r="FN56" s="873"/>
      <c r="FO56" s="873"/>
      <c r="FP56" s="873"/>
      <c r="FQ56" s="873"/>
      <c r="FR56" s="873"/>
      <c r="FS56" s="873"/>
      <c r="FT56" s="873"/>
      <c r="FU56" s="873"/>
      <c r="FV56" s="873"/>
      <c r="FW56" s="873"/>
      <c r="FX56" s="873"/>
      <c r="FY56" s="873"/>
      <c r="FZ56" s="873"/>
      <c r="GA56" s="873"/>
      <c r="GB56" s="873"/>
      <c r="GC56" s="873"/>
      <c r="GD56" s="873"/>
      <c r="GE56" s="873"/>
      <c r="GF56" s="873"/>
      <c r="GG56" s="873"/>
      <c r="GH56" s="873"/>
      <c r="GI56" s="873"/>
      <c r="GJ56" s="873"/>
      <c r="GK56" s="873"/>
      <c r="GL56" s="873"/>
      <c r="GM56" s="873"/>
      <c r="GN56" s="873"/>
      <c r="GO56" s="873"/>
      <c r="GP56" s="873"/>
      <c r="GQ56" s="873"/>
      <c r="GR56" s="873"/>
      <c r="GS56" s="873"/>
      <c r="GT56" s="873"/>
      <c r="GU56" s="873"/>
      <c r="GV56" s="873"/>
      <c r="GW56" s="873"/>
      <c r="GX56" s="873"/>
      <c r="GY56" s="873"/>
      <c r="GZ56" s="873"/>
      <c r="HA56" s="873"/>
      <c r="HB56" s="873"/>
      <c r="HC56" s="873"/>
      <c r="HD56" s="873"/>
      <c r="HE56" s="873"/>
      <c r="HF56" s="873"/>
      <c r="HG56" s="873"/>
      <c r="HH56" s="873"/>
      <c r="HI56" s="873"/>
      <c r="HJ56" s="873"/>
      <c r="HK56" s="873"/>
      <c r="HL56" s="873"/>
      <c r="HM56" s="873"/>
      <c r="HN56" s="873"/>
      <c r="HO56" s="873"/>
      <c r="HP56" s="873"/>
      <c r="HQ56" s="873"/>
      <c r="HR56" s="873"/>
      <c r="HS56" s="873"/>
      <c r="HT56" s="873"/>
      <c r="HU56" s="873"/>
      <c r="HV56" s="873"/>
      <c r="HW56" s="873"/>
      <c r="HX56" s="873"/>
      <c r="HY56" s="873"/>
      <c r="HZ56" s="873"/>
      <c r="IA56" s="873"/>
      <c r="IB56" s="873"/>
      <c r="IC56" s="873"/>
      <c r="ID56" s="873"/>
      <c r="IE56" s="873"/>
      <c r="IF56" s="873"/>
      <c r="IG56" s="873"/>
      <c r="IH56" s="873"/>
      <c r="II56" s="873"/>
      <c r="IJ56" s="873"/>
      <c r="IK56" s="873"/>
      <c r="IL56" s="873"/>
      <c r="IM56" s="873"/>
      <c r="IN56" s="873"/>
      <c r="IO56" s="873"/>
      <c r="IP56" s="873"/>
      <c r="IQ56" s="873"/>
      <c r="IR56" s="873"/>
      <c r="IS56" s="873"/>
      <c r="IT56" s="873"/>
      <c r="IU56" s="873"/>
      <c r="IV56" s="873"/>
      <c r="IW56" s="873"/>
      <c r="IX56" s="873"/>
      <c r="IY56" s="873"/>
      <c r="IZ56" s="873"/>
      <c r="JA56" s="873"/>
      <c r="JB56" s="873"/>
      <c r="JC56" s="873"/>
      <c r="JD56" s="873"/>
      <c r="JE56" s="873"/>
      <c r="JF56" s="873"/>
      <c r="JG56" s="873"/>
      <c r="JH56" s="873"/>
      <c r="JI56" s="873"/>
      <c r="JJ56" s="873"/>
      <c r="JK56" s="873"/>
      <c r="JL56" s="873"/>
      <c r="JM56" s="873"/>
      <c r="JN56" s="873"/>
      <c r="JO56" s="873"/>
      <c r="JP56" s="873"/>
      <c r="JQ56" s="873"/>
      <c r="JR56" s="873"/>
      <c r="JS56" s="873"/>
      <c r="JT56" s="873"/>
      <c r="JU56" s="873"/>
      <c r="JV56" s="402"/>
    </row>
    <row r="57" spans="1:282">
      <c r="A57" s="672"/>
      <c r="B57" s="408"/>
      <c r="C57" s="873"/>
      <c r="D57" s="888"/>
      <c r="E57" s="671"/>
      <c r="F57" s="873"/>
      <c r="G57" s="873"/>
      <c r="H57" s="873"/>
      <c r="I57" s="873"/>
      <c r="J57" s="873"/>
      <c r="K57" s="873"/>
      <c r="L57" s="873"/>
      <c r="M57" s="873"/>
      <c r="N57" s="873"/>
      <c r="O57" s="873"/>
      <c r="P57" s="873"/>
      <c r="Q57" s="873"/>
      <c r="R57" s="873"/>
      <c r="S57" s="873"/>
      <c r="T57" s="873"/>
      <c r="U57" s="873"/>
      <c r="V57" s="873"/>
      <c r="W57" s="873"/>
      <c r="X57" s="873"/>
      <c r="Y57" s="873"/>
      <c r="Z57" s="873"/>
      <c r="AA57" s="394"/>
      <c r="AB57" s="873"/>
      <c r="AC57" s="394"/>
      <c r="AD57" s="873"/>
      <c r="AE57" s="873"/>
      <c r="AF57" s="873"/>
      <c r="AG57" s="873"/>
      <c r="AH57" s="873"/>
      <c r="AI57" s="873"/>
      <c r="AJ57" s="403"/>
      <c r="AK57" s="403"/>
      <c r="AL57" s="873"/>
      <c r="AM57" s="873"/>
      <c r="AN57" s="403"/>
      <c r="AO57" s="403"/>
      <c r="AP57" s="394"/>
      <c r="AQ57" s="394"/>
      <c r="AR57" s="394"/>
      <c r="AS57" s="394"/>
      <c r="AT57" s="394"/>
      <c r="AU57" s="873"/>
      <c r="AV57" s="873"/>
      <c r="AW57" s="873"/>
      <c r="AX57" s="873"/>
      <c r="AY57" s="873"/>
      <c r="AZ57" s="873"/>
      <c r="BA57" s="394"/>
      <c r="BB57" s="873"/>
      <c r="BC57" s="873"/>
      <c r="BD57" s="873"/>
      <c r="BE57" s="873"/>
      <c r="BF57" s="873"/>
      <c r="BG57" s="873"/>
      <c r="BH57" s="873"/>
      <c r="BI57" s="873"/>
      <c r="BJ57" s="873"/>
      <c r="BK57" s="873"/>
      <c r="BL57" s="873"/>
      <c r="BM57" s="873"/>
      <c r="BN57" s="873"/>
      <c r="BO57" s="873"/>
      <c r="BP57" s="873"/>
      <c r="BQ57" s="873"/>
      <c r="BR57" s="873"/>
      <c r="BS57" s="873"/>
      <c r="BT57" s="873"/>
      <c r="BU57" s="873"/>
      <c r="BV57" s="873"/>
      <c r="BW57" s="873"/>
      <c r="BX57" s="873"/>
      <c r="BY57" s="873"/>
      <c r="BZ57" s="873"/>
      <c r="CA57" s="873"/>
      <c r="CB57" s="873"/>
      <c r="CC57" s="873"/>
      <c r="CD57" s="873"/>
      <c r="CE57" s="873"/>
      <c r="CF57" s="873"/>
      <c r="CG57" s="873"/>
      <c r="CH57" s="873"/>
      <c r="CI57" s="873"/>
      <c r="CJ57" s="873"/>
      <c r="CK57" s="873"/>
      <c r="CL57" s="873"/>
      <c r="CM57" s="873"/>
      <c r="CN57" s="873"/>
      <c r="CO57" s="873"/>
      <c r="CP57" s="873"/>
      <c r="CQ57" s="873"/>
      <c r="CR57" s="873"/>
      <c r="CS57" s="873"/>
      <c r="CT57" s="873"/>
      <c r="CU57" s="873"/>
      <c r="CV57" s="873"/>
      <c r="CW57" s="873"/>
      <c r="CX57" s="873"/>
      <c r="CY57" s="873"/>
      <c r="CZ57" s="873"/>
      <c r="DA57" s="873"/>
      <c r="DB57" s="873"/>
      <c r="DC57" s="873"/>
      <c r="DD57" s="873"/>
      <c r="DE57" s="873"/>
      <c r="DF57" s="873"/>
      <c r="DG57" s="873"/>
      <c r="DH57" s="873"/>
      <c r="DI57" s="873"/>
      <c r="DJ57" s="873"/>
      <c r="DK57" s="873"/>
      <c r="DL57" s="873"/>
      <c r="DM57" s="873"/>
      <c r="DN57" s="873"/>
      <c r="DO57" s="873"/>
      <c r="DP57" s="873"/>
      <c r="DQ57" s="873"/>
      <c r="DR57" s="873"/>
      <c r="DS57" s="873"/>
      <c r="DT57" s="873"/>
      <c r="DU57" s="873"/>
      <c r="DV57" s="873"/>
      <c r="DW57" s="873"/>
      <c r="DX57" s="873"/>
      <c r="DY57" s="873"/>
      <c r="DZ57" s="873"/>
      <c r="EA57" s="873"/>
      <c r="EB57" s="873"/>
      <c r="EC57" s="873"/>
      <c r="ED57" s="873"/>
      <c r="EE57" s="873"/>
      <c r="EF57" s="873"/>
      <c r="EG57" s="873"/>
      <c r="EH57" s="873"/>
      <c r="EI57" s="873"/>
      <c r="EJ57" s="873"/>
      <c r="EK57" s="873"/>
      <c r="EL57" s="873"/>
      <c r="EM57" s="873"/>
      <c r="EN57" s="873"/>
      <c r="EO57" s="873"/>
      <c r="EP57" s="873"/>
      <c r="EQ57" s="873"/>
      <c r="ER57" s="873"/>
      <c r="ES57" s="873"/>
      <c r="ET57" s="873"/>
      <c r="EU57" s="873"/>
      <c r="EV57" s="873"/>
      <c r="EW57" s="873"/>
      <c r="EX57" s="873"/>
      <c r="EY57" s="873"/>
      <c r="EZ57" s="873"/>
      <c r="FA57" s="873"/>
      <c r="FB57" s="873"/>
      <c r="FC57" s="873"/>
      <c r="FD57" s="873"/>
      <c r="FE57" s="873"/>
      <c r="FF57" s="873"/>
      <c r="FG57" s="873"/>
      <c r="FH57" s="873"/>
      <c r="FI57" s="873"/>
      <c r="FJ57" s="873"/>
      <c r="FK57" s="873"/>
      <c r="FL57" s="873"/>
      <c r="FM57" s="873"/>
      <c r="FN57" s="873"/>
      <c r="FO57" s="873"/>
      <c r="FP57" s="873"/>
      <c r="FQ57" s="873"/>
      <c r="FR57" s="873"/>
      <c r="FS57" s="873"/>
      <c r="FT57" s="873"/>
      <c r="FU57" s="873"/>
      <c r="FV57" s="873"/>
      <c r="FW57" s="873"/>
      <c r="FX57" s="873"/>
      <c r="FY57" s="873"/>
      <c r="FZ57" s="873"/>
      <c r="GA57" s="873"/>
      <c r="GB57" s="873"/>
      <c r="GC57" s="873"/>
      <c r="GD57" s="873"/>
      <c r="GE57" s="873"/>
      <c r="GF57" s="873"/>
      <c r="GG57" s="873"/>
      <c r="GH57" s="873"/>
      <c r="GI57" s="873"/>
      <c r="GJ57" s="873"/>
      <c r="GK57" s="873"/>
      <c r="GL57" s="873"/>
      <c r="GM57" s="873"/>
      <c r="GN57" s="873"/>
      <c r="GO57" s="873"/>
      <c r="GP57" s="873"/>
      <c r="GQ57" s="873"/>
      <c r="GR57" s="873"/>
      <c r="GS57" s="873"/>
      <c r="GT57" s="873"/>
      <c r="GU57" s="873"/>
      <c r="GV57" s="873"/>
      <c r="GW57" s="873"/>
      <c r="GX57" s="873"/>
      <c r="GY57" s="873"/>
      <c r="GZ57" s="873"/>
      <c r="HA57" s="873"/>
      <c r="HB57" s="873"/>
      <c r="HC57" s="873"/>
      <c r="HD57" s="873"/>
      <c r="HE57" s="873"/>
      <c r="HF57" s="873"/>
      <c r="HG57" s="873"/>
      <c r="HH57" s="873"/>
      <c r="HI57" s="873"/>
      <c r="HJ57" s="873"/>
      <c r="HK57" s="873"/>
      <c r="HL57" s="873"/>
      <c r="HM57" s="873"/>
      <c r="HN57" s="873"/>
      <c r="HO57" s="873"/>
      <c r="HP57" s="873"/>
      <c r="HQ57" s="873"/>
      <c r="HR57" s="873"/>
      <c r="HS57" s="873"/>
      <c r="HT57" s="873"/>
      <c r="HU57" s="873"/>
      <c r="HV57" s="873"/>
      <c r="HW57" s="873"/>
      <c r="HX57" s="873"/>
      <c r="HY57" s="873"/>
      <c r="HZ57" s="873"/>
      <c r="IA57" s="873"/>
      <c r="IB57" s="873"/>
      <c r="IC57" s="873"/>
      <c r="ID57" s="873"/>
      <c r="IE57" s="873"/>
      <c r="IF57" s="873"/>
      <c r="IG57" s="873"/>
      <c r="IH57" s="873"/>
      <c r="II57" s="873"/>
      <c r="IJ57" s="873"/>
      <c r="IK57" s="873"/>
      <c r="IL57" s="873"/>
      <c r="IM57" s="873"/>
      <c r="IN57" s="873"/>
      <c r="IO57" s="873"/>
      <c r="IP57" s="873"/>
      <c r="IQ57" s="873"/>
      <c r="IR57" s="873"/>
      <c r="IS57" s="873"/>
      <c r="IT57" s="873"/>
      <c r="IU57" s="873"/>
      <c r="IV57" s="873"/>
      <c r="IW57" s="873"/>
      <c r="IX57" s="873"/>
      <c r="IY57" s="873"/>
      <c r="IZ57" s="873"/>
      <c r="JA57" s="873"/>
      <c r="JB57" s="873"/>
      <c r="JC57" s="873"/>
      <c r="JD57" s="873"/>
      <c r="JE57" s="873"/>
      <c r="JF57" s="873"/>
      <c r="JG57" s="873"/>
      <c r="JH57" s="873"/>
      <c r="JI57" s="873"/>
      <c r="JJ57" s="873"/>
      <c r="JK57" s="873"/>
      <c r="JL57" s="873"/>
      <c r="JM57" s="873"/>
      <c r="JN57" s="873"/>
      <c r="JO57" s="873"/>
      <c r="JP57" s="873"/>
      <c r="JQ57" s="873"/>
      <c r="JR57" s="873"/>
      <c r="JS57" s="873"/>
      <c r="JT57" s="873"/>
      <c r="JU57" s="873"/>
      <c r="JV57" s="402"/>
    </row>
    <row r="58" spans="1:282">
      <c r="A58" s="672"/>
      <c r="B58" s="408"/>
      <c r="C58" s="873"/>
      <c r="D58" s="888"/>
      <c r="E58" s="671"/>
      <c r="F58" s="873"/>
      <c r="G58" s="873"/>
      <c r="H58" s="873"/>
      <c r="I58" s="873"/>
      <c r="J58" s="873"/>
      <c r="K58" s="873"/>
      <c r="L58" s="873"/>
      <c r="M58" s="873"/>
      <c r="N58" s="873"/>
      <c r="O58" s="873"/>
      <c r="P58" s="873"/>
      <c r="Q58" s="873"/>
      <c r="R58" s="873"/>
      <c r="S58" s="873"/>
      <c r="T58" s="873"/>
      <c r="U58" s="873"/>
      <c r="V58" s="873"/>
      <c r="W58" s="873"/>
      <c r="X58" s="873"/>
      <c r="Y58" s="873"/>
      <c r="Z58" s="873"/>
      <c r="AA58" s="394"/>
      <c r="AB58" s="873"/>
      <c r="AC58" s="394"/>
      <c r="AD58" s="873"/>
      <c r="AE58" s="873"/>
      <c r="AF58" s="873"/>
      <c r="AG58" s="873"/>
      <c r="AH58" s="873"/>
      <c r="AI58" s="873"/>
      <c r="AJ58" s="403"/>
      <c r="AK58" s="403"/>
      <c r="AL58" s="873"/>
      <c r="AM58" s="873"/>
      <c r="AN58" s="403"/>
      <c r="AO58" s="403"/>
      <c r="AP58" s="394"/>
      <c r="AQ58" s="394"/>
      <c r="AR58" s="394"/>
      <c r="AS58" s="394"/>
      <c r="AT58" s="394"/>
      <c r="AU58" s="873"/>
      <c r="AV58" s="873"/>
      <c r="AW58" s="873"/>
      <c r="AX58" s="873"/>
      <c r="AY58" s="873"/>
      <c r="AZ58" s="873"/>
      <c r="BA58" s="394"/>
      <c r="BB58" s="873"/>
      <c r="BC58" s="873"/>
      <c r="BD58" s="873"/>
      <c r="BE58" s="873"/>
      <c r="BF58" s="873"/>
      <c r="BG58" s="873"/>
      <c r="BH58" s="873"/>
      <c r="BI58" s="873"/>
      <c r="BJ58" s="873"/>
      <c r="BK58" s="873"/>
      <c r="BL58" s="873"/>
      <c r="BM58" s="873"/>
      <c r="BN58" s="873"/>
      <c r="BO58" s="873"/>
      <c r="BP58" s="873"/>
      <c r="BQ58" s="873"/>
      <c r="BR58" s="873"/>
      <c r="BS58" s="873"/>
      <c r="BT58" s="873"/>
      <c r="BU58" s="873"/>
      <c r="BV58" s="873"/>
      <c r="BW58" s="873"/>
      <c r="BX58" s="873"/>
      <c r="BY58" s="873"/>
      <c r="BZ58" s="873"/>
      <c r="CA58" s="873"/>
      <c r="CB58" s="873"/>
      <c r="CC58" s="873"/>
      <c r="CD58" s="873"/>
      <c r="CE58" s="873"/>
      <c r="CF58" s="873"/>
      <c r="CG58" s="873"/>
      <c r="CH58" s="873"/>
      <c r="CI58" s="873"/>
      <c r="CJ58" s="873"/>
      <c r="CK58" s="873"/>
      <c r="CL58" s="873"/>
      <c r="CM58" s="873"/>
      <c r="CN58" s="873"/>
      <c r="CO58" s="873"/>
      <c r="CP58" s="873"/>
      <c r="CQ58" s="873"/>
      <c r="CR58" s="873"/>
      <c r="CS58" s="873"/>
      <c r="CT58" s="873"/>
      <c r="CU58" s="873"/>
      <c r="CV58" s="873"/>
      <c r="CW58" s="873"/>
      <c r="CX58" s="873"/>
      <c r="CY58" s="873"/>
      <c r="CZ58" s="873"/>
      <c r="DA58" s="873"/>
      <c r="DB58" s="873"/>
      <c r="DC58" s="873"/>
      <c r="DD58" s="873"/>
      <c r="DE58" s="873"/>
      <c r="DF58" s="873"/>
      <c r="DG58" s="873"/>
      <c r="DH58" s="873"/>
      <c r="DI58" s="873"/>
      <c r="DJ58" s="873"/>
      <c r="DK58" s="873"/>
      <c r="DL58" s="873"/>
      <c r="DM58" s="873"/>
      <c r="DN58" s="873"/>
      <c r="DO58" s="873"/>
      <c r="DP58" s="873"/>
      <c r="DQ58" s="873"/>
      <c r="DR58" s="873"/>
      <c r="DS58" s="873"/>
      <c r="DT58" s="873"/>
      <c r="DU58" s="873"/>
      <c r="DV58" s="873"/>
      <c r="DW58" s="873"/>
      <c r="DX58" s="873"/>
      <c r="DY58" s="873"/>
      <c r="DZ58" s="873"/>
      <c r="EA58" s="873"/>
      <c r="EB58" s="873"/>
      <c r="EC58" s="873"/>
      <c r="ED58" s="873"/>
      <c r="EE58" s="873"/>
      <c r="EF58" s="873"/>
      <c r="EG58" s="873"/>
      <c r="EH58" s="873"/>
      <c r="EI58" s="873"/>
      <c r="EJ58" s="873"/>
      <c r="EK58" s="873"/>
      <c r="EL58" s="873"/>
      <c r="EM58" s="873"/>
      <c r="EN58" s="873"/>
      <c r="EO58" s="873"/>
      <c r="EP58" s="873"/>
      <c r="EQ58" s="873"/>
      <c r="ER58" s="873"/>
      <c r="ES58" s="873"/>
      <c r="ET58" s="873"/>
      <c r="EU58" s="873"/>
      <c r="EV58" s="873"/>
      <c r="EW58" s="873"/>
      <c r="EX58" s="873"/>
      <c r="EY58" s="873"/>
      <c r="EZ58" s="873"/>
      <c r="FA58" s="873"/>
      <c r="FB58" s="873"/>
      <c r="FC58" s="873"/>
      <c r="FD58" s="873"/>
      <c r="FE58" s="873"/>
      <c r="FF58" s="873"/>
      <c r="FG58" s="873"/>
      <c r="FH58" s="873"/>
      <c r="FI58" s="873"/>
      <c r="FJ58" s="873"/>
      <c r="FK58" s="873"/>
      <c r="FL58" s="873"/>
      <c r="FM58" s="873"/>
      <c r="FN58" s="873"/>
      <c r="FO58" s="873"/>
      <c r="FP58" s="873"/>
      <c r="FQ58" s="873"/>
      <c r="FR58" s="873"/>
      <c r="FS58" s="873"/>
      <c r="FT58" s="873"/>
      <c r="FU58" s="873"/>
      <c r="FV58" s="873"/>
      <c r="FW58" s="873"/>
      <c r="FX58" s="873"/>
      <c r="FY58" s="873"/>
      <c r="FZ58" s="873"/>
      <c r="GA58" s="873"/>
      <c r="GB58" s="873"/>
      <c r="GC58" s="873"/>
      <c r="GD58" s="873"/>
      <c r="GE58" s="873"/>
      <c r="GF58" s="873"/>
      <c r="GG58" s="873"/>
      <c r="GH58" s="873"/>
      <c r="GI58" s="873"/>
      <c r="GJ58" s="873"/>
      <c r="GK58" s="873"/>
      <c r="GL58" s="873"/>
      <c r="GM58" s="873"/>
      <c r="GN58" s="873"/>
      <c r="GO58" s="873"/>
      <c r="GP58" s="873"/>
      <c r="GQ58" s="873"/>
      <c r="GR58" s="873"/>
      <c r="GS58" s="873"/>
      <c r="GT58" s="873"/>
      <c r="GU58" s="873"/>
      <c r="GV58" s="873"/>
      <c r="GW58" s="873"/>
      <c r="GX58" s="873"/>
      <c r="GY58" s="873"/>
      <c r="GZ58" s="873"/>
      <c r="HA58" s="873"/>
      <c r="HB58" s="873"/>
      <c r="HC58" s="873"/>
      <c r="HD58" s="873"/>
      <c r="HE58" s="873"/>
      <c r="HF58" s="873"/>
      <c r="HG58" s="873"/>
      <c r="HH58" s="873"/>
      <c r="HI58" s="873"/>
      <c r="HJ58" s="873"/>
      <c r="HK58" s="873"/>
      <c r="HL58" s="873"/>
      <c r="HM58" s="873"/>
      <c r="HN58" s="873"/>
      <c r="HO58" s="873"/>
      <c r="HP58" s="873"/>
      <c r="HQ58" s="873"/>
      <c r="HR58" s="873"/>
      <c r="HS58" s="873"/>
      <c r="HT58" s="873"/>
      <c r="HU58" s="873"/>
      <c r="HV58" s="873"/>
      <c r="HW58" s="873"/>
      <c r="HX58" s="873"/>
      <c r="HY58" s="873"/>
      <c r="HZ58" s="873"/>
      <c r="IA58" s="873"/>
      <c r="IB58" s="873"/>
      <c r="IC58" s="873"/>
      <c r="ID58" s="873"/>
      <c r="IE58" s="873"/>
      <c r="IF58" s="873"/>
      <c r="IG58" s="873"/>
      <c r="IH58" s="873"/>
      <c r="II58" s="873"/>
      <c r="IJ58" s="873"/>
      <c r="IK58" s="873"/>
      <c r="IL58" s="873"/>
      <c r="IM58" s="873"/>
      <c r="IN58" s="873"/>
      <c r="IO58" s="873"/>
      <c r="IP58" s="873"/>
      <c r="IQ58" s="873"/>
      <c r="IR58" s="873"/>
      <c r="IS58" s="873"/>
      <c r="IT58" s="873"/>
      <c r="IU58" s="873"/>
      <c r="IV58" s="873"/>
      <c r="IW58" s="873"/>
      <c r="IX58" s="873"/>
      <c r="IY58" s="873"/>
      <c r="IZ58" s="873"/>
      <c r="JA58" s="873"/>
      <c r="JB58" s="873"/>
      <c r="JC58" s="873"/>
      <c r="JD58" s="873"/>
      <c r="JE58" s="873"/>
      <c r="JF58" s="873"/>
      <c r="JG58" s="873"/>
      <c r="JH58" s="873"/>
      <c r="JI58" s="873"/>
      <c r="JJ58" s="873"/>
      <c r="JK58" s="873"/>
      <c r="JL58" s="873"/>
      <c r="JM58" s="873"/>
      <c r="JN58" s="873"/>
      <c r="JO58" s="873"/>
      <c r="JP58" s="873"/>
      <c r="JQ58" s="873"/>
      <c r="JR58" s="873"/>
      <c r="JS58" s="873"/>
      <c r="JT58" s="873"/>
      <c r="JU58" s="873"/>
      <c r="JV58" s="402"/>
    </row>
    <row r="59" spans="1:282">
      <c r="A59" s="672"/>
      <c r="B59" s="408"/>
      <c r="C59" s="873"/>
      <c r="D59" s="888"/>
      <c r="E59" s="671"/>
      <c r="F59" s="873"/>
      <c r="G59" s="873"/>
      <c r="H59" s="873"/>
      <c r="I59" s="873"/>
      <c r="J59" s="873"/>
      <c r="K59" s="873"/>
      <c r="L59" s="873"/>
      <c r="M59" s="873"/>
      <c r="N59" s="873"/>
      <c r="O59" s="873"/>
      <c r="P59" s="873"/>
      <c r="Q59" s="873"/>
      <c r="R59" s="873"/>
      <c r="S59" s="873"/>
      <c r="T59" s="873"/>
      <c r="U59" s="873"/>
      <c r="V59" s="873"/>
      <c r="W59" s="873"/>
      <c r="X59" s="873"/>
      <c r="Y59" s="873"/>
      <c r="Z59" s="873"/>
      <c r="AA59" s="394"/>
      <c r="AB59" s="873"/>
      <c r="AC59" s="394"/>
      <c r="AD59" s="873"/>
      <c r="AE59" s="873"/>
      <c r="AF59" s="873"/>
      <c r="AG59" s="873"/>
      <c r="AH59" s="873"/>
      <c r="AI59" s="873"/>
      <c r="AJ59" s="403"/>
      <c r="AK59" s="403"/>
      <c r="AL59" s="873"/>
      <c r="AM59" s="873"/>
      <c r="AN59" s="403"/>
      <c r="AO59" s="403"/>
      <c r="AP59" s="394"/>
      <c r="AQ59" s="394"/>
      <c r="AR59" s="394"/>
      <c r="AS59" s="394"/>
      <c r="AT59" s="394"/>
      <c r="AU59" s="873"/>
      <c r="AV59" s="873"/>
      <c r="AW59" s="873"/>
      <c r="AX59" s="873"/>
      <c r="AY59" s="873"/>
      <c r="AZ59" s="873"/>
      <c r="BA59" s="394"/>
      <c r="BB59" s="873"/>
      <c r="BC59" s="873"/>
      <c r="BD59" s="873"/>
      <c r="BE59" s="873"/>
      <c r="BF59" s="873"/>
      <c r="BG59" s="873"/>
      <c r="BH59" s="873"/>
      <c r="BI59" s="873"/>
      <c r="BJ59" s="873"/>
      <c r="BK59" s="873"/>
      <c r="BL59" s="873"/>
      <c r="BM59" s="873"/>
      <c r="BN59" s="873"/>
      <c r="BO59" s="873"/>
      <c r="BP59" s="873"/>
      <c r="BQ59" s="873"/>
      <c r="BR59" s="873"/>
      <c r="BS59" s="873"/>
      <c r="BT59" s="873"/>
      <c r="BU59" s="873"/>
      <c r="BV59" s="873"/>
      <c r="BW59" s="873"/>
      <c r="BX59" s="873"/>
      <c r="BY59" s="873"/>
      <c r="BZ59" s="873"/>
      <c r="CA59" s="873"/>
      <c r="CB59" s="873"/>
      <c r="CC59" s="873"/>
      <c r="CD59" s="873"/>
      <c r="CE59" s="873"/>
      <c r="CF59" s="873"/>
      <c r="CG59" s="873"/>
      <c r="CH59" s="873"/>
      <c r="CI59" s="873"/>
      <c r="CJ59" s="873"/>
      <c r="CK59" s="873"/>
      <c r="CL59" s="873"/>
      <c r="CM59" s="873"/>
      <c r="CN59" s="873"/>
      <c r="CO59" s="873"/>
      <c r="CP59" s="873"/>
      <c r="CQ59" s="873"/>
      <c r="CR59" s="873"/>
      <c r="CS59" s="873"/>
      <c r="CT59" s="873"/>
      <c r="CU59" s="873"/>
      <c r="CV59" s="873"/>
      <c r="CW59" s="873"/>
      <c r="CX59" s="873"/>
      <c r="CY59" s="873"/>
      <c r="CZ59" s="873"/>
      <c r="DA59" s="873"/>
      <c r="DB59" s="873"/>
      <c r="DC59" s="873"/>
      <c r="DD59" s="873"/>
      <c r="DE59" s="873"/>
      <c r="DF59" s="873"/>
      <c r="DG59" s="873"/>
      <c r="DH59" s="873"/>
      <c r="DI59" s="873"/>
      <c r="DJ59" s="873"/>
      <c r="DK59" s="873"/>
      <c r="DL59" s="873"/>
      <c r="DM59" s="873"/>
      <c r="DN59" s="873"/>
      <c r="DO59" s="873"/>
      <c r="DP59" s="873"/>
      <c r="DQ59" s="873"/>
      <c r="DR59" s="873"/>
      <c r="DS59" s="873"/>
      <c r="DT59" s="873"/>
      <c r="DU59" s="873"/>
      <c r="DV59" s="873"/>
      <c r="DW59" s="873"/>
      <c r="DX59" s="873"/>
      <c r="DY59" s="873"/>
      <c r="DZ59" s="873"/>
      <c r="EA59" s="873"/>
      <c r="EB59" s="873"/>
      <c r="EC59" s="873"/>
      <c r="ED59" s="873"/>
      <c r="EE59" s="873"/>
      <c r="EF59" s="873"/>
      <c r="EG59" s="873"/>
      <c r="EH59" s="873"/>
      <c r="EI59" s="873"/>
      <c r="EJ59" s="873"/>
      <c r="EK59" s="873"/>
      <c r="EL59" s="873"/>
      <c r="EM59" s="873"/>
      <c r="EN59" s="873"/>
      <c r="EO59" s="873"/>
      <c r="EP59" s="873"/>
      <c r="EQ59" s="873"/>
      <c r="ER59" s="873"/>
      <c r="ES59" s="873"/>
      <c r="ET59" s="873"/>
      <c r="EU59" s="873"/>
      <c r="EV59" s="873"/>
      <c r="EW59" s="873"/>
      <c r="EX59" s="873"/>
      <c r="EY59" s="873"/>
      <c r="EZ59" s="873"/>
      <c r="FA59" s="873"/>
      <c r="FB59" s="873"/>
      <c r="FC59" s="873"/>
      <c r="FD59" s="873"/>
      <c r="FE59" s="873"/>
      <c r="FF59" s="873"/>
      <c r="FG59" s="873"/>
      <c r="FH59" s="873"/>
      <c r="FI59" s="873"/>
      <c r="FJ59" s="873"/>
      <c r="FK59" s="873"/>
      <c r="FL59" s="873"/>
      <c r="FM59" s="873"/>
      <c r="FN59" s="873"/>
      <c r="FO59" s="873"/>
      <c r="FP59" s="873"/>
      <c r="FQ59" s="873"/>
      <c r="FR59" s="873"/>
      <c r="FS59" s="873"/>
      <c r="FT59" s="873"/>
      <c r="FU59" s="873"/>
      <c r="FV59" s="873"/>
      <c r="FW59" s="873"/>
      <c r="FX59" s="873"/>
      <c r="FY59" s="873"/>
      <c r="FZ59" s="873"/>
      <c r="GA59" s="873"/>
      <c r="GB59" s="873"/>
      <c r="GC59" s="873"/>
      <c r="GD59" s="873"/>
      <c r="GE59" s="873"/>
      <c r="GF59" s="873"/>
      <c r="GG59" s="873"/>
      <c r="GH59" s="873"/>
      <c r="GI59" s="873"/>
      <c r="GJ59" s="873"/>
      <c r="GK59" s="873"/>
      <c r="GL59" s="873"/>
      <c r="GM59" s="873"/>
      <c r="GN59" s="873"/>
      <c r="GO59" s="873"/>
      <c r="GP59" s="873"/>
      <c r="GQ59" s="873"/>
      <c r="GR59" s="873"/>
      <c r="GS59" s="873"/>
      <c r="GT59" s="873"/>
      <c r="GU59" s="873"/>
      <c r="GV59" s="873"/>
      <c r="GW59" s="873"/>
      <c r="GX59" s="873"/>
      <c r="GY59" s="873"/>
      <c r="GZ59" s="873"/>
      <c r="HA59" s="873"/>
      <c r="HB59" s="873"/>
      <c r="HC59" s="873"/>
      <c r="HD59" s="873"/>
      <c r="HE59" s="873"/>
      <c r="HF59" s="873"/>
      <c r="HG59" s="873"/>
      <c r="HH59" s="873"/>
      <c r="HI59" s="873"/>
      <c r="HJ59" s="873"/>
      <c r="HK59" s="873"/>
      <c r="HL59" s="873"/>
      <c r="HM59" s="873"/>
      <c r="HN59" s="873"/>
      <c r="HO59" s="873"/>
      <c r="HP59" s="873"/>
      <c r="HQ59" s="873"/>
      <c r="HR59" s="873"/>
      <c r="HS59" s="873"/>
      <c r="HT59" s="873"/>
      <c r="HU59" s="873"/>
      <c r="HV59" s="873"/>
      <c r="HW59" s="873"/>
      <c r="HX59" s="873"/>
      <c r="HY59" s="873"/>
      <c r="HZ59" s="873"/>
      <c r="IA59" s="873"/>
      <c r="IB59" s="873"/>
      <c r="IC59" s="873"/>
      <c r="ID59" s="873"/>
      <c r="IE59" s="873"/>
      <c r="IF59" s="873"/>
      <c r="IG59" s="873"/>
      <c r="IH59" s="873"/>
      <c r="II59" s="873"/>
      <c r="IJ59" s="873"/>
      <c r="IK59" s="873"/>
      <c r="IL59" s="873"/>
      <c r="IM59" s="873"/>
      <c r="IN59" s="873"/>
      <c r="IO59" s="873"/>
      <c r="IP59" s="873"/>
      <c r="IQ59" s="873"/>
      <c r="IR59" s="873"/>
      <c r="IS59" s="873"/>
      <c r="IT59" s="873"/>
      <c r="IU59" s="873"/>
      <c r="IV59" s="873"/>
      <c r="IW59" s="873"/>
      <c r="IX59" s="873"/>
      <c r="IY59" s="873"/>
      <c r="IZ59" s="873"/>
      <c r="JA59" s="873"/>
      <c r="JB59" s="873"/>
      <c r="JC59" s="873"/>
      <c r="JD59" s="873"/>
      <c r="JE59" s="873"/>
      <c r="JF59" s="873"/>
      <c r="JG59" s="873"/>
      <c r="JH59" s="873"/>
      <c r="JI59" s="873"/>
      <c r="JJ59" s="873"/>
      <c r="JK59" s="873"/>
      <c r="JL59" s="873"/>
      <c r="JM59" s="873"/>
      <c r="JN59" s="873"/>
      <c r="JO59" s="873"/>
      <c r="JP59" s="873"/>
      <c r="JQ59" s="873"/>
      <c r="JR59" s="873"/>
      <c r="JS59" s="873"/>
      <c r="JT59" s="873"/>
      <c r="JU59" s="873"/>
      <c r="JV59" s="402"/>
    </row>
    <row r="60" spans="1:282">
      <c r="A60" s="672"/>
      <c r="B60" s="408"/>
      <c r="C60" s="873"/>
      <c r="D60" s="888"/>
      <c r="E60" s="671"/>
      <c r="F60" s="873"/>
      <c r="G60" s="873"/>
      <c r="H60" s="873"/>
      <c r="I60" s="873"/>
      <c r="J60" s="873"/>
      <c r="K60" s="873"/>
      <c r="L60" s="873"/>
      <c r="M60" s="873"/>
      <c r="N60" s="873"/>
      <c r="O60" s="873"/>
      <c r="P60" s="873"/>
      <c r="Q60" s="873"/>
      <c r="R60" s="873"/>
      <c r="S60" s="873"/>
      <c r="T60" s="873"/>
      <c r="U60" s="873"/>
      <c r="V60" s="873"/>
      <c r="W60" s="873"/>
      <c r="X60" s="873"/>
      <c r="Y60" s="873"/>
      <c r="Z60" s="873"/>
      <c r="AA60" s="394"/>
      <c r="AB60" s="873"/>
      <c r="AC60" s="394"/>
      <c r="AD60" s="873"/>
      <c r="AE60" s="873"/>
      <c r="AF60" s="873"/>
      <c r="AG60" s="873"/>
      <c r="AH60" s="873"/>
      <c r="AI60" s="873"/>
      <c r="AJ60" s="403"/>
      <c r="AK60" s="403"/>
      <c r="AL60" s="873"/>
      <c r="AM60" s="873"/>
      <c r="AN60" s="403"/>
      <c r="AO60" s="403"/>
      <c r="AP60" s="394"/>
      <c r="AQ60" s="394"/>
      <c r="AR60" s="394"/>
      <c r="AS60" s="394"/>
      <c r="AT60" s="394"/>
      <c r="AU60" s="873"/>
      <c r="AV60" s="873"/>
      <c r="AW60" s="873"/>
      <c r="AX60" s="873"/>
      <c r="AY60" s="873"/>
      <c r="AZ60" s="873"/>
      <c r="BA60" s="394"/>
      <c r="BB60" s="873"/>
      <c r="BC60" s="873"/>
      <c r="BD60" s="873"/>
      <c r="BE60" s="873"/>
      <c r="BF60" s="873"/>
      <c r="BG60" s="873"/>
      <c r="BH60" s="873"/>
      <c r="BI60" s="873"/>
      <c r="BJ60" s="873"/>
      <c r="BK60" s="873"/>
      <c r="BL60" s="873"/>
      <c r="BM60" s="873"/>
      <c r="BN60" s="873"/>
      <c r="BO60" s="873"/>
      <c r="BP60" s="873"/>
      <c r="BQ60" s="873"/>
      <c r="BR60" s="873"/>
      <c r="BS60" s="873"/>
      <c r="BT60" s="873"/>
      <c r="BU60" s="873"/>
      <c r="BV60" s="873"/>
      <c r="BW60" s="873"/>
      <c r="BX60" s="873"/>
      <c r="BY60" s="873"/>
      <c r="BZ60" s="873"/>
      <c r="CA60" s="873"/>
      <c r="CB60" s="873"/>
      <c r="CC60" s="873"/>
      <c r="CD60" s="873"/>
      <c r="CE60" s="873"/>
      <c r="CF60" s="873"/>
      <c r="CG60" s="873"/>
      <c r="CH60" s="873"/>
      <c r="CI60" s="873"/>
      <c r="CJ60" s="873"/>
      <c r="CK60" s="873"/>
      <c r="CL60" s="873"/>
      <c r="CM60" s="873"/>
      <c r="CN60" s="873"/>
      <c r="CO60" s="873"/>
      <c r="CP60" s="873"/>
      <c r="CQ60" s="873"/>
      <c r="CR60" s="873"/>
      <c r="CS60" s="873"/>
      <c r="CT60" s="873"/>
      <c r="CU60" s="873"/>
      <c r="CV60" s="873"/>
      <c r="CW60" s="873"/>
      <c r="CX60" s="873"/>
      <c r="CY60" s="873"/>
      <c r="CZ60" s="873"/>
      <c r="DA60" s="873"/>
      <c r="DB60" s="873"/>
      <c r="DC60" s="873"/>
      <c r="DD60" s="873"/>
      <c r="DE60" s="873"/>
      <c r="DF60" s="873"/>
      <c r="DG60" s="873"/>
      <c r="DH60" s="873"/>
      <c r="DI60" s="873"/>
      <c r="DJ60" s="873"/>
      <c r="DK60" s="873"/>
      <c r="DL60" s="873"/>
      <c r="DM60" s="873"/>
      <c r="DN60" s="873"/>
      <c r="DO60" s="873"/>
      <c r="DP60" s="873"/>
      <c r="DQ60" s="873"/>
      <c r="DR60" s="873"/>
      <c r="DS60" s="873"/>
      <c r="DT60" s="873"/>
      <c r="DU60" s="873"/>
      <c r="DV60" s="873"/>
      <c r="DW60" s="873"/>
      <c r="DX60" s="873"/>
      <c r="DY60" s="873"/>
      <c r="DZ60" s="873"/>
      <c r="EA60" s="873"/>
      <c r="EB60" s="873"/>
      <c r="EC60" s="873"/>
      <c r="ED60" s="873"/>
      <c r="EE60" s="873"/>
      <c r="EF60" s="873"/>
      <c r="EG60" s="873"/>
      <c r="EH60" s="873"/>
      <c r="EI60" s="873"/>
      <c r="EJ60" s="873"/>
      <c r="EK60" s="873"/>
      <c r="EL60" s="873"/>
      <c r="EM60" s="873"/>
      <c r="EN60" s="873"/>
      <c r="EO60" s="873"/>
      <c r="EP60" s="873"/>
      <c r="EQ60" s="873"/>
      <c r="ER60" s="873"/>
      <c r="ES60" s="873"/>
      <c r="ET60" s="873"/>
      <c r="EU60" s="873"/>
      <c r="EV60" s="873"/>
      <c r="EW60" s="873"/>
      <c r="EX60" s="873"/>
      <c r="EY60" s="873"/>
      <c r="EZ60" s="873"/>
      <c r="FA60" s="873"/>
      <c r="FB60" s="873"/>
      <c r="FC60" s="873"/>
      <c r="FD60" s="873"/>
      <c r="FE60" s="873"/>
      <c r="FF60" s="873"/>
      <c r="FG60" s="873"/>
      <c r="FH60" s="873"/>
      <c r="FI60" s="873"/>
      <c r="FJ60" s="873"/>
      <c r="FK60" s="873"/>
      <c r="FL60" s="873"/>
      <c r="FM60" s="873"/>
      <c r="FN60" s="873"/>
      <c r="FO60" s="873"/>
      <c r="FP60" s="873"/>
      <c r="FQ60" s="873"/>
      <c r="FR60" s="873"/>
      <c r="FS60" s="873"/>
      <c r="FT60" s="873"/>
      <c r="FU60" s="873"/>
      <c r="FV60" s="873"/>
      <c r="FW60" s="873"/>
      <c r="FX60" s="873"/>
      <c r="FY60" s="873"/>
      <c r="FZ60" s="873"/>
      <c r="GA60" s="873"/>
      <c r="GB60" s="873"/>
      <c r="GC60" s="873"/>
      <c r="GD60" s="873"/>
      <c r="GE60" s="873"/>
      <c r="GF60" s="873"/>
      <c r="GG60" s="873"/>
      <c r="GH60" s="873"/>
      <c r="GI60" s="873"/>
      <c r="GJ60" s="873"/>
      <c r="GK60" s="873"/>
      <c r="GL60" s="873"/>
      <c r="GM60" s="873"/>
      <c r="GN60" s="873"/>
      <c r="GO60" s="873"/>
      <c r="GP60" s="873"/>
      <c r="GQ60" s="873"/>
      <c r="GR60" s="873"/>
      <c r="GS60" s="873"/>
      <c r="GT60" s="873"/>
      <c r="GU60" s="873"/>
      <c r="GV60" s="873"/>
      <c r="GW60" s="873"/>
      <c r="GX60" s="873"/>
      <c r="GY60" s="873"/>
      <c r="GZ60" s="873"/>
      <c r="HA60" s="873"/>
      <c r="HB60" s="873"/>
      <c r="HC60" s="873"/>
      <c r="HD60" s="873"/>
      <c r="HE60" s="873"/>
      <c r="HF60" s="873"/>
      <c r="HG60" s="873"/>
      <c r="HH60" s="873"/>
      <c r="HI60" s="873"/>
      <c r="HJ60" s="873"/>
      <c r="HK60" s="873"/>
      <c r="HL60" s="873"/>
      <c r="HM60" s="873"/>
      <c r="HN60" s="873"/>
      <c r="HO60" s="873"/>
      <c r="HP60" s="873"/>
      <c r="HQ60" s="873"/>
      <c r="HR60" s="873"/>
      <c r="HS60" s="873"/>
      <c r="HT60" s="873"/>
      <c r="HU60" s="873"/>
      <c r="HV60" s="873"/>
      <c r="HW60" s="873"/>
      <c r="HX60" s="873"/>
      <c r="HY60" s="873"/>
      <c r="HZ60" s="873"/>
      <c r="IA60" s="873"/>
      <c r="IB60" s="873"/>
      <c r="IC60" s="873"/>
      <c r="ID60" s="873"/>
      <c r="IE60" s="873"/>
      <c r="IF60" s="873"/>
      <c r="IG60" s="873"/>
      <c r="IH60" s="873"/>
      <c r="II60" s="873"/>
      <c r="IJ60" s="873"/>
      <c r="IK60" s="873"/>
      <c r="IL60" s="873"/>
      <c r="IM60" s="873"/>
      <c r="IN60" s="873"/>
      <c r="IO60" s="873"/>
      <c r="IP60" s="873"/>
      <c r="IQ60" s="873"/>
      <c r="IR60" s="873"/>
      <c r="IS60" s="873"/>
      <c r="IT60" s="873"/>
      <c r="IU60" s="873"/>
      <c r="IV60" s="873"/>
      <c r="IW60" s="873"/>
      <c r="IX60" s="873"/>
      <c r="IY60" s="873"/>
      <c r="IZ60" s="873"/>
      <c r="JA60" s="873"/>
      <c r="JB60" s="873"/>
      <c r="JC60" s="873"/>
      <c r="JD60" s="873"/>
      <c r="JE60" s="873"/>
      <c r="JF60" s="873"/>
      <c r="JG60" s="873"/>
      <c r="JH60" s="873"/>
      <c r="JI60" s="873"/>
      <c r="JJ60" s="873"/>
      <c r="JK60" s="873"/>
      <c r="JL60" s="873"/>
      <c r="JM60" s="873"/>
      <c r="JN60" s="873"/>
      <c r="JO60" s="873"/>
      <c r="JP60" s="873"/>
      <c r="JQ60" s="873"/>
      <c r="JR60" s="873"/>
      <c r="JS60" s="873"/>
      <c r="JT60" s="873"/>
      <c r="JU60" s="873"/>
      <c r="JV60" s="402"/>
    </row>
    <row r="61" spans="1:282">
      <c r="A61" s="672"/>
      <c r="B61" s="408"/>
      <c r="C61" s="873"/>
      <c r="D61" s="888"/>
      <c r="E61" s="671"/>
      <c r="F61" s="873"/>
      <c r="G61" s="873"/>
      <c r="H61" s="873"/>
      <c r="I61" s="873"/>
      <c r="J61" s="873"/>
      <c r="K61" s="873"/>
      <c r="L61" s="873"/>
      <c r="M61" s="873"/>
      <c r="N61" s="873"/>
      <c r="O61" s="873"/>
      <c r="P61" s="873"/>
      <c r="Q61" s="873"/>
      <c r="R61" s="873"/>
      <c r="S61" s="873"/>
      <c r="T61" s="873"/>
      <c r="U61" s="873"/>
      <c r="V61" s="873"/>
      <c r="W61" s="873"/>
      <c r="X61" s="873"/>
      <c r="Y61" s="873"/>
      <c r="Z61" s="873"/>
      <c r="AA61" s="394"/>
      <c r="AB61" s="873"/>
      <c r="AC61" s="394"/>
      <c r="AD61" s="873"/>
      <c r="AE61" s="873"/>
      <c r="AF61" s="873"/>
      <c r="AG61" s="873"/>
      <c r="AH61" s="873"/>
      <c r="AI61" s="873"/>
      <c r="AJ61" s="403"/>
      <c r="AK61" s="403"/>
      <c r="AL61" s="873"/>
      <c r="AM61" s="873"/>
      <c r="AN61" s="403"/>
      <c r="AO61" s="403"/>
      <c r="AP61" s="394"/>
      <c r="AQ61" s="394"/>
      <c r="AR61" s="394"/>
      <c r="AS61" s="394"/>
      <c r="AT61" s="394"/>
      <c r="AU61" s="873"/>
      <c r="AV61" s="873"/>
      <c r="AW61" s="873"/>
      <c r="AX61" s="873"/>
      <c r="AY61" s="873"/>
      <c r="AZ61" s="873"/>
      <c r="BA61" s="394"/>
      <c r="BB61" s="873"/>
      <c r="BC61" s="873"/>
      <c r="BD61" s="873"/>
      <c r="BE61" s="873"/>
      <c r="BF61" s="873"/>
      <c r="BG61" s="873"/>
      <c r="BH61" s="873"/>
      <c r="BI61" s="873"/>
      <c r="BJ61" s="873"/>
      <c r="BK61" s="873"/>
      <c r="BL61" s="873"/>
      <c r="BM61" s="873"/>
      <c r="BN61" s="873"/>
      <c r="BO61" s="873"/>
      <c r="BP61" s="873"/>
      <c r="BQ61" s="873"/>
      <c r="BR61" s="873"/>
      <c r="BS61" s="873"/>
      <c r="BT61" s="873"/>
      <c r="BU61" s="873"/>
      <c r="BV61" s="873"/>
      <c r="BW61" s="873"/>
      <c r="BX61" s="873"/>
      <c r="BY61" s="873"/>
      <c r="BZ61" s="873"/>
      <c r="CA61" s="873"/>
      <c r="CB61" s="873"/>
      <c r="CC61" s="873"/>
      <c r="CD61" s="873"/>
      <c r="CE61" s="873"/>
      <c r="CF61" s="873"/>
      <c r="CG61" s="873"/>
      <c r="CH61" s="873"/>
      <c r="CI61" s="873"/>
      <c r="CJ61" s="873"/>
      <c r="CK61" s="873"/>
      <c r="CL61" s="873"/>
      <c r="CM61" s="873"/>
      <c r="CN61" s="873"/>
      <c r="CO61" s="873"/>
      <c r="CP61" s="873"/>
      <c r="CQ61" s="873"/>
      <c r="CR61" s="873"/>
      <c r="CS61" s="873"/>
      <c r="CT61" s="873"/>
      <c r="CU61" s="873"/>
      <c r="CV61" s="873"/>
      <c r="CW61" s="873"/>
      <c r="CX61" s="873"/>
      <c r="CY61" s="873"/>
      <c r="CZ61" s="873"/>
      <c r="DA61" s="873"/>
      <c r="DB61" s="873"/>
      <c r="DC61" s="873"/>
      <c r="DD61" s="873"/>
      <c r="DE61" s="873"/>
      <c r="DF61" s="873"/>
      <c r="DG61" s="873"/>
      <c r="DH61" s="873"/>
      <c r="DI61" s="873"/>
      <c r="DJ61" s="873"/>
      <c r="DK61" s="873"/>
      <c r="DL61" s="873"/>
      <c r="DM61" s="873"/>
      <c r="DN61" s="873"/>
      <c r="DO61" s="873"/>
      <c r="DP61" s="873"/>
      <c r="DQ61" s="873"/>
      <c r="DR61" s="873"/>
      <c r="DS61" s="873"/>
      <c r="DT61" s="873"/>
      <c r="DU61" s="873"/>
      <c r="DV61" s="873"/>
      <c r="DW61" s="873"/>
      <c r="DX61" s="873"/>
      <c r="DY61" s="873"/>
      <c r="DZ61" s="873"/>
      <c r="EA61" s="873"/>
      <c r="EB61" s="873"/>
      <c r="EC61" s="873"/>
      <c r="ED61" s="873"/>
      <c r="EE61" s="873"/>
      <c r="EF61" s="873"/>
      <c r="EG61" s="873"/>
      <c r="EH61" s="873"/>
      <c r="EI61" s="873"/>
      <c r="EJ61" s="873"/>
      <c r="EK61" s="873"/>
      <c r="EL61" s="873"/>
      <c r="EM61" s="873"/>
      <c r="EN61" s="873"/>
      <c r="EO61" s="873"/>
      <c r="EP61" s="873"/>
      <c r="EQ61" s="873"/>
      <c r="ER61" s="873"/>
      <c r="ES61" s="873"/>
      <c r="ET61" s="873"/>
      <c r="EU61" s="873"/>
      <c r="EV61" s="873"/>
      <c r="EW61" s="873"/>
      <c r="EX61" s="873"/>
      <c r="EY61" s="873"/>
      <c r="EZ61" s="873"/>
      <c r="FA61" s="873"/>
      <c r="FB61" s="873"/>
      <c r="FC61" s="873"/>
      <c r="FD61" s="873"/>
      <c r="FE61" s="873"/>
      <c r="FF61" s="873"/>
      <c r="FG61" s="873"/>
      <c r="FH61" s="873"/>
      <c r="FI61" s="873"/>
      <c r="FJ61" s="873"/>
      <c r="FK61" s="873"/>
      <c r="FL61" s="873"/>
      <c r="FM61" s="873"/>
      <c r="FN61" s="873"/>
      <c r="FO61" s="873"/>
      <c r="FP61" s="873"/>
      <c r="FQ61" s="873"/>
      <c r="FR61" s="873"/>
      <c r="FS61" s="873"/>
      <c r="FT61" s="873"/>
      <c r="FU61" s="873"/>
      <c r="FV61" s="873"/>
      <c r="FW61" s="873"/>
      <c r="FX61" s="873"/>
      <c r="FY61" s="873"/>
      <c r="FZ61" s="873"/>
      <c r="GA61" s="873"/>
      <c r="GB61" s="873"/>
      <c r="GC61" s="873"/>
      <c r="GD61" s="873"/>
      <c r="GE61" s="873"/>
      <c r="GF61" s="873"/>
      <c r="GG61" s="873"/>
      <c r="GH61" s="873"/>
      <c r="GI61" s="873"/>
      <c r="GJ61" s="873"/>
      <c r="GK61" s="873"/>
      <c r="GL61" s="873"/>
      <c r="GM61" s="873"/>
      <c r="GN61" s="873"/>
      <c r="GO61" s="873"/>
      <c r="GP61" s="873"/>
      <c r="GQ61" s="873"/>
      <c r="GR61" s="873"/>
      <c r="GS61" s="873"/>
      <c r="GT61" s="873"/>
      <c r="GU61" s="873"/>
      <c r="GV61" s="873"/>
      <c r="GW61" s="873"/>
      <c r="GX61" s="873"/>
      <c r="GY61" s="873"/>
      <c r="GZ61" s="873"/>
      <c r="HA61" s="873"/>
      <c r="HB61" s="873"/>
      <c r="HC61" s="873"/>
      <c r="HD61" s="873"/>
      <c r="HE61" s="873"/>
      <c r="HF61" s="873"/>
      <c r="HG61" s="873"/>
      <c r="HH61" s="873"/>
      <c r="HI61" s="873"/>
      <c r="HJ61" s="873"/>
      <c r="HK61" s="873"/>
      <c r="HL61" s="873"/>
      <c r="HM61" s="873"/>
      <c r="HN61" s="873"/>
      <c r="HO61" s="873"/>
      <c r="HP61" s="873"/>
      <c r="HQ61" s="873"/>
      <c r="HR61" s="873"/>
      <c r="HS61" s="873"/>
      <c r="HT61" s="873"/>
      <c r="HU61" s="873"/>
      <c r="HV61" s="873"/>
      <c r="HW61" s="873"/>
      <c r="HX61" s="873"/>
      <c r="HY61" s="873"/>
      <c r="HZ61" s="873"/>
      <c r="IA61" s="873"/>
      <c r="IB61" s="873"/>
      <c r="IC61" s="873"/>
      <c r="ID61" s="873"/>
      <c r="IE61" s="873"/>
      <c r="IF61" s="873"/>
      <c r="IG61" s="873"/>
      <c r="IH61" s="873"/>
      <c r="II61" s="873"/>
      <c r="IJ61" s="873"/>
      <c r="IK61" s="873"/>
      <c r="IL61" s="873"/>
      <c r="IM61" s="873"/>
      <c r="IN61" s="873"/>
      <c r="IO61" s="873"/>
      <c r="IP61" s="873"/>
      <c r="IQ61" s="873"/>
      <c r="IR61" s="873"/>
      <c r="IS61" s="873"/>
      <c r="IT61" s="873"/>
      <c r="IU61" s="873"/>
      <c r="IV61" s="873"/>
      <c r="IW61" s="873"/>
      <c r="IX61" s="873"/>
      <c r="IY61" s="873"/>
      <c r="IZ61" s="873"/>
      <c r="JA61" s="873"/>
      <c r="JB61" s="873"/>
      <c r="JC61" s="873"/>
      <c r="JD61" s="873"/>
      <c r="JE61" s="873"/>
      <c r="JF61" s="873"/>
      <c r="JG61" s="873"/>
      <c r="JH61" s="873"/>
      <c r="JI61" s="873"/>
      <c r="JJ61" s="873"/>
      <c r="JK61" s="873"/>
      <c r="JL61" s="873"/>
      <c r="JM61" s="873"/>
      <c r="JN61" s="873"/>
      <c r="JO61" s="873"/>
      <c r="JP61" s="873"/>
      <c r="JQ61" s="873"/>
      <c r="JR61" s="873"/>
      <c r="JS61" s="873"/>
      <c r="JT61" s="873"/>
      <c r="JU61" s="873"/>
      <c r="JV61" s="402"/>
    </row>
    <row r="62" spans="1:282">
      <c r="A62" s="672"/>
      <c r="B62" s="408"/>
      <c r="C62" s="873"/>
      <c r="D62" s="888"/>
      <c r="E62" s="671"/>
      <c r="F62" s="873"/>
      <c r="G62" s="873"/>
      <c r="H62" s="873"/>
      <c r="I62" s="873"/>
      <c r="J62" s="873"/>
      <c r="K62" s="873"/>
      <c r="L62" s="873"/>
      <c r="M62" s="873"/>
      <c r="N62" s="873"/>
      <c r="O62" s="873"/>
      <c r="P62" s="873"/>
      <c r="Q62" s="873"/>
      <c r="R62" s="873"/>
      <c r="S62" s="873"/>
      <c r="T62" s="873"/>
      <c r="U62" s="873"/>
      <c r="V62" s="873"/>
      <c r="W62" s="873"/>
      <c r="X62" s="873"/>
      <c r="Y62" s="873"/>
      <c r="Z62" s="873"/>
      <c r="AA62" s="394"/>
      <c r="AB62" s="873"/>
      <c r="AC62" s="394"/>
      <c r="AD62" s="873"/>
      <c r="AE62" s="873"/>
      <c r="AF62" s="873"/>
      <c r="AG62" s="873"/>
      <c r="AH62" s="873"/>
      <c r="AI62" s="873"/>
      <c r="AJ62" s="403"/>
      <c r="AK62" s="403"/>
      <c r="AL62" s="873"/>
      <c r="AM62" s="873"/>
      <c r="AN62" s="403"/>
      <c r="AO62" s="403"/>
      <c r="AP62" s="394"/>
      <c r="AQ62" s="394"/>
      <c r="AR62" s="394"/>
      <c r="AS62" s="394"/>
      <c r="AT62" s="394"/>
      <c r="AU62" s="873"/>
      <c r="AV62" s="873"/>
      <c r="AW62" s="873"/>
      <c r="AX62" s="873"/>
      <c r="AY62" s="873"/>
      <c r="AZ62" s="873"/>
      <c r="BA62" s="394"/>
      <c r="BB62" s="873"/>
      <c r="BC62" s="873"/>
      <c r="BD62" s="873"/>
      <c r="BE62" s="873"/>
      <c r="BF62" s="873"/>
      <c r="BG62" s="873"/>
      <c r="BH62" s="873"/>
      <c r="BI62" s="873"/>
      <c r="BJ62" s="873"/>
      <c r="BK62" s="873"/>
      <c r="BL62" s="873"/>
      <c r="BM62" s="873"/>
      <c r="BN62" s="873"/>
      <c r="BO62" s="873"/>
      <c r="BP62" s="873"/>
      <c r="BQ62" s="873"/>
      <c r="BR62" s="873"/>
      <c r="BS62" s="873"/>
      <c r="BT62" s="873"/>
      <c r="BU62" s="873"/>
      <c r="BV62" s="873"/>
      <c r="BW62" s="873"/>
      <c r="BX62" s="873"/>
      <c r="BY62" s="873"/>
      <c r="BZ62" s="873"/>
      <c r="CA62" s="873"/>
      <c r="CB62" s="873"/>
      <c r="CC62" s="873"/>
      <c r="CD62" s="873"/>
      <c r="CE62" s="873"/>
      <c r="CF62" s="873"/>
      <c r="CG62" s="873"/>
      <c r="CH62" s="873"/>
      <c r="CI62" s="873"/>
      <c r="CJ62" s="873"/>
      <c r="CK62" s="873"/>
      <c r="CL62" s="873"/>
      <c r="CM62" s="873"/>
      <c r="CN62" s="873"/>
      <c r="CO62" s="873"/>
      <c r="CP62" s="873"/>
      <c r="CQ62" s="873"/>
      <c r="CR62" s="873"/>
      <c r="CS62" s="873"/>
      <c r="CT62" s="873"/>
      <c r="CU62" s="873"/>
      <c r="CV62" s="873"/>
      <c r="CW62" s="873"/>
      <c r="CX62" s="873"/>
      <c r="CY62" s="873"/>
      <c r="CZ62" s="873"/>
      <c r="DA62" s="873"/>
      <c r="DB62" s="873"/>
      <c r="DC62" s="873"/>
      <c r="DD62" s="873"/>
      <c r="DE62" s="873"/>
      <c r="DF62" s="873"/>
      <c r="DG62" s="873"/>
      <c r="DH62" s="873"/>
      <c r="DI62" s="873"/>
      <c r="DJ62" s="873"/>
      <c r="DK62" s="873"/>
      <c r="DL62" s="873"/>
      <c r="DM62" s="873"/>
      <c r="DN62" s="873"/>
      <c r="DO62" s="873"/>
      <c r="DP62" s="873"/>
      <c r="DQ62" s="873"/>
      <c r="DR62" s="873"/>
      <c r="DS62" s="873"/>
      <c r="DT62" s="873"/>
      <c r="DU62" s="873"/>
      <c r="DV62" s="873"/>
      <c r="DW62" s="873"/>
      <c r="DX62" s="873"/>
      <c r="DY62" s="873"/>
      <c r="DZ62" s="873"/>
      <c r="EA62" s="873"/>
      <c r="EB62" s="873"/>
      <c r="EC62" s="873"/>
      <c r="ED62" s="873"/>
      <c r="EE62" s="873"/>
      <c r="EF62" s="873"/>
      <c r="EG62" s="873"/>
      <c r="EH62" s="873"/>
      <c r="EI62" s="873"/>
      <c r="EJ62" s="873"/>
      <c r="EK62" s="873"/>
      <c r="EL62" s="873"/>
      <c r="EM62" s="873"/>
      <c r="EN62" s="873"/>
      <c r="EO62" s="873"/>
      <c r="EP62" s="873"/>
      <c r="EQ62" s="873"/>
      <c r="ER62" s="873"/>
      <c r="ES62" s="873"/>
      <c r="ET62" s="873"/>
      <c r="EU62" s="873"/>
      <c r="EV62" s="873"/>
      <c r="EW62" s="873"/>
      <c r="EX62" s="873"/>
      <c r="EY62" s="873"/>
      <c r="EZ62" s="873"/>
      <c r="FA62" s="873"/>
      <c r="FB62" s="873"/>
      <c r="FC62" s="873"/>
      <c r="FD62" s="873"/>
      <c r="FE62" s="873"/>
      <c r="FF62" s="873"/>
      <c r="FG62" s="873"/>
      <c r="FH62" s="873"/>
      <c r="FI62" s="873"/>
      <c r="FJ62" s="873"/>
      <c r="FK62" s="873"/>
      <c r="FL62" s="873"/>
      <c r="FM62" s="873"/>
      <c r="FN62" s="873"/>
      <c r="FO62" s="873"/>
      <c r="FP62" s="873"/>
      <c r="FQ62" s="873"/>
      <c r="FR62" s="873"/>
      <c r="FS62" s="873"/>
      <c r="FT62" s="873"/>
      <c r="FU62" s="873"/>
      <c r="FV62" s="873"/>
      <c r="FW62" s="873"/>
      <c r="FX62" s="873"/>
      <c r="FY62" s="873"/>
      <c r="FZ62" s="873"/>
      <c r="GA62" s="873"/>
      <c r="GB62" s="873"/>
      <c r="GC62" s="873"/>
      <c r="GD62" s="873"/>
      <c r="GE62" s="873"/>
      <c r="GF62" s="873"/>
      <c r="GG62" s="873"/>
      <c r="GH62" s="873"/>
      <c r="GI62" s="873"/>
      <c r="GJ62" s="873"/>
      <c r="GK62" s="873"/>
      <c r="GL62" s="873"/>
      <c r="GM62" s="873"/>
      <c r="GN62" s="873"/>
      <c r="GO62" s="873"/>
      <c r="GP62" s="873"/>
      <c r="GQ62" s="873"/>
      <c r="GR62" s="873"/>
      <c r="GS62" s="873"/>
      <c r="GT62" s="873"/>
      <c r="GU62" s="873"/>
      <c r="GV62" s="873"/>
      <c r="GW62" s="873"/>
      <c r="GX62" s="873"/>
      <c r="GY62" s="873"/>
      <c r="GZ62" s="873"/>
      <c r="HA62" s="873"/>
      <c r="HB62" s="873"/>
      <c r="HC62" s="873"/>
      <c r="HD62" s="873"/>
      <c r="HE62" s="873"/>
      <c r="HF62" s="873"/>
      <c r="HG62" s="873"/>
      <c r="HH62" s="873"/>
      <c r="HI62" s="873"/>
      <c r="HJ62" s="873"/>
      <c r="HK62" s="873"/>
      <c r="HL62" s="873"/>
      <c r="HM62" s="873"/>
      <c r="HN62" s="873"/>
      <c r="HO62" s="873"/>
      <c r="HP62" s="873"/>
      <c r="HQ62" s="873"/>
      <c r="HR62" s="873"/>
      <c r="HS62" s="873"/>
      <c r="HT62" s="873"/>
      <c r="HU62" s="873"/>
      <c r="HV62" s="873"/>
      <c r="HW62" s="873"/>
      <c r="HX62" s="873"/>
      <c r="HY62" s="873"/>
      <c r="HZ62" s="873"/>
      <c r="IA62" s="873"/>
      <c r="IB62" s="873"/>
      <c r="IC62" s="873"/>
      <c r="ID62" s="873"/>
      <c r="IE62" s="873"/>
      <c r="IF62" s="873"/>
      <c r="IG62" s="873"/>
      <c r="IH62" s="873"/>
      <c r="II62" s="873"/>
      <c r="IJ62" s="873"/>
      <c r="IK62" s="873"/>
      <c r="IL62" s="873"/>
      <c r="IM62" s="873"/>
      <c r="IN62" s="873"/>
      <c r="IO62" s="873"/>
      <c r="IP62" s="873"/>
      <c r="IQ62" s="873"/>
      <c r="IR62" s="873"/>
      <c r="IS62" s="873"/>
      <c r="IT62" s="873"/>
      <c r="IU62" s="873"/>
      <c r="IV62" s="873"/>
      <c r="IW62" s="873"/>
      <c r="IX62" s="873"/>
      <c r="IY62" s="873"/>
      <c r="IZ62" s="873"/>
      <c r="JA62" s="873"/>
      <c r="JB62" s="873"/>
      <c r="JC62" s="873"/>
      <c r="JD62" s="873"/>
      <c r="JE62" s="873"/>
      <c r="JF62" s="873"/>
      <c r="JG62" s="873"/>
      <c r="JH62" s="873"/>
      <c r="JI62" s="873"/>
      <c r="JJ62" s="873"/>
      <c r="JK62" s="873"/>
      <c r="JL62" s="873"/>
      <c r="JM62" s="873"/>
      <c r="JN62" s="873"/>
      <c r="JO62" s="873"/>
      <c r="JP62" s="873"/>
      <c r="JQ62" s="873"/>
      <c r="JR62" s="873"/>
      <c r="JS62" s="873"/>
      <c r="JT62" s="873"/>
      <c r="JU62" s="873"/>
      <c r="JV62" s="402"/>
    </row>
    <row r="63" spans="1:282">
      <c r="A63" s="672"/>
      <c r="B63" s="408"/>
      <c r="C63" s="873"/>
      <c r="D63" s="888"/>
      <c r="E63" s="671"/>
      <c r="F63" s="873"/>
      <c r="G63" s="873"/>
      <c r="H63" s="873"/>
      <c r="I63" s="873"/>
      <c r="J63" s="873"/>
      <c r="K63" s="873"/>
      <c r="L63" s="873"/>
      <c r="M63" s="873"/>
      <c r="N63" s="873"/>
      <c r="O63" s="873"/>
      <c r="P63" s="873"/>
      <c r="Q63" s="873"/>
      <c r="R63" s="873"/>
      <c r="S63" s="873"/>
      <c r="T63" s="873"/>
      <c r="U63" s="873"/>
      <c r="V63" s="873"/>
      <c r="W63" s="873"/>
      <c r="X63" s="873"/>
      <c r="Y63" s="873"/>
      <c r="Z63" s="873"/>
      <c r="AA63" s="394"/>
      <c r="AB63" s="873"/>
      <c r="AC63" s="394"/>
      <c r="AD63" s="873"/>
      <c r="AE63" s="873"/>
      <c r="AF63" s="873"/>
      <c r="AG63" s="873"/>
      <c r="AH63" s="873"/>
      <c r="AI63" s="873"/>
      <c r="AJ63" s="403"/>
      <c r="AK63" s="403"/>
      <c r="AL63" s="873"/>
      <c r="AM63" s="873"/>
      <c r="AN63" s="403"/>
      <c r="AO63" s="403"/>
      <c r="AP63" s="394"/>
      <c r="AQ63" s="394"/>
      <c r="AR63" s="394"/>
      <c r="AS63" s="394"/>
      <c r="AT63" s="394"/>
      <c r="AU63" s="873"/>
      <c r="AV63" s="873"/>
      <c r="AW63" s="873"/>
      <c r="AX63" s="873"/>
      <c r="AY63" s="873"/>
      <c r="AZ63" s="873"/>
      <c r="BA63" s="394"/>
      <c r="BB63" s="873"/>
      <c r="BC63" s="873"/>
      <c r="BD63" s="873"/>
      <c r="BE63" s="873"/>
      <c r="BF63" s="873"/>
      <c r="BG63" s="873"/>
      <c r="BH63" s="873"/>
      <c r="BI63" s="873"/>
      <c r="BJ63" s="873"/>
      <c r="BK63" s="873"/>
      <c r="BL63" s="873"/>
      <c r="BM63" s="873"/>
      <c r="BN63" s="873"/>
      <c r="BO63" s="873"/>
      <c r="BP63" s="873"/>
      <c r="BQ63" s="873"/>
      <c r="BR63" s="873"/>
      <c r="BS63" s="873"/>
      <c r="BT63" s="873"/>
      <c r="BU63" s="873"/>
      <c r="BV63" s="873"/>
      <c r="BW63" s="873"/>
      <c r="BX63" s="873"/>
      <c r="BY63" s="873"/>
      <c r="BZ63" s="873"/>
      <c r="CA63" s="873"/>
      <c r="CB63" s="873"/>
      <c r="CC63" s="873"/>
      <c r="CD63" s="873"/>
      <c r="CE63" s="873"/>
      <c r="CF63" s="873"/>
      <c r="CG63" s="873"/>
      <c r="CH63" s="873"/>
      <c r="CI63" s="873"/>
      <c r="CJ63" s="873"/>
      <c r="CK63" s="873"/>
      <c r="CL63" s="873"/>
      <c r="CM63" s="873"/>
      <c r="CN63" s="873"/>
      <c r="CO63" s="873"/>
      <c r="CP63" s="873"/>
      <c r="CQ63" s="873"/>
      <c r="CR63" s="873"/>
      <c r="CS63" s="873"/>
      <c r="CT63" s="873"/>
      <c r="CU63" s="873"/>
      <c r="CV63" s="873"/>
      <c r="CW63" s="873"/>
      <c r="CX63" s="873"/>
      <c r="CY63" s="873"/>
      <c r="CZ63" s="873"/>
      <c r="DA63" s="873"/>
      <c r="DB63" s="873"/>
      <c r="DC63" s="873"/>
      <c r="DD63" s="873"/>
      <c r="DE63" s="873"/>
      <c r="DF63" s="873"/>
      <c r="DG63" s="873"/>
      <c r="DH63" s="873"/>
      <c r="DI63" s="873"/>
      <c r="DJ63" s="873"/>
      <c r="DK63" s="873"/>
      <c r="DL63" s="873"/>
      <c r="DM63" s="873"/>
      <c r="DN63" s="873"/>
      <c r="DO63" s="873"/>
      <c r="DP63" s="873"/>
      <c r="DQ63" s="873"/>
      <c r="DR63" s="873"/>
      <c r="DS63" s="873"/>
      <c r="DT63" s="873"/>
      <c r="DU63" s="873"/>
      <c r="DV63" s="873"/>
      <c r="DW63" s="873"/>
      <c r="DX63" s="873"/>
      <c r="DY63" s="873"/>
      <c r="DZ63" s="873"/>
      <c r="EA63" s="873"/>
      <c r="EB63" s="873"/>
      <c r="EC63" s="873"/>
      <c r="ED63" s="873"/>
      <c r="EE63" s="873"/>
      <c r="EF63" s="873"/>
      <c r="EG63" s="873"/>
      <c r="EH63" s="873"/>
      <c r="EI63" s="873"/>
      <c r="EJ63" s="873"/>
      <c r="EK63" s="873"/>
      <c r="EL63" s="873"/>
      <c r="EM63" s="873"/>
      <c r="EN63" s="873"/>
      <c r="EO63" s="873"/>
      <c r="EP63" s="873"/>
      <c r="EQ63" s="873"/>
      <c r="ER63" s="873"/>
      <c r="ES63" s="873"/>
      <c r="ET63" s="873"/>
      <c r="EU63" s="873"/>
      <c r="EV63" s="873"/>
      <c r="EW63" s="873"/>
      <c r="EX63" s="873"/>
      <c r="EY63" s="873"/>
      <c r="EZ63" s="873"/>
      <c r="FA63" s="873"/>
      <c r="FB63" s="873"/>
      <c r="FC63" s="873"/>
      <c r="FD63" s="873"/>
      <c r="FE63" s="873"/>
      <c r="FF63" s="873"/>
      <c r="FG63" s="873"/>
      <c r="FH63" s="873"/>
      <c r="FI63" s="873"/>
      <c r="FJ63" s="873"/>
      <c r="FK63" s="873"/>
      <c r="FL63" s="873"/>
      <c r="FM63" s="873"/>
      <c r="FN63" s="873"/>
      <c r="FO63" s="873"/>
      <c r="FP63" s="873"/>
      <c r="FQ63" s="873"/>
      <c r="FR63" s="873"/>
      <c r="FS63" s="873"/>
      <c r="FT63" s="873"/>
      <c r="FU63" s="873"/>
      <c r="FV63" s="873"/>
      <c r="FW63" s="873"/>
      <c r="FX63" s="873"/>
      <c r="FY63" s="873"/>
      <c r="FZ63" s="873"/>
      <c r="GA63" s="873"/>
      <c r="GB63" s="873"/>
      <c r="GC63" s="873"/>
      <c r="GD63" s="873"/>
      <c r="GE63" s="873"/>
      <c r="GF63" s="873"/>
      <c r="GG63" s="873"/>
      <c r="GH63" s="873"/>
      <c r="GI63" s="873"/>
      <c r="GJ63" s="873"/>
      <c r="GK63" s="873"/>
      <c r="GL63" s="873"/>
      <c r="GM63" s="873"/>
      <c r="GN63" s="873"/>
      <c r="GO63" s="873"/>
      <c r="GP63" s="873"/>
      <c r="GQ63" s="873"/>
      <c r="GR63" s="873"/>
      <c r="GS63" s="873"/>
      <c r="GT63" s="873"/>
      <c r="GU63" s="873"/>
      <c r="GV63" s="873"/>
      <c r="GW63" s="873"/>
      <c r="GX63" s="873"/>
      <c r="GY63" s="873"/>
      <c r="GZ63" s="873"/>
      <c r="HA63" s="873"/>
      <c r="HB63" s="873"/>
      <c r="HC63" s="873"/>
      <c r="HD63" s="873"/>
      <c r="HE63" s="873"/>
      <c r="HF63" s="873"/>
      <c r="HG63" s="873"/>
      <c r="HH63" s="873"/>
      <c r="HI63" s="873"/>
      <c r="HJ63" s="873"/>
      <c r="HK63" s="873"/>
      <c r="HL63" s="873"/>
      <c r="HM63" s="873"/>
      <c r="HN63" s="873"/>
      <c r="HO63" s="873"/>
      <c r="HP63" s="873"/>
      <c r="HQ63" s="873"/>
      <c r="HR63" s="873"/>
      <c r="HS63" s="873"/>
      <c r="HT63" s="873"/>
      <c r="HU63" s="873"/>
      <c r="HV63" s="873"/>
      <c r="HW63" s="873"/>
      <c r="HX63" s="873"/>
      <c r="HY63" s="873"/>
      <c r="HZ63" s="873"/>
      <c r="IA63" s="873"/>
      <c r="IB63" s="873"/>
      <c r="IC63" s="873"/>
      <c r="ID63" s="873"/>
      <c r="IE63" s="873"/>
      <c r="IF63" s="873"/>
      <c r="IG63" s="873"/>
      <c r="IH63" s="873"/>
      <c r="II63" s="873"/>
      <c r="IJ63" s="873"/>
      <c r="IK63" s="873"/>
      <c r="IL63" s="873"/>
      <c r="IM63" s="873"/>
      <c r="IN63" s="873"/>
      <c r="IO63" s="873"/>
      <c r="IP63" s="873"/>
      <c r="IQ63" s="873"/>
      <c r="IR63" s="873"/>
      <c r="IS63" s="873"/>
      <c r="IT63" s="873"/>
      <c r="IU63" s="873"/>
      <c r="IV63" s="873"/>
      <c r="IW63" s="873"/>
      <c r="IX63" s="873"/>
      <c r="IY63" s="873"/>
      <c r="IZ63" s="873"/>
      <c r="JA63" s="873"/>
      <c r="JB63" s="873"/>
      <c r="JC63" s="873"/>
      <c r="JD63" s="873"/>
      <c r="JE63" s="873"/>
      <c r="JF63" s="873"/>
      <c r="JG63" s="873"/>
      <c r="JH63" s="873"/>
      <c r="JI63" s="873"/>
      <c r="JJ63" s="873"/>
      <c r="JK63" s="873"/>
      <c r="JL63" s="873"/>
      <c r="JM63" s="873"/>
      <c r="JN63" s="873"/>
      <c r="JO63" s="873"/>
      <c r="JP63" s="873"/>
      <c r="JQ63" s="873"/>
      <c r="JR63" s="873"/>
      <c r="JS63" s="873"/>
      <c r="JT63" s="873"/>
      <c r="JU63" s="873"/>
      <c r="JV63" s="402"/>
    </row>
    <row r="64" spans="1:282">
      <c r="A64" s="672"/>
      <c r="B64" s="408"/>
      <c r="C64" s="873"/>
      <c r="D64" s="888"/>
      <c r="E64" s="671"/>
      <c r="F64" s="873"/>
      <c r="G64" s="873"/>
      <c r="H64" s="873"/>
      <c r="I64" s="873"/>
      <c r="J64" s="873"/>
      <c r="K64" s="873"/>
      <c r="L64" s="873"/>
      <c r="M64" s="873"/>
      <c r="N64" s="873"/>
      <c r="O64" s="873"/>
      <c r="P64" s="873"/>
      <c r="Q64" s="873"/>
      <c r="R64" s="873"/>
      <c r="S64" s="873"/>
      <c r="T64" s="873"/>
      <c r="U64" s="873"/>
      <c r="V64" s="873"/>
      <c r="W64" s="873"/>
      <c r="X64" s="873"/>
      <c r="Y64" s="873"/>
      <c r="Z64" s="873"/>
      <c r="AA64" s="394"/>
      <c r="AB64" s="873"/>
      <c r="AC64" s="394"/>
      <c r="AD64" s="873"/>
      <c r="AE64" s="873"/>
      <c r="AF64" s="873"/>
      <c r="AG64" s="873"/>
      <c r="AH64" s="873"/>
      <c r="AI64" s="873"/>
      <c r="AJ64" s="403"/>
      <c r="AK64" s="403"/>
      <c r="AL64" s="873"/>
      <c r="AM64" s="873"/>
      <c r="AN64" s="403"/>
      <c r="AO64" s="403"/>
      <c r="AP64" s="394"/>
      <c r="AQ64" s="394"/>
      <c r="AR64" s="394"/>
      <c r="AS64" s="394"/>
      <c r="AT64" s="394"/>
      <c r="AU64" s="873"/>
      <c r="AV64" s="873"/>
      <c r="AW64" s="873"/>
      <c r="AX64" s="873"/>
      <c r="AY64" s="873"/>
      <c r="AZ64" s="873"/>
      <c r="BA64" s="394"/>
      <c r="BB64" s="873"/>
      <c r="BC64" s="873"/>
      <c r="BD64" s="873"/>
      <c r="BE64" s="873"/>
      <c r="BF64" s="873"/>
      <c r="BG64" s="873"/>
      <c r="BH64" s="873"/>
      <c r="BI64" s="873"/>
      <c r="BJ64" s="873"/>
      <c r="BK64" s="873"/>
      <c r="BL64" s="873"/>
      <c r="BM64" s="873"/>
      <c r="BN64" s="873"/>
      <c r="BO64" s="873"/>
      <c r="BP64" s="873"/>
      <c r="BQ64" s="873"/>
      <c r="BR64" s="873"/>
      <c r="BS64" s="873"/>
      <c r="BT64" s="873"/>
      <c r="BU64" s="873"/>
      <c r="BV64" s="873"/>
      <c r="BW64" s="873"/>
      <c r="BX64" s="873"/>
      <c r="BY64" s="873"/>
      <c r="BZ64" s="873"/>
      <c r="CA64" s="873"/>
      <c r="CB64" s="873"/>
      <c r="CC64" s="873"/>
      <c r="CD64" s="873"/>
      <c r="CE64" s="873"/>
      <c r="CF64" s="873"/>
      <c r="CG64" s="873"/>
      <c r="CH64" s="873"/>
      <c r="CI64" s="873"/>
      <c r="CJ64" s="873"/>
      <c r="CK64" s="873"/>
      <c r="CL64" s="873"/>
      <c r="CM64" s="873"/>
      <c r="CN64" s="873"/>
      <c r="CO64" s="873"/>
      <c r="CP64" s="873"/>
      <c r="CQ64" s="873"/>
      <c r="CR64" s="873"/>
      <c r="CS64" s="873"/>
      <c r="CT64" s="873"/>
      <c r="CU64" s="873"/>
      <c r="CV64" s="873"/>
      <c r="CW64" s="873"/>
      <c r="CX64" s="873"/>
      <c r="CY64" s="873"/>
      <c r="CZ64" s="873"/>
      <c r="DA64" s="873"/>
      <c r="DB64" s="873"/>
      <c r="DC64" s="873"/>
      <c r="DD64" s="873"/>
      <c r="DE64" s="873"/>
      <c r="DF64" s="873"/>
      <c r="DG64" s="873"/>
      <c r="DH64" s="873"/>
      <c r="DI64" s="873"/>
      <c r="DJ64" s="873"/>
      <c r="DK64" s="873"/>
      <c r="DL64" s="873"/>
      <c r="DM64" s="873"/>
      <c r="DN64" s="873"/>
      <c r="DO64" s="873"/>
      <c r="DP64" s="873"/>
      <c r="DQ64" s="873"/>
      <c r="DR64" s="873"/>
      <c r="DS64" s="873"/>
      <c r="DT64" s="873"/>
      <c r="DU64" s="873"/>
      <c r="DV64" s="873"/>
      <c r="DW64" s="873"/>
      <c r="DX64" s="873"/>
      <c r="DY64" s="873"/>
      <c r="DZ64" s="873"/>
      <c r="EA64" s="873"/>
      <c r="EB64" s="873"/>
      <c r="EC64" s="873"/>
      <c r="ED64" s="873"/>
      <c r="EE64" s="873"/>
      <c r="EF64" s="873"/>
      <c r="EG64" s="873"/>
      <c r="EH64" s="873"/>
      <c r="EI64" s="873"/>
      <c r="EJ64" s="873"/>
      <c r="EK64" s="873"/>
      <c r="EL64" s="873"/>
      <c r="EM64" s="873"/>
      <c r="EN64" s="873"/>
      <c r="EO64" s="873"/>
      <c r="EP64" s="873"/>
      <c r="EQ64" s="873"/>
      <c r="ER64" s="873"/>
      <c r="ES64" s="873"/>
      <c r="ET64" s="873"/>
      <c r="EU64" s="873"/>
      <c r="EV64" s="873"/>
      <c r="EW64" s="873"/>
      <c r="EX64" s="873"/>
      <c r="EY64" s="873"/>
      <c r="EZ64" s="873"/>
      <c r="FA64" s="873"/>
      <c r="FB64" s="873"/>
      <c r="FC64" s="873"/>
      <c r="FD64" s="873"/>
      <c r="FE64" s="873"/>
      <c r="FF64" s="873"/>
      <c r="FG64" s="873"/>
      <c r="FH64" s="873"/>
      <c r="FI64" s="873"/>
      <c r="FJ64" s="873"/>
      <c r="FK64" s="873"/>
      <c r="FL64" s="873"/>
      <c r="FM64" s="873"/>
      <c r="FN64" s="873"/>
      <c r="FO64" s="873"/>
      <c r="FP64" s="873"/>
      <c r="FQ64" s="873"/>
      <c r="FR64" s="873"/>
      <c r="FS64" s="873"/>
      <c r="FT64" s="873"/>
      <c r="FU64" s="873"/>
      <c r="FV64" s="873"/>
      <c r="FW64" s="873"/>
      <c r="FX64" s="873"/>
      <c r="FY64" s="873"/>
      <c r="FZ64" s="873"/>
      <c r="GA64" s="873"/>
      <c r="GB64" s="873"/>
      <c r="GC64" s="873"/>
      <c r="GD64" s="873"/>
      <c r="GE64" s="873"/>
      <c r="GF64" s="873"/>
      <c r="GG64" s="873"/>
      <c r="GH64" s="873"/>
      <c r="GI64" s="873"/>
      <c r="GJ64" s="873"/>
      <c r="GK64" s="873"/>
      <c r="GL64" s="873"/>
      <c r="GM64" s="873"/>
      <c r="GN64" s="873"/>
      <c r="GO64" s="873"/>
      <c r="GP64" s="873"/>
      <c r="GQ64" s="873"/>
      <c r="GR64" s="873"/>
      <c r="GS64" s="873"/>
      <c r="GT64" s="873"/>
      <c r="GU64" s="873"/>
      <c r="GV64" s="873"/>
      <c r="GW64" s="873"/>
      <c r="GX64" s="873"/>
      <c r="GY64" s="873"/>
      <c r="GZ64" s="873"/>
      <c r="HA64" s="873"/>
      <c r="HB64" s="873"/>
      <c r="HC64" s="873"/>
      <c r="HD64" s="873"/>
      <c r="HE64" s="873"/>
      <c r="HF64" s="873"/>
      <c r="HG64" s="873"/>
      <c r="HH64" s="873"/>
      <c r="HI64" s="873"/>
      <c r="HJ64" s="873"/>
      <c r="HK64" s="873"/>
      <c r="HL64" s="873"/>
      <c r="HM64" s="873"/>
      <c r="HN64" s="873"/>
      <c r="HO64" s="873"/>
      <c r="HP64" s="873"/>
      <c r="HQ64" s="873"/>
      <c r="HR64" s="873"/>
      <c r="HS64" s="873"/>
      <c r="HT64" s="873"/>
      <c r="HU64" s="873"/>
      <c r="HV64" s="873"/>
      <c r="HW64" s="873"/>
      <c r="HX64" s="873"/>
      <c r="HY64" s="873"/>
      <c r="HZ64" s="873"/>
      <c r="IA64" s="873"/>
      <c r="IB64" s="873"/>
      <c r="IC64" s="873"/>
      <c r="ID64" s="873"/>
      <c r="IE64" s="873"/>
      <c r="IF64" s="873"/>
      <c r="IG64" s="873"/>
      <c r="IH64" s="873"/>
      <c r="II64" s="873"/>
      <c r="IJ64" s="873"/>
      <c r="IK64" s="873"/>
      <c r="IL64" s="873"/>
      <c r="IM64" s="873"/>
      <c r="IN64" s="873"/>
      <c r="IO64" s="873"/>
      <c r="IP64" s="873"/>
      <c r="IQ64" s="873"/>
      <c r="IR64" s="873"/>
      <c r="IS64" s="873"/>
      <c r="IT64" s="873"/>
      <c r="IU64" s="873"/>
      <c r="IV64" s="873"/>
      <c r="IW64" s="873"/>
      <c r="IX64" s="873"/>
      <c r="IY64" s="873"/>
      <c r="IZ64" s="873"/>
      <c r="JA64" s="873"/>
      <c r="JB64" s="873"/>
      <c r="JC64" s="873"/>
      <c r="JD64" s="873"/>
      <c r="JE64" s="873"/>
      <c r="JF64" s="873"/>
      <c r="JG64" s="873"/>
      <c r="JH64" s="873"/>
      <c r="JI64" s="873"/>
      <c r="JJ64" s="873"/>
      <c r="JK64" s="873"/>
      <c r="JL64" s="873"/>
      <c r="JM64" s="873"/>
      <c r="JN64" s="873"/>
      <c r="JO64" s="873"/>
      <c r="JP64" s="873"/>
      <c r="JQ64" s="873"/>
      <c r="JR64" s="873"/>
      <c r="JS64" s="873"/>
      <c r="JT64" s="873"/>
      <c r="JU64" s="873"/>
      <c r="JV64" s="402"/>
    </row>
    <row r="65" spans="1:282">
      <c r="A65" s="672"/>
      <c r="B65" s="408"/>
      <c r="C65" s="873"/>
      <c r="D65" s="888"/>
      <c r="E65" s="671"/>
      <c r="F65" s="873"/>
      <c r="G65" s="873"/>
      <c r="H65" s="873"/>
      <c r="I65" s="873"/>
      <c r="J65" s="873"/>
      <c r="K65" s="873"/>
      <c r="L65" s="873"/>
      <c r="M65" s="873"/>
      <c r="N65" s="873"/>
      <c r="O65" s="873"/>
      <c r="P65" s="873"/>
      <c r="Q65" s="873"/>
      <c r="R65" s="873"/>
      <c r="S65" s="873"/>
      <c r="T65" s="873"/>
      <c r="U65" s="873"/>
      <c r="V65" s="873"/>
      <c r="W65" s="873"/>
      <c r="X65" s="873"/>
      <c r="Y65" s="873"/>
      <c r="Z65" s="873"/>
      <c r="AA65" s="394"/>
      <c r="AB65" s="873"/>
      <c r="AC65" s="394"/>
      <c r="AD65" s="873"/>
      <c r="AE65" s="873"/>
      <c r="AF65" s="873"/>
      <c r="AG65" s="873"/>
      <c r="AH65" s="873"/>
      <c r="AI65" s="873"/>
      <c r="AJ65" s="403"/>
      <c r="AK65" s="403"/>
      <c r="AL65" s="873"/>
      <c r="AM65" s="873"/>
      <c r="AN65" s="403"/>
      <c r="AO65" s="403"/>
      <c r="AP65" s="394"/>
      <c r="AQ65" s="394"/>
      <c r="AR65" s="394"/>
      <c r="AS65" s="394"/>
      <c r="AT65" s="394"/>
      <c r="AU65" s="873"/>
      <c r="AV65" s="873"/>
      <c r="AW65" s="873"/>
      <c r="AX65" s="873"/>
      <c r="AY65" s="873"/>
      <c r="AZ65" s="873"/>
      <c r="BA65" s="394"/>
      <c r="BB65" s="873"/>
      <c r="BC65" s="873"/>
      <c r="BD65" s="873"/>
      <c r="BE65" s="873"/>
      <c r="BF65" s="873"/>
      <c r="BG65" s="873"/>
      <c r="BH65" s="873"/>
      <c r="BI65" s="873"/>
      <c r="BJ65" s="873"/>
      <c r="BK65" s="873"/>
      <c r="BL65" s="873"/>
      <c r="BM65" s="873"/>
      <c r="BN65" s="873"/>
      <c r="BO65" s="873"/>
      <c r="BP65" s="873"/>
      <c r="BQ65" s="873"/>
      <c r="BR65" s="873"/>
      <c r="BS65" s="873"/>
      <c r="BT65" s="873"/>
      <c r="BU65" s="873"/>
      <c r="BV65" s="873"/>
      <c r="BW65" s="873"/>
      <c r="BX65" s="873"/>
      <c r="BY65" s="873"/>
      <c r="BZ65" s="873"/>
      <c r="CA65" s="873"/>
      <c r="CB65" s="873"/>
      <c r="CC65" s="873"/>
      <c r="CD65" s="873"/>
      <c r="CE65" s="873"/>
      <c r="CF65" s="873"/>
      <c r="CG65" s="873"/>
      <c r="CH65" s="873"/>
      <c r="CI65" s="873"/>
      <c r="CJ65" s="873"/>
      <c r="CK65" s="873"/>
      <c r="CL65" s="873"/>
      <c r="CM65" s="873"/>
      <c r="CN65" s="873"/>
      <c r="CO65" s="873"/>
      <c r="CP65" s="873"/>
      <c r="CQ65" s="873"/>
      <c r="CR65" s="873"/>
      <c r="CS65" s="873"/>
      <c r="CT65" s="873"/>
      <c r="CU65" s="873"/>
      <c r="CV65" s="873"/>
      <c r="CW65" s="873"/>
      <c r="CX65" s="873"/>
      <c r="CY65" s="873"/>
      <c r="CZ65" s="873"/>
      <c r="DA65" s="873"/>
      <c r="DB65" s="873"/>
      <c r="DC65" s="873"/>
      <c r="DD65" s="873"/>
      <c r="DE65" s="873"/>
      <c r="DF65" s="873"/>
      <c r="DG65" s="873"/>
      <c r="DH65" s="873"/>
      <c r="DI65" s="873"/>
      <c r="DJ65" s="873"/>
      <c r="DK65" s="873"/>
      <c r="DL65" s="873"/>
      <c r="DM65" s="873"/>
      <c r="DN65" s="873"/>
      <c r="DO65" s="873"/>
      <c r="DP65" s="873"/>
      <c r="DQ65" s="873"/>
      <c r="DR65" s="873"/>
      <c r="DS65" s="873"/>
      <c r="DT65" s="873"/>
      <c r="DU65" s="873"/>
      <c r="DV65" s="873"/>
      <c r="DW65" s="873"/>
      <c r="DX65" s="873"/>
      <c r="DY65" s="873"/>
      <c r="DZ65" s="873"/>
      <c r="EA65" s="873"/>
      <c r="EB65" s="873"/>
      <c r="EC65" s="873"/>
      <c r="ED65" s="873"/>
      <c r="EE65" s="873"/>
      <c r="EF65" s="873"/>
      <c r="EG65" s="873"/>
      <c r="EH65" s="873"/>
      <c r="EI65" s="873"/>
      <c r="EJ65" s="873"/>
      <c r="EK65" s="873"/>
      <c r="EL65" s="873"/>
      <c r="EM65" s="873"/>
      <c r="EN65" s="873"/>
      <c r="EO65" s="873"/>
      <c r="EP65" s="873"/>
      <c r="EQ65" s="873"/>
      <c r="ER65" s="873"/>
      <c r="ES65" s="873"/>
      <c r="ET65" s="873"/>
      <c r="EU65" s="873"/>
      <c r="EV65" s="873"/>
      <c r="EW65" s="873"/>
      <c r="EX65" s="873"/>
      <c r="EY65" s="873"/>
      <c r="EZ65" s="873"/>
      <c r="FA65" s="873"/>
      <c r="FB65" s="873"/>
      <c r="FC65" s="873"/>
      <c r="FD65" s="873"/>
      <c r="FE65" s="873"/>
      <c r="FF65" s="873"/>
      <c r="FG65" s="873"/>
      <c r="FH65" s="873"/>
      <c r="FI65" s="873"/>
      <c r="FJ65" s="873"/>
      <c r="FK65" s="873"/>
      <c r="FL65" s="873"/>
      <c r="FM65" s="873"/>
      <c r="FN65" s="873"/>
      <c r="FO65" s="873"/>
      <c r="FP65" s="873"/>
      <c r="FQ65" s="873"/>
      <c r="FR65" s="873"/>
      <c r="FS65" s="873"/>
      <c r="FT65" s="873"/>
      <c r="FU65" s="873"/>
      <c r="FV65" s="873"/>
      <c r="FW65" s="873"/>
      <c r="FX65" s="873"/>
      <c r="FY65" s="873"/>
      <c r="FZ65" s="873"/>
      <c r="GA65" s="873"/>
      <c r="GB65" s="873"/>
      <c r="GC65" s="873"/>
      <c r="GD65" s="873"/>
      <c r="GE65" s="873"/>
      <c r="GF65" s="873"/>
      <c r="GG65" s="873"/>
      <c r="GH65" s="873"/>
      <c r="GI65" s="873"/>
      <c r="GJ65" s="873"/>
      <c r="GK65" s="873"/>
      <c r="GL65" s="873"/>
      <c r="GM65" s="873"/>
      <c r="GN65" s="873"/>
      <c r="GO65" s="873"/>
      <c r="GP65" s="873"/>
      <c r="GQ65" s="873"/>
      <c r="GR65" s="873"/>
      <c r="GS65" s="873"/>
      <c r="GT65" s="873"/>
      <c r="GU65" s="873"/>
      <c r="GV65" s="873"/>
      <c r="GW65" s="873"/>
      <c r="GX65" s="873"/>
      <c r="GY65" s="873"/>
      <c r="GZ65" s="873"/>
      <c r="HA65" s="873"/>
      <c r="HB65" s="873"/>
      <c r="HC65" s="873"/>
      <c r="HD65" s="873"/>
      <c r="HE65" s="873"/>
      <c r="HF65" s="873"/>
      <c r="HG65" s="873"/>
      <c r="HH65" s="873"/>
      <c r="HI65" s="873"/>
      <c r="HJ65" s="873"/>
      <c r="HK65" s="873"/>
      <c r="HL65" s="873"/>
      <c r="HM65" s="873"/>
      <c r="HN65" s="873"/>
      <c r="HO65" s="873"/>
      <c r="HP65" s="873"/>
      <c r="HQ65" s="873"/>
      <c r="HR65" s="873"/>
      <c r="HS65" s="873"/>
      <c r="HT65" s="873"/>
      <c r="HU65" s="873"/>
      <c r="HV65" s="873"/>
      <c r="HW65" s="873"/>
      <c r="HX65" s="873"/>
      <c r="HY65" s="873"/>
      <c r="HZ65" s="873"/>
      <c r="IA65" s="873"/>
      <c r="IB65" s="873"/>
      <c r="IC65" s="873"/>
      <c r="ID65" s="873"/>
      <c r="IE65" s="873"/>
      <c r="IF65" s="873"/>
      <c r="IG65" s="873"/>
      <c r="IH65" s="873"/>
      <c r="II65" s="873"/>
      <c r="IJ65" s="873"/>
      <c r="IK65" s="873"/>
      <c r="IL65" s="873"/>
      <c r="IM65" s="873"/>
      <c r="IN65" s="873"/>
      <c r="IO65" s="873"/>
      <c r="IP65" s="873"/>
      <c r="IQ65" s="873"/>
      <c r="IR65" s="873"/>
      <c r="IS65" s="873"/>
      <c r="IT65" s="873"/>
      <c r="IU65" s="873"/>
      <c r="IV65" s="873"/>
      <c r="IW65" s="873"/>
      <c r="IX65" s="873"/>
      <c r="IY65" s="873"/>
      <c r="IZ65" s="873"/>
      <c r="JA65" s="873"/>
      <c r="JB65" s="873"/>
      <c r="JC65" s="873"/>
      <c r="JD65" s="873"/>
      <c r="JE65" s="873"/>
      <c r="JF65" s="873"/>
      <c r="JG65" s="873"/>
      <c r="JH65" s="873"/>
      <c r="JI65" s="873"/>
      <c r="JJ65" s="873"/>
      <c r="JK65" s="873"/>
      <c r="JL65" s="873"/>
      <c r="JM65" s="873"/>
      <c r="JN65" s="873"/>
      <c r="JO65" s="873"/>
      <c r="JP65" s="873"/>
      <c r="JQ65" s="873"/>
      <c r="JR65" s="873"/>
      <c r="JS65" s="873"/>
      <c r="JT65" s="873"/>
      <c r="JU65" s="873"/>
      <c r="JV65" s="402"/>
    </row>
    <row r="66" spans="1:282">
      <c r="A66" s="672"/>
      <c r="B66" s="408"/>
      <c r="C66" s="873"/>
      <c r="D66" s="888"/>
      <c r="E66" s="671"/>
      <c r="F66" s="873"/>
      <c r="G66" s="873"/>
      <c r="H66" s="873"/>
      <c r="I66" s="873"/>
      <c r="J66" s="873"/>
      <c r="K66" s="873"/>
      <c r="L66" s="873"/>
      <c r="M66" s="873"/>
      <c r="N66" s="873"/>
      <c r="O66" s="873"/>
      <c r="P66" s="873"/>
      <c r="Q66" s="873"/>
      <c r="R66" s="873"/>
      <c r="S66" s="873"/>
      <c r="T66" s="873"/>
      <c r="U66" s="873"/>
      <c r="V66" s="873"/>
      <c r="W66" s="873"/>
      <c r="X66" s="873"/>
      <c r="Y66" s="873"/>
      <c r="Z66" s="873"/>
      <c r="AA66" s="394"/>
      <c r="AB66" s="873"/>
      <c r="AC66" s="394"/>
      <c r="AD66" s="873"/>
      <c r="AE66" s="873"/>
      <c r="AF66" s="873"/>
      <c r="AG66" s="873"/>
      <c r="AH66" s="873"/>
      <c r="AI66" s="873"/>
      <c r="AJ66" s="403"/>
      <c r="AK66" s="403"/>
      <c r="AL66" s="873"/>
      <c r="AM66" s="873"/>
      <c r="AN66" s="403"/>
      <c r="AO66" s="403"/>
      <c r="AP66" s="394"/>
      <c r="AQ66" s="394"/>
      <c r="AR66" s="394"/>
      <c r="AS66" s="394"/>
      <c r="AT66" s="394"/>
      <c r="AU66" s="873"/>
      <c r="AV66" s="873"/>
      <c r="AW66" s="873"/>
      <c r="AX66" s="873"/>
      <c r="AY66" s="873"/>
      <c r="AZ66" s="873"/>
      <c r="BA66" s="394"/>
      <c r="BB66" s="873"/>
      <c r="BC66" s="873"/>
      <c r="BD66" s="873"/>
      <c r="BE66" s="873"/>
      <c r="BF66" s="873"/>
      <c r="BG66" s="873"/>
      <c r="BH66" s="873"/>
      <c r="BI66" s="873"/>
      <c r="BJ66" s="873"/>
      <c r="BK66" s="873"/>
      <c r="BL66" s="873"/>
      <c r="BM66" s="873"/>
      <c r="BN66" s="873"/>
      <c r="BO66" s="873"/>
      <c r="BP66" s="873"/>
      <c r="BQ66" s="873"/>
      <c r="BR66" s="873"/>
      <c r="BS66" s="873"/>
      <c r="BT66" s="873"/>
      <c r="BU66" s="873"/>
      <c r="BV66" s="873"/>
      <c r="BW66" s="873"/>
      <c r="BX66" s="873"/>
      <c r="BY66" s="873"/>
      <c r="BZ66" s="873"/>
      <c r="CA66" s="873"/>
      <c r="CB66" s="873"/>
      <c r="CC66" s="873"/>
      <c r="CD66" s="873"/>
      <c r="CE66" s="873"/>
      <c r="CF66" s="873"/>
      <c r="CG66" s="873"/>
      <c r="CH66" s="873"/>
      <c r="CI66" s="873"/>
      <c r="CJ66" s="873"/>
      <c r="CK66" s="873"/>
      <c r="CL66" s="873"/>
      <c r="CM66" s="873"/>
      <c r="CN66" s="873"/>
      <c r="CO66" s="873"/>
      <c r="CP66" s="873"/>
      <c r="CQ66" s="873"/>
      <c r="CR66" s="873"/>
      <c r="CS66" s="873"/>
      <c r="CT66" s="873"/>
      <c r="CU66" s="873"/>
      <c r="CV66" s="873"/>
      <c r="CW66" s="873"/>
      <c r="CX66" s="873"/>
      <c r="CY66" s="873"/>
      <c r="CZ66" s="873"/>
      <c r="DA66" s="873"/>
      <c r="DB66" s="873"/>
      <c r="DC66" s="873"/>
      <c r="DD66" s="873"/>
      <c r="DE66" s="873"/>
      <c r="DF66" s="873"/>
      <c r="DG66" s="873"/>
      <c r="DH66" s="873"/>
      <c r="DI66" s="873"/>
      <c r="DJ66" s="873"/>
      <c r="DK66" s="873"/>
      <c r="DL66" s="873"/>
      <c r="DM66" s="873"/>
      <c r="DN66" s="873"/>
      <c r="DO66" s="873"/>
      <c r="DP66" s="873"/>
      <c r="DQ66" s="873"/>
      <c r="DR66" s="873"/>
      <c r="DS66" s="873"/>
      <c r="DT66" s="873"/>
      <c r="DU66" s="873"/>
      <c r="DV66" s="873"/>
      <c r="DW66" s="873"/>
      <c r="DX66" s="873"/>
      <c r="DY66" s="873"/>
      <c r="DZ66" s="873"/>
      <c r="EA66" s="873"/>
      <c r="EB66" s="873"/>
      <c r="EC66" s="873"/>
      <c r="ED66" s="873"/>
      <c r="EE66" s="873"/>
      <c r="EF66" s="873"/>
      <c r="EG66" s="873"/>
      <c r="EH66" s="873"/>
      <c r="EI66" s="873"/>
      <c r="EJ66" s="873"/>
      <c r="EK66" s="873"/>
      <c r="EL66" s="873"/>
      <c r="EM66" s="873"/>
      <c r="EN66" s="873"/>
      <c r="EO66" s="873"/>
      <c r="EP66" s="873"/>
      <c r="EQ66" s="873"/>
      <c r="ER66" s="873"/>
      <c r="ES66" s="873"/>
      <c r="ET66" s="873"/>
      <c r="EU66" s="873"/>
      <c r="EV66" s="873"/>
      <c r="EW66" s="873"/>
      <c r="EX66" s="873"/>
      <c r="EY66" s="873"/>
      <c r="EZ66" s="873"/>
      <c r="FA66" s="873"/>
      <c r="FB66" s="873"/>
      <c r="FC66" s="873"/>
      <c r="FD66" s="873"/>
      <c r="FE66" s="873"/>
      <c r="FF66" s="873"/>
      <c r="FG66" s="873"/>
      <c r="FH66" s="873"/>
      <c r="FI66" s="873"/>
      <c r="FJ66" s="873"/>
      <c r="FK66" s="873"/>
      <c r="FL66" s="873"/>
      <c r="FM66" s="873"/>
      <c r="FN66" s="873"/>
      <c r="FO66" s="873"/>
      <c r="FP66" s="873"/>
      <c r="FQ66" s="873"/>
      <c r="FR66" s="873"/>
      <c r="FS66" s="873"/>
      <c r="FT66" s="873"/>
      <c r="FU66" s="873"/>
      <c r="FV66" s="873"/>
      <c r="FW66" s="873"/>
      <c r="FX66" s="873"/>
      <c r="FY66" s="873"/>
      <c r="FZ66" s="873"/>
      <c r="GA66" s="873"/>
      <c r="GB66" s="873"/>
      <c r="GC66" s="873"/>
      <c r="GD66" s="873"/>
      <c r="GE66" s="873"/>
      <c r="GF66" s="873"/>
      <c r="GG66" s="873"/>
      <c r="GH66" s="873"/>
      <c r="GI66" s="873"/>
      <c r="GJ66" s="873"/>
      <c r="GK66" s="873"/>
      <c r="GL66" s="873"/>
      <c r="GM66" s="873"/>
      <c r="GN66" s="873"/>
      <c r="GO66" s="873"/>
      <c r="GP66" s="873"/>
      <c r="GQ66" s="873"/>
      <c r="GR66" s="873"/>
      <c r="GS66" s="873"/>
      <c r="GT66" s="873"/>
      <c r="GU66" s="873"/>
      <c r="GV66" s="873"/>
      <c r="GW66" s="873"/>
      <c r="GX66" s="873"/>
      <c r="GY66" s="873"/>
      <c r="GZ66" s="873"/>
      <c r="HA66" s="873"/>
      <c r="HB66" s="873"/>
      <c r="HC66" s="873"/>
      <c r="HD66" s="873"/>
      <c r="HE66" s="873"/>
      <c r="HF66" s="873"/>
      <c r="HG66" s="873"/>
      <c r="HH66" s="873"/>
      <c r="HI66" s="873"/>
      <c r="HJ66" s="873"/>
      <c r="HK66" s="873"/>
      <c r="HL66" s="873"/>
      <c r="HM66" s="873"/>
      <c r="HN66" s="873"/>
      <c r="HO66" s="873"/>
      <c r="HP66" s="873"/>
      <c r="HQ66" s="873"/>
      <c r="HR66" s="873"/>
      <c r="HS66" s="873"/>
      <c r="HT66" s="873"/>
      <c r="HU66" s="873"/>
      <c r="HV66" s="873"/>
      <c r="HW66" s="873"/>
      <c r="HX66" s="873"/>
      <c r="HY66" s="873"/>
      <c r="HZ66" s="873"/>
      <c r="IA66" s="873"/>
      <c r="IB66" s="873"/>
      <c r="IC66" s="873"/>
      <c r="ID66" s="873"/>
      <c r="IE66" s="873"/>
      <c r="IF66" s="873"/>
      <c r="IG66" s="873"/>
      <c r="IH66" s="873"/>
      <c r="II66" s="873"/>
      <c r="IJ66" s="873"/>
      <c r="IK66" s="873"/>
      <c r="IL66" s="873"/>
      <c r="IM66" s="873"/>
      <c r="IN66" s="873"/>
      <c r="IO66" s="873"/>
      <c r="IP66" s="873"/>
      <c r="IQ66" s="873"/>
      <c r="IR66" s="873"/>
      <c r="IS66" s="873"/>
      <c r="IT66" s="873"/>
      <c r="IU66" s="873"/>
      <c r="IV66" s="873"/>
      <c r="IW66" s="873"/>
      <c r="IX66" s="873"/>
      <c r="IY66" s="873"/>
      <c r="IZ66" s="873"/>
      <c r="JA66" s="873"/>
      <c r="JB66" s="873"/>
      <c r="JC66" s="873"/>
      <c r="JD66" s="873"/>
      <c r="JE66" s="873"/>
      <c r="JF66" s="873"/>
      <c r="JG66" s="873"/>
      <c r="JH66" s="873"/>
      <c r="JI66" s="873"/>
      <c r="JJ66" s="873"/>
      <c r="JK66" s="873"/>
      <c r="JL66" s="873"/>
      <c r="JM66" s="873"/>
      <c r="JN66" s="873"/>
      <c r="JO66" s="873"/>
      <c r="JP66" s="873"/>
      <c r="JQ66" s="873"/>
      <c r="JR66" s="873"/>
      <c r="JS66" s="873"/>
      <c r="JT66" s="873"/>
      <c r="JU66" s="873"/>
      <c r="JV66" s="402"/>
    </row>
    <row r="67" spans="1:282">
      <c r="A67" s="672"/>
      <c r="B67" s="408"/>
      <c r="C67" s="873"/>
      <c r="D67" s="888"/>
      <c r="E67" s="671"/>
      <c r="F67" s="873"/>
      <c r="G67" s="873"/>
      <c r="H67" s="873"/>
      <c r="I67" s="873"/>
      <c r="J67" s="873"/>
      <c r="K67" s="873"/>
      <c r="L67" s="873"/>
      <c r="M67" s="873"/>
      <c r="N67" s="873"/>
      <c r="O67" s="873"/>
      <c r="P67" s="873"/>
      <c r="Q67" s="873"/>
      <c r="R67" s="873"/>
      <c r="S67" s="873"/>
      <c r="T67" s="873"/>
      <c r="U67" s="873"/>
      <c r="V67" s="873"/>
      <c r="W67" s="873"/>
      <c r="X67" s="873"/>
      <c r="Y67" s="873"/>
      <c r="Z67" s="873"/>
      <c r="AA67" s="394"/>
      <c r="AB67" s="873"/>
      <c r="AC67" s="394"/>
      <c r="AD67" s="873"/>
      <c r="AE67" s="873"/>
      <c r="AF67" s="873"/>
      <c r="AG67" s="873"/>
      <c r="AH67" s="873"/>
      <c r="AI67" s="873"/>
      <c r="AJ67" s="403"/>
      <c r="AK67" s="403"/>
      <c r="AL67" s="873"/>
      <c r="AM67" s="873"/>
      <c r="AN67" s="403"/>
      <c r="AO67" s="403"/>
      <c r="AP67" s="394"/>
      <c r="AQ67" s="394"/>
      <c r="AR67" s="394"/>
      <c r="AS67" s="394"/>
      <c r="AT67" s="394"/>
      <c r="AU67" s="873"/>
      <c r="AV67" s="873"/>
      <c r="AW67" s="873"/>
      <c r="AX67" s="873"/>
      <c r="AY67" s="873"/>
      <c r="AZ67" s="873"/>
      <c r="BA67" s="394"/>
      <c r="BB67" s="873"/>
      <c r="BC67" s="873"/>
      <c r="BD67" s="873"/>
      <c r="BE67" s="873"/>
      <c r="BF67" s="873"/>
      <c r="BG67" s="873"/>
      <c r="BH67" s="873"/>
      <c r="BI67" s="873"/>
      <c r="BJ67" s="873"/>
      <c r="BK67" s="873"/>
      <c r="BL67" s="873"/>
      <c r="BM67" s="873"/>
      <c r="BN67" s="873"/>
      <c r="BO67" s="873"/>
      <c r="BP67" s="873"/>
      <c r="BQ67" s="873"/>
      <c r="BR67" s="873"/>
      <c r="BS67" s="873"/>
      <c r="BT67" s="873"/>
      <c r="BU67" s="873"/>
      <c r="BV67" s="873"/>
      <c r="BW67" s="873"/>
      <c r="BX67" s="873"/>
      <c r="BY67" s="873"/>
      <c r="BZ67" s="873"/>
      <c r="CA67" s="873"/>
      <c r="CB67" s="873"/>
      <c r="CC67" s="873"/>
      <c r="CD67" s="873"/>
      <c r="CE67" s="873"/>
      <c r="CF67" s="873"/>
      <c r="CG67" s="873"/>
      <c r="CH67" s="873"/>
      <c r="CI67" s="873"/>
      <c r="CJ67" s="873"/>
      <c r="CK67" s="873"/>
      <c r="CL67" s="873"/>
      <c r="CM67" s="873"/>
      <c r="CN67" s="873"/>
      <c r="CO67" s="873"/>
      <c r="CP67" s="873"/>
      <c r="CQ67" s="873"/>
      <c r="CR67" s="873"/>
      <c r="CS67" s="873"/>
      <c r="CT67" s="873"/>
      <c r="CU67" s="873"/>
      <c r="CV67" s="873"/>
      <c r="CW67" s="873"/>
      <c r="CX67" s="873"/>
      <c r="CY67" s="873"/>
      <c r="CZ67" s="873"/>
      <c r="DA67" s="873"/>
      <c r="DB67" s="873"/>
      <c r="DC67" s="873"/>
      <c r="DD67" s="873"/>
      <c r="DE67" s="873"/>
      <c r="DF67" s="873"/>
      <c r="DG67" s="873"/>
      <c r="DH67" s="873"/>
      <c r="DI67" s="873"/>
      <c r="DJ67" s="873"/>
      <c r="DK67" s="873"/>
      <c r="DL67" s="873"/>
      <c r="DM67" s="873"/>
      <c r="DN67" s="873"/>
      <c r="DO67" s="873"/>
      <c r="DP67" s="873"/>
      <c r="DQ67" s="873"/>
      <c r="DR67" s="873"/>
      <c r="DS67" s="873"/>
      <c r="DT67" s="873"/>
      <c r="DU67" s="873"/>
      <c r="DV67" s="873"/>
      <c r="DW67" s="873"/>
      <c r="DX67" s="873"/>
      <c r="DY67" s="873"/>
      <c r="DZ67" s="873"/>
      <c r="EA67" s="873"/>
      <c r="EB67" s="873"/>
      <c r="EC67" s="873"/>
      <c r="ED67" s="873"/>
      <c r="EE67" s="873"/>
      <c r="EF67" s="873"/>
      <c r="EG67" s="873"/>
      <c r="EH67" s="873"/>
      <c r="EI67" s="873"/>
      <c r="EJ67" s="873"/>
      <c r="EK67" s="873"/>
      <c r="EL67" s="873"/>
      <c r="EM67" s="873"/>
      <c r="EN67" s="873"/>
      <c r="EO67" s="873"/>
      <c r="EP67" s="873"/>
      <c r="EQ67" s="873"/>
      <c r="ER67" s="873"/>
      <c r="ES67" s="873"/>
      <c r="ET67" s="873"/>
      <c r="EU67" s="873"/>
      <c r="EV67" s="873"/>
      <c r="EW67" s="873"/>
      <c r="EX67" s="873"/>
      <c r="EY67" s="873"/>
      <c r="EZ67" s="873"/>
      <c r="FA67" s="873"/>
      <c r="FB67" s="873"/>
      <c r="FC67" s="873"/>
      <c r="FD67" s="873"/>
      <c r="FE67" s="873"/>
      <c r="FF67" s="873"/>
      <c r="FG67" s="873"/>
      <c r="FH67" s="873"/>
      <c r="FI67" s="873"/>
      <c r="FJ67" s="873"/>
      <c r="FK67" s="873"/>
      <c r="FL67" s="873"/>
      <c r="FM67" s="873"/>
      <c r="FN67" s="873"/>
      <c r="FO67" s="873"/>
      <c r="FP67" s="873"/>
      <c r="FQ67" s="873"/>
      <c r="FR67" s="873"/>
      <c r="FS67" s="873"/>
      <c r="FT67" s="873"/>
      <c r="FU67" s="873"/>
      <c r="FV67" s="873"/>
      <c r="FW67" s="873"/>
      <c r="FX67" s="873"/>
      <c r="FY67" s="873"/>
      <c r="FZ67" s="873"/>
      <c r="GA67" s="873"/>
      <c r="GB67" s="873"/>
      <c r="GC67" s="873"/>
      <c r="GD67" s="873"/>
      <c r="GE67" s="873"/>
      <c r="GF67" s="873"/>
      <c r="GG67" s="873"/>
      <c r="GH67" s="873"/>
      <c r="GI67" s="873"/>
      <c r="GJ67" s="873"/>
      <c r="GK67" s="873"/>
      <c r="GL67" s="873"/>
      <c r="GM67" s="873"/>
      <c r="GN67" s="873"/>
      <c r="GO67" s="873"/>
      <c r="GP67" s="873"/>
      <c r="GQ67" s="873"/>
      <c r="GR67" s="873"/>
      <c r="GS67" s="873"/>
      <c r="GT67" s="873"/>
      <c r="GU67" s="873"/>
      <c r="GV67" s="873"/>
      <c r="GW67" s="873"/>
      <c r="GX67" s="873"/>
      <c r="GY67" s="873"/>
      <c r="GZ67" s="873"/>
      <c r="HA67" s="873"/>
      <c r="HB67" s="873"/>
      <c r="HC67" s="873"/>
      <c r="HD67" s="873"/>
      <c r="HE67" s="873"/>
      <c r="HF67" s="873"/>
      <c r="HG67" s="873"/>
      <c r="HH67" s="873"/>
      <c r="HI67" s="873"/>
      <c r="HJ67" s="873"/>
      <c r="HK67" s="873"/>
      <c r="HL67" s="873"/>
      <c r="HM67" s="873"/>
      <c r="HN67" s="873"/>
      <c r="HO67" s="873"/>
      <c r="HP67" s="873"/>
      <c r="HQ67" s="873"/>
      <c r="HR67" s="873"/>
      <c r="HS67" s="873"/>
      <c r="HT67" s="873"/>
      <c r="HU67" s="873"/>
      <c r="HV67" s="873"/>
      <c r="HW67" s="873"/>
      <c r="HX67" s="873"/>
      <c r="HY67" s="873"/>
      <c r="HZ67" s="873"/>
      <c r="IA67" s="873"/>
      <c r="IB67" s="873"/>
      <c r="IC67" s="873"/>
      <c r="ID67" s="873"/>
      <c r="IE67" s="873"/>
      <c r="IF67" s="873"/>
      <c r="IG67" s="873"/>
      <c r="IH67" s="873"/>
      <c r="II67" s="873"/>
      <c r="IJ67" s="873"/>
      <c r="IK67" s="873"/>
      <c r="IL67" s="873"/>
      <c r="IM67" s="873"/>
      <c r="IN67" s="873"/>
      <c r="IO67" s="873"/>
      <c r="IP67" s="873"/>
      <c r="IQ67" s="873"/>
      <c r="IR67" s="873"/>
      <c r="IS67" s="873"/>
      <c r="IT67" s="873"/>
      <c r="IU67" s="873"/>
      <c r="IV67" s="873"/>
      <c r="IW67" s="873"/>
      <c r="IX67" s="873"/>
      <c r="IY67" s="873"/>
      <c r="IZ67" s="873"/>
      <c r="JA67" s="873"/>
      <c r="JB67" s="873"/>
      <c r="JC67" s="873"/>
      <c r="JD67" s="873"/>
      <c r="JE67" s="873"/>
      <c r="JF67" s="873"/>
      <c r="JG67" s="873"/>
      <c r="JH67" s="873"/>
      <c r="JI67" s="873"/>
      <c r="JJ67" s="873"/>
      <c r="JK67" s="873"/>
      <c r="JL67" s="873"/>
      <c r="JM67" s="873"/>
      <c r="JN67" s="873"/>
      <c r="JO67" s="873"/>
      <c r="JP67" s="873"/>
      <c r="JQ67" s="873"/>
      <c r="JR67" s="873"/>
      <c r="JS67" s="873"/>
      <c r="JT67" s="873"/>
      <c r="JU67" s="873"/>
      <c r="JV67" s="402"/>
    </row>
    <row r="68" spans="1:282">
      <c r="A68" s="672"/>
      <c r="B68" s="408"/>
      <c r="C68" s="873"/>
      <c r="D68" s="888"/>
      <c r="E68" s="671"/>
      <c r="F68" s="873"/>
      <c r="G68" s="873"/>
      <c r="H68" s="873"/>
      <c r="I68" s="873"/>
      <c r="J68" s="873"/>
      <c r="K68" s="873"/>
      <c r="L68" s="873"/>
      <c r="M68" s="873"/>
      <c r="N68" s="873"/>
      <c r="O68" s="873"/>
      <c r="P68" s="873"/>
      <c r="Q68" s="873"/>
      <c r="R68" s="873"/>
      <c r="S68" s="873"/>
      <c r="T68" s="873"/>
      <c r="U68" s="873"/>
      <c r="V68" s="873"/>
      <c r="W68" s="873"/>
      <c r="X68" s="873"/>
      <c r="Y68" s="873"/>
      <c r="Z68" s="873"/>
      <c r="AA68" s="394"/>
      <c r="AB68" s="873"/>
      <c r="AC68" s="394"/>
      <c r="AD68" s="873"/>
      <c r="AE68" s="873"/>
      <c r="AF68" s="873"/>
      <c r="AG68" s="873"/>
      <c r="AH68" s="873"/>
      <c r="AI68" s="873"/>
      <c r="AJ68" s="403"/>
      <c r="AK68" s="403"/>
      <c r="AL68" s="873"/>
      <c r="AM68" s="873"/>
      <c r="AN68" s="403"/>
      <c r="AO68" s="403"/>
      <c r="AP68" s="394"/>
      <c r="AQ68" s="394"/>
      <c r="AR68" s="394"/>
      <c r="AS68" s="394"/>
      <c r="AT68" s="394"/>
      <c r="AU68" s="873"/>
      <c r="AV68" s="873"/>
      <c r="AW68" s="873"/>
      <c r="AX68" s="873"/>
      <c r="AY68" s="873"/>
      <c r="AZ68" s="873"/>
      <c r="BA68" s="394"/>
      <c r="BB68" s="873"/>
      <c r="BC68" s="873"/>
      <c r="BD68" s="873"/>
      <c r="BE68" s="873"/>
      <c r="BF68" s="873"/>
      <c r="BG68" s="873"/>
      <c r="BH68" s="873"/>
      <c r="BI68" s="873"/>
      <c r="BJ68" s="873"/>
      <c r="BK68" s="873"/>
      <c r="BL68" s="873"/>
      <c r="BM68" s="873"/>
      <c r="BN68" s="873"/>
      <c r="BO68" s="873"/>
      <c r="BP68" s="873"/>
      <c r="BQ68" s="873"/>
      <c r="BR68" s="873"/>
      <c r="BS68" s="873"/>
      <c r="BT68" s="873"/>
      <c r="BU68" s="873"/>
      <c r="BV68" s="873"/>
      <c r="BW68" s="873"/>
      <c r="BX68" s="873"/>
      <c r="BY68" s="873"/>
      <c r="BZ68" s="873"/>
      <c r="CA68" s="873"/>
      <c r="CB68" s="873"/>
      <c r="CC68" s="873"/>
      <c r="CD68" s="873"/>
      <c r="CE68" s="873"/>
      <c r="CF68" s="873"/>
      <c r="CG68" s="873"/>
      <c r="CH68" s="873"/>
      <c r="CI68" s="873"/>
      <c r="CJ68" s="873"/>
      <c r="CK68" s="873"/>
      <c r="CL68" s="873"/>
      <c r="CM68" s="873"/>
      <c r="CN68" s="873"/>
      <c r="CO68" s="873"/>
      <c r="CP68" s="873"/>
      <c r="CQ68" s="873"/>
      <c r="CR68" s="873"/>
      <c r="CS68" s="873"/>
      <c r="CT68" s="873"/>
      <c r="CU68" s="873"/>
      <c r="CV68" s="873"/>
      <c r="CW68" s="873"/>
      <c r="CX68" s="873"/>
      <c r="CY68" s="873"/>
      <c r="CZ68" s="873"/>
      <c r="DA68" s="873"/>
      <c r="DB68" s="873"/>
      <c r="DC68" s="873"/>
      <c r="DD68" s="873"/>
      <c r="DE68" s="873"/>
      <c r="DF68" s="873"/>
      <c r="DG68" s="873"/>
      <c r="DH68" s="873"/>
      <c r="DI68" s="873"/>
      <c r="DJ68" s="873"/>
      <c r="DK68" s="873"/>
      <c r="DL68" s="873"/>
      <c r="DM68" s="873"/>
      <c r="DN68" s="873"/>
      <c r="DO68" s="873"/>
      <c r="DP68" s="873"/>
      <c r="DQ68" s="873"/>
      <c r="DR68" s="873"/>
      <c r="DS68" s="873"/>
      <c r="DT68" s="873"/>
      <c r="DU68" s="873"/>
      <c r="DV68" s="873"/>
      <c r="DW68" s="873"/>
      <c r="DX68" s="873"/>
      <c r="DY68" s="873"/>
      <c r="DZ68" s="873"/>
      <c r="EA68" s="873"/>
      <c r="EB68" s="873"/>
      <c r="EC68" s="873"/>
      <c r="ED68" s="873"/>
      <c r="EE68" s="873"/>
      <c r="EF68" s="873"/>
      <c r="EG68" s="873"/>
      <c r="EH68" s="873"/>
      <c r="EI68" s="873"/>
      <c r="EJ68" s="873"/>
      <c r="EK68" s="873"/>
      <c r="EL68" s="873"/>
      <c r="EM68" s="873"/>
      <c r="EN68" s="873"/>
      <c r="EO68" s="873"/>
      <c r="EP68" s="873"/>
      <c r="EQ68" s="873"/>
      <c r="ER68" s="873"/>
      <c r="ES68" s="873"/>
      <c r="ET68" s="873"/>
      <c r="EU68" s="873"/>
      <c r="EV68" s="873"/>
      <c r="EW68" s="873"/>
      <c r="EX68" s="873"/>
      <c r="EY68" s="873"/>
      <c r="EZ68" s="873"/>
      <c r="FA68" s="873"/>
      <c r="FB68" s="873"/>
      <c r="FC68" s="873"/>
      <c r="FD68" s="873"/>
      <c r="FE68" s="873"/>
      <c r="FF68" s="873"/>
      <c r="FG68" s="873"/>
      <c r="FH68" s="873"/>
      <c r="FI68" s="873"/>
      <c r="FJ68" s="873"/>
      <c r="FK68" s="873"/>
      <c r="FL68" s="873"/>
      <c r="FM68" s="873"/>
      <c r="FN68" s="873"/>
      <c r="FO68" s="873"/>
      <c r="FP68" s="873"/>
      <c r="FQ68" s="873"/>
      <c r="FR68" s="873"/>
      <c r="FS68" s="873"/>
      <c r="FT68" s="873"/>
      <c r="FU68" s="873"/>
      <c r="FV68" s="873"/>
      <c r="FW68" s="873"/>
      <c r="FX68" s="873"/>
      <c r="FY68" s="873"/>
      <c r="FZ68" s="873"/>
      <c r="GA68" s="873"/>
      <c r="GB68" s="873"/>
      <c r="GC68" s="873"/>
      <c r="GD68" s="873"/>
      <c r="GE68" s="873"/>
      <c r="GF68" s="873"/>
      <c r="GG68" s="873"/>
      <c r="GH68" s="873"/>
      <c r="GI68" s="873"/>
      <c r="GJ68" s="873"/>
      <c r="GK68" s="873"/>
      <c r="GL68" s="873"/>
      <c r="GM68" s="873"/>
      <c r="GN68" s="873"/>
      <c r="GO68" s="873"/>
      <c r="GP68" s="873"/>
      <c r="GQ68" s="873"/>
      <c r="GR68" s="873"/>
      <c r="GS68" s="873"/>
      <c r="GT68" s="873"/>
      <c r="GU68" s="873"/>
      <c r="GV68" s="873"/>
      <c r="GW68" s="873"/>
      <c r="GX68" s="873"/>
      <c r="GY68" s="873"/>
      <c r="GZ68" s="873"/>
      <c r="HA68" s="873"/>
      <c r="HB68" s="873"/>
      <c r="HC68" s="873"/>
      <c r="HD68" s="873"/>
      <c r="HE68" s="873"/>
      <c r="HF68" s="873"/>
      <c r="HG68" s="873"/>
      <c r="HH68" s="873"/>
      <c r="HI68" s="873"/>
      <c r="HJ68" s="873"/>
      <c r="HK68" s="873"/>
      <c r="HL68" s="873"/>
      <c r="HM68" s="873"/>
      <c r="HN68" s="873"/>
      <c r="HO68" s="873"/>
      <c r="HP68" s="873"/>
      <c r="HQ68" s="873"/>
      <c r="HR68" s="873"/>
      <c r="HS68" s="873"/>
      <c r="HT68" s="873"/>
      <c r="HU68" s="873"/>
      <c r="HV68" s="873"/>
      <c r="HW68" s="873"/>
      <c r="HX68" s="873"/>
      <c r="HY68" s="873"/>
      <c r="HZ68" s="873"/>
      <c r="IA68" s="873"/>
      <c r="IB68" s="873"/>
      <c r="IC68" s="873"/>
      <c r="ID68" s="873"/>
      <c r="IE68" s="873"/>
      <c r="IF68" s="873"/>
      <c r="IG68" s="873"/>
      <c r="IH68" s="873"/>
      <c r="II68" s="873"/>
      <c r="IJ68" s="873"/>
      <c r="IK68" s="873"/>
      <c r="IL68" s="873"/>
      <c r="IM68" s="873"/>
      <c r="IN68" s="873"/>
      <c r="IO68" s="873"/>
      <c r="IP68" s="873"/>
      <c r="IQ68" s="873"/>
      <c r="IR68" s="873"/>
      <c r="IS68" s="873"/>
      <c r="IT68" s="873"/>
      <c r="IU68" s="873"/>
      <c r="IV68" s="873"/>
      <c r="IW68" s="873"/>
      <c r="IX68" s="873"/>
      <c r="IY68" s="873"/>
      <c r="IZ68" s="873"/>
      <c r="JA68" s="873"/>
      <c r="JB68" s="873"/>
      <c r="JC68" s="873"/>
      <c r="JD68" s="873"/>
      <c r="JE68" s="873"/>
      <c r="JF68" s="873"/>
      <c r="JG68" s="873"/>
      <c r="JH68" s="873"/>
      <c r="JI68" s="873"/>
      <c r="JJ68" s="873"/>
      <c r="JK68" s="873"/>
      <c r="JL68" s="873"/>
      <c r="JM68" s="873"/>
      <c r="JN68" s="873"/>
      <c r="JO68" s="873"/>
      <c r="JP68" s="873"/>
      <c r="JQ68" s="873"/>
      <c r="JR68" s="873"/>
      <c r="JS68" s="873"/>
      <c r="JT68" s="873"/>
      <c r="JU68" s="873"/>
      <c r="JV68" s="402"/>
    </row>
    <row r="69" spans="1:282">
      <c r="A69" s="672"/>
      <c r="B69" s="408"/>
      <c r="C69" s="873"/>
      <c r="D69" s="888"/>
      <c r="E69" s="671"/>
      <c r="F69" s="873"/>
      <c r="G69" s="873"/>
      <c r="H69" s="873"/>
      <c r="I69" s="873"/>
      <c r="J69" s="873"/>
      <c r="K69" s="873"/>
      <c r="L69" s="873"/>
      <c r="M69" s="873"/>
      <c r="N69" s="873"/>
      <c r="O69" s="873"/>
      <c r="P69" s="873"/>
      <c r="Q69" s="873"/>
      <c r="R69" s="873"/>
      <c r="S69" s="873"/>
      <c r="T69" s="873"/>
      <c r="U69" s="873"/>
      <c r="V69" s="873"/>
      <c r="W69" s="873"/>
      <c r="X69" s="873"/>
      <c r="Y69" s="873"/>
      <c r="Z69" s="873"/>
      <c r="AA69" s="394"/>
      <c r="AB69" s="873"/>
      <c r="AC69" s="394"/>
      <c r="AD69" s="873"/>
      <c r="AE69" s="873"/>
      <c r="AF69" s="873"/>
      <c r="AG69" s="873"/>
      <c r="AH69" s="873"/>
      <c r="AI69" s="873"/>
      <c r="AJ69" s="403"/>
      <c r="AK69" s="403"/>
      <c r="AL69" s="873"/>
      <c r="AM69" s="873"/>
      <c r="AN69" s="403"/>
      <c r="AO69" s="403"/>
      <c r="AP69" s="394"/>
      <c r="AQ69" s="394"/>
      <c r="AR69" s="394"/>
      <c r="AS69" s="394"/>
      <c r="AT69" s="394"/>
      <c r="AU69" s="873"/>
      <c r="AV69" s="873"/>
      <c r="AW69" s="873"/>
      <c r="AX69" s="873"/>
      <c r="AY69" s="873"/>
      <c r="AZ69" s="873"/>
      <c r="BA69" s="394"/>
      <c r="BB69" s="873"/>
      <c r="BC69" s="873"/>
      <c r="BD69" s="873"/>
      <c r="BE69" s="873"/>
      <c r="BF69" s="873"/>
      <c r="BG69" s="873"/>
      <c r="BH69" s="873"/>
      <c r="BI69" s="873"/>
      <c r="BJ69" s="873"/>
      <c r="BK69" s="873"/>
      <c r="BL69" s="873"/>
      <c r="BM69" s="873"/>
      <c r="BN69" s="873"/>
      <c r="BO69" s="873"/>
      <c r="BP69" s="873"/>
      <c r="BQ69" s="873"/>
      <c r="BR69" s="873"/>
      <c r="BS69" s="873"/>
      <c r="BT69" s="873"/>
      <c r="BU69" s="873"/>
      <c r="BV69" s="873"/>
      <c r="BW69" s="873"/>
      <c r="BX69" s="873"/>
      <c r="BY69" s="873"/>
      <c r="BZ69" s="873"/>
      <c r="CA69" s="873"/>
      <c r="CB69" s="873"/>
      <c r="CC69" s="873"/>
      <c r="CD69" s="873"/>
      <c r="CE69" s="873"/>
      <c r="CF69" s="873"/>
      <c r="CG69" s="873"/>
      <c r="CH69" s="873"/>
      <c r="CI69" s="873"/>
      <c r="CJ69" s="873"/>
      <c r="CK69" s="873"/>
      <c r="CL69" s="873"/>
      <c r="CM69" s="873"/>
      <c r="CN69" s="873"/>
      <c r="CO69" s="873"/>
      <c r="CP69" s="873"/>
      <c r="CQ69" s="873"/>
      <c r="CR69" s="873"/>
      <c r="CS69" s="873"/>
      <c r="CT69" s="873"/>
      <c r="CU69" s="873"/>
      <c r="CV69" s="873"/>
      <c r="CW69" s="873"/>
      <c r="CX69" s="873"/>
      <c r="CY69" s="873"/>
      <c r="CZ69" s="873"/>
      <c r="DA69" s="873"/>
      <c r="DB69" s="873"/>
      <c r="DC69" s="873"/>
      <c r="DD69" s="873"/>
      <c r="DE69" s="873"/>
      <c r="DF69" s="873"/>
      <c r="DG69" s="873"/>
      <c r="DH69" s="873"/>
      <c r="DI69" s="873"/>
      <c r="DJ69" s="873"/>
      <c r="DK69" s="873"/>
      <c r="DL69" s="873"/>
      <c r="DM69" s="873"/>
      <c r="DN69" s="873"/>
      <c r="DO69" s="873"/>
      <c r="DP69" s="873"/>
      <c r="DQ69" s="873"/>
      <c r="DR69" s="873"/>
      <c r="DS69" s="873"/>
      <c r="DT69" s="873"/>
      <c r="DU69" s="873"/>
      <c r="DV69" s="873"/>
      <c r="DW69" s="873"/>
      <c r="DX69" s="873"/>
      <c r="DY69" s="873"/>
      <c r="DZ69" s="873"/>
      <c r="EA69" s="873"/>
      <c r="EB69" s="873"/>
      <c r="EC69" s="873"/>
      <c r="ED69" s="873"/>
      <c r="EE69" s="873"/>
      <c r="EF69" s="873"/>
      <c r="EG69" s="873"/>
      <c r="EH69" s="873"/>
      <c r="EI69" s="873"/>
      <c r="EJ69" s="873"/>
      <c r="EK69" s="873"/>
      <c r="EL69" s="873"/>
      <c r="EM69" s="873"/>
      <c r="EN69" s="873"/>
      <c r="EO69" s="873"/>
      <c r="EP69" s="873"/>
      <c r="EQ69" s="873"/>
      <c r="ER69" s="873"/>
      <c r="ES69" s="873"/>
      <c r="ET69" s="873"/>
      <c r="EU69" s="873"/>
      <c r="EV69" s="873"/>
      <c r="EW69" s="873"/>
      <c r="EX69" s="873"/>
      <c r="EY69" s="873"/>
      <c r="EZ69" s="873"/>
      <c r="FA69" s="873"/>
      <c r="FB69" s="873"/>
      <c r="FC69" s="873"/>
      <c r="FD69" s="873"/>
      <c r="FE69" s="873"/>
      <c r="FF69" s="873"/>
      <c r="FG69" s="873"/>
      <c r="FH69" s="873"/>
      <c r="FI69" s="873"/>
      <c r="FJ69" s="873"/>
      <c r="FK69" s="873"/>
      <c r="FL69" s="873"/>
      <c r="FM69" s="873"/>
      <c r="FN69" s="873"/>
      <c r="FO69" s="873"/>
      <c r="FP69" s="873"/>
      <c r="FQ69" s="873"/>
      <c r="FR69" s="873"/>
      <c r="FS69" s="873"/>
      <c r="FT69" s="873"/>
      <c r="FU69" s="873"/>
      <c r="FV69" s="873"/>
      <c r="FW69" s="873"/>
      <c r="FX69" s="873"/>
      <c r="FY69" s="873"/>
      <c r="FZ69" s="873"/>
      <c r="GA69" s="873"/>
      <c r="GB69" s="873"/>
      <c r="GC69" s="873"/>
      <c r="GD69" s="873"/>
      <c r="GE69" s="873"/>
      <c r="GF69" s="873"/>
      <c r="GG69" s="873"/>
      <c r="GH69" s="873"/>
      <c r="GI69" s="873"/>
      <c r="GJ69" s="873"/>
      <c r="GK69" s="873"/>
      <c r="GL69" s="873"/>
      <c r="GM69" s="873"/>
      <c r="GN69" s="873"/>
      <c r="GO69" s="873"/>
      <c r="GP69" s="873"/>
      <c r="GQ69" s="873"/>
      <c r="GR69" s="873"/>
      <c r="GS69" s="873"/>
      <c r="GT69" s="873"/>
      <c r="GU69" s="873"/>
      <c r="GV69" s="873"/>
      <c r="GW69" s="873"/>
      <c r="GX69" s="873"/>
      <c r="GY69" s="873"/>
      <c r="GZ69" s="873"/>
      <c r="HA69" s="873"/>
      <c r="HB69" s="873"/>
      <c r="HC69" s="873"/>
      <c r="HD69" s="873"/>
      <c r="HE69" s="873"/>
      <c r="HF69" s="873"/>
      <c r="HG69" s="873"/>
      <c r="HH69" s="873"/>
      <c r="HI69" s="873"/>
      <c r="HJ69" s="873"/>
      <c r="HK69" s="873"/>
      <c r="HL69" s="873"/>
      <c r="HM69" s="873"/>
      <c r="HN69" s="873"/>
      <c r="HO69" s="873"/>
      <c r="HP69" s="873"/>
      <c r="HQ69" s="873"/>
      <c r="HR69" s="873"/>
      <c r="HS69" s="873"/>
      <c r="HT69" s="873"/>
      <c r="HU69" s="873"/>
      <c r="HV69" s="873"/>
      <c r="HW69" s="873"/>
      <c r="HX69" s="873"/>
      <c r="HY69" s="873"/>
      <c r="HZ69" s="873"/>
      <c r="IA69" s="873"/>
      <c r="IB69" s="873"/>
      <c r="IC69" s="873"/>
      <c r="ID69" s="873"/>
      <c r="IE69" s="873"/>
      <c r="IF69" s="873"/>
      <c r="IG69" s="873"/>
      <c r="IH69" s="873"/>
      <c r="II69" s="873"/>
      <c r="IJ69" s="873"/>
      <c r="IK69" s="873"/>
      <c r="IL69" s="873"/>
      <c r="IM69" s="873"/>
      <c r="IN69" s="873"/>
      <c r="IO69" s="873"/>
      <c r="IP69" s="873"/>
      <c r="IQ69" s="873"/>
      <c r="IR69" s="873"/>
      <c r="IS69" s="873"/>
      <c r="IT69" s="873"/>
      <c r="IU69" s="873"/>
      <c r="IV69" s="873"/>
      <c r="IW69" s="873"/>
      <c r="IX69" s="873"/>
      <c r="IY69" s="873"/>
      <c r="IZ69" s="873"/>
      <c r="JA69" s="873"/>
      <c r="JB69" s="873"/>
      <c r="JC69" s="873"/>
      <c r="JD69" s="873"/>
      <c r="JE69" s="873"/>
      <c r="JF69" s="873"/>
      <c r="JG69" s="873"/>
      <c r="JH69" s="873"/>
      <c r="JI69" s="873"/>
      <c r="JJ69" s="873"/>
      <c r="JK69" s="873"/>
      <c r="JL69" s="873"/>
      <c r="JM69" s="873"/>
      <c r="JN69" s="873"/>
      <c r="JO69" s="873"/>
      <c r="JP69" s="873"/>
      <c r="JQ69" s="873"/>
      <c r="JR69" s="873"/>
      <c r="JS69" s="873"/>
      <c r="JT69" s="873"/>
      <c r="JU69" s="873"/>
      <c r="JV69" s="402"/>
    </row>
    <row r="70" spans="1:282">
      <c r="A70" s="672"/>
      <c r="B70" s="408"/>
      <c r="C70" s="873"/>
      <c r="D70" s="888"/>
      <c r="E70" s="671"/>
      <c r="F70" s="873"/>
      <c r="G70" s="873"/>
      <c r="H70" s="873"/>
      <c r="I70" s="873"/>
      <c r="J70" s="873"/>
      <c r="K70" s="873"/>
      <c r="L70" s="873"/>
      <c r="M70" s="873"/>
      <c r="N70" s="873"/>
      <c r="O70" s="873"/>
      <c r="P70" s="873"/>
      <c r="Q70" s="873"/>
      <c r="R70" s="873"/>
      <c r="S70" s="873"/>
      <c r="T70" s="873"/>
      <c r="U70" s="873"/>
      <c r="V70" s="873"/>
      <c r="W70" s="873"/>
      <c r="X70" s="873"/>
      <c r="Y70" s="873"/>
      <c r="Z70" s="873"/>
      <c r="AA70" s="394"/>
      <c r="AB70" s="873"/>
      <c r="AC70" s="394"/>
      <c r="AD70" s="873"/>
      <c r="AE70" s="873"/>
      <c r="AF70" s="873"/>
      <c r="AG70" s="873"/>
      <c r="AH70" s="873"/>
      <c r="AI70" s="873"/>
      <c r="AJ70" s="403"/>
      <c r="AK70" s="403"/>
      <c r="AL70" s="873"/>
      <c r="AM70" s="873"/>
      <c r="AN70" s="403"/>
      <c r="AO70" s="403"/>
      <c r="AP70" s="394"/>
      <c r="AQ70" s="394"/>
      <c r="AR70" s="394"/>
      <c r="AS70" s="394"/>
      <c r="AT70" s="394"/>
      <c r="AU70" s="873"/>
      <c r="AV70" s="873"/>
      <c r="AW70" s="873"/>
      <c r="AX70" s="873"/>
      <c r="AY70" s="873"/>
      <c r="AZ70" s="873"/>
      <c r="BA70" s="394"/>
      <c r="BB70" s="873"/>
      <c r="BC70" s="873"/>
      <c r="BD70" s="873"/>
      <c r="BE70" s="873"/>
      <c r="BF70" s="873"/>
      <c r="BG70" s="873"/>
      <c r="BH70" s="873"/>
      <c r="BI70" s="873"/>
      <c r="BJ70" s="873"/>
      <c r="BK70" s="873"/>
      <c r="BL70" s="873"/>
      <c r="BM70" s="873"/>
      <c r="BN70" s="873"/>
      <c r="BO70" s="873"/>
      <c r="BP70" s="873"/>
      <c r="BQ70" s="873"/>
      <c r="BR70" s="873"/>
      <c r="BS70" s="873"/>
      <c r="BT70" s="873"/>
      <c r="BU70" s="873"/>
      <c r="BV70" s="873"/>
      <c r="BW70" s="873"/>
      <c r="BX70" s="873"/>
      <c r="BY70" s="873"/>
      <c r="BZ70" s="873"/>
      <c r="CA70" s="873"/>
      <c r="CB70" s="873"/>
      <c r="CC70" s="873"/>
      <c r="CD70" s="873"/>
      <c r="CE70" s="873"/>
      <c r="CF70" s="873"/>
      <c r="CG70" s="873"/>
      <c r="CH70" s="873"/>
      <c r="CI70" s="873"/>
      <c r="CJ70" s="873"/>
      <c r="CK70" s="873"/>
      <c r="CL70" s="873"/>
      <c r="CM70" s="873"/>
      <c r="CN70" s="873"/>
      <c r="CO70" s="873"/>
      <c r="CP70" s="873"/>
      <c r="CQ70" s="873"/>
      <c r="CR70" s="873"/>
      <c r="CS70" s="873"/>
      <c r="CT70" s="873"/>
      <c r="CU70" s="873"/>
      <c r="CV70" s="873"/>
      <c r="CW70" s="873"/>
      <c r="CX70" s="873"/>
      <c r="CY70" s="873"/>
      <c r="CZ70" s="873"/>
      <c r="DA70" s="873"/>
      <c r="DB70" s="873"/>
      <c r="DC70" s="873"/>
      <c r="DD70" s="873"/>
      <c r="DE70" s="873"/>
      <c r="DF70" s="873"/>
      <c r="DG70" s="873"/>
      <c r="DH70" s="873"/>
      <c r="DI70" s="873"/>
      <c r="DJ70" s="873"/>
      <c r="DK70" s="873"/>
      <c r="DL70" s="873"/>
      <c r="DM70" s="873"/>
      <c r="DN70" s="873"/>
      <c r="DO70" s="873"/>
      <c r="DP70" s="873"/>
      <c r="DQ70" s="873"/>
      <c r="DR70" s="873"/>
      <c r="DS70" s="873"/>
      <c r="DT70" s="873"/>
      <c r="DU70" s="873"/>
      <c r="DV70" s="873"/>
      <c r="DW70" s="873"/>
      <c r="DX70" s="873"/>
      <c r="DY70" s="873"/>
      <c r="DZ70" s="873"/>
      <c r="EA70" s="873"/>
      <c r="EB70" s="873"/>
      <c r="EC70" s="873"/>
      <c r="ED70" s="873"/>
      <c r="EE70" s="873"/>
      <c r="EF70" s="873"/>
      <c r="EG70" s="873"/>
      <c r="EH70" s="873"/>
      <c r="EI70" s="873"/>
      <c r="EJ70" s="873"/>
      <c r="EK70" s="873"/>
      <c r="EL70" s="873"/>
      <c r="EM70" s="873"/>
      <c r="EN70" s="873"/>
      <c r="EO70" s="873"/>
      <c r="EP70" s="873"/>
      <c r="EQ70" s="873"/>
      <c r="ER70" s="873"/>
      <c r="ES70" s="873"/>
      <c r="ET70" s="873"/>
      <c r="EU70" s="873"/>
      <c r="EV70" s="873"/>
      <c r="EW70" s="873"/>
      <c r="EX70" s="873"/>
      <c r="EY70" s="873"/>
      <c r="EZ70" s="873"/>
      <c r="FA70" s="873"/>
      <c r="FB70" s="873"/>
      <c r="FC70" s="873"/>
      <c r="FD70" s="873"/>
      <c r="FE70" s="873"/>
      <c r="FF70" s="873"/>
      <c r="FG70" s="873"/>
      <c r="FH70" s="873"/>
      <c r="FI70" s="873"/>
      <c r="FJ70" s="873"/>
      <c r="FK70" s="873"/>
      <c r="FL70" s="873"/>
      <c r="FM70" s="873"/>
      <c r="FN70" s="873"/>
      <c r="FO70" s="873"/>
      <c r="FP70" s="873"/>
      <c r="FQ70" s="873"/>
      <c r="FR70" s="873"/>
      <c r="FS70" s="873"/>
      <c r="FT70" s="873"/>
      <c r="FU70" s="873"/>
      <c r="FV70" s="873"/>
      <c r="FW70" s="873"/>
      <c r="FX70" s="873"/>
      <c r="FY70" s="873"/>
      <c r="FZ70" s="873"/>
      <c r="GA70" s="873"/>
      <c r="GB70" s="873"/>
      <c r="GC70" s="873"/>
      <c r="GD70" s="873"/>
      <c r="GE70" s="873"/>
      <c r="GF70" s="873"/>
      <c r="GG70" s="873"/>
      <c r="GH70" s="873"/>
      <c r="GI70" s="873"/>
      <c r="GJ70" s="873"/>
      <c r="GK70" s="873"/>
      <c r="GL70" s="873"/>
      <c r="GM70" s="873"/>
      <c r="GN70" s="873"/>
      <c r="GO70" s="873"/>
      <c r="GP70" s="873"/>
      <c r="GQ70" s="873"/>
      <c r="GR70" s="873"/>
      <c r="GS70" s="873"/>
      <c r="GT70" s="873"/>
      <c r="GU70" s="873"/>
      <c r="GV70" s="873"/>
      <c r="GW70" s="873"/>
      <c r="GX70" s="873"/>
      <c r="GY70" s="873"/>
      <c r="GZ70" s="873"/>
      <c r="HA70" s="873"/>
      <c r="HB70" s="873"/>
      <c r="HC70" s="873"/>
      <c r="HD70" s="873"/>
      <c r="HE70" s="873"/>
      <c r="HF70" s="873"/>
      <c r="HG70" s="873"/>
      <c r="HH70" s="873"/>
      <c r="HI70" s="873"/>
      <c r="HJ70" s="873"/>
      <c r="HK70" s="873"/>
      <c r="HL70" s="873"/>
      <c r="HM70" s="873"/>
      <c r="HN70" s="873"/>
      <c r="HO70" s="873"/>
      <c r="HP70" s="873"/>
      <c r="HQ70" s="873"/>
      <c r="HR70" s="873"/>
      <c r="HS70" s="873"/>
      <c r="HT70" s="873"/>
      <c r="HU70" s="873"/>
      <c r="HV70" s="873"/>
      <c r="HW70" s="873"/>
      <c r="HX70" s="873"/>
      <c r="HY70" s="873"/>
      <c r="HZ70" s="873"/>
      <c r="IA70" s="873"/>
      <c r="IB70" s="873"/>
      <c r="IC70" s="873"/>
      <c r="ID70" s="873"/>
      <c r="IE70" s="873"/>
      <c r="IF70" s="873"/>
      <c r="IG70" s="873"/>
      <c r="IH70" s="873"/>
      <c r="II70" s="873"/>
      <c r="IJ70" s="873"/>
      <c r="IK70" s="873"/>
      <c r="IL70" s="873"/>
      <c r="IM70" s="873"/>
      <c r="IN70" s="873"/>
      <c r="IO70" s="873"/>
      <c r="IP70" s="873"/>
      <c r="IQ70" s="873"/>
      <c r="IR70" s="873"/>
      <c r="IS70" s="873"/>
      <c r="IT70" s="873"/>
      <c r="IU70" s="873"/>
      <c r="IV70" s="873"/>
      <c r="IW70" s="873"/>
      <c r="IX70" s="873"/>
      <c r="IY70" s="873"/>
      <c r="IZ70" s="873"/>
      <c r="JA70" s="873"/>
      <c r="JB70" s="873"/>
      <c r="JC70" s="873"/>
      <c r="JD70" s="873"/>
      <c r="JE70" s="873"/>
      <c r="JF70" s="873"/>
      <c r="JG70" s="873"/>
      <c r="JH70" s="873"/>
      <c r="JI70" s="873"/>
      <c r="JJ70" s="873"/>
      <c r="JK70" s="873"/>
      <c r="JL70" s="873"/>
      <c r="JM70" s="873"/>
      <c r="JN70" s="873"/>
      <c r="JO70" s="873"/>
      <c r="JP70" s="873"/>
      <c r="JQ70" s="873"/>
      <c r="JR70" s="873"/>
      <c r="JS70" s="873"/>
      <c r="JT70" s="873"/>
      <c r="JU70" s="873"/>
      <c r="JV70" s="402"/>
    </row>
    <row r="71" spans="1:282">
      <c r="A71" s="672"/>
      <c r="B71" s="408"/>
      <c r="C71" s="873"/>
      <c r="D71" s="888"/>
      <c r="E71" s="671"/>
      <c r="F71" s="873"/>
      <c r="G71" s="873"/>
      <c r="H71" s="873"/>
      <c r="I71" s="873"/>
      <c r="J71" s="873"/>
      <c r="K71" s="873"/>
      <c r="L71" s="873"/>
      <c r="M71" s="873"/>
      <c r="N71" s="873"/>
      <c r="O71" s="873"/>
      <c r="P71" s="873"/>
      <c r="Q71" s="873"/>
      <c r="R71" s="873"/>
      <c r="S71" s="873"/>
      <c r="T71" s="873"/>
      <c r="U71" s="873"/>
      <c r="V71" s="873"/>
      <c r="W71" s="873"/>
      <c r="X71" s="873"/>
      <c r="Y71" s="873"/>
      <c r="Z71" s="873"/>
      <c r="AA71" s="394"/>
      <c r="AB71" s="873"/>
      <c r="AC71" s="394"/>
      <c r="AD71" s="873"/>
      <c r="AE71" s="873"/>
      <c r="AF71" s="873"/>
      <c r="AG71" s="873"/>
      <c r="AH71" s="873"/>
      <c r="AI71" s="873"/>
      <c r="AJ71" s="403"/>
      <c r="AK71" s="403"/>
      <c r="AL71" s="873"/>
      <c r="AM71" s="873"/>
      <c r="AN71" s="403"/>
      <c r="AO71" s="403"/>
      <c r="AP71" s="394"/>
      <c r="AQ71" s="394"/>
      <c r="AR71" s="394"/>
      <c r="AS71" s="394"/>
      <c r="AT71" s="394"/>
      <c r="AU71" s="873"/>
      <c r="AV71" s="873"/>
      <c r="AW71" s="873"/>
      <c r="AX71" s="873"/>
      <c r="AY71" s="873"/>
      <c r="AZ71" s="873"/>
      <c r="BA71" s="394"/>
      <c r="BB71" s="873"/>
      <c r="BC71" s="873"/>
      <c r="BD71" s="873"/>
      <c r="BE71" s="873"/>
      <c r="BF71" s="873"/>
      <c r="BG71" s="873"/>
      <c r="BH71" s="873"/>
      <c r="BI71" s="873"/>
      <c r="BJ71" s="873"/>
      <c r="BK71" s="873"/>
      <c r="BL71" s="873"/>
      <c r="BM71" s="873"/>
      <c r="BN71" s="873"/>
      <c r="BO71" s="873"/>
      <c r="BP71" s="873"/>
      <c r="BQ71" s="873"/>
      <c r="BR71" s="873"/>
      <c r="BS71" s="873"/>
      <c r="BT71" s="873"/>
      <c r="BU71" s="873"/>
      <c r="BV71" s="873"/>
      <c r="BW71" s="873"/>
      <c r="BX71" s="873"/>
      <c r="BY71" s="873"/>
      <c r="BZ71" s="873"/>
      <c r="CA71" s="873"/>
      <c r="CB71" s="873"/>
      <c r="CC71" s="873"/>
      <c r="CD71" s="873"/>
      <c r="CE71" s="873"/>
      <c r="CF71" s="873"/>
      <c r="CG71" s="873"/>
      <c r="CH71" s="873"/>
      <c r="CI71" s="873"/>
      <c r="CJ71" s="873"/>
      <c r="CK71" s="873"/>
      <c r="CL71" s="873"/>
      <c r="CM71" s="873"/>
      <c r="CN71" s="873"/>
      <c r="CO71" s="873"/>
      <c r="CP71" s="873"/>
      <c r="CQ71" s="873"/>
      <c r="CR71" s="873"/>
      <c r="CS71" s="873"/>
      <c r="CT71" s="873"/>
      <c r="CU71" s="873"/>
      <c r="CV71" s="873"/>
      <c r="CW71" s="873"/>
      <c r="CX71" s="873"/>
      <c r="CY71" s="873"/>
      <c r="CZ71" s="873"/>
      <c r="DA71" s="873"/>
      <c r="DB71" s="873"/>
      <c r="DC71" s="873"/>
      <c r="DD71" s="873"/>
      <c r="DE71" s="873"/>
      <c r="DF71" s="873"/>
      <c r="DG71" s="873"/>
      <c r="DH71" s="873"/>
      <c r="DI71" s="873"/>
      <c r="DJ71" s="873"/>
      <c r="DK71" s="873"/>
      <c r="DL71" s="873"/>
      <c r="DM71" s="873"/>
      <c r="DN71" s="873"/>
      <c r="DO71" s="873"/>
      <c r="DP71" s="873"/>
      <c r="DQ71" s="873"/>
      <c r="DR71" s="873"/>
      <c r="DS71" s="873"/>
      <c r="DT71" s="873"/>
      <c r="DU71" s="873"/>
      <c r="DV71" s="873"/>
      <c r="DW71" s="873"/>
      <c r="DX71" s="873"/>
      <c r="DY71" s="873"/>
      <c r="DZ71" s="873"/>
      <c r="EA71" s="873"/>
      <c r="EB71" s="873"/>
      <c r="EC71" s="873"/>
      <c r="ED71" s="873"/>
      <c r="EE71" s="873"/>
      <c r="EF71" s="873"/>
      <c r="EG71" s="873"/>
      <c r="EH71" s="873"/>
      <c r="EI71" s="873"/>
      <c r="EJ71" s="873"/>
      <c r="EK71" s="873"/>
      <c r="EL71" s="873"/>
      <c r="EM71" s="873"/>
      <c r="EN71" s="873"/>
      <c r="EO71" s="873"/>
      <c r="EP71" s="873"/>
      <c r="EQ71" s="873"/>
      <c r="ER71" s="873"/>
      <c r="ES71" s="873"/>
      <c r="ET71" s="873"/>
      <c r="EU71" s="873"/>
      <c r="EV71" s="873"/>
      <c r="EW71" s="873"/>
      <c r="EX71" s="873"/>
      <c r="EY71" s="873"/>
      <c r="EZ71" s="873"/>
      <c r="FA71" s="873"/>
      <c r="FB71" s="873"/>
      <c r="FC71" s="873"/>
      <c r="FD71" s="873"/>
      <c r="FE71" s="873"/>
      <c r="FF71" s="873"/>
      <c r="FG71" s="873"/>
      <c r="FH71" s="873"/>
      <c r="FI71" s="873"/>
      <c r="FJ71" s="873"/>
      <c r="FK71" s="873"/>
      <c r="FL71" s="873"/>
      <c r="FM71" s="873"/>
      <c r="FN71" s="873"/>
      <c r="FO71" s="873"/>
      <c r="FP71" s="873"/>
      <c r="FQ71" s="873"/>
      <c r="FR71" s="873"/>
      <c r="FS71" s="873"/>
      <c r="FT71" s="873"/>
      <c r="FU71" s="873"/>
      <c r="FV71" s="873"/>
      <c r="FW71" s="873"/>
      <c r="FX71" s="873"/>
      <c r="FY71" s="873"/>
      <c r="FZ71" s="873"/>
      <c r="GA71" s="873"/>
      <c r="GB71" s="873"/>
      <c r="GC71" s="873"/>
      <c r="GD71" s="873"/>
      <c r="GE71" s="873"/>
      <c r="GF71" s="873"/>
      <c r="GG71" s="873"/>
      <c r="GH71" s="873"/>
      <c r="GI71" s="873"/>
      <c r="GJ71" s="873"/>
      <c r="GK71" s="873"/>
      <c r="GL71" s="873"/>
      <c r="GM71" s="873"/>
      <c r="GN71" s="873"/>
      <c r="GO71" s="873"/>
      <c r="GP71" s="873"/>
      <c r="GQ71" s="873"/>
      <c r="GR71" s="873"/>
      <c r="GS71" s="873"/>
      <c r="GT71" s="873"/>
      <c r="GU71" s="873"/>
      <c r="GV71" s="873"/>
      <c r="GW71" s="873"/>
      <c r="GX71" s="873"/>
      <c r="GY71" s="873"/>
      <c r="GZ71" s="873"/>
      <c r="HA71" s="873"/>
      <c r="HB71" s="873"/>
      <c r="HC71" s="873"/>
      <c r="HD71" s="873"/>
      <c r="HE71" s="873"/>
      <c r="HF71" s="873"/>
      <c r="HG71" s="873"/>
      <c r="HH71" s="873"/>
      <c r="HI71" s="873"/>
      <c r="HJ71" s="873"/>
      <c r="HK71" s="873"/>
      <c r="HL71" s="873"/>
      <c r="HM71" s="873"/>
      <c r="HN71" s="873"/>
      <c r="HO71" s="873"/>
      <c r="HP71" s="873"/>
      <c r="HQ71" s="873"/>
      <c r="HR71" s="873"/>
      <c r="HS71" s="873"/>
      <c r="HT71" s="873"/>
      <c r="HU71" s="873"/>
      <c r="HV71" s="873"/>
      <c r="HW71" s="873"/>
      <c r="HX71" s="873"/>
      <c r="HY71" s="873"/>
      <c r="HZ71" s="873"/>
      <c r="IA71" s="873"/>
      <c r="IB71" s="873"/>
      <c r="IC71" s="873"/>
      <c r="ID71" s="873"/>
      <c r="IE71" s="873"/>
      <c r="IF71" s="873"/>
      <c r="IG71" s="873"/>
      <c r="IH71" s="873"/>
      <c r="II71" s="873"/>
      <c r="IJ71" s="873"/>
      <c r="IK71" s="873"/>
      <c r="IL71" s="873"/>
      <c r="IM71" s="873"/>
      <c r="IN71" s="873"/>
      <c r="IO71" s="873"/>
      <c r="IP71" s="873"/>
      <c r="IQ71" s="873"/>
      <c r="IR71" s="873"/>
      <c r="IS71" s="873"/>
      <c r="IT71" s="873"/>
      <c r="IU71" s="873"/>
      <c r="IV71" s="873"/>
      <c r="IW71" s="873"/>
      <c r="IX71" s="873"/>
      <c r="IY71" s="873"/>
      <c r="IZ71" s="873"/>
      <c r="JA71" s="873"/>
      <c r="JB71" s="873"/>
      <c r="JC71" s="873"/>
      <c r="JD71" s="873"/>
      <c r="JE71" s="873"/>
      <c r="JF71" s="873"/>
      <c r="JG71" s="873"/>
      <c r="JH71" s="873"/>
      <c r="JI71" s="873"/>
      <c r="JJ71" s="873"/>
      <c r="JK71" s="873"/>
      <c r="JL71" s="873"/>
      <c r="JM71" s="873"/>
      <c r="JN71" s="873"/>
      <c r="JO71" s="873"/>
      <c r="JP71" s="873"/>
      <c r="JQ71" s="873"/>
      <c r="JR71" s="873"/>
      <c r="JS71" s="873"/>
      <c r="JT71" s="873"/>
      <c r="JU71" s="873"/>
      <c r="JV71" s="402"/>
    </row>
    <row r="72" spans="1:282">
      <c r="A72" s="672"/>
      <c r="B72" s="408"/>
      <c r="C72" s="873"/>
      <c r="D72" s="888"/>
      <c r="E72" s="671"/>
      <c r="F72" s="873"/>
      <c r="G72" s="873"/>
      <c r="H72" s="873"/>
      <c r="I72" s="873"/>
      <c r="J72" s="873"/>
      <c r="K72" s="873"/>
      <c r="L72" s="873"/>
      <c r="M72" s="873"/>
      <c r="N72" s="873"/>
      <c r="O72" s="873"/>
      <c r="P72" s="873"/>
      <c r="Q72" s="873"/>
      <c r="R72" s="873"/>
      <c r="S72" s="873"/>
      <c r="T72" s="873"/>
      <c r="U72" s="873"/>
      <c r="V72" s="873"/>
      <c r="W72" s="873"/>
      <c r="X72" s="873"/>
      <c r="Y72" s="873"/>
      <c r="Z72" s="873"/>
      <c r="AA72" s="394"/>
      <c r="AB72" s="873"/>
      <c r="AC72" s="394"/>
      <c r="AD72" s="873"/>
      <c r="AE72" s="873"/>
      <c r="AF72" s="873"/>
      <c r="AG72" s="873"/>
      <c r="AH72" s="873"/>
      <c r="AI72" s="873"/>
      <c r="AJ72" s="403"/>
      <c r="AK72" s="403"/>
      <c r="AL72" s="873"/>
      <c r="AM72" s="873"/>
      <c r="AN72" s="403"/>
      <c r="AO72" s="403"/>
      <c r="AP72" s="394"/>
      <c r="AQ72" s="394"/>
      <c r="AR72" s="394"/>
      <c r="AS72" s="394"/>
      <c r="AT72" s="394"/>
      <c r="AU72" s="873"/>
      <c r="AV72" s="873"/>
      <c r="AW72" s="873"/>
      <c r="AX72" s="873"/>
      <c r="AY72" s="873"/>
      <c r="AZ72" s="873"/>
      <c r="BA72" s="394"/>
      <c r="BB72" s="873"/>
      <c r="BC72" s="873"/>
      <c r="BD72" s="873"/>
      <c r="BE72" s="873"/>
      <c r="BF72" s="873"/>
      <c r="BG72" s="873"/>
      <c r="BH72" s="873"/>
      <c r="BI72" s="873"/>
      <c r="BJ72" s="873"/>
      <c r="BK72" s="873"/>
      <c r="BL72" s="873"/>
      <c r="BM72" s="873"/>
      <c r="BN72" s="873"/>
      <c r="BO72" s="873"/>
      <c r="BP72" s="873"/>
      <c r="BQ72" s="873"/>
      <c r="BR72" s="873"/>
      <c r="BS72" s="873"/>
      <c r="BT72" s="873"/>
      <c r="BU72" s="873"/>
      <c r="BV72" s="873"/>
      <c r="BW72" s="873"/>
      <c r="BX72" s="873"/>
      <c r="BY72" s="873"/>
      <c r="BZ72" s="873"/>
      <c r="CA72" s="873"/>
      <c r="CB72" s="873"/>
      <c r="CC72" s="873"/>
      <c r="CD72" s="873"/>
      <c r="CE72" s="873"/>
      <c r="CF72" s="873"/>
      <c r="CG72" s="873"/>
      <c r="CH72" s="873"/>
      <c r="CI72" s="873"/>
      <c r="CJ72" s="873"/>
      <c r="CK72" s="873"/>
      <c r="CL72" s="873"/>
      <c r="CM72" s="873"/>
      <c r="CN72" s="873"/>
      <c r="CO72" s="873"/>
      <c r="CP72" s="873"/>
      <c r="CQ72" s="873"/>
      <c r="CR72" s="873"/>
      <c r="CS72" s="873"/>
      <c r="CT72" s="873"/>
      <c r="CU72" s="873"/>
      <c r="CV72" s="873"/>
      <c r="CW72" s="873"/>
      <c r="CX72" s="873"/>
      <c r="CY72" s="873"/>
      <c r="CZ72" s="873"/>
      <c r="DA72" s="873"/>
      <c r="DB72" s="873"/>
      <c r="DC72" s="873"/>
      <c r="DD72" s="873"/>
      <c r="DE72" s="873"/>
      <c r="DF72" s="873"/>
      <c r="DG72" s="873"/>
      <c r="DH72" s="873"/>
      <c r="DI72" s="873"/>
      <c r="DJ72" s="873"/>
      <c r="DK72" s="873"/>
      <c r="DL72" s="873"/>
      <c r="DM72" s="873"/>
      <c r="DN72" s="873"/>
      <c r="DO72" s="873"/>
      <c r="DP72" s="873"/>
      <c r="DQ72" s="873"/>
      <c r="DR72" s="873"/>
      <c r="DS72" s="873"/>
      <c r="DT72" s="873"/>
      <c r="DU72" s="873"/>
      <c r="DV72" s="873"/>
      <c r="DW72" s="873"/>
      <c r="DX72" s="873"/>
      <c r="DY72" s="873"/>
      <c r="DZ72" s="873"/>
      <c r="EA72" s="873"/>
      <c r="EB72" s="873"/>
      <c r="EC72" s="873"/>
      <c r="ED72" s="873"/>
      <c r="EE72" s="873"/>
      <c r="EF72" s="873"/>
      <c r="EG72" s="873"/>
      <c r="EH72" s="873"/>
      <c r="EI72" s="873"/>
      <c r="EJ72" s="873"/>
      <c r="EK72" s="873"/>
      <c r="EL72" s="873"/>
      <c r="EM72" s="873"/>
      <c r="EN72" s="873"/>
      <c r="EO72" s="873"/>
      <c r="EP72" s="873"/>
      <c r="EQ72" s="873"/>
      <c r="ER72" s="873"/>
      <c r="ES72" s="873"/>
      <c r="ET72" s="873"/>
      <c r="EU72" s="873"/>
      <c r="EV72" s="873"/>
      <c r="EW72" s="873"/>
      <c r="EX72" s="873"/>
      <c r="EY72" s="873"/>
      <c r="EZ72" s="873"/>
      <c r="FA72" s="873"/>
      <c r="FB72" s="873"/>
      <c r="FC72" s="873"/>
      <c r="FD72" s="873"/>
      <c r="FE72" s="873"/>
      <c r="FF72" s="873"/>
      <c r="FG72" s="873"/>
      <c r="FH72" s="873"/>
      <c r="FI72" s="873"/>
      <c r="FJ72" s="873"/>
      <c r="FK72" s="873"/>
      <c r="FL72" s="873"/>
      <c r="FM72" s="873"/>
      <c r="FN72" s="873"/>
      <c r="FO72" s="873"/>
      <c r="FP72" s="873"/>
      <c r="FQ72" s="873"/>
      <c r="FR72" s="873"/>
      <c r="FS72" s="873"/>
      <c r="FT72" s="873"/>
      <c r="FU72" s="873"/>
      <c r="FV72" s="873"/>
      <c r="FW72" s="873"/>
      <c r="FX72" s="873"/>
      <c r="FY72" s="873"/>
      <c r="FZ72" s="873"/>
      <c r="GA72" s="873"/>
      <c r="GB72" s="873"/>
      <c r="GC72" s="873"/>
      <c r="GD72" s="873"/>
      <c r="GE72" s="873"/>
      <c r="GF72" s="873"/>
      <c r="GG72" s="873"/>
      <c r="GH72" s="873"/>
      <c r="GI72" s="873"/>
      <c r="GJ72" s="873"/>
      <c r="GK72" s="873"/>
      <c r="GL72" s="873"/>
      <c r="GM72" s="873"/>
      <c r="GN72" s="873"/>
      <c r="GO72" s="873"/>
      <c r="GP72" s="873"/>
      <c r="GQ72" s="873"/>
      <c r="GR72" s="873"/>
      <c r="GS72" s="873"/>
      <c r="GT72" s="873"/>
      <c r="GU72" s="873"/>
      <c r="GV72" s="873"/>
      <c r="GW72" s="873"/>
      <c r="GX72" s="873"/>
      <c r="GY72" s="873"/>
      <c r="GZ72" s="873"/>
      <c r="HA72" s="873"/>
      <c r="HB72" s="873"/>
      <c r="HC72" s="873"/>
      <c r="HD72" s="873"/>
      <c r="HE72" s="873"/>
      <c r="HF72" s="873"/>
      <c r="HG72" s="873"/>
      <c r="HH72" s="873"/>
      <c r="HI72" s="873"/>
      <c r="HJ72" s="873"/>
      <c r="HK72" s="873"/>
      <c r="HL72" s="873"/>
      <c r="HM72" s="873"/>
      <c r="HN72" s="873"/>
      <c r="HO72" s="873"/>
      <c r="HP72" s="873"/>
      <c r="HQ72" s="873"/>
      <c r="HR72" s="873"/>
      <c r="HS72" s="873"/>
      <c r="HT72" s="873"/>
      <c r="HU72" s="873"/>
      <c r="HV72" s="873"/>
      <c r="HW72" s="873"/>
      <c r="HX72" s="873"/>
      <c r="HY72" s="873"/>
      <c r="HZ72" s="873"/>
      <c r="IA72" s="873"/>
      <c r="IB72" s="873"/>
      <c r="IC72" s="873"/>
      <c r="ID72" s="873"/>
      <c r="IE72" s="873"/>
      <c r="IF72" s="873"/>
      <c r="IG72" s="873"/>
      <c r="IH72" s="873"/>
      <c r="II72" s="873"/>
      <c r="IJ72" s="873"/>
      <c r="IK72" s="873"/>
      <c r="IL72" s="873"/>
      <c r="IM72" s="873"/>
      <c r="IN72" s="873"/>
      <c r="IO72" s="873"/>
      <c r="IP72" s="873"/>
      <c r="IQ72" s="873"/>
      <c r="IR72" s="873"/>
      <c r="IS72" s="873"/>
      <c r="IT72" s="873"/>
      <c r="IU72" s="873"/>
      <c r="IV72" s="873"/>
      <c r="IW72" s="873"/>
      <c r="IX72" s="873"/>
      <c r="IY72" s="873"/>
      <c r="IZ72" s="873"/>
      <c r="JA72" s="873"/>
      <c r="JB72" s="873"/>
      <c r="JC72" s="873"/>
      <c r="JD72" s="873"/>
      <c r="JE72" s="873"/>
      <c r="JF72" s="873"/>
      <c r="JG72" s="873"/>
      <c r="JH72" s="873"/>
      <c r="JI72" s="873"/>
      <c r="JJ72" s="873"/>
      <c r="JK72" s="873"/>
      <c r="JL72" s="873"/>
      <c r="JM72" s="873"/>
      <c r="JN72" s="873"/>
      <c r="JO72" s="873"/>
      <c r="JP72" s="873"/>
      <c r="JQ72" s="873"/>
      <c r="JR72" s="873"/>
      <c r="JS72" s="873"/>
      <c r="JT72" s="873"/>
      <c r="JU72" s="873"/>
      <c r="JV72" s="402"/>
    </row>
    <row r="73" spans="1:282">
      <c r="A73" s="672"/>
      <c r="B73" s="408"/>
      <c r="C73" s="873"/>
      <c r="D73" s="888"/>
      <c r="E73" s="671"/>
      <c r="F73" s="873"/>
      <c r="G73" s="873"/>
      <c r="H73" s="873"/>
      <c r="I73" s="873"/>
      <c r="J73" s="873"/>
      <c r="K73" s="873"/>
      <c r="L73" s="873"/>
      <c r="M73" s="873"/>
      <c r="N73" s="873"/>
      <c r="O73" s="873"/>
      <c r="P73" s="873"/>
      <c r="Q73" s="873"/>
      <c r="R73" s="873"/>
      <c r="S73" s="873"/>
      <c r="T73" s="873"/>
      <c r="U73" s="873"/>
      <c r="V73" s="873"/>
      <c r="W73" s="873"/>
      <c r="X73" s="873"/>
      <c r="Y73" s="873"/>
      <c r="Z73" s="873"/>
      <c r="AA73" s="394"/>
      <c r="AB73" s="873"/>
      <c r="AC73" s="394"/>
      <c r="AD73" s="873"/>
      <c r="AE73" s="873"/>
      <c r="AF73" s="873"/>
      <c r="AG73" s="873"/>
      <c r="AH73" s="873"/>
      <c r="AI73" s="873"/>
      <c r="AJ73" s="403"/>
      <c r="AK73" s="403"/>
      <c r="AL73" s="873"/>
      <c r="AM73" s="873"/>
      <c r="AN73" s="403"/>
      <c r="AO73" s="403"/>
      <c r="AP73" s="394"/>
      <c r="AQ73" s="394"/>
      <c r="AR73" s="394"/>
      <c r="AS73" s="394"/>
      <c r="AT73" s="394"/>
      <c r="AU73" s="873"/>
      <c r="AV73" s="873"/>
      <c r="AW73" s="873"/>
      <c r="AX73" s="873"/>
      <c r="AY73" s="873"/>
      <c r="AZ73" s="873"/>
      <c r="BA73" s="394"/>
      <c r="BB73" s="873"/>
      <c r="BC73" s="873"/>
      <c r="BD73" s="873"/>
      <c r="BE73" s="873"/>
      <c r="BF73" s="873"/>
      <c r="BG73" s="873"/>
      <c r="BH73" s="873"/>
      <c r="BI73" s="873"/>
      <c r="BJ73" s="873"/>
      <c r="BK73" s="873"/>
      <c r="BL73" s="873"/>
      <c r="BM73" s="873"/>
      <c r="BN73" s="873"/>
      <c r="BO73" s="873"/>
      <c r="BP73" s="873"/>
      <c r="BQ73" s="873"/>
      <c r="BR73" s="873"/>
      <c r="BS73" s="873"/>
      <c r="BT73" s="873"/>
      <c r="BU73" s="873"/>
      <c r="BV73" s="873"/>
      <c r="BW73" s="873"/>
      <c r="BX73" s="873"/>
      <c r="BY73" s="873"/>
      <c r="BZ73" s="873"/>
      <c r="CA73" s="873"/>
      <c r="CB73" s="873"/>
      <c r="CC73" s="873"/>
      <c r="CD73" s="873"/>
      <c r="CE73" s="873"/>
      <c r="CF73" s="873"/>
      <c r="CG73" s="873"/>
      <c r="CH73" s="873"/>
      <c r="CI73" s="873"/>
      <c r="CJ73" s="873"/>
      <c r="CK73" s="873"/>
      <c r="CL73" s="873"/>
      <c r="CM73" s="873"/>
      <c r="CN73" s="873"/>
      <c r="CO73" s="873"/>
      <c r="CP73" s="873"/>
      <c r="CQ73" s="873"/>
      <c r="CR73" s="873"/>
      <c r="CS73" s="873"/>
      <c r="CT73" s="873"/>
      <c r="CU73" s="873"/>
      <c r="CV73" s="873"/>
      <c r="CW73" s="873"/>
      <c r="CX73" s="873"/>
      <c r="CY73" s="873"/>
      <c r="CZ73" s="873"/>
      <c r="DA73" s="873"/>
      <c r="DB73" s="873"/>
      <c r="DC73" s="873"/>
      <c r="DD73" s="873"/>
      <c r="DE73" s="873"/>
      <c r="DF73" s="873"/>
      <c r="DG73" s="873"/>
      <c r="DH73" s="873"/>
      <c r="DI73" s="873"/>
      <c r="DJ73" s="873"/>
      <c r="DK73" s="873"/>
      <c r="DL73" s="873"/>
      <c r="DM73" s="873"/>
      <c r="DN73" s="873"/>
      <c r="DO73" s="873"/>
      <c r="DP73" s="873"/>
      <c r="DQ73" s="873"/>
      <c r="DR73" s="873"/>
      <c r="DS73" s="873"/>
      <c r="DT73" s="873"/>
      <c r="DU73" s="873"/>
      <c r="DV73" s="873"/>
      <c r="DW73" s="873"/>
      <c r="DX73" s="873"/>
      <c r="DY73" s="873"/>
      <c r="DZ73" s="873"/>
      <c r="EA73" s="873"/>
      <c r="EB73" s="873"/>
      <c r="EC73" s="873"/>
      <c r="ED73" s="873"/>
      <c r="EE73" s="873"/>
      <c r="EF73" s="873"/>
      <c r="EG73" s="873"/>
      <c r="EH73" s="873"/>
      <c r="EI73" s="873"/>
      <c r="EJ73" s="873"/>
      <c r="EK73" s="873"/>
      <c r="EL73" s="873"/>
      <c r="EM73" s="873"/>
      <c r="EN73" s="873"/>
      <c r="EO73" s="873"/>
      <c r="EP73" s="873"/>
      <c r="EQ73" s="873"/>
      <c r="ER73" s="873"/>
      <c r="ES73" s="873"/>
      <c r="ET73" s="873"/>
      <c r="EU73" s="873"/>
      <c r="EV73" s="873"/>
      <c r="EW73" s="873"/>
      <c r="EX73" s="873"/>
      <c r="EY73" s="873"/>
      <c r="EZ73" s="873"/>
      <c r="FA73" s="873"/>
      <c r="FB73" s="873"/>
      <c r="FC73" s="873"/>
      <c r="FD73" s="873"/>
      <c r="FE73" s="873"/>
      <c r="FF73" s="873"/>
      <c r="FG73" s="873"/>
      <c r="FH73" s="873"/>
      <c r="FI73" s="873"/>
      <c r="FJ73" s="873"/>
      <c r="FK73" s="873"/>
      <c r="FL73" s="873"/>
      <c r="FM73" s="873"/>
      <c r="FN73" s="873"/>
      <c r="FO73" s="873"/>
      <c r="FP73" s="873"/>
      <c r="FQ73" s="873"/>
      <c r="FR73" s="873"/>
      <c r="FS73" s="873"/>
      <c r="FT73" s="873"/>
      <c r="FU73" s="873"/>
      <c r="FV73" s="873"/>
      <c r="FW73" s="873"/>
      <c r="FX73" s="873"/>
      <c r="FY73" s="873"/>
      <c r="FZ73" s="873"/>
      <c r="GA73" s="873"/>
      <c r="GB73" s="873"/>
      <c r="GC73" s="873"/>
      <c r="GD73" s="873"/>
      <c r="GE73" s="873"/>
      <c r="GF73" s="873"/>
      <c r="GG73" s="873"/>
      <c r="GH73" s="873"/>
      <c r="GI73" s="873"/>
      <c r="GJ73" s="873"/>
      <c r="GK73" s="873"/>
      <c r="GL73" s="873"/>
      <c r="GM73" s="873"/>
      <c r="GN73" s="873"/>
      <c r="GO73" s="873"/>
      <c r="GP73" s="873"/>
      <c r="GQ73" s="873"/>
      <c r="GR73" s="873"/>
      <c r="GS73" s="873"/>
      <c r="GT73" s="873"/>
      <c r="GU73" s="873"/>
      <c r="GV73" s="873"/>
      <c r="GW73" s="873"/>
      <c r="GX73" s="873"/>
      <c r="GY73" s="873"/>
      <c r="GZ73" s="873"/>
      <c r="HA73" s="873"/>
      <c r="HB73" s="873"/>
      <c r="HC73" s="873"/>
      <c r="HD73" s="873"/>
      <c r="HE73" s="873"/>
      <c r="HF73" s="873"/>
      <c r="HG73" s="873"/>
      <c r="HH73" s="873"/>
      <c r="HI73" s="873"/>
      <c r="HJ73" s="873"/>
      <c r="HK73" s="873"/>
      <c r="HL73" s="873"/>
      <c r="HM73" s="873"/>
      <c r="HN73" s="873"/>
      <c r="HO73" s="873"/>
      <c r="HP73" s="873"/>
      <c r="HQ73" s="873"/>
      <c r="HR73" s="873"/>
      <c r="HS73" s="873"/>
      <c r="HT73" s="873"/>
      <c r="HU73" s="873"/>
      <c r="HV73" s="873"/>
      <c r="HW73" s="873"/>
      <c r="HX73" s="873"/>
      <c r="HY73" s="873"/>
      <c r="HZ73" s="873"/>
      <c r="IA73" s="873"/>
      <c r="IB73" s="873"/>
      <c r="IC73" s="873"/>
      <c r="ID73" s="873"/>
      <c r="IE73" s="873"/>
      <c r="IF73" s="873"/>
      <c r="IG73" s="873"/>
      <c r="IH73" s="873"/>
      <c r="II73" s="873"/>
      <c r="IJ73" s="873"/>
      <c r="IK73" s="873"/>
      <c r="IL73" s="873"/>
      <c r="IM73" s="873"/>
      <c r="IN73" s="873"/>
      <c r="IO73" s="873"/>
      <c r="IP73" s="873"/>
      <c r="IQ73" s="873"/>
      <c r="IR73" s="873"/>
      <c r="IS73" s="873"/>
      <c r="IT73" s="873"/>
      <c r="IU73" s="873"/>
      <c r="IV73" s="873"/>
      <c r="IW73" s="873"/>
      <c r="IX73" s="873"/>
      <c r="IY73" s="873"/>
      <c r="IZ73" s="873"/>
      <c r="JA73" s="873"/>
      <c r="JB73" s="873"/>
      <c r="JC73" s="873"/>
      <c r="JD73" s="873"/>
      <c r="JE73" s="873"/>
      <c r="JF73" s="873"/>
      <c r="JG73" s="873"/>
      <c r="JH73" s="873"/>
      <c r="JI73" s="873"/>
      <c r="JJ73" s="873"/>
      <c r="JK73" s="873"/>
      <c r="JL73" s="873"/>
      <c r="JM73" s="873"/>
      <c r="JN73" s="873"/>
      <c r="JO73" s="873"/>
      <c r="JP73" s="873"/>
      <c r="JQ73" s="873"/>
      <c r="JR73" s="873"/>
      <c r="JS73" s="873"/>
      <c r="JT73" s="873"/>
      <c r="JU73" s="873"/>
      <c r="JV73" s="402"/>
    </row>
    <row r="74" spans="1:282">
      <c r="A74" s="672"/>
      <c r="B74" s="408"/>
      <c r="C74" s="873"/>
      <c r="D74" s="888"/>
      <c r="E74" s="671"/>
      <c r="F74" s="873"/>
      <c r="G74" s="873"/>
      <c r="H74" s="873"/>
      <c r="I74" s="873"/>
      <c r="J74" s="873"/>
      <c r="K74" s="873"/>
      <c r="L74" s="873"/>
      <c r="M74" s="873"/>
      <c r="N74" s="873"/>
      <c r="O74" s="873"/>
      <c r="P74" s="873"/>
      <c r="Q74" s="873"/>
      <c r="R74" s="873"/>
      <c r="S74" s="873"/>
      <c r="T74" s="873"/>
      <c r="U74" s="873"/>
      <c r="V74" s="873"/>
      <c r="W74" s="873"/>
      <c r="X74" s="873"/>
      <c r="Y74" s="873"/>
      <c r="Z74" s="873"/>
      <c r="AA74" s="394"/>
      <c r="AB74" s="873"/>
      <c r="AC74" s="394"/>
      <c r="AD74" s="873"/>
      <c r="AE74" s="873"/>
      <c r="AF74" s="873"/>
      <c r="AG74" s="873"/>
      <c r="AH74" s="873"/>
      <c r="AI74" s="873"/>
      <c r="AJ74" s="403"/>
      <c r="AK74" s="403"/>
      <c r="AL74" s="873"/>
      <c r="AM74" s="873"/>
      <c r="AN74" s="403"/>
      <c r="AO74" s="403"/>
      <c r="AP74" s="394"/>
      <c r="AQ74" s="394"/>
      <c r="AR74" s="394"/>
      <c r="AS74" s="394"/>
      <c r="AT74" s="394"/>
      <c r="AU74" s="873"/>
      <c r="AV74" s="873"/>
      <c r="AW74" s="873"/>
      <c r="AX74" s="873"/>
      <c r="AY74" s="873"/>
      <c r="AZ74" s="873"/>
      <c r="BA74" s="394"/>
      <c r="BB74" s="873"/>
      <c r="BC74" s="873"/>
      <c r="BD74" s="873"/>
      <c r="BE74" s="873"/>
      <c r="BF74" s="873"/>
      <c r="BG74" s="873"/>
      <c r="BH74" s="873"/>
      <c r="BI74" s="873"/>
      <c r="BJ74" s="873"/>
      <c r="BK74" s="873"/>
      <c r="BL74" s="873"/>
      <c r="BM74" s="873"/>
      <c r="BN74" s="873"/>
      <c r="BO74" s="873"/>
      <c r="BP74" s="873"/>
      <c r="BQ74" s="873"/>
      <c r="BR74" s="873"/>
      <c r="BS74" s="873"/>
      <c r="BT74" s="873"/>
      <c r="BU74" s="873"/>
      <c r="BV74" s="873"/>
      <c r="BW74" s="873"/>
      <c r="BX74" s="873"/>
      <c r="BY74" s="873"/>
      <c r="BZ74" s="873"/>
      <c r="CA74" s="873"/>
      <c r="CB74" s="873"/>
      <c r="CC74" s="873"/>
      <c r="CD74" s="873"/>
      <c r="CE74" s="873"/>
      <c r="CF74" s="873"/>
      <c r="CG74" s="873"/>
      <c r="CH74" s="873"/>
      <c r="CI74" s="873"/>
      <c r="CJ74" s="873"/>
      <c r="CK74" s="873"/>
      <c r="CL74" s="873"/>
      <c r="CM74" s="873"/>
      <c r="CN74" s="873"/>
      <c r="CO74" s="873"/>
      <c r="CP74" s="873"/>
      <c r="CQ74" s="873"/>
      <c r="CR74" s="873"/>
      <c r="CS74" s="873"/>
      <c r="CT74" s="873"/>
      <c r="CU74" s="873"/>
      <c r="CV74" s="873"/>
      <c r="CW74" s="873"/>
      <c r="CX74" s="873"/>
      <c r="CY74" s="873"/>
      <c r="CZ74" s="873"/>
      <c r="DA74" s="873"/>
      <c r="DB74" s="873"/>
      <c r="DC74" s="873"/>
      <c r="DD74" s="873"/>
      <c r="DE74" s="873"/>
      <c r="DF74" s="873"/>
      <c r="DG74" s="873"/>
      <c r="DH74" s="873"/>
      <c r="DI74" s="873"/>
      <c r="DJ74" s="873"/>
      <c r="DK74" s="873"/>
      <c r="DL74" s="873"/>
      <c r="DM74" s="873"/>
      <c r="DN74" s="873"/>
      <c r="DO74" s="873"/>
      <c r="DP74" s="873"/>
      <c r="DQ74" s="873"/>
      <c r="DR74" s="873"/>
      <c r="DS74" s="873"/>
      <c r="DT74" s="873"/>
      <c r="DU74" s="873"/>
      <c r="DV74" s="873"/>
      <c r="DW74" s="873"/>
      <c r="DX74" s="873"/>
      <c r="DY74" s="873"/>
      <c r="DZ74" s="873"/>
      <c r="EA74" s="873"/>
      <c r="EB74" s="873"/>
      <c r="EC74" s="873"/>
      <c r="ED74" s="873"/>
      <c r="EE74" s="873"/>
      <c r="EF74" s="873"/>
      <c r="EG74" s="873"/>
      <c r="EH74" s="873"/>
      <c r="EI74" s="873"/>
      <c r="EJ74" s="873"/>
      <c r="EK74" s="873"/>
      <c r="EL74" s="873"/>
      <c r="EM74" s="873"/>
      <c r="EN74" s="873"/>
      <c r="EO74" s="873"/>
      <c r="EP74" s="873"/>
      <c r="EQ74" s="873"/>
      <c r="ER74" s="873"/>
      <c r="ES74" s="873"/>
      <c r="ET74" s="873"/>
      <c r="EU74" s="873"/>
      <c r="EV74" s="873"/>
      <c r="EW74" s="873"/>
      <c r="EX74" s="873"/>
      <c r="EY74" s="873"/>
      <c r="EZ74" s="873"/>
      <c r="FA74" s="873"/>
      <c r="FB74" s="873"/>
      <c r="FC74" s="873"/>
      <c r="FD74" s="873"/>
      <c r="FE74" s="873"/>
      <c r="FF74" s="873"/>
      <c r="FG74" s="873"/>
      <c r="FH74" s="873"/>
      <c r="FI74" s="873"/>
      <c r="FJ74" s="873"/>
      <c r="FK74" s="873"/>
      <c r="FL74" s="873"/>
      <c r="FM74" s="873"/>
      <c r="FN74" s="873"/>
      <c r="FO74" s="873"/>
      <c r="FP74" s="873"/>
      <c r="FQ74" s="873"/>
      <c r="FR74" s="873"/>
      <c r="FS74" s="873"/>
      <c r="FT74" s="873"/>
      <c r="FU74" s="873"/>
      <c r="FV74" s="873"/>
      <c r="FW74" s="873"/>
      <c r="FX74" s="873"/>
      <c r="FY74" s="873"/>
      <c r="FZ74" s="873"/>
      <c r="GA74" s="873"/>
      <c r="GB74" s="873"/>
      <c r="GC74" s="873"/>
      <c r="GD74" s="873"/>
      <c r="GE74" s="873"/>
      <c r="GF74" s="873"/>
      <c r="GG74" s="873"/>
      <c r="GH74" s="873"/>
      <c r="GI74" s="873"/>
      <c r="GJ74" s="873"/>
      <c r="GK74" s="873"/>
      <c r="GL74" s="873"/>
      <c r="GM74" s="873"/>
      <c r="GN74" s="873"/>
      <c r="GO74" s="873"/>
      <c r="GP74" s="873"/>
      <c r="GQ74" s="873"/>
      <c r="GR74" s="873"/>
      <c r="GS74" s="873"/>
      <c r="GT74" s="873"/>
      <c r="GU74" s="873"/>
      <c r="GV74" s="873"/>
      <c r="GW74" s="873"/>
      <c r="GX74" s="873"/>
      <c r="GY74" s="873"/>
      <c r="GZ74" s="873"/>
      <c r="HA74" s="873"/>
      <c r="HB74" s="873"/>
      <c r="HC74" s="873"/>
      <c r="HD74" s="873"/>
      <c r="HE74" s="873"/>
      <c r="HF74" s="873"/>
      <c r="HG74" s="873"/>
      <c r="HH74" s="873"/>
      <c r="HI74" s="873"/>
      <c r="HJ74" s="873"/>
      <c r="HK74" s="873"/>
      <c r="HL74" s="873"/>
      <c r="HM74" s="873"/>
      <c r="HN74" s="873"/>
      <c r="HO74" s="873"/>
      <c r="HP74" s="873"/>
      <c r="HQ74" s="873"/>
      <c r="HR74" s="873"/>
      <c r="HS74" s="873"/>
      <c r="HT74" s="873"/>
      <c r="HU74" s="873"/>
      <c r="HV74" s="873"/>
      <c r="HW74" s="873"/>
      <c r="HX74" s="873"/>
      <c r="HY74" s="873"/>
      <c r="HZ74" s="873"/>
      <c r="IA74" s="873"/>
      <c r="IB74" s="873"/>
      <c r="IC74" s="873"/>
      <c r="ID74" s="873"/>
      <c r="IE74" s="873"/>
      <c r="IF74" s="873"/>
      <c r="IG74" s="873"/>
      <c r="IH74" s="873"/>
      <c r="II74" s="873"/>
      <c r="IJ74" s="873"/>
      <c r="IK74" s="873"/>
      <c r="IL74" s="873"/>
      <c r="IM74" s="873"/>
      <c r="IN74" s="873"/>
      <c r="IO74" s="873"/>
      <c r="IP74" s="873"/>
      <c r="IQ74" s="873"/>
      <c r="IR74" s="873"/>
      <c r="IS74" s="873"/>
      <c r="IT74" s="873"/>
      <c r="IU74" s="873"/>
      <c r="IV74" s="873"/>
      <c r="IW74" s="873"/>
      <c r="IX74" s="873"/>
      <c r="IY74" s="873"/>
      <c r="IZ74" s="873"/>
      <c r="JA74" s="873"/>
      <c r="JB74" s="873"/>
      <c r="JC74" s="873"/>
      <c r="JD74" s="873"/>
      <c r="JE74" s="873"/>
      <c r="JF74" s="873"/>
      <c r="JG74" s="873"/>
      <c r="JH74" s="873"/>
      <c r="JI74" s="873"/>
      <c r="JJ74" s="873"/>
      <c r="JK74" s="873"/>
      <c r="JL74" s="873"/>
      <c r="JM74" s="873"/>
      <c r="JN74" s="873"/>
      <c r="JO74" s="873"/>
      <c r="JP74" s="873"/>
      <c r="JQ74" s="873"/>
      <c r="JR74" s="873"/>
      <c r="JS74" s="873"/>
      <c r="JT74" s="873"/>
      <c r="JU74" s="873"/>
      <c r="JV74" s="402"/>
    </row>
    <row r="75" spans="1:282">
      <c r="A75" s="672"/>
      <c r="B75" s="408"/>
      <c r="C75" s="873"/>
      <c r="D75" s="888"/>
      <c r="E75" s="671"/>
      <c r="F75" s="873"/>
      <c r="G75" s="873"/>
      <c r="H75" s="873"/>
      <c r="I75" s="873"/>
      <c r="J75" s="873"/>
      <c r="K75" s="873"/>
      <c r="L75" s="873"/>
      <c r="M75" s="873"/>
      <c r="N75" s="873"/>
      <c r="O75" s="873"/>
      <c r="P75" s="873"/>
      <c r="Q75" s="873"/>
      <c r="R75" s="873"/>
      <c r="S75" s="873"/>
      <c r="T75" s="873"/>
      <c r="U75" s="873"/>
      <c r="V75" s="873"/>
      <c r="W75" s="873"/>
      <c r="X75" s="873"/>
      <c r="Y75" s="873"/>
      <c r="Z75" s="873"/>
      <c r="AA75" s="394"/>
      <c r="AB75" s="873"/>
      <c r="AC75" s="394"/>
      <c r="AD75" s="873"/>
      <c r="AE75" s="873"/>
      <c r="AF75" s="873"/>
      <c r="AG75" s="873"/>
      <c r="AH75" s="873"/>
      <c r="AI75" s="873"/>
      <c r="AJ75" s="403"/>
      <c r="AK75" s="403"/>
      <c r="AL75" s="873"/>
      <c r="AM75" s="873"/>
      <c r="AN75" s="403"/>
      <c r="AO75" s="403"/>
      <c r="AP75" s="394"/>
      <c r="AQ75" s="394"/>
      <c r="AR75" s="394"/>
      <c r="AS75" s="394"/>
      <c r="AT75" s="394"/>
      <c r="AU75" s="873"/>
      <c r="AV75" s="873"/>
      <c r="AW75" s="873"/>
      <c r="AX75" s="873"/>
      <c r="AY75" s="873"/>
      <c r="AZ75" s="873"/>
      <c r="BA75" s="394"/>
      <c r="BB75" s="873"/>
      <c r="BC75" s="873"/>
      <c r="BD75" s="873"/>
      <c r="BE75" s="873"/>
      <c r="BF75" s="873"/>
      <c r="BG75" s="873"/>
      <c r="BH75" s="873"/>
      <c r="BI75" s="873"/>
      <c r="BJ75" s="873"/>
      <c r="BK75" s="873"/>
      <c r="BL75" s="873"/>
      <c r="BM75" s="873"/>
      <c r="BN75" s="873"/>
      <c r="BO75" s="873"/>
      <c r="BP75" s="873"/>
      <c r="BQ75" s="873"/>
      <c r="BR75" s="873"/>
      <c r="BS75" s="873"/>
      <c r="BT75" s="873"/>
      <c r="BU75" s="873"/>
      <c r="BV75" s="873"/>
      <c r="BW75" s="873"/>
      <c r="BX75" s="873"/>
      <c r="BY75" s="873"/>
      <c r="BZ75" s="873"/>
      <c r="CA75" s="873"/>
      <c r="CB75" s="873"/>
      <c r="CC75" s="873"/>
      <c r="CD75" s="873"/>
      <c r="CE75" s="873"/>
      <c r="CF75" s="873"/>
      <c r="CG75" s="873"/>
      <c r="CH75" s="873"/>
      <c r="CI75" s="873"/>
      <c r="CJ75" s="873"/>
      <c r="CK75" s="873"/>
      <c r="CL75" s="873"/>
      <c r="CM75" s="873"/>
      <c r="CN75" s="873"/>
      <c r="CO75" s="873"/>
      <c r="CP75" s="873"/>
      <c r="CQ75" s="873"/>
      <c r="CR75" s="873"/>
      <c r="CS75" s="873"/>
      <c r="CT75" s="873"/>
      <c r="CU75" s="873"/>
      <c r="CV75" s="873"/>
      <c r="CW75" s="873"/>
      <c r="CX75" s="873"/>
      <c r="CY75" s="873"/>
      <c r="CZ75" s="873"/>
      <c r="DA75" s="873"/>
      <c r="DB75" s="873"/>
      <c r="DC75" s="873"/>
      <c r="DD75" s="873"/>
      <c r="DE75" s="873"/>
      <c r="DF75" s="873"/>
      <c r="DG75" s="873"/>
      <c r="DH75" s="873"/>
      <c r="DI75" s="873"/>
      <c r="DJ75" s="873"/>
      <c r="DK75" s="873"/>
      <c r="DL75" s="873"/>
      <c r="DM75" s="873"/>
      <c r="DN75" s="873"/>
      <c r="DO75" s="873"/>
      <c r="DP75" s="873"/>
      <c r="DQ75" s="873"/>
      <c r="DR75" s="873"/>
      <c r="DS75" s="873"/>
      <c r="DT75" s="873"/>
      <c r="DU75" s="873"/>
      <c r="DV75" s="873"/>
      <c r="DW75" s="873"/>
      <c r="DX75" s="873"/>
      <c r="DY75" s="873"/>
      <c r="DZ75" s="873"/>
      <c r="EA75" s="873"/>
      <c r="EB75" s="873"/>
      <c r="EC75" s="873"/>
      <c r="ED75" s="873"/>
      <c r="EE75" s="873"/>
      <c r="EF75" s="873"/>
      <c r="EG75" s="873"/>
      <c r="EH75" s="873"/>
      <c r="EI75" s="873"/>
      <c r="EJ75" s="873"/>
      <c r="EK75" s="873"/>
      <c r="EL75" s="873"/>
      <c r="EM75" s="873"/>
      <c r="EN75" s="873"/>
      <c r="EO75" s="873"/>
      <c r="EP75" s="873"/>
      <c r="EQ75" s="873"/>
      <c r="ER75" s="873"/>
      <c r="ES75" s="873"/>
      <c r="ET75" s="873"/>
      <c r="EU75" s="873"/>
      <c r="EV75" s="873"/>
      <c r="EW75" s="873"/>
      <c r="EX75" s="873"/>
      <c r="EY75" s="873"/>
      <c r="EZ75" s="873"/>
      <c r="FA75" s="873"/>
      <c r="FB75" s="873"/>
      <c r="FC75" s="873"/>
      <c r="FD75" s="873"/>
      <c r="FE75" s="873"/>
      <c r="FF75" s="873"/>
      <c r="FG75" s="873"/>
      <c r="FH75" s="873"/>
      <c r="FI75" s="873"/>
      <c r="FJ75" s="873"/>
      <c r="FK75" s="873"/>
      <c r="FL75" s="873"/>
      <c r="FM75" s="873"/>
      <c r="FN75" s="873"/>
      <c r="FO75" s="873"/>
      <c r="FP75" s="873"/>
      <c r="FQ75" s="873"/>
      <c r="FR75" s="873"/>
      <c r="FS75" s="873"/>
      <c r="FT75" s="873"/>
      <c r="FU75" s="873"/>
      <c r="FV75" s="873"/>
      <c r="FW75" s="873"/>
      <c r="FX75" s="873"/>
      <c r="FY75" s="873"/>
      <c r="FZ75" s="873"/>
      <c r="GA75" s="873"/>
      <c r="GB75" s="873"/>
      <c r="GC75" s="873"/>
      <c r="GD75" s="873"/>
      <c r="GE75" s="873"/>
      <c r="GF75" s="873"/>
      <c r="GG75" s="873"/>
      <c r="GH75" s="873"/>
      <c r="GI75" s="873"/>
      <c r="GJ75" s="873"/>
      <c r="GK75" s="873"/>
      <c r="GL75" s="873"/>
      <c r="GM75" s="873"/>
      <c r="GN75" s="873"/>
      <c r="GO75" s="873"/>
      <c r="GP75" s="873"/>
      <c r="GQ75" s="873"/>
      <c r="GR75" s="873"/>
      <c r="GS75" s="873"/>
      <c r="GT75" s="873"/>
      <c r="GU75" s="873"/>
      <c r="GV75" s="873"/>
      <c r="GW75" s="873"/>
      <c r="GX75" s="873"/>
      <c r="GY75" s="873"/>
      <c r="GZ75" s="873"/>
      <c r="HA75" s="873"/>
      <c r="HB75" s="873"/>
      <c r="HC75" s="873"/>
      <c r="HD75" s="873"/>
      <c r="HE75" s="873"/>
      <c r="HF75" s="873"/>
      <c r="HG75" s="873"/>
      <c r="HH75" s="873"/>
      <c r="HI75" s="873"/>
      <c r="HJ75" s="873"/>
      <c r="HK75" s="873"/>
      <c r="HL75" s="873"/>
      <c r="HM75" s="873"/>
      <c r="HN75" s="873"/>
      <c r="HO75" s="873"/>
      <c r="HP75" s="873"/>
      <c r="HQ75" s="873"/>
      <c r="HR75" s="873"/>
      <c r="HS75" s="873"/>
      <c r="HT75" s="873"/>
      <c r="HU75" s="873"/>
      <c r="HV75" s="873"/>
      <c r="HW75" s="873"/>
      <c r="HX75" s="873"/>
      <c r="HY75" s="873"/>
      <c r="HZ75" s="873"/>
      <c r="IA75" s="873"/>
      <c r="IB75" s="873"/>
      <c r="IC75" s="873"/>
      <c r="ID75" s="873"/>
      <c r="IE75" s="873"/>
      <c r="IF75" s="873"/>
      <c r="IG75" s="873"/>
      <c r="IH75" s="873"/>
      <c r="II75" s="873"/>
      <c r="IJ75" s="873"/>
      <c r="IK75" s="873"/>
      <c r="IL75" s="873"/>
      <c r="IM75" s="873"/>
      <c r="IN75" s="873"/>
      <c r="IO75" s="873"/>
      <c r="IP75" s="873"/>
      <c r="IQ75" s="873"/>
      <c r="IR75" s="873"/>
      <c r="IS75" s="873"/>
      <c r="IT75" s="873"/>
      <c r="IU75" s="873"/>
      <c r="IV75" s="873"/>
      <c r="IW75" s="873"/>
      <c r="IX75" s="873"/>
      <c r="IY75" s="873"/>
      <c r="IZ75" s="873"/>
      <c r="JA75" s="873"/>
      <c r="JB75" s="873"/>
      <c r="JC75" s="873"/>
      <c r="JD75" s="873"/>
      <c r="JE75" s="873"/>
      <c r="JF75" s="873"/>
      <c r="JG75" s="873"/>
      <c r="JH75" s="873"/>
      <c r="JI75" s="873"/>
      <c r="JJ75" s="873"/>
      <c r="JK75" s="873"/>
      <c r="JL75" s="873"/>
      <c r="JM75" s="873"/>
      <c r="JN75" s="873"/>
      <c r="JO75" s="873"/>
      <c r="JP75" s="873"/>
      <c r="JQ75" s="873"/>
      <c r="JR75" s="873"/>
      <c r="JS75" s="873"/>
      <c r="JT75" s="873"/>
      <c r="JU75" s="873"/>
      <c r="JV75" s="402"/>
    </row>
    <row r="76" spans="1:282">
      <c r="A76" s="672"/>
      <c r="B76" s="408"/>
      <c r="C76" s="873"/>
      <c r="D76" s="888"/>
      <c r="E76" s="671"/>
      <c r="F76" s="873"/>
      <c r="G76" s="873"/>
      <c r="H76" s="873"/>
      <c r="I76" s="873"/>
      <c r="J76" s="873"/>
      <c r="K76" s="873"/>
      <c r="L76" s="873"/>
      <c r="M76" s="873"/>
      <c r="N76" s="873"/>
      <c r="O76" s="873"/>
      <c r="P76" s="873"/>
      <c r="Q76" s="873"/>
      <c r="R76" s="873"/>
      <c r="S76" s="873"/>
      <c r="T76" s="873"/>
      <c r="U76" s="873"/>
      <c r="V76" s="873"/>
      <c r="W76" s="873"/>
      <c r="X76" s="873"/>
      <c r="Y76" s="873"/>
      <c r="Z76" s="873"/>
      <c r="AA76" s="394"/>
      <c r="AB76" s="873"/>
      <c r="AC76" s="394"/>
      <c r="AD76" s="873"/>
      <c r="AE76" s="873"/>
      <c r="AF76" s="873"/>
      <c r="AG76" s="873"/>
      <c r="AH76" s="873"/>
      <c r="AI76" s="873"/>
      <c r="AJ76" s="403"/>
      <c r="AK76" s="403"/>
      <c r="AL76" s="873"/>
      <c r="AM76" s="873"/>
      <c r="AN76" s="403"/>
      <c r="AO76" s="403"/>
      <c r="AP76" s="394"/>
      <c r="AQ76" s="394"/>
      <c r="AR76" s="394"/>
      <c r="AS76" s="394"/>
      <c r="AT76" s="394"/>
      <c r="AU76" s="873"/>
      <c r="AV76" s="873"/>
      <c r="AW76" s="873"/>
      <c r="AX76" s="873"/>
      <c r="AY76" s="873"/>
      <c r="AZ76" s="873"/>
      <c r="BA76" s="394"/>
      <c r="BB76" s="873"/>
      <c r="BC76" s="873"/>
      <c r="BD76" s="873"/>
      <c r="BE76" s="873"/>
      <c r="BF76" s="873"/>
      <c r="BG76" s="873"/>
      <c r="BH76" s="873"/>
      <c r="BI76" s="873"/>
      <c r="BJ76" s="873"/>
      <c r="BK76" s="873"/>
      <c r="BL76" s="873"/>
      <c r="BM76" s="873"/>
      <c r="BN76" s="873"/>
      <c r="BO76" s="873"/>
      <c r="BP76" s="873"/>
      <c r="BQ76" s="873"/>
      <c r="BR76" s="873"/>
      <c r="BS76" s="873"/>
      <c r="BT76" s="873"/>
      <c r="BU76" s="873"/>
      <c r="BV76" s="873"/>
      <c r="BW76" s="873"/>
      <c r="BX76" s="873"/>
      <c r="BY76" s="873"/>
      <c r="BZ76" s="873"/>
      <c r="CA76" s="873"/>
      <c r="CB76" s="873"/>
      <c r="CC76" s="873"/>
      <c r="CD76" s="873"/>
      <c r="CE76" s="873"/>
      <c r="CF76" s="873"/>
      <c r="CG76" s="873"/>
      <c r="CH76" s="873"/>
      <c r="CI76" s="873"/>
      <c r="CJ76" s="873"/>
      <c r="CK76" s="873"/>
      <c r="CL76" s="873"/>
      <c r="CM76" s="873"/>
      <c r="CN76" s="873"/>
      <c r="CO76" s="873"/>
      <c r="CP76" s="873"/>
      <c r="CQ76" s="873"/>
      <c r="CR76" s="873"/>
      <c r="CS76" s="873"/>
      <c r="CT76" s="873"/>
      <c r="CU76" s="873"/>
      <c r="CV76" s="873"/>
      <c r="CW76" s="873"/>
      <c r="CX76" s="873"/>
      <c r="CY76" s="873"/>
      <c r="CZ76" s="873"/>
      <c r="DA76" s="873"/>
      <c r="DB76" s="873"/>
      <c r="DC76" s="873"/>
      <c r="DD76" s="873"/>
      <c r="DE76" s="873"/>
      <c r="DF76" s="873"/>
      <c r="DG76" s="873"/>
      <c r="DH76" s="873"/>
      <c r="DI76" s="873"/>
      <c r="DJ76" s="873"/>
      <c r="DK76" s="873"/>
      <c r="DL76" s="873"/>
      <c r="DM76" s="873"/>
      <c r="DN76" s="873"/>
      <c r="DO76" s="873"/>
      <c r="DP76" s="873"/>
      <c r="DQ76" s="873"/>
      <c r="DR76" s="873"/>
      <c r="DS76" s="873"/>
      <c r="DT76" s="873"/>
      <c r="DU76" s="873"/>
      <c r="DV76" s="873"/>
      <c r="DW76" s="873"/>
      <c r="DX76" s="873"/>
      <c r="DY76" s="873"/>
      <c r="DZ76" s="873"/>
      <c r="EA76" s="873"/>
      <c r="EB76" s="873"/>
      <c r="EC76" s="873"/>
      <c r="ED76" s="873"/>
      <c r="EE76" s="873"/>
      <c r="EF76" s="873"/>
      <c r="EG76" s="873"/>
      <c r="EH76" s="873"/>
      <c r="EI76" s="873"/>
      <c r="EJ76" s="873"/>
      <c r="EK76" s="873"/>
      <c r="EL76" s="873"/>
      <c r="EM76" s="873"/>
      <c r="EN76" s="873"/>
      <c r="EO76" s="873"/>
      <c r="EP76" s="873"/>
      <c r="EQ76" s="873"/>
      <c r="ER76" s="873"/>
      <c r="ES76" s="873"/>
      <c r="ET76" s="873"/>
      <c r="EU76" s="873"/>
      <c r="EV76" s="873"/>
      <c r="EW76" s="873"/>
      <c r="EX76" s="873"/>
      <c r="EY76" s="873"/>
      <c r="EZ76" s="873"/>
      <c r="FA76" s="873"/>
      <c r="FB76" s="873"/>
      <c r="FC76" s="873"/>
      <c r="FD76" s="873"/>
      <c r="FE76" s="873"/>
      <c r="FF76" s="873"/>
      <c r="FG76" s="873"/>
      <c r="FH76" s="873"/>
      <c r="FI76" s="873"/>
      <c r="FJ76" s="873"/>
      <c r="FK76" s="873"/>
      <c r="FL76" s="873"/>
      <c r="FM76" s="873"/>
      <c r="FN76" s="873"/>
      <c r="FO76" s="873"/>
      <c r="FP76" s="873"/>
      <c r="FQ76" s="873"/>
      <c r="FR76" s="873"/>
      <c r="FS76" s="873"/>
      <c r="FT76" s="873"/>
      <c r="FU76" s="873"/>
      <c r="FV76" s="873"/>
      <c r="FW76" s="873"/>
      <c r="FX76" s="873"/>
      <c r="FY76" s="873"/>
      <c r="FZ76" s="873"/>
      <c r="GA76" s="873"/>
      <c r="GB76" s="873"/>
      <c r="GC76" s="873"/>
      <c r="GD76" s="873"/>
      <c r="GE76" s="873"/>
      <c r="GF76" s="873"/>
      <c r="GG76" s="873"/>
      <c r="GH76" s="873"/>
      <c r="GI76" s="873"/>
      <c r="GJ76" s="873"/>
      <c r="GK76" s="873"/>
      <c r="GL76" s="873"/>
      <c r="GM76" s="873"/>
      <c r="GN76" s="873"/>
      <c r="GO76" s="873"/>
      <c r="GP76" s="873"/>
      <c r="GQ76" s="873"/>
      <c r="GR76" s="873"/>
      <c r="GS76" s="873"/>
      <c r="GT76" s="873"/>
      <c r="GU76" s="873"/>
      <c r="GV76" s="873"/>
      <c r="GW76" s="873"/>
      <c r="GX76" s="873"/>
      <c r="GY76" s="873"/>
      <c r="GZ76" s="873"/>
      <c r="HA76" s="873"/>
      <c r="HB76" s="873"/>
      <c r="HC76" s="873"/>
      <c r="HD76" s="873"/>
      <c r="HE76" s="873"/>
      <c r="HF76" s="873"/>
      <c r="HG76" s="873"/>
      <c r="HH76" s="873"/>
      <c r="HI76" s="873"/>
      <c r="HJ76" s="873"/>
      <c r="HK76" s="873"/>
      <c r="HL76" s="873"/>
      <c r="HM76" s="873"/>
      <c r="HN76" s="873"/>
      <c r="HO76" s="873"/>
      <c r="HP76" s="873"/>
      <c r="HQ76" s="873"/>
      <c r="HR76" s="873"/>
      <c r="HS76" s="873"/>
      <c r="HT76" s="873"/>
      <c r="HU76" s="873"/>
      <c r="HV76" s="873"/>
      <c r="HW76" s="873"/>
      <c r="HX76" s="873"/>
      <c r="HY76" s="873"/>
      <c r="HZ76" s="873"/>
      <c r="IA76" s="873"/>
      <c r="IB76" s="873"/>
      <c r="IC76" s="873"/>
      <c r="ID76" s="873"/>
      <c r="IE76" s="873"/>
      <c r="IF76" s="873"/>
      <c r="IG76" s="873"/>
      <c r="IH76" s="873"/>
      <c r="II76" s="873"/>
      <c r="IJ76" s="873"/>
      <c r="IK76" s="873"/>
      <c r="IL76" s="873"/>
      <c r="IM76" s="873"/>
      <c r="IN76" s="873"/>
      <c r="IO76" s="873"/>
      <c r="IP76" s="873"/>
      <c r="IQ76" s="873"/>
      <c r="IR76" s="873"/>
      <c r="IS76" s="873"/>
      <c r="IT76" s="873"/>
      <c r="IU76" s="873"/>
      <c r="IV76" s="873"/>
      <c r="IW76" s="873"/>
      <c r="IX76" s="873"/>
      <c r="IY76" s="873"/>
      <c r="IZ76" s="873"/>
      <c r="JA76" s="873"/>
      <c r="JB76" s="873"/>
      <c r="JC76" s="873"/>
      <c r="JD76" s="873"/>
      <c r="JE76" s="873"/>
      <c r="JF76" s="873"/>
      <c r="JG76" s="873"/>
      <c r="JH76" s="873"/>
      <c r="JI76" s="873"/>
      <c r="JJ76" s="873"/>
      <c r="JK76" s="873"/>
      <c r="JL76" s="873"/>
      <c r="JM76" s="873"/>
      <c r="JN76" s="873"/>
      <c r="JO76" s="873"/>
      <c r="JP76" s="873"/>
      <c r="JQ76" s="873"/>
      <c r="JR76" s="873"/>
      <c r="JS76" s="873"/>
      <c r="JT76" s="873"/>
      <c r="JU76" s="873"/>
      <c r="JV76" s="402"/>
    </row>
    <row r="77" spans="1:282">
      <c r="A77" s="672"/>
      <c r="B77" s="408"/>
      <c r="C77" s="873"/>
      <c r="D77" s="888"/>
      <c r="E77" s="671"/>
      <c r="F77" s="873"/>
      <c r="G77" s="873"/>
      <c r="H77" s="873"/>
      <c r="I77" s="873"/>
      <c r="J77" s="873"/>
      <c r="K77" s="873"/>
      <c r="L77" s="873"/>
      <c r="M77" s="873"/>
      <c r="N77" s="873"/>
      <c r="O77" s="873"/>
      <c r="P77" s="873"/>
      <c r="Q77" s="873"/>
      <c r="R77" s="873"/>
      <c r="S77" s="873"/>
      <c r="T77" s="873"/>
      <c r="U77" s="873"/>
      <c r="V77" s="873"/>
      <c r="W77" s="873"/>
      <c r="X77" s="873"/>
      <c r="Y77" s="873"/>
      <c r="Z77" s="873"/>
      <c r="AA77" s="394"/>
      <c r="AB77" s="873"/>
      <c r="AC77" s="394"/>
      <c r="AD77" s="873"/>
      <c r="AE77" s="873"/>
      <c r="AF77" s="873"/>
      <c r="AG77" s="873"/>
      <c r="AH77" s="873"/>
      <c r="AI77" s="873"/>
      <c r="AJ77" s="403"/>
      <c r="AK77" s="403"/>
      <c r="AL77" s="873"/>
      <c r="AM77" s="873"/>
      <c r="AN77" s="403"/>
      <c r="AO77" s="403"/>
      <c r="AP77" s="394"/>
      <c r="AQ77" s="394"/>
      <c r="AR77" s="394"/>
      <c r="AS77" s="394"/>
      <c r="AT77" s="394"/>
      <c r="AU77" s="873"/>
      <c r="AV77" s="873"/>
      <c r="AW77" s="873"/>
      <c r="AX77" s="873"/>
      <c r="AY77" s="873"/>
      <c r="AZ77" s="873"/>
      <c r="BA77" s="394"/>
      <c r="BB77" s="873"/>
      <c r="BC77" s="873"/>
      <c r="BD77" s="873"/>
      <c r="BE77" s="873"/>
      <c r="BF77" s="873"/>
      <c r="BG77" s="873"/>
      <c r="BH77" s="873"/>
      <c r="BI77" s="873"/>
      <c r="BJ77" s="873"/>
      <c r="BK77" s="873"/>
      <c r="BL77" s="873"/>
      <c r="BM77" s="873"/>
      <c r="BN77" s="873"/>
      <c r="BO77" s="873"/>
      <c r="BP77" s="873"/>
      <c r="BQ77" s="873"/>
      <c r="BR77" s="873"/>
      <c r="BS77" s="873"/>
      <c r="BT77" s="873"/>
      <c r="BU77" s="873"/>
      <c r="BV77" s="873"/>
      <c r="BW77" s="873"/>
      <c r="BX77" s="873"/>
      <c r="BY77" s="873"/>
      <c r="BZ77" s="873"/>
      <c r="CA77" s="873"/>
      <c r="CB77" s="873"/>
      <c r="CC77" s="873"/>
      <c r="CD77" s="873"/>
      <c r="CE77" s="873"/>
      <c r="CF77" s="873"/>
      <c r="CG77" s="873"/>
      <c r="CH77" s="873"/>
      <c r="CI77" s="873"/>
      <c r="CJ77" s="873"/>
      <c r="CK77" s="873"/>
      <c r="CL77" s="873"/>
      <c r="CM77" s="873"/>
      <c r="CN77" s="873"/>
      <c r="CO77" s="873"/>
      <c r="CP77" s="873"/>
      <c r="CQ77" s="873"/>
      <c r="CR77" s="873"/>
      <c r="CS77" s="873"/>
      <c r="CT77" s="873"/>
      <c r="CU77" s="873"/>
      <c r="CV77" s="873"/>
      <c r="CW77" s="873"/>
      <c r="CX77" s="873"/>
      <c r="CY77" s="873"/>
      <c r="CZ77" s="873"/>
      <c r="DA77" s="873"/>
      <c r="DB77" s="873"/>
      <c r="DC77" s="873"/>
      <c r="DD77" s="873"/>
      <c r="DE77" s="873"/>
      <c r="DF77" s="873"/>
      <c r="DG77" s="873"/>
      <c r="DH77" s="873"/>
      <c r="DI77" s="873"/>
      <c r="DJ77" s="873"/>
      <c r="DK77" s="873"/>
      <c r="DL77" s="873"/>
      <c r="DM77" s="873"/>
      <c r="DN77" s="873"/>
      <c r="DO77" s="873"/>
      <c r="DP77" s="873"/>
      <c r="DQ77" s="873"/>
      <c r="DR77" s="873"/>
      <c r="DS77" s="873"/>
      <c r="DT77" s="873"/>
      <c r="DU77" s="873"/>
      <c r="DV77" s="873"/>
      <c r="DW77" s="873"/>
      <c r="DX77" s="873"/>
      <c r="DY77" s="873"/>
      <c r="DZ77" s="873"/>
      <c r="EA77" s="873"/>
      <c r="EB77" s="873"/>
      <c r="EC77" s="873"/>
      <c r="ED77" s="873"/>
      <c r="EE77" s="873"/>
      <c r="EF77" s="873"/>
      <c r="EG77" s="873"/>
      <c r="EH77" s="873"/>
      <c r="EI77" s="873"/>
      <c r="EJ77" s="873"/>
      <c r="EK77" s="873"/>
      <c r="EL77" s="873"/>
      <c r="EM77" s="873"/>
      <c r="EN77" s="873"/>
      <c r="EO77" s="873"/>
      <c r="EP77" s="873"/>
      <c r="EQ77" s="873"/>
      <c r="ER77" s="873"/>
      <c r="ES77" s="873"/>
      <c r="ET77" s="873"/>
      <c r="EU77" s="873"/>
      <c r="EV77" s="873"/>
      <c r="EW77" s="873"/>
      <c r="EX77" s="873"/>
      <c r="EY77" s="873"/>
      <c r="EZ77" s="873"/>
      <c r="FA77" s="873"/>
      <c r="FB77" s="873"/>
      <c r="FC77" s="873"/>
      <c r="FD77" s="873"/>
      <c r="FE77" s="873"/>
      <c r="FF77" s="873"/>
      <c r="FG77" s="873"/>
      <c r="FH77" s="873"/>
      <c r="FI77" s="873"/>
      <c r="FJ77" s="873"/>
      <c r="FK77" s="873"/>
      <c r="FL77" s="873"/>
      <c r="FM77" s="873"/>
      <c r="FN77" s="873"/>
      <c r="FO77" s="873"/>
      <c r="FP77" s="873"/>
      <c r="FQ77" s="873"/>
      <c r="FR77" s="873"/>
      <c r="FS77" s="873"/>
      <c r="FT77" s="873"/>
      <c r="FU77" s="873"/>
      <c r="FV77" s="873"/>
      <c r="FW77" s="873"/>
      <c r="FX77" s="873"/>
      <c r="FY77" s="873"/>
      <c r="FZ77" s="873"/>
      <c r="GA77" s="873"/>
      <c r="GB77" s="873"/>
      <c r="GC77" s="873"/>
      <c r="GD77" s="873"/>
      <c r="GE77" s="873"/>
      <c r="GF77" s="873"/>
      <c r="GG77" s="873"/>
      <c r="GH77" s="873"/>
      <c r="GI77" s="873"/>
      <c r="GJ77" s="873"/>
      <c r="GK77" s="873"/>
      <c r="GL77" s="873"/>
      <c r="GM77" s="873"/>
      <c r="GN77" s="873"/>
      <c r="GO77" s="873"/>
      <c r="GP77" s="873"/>
      <c r="GQ77" s="873"/>
      <c r="GR77" s="873"/>
      <c r="GS77" s="873"/>
      <c r="GT77" s="873"/>
      <c r="GU77" s="873"/>
      <c r="GV77" s="873"/>
      <c r="GW77" s="873"/>
      <c r="GX77" s="873"/>
      <c r="GY77" s="873"/>
      <c r="GZ77" s="873"/>
      <c r="HA77" s="873"/>
      <c r="HB77" s="873"/>
      <c r="HC77" s="873"/>
      <c r="HD77" s="873"/>
      <c r="HE77" s="873"/>
      <c r="HF77" s="873"/>
      <c r="HG77" s="873"/>
      <c r="HH77" s="873"/>
      <c r="HI77" s="873"/>
      <c r="HJ77" s="873"/>
      <c r="HK77" s="873"/>
      <c r="HL77" s="873"/>
      <c r="HM77" s="873"/>
      <c r="HN77" s="873"/>
      <c r="HO77" s="873"/>
      <c r="HP77" s="873"/>
      <c r="HQ77" s="873"/>
      <c r="HR77" s="873"/>
      <c r="HS77" s="873"/>
      <c r="HT77" s="873"/>
      <c r="HU77" s="873"/>
      <c r="HV77" s="873"/>
      <c r="HW77" s="873"/>
      <c r="HX77" s="873"/>
      <c r="HY77" s="873"/>
      <c r="HZ77" s="873"/>
      <c r="IA77" s="873"/>
      <c r="IB77" s="873"/>
      <c r="IC77" s="873"/>
      <c r="ID77" s="873"/>
      <c r="IE77" s="873"/>
      <c r="IF77" s="873"/>
      <c r="IG77" s="873"/>
      <c r="IH77" s="873"/>
      <c r="II77" s="873"/>
      <c r="IJ77" s="873"/>
      <c r="IK77" s="873"/>
      <c r="IL77" s="873"/>
      <c r="IM77" s="873"/>
      <c r="IN77" s="873"/>
      <c r="IO77" s="873"/>
      <c r="IP77" s="873"/>
      <c r="IQ77" s="873"/>
      <c r="IR77" s="873"/>
      <c r="IS77" s="873"/>
      <c r="IT77" s="873"/>
      <c r="IU77" s="873"/>
      <c r="IV77" s="873"/>
      <c r="IW77" s="873"/>
      <c r="IX77" s="873"/>
      <c r="IY77" s="873"/>
      <c r="IZ77" s="873"/>
      <c r="JA77" s="873"/>
      <c r="JB77" s="873"/>
      <c r="JC77" s="873"/>
      <c r="JD77" s="873"/>
      <c r="JE77" s="873"/>
      <c r="JF77" s="873"/>
      <c r="JG77" s="873"/>
      <c r="JH77" s="873"/>
      <c r="JI77" s="873"/>
      <c r="JJ77" s="873"/>
      <c r="JK77" s="873"/>
      <c r="JL77" s="873"/>
      <c r="JM77" s="873"/>
      <c r="JN77" s="873"/>
      <c r="JO77" s="873"/>
      <c r="JP77" s="873"/>
      <c r="JQ77" s="873"/>
      <c r="JR77" s="873"/>
      <c r="JS77" s="873"/>
      <c r="JT77" s="873"/>
      <c r="JU77" s="873"/>
      <c r="JV77" s="402"/>
    </row>
    <row r="78" spans="1:282">
      <c r="A78" s="672"/>
      <c r="B78" s="408"/>
      <c r="C78" s="873"/>
      <c r="D78" s="888"/>
      <c r="E78" s="671"/>
      <c r="F78" s="873"/>
      <c r="G78" s="873"/>
      <c r="H78" s="873"/>
      <c r="I78" s="873"/>
      <c r="J78" s="873"/>
      <c r="K78" s="873"/>
      <c r="L78" s="873"/>
      <c r="M78" s="873"/>
      <c r="N78" s="873"/>
      <c r="O78" s="873"/>
      <c r="P78" s="873"/>
      <c r="Q78" s="873"/>
      <c r="R78" s="873"/>
      <c r="S78" s="873"/>
      <c r="T78" s="873"/>
      <c r="U78" s="873"/>
      <c r="V78" s="873"/>
      <c r="W78" s="873"/>
      <c r="X78" s="873"/>
      <c r="Y78" s="873"/>
      <c r="Z78" s="873"/>
      <c r="AA78" s="394"/>
      <c r="AB78" s="873"/>
      <c r="AC78" s="394"/>
      <c r="AD78" s="873"/>
      <c r="AE78" s="873"/>
      <c r="AF78" s="873"/>
      <c r="AG78" s="873"/>
      <c r="AH78" s="873"/>
      <c r="AI78" s="873"/>
      <c r="AJ78" s="403"/>
      <c r="AK78" s="403"/>
      <c r="AL78" s="873"/>
      <c r="AM78" s="873"/>
      <c r="AN78" s="403"/>
      <c r="AO78" s="403"/>
      <c r="AP78" s="394"/>
      <c r="AQ78" s="394"/>
      <c r="AR78" s="394"/>
      <c r="AS78" s="394"/>
      <c r="AT78" s="394"/>
      <c r="AU78" s="873"/>
      <c r="AV78" s="873"/>
      <c r="AW78" s="873"/>
      <c r="AX78" s="873"/>
      <c r="AY78" s="873"/>
      <c r="AZ78" s="873"/>
      <c r="BA78" s="394"/>
      <c r="BB78" s="873"/>
      <c r="BC78" s="873"/>
      <c r="BD78" s="873"/>
      <c r="BE78" s="873"/>
      <c r="BF78" s="873"/>
      <c r="BG78" s="873"/>
      <c r="BH78" s="873"/>
      <c r="BI78" s="873"/>
      <c r="BJ78" s="873"/>
      <c r="BK78" s="873"/>
      <c r="BL78" s="873"/>
      <c r="BM78" s="873"/>
      <c r="BN78" s="873"/>
      <c r="BO78" s="873"/>
      <c r="BP78" s="873"/>
      <c r="BQ78" s="873"/>
      <c r="BR78" s="873"/>
      <c r="BS78" s="873"/>
      <c r="BT78" s="873"/>
      <c r="BU78" s="873"/>
      <c r="BV78" s="873"/>
      <c r="BW78" s="873"/>
      <c r="BX78" s="873"/>
      <c r="BY78" s="873"/>
      <c r="BZ78" s="873"/>
      <c r="CA78" s="873"/>
      <c r="CB78" s="873"/>
      <c r="CC78" s="873"/>
      <c r="CD78" s="873"/>
      <c r="CE78" s="873"/>
      <c r="CF78" s="873"/>
      <c r="CG78" s="873"/>
      <c r="CH78" s="873"/>
      <c r="CI78" s="873"/>
      <c r="CJ78" s="873"/>
      <c r="CK78" s="873"/>
      <c r="CL78" s="873"/>
      <c r="CM78" s="873"/>
      <c r="CN78" s="873"/>
      <c r="CO78" s="873"/>
      <c r="CP78" s="873"/>
      <c r="CQ78" s="873"/>
      <c r="CR78" s="873"/>
      <c r="CS78" s="873"/>
      <c r="CT78" s="873"/>
      <c r="CU78" s="873"/>
      <c r="CV78" s="873"/>
      <c r="CW78" s="873"/>
      <c r="CX78" s="873"/>
      <c r="CY78" s="873"/>
      <c r="CZ78" s="873"/>
      <c r="DA78" s="873"/>
      <c r="DB78" s="873"/>
      <c r="DC78" s="873"/>
      <c r="DD78" s="873"/>
      <c r="DE78" s="873"/>
      <c r="DF78" s="873"/>
      <c r="DG78" s="873"/>
      <c r="DH78" s="873"/>
      <c r="DI78" s="873"/>
      <c r="DJ78" s="873"/>
      <c r="DK78" s="873"/>
      <c r="DL78" s="873"/>
      <c r="DM78" s="873"/>
      <c r="DN78" s="873"/>
      <c r="DO78" s="873"/>
      <c r="DP78" s="873"/>
      <c r="DQ78" s="873"/>
      <c r="DR78" s="873"/>
      <c r="DS78" s="873"/>
      <c r="DT78" s="873"/>
      <c r="DU78" s="873"/>
      <c r="DV78" s="873"/>
      <c r="DW78" s="873"/>
      <c r="DX78" s="873"/>
      <c r="DY78" s="873"/>
      <c r="DZ78" s="873"/>
      <c r="EA78" s="873"/>
      <c r="EB78" s="873"/>
      <c r="EC78" s="873"/>
      <c r="ED78" s="873"/>
      <c r="EE78" s="873"/>
      <c r="EF78" s="873"/>
      <c r="EG78" s="873"/>
      <c r="EH78" s="873"/>
      <c r="EI78" s="873"/>
      <c r="EJ78" s="873"/>
      <c r="EK78" s="873"/>
      <c r="EL78" s="873"/>
      <c r="EM78" s="873"/>
      <c r="EN78" s="873"/>
      <c r="EO78" s="873"/>
      <c r="EP78" s="873"/>
      <c r="EQ78" s="873"/>
      <c r="ER78" s="873"/>
      <c r="ES78" s="873"/>
      <c r="ET78" s="873"/>
      <c r="EU78" s="873"/>
      <c r="EV78" s="873"/>
      <c r="EW78" s="873"/>
      <c r="EX78" s="873"/>
      <c r="EY78" s="873"/>
      <c r="EZ78" s="873"/>
      <c r="FA78" s="873"/>
      <c r="FB78" s="873"/>
      <c r="FC78" s="873"/>
      <c r="FD78" s="873"/>
      <c r="FE78" s="873"/>
      <c r="FF78" s="873"/>
      <c r="FG78" s="873"/>
      <c r="FH78" s="873"/>
      <c r="FI78" s="873"/>
      <c r="FJ78" s="873"/>
      <c r="FK78" s="873"/>
      <c r="FL78" s="873"/>
      <c r="FM78" s="873"/>
      <c r="FN78" s="873"/>
      <c r="FO78" s="873"/>
      <c r="FP78" s="873"/>
      <c r="FQ78" s="873"/>
      <c r="FR78" s="873"/>
      <c r="FS78" s="873"/>
      <c r="FT78" s="873"/>
      <c r="FU78" s="873"/>
      <c r="FV78" s="873"/>
      <c r="FW78" s="873"/>
      <c r="FX78" s="873"/>
      <c r="FY78" s="873"/>
      <c r="FZ78" s="873"/>
      <c r="GA78" s="873"/>
      <c r="GB78" s="873"/>
      <c r="GC78" s="873"/>
      <c r="GD78" s="873"/>
      <c r="GE78" s="873"/>
      <c r="GF78" s="873"/>
      <c r="GG78" s="873"/>
      <c r="GH78" s="873"/>
      <c r="GI78" s="873"/>
      <c r="GJ78" s="873"/>
      <c r="GK78" s="873"/>
      <c r="GL78" s="873"/>
      <c r="GM78" s="873"/>
      <c r="GN78" s="873"/>
      <c r="GO78" s="873"/>
      <c r="GP78" s="873"/>
      <c r="GQ78" s="873"/>
      <c r="GR78" s="873"/>
      <c r="GS78" s="873"/>
      <c r="GT78" s="873"/>
      <c r="GU78" s="873"/>
      <c r="GV78" s="873"/>
      <c r="GW78" s="873"/>
      <c r="GX78" s="873"/>
      <c r="GY78" s="873"/>
      <c r="GZ78" s="873"/>
      <c r="HA78" s="873"/>
      <c r="HB78" s="873"/>
      <c r="HC78" s="873"/>
      <c r="HD78" s="873"/>
      <c r="HE78" s="873"/>
      <c r="HF78" s="873"/>
      <c r="HG78" s="873"/>
      <c r="HH78" s="873"/>
      <c r="HI78" s="873"/>
      <c r="HJ78" s="873"/>
      <c r="HK78" s="873"/>
      <c r="HL78" s="873"/>
      <c r="HM78" s="873"/>
      <c r="HN78" s="873"/>
      <c r="HO78" s="873"/>
      <c r="HP78" s="873"/>
      <c r="HQ78" s="873"/>
      <c r="HR78" s="873"/>
      <c r="HS78" s="873"/>
      <c r="HT78" s="873"/>
      <c r="HU78" s="873"/>
      <c r="HV78" s="873"/>
      <c r="HW78" s="873"/>
      <c r="HX78" s="873"/>
      <c r="HY78" s="873"/>
      <c r="HZ78" s="873"/>
      <c r="IA78" s="873"/>
      <c r="IB78" s="873"/>
      <c r="IC78" s="873"/>
      <c r="ID78" s="873"/>
      <c r="IE78" s="873"/>
      <c r="IF78" s="873"/>
      <c r="IG78" s="873"/>
      <c r="IH78" s="873"/>
      <c r="II78" s="873"/>
      <c r="IJ78" s="873"/>
      <c r="IK78" s="873"/>
      <c r="IL78" s="873"/>
      <c r="IM78" s="873"/>
      <c r="IN78" s="873"/>
      <c r="IO78" s="873"/>
      <c r="IP78" s="873"/>
      <c r="IQ78" s="873"/>
      <c r="IR78" s="873"/>
      <c r="IS78" s="873"/>
      <c r="IT78" s="873"/>
      <c r="IU78" s="873"/>
      <c r="IV78" s="873"/>
      <c r="IW78" s="873"/>
      <c r="IX78" s="873"/>
      <c r="IY78" s="873"/>
      <c r="IZ78" s="873"/>
      <c r="JA78" s="873"/>
      <c r="JB78" s="873"/>
      <c r="JC78" s="873"/>
      <c r="JD78" s="873"/>
      <c r="JE78" s="873"/>
      <c r="JF78" s="873"/>
      <c r="JG78" s="873"/>
      <c r="JH78" s="873"/>
      <c r="JI78" s="873"/>
      <c r="JJ78" s="873"/>
      <c r="JK78" s="873"/>
      <c r="JL78" s="873"/>
      <c r="JM78" s="873"/>
      <c r="JN78" s="873"/>
      <c r="JO78" s="873"/>
      <c r="JP78" s="873"/>
      <c r="JQ78" s="873"/>
      <c r="JR78" s="873"/>
      <c r="JS78" s="873"/>
      <c r="JT78" s="873"/>
      <c r="JU78" s="873"/>
      <c r="JV78" s="402"/>
    </row>
    <row r="79" spans="1:282">
      <c r="A79" s="672"/>
      <c r="B79" s="408"/>
      <c r="C79" s="873"/>
      <c r="D79" s="888"/>
      <c r="E79" s="671"/>
      <c r="F79" s="873"/>
      <c r="G79" s="873"/>
      <c r="H79" s="873"/>
      <c r="I79" s="873"/>
      <c r="J79" s="873"/>
      <c r="K79" s="873"/>
      <c r="L79" s="873"/>
      <c r="M79" s="873"/>
      <c r="N79" s="873"/>
      <c r="O79" s="873"/>
      <c r="P79" s="873"/>
      <c r="Q79" s="873"/>
      <c r="R79" s="873"/>
      <c r="S79" s="873"/>
      <c r="T79" s="873"/>
      <c r="U79" s="873"/>
      <c r="V79" s="873"/>
      <c r="W79" s="873"/>
      <c r="X79" s="873"/>
      <c r="Y79" s="873"/>
      <c r="Z79" s="873"/>
      <c r="AA79" s="394"/>
      <c r="AB79" s="873"/>
      <c r="AC79" s="394"/>
      <c r="AD79" s="873"/>
      <c r="AE79" s="873"/>
      <c r="AF79" s="873"/>
      <c r="AG79" s="873"/>
      <c r="AH79" s="873"/>
      <c r="AI79" s="873"/>
      <c r="AJ79" s="403"/>
      <c r="AK79" s="403"/>
      <c r="AL79" s="873"/>
      <c r="AM79" s="873"/>
      <c r="AN79" s="403"/>
      <c r="AO79" s="403"/>
      <c r="AP79" s="394"/>
      <c r="AQ79" s="394"/>
      <c r="AR79" s="394"/>
      <c r="AS79" s="394"/>
      <c r="AT79" s="394"/>
      <c r="AU79" s="873"/>
      <c r="AV79" s="873"/>
      <c r="AW79" s="873"/>
      <c r="AX79" s="873"/>
      <c r="AY79" s="873"/>
      <c r="AZ79" s="873"/>
      <c r="BA79" s="394"/>
      <c r="BB79" s="873"/>
      <c r="BC79" s="873"/>
      <c r="BD79" s="873"/>
      <c r="BE79" s="873"/>
      <c r="BF79" s="873"/>
      <c r="BG79" s="873"/>
      <c r="BH79" s="873"/>
      <c r="BI79" s="873"/>
      <c r="BJ79" s="873"/>
      <c r="BK79" s="873"/>
      <c r="BL79" s="873"/>
      <c r="BM79" s="873"/>
      <c r="BN79" s="873"/>
      <c r="BO79" s="873"/>
      <c r="BP79" s="873"/>
      <c r="BQ79" s="873"/>
      <c r="BR79" s="873"/>
      <c r="BS79" s="873"/>
      <c r="BT79" s="873"/>
      <c r="BU79" s="873"/>
      <c r="BV79" s="873"/>
      <c r="BW79" s="873"/>
      <c r="BX79" s="873"/>
      <c r="BY79" s="873"/>
      <c r="BZ79" s="873"/>
      <c r="CA79" s="873"/>
      <c r="CB79" s="873"/>
      <c r="CC79" s="873"/>
      <c r="CD79" s="873"/>
      <c r="CE79" s="873"/>
      <c r="CF79" s="873"/>
      <c r="CG79" s="873"/>
      <c r="CH79" s="873"/>
      <c r="CI79" s="873"/>
      <c r="CJ79" s="873"/>
      <c r="CK79" s="873"/>
      <c r="CL79" s="873"/>
      <c r="CM79" s="873"/>
      <c r="CN79" s="873"/>
      <c r="CO79" s="873"/>
      <c r="CP79" s="873"/>
      <c r="CQ79" s="873"/>
      <c r="CR79" s="873"/>
      <c r="CS79" s="873"/>
      <c r="CT79" s="873"/>
      <c r="CU79" s="873"/>
      <c r="CV79" s="873"/>
      <c r="CW79" s="873"/>
      <c r="CX79" s="873"/>
      <c r="CY79" s="873"/>
      <c r="CZ79" s="873"/>
      <c r="DA79" s="873"/>
      <c r="DB79" s="873"/>
      <c r="DC79" s="873"/>
      <c r="DD79" s="873"/>
      <c r="DE79" s="873"/>
      <c r="DF79" s="873"/>
      <c r="DG79" s="873"/>
      <c r="DH79" s="873"/>
      <c r="DI79" s="873"/>
      <c r="DJ79" s="873"/>
      <c r="DK79" s="873"/>
      <c r="DL79" s="873"/>
      <c r="DM79" s="873"/>
      <c r="DN79" s="873"/>
      <c r="DO79" s="873"/>
      <c r="DP79" s="873"/>
      <c r="DQ79" s="873"/>
      <c r="DR79" s="873"/>
      <c r="DS79" s="873"/>
      <c r="DT79" s="873"/>
      <c r="DU79" s="873"/>
      <c r="DV79" s="873"/>
      <c r="DW79" s="873"/>
      <c r="DX79" s="873"/>
      <c r="DY79" s="873"/>
      <c r="DZ79" s="873"/>
      <c r="EA79" s="873"/>
      <c r="EB79" s="873"/>
      <c r="EC79" s="873"/>
      <c r="ED79" s="873"/>
      <c r="EE79" s="873"/>
      <c r="EF79" s="873"/>
      <c r="EG79" s="873"/>
      <c r="EH79" s="873"/>
      <c r="EI79" s="873"/>
      <c r="EJ79" s="873"/>
      <c r="EK79" s="873"/>
      <c r="EL79" s="873"/>
      <c r="EM79" s="873"/>
      <c r="EN79" s="873"/>
      <c r="EO79" s="873"/>
      <c r="EP79" s="873"/>
      <c r="EQ79" s="873"/>
      <c r="ER79" s="873"/>
      <c r="ES79" s="873"/>
      <c r="ET79" s="873"/>
      <c r="EU79" s="873"/>
      <c r="EV79" s="873"/>
      <c r="EW79" s="873"/>
      <c r="EX79" s="873"/>
      <c r="EY79" s="873"/>
      <c r="EZ79" s="873"/>
      <c r="FA79" s="873"/>
      <c r="FB79" s="873"/>
      <c r="FC79" s="873"/>
      <c r="FD79" s="873"/>
      <c r="FE79" s="873"/>
      <c r="FF79" s="873"/>
      <c r="FG79" s="873"/>
      <c r="FH79" s="873"/>
      <c r="FI79" s="873"/>
      <c r="FJ79" s="873"/>
      <c r="FK79" s="873"/>
      <c r="FL79" s="873"/>
      <c r="FM79" s="873"/>
      <c r="FN79" s="873"/>
      <c r="FO79" s="873"/>
      <c r="FP79" s="873"/>
      <c r="FQ79" s="873"/>
      <c r="FR79" s="873"/>
      <c r="FS79" s="873"/>
      <c r="FT79" s="873"/>
      <c r="FU79" s="873"/>
      <c r="FV79" s="873"/>
      <c r="FW79" s="873"/>
      <c r="FX79" s="873"/>
      <c r="FY79" s="873"/>
      <c r="FZ79" s="873"/>
      <c r="GA79" s="873"/>
      <c r="GB79" s="873"/>
      <c r="GC79" s="873"/>
      <c r="GD79" s="873"/>
      <c r="GE79" s="873"/>
      <c r="GF79" s="873"/>
      <c r="GG79" s="873"/>
      <c r="GH79" s="873"/>
      <c r="GI79" s="873"/>
      <c r="GJ79" s="873"/>
      <c r="GK79" s="873"/>
      <c r="GL79" s="873"/>
      <c r="GM79" s="873"/>
      <c r="GN79" s="873"/>
      <c r="GO79" s="873"/>
      <c r="GP79" s="873"/>
      <c r="GQ79" s="873"/>
      <c r="GR79" s="873"/>
      <c r="GS79" s="873"/>
      <c r="GT79" s="873"/>
      <c r="GU79" s="873"/>
      <c r="GV79" s="873"/>
      <c r="GW79" s="873"/>
      <c r="GX79" s="873"/>
      <c r="GY79" s="873"/>
      <c r="GZ79" s="873"/>
      <c r="HA79" s="873"/>
      <c r="HB79" s="873"/>
      <c r="HC79" s="873"/>
      <c r="HD79" s="873"/>
      <c r="HE79" s="873"/>
      <c r="HF79" s="873"/>
      <c r="HG79" s="873"/>
      <c r="HH79" s="873"/>
      <c r="HI79" s="873"/>
      <c r="HJ79" s="873"/>
      <c r="HK79" s="873"/>
      <c r="HL79" s="873"/>
      <c r="HM79" s="873"/>
      <c r="HN79" s="873"/>
      <c r="HO79" s="873"/>
      <c r="HP79" s="873"/>
      <c r="HQ79" s="873"/>
      <c r="HR79" s="873"/>
      <c r="HS79" s="873"/>
      <c r="HT79" s="873"/>
      <c r="HU79" s="873"/>
      <c r="HV79" s="873"/>
      <c r="HW79" s="873"/>
      <c r="HX79" s="873"/>
      <c r="HY79" s="873"/>
      <c r="HZ79" s="873"/>
      <c r="IA79" s="873"/>
      <c r="IB79" s="873"/>
      <c r="IC79" s="873"/>
      <c r="ID79" s="873"/>
      <c r="IE79" s="873"/>
      <c r="IF79" s="873"/>
      <c r="IG79" s="873"/>
      <c r="IH79" s="873"/>
      <c r="II79" s="873"/>
      <c r="IJ79" s="873"/>
      <c r="IK79" s="873"/>
      <c r="IL79" s="873"/>
      <c r="IM79" s="873"/>
      <c r="IN79" s="873"/>
      <c r="IO79" s="873"/>
      <c r="IP79" s="873"/>
      <c r="IQ79" s="873"/>
      <c r="IR79" s="873"/>
      <c r="IS79" s="873"/>
      <c r="IT79" s="873"/>
      <c r="IU79" s="873"/>
      <c r="IV79" s="873"/>
      <c r="IW79" s="873"/>
      <c r="IX79" s="873"/>
      <c r="IY79" s="873"/>
      <c r="IZ79" s="873"/>
      <c r="JA79" s="873"/>
      <c r="JB79" s="873"/>
      <c r="JC79" s="873"/>
      <c r="JD79" s="873"/>
      <c r="JE79" s="873"/>
      <c r="JF79" s="873"/>
      <c r="JG79" s="873"/>
      <c r="JH79" s="873"/>
      <c r="JI79" s="873"/>
      <c r="JJ79" s="873"/>
      <c r="JK79" s="873"/>
      <c r="JL79" s="873"/>
      <c r="JM79" s="873"/>
      <c r="JN79" s="873"/>
      <c r="JO79" s="873"/>
      <c r="JP79" s="873"/>
      <c r="JQ79" s="873"/>
      <c r="JR79" s="873"/>
      <c r="JS79" s="873"/>
      <c r="JT79" s="873"/>
      <c r="JU79" s="873"/>
      <c r="JV79" s="402"/>
    </row>
    <row r="80" spans="1:282">
      <c r="A80" s="672"/>
      <c r="B80" s="408"/>
      <c r="C80" s="873"/>
      <c r="D80" s="888"/>
      <c r="E80" s="671"/>
      <c r="F80" s="873"/>
      <c r="G80" s="873"/>
      <c r="H80" s="873"/>
      <c r="I80" s="873"/>
      <c r="J80" s="873"/>
      <c r="K80" s="873"/>
      <c r="L80" s="873"/>
      <c r="M80" s="873"/>
      <c r="N80" s="873"/>
      <c r="O80" s="873"/>
      <c r="P80" s="873"/>
      <c r="Q80" s="873"/>
      <c r="R80" s="873"/>
      <c r="S80" s="873"/>
      <c r="T80" s="873"/>
      <c r="U80" s="873"/>
      <c r="V80" s="873"/>
      <c r="W80" s="873"/>
      <c r="X80" s="873"/>
      <c r="Y80" s="873"/>
      <c r="Z80" s="873"/>
      <c r="AA80" s="394"/>
      <c r="AB80" s="873"/>
      <c r="AC80" s="394"/>
      <c r="AD80" s="873"/>
      <c r="AE80" s="873"/>
      <c r="AF80" s="873"/>
      <c r="AG80" s="873"/>
      <c r="AH80" s="873"/>
      <c r="AI80" s="873"/>
      <c r="AJ80" s="403"/>
      <c r="AK80" s="403"/>
      <c r="AL80" s="873"/>
      <c r="AM80" s="873"/>
      <c r="AN80" s="403"/>
      <c r="AO80" s="403"/>
      <c r="AP80" s="394"/>
      <c r="AQ80" s="394"/>
      <c r="AR80" s="394"/>
      <c r="AS80" s="394"/>
      <c r="AT80" s="394"/>
      <c r="AU80" s="873"/>
      <c r="AV80" s="873"/>
      <c r="AW80" s="873"/>
      <c r="AX80" s="873"/>
      <c r="AY80" s="873"/>
      <c r="AZ80" s="873"/>
      <c r="BA80" s="394"/>
      <c r="BB80" s="873"/>
      <c r="BC80" s="873"/>
      <c r="BD80" s="873"/>
      <c r="BE80" s="873"/>
      <c r="BF80" s="873"/>
      <c r="BG80" s="873"/>
      <c r="BH80" s="873"/>
      <c r="BI80" s="873"/>
      <c r="BJ80" s="873"/>
      <c r="BK80" s="873"/>
      <c r="BL80" s="873"/>
      <c r="BM80" s="873"/>
      <c r="BN80" s="873"/>
      <c r="BO80" s="873"/>
      <c r="BP80" s="873"/>
      <c r="BQ80" s="873"/>
      <c r="BR80" s="873"/>
      <c r="BS80" s="873"/>
      <c r="BT80" s="873"/>
      <c r="BU80" s="873"/>
      <c r="BV80" s="873"/>
      <c r="BW80" s="873"/>
      <c r="BX80" s="873"/>
      <c r="BY80" s="873"/>
      <c r="BZ80" s="873"/>
      <c r="CA80" s="873"/>
      <c r="CB80" s="873"/>
      <c r="CC80" s="873"/>
      <c r="CD80" s="873"/>
      <c r="CE80" s="873"/>
      <c r="CF80" s="873"/>
      <c r="CG80" s="873"/>
      <c r="CH80" s="873"/>
      <c r="CI80" s="873"/>
      <c r="CJ80" s="873"/>
      <c r="CK80" s="873"/>
      <c r="CL80" s="873"/>
      <c r="CM80" s="873"/>
      <c r="CN80" s="873"/>
      <c r="CO80" s="873"/>
      <c r="CP80" s="873"/>
      <c r="CQ80" s="873"/>
      <c r="CR80" s="873"/>
      <c r="CS80" s="873"/>
      <c r="CT80" s="873"/>
      <c r="CU80" s="873"/>
      <c r="CV80" s="873"/>
      <c r="CW80" s="873"/>
      <c r="CX80" s="873"/>
      <c r="CY80" s="873"/>
      <c r="CZ80" s="873"/>
      <c r="DA80" s="873"/>
      <c r="DB80" s="873"/>
      <c r="DC80" s="873"/>
      <c r="DD80" s="873"/>
      <c r="DE80" s="873"/>
      <c r="DF80" s="873"/>
      <c r="DG80" s="873"/>
      <c r="DH80" s="873"/>
      <c r="DI80" s="873"/>
      <c r="DJ80" s="873"/>
      <c r="DK80" s="873"/>
      <c r="DL80" s="873"/>
      <c r="DM80" s="873"/>
      <c r="DN80" s="873"/>
      <c r="DO80" s="873"/>
      <c r="DP80" s="873"/>
      <c r="DQ80" s="873"/>
      <c r="DR80" s="873"/>
      <c r="DS80" s="873"/>
      <c r="DT80" s="873"/>
      <c r="DU80" s="873"/>
      <c r="DV80" s="873"/>
      <c r="DW80" s="873"/>
      <c r="DX80" s="873"/>
      <c r="DY80" s="873"/>
      <c r="DZ80" s="873"/>
      <c r="EA80" s="873"/>
      <c r="EB80" s="873"/>
      <c r="EC80" s="873"/>
      <c r="ED80" s="873"/>
      <c r="EE80" s="873"/>
      <c r="EF80" s="873"/>
      <c r="EG80" s="873"/>
      <c r="EH80" s="873"/>
      <c r="EI80" s="873"/>
      <c r="EJ80" s="873"/>
      <c r="EK80" s="873"/>
      <c r="EL80" s="873"/>
      <c r="EM80" s="873"/>
      <c r="EN80" s="873"/>
      <c r="EO80" s="873"/>
      <c r="EP80" s="873"/>
      <c r="EQ80" s="873"/>
      <c r="ER80" s="873"/>
      <c r="ES80" s="873"/>
      <c r="ET80" s="873"/>
      <c r="EU80" s="873"/>
      <c r="EV80" s="873"/>
      <c r="EW80" s="873"/>
      <c r="EX80" s="873"/>
      <c r="EY80" s="873"/>
      <c r="EZ80" s="873"/>
      <c r="FA80" s="873"/>
      <c r="FB80" s="873"/>
      <c r="FC80" s="873"/>
      <c r="FD80" s="873"/>
      <c r="FE80" s="873"/>
      <c r="FF80" s="873"/>
      <c r="FG80" s="873"/>
      <c r="FH80" s="873"/>
      <c r="FI80" s="873"/>
      <c r="FJ80" s="873"/>
      <c r="FK80" s="873"/>
      <c r="FL80" s="873"/>
      <c r="FM80" s="873"/>
      <c r="FN80" s="873"/>
      <c r="FO80" s="873"/>
      <c r="FP80" s="873"/>
      <c r="FQ80" s="873"/>
      <c r="FR80" s="873"/>
      <c r="FS80" s="873"/>
      <c r="FT80" s="873"/>
      <c r="FU80" s="873"/>
      <c r="FV80" s="873"/>
      <c r="FW80" s="873"/>
      <c r="FX80" s="873"/>
      <c r="FY80" s="873"/>
      <c r="FZ80" s="873"/>
      <c r="GA80" s="873"/>
      <c r="GB80" s="873"/>
      <c r="GC80" s="873"/>
      <c r="GD80" s="873"/>
      <c r="GE80" s="873"/>
      <c r="GF80" s="873"/>
      <c r="GG80" s="873"/>
      <c r="GH80" s="873"/>
      <c r="GI80" s="873"/>
      <c r="GJ80" s="873"/>
      <c r="GK80" s="873"/>
      <c r="GL80" s="873"/>
      <c r="GM80" s="873"/>
      <c r="GN80" s="873"/>
      <c r="GO80" s="873"/>
      <c r="GP80" s="873"/>
      <c r="GQ80" s="873"/>
      <c r="GR80" s="873"/>
      <c r="GS80" s="873"/>
      <c r="GT80" s="873"/>
      <c r="GU80" s="873"/>
      <c r="GV80" s="873"/>
      <c r="GW80" s="873"/>
      <c r="GX80" s="873"/>
      <c r="GY80" s="873"/>
      <c r="GZ80" s="873"/>
      <c r="HA80" s="873"/>
      <c r="HB80" s="873"/>
      <c r="HC80" s="873"/>
      <c r="HD80" s="873"/>
      <c r="HE80" s="873"/>
      <c r="HF80" s="873"/>
      <c r="HG80" s="873"/>
      <c r="HH80" s="873"/>
      <c r="HI80" s="873"/>
      <c r="HJ80" s="873"/>
      <c r="HK80" s="873"/>
      <c r="HL80" s="873"/>
      <c r="HM80" s="873"/>
      <c r="HN80" s="873"/>
      <c r="HO80" s="873"/>
      <c r="HP80" s="873"/>
      <c r="HQ80" s="873"/>
      <c r="HR80" s="873"/>
      <c r="HS80" s="873"/>
      <c r="HT80" s="873"/>
      <c r="HU80" s="873"/>
      <c r="HV80" s="873"/>
      <c r="HW80" s="873"/>
      <c r="HX80" s="873"/>
      <c r="HY80" s="873"/>
      <c r="HZ80" s="873"/>
      <c r="IA80" s="873"/>
      <c r="IB80" s="873"/>
      <c r="IC80" s="873"/>
      <c r="ID80" s="873"/>
      <c r="IE80" s="873"/>
      <c r="IF80" s="873"/>
      <c r="IG80" s="873"/>
      <c r="IH80" s="873"/>
      <c r="II80" s="873"/>
      <c r="IJ80" s="873"/>
      <c r="IK80" s="873"/>
      <c r="IL80" s="873"/>
      <c r="IM80" s="873"/>
      <c r="IN80" s="873"/>
      <c r="IO80" s="873"/>
      <c r="IP80" s="873"/>
      <c r="IQ80" s="873"/>
      <c r="IR80" s="873"/>
      <c r="IS80" s="873"/>
      <c r="IT80" s="873"/>
      <c r="IU80" s="873"/>
      <c r="IV80" s="873"/>
      <c r="IW80" s="873"/>
      <c r="IX80" s="873"/>
      <c r="IY80" s="873"/>
      <c r="IZ80" s="873"/>
      <c r="JA80" s="873"/>
      <c r="JB80" s="873"/>
      <c r="JC80" s="873"/>
      <c r="JD80" s="873"/>
      <c r="JE80" s="873"/>
      <c r="JF80" s="873"/>
      <c r="JG80" s="873"/>
      <c r="JH80" s="873"/>
      <c r="JI80" s="873"/>
      <c r="JJ80" s="873"/>
      <c r="JK80" s="873"/>
      <c r="JL80" s="873"/>
      <c r="JM80" s="873"/>
      <c r="JN80" s="873"/>
      <c r="JO80" s="873"/>
      <c r="JP80" s="873"/>
      <c r="JQ80" s="873"/>
      <c r="JR80" s="873"/>
      <c r="JS80" s="873"/>
      <c r="JT80" s="873"/>
      <c r="JU80" s="873"/>
      <c r="JV80" s="402"/>
    </row>
    <row r="81" spans="1:282">
      <c r="A81" s="672"/>
      <c r="B81" s="408"/>
      <c r="C81" s="873"/>
      <c r="D81" s="888"/>
      <c r="E81" s="671"/>
      <c r="F81" s="873"/>
      <c r="G81" s="873"/>
      <c r="H81" s="873"/>
      <c r="I81" s="873"/>
      <c r="J81" s="873"/>
      <c r="K81" s="873"/>
      <c r="L81" s="873"/>
      <c r="M81" s="873"/>
      <c r="N81" s="873"/>
      <c r="O81" s="873"/>
      <c r="P81" s="873"/>
      <c r="Q81" s="873"/>
      <c r="R81" s="873"/>
      <c r="S81" s="873"/>
      <c r="T81" s="873"/>
      <c r="U81" s="873"/>
      <c r="V81" s="873"/>
      <c r="W81" s="873"/>
      <c r="X81" s="873"/>
      <c r="Y81" s="873"/>
      <c r="Z81" s="873"/>
      <c r="AA81" s="394"/>
      <c r="AB81" s="873"/>
      <c r="AC81" s="394"/>
      <c r="AD81" s="873"/>
      <c r="AE81" s="873"/>
      <c r="AF81" s="873"/>
      <c r="AG81" s="873"/>
      <c r="AH81" s="873"/>
      <c r="AI81" s="873"/>
      <c r="AJ81" s="403"/>
      <c r="AK81" s="403"/>
      <c r="AL81" s="873"/>
      <c r="AM81" s="873"/>
      <c r="AN81" s="403"/>
      <c r="AO81" s="403"/>
      <c r="AP81" s="394"/>
      <c r="AQ81" s="394"/>
      <c r="AR81" s="394"/>
      <c r="AS81" s="394"/>
      <c r="AT81" s="394"/>
      <c r="AU81" s="873"/>
      <c r="AV81" s="873"/>
      <c r="AW81" s="873"/>
      <c r="AX81" s="873"/>
      <c r="AY81" s="873"/>
      <c r="AZ81" s="873"/>
      <c r="BA81" s="394"/>
      <c r="BB81" s="873"/>
      <c r="BC81" s="873"/>
      <c r="BD81" s="873"/>
      <c r="BE81" s="873"/>
      <c r="BF81" s="873"/>
      <c r="BG81" s="873"/>
      <c r="BH81" s="873"/>
      <c r="BI81" s="873"/>
      <c r="BJ81" s="873"/>
      <c r="BK81" s="873"/>
      <c r="BL81" s="873"/>
      <c r="BM81" s="873"/>
      <c r="BN81" s="873"/>
      <c r="BO81" s="873"/>
      <c r="BP81" s="873"/>
      <c r="BQ81" s="873"/>
      <c r="BR81" s="873"/>
      <c r="BS81" s="873"/>
      <c r="BT81" s="873"/>
      <c r="BU81" s="873"/>
      <c r="BV81" s="873"/>
      <c r="BW81" s="873"/>
      <c r="BX81" s="873"/>
      <c r="BY81" s="873"/>
      <c r="BZ81" s="873"/>
      <c r="CA81" s="873"/>
      <c r="CB81" s="873"/>
      <c r="CC81" s="873"/>
      <c r="CD81" s="873"/>
      <c r="CE81" s="873"/>
      <c r="CF81" s="873"/>
      <c r="CG81" s="873"/>
      <c r="CH81" s="873"/>
      <c r="CI81" s="873"/>
      <c r="CJ81" s="873"/>
      <c r="CK81" s="873"/>
      <c r="CL81" s="873"/>
      <c r="CM81" s="873"/>
      <c r="CN81" s="873"/>
      <c r="CO81" s="873"/>
      <c r="CP81" s="873"/>
      <c r="CQ81" s="873"/>
      <c r="CR81" s="873"/>
      <c r="CS81" s="873"/>
      <c r="CT81" s="873"/>
      <c r="CU81" s="873"/>
      <c r="CV81" s="873"/>
      <c r="CW81" s="873"/>
      <c r="CX81" s="873"/>
      <c r="CY81" s="873"/>
      <c r="CZ81" s="873"/>
      <c r="DA81" s="873"/>
      <c r="DB81" s="873"/>
      <c r="DC81" s="873"/>
      <c r="DD81" s="873"/>
      <c r="DE81" s="873"/>
      <c r="DF81" s="873"/>
      <c r="DG81" s="873"/>
      <c r="DH81" s="873"/>
      <c r="DI81" s="873"/>
      <c r="DJ81" s="873"/>
      <c r="DK81" s="873"/>
      <c r="DL81" s="873"/>
      <c r="DM81" s="873"/>
      <c r="DN81" s="873"/>
      <c r="DO81" s="873"/>
      <c r="DP81" s="873"/>
      <c r="DQ81" s="873"/>
      <c r="DR81" s="873"/>
      <c r="DS81" s="873"/>
      <c r="DT81" s="873"/>
      <c r="DU81" s="873"/>
      <c r="DV81" s="873"/>
      <c r="DW81" s="873"/>
      <c r="DX81" s="873"/>
      <c r="DY81" s="873"/>
      <c r="DZ81" s="873"/>
      <c r="EA81" s="873"/>
      <c r="EB81" s="873"/>
      <c r="EC81" s="873"/>
      <c r="ED81" s="873"/>
      <c r="EE81" s="873"/>
      <c r="EF81" s="873"/>
      <c r="EG81" s="873"/>
      <c r="EH81" s="873"/>
      <c r="EI81" s="873"/>
      <c r="EJ81" s="873"/>
      <c r="EK81" s="873"/>
      <c r="EL81" s="873"/>
      <c r="EM81" s="873"/>
      <c r="EN81" s="873"/>
      <c r="EO81" s="873"/>
      <c r="EP81" s="873"/>
      <c r="EQ81" s="873"/>
      <c r="ER81" s="873"/>
      <c r="ES81" s="873"/>
      <c r="ET81" s="873"/>
      <c r="EU81" s="873"/>
      <c r="EV81" s="873"/>
      <c r="EW81" s="873"/>
      <c r="EX81" s="873"/>
      <c r="EY81" s="873"/>
      <c r="EZ81" s="873"/>
      <c r="FA81" s="873"/>
      <c r="FB81" s="873"/>
      <c r="FC81" s="873"/>
      <c r="FD81" s="873"/>
      <c r="FE81" s="873"/>
      <c r="FF81" s="873"/>
      <c r="FG81" s="873"/>
      <c r="FH81" s="873"/>
      <c r="FI81" s="873"/>
      <c r="FJ81" s="873"/>
      <c r="FK81" s="873"/>
      <c r="FL81" s="873"/>
      <c r="FM81" s="873"/>
      <c r="FN81" s="873"/>
      <c r="FO81" s="873"/>
      <c r="FP81" s="873"/>
      <c r="FQ81" s="873"/>
      <c r="FR81" s="873"/>
      <c r="FS81" s="873"/>
      <c r="FT81" s="873"/>
      <c r="FU81" s="873"/>
      <c r="FV81" s="873"/>
      <c r="FW81" s="873"/>
      <c r="FX81" s="873"/>
      <c r="FY81" s="873"/>
      <c r="FZ81" s="873"/>
      <c r="GA81" s="873"/>
      <c r="GB81" s="873"/>
      <c r="GC81" s="873"/>
      <c r="GD81" s="873"/>
      <c r="GE81" s="873"/>
      <c r="GF81" s="873"/>
      <c r="GG81" s="873"/>
      <c r="GH81" s="873"/>
      <c r="GI81" s="873"/>
      <c r="GJ81" s="873"/>
      <c r="GK81" s="873"/>
      <c r="GL81" s="873"/>
      <c r="GM81" s="873"/>
      <c r="GN81" s="873"/>
      <c r="GO81" s="873"/>
      <c r="GP81" s="873"/>
      <c r="GQ81" s="873"/>
      <c r="GR81" s="873"/>
      <c r="GS81" s="873"/>
      <c r="GT81" s="873"/>
      <c r="GU81" s="873"/>
      <c r="GV81" s="873"/>
      <c r="GW81" s="873"/>
      <c r="GX81" s="873"/>
      <c r="GY81" s="873"/>
      <c r="GZ81" s="873"/>
      <c r="HA81" s="873"/>
      <c r="HB81" s="873"/>
      <c r="HC81" s="873"/>
      <c r="HD81" s="873"/>
      <c r="HE81" s="873"/>
      <c r="HF81" s="873"/>
      <c r="HG81" s="873"/>
      <c r="HH81" s="873"/>
      <c r="HI81" s="873"/>
      <c r="HJ81" s="873"/>
      <c r="HK81" s="873"/>
      <c r="HL81" s="873"/>
      <c r="HM81" s="873"/>
      <c r="HN81" s="873"/>
      <c r="HO81" s="873"/>
      <c r="HP81" s="873"/>
      <c r="HQ81" s="873"/>
      <c r="HR81" s="873"/>
      <c r="HS81" s="873"/>
      <c r="HT81" s="873"/>
      <c r="HU81" s="873"/>
      <c r="HV81" s="873"/>
      <c r="HW81" s="873"/>
      <c r="HX81" s="873"/>
      <c r="HY81" s="873"/>
      <c r="HZ81" s="873"/>
      <c r="IA81" s="873"/>
      <c r="IB81" s="873"/>
      <c r="IC81" s="873"/>
      <c r="ID81" s="873"/>
      <c r="IE81" s="873"/>
      <c r="IF81" s="873"/>
      <c r="IG81" s="873"/>
      <c r="IH81" s="873"/>
      <c r="II81" s="873"/>
      <c r="IJ81" s="873"/>
      <c r="IK81" s="873"/>
      <c r="IL81" s="873"/>
      <c r="IM81" s="873"/>
      <c r="IN81" s="873"/>
      <c r="IO81" s="873"/>
      <c r="IP81" s="873"/>
      <c r="IQ81" s="873"/>
      <c r="IR81" s="873"/>
      <c r="IS81" s="873"/>
      <c r="IT81" s="873"/>
      <c r="IU81" s="873"/>
      <c r="IV81" s="873"/>
      <c r="IW81" s="873"/>
      <c r="IX81" s="873"/>
      <c r="IY81" s="873"/>
      <c r="IZ81" s="873"/>
      <c r="JA81" s="873"/>
      <c r="JB81" s="873"/>
      <c r="JC81" s="873"/>
      <c r="JD81" s="873"/>
      <c r="JE81" s="873"/>
      <c r="JF81" s="873"/>
      <c r="JG81" s="873"/>
      <c r="JH81" s="873"/>
      <c r="JI81" s="873"/>
      <c r="JJ81" s="873"/>
      <c r="JK81" s="873"/>
      <c r="JL81" s="873"/>
      <c r="JM81" s="873"/>
      <c r="JN81" s="873"/>
      <c r="JO81" s="873"/>
      <c r="JP81" s="873"/>
      <c r="JQ81" s="873"/>
      <c r="JR81" s="873"/>
      <c r="JS81" s="873"/>
      <c r="JT81" s="873"/>
      <c r="JU81" s="873"/>
      <c r="JV81" s="402"/>
    </row>
    <row r="82" spans="1:282">
      <c r="A82" s="672"/>
      <c r="B82" s="408"/>
      <c r="C82" s="873"/>
      <c r="D82" s="888"/>
      <c r="E82" s="671"/>
      <c r="F82" s="873"/>
      <c r="G82" s="873"/>
      <c r="H82" s="873"/>
      <c r="I82" s="873"/>
      <c r="J82" s="873"/>
      <c r="K82" s="873"/>
      <c r="L82" s="873"/>
      <c r="M82" s="873"/>
      <c r="N82" s="873"/>
      <c r="O82" s="873"/>
      <c r="P82" s="873"/>
      <c r="Q82" s="873"/>
      <c r="R82" s="873"/>
      <c r="S82" s="873"/>
      <c r="T82" s="873"/>
      <c r="U82" s="873"/>
      <c r="V82" s="873"/>
      <c r="W82" s="873"/>
      <c r="X82" s="873"/>
      <c r="Y82" s="873"/>
      <c r="Z82" s="873"/>
      <c r="AA82" s="394"/>
      <c r="AB82" s="873"/>
      <c r="AC82" s="394"/>
      <c r="AD82" s="873"/>
      <c r="AE82" s="873"/>
      <c r="AF82" s="873"/>
      <c r="AG82" s="873"/>
      <c r="AH82" s="873"/>
      <c r="AI82" s="873"/>
      <c r="AJ82" s="403"/>
      <c r="AK82" s="403"/>
      <c r="AL82" s="873"/>
      <c r="AM82" s="873"/>
      <c r="AN82" s="403"/>
      <c r="AO82" s="403"/>
      <c r="AP82" s="394"/>
      <c r="AQ82" s="394"/>
      <c r="AR82" s="394"/>
      <c r="AS82" s="394"/>
      <c r="AT82" s="394"/>
      <c r="AU82" s="873"/>
      <c r="AV82" s="873"/>
      <c r="AW82" s="873"/>
      <c r="AX82" s="873"/>
      <c r="AY82" s="873"/>
      <c r="AZ82" s="873"/>
      <c r="BA82" s="394"/>
      <c r="BB82" s="873"/>
      <c r="BC82" s="873"/>
      <c r="BD82" s="873"/>
      <c r="BE82" s="873"/>
      <c r="BF82" s="873"/>
      <c r="BG82" s="873"/>
      <c r="BH82" s="873"/>
      <c r="BI82" s="873"/>
      <c r="BJ82" s="873"/>
      <c r="BK82" s="873"/>
      <c r="BL82" s="873"/>
      <c r="BM82" s="873"/>
      <c r="BN82" s="873"/>
      <c r="BO82" s="873"/>
      <c r="BP82" s="873"/>
      <c r="BQ82" s="873"/>
      <c r="BR82" s="873"/>
      <c r="BS82" s="873"/>
      <c r="BT82" s="873"/>
      <c r="BU82" s="873"/>
      <c r="BV82" s="873"/>
      <c r="BW82" s="873"/>
      <c r="BX82" s="873"/>
      <c r="BY82" s="873"/>
      <c r="BZ82" s="873"/>
      <c r="CA82" s="873"/>
      <c r="CB82" s="873"/>
      <c r="CC82" s="873"/>
      <c r="CD82" s="873"/>
      <c r="CE82" s="873"/>
      <c r="CF82" s="873"/>
      <c r="CG82" s="873"/>
      <c r="CH82" s="873"/>
      <c r="CI82" s="873"/>
      <c r="CJ82" s="873"/>
      <c r="CK82" s="873"/>
      <c r="CL82" s="873"/>
      <c r="CM82" s="873"/>
      <c r="CN82" s="873"/>
      <c r="CO82" s="873"/>
      <c r="CP82" s="873"/>
      <c r="CQ82" s="873"/>
      <c r="CR82" s="873"/>
      <c r="CS82" s="873"/>
      <c r="CT82" s="873"/>
      <c r="CU82" s="873"/>
      <c r="CV82" s="873"/>
      <c r="CW82" s="873"/>
      <c r="CX82" s="873"/>
      <c r="CY82" s="873"/>
      <c r="CZ82" s="873"/>
      <c r="DA82" s="873"/>
      <c r="DB82" s="873"/>
      <c r="DC82" s="873"/>
      <c r="DD82" s="873"/>
      <c r="DE82" s="873"/>
      <c r="DF82" s="873"/>
      <c r="DG82" s="873"/>
      <c r="DH82" s="873"/>
      <c r="DI82" s="873"/>
      <c r="DJ82" s="873"/>
      <c r="DK82" s="873"/>
      <c r="DL82" s="873"/>
      <c r="DM82" s="873"/>
      <c r="DN82" s="873"/>
      <c r="DO82" s="873"/>
      <c r="DP82" s="873"/>
      <c r="DQ82" s="873"/>
      <c r="DR82" s="873"/>
      <c r="DS82" s="873"/>
      <c r="DT82" s="873"/>
      <c r="DU82" s="873"/>
      <c r="DV82" s="873"/>
      <c r="DW82" s="873"/>
      <c r="DX82" s="873"/>
      <c r="DY82" s="873"/>
      <c r="DZ82" s="873"/>
      <c r="EA82" s="873"/>
      <c r="EB82" s="873"/>
      <c r="EC82" s="873"/>
      <c r="ED82" s="873"/>
      <c r="EE82" s="873"/>
      <c r="EF82" s="873"/>
      <c r="EG82" s="873"/>
      <c r="EH82" s="873"/>
      <c r="EI82" s="873"/>
      <c r="EJ82" s="873"/>
      <c r="EK82" s="873"/>
      <c r="EL82" s="873"/>
      <c r="EM82" s="873"/>
      <c r="EN82" s="873"/>
      <c r="EO82" s="873"/>
      <c r="EP82" s="873"/>
      <c r="EQ82" s="873"/>
      <c r="ER82" s="873"/>
      <c r="ES82" s="873"/>
      <c r="ET82" s="873"/>
      <c r="EU82" s="873"/>
      <c r="EV82" s="873"/>
      <c r="EW82" s="873"/>
      <c r="EX82" s="873"/>
      <c r="EY82" s="873"/>
      <c r="EZ82" s="873"/>
      <c r="FA82" s="873"/>
      <c r="FB82" s="873"/>
      <c r="FC82" s="873"/>
      <c r="FD82" s="873"/>
      <c r="FE82" s="873"/>
      <c r="FF82" s="873"/>
      <c r="FG82" s="873"/>
      <c r="FH82" s="873"/>
      <c r="FI82" s="873"/>
      <c r="FJ82" s="873"/>
      <c r="FK82" s="873"/>
      <c r="FL82" s="873"/>
      <c r="FM82" s="873"/>
      <c r="FN82" s="873"/>
      <c r="FO82" s="873"/>
      <c r="FP82" s="873"/>
      <c r="FQ82" s="873"/>
      <c r="FR82" s="873"/>
      <c r="FS82" s="873"/>
      <c r="FT82" s="873"/>
      <c r="FU82" s="873"/>
      <c r="FV82" s="873"/>
      <c r="FW82" s="873"/>
      <c r="FX82" s="873"/>
      <c r="FY82" s="873"/>
      <c r="FZ82" s="873"/>
      <c r="GA82" s="873"/>
      <c r="GB82" s="873"/>
      <c r="GC82" s="873"/>
      <c r="GD82" s="873"/>
      <c r="GE82" s="873"/>
      <c r="GF82" s="873"/>
      <c r="GG82" s="873"/>
      <c r="GH82" s="873"/>
      <c r="GI82" s="873"/>
      <c r="GJ82" s="873"/>
      <c r="GK82" s="873"/>
      <c r="GL82" s="873"/>
      <c r="GM82" s="873"/>
      <c r="GN82" s="873"/>
      <c r="GO82" s="873"/>
      <c r="GP82" s="873"/>
      <c r="GQ82" s="873"/>
      <c r="GR82" s="873"/>
      <c r="GS82" s="873"/>
      <c r="GT82" s="873"/>
      <c r="GU82" s="873"/>
      <c r="GV82" s="873"/>
      <c r="GW82" s="873"/>
      <c r="GX82" s="873"/>
      <c r="GY82" s="873"/>
      <c r="GZ82" s="873"/>
      <c r="HA82" s="873"/>
      <c r="HB82" s="873"/>
      <c r="HC82" s="873"/>
      <c r="HD82" s="873"/>
      <c r="HE82" s="873"/>
      <c r="HF82" s="873"/>
      <c r="HG82" s="873"/>
      <c r="HH82" s="873"/>
      <c r="HI82" s="873"/>
      <c r="HJ82" s="873"/>
      <c r="HK82" s="873"/>
      <c r="HL82" s="873"/>
      <c r="HM82" s="873"/>
      <c r="HN82" s="873"/>
      <c r="HO82" s="873"/>
      <c r="HP82" s="873"/>
      <c r="HQ82" s="873"/>
      <c r="HR82" s="873"/>
      <c r="HS82" s="873"/>
      <c r="HT82" s="873"/>
      <c r="HU82" s="873"/>
      <c r="HV82" s="873"/>
      <c r="HW82" s="873"/>
      <c r="HX82" s="873"/>
      <c r="HY82" s="873"/>
      <c r="HZ82" s="873"/>
      <c r="IA82" s="873"/>
      <c r="IB82" s="873"/>
      <c r="IC82" s="873"/>
      <c r="ID82" s="873"/>
      <c r="IE82" s="873"/>
      <c r="IF82" s="873"/>
      <c r="IG82" s="873"/>
      <c r="IH82" s="873"/>
      <c r="II82" s="873"/>
      <c r="IJ82" s="873"/>
      <c r="IK82" s="873"/>
      <c r="IL82" s="873"/>
      <c r="IM82" s="873"/>
      <c r="IN82" s="873"/>
      <c r="IO82" s="873"/>
      <c r="IP82" s="873"/>
      <c r="IQ82" s="873"/>
      <c r="IR82" s="873"/>
      <c r="IS82" s="873"/>
      <c r="IT82" s="873"/>
      <c r="IU82" s="873"/>
      <c r="IV82" s="873"/>
      <c r="IW82" s="873"/>
      <c r="IX82" s="873"/>
      <c r="IY82" s="873"/>
      <c r="IZ82" s="873"/>
      <c r="JA82" s="873"/>
      <c r="JB82" s="873"/>
      <c r="JC82" s="873"/>
      <c r="JD82" s="873"/>
      <c r="JE82" s="873"/>
      <c r="JF82" s="873"/>
      <c r="JG82" s="873"/>
      <c r="JH82" s="873"/>
      <c r="JI82" s="873"/>
      <c r="JJ82" s="873"/>
      <c r="JK82" s="873"/>
      <c r="JL82" s="873"/>
      <c r="JM82" s="873"/>
      <c r="JN82" s="873"/>
      <c r="JO82" s="873"/>
      <c r="JP82" s="873"/>
      <c r="JQ82" s="873"/>
      <c r="JR82" s="873"/>
      <c r="JS82" s="873"/>
      <c r="JT82" s="873"/>
      <c r="JU82" s="873"/>
      <c r="JV82" s="402"/>
    </row>
    <row r="83" spans="1:282">
      <c r="A83" s="672"/>
      <c r="B83" s="408"/>
      <c r="C83" s="873"/>
      <c r="D83" s="888"/>
      <c r="E83" s="671"/>
      <c r="F83" s="873"/>
      <c r="G83" s="873"/>
      <c r="H83" s="873"/>
      <c r="I83" s="873"/>
      <c r="J83" s="873"/>
      <c r="K83" s="873"/>
      <c r="L83" s="873"/>
      <c r="M83" s="873"/>
      <c r="N83" s="873"/>
      <c r="O83" s="873"/>
      <c r="P83" s="873"/>
      <c r="Q83" s="873"/>
      <c r="R83" s="873"/>
      <c r="S83" s="873"/>
      <c r="T83" s="873"/>
      <c r="U83" s="873"/>
      <c r="V83" s="873"/>
      <c r="W83" s="873"/>
      <c r="X83" s="873"/>
      <c r="Y83" s="873"/>
      <c r="Z83" s="873"/>
      <c r="AA83" s="394"/>
      <c r="AB83" s="873"/>
      <c r="AC83" s="394"/>
      <c r="AD83" s="873"/>
      <c r="AE83" s="873"/>
      <c r="AF83" s="873"/>
      <c r="AG83" s="873"/>
      <c r="AH83" s="873"/>
      <c r="AI83" s="873"/>
      <c r="AJ83" s="403"/>
      <c r="AK83" s="403"/>
      <c r="AL83" s="873"/>
      <c r="AM83" s="873"/>
      <c r="AN83" s="403"/>
      <c r="AO83" s="403"/>
      <c r="AP83" s="394"/>
      <c r="AQ83" s="394"/>
      <c r="AR83" s="394"/>
      <c r="AS83" s="394"/>
      <c r="AT83" s="394"/>
      <c r="AU83" s="873"/>
      <c r="AV83" s="873"/>
      <c r="AW83" s="873"/>
      <c r="AX83" s="873"/>
      <c r="AY83" s="873"/>
      <c r="AZ83" s="873"/>
      <c r="BA83" s="394"/>
      <c r="BB83" s="873"/>
      <c r="BC83" s="873"/>
      <c r="BD83" s="873"/>
      <c r="BE83" s="873"/>
      <c r="BF83" s="873"/>
      <c r="BG83" s="873"/>
      <c r="BH83" s="873"/>
      <c r="BI83" s="873"/>
      <c r="BJ83" s="873"/>
      <c r="BK83" s="873"/>
      <c r="BL83" s="873"/>
      <c r="BM83" s="873"/>
      <c r="BN83" s="873"/>
      <c r="BO83" s="873"/>
      <c r="BP83" s="873"/>
      <c r="BQ83" s="873"/>
      <c r="BR83" s="873"/>
      <c r="BS83" s="873"/>
      <c r="BT83" s="873"/>
      <c r="BU83" s="873"/>
      <c r="BV83" s="873"/>
      <c r="BW83" s="873"/>
      <c r="BX83" s="873"/>
      <c r="BY83" s="873"/>
      <c r="BZ83" s="873"/>
      <c r="CA83" s="873"/>
      <c r="CB83" s="873"/>
      <c r="CC83" s="873"/>
      <c r="CD83" s="873"/>
      <c r="CE83" s="873"/>
      <c r="CF83" s="873"/>
      <c r="CG83" s="873"/>
      <c r="CH83" s="873"/>
      <c r="CI83" s="873"/>
      <c r="CJ83" s="873"/>
      <c r="CK83" s="873"/>
      <c r="CL83" s="873"/>
      <c r="CM83" s="873"/>
      <c r="CN83" s="873"/>
      <c r="CO83" s="873"/>
      <c r="CP83" s="873"/>
      <c r="CQ83" s="873"/>
      <c r="CR83" s="873"/>
      <c r="CS83" s="873"/>
      <c r="CT83" s="873"/>
      <c r="CU83" s="873"/>
      <c r="CV83" s="873"/>
      <c r="CW83" s="873"/>
      <c r="CX83" s="873"/>
      <c r="CY83" s="873"/>
      <c r="CZ83" s="873"/>
      <c r="DA83" s="873"/>
      <c r="DB83" s="873"/>
      <c r="DC83" s="873"/>
      <c r="DD83" s="873"/>
      <c r="DE83" s="873"/>
      <c r="DF83" s="873"/>
      <c r="DG83" s="873"/>
      <c r="DH83" s="873"/>
      <c r="DI83" s="873"/>
      <c r="DJ83" s="873"/>
      <c r="DK83" s="873"/>
      <c r="DL83" s="873"/>
      <c r="DM83" s="873"/>
      <c r="DN83" s="873"/>
      <c r="DO83" s="873"/>
      <c r="DP83" s="873"/>
      <c r="DQ83" s="873"/>
      <c r="DR83" s="873"/>
      <c r="DS83" s="873"/>
      <c r="DT83" s="873"/>
      <c r="DU83" s="873"/>
      <c r="DV83" s="873"/>
      <c r="DW83" s="873"/>
      <c r="DX83" s="873"/>
      <c r="DY83" s="873"/>
      <c r="DZ83" s="873"/>
      <c r="EA83" s="873"/>
      <c r="EB83" s="873"/>
      <c r="EC83" s="873"/>
      <c r="ED83" s="873"/>
      <c r="EE83" s="873"/>
      <c r="EF83" s="873"/>
      <c r="EG83" s="873"/>
      <c r="EH83" s="873"/>
      <c r="EI83" s="873"/>
      <c r="EJ83" s="873"/>
      <c r="EK83" s="873"/>
      <c r="EL83" s="873"/>
      <c r="EM83" s="873"/>
      <c r="EN83" s="873"/>
      <c r="EO83" s="873"/>
      <c r="EP83" s="873"/>
      <c r="EQ83" s="873"/>
      <c r="ER83" s="873"/>
      <c r="ES83" s="873"/>
      <c r="ET83" s="873"/>
      <c r="EU83" s="873"/>
      <c r="EV83" s="873"/>
      <c r="EW83" s="873"/>
      <c r="EX83" s="873"/>
      <c r="EY83" s="873"/>
      <c r="EZ83" s="873"/>
      <c r="FA83" s="873"/>
      <c r="FB83" s="873"/>
      <c r="FC83" s="873"/>
      <c r="FD83" s="873"/>
      <c r="FE83" s="873"/>
      <c r="FF83" s="873"/>
      <c r="FG83" s="873"/>
      <c r="FH83" s="873"/>
      <c r="FI83" s="873"/>
      <c r="FJ83" s="873"/>
      <c r="FK83" s="873"/>
      <c r="FL83" s="873"/>
      <c r="FM83" s="873"/>
      <c r="FN83" s="873"/>
      <c r="FO83" s="873"/>
      <c r="FP83" s="873"/>
      <c r="FQ83" s="873"/>
      <c r="FR83" s="873"/>
      <c r="FS83" s="873"/>
      <c r="FT83" s="873"/>
      <c r="FU83" s="873"/>
      <c r="FV83" s="873"/>
      <c r="FW83" s="873"/>
      <c r="FX83" s="873"/>
      <c r="FY83" s="873"/>
      <c r="FZ83" s="873"/>
      <c r="GA83" s="873"/>
      <c r="GB83" s="873"/>
      <c r="GC83" s="873"/>
      <c r="GD83" s="873"/>
      <c r="GE83" s="873"/>
      <c r="GF83" s="873"/>
      <c r="GG83" s="873"/>
      <c r="GH83" s="873"/>
      <c r="GI83" s="873"/>
      <c r="GJ83" s="873"/>
      <c r="GK83" s="873"/>
      <c r="GL83" s="873"/>
      <c r="GM83" s="873"/>
      <c r="GN83" s="873"/>
      <c r="GO83" s="873"/>
      <c r="GP83" s="873"/>
      <c r="GQ83" s="873"/>
      <c r="GR83" s="873"/>
      <c r="GS83" s="873"/>
      <c r="GT83" s="873"/>
      <c r="GU83" s="873"/>
      <c r="GV83" s="873"/>
      <c r="GW83" s="873"/>
      <c r="GX83" s="873"/>
      <c r="GY83" s="873"/>
      <c r="GZ83" s="873"/>
      <c r="HA83" s="873"/>
      <c r="HB83" s="873"/>
      <c r="HC83" s="873"/>
      <c r="HD83" s="873"/>
      <c r="HE83" s="873"/>
      <c r="HF83" s="873"/>
      <c r="HG83" s="873"/>
      <c r="HH83" s="873"/>
      <c r="HI83" s="873"/>
      <c r="HJ83" s="873"/>
      <c r="HK83" s="873"/>
      <c r="HL83" s="873"/>
      <c r="HM83" s="873"/>
      <c r="HN83" s="873"/>
      <c r="HO83" s="873"/>
      <c r="HP83" s="873"/>
      <c r="HQ83" s="873"/>
      <c r="HR83" s="873"/>
      <c r="HS83" s="873"/>
      <c r="HT83" s="873"/>
      <c r="HU83" s="873"/>
      <c r="HV83" s="873"/>
      <c r="HW83" s="873"/>
      <c r="HX83" s="873"/>
      <c r="HY83" s="873"/>
      <c r="HZ83" s="873"/>
      <c r="IA83" s="873"/>
      <c r="IB83" s="873"/>
      <c r="IC83" s="873"/>
      <c r="ID83" s="873"/>
      <c r="IE83" s="873"/>
      <c r="IF83" s="873"/>
      <c r="IG83" s="873"/>
      <c r="IH83" s="873"/>
      <c r="II83" s="873"/>
      <c r="IJ83" s="873"/>
      <c r="IK83" s="873"/>
      <c r="IL83" s="873"/>
      <c r="IM83" s="873"/>
      <c r="IN83" s="873"/>
      <c r="IO83" s="873"/>
      <c r="IP83" s="873"/>
      <c r="IQ83" s="873"/>
      <c r="IR83" s="873"/>
      <c r="IS83" s="873"/>
      <c r="IT83" s="873"/>
      <c r="IU83" s="873"/>
      <c r="IV83" s="873"/>
      <c r="IW83" s="873"/>
      <c r="IX83" s="873"/>
      <c r="IY83" s="873"/>
      <c r="IZ83" s="873"/>
      <c r="JA83" s="873"/>
      <c r="JB83" s="873"/>
      <c r="JC83" s="873"/>
      <c r="JD83" s="873"/>
      <c r="JE83" s="873"/>
      <c r="JF83" s="873"/>
      <c r="JG83" s="873"/>
      <c r="JH83" s="873"/>
      <c r="JI83" s="873"/>
      <c r="JJ83" s="873"/>
      <c r="JK83" s="873"/>
      <c r="JL83" s="873"/>
      <c r="JM83" s="873"/>
      <c r="JN83" s="873"/>
      <c r="JO83" s="873"/>
      <c r="JP83" s="873"/>
      <c r="JQ83" s="873"/>
      <c r="JR83" s="873"/>
      <c r="JS83" s="873"/>
      <c r="JT83" s="873"/>
      <c r="JU83" s="873"/>
      <c r="JV83" s="402"/>
    </row>
    <row r="84" spans="1:282">
      <c r="A84" s="672"/>
      <c r="B84" s="408"/>
      <c r="C84" s="873"/>
      <c r="D84" s="888"/>
      <c r="E84" s="671"/>
      <c r="F84" s="873"/>
      <c r="G84" s="873"/>
      <c r="H84" s="873"/>
      <c r="I84" s="873"/>
      <c r="J84" s="873"/>
      <c r="K84" s="873"/>
      <c r="L84" s="873"/>
      <c r="M84" s="873"/>
      <c r="N84" s="873"/>
      <c r="O84" s="873"/>
      <c r="P84" s="873"/>
      <c r="Q84" s="873"/>
      <c r="R84" s="873"/>
      <c r="S84" s="873"/>
      <c r="T84" s="873"/>
      <c r="U84" s="873"/>
      <c r="V84" s="873"/>
      <c r="W84" s="873"/>
      <c r="X84" s="873"/>
      <c r="Y84" s="873"/>
      <c r="Z84" s="873"/>
      <c r="AA84" s="394"/>
      <c r="AB84" s="873"/>
      <c r="AC84" s="394"/>
      <c r="AD84" s="873"/>
      <c r="AE84" s="873"/>
      <c r="AF84" s="873"/>
      <c r="AG84" s="873"/>
      <c r="AH84" s="873"/>
      <c r="AI84" s="873"/>
      <c r="AJ84" s="403"/>
      <c r="AK84" s="403"/>
      <c r="AL84" s="873"/>
      <c r="AM84" s="873"/>
      <c r="AN84" s="403"/>
      <c r="AO84" s="403"/>
      <c r="AP84" s="394"/>
      <c r="AQ84" s="394"/>
      <c r="AR84" s="394"/>
      <c r="AS84" s="394"/>
      <c r="AT84" s="394"/>
      <c r="AU84" s="873"/>
      <c r="AV84" s="873"/>
      <c r="AW84" s="873"/>
      <c r="AX84" s="873"/>
      <c r="AY84" s="873"/>
      <c r="AZ84" s="873"/>
      <c r="BA84" s="394"/>
      <c r="BB84" s="873"/>
      <c r="BC84" s="873"/>
      <c r="BD84" s="873"/>
      <c r="BE84" s="873"/>
      <c r="BF84" s="873"/>
      <c r="BG84" s="873"/>
      <c r="BH84" s="873"/>
      <c r="BI84" s="873"/>
      <c r="BJ84" s="873"/>
      <c r="BK84" s="873"/>
      <c r="BL84" s="873"/>
      <c r="BM84" s="873"/>
      <c r="BN84" s="873"/>
      <c r="BO84" s="873"/>
      <c r="BP84" s="873"/>
      <c r="BQ84" s="873"/>
      <c r="BR84" s="873"/>
      <c r="BS84" s="873"/>
      <c r="BT84" s="873"/>
      <c r="BU84" s="873"/>
      <c r="BV84" s="873"/>
      <c r="BW84" s="873"/>
      <c r="BX84" s="873"/>
      <c r="BY84" s="873"/>
      <c r="BZ84" s="873"/>
      <c r="CA84" s="873"/>
      <c r="CB84" s="873"/>
      <c r="CC84" s="873"/>
      <c r="CD84" s="873"/>
      <c r="CE84" s="873"/>
      <c r="CF84" s="873"/>
      <c r="CG84" s="873"/>
      <c r="CH84" s="873"/>
      <c r="CI84" s="873"/>
      <c r="CJ84" s="873"/>
      <c r="CK84" s="873"/>
      <c r="CL84" s="873"/>
      <c r="CM84" s="873"/>
      <c r="CN84" s="873"/>
      <c r="CO84" s="873"/>
      <c r="CP84" s="873"/>
      <c r="CQ84" s="873"/>
      <c r="CR84" s="873"/>
      <c r="CS84" s="873"/>
      <c r="CT84" s="873"/>
      <c r="CU84" s="873"/>
      <c r="CV84" s="873"/>
      <c r="CW84" s="873"/>
      <c r="CX84" s="873"/>
      <c r="CY84" s="873"/>
      <c r="CZ84" s="873"/>
      <c r="DA84" s="873"/>
      <c r="DB84" s="873"/>
      <c r="DC84" s="873"/>
      <c r="DD84" s="873"/>
      <c r="DE84" s="873"/>
      <c r="DF84" s="873"/>
      <c r="DG84" s="873"/>
      <c r="DH84" s="873"/>
      <c r="DI84" s="873"/>
      <c r="DJ84" s="873"/>
      <c r="DK84" s="873"/>
      <c r="DL84" s="873"/>
      <c r="DM84" s="873"/>
      <c r="DN84" s="873"/>
      <c r="DO84" s="873"/>
      <c r="DP84" s="873"/>
      <c r="DQ84" s="873"/>
      <c r="DR84" s="873"/>
      <c r="DS84" s="873"/>
      <c r="DT84" s="873"/>
      <c r="DU84" s="873"/>
      <c r="DV84" s="873"/>
      <c r="DW84" s="873"/>
      <c r="DX84" s="873"/>
      <c r="DY84" s="873"/>
      <c r="DZ84" s="873"/>
      <c r="EA84" s="873"/>
      <c r="EB84" s="873"/>
      <c r="EC84" s="873"/>
      <c r="ED84" s="873"/>
      <c r="EE84" s="873"/>
      <c r="EF84" s="873"/>
      <c r="EG84" s="873"/>
      <c r="EH84" s="873"/>
      <c r="EI84" s="873"/>
      <c r="EJ84" s="873"/>
      <c r="EK84" s="873"/>
      <c r="EL84" s="873"/>
      <c r="EM84" s="873"/>
      <c r="EN84" s="873"/>
      <c r="EO84" s="873"/>
      <c r="EP84" s="873"/>
      <c r="EQ84" s="873"/>
      <c r="ER84" s="873"/>
      <c r="ES84" s="873"/>
      <c r="ET84" s="873"/>
      <c r="EU84" s="873"/>
      <c r="EV84" s="873"/>
      <c r="EW84" s="873"/>
      <c r="EX84" s="873"/>
      <c r="EY84" s="873"/>
      <c r="EZ84" s="873"/>
      <c r="FA84" s="873"/>
      <c r="FB84" s="873"/>
      <c r="FC84" s="873"/>
      <c r="FD84" s="873"/>
      <c r="FE84" s="873"/>
      <c r="FF84" s="873"/>
      <c r="FG84" s="873"/>
      <c r="FH84" s="873"/>
      <c r="FI84" s="873"/>
      <c r="FJ84" s="873"/>
      <c r="FK84" s="873"/>
      <c r="FL84" s="873"/>
      <c r="FM84" s="873"/>
      <c r="FN84" s="873"/>
      <c r="FO84" s="873"/>
      <c r="FP84" s="873"/>
      <c r="FQ84" s="873"/>
      <c r="FR84" s="873"/>
      <c r="FS84" s="873"/>
      <c r="FT84" s="873"/>
      <c r="FU84" s="873"/>
      <c r="FV84" s="873"/>
      <c r="FW84" s="873"/>
      <c r="FX84" s="873"/>
      <c r="FY84" s="873"/>
      <c r="FZ84" s="873"/>
      <c r="GA84" s="873"/>
      <c r="GB84" s="873"/>
      <c r="GC84" s="873"/>
      <c r="GD84" s="873"/>
      <c r="GE84" s="873"/>
      <c r="GF84" s="873"/>
      <c r="GG84" s="873"/>
      <c r="GH84" s="873"/>
      <c r="GI84" s="873"/>
      <c r="GJ84" s="873"/>
      <c r="GK84" s="873"/>
      <c r="GL84" s="873"/>
      <c r="GM84" s="873"/>
      <c r="GN84" s="873"/>
      <c r="GO84" s="873"/>
      <c r="GP84" s="873"/>
      <c r="GQ84" s="873"/>
      <c r="GR84" s="873"/>
      <c r="GS84" s="873"/>
      <c r="GT84" s="873"/>
      <c r="GU84" s="873"/>
      <c r="GV84" s="873"/>
      <c r="GW84" s="873"/>
      <c r="GX84" s="873"/>
      <c r="GY84" s="873"/>
      <c r="GZ84" s="873"/>
      <c r="HA84" s="873"/>
      <c r="HB84" s="873"/>
      <c r="HC84" s="873"/>
      <c r="HD84" s="873"/>
      <c r="HE84" s="873"/>
      <c r="HF84" s="873"/>
      <c r="HG84" s="873"/>
      <c r="HH84" s="873"/>
      <c r="HI84" s="873"/>
      <c r="HJ84" s="873"/>
      <c r="HK84" s="873"/>
      <c r="HL84" s="873"/>
      <c r="HM84" s="873"/>
      <c r="HN84" s="873"/>
      <c r="HO84" s="873"/>
      <c r="HP84" s="873"/>
      <c r="HQ84" s="873"/>
      <c r="HR84" s="873"/>
      <c r="HS84" s="873"/>
      <c r="HT84" s="873"/>
      <c r="HU84" s="873"/>
      <c r="HV84" s="873"/>
      <c r="HW84" s="873"/>
      <c r="HX84" s="873"/>
      <c r="HY84" s="873"/>
      <c r="HZ84" s="873"/>
      <c r="IA84" s="873"/>
      <c r="IB84" s="873"/>
      <c r="IC84" s="873"/>
      <c r="ID84" s="873"/>
      <c r="IE84" s="873"/>
      <c r="IF84" s="873"/>
      <c r="IG84" s="873"/>
      <c r="IH84" s="873"/>
      <c r="II84" s="873"/>
      <c r="IJ84" s="873"/>
      <c r="IK84" s="873"/>
      <c r="IL84" s="873"/>
      <c r="IM84" s="873"/>
      <c r="IN84" s="873"/>
      <c r="IO84" s="873"/>
      <c r="IP84" s="873"/>
      <c r="IQ84" s="873"/>
      <c r="IR84" s="873"/>
      <c r="IS84" s="873"/>
      <c r="IT84" s="873"/>
      <c r="IU84" s="873"/>
      <c r="IV84" s="873"/>
      <c r="IW84" s="873"/>
      <c r="IX84" s="873"/>
      <c r="IY84" s="873"/>
      <c r="IZ84" s="873"/>
      <c r="JA84" s="873"/>
      <c r="JB84" s="873"/>
      <c r="JC84" s="873"/>
      <c r="JD84" s="873"/>
      <c r="JE84" s="873"/>
      <c r="JF84" s="873"/>
      <c r="JG84" s="873"/>
      <c r="JH84" s="873"/>
      <c r="JI84" s="873"/>
      <c r="JJ84" s="873"/>
      <c r="JK84" s="873"/>
      <c r="JL84" s="873"/>
      <c r="JM84" s="873"/>
      <c r="JN84" s="873"/>
      <c r="JO84" s="873"/>
      <c r="JP84" s="873"/>
      <c r="JQ84" s="873"/>
      <c r="JR84" s="873"/>
      <c r="JS84" s="873"/>
      <c r="JT84" s="873"/>
      <c r="JU84" s="873"/>
      <c r="JV84" s="402"/>
    </row>
    <row r="85" spans="1:282">
      <c r="A85" s="672"/>
      <c r="B85" s="408"/>
      <c r="C85" s="873"/>
      <c r="D85" s="888"/>
      <c r="E85" s="671"/>
      <c r="F85" s="873"/>
      <c r="G85" s="873"/>
      <c r="H85" s="873"/>
      <c r="I85" s="873"/>
      <c r="J85" s="873"/>
      <c r="K85" s="873"/>
      <c r="L85" s="873"/>
      <c r="M85" s="873"/>
      <c r="N85" s="873"/>
      <c r="O85" s="873"/>
      <c r="P85" s="873"/>
      <c r="Q85" s="873"/>
      <c r="R85" s="873"/>
      <c r="S85" s="873"/>
      <c r="T85" s="873"/>
      <c r="U85" s="873"/>
      <c r="V85" s="873"/>
      <c r="W85" s="873"/>
      <c r="X85" s="873"/>
      <c r="Y85" s="873"/>
      <c r="Z85" s="873"/>
      <c r="AA85" s="394"/>
      <c r="AB85" s="873"/>
      <c r="AC85" s="394"/>
      <c r="AD85" s="873"/>
      <c r="AE85" s="873"/>
      <c r="AF85" s="873"/>
      <c r="AG85" s="873"/>
      <c r="AH85" s="873"/>
      <c r="AI85" s="873"/>
      <c r="AJ85" s="403"/>
      <c r="AK85" s="403"/>
      <c r="AL85" s="873"/>
      <c r="AM85" s="873"/>
      <c r="AN85" s="403"/>
      <c r="AO85" s="403"/>
      <c r="AP85" s="394"/>
      <c r="AQ85" s="394"/>
      <c r="AR85" s="394"/>
      <c r="AS85" s="394"/>
      <c r="AT85" s="394"/>
      <c r="AU85" s="873"/>
      <c r="AV85" s="873"/>
      <c r="AW85" s="873"/>
      <c r="AX85" s="873"/>
      <c r="AY85" s="873"/>
      <c r="AZ85" s="873"/>
      <c r="BA85" s="394"/>
      <c r="BB85" s="873"/>
      <c r="BC85" s="873"/>
      <c r="BD85" s="873"/>
      <c r="BE85" s="873"/>
      <c r="BF85" s="873"/>
      <c r="BG85" s="873"/>
      <c r="BH85" s="873"/>
      <c r="BI85" s="873"/>
      <c r="BJ85" s="873"/>
      <c r="BK85" s="873"/>
      <c r="BL85" s="873"/>
      <c r="BM85" s="873"/>
      <c r="BN85" s="873"/>
      <c r="BO85" s="873"/>
      <c r="BP85" s="873"/>
      <c r="BQ85" s="873"/>
      <c r="BR85" s="873"/>
      <c r="BS85" s="873"/>
      <c r="BT85" s="873"/>
      <c r="BU85" s="873"/>
      <c r="BV85" s="873"/>
      <c r="BW85" s="873"/>
      <c r="BX85" s="873"/>
      <c r="BY85" s="873"/>
      <c r="BZ85" s="873"/>
      <c r="CA85" s="873"/>
      <c r="CB85" s="873"/>
      <c r="CC85" s="873"/>
      <c r="CD85" s="873"/>
      <c r="CE85" s="873"/>
      <c r="CF85" s="873"/>
      <c r="CG85" s="873"/>
      <c r="CH85" s="873"/>
      <c r="CI85" s="873"/>
      <c r="CJ85" s="873"/>
      <c r="CK85" s="873"/>
      <c r="CL85" s="873"/>
      <c r="CM85" s="873"/>
      <c r="CN85" s="873"/>
      <c r="CO85" s="873"/>
      <c r="CP85" s="873"/>
      <c r="CQ85" s="873"/>
      <c r="CR85" s="873"/>
      <c r="CS85" s="873"/>
      <c r="CT85" s="873"/>
      <c r="CU85" s="873"/>
      <c r="CV85" s="873"/>
      <c r="CW85" s="873"/>
      <c r="CX85" s="873"/>
      <c r="CY85" s="873"/>
      <c r="CZ85" s="873"/>
      <c r="DA85" s="873"/>
      <c r="DB85" s="873"/>
      <c r="DC85" s="873"/>
      <c r="DD85" s="873"/>
      <c r="DE85" s="873"/>
      <c r="DF85" s="873"/>
      <c r="DG85" s="873"/>
      <c r="DH85" s="873"/>
      <c r="DI85" s="873"/>
      <c r="DJ85" s="873"/>
      <c r="DK85" s="873"/>
      <c r="DL85" s="873"/>
      <c r="DM85" s="873"/>
      <c r="DN85" s="873"/>
      <c r="DO85" s="873"/>
      <c r="DP85" s="873"/>
      <c r="DQ85" s="873"/>
      <c r="DR85" s="873"/>
      <c r="DS85" s="873"/>
      <c r="DT85" s="873"/>
      <c r="DU85" s="873"/>
      <c r="DV85" s="873"/>
      <c r="DW85" s="873"/>
      <c r="DX85" s="873"/>
      <c r="DY85" s="873"/>
      <c r="DZ85" s="873"/>
      <c r="EA85" s="873"/>
      <c r="EB85" s="873"/>
      <c r="EC85" s="873"/>
      <c r="ED85" s="873"/>
      <c r="EE85" s="873"/>
      <c r="EF85" s="873"/>
      <c r="EG85" s="873"/>
      <c r="EH85" s="873"/>
      <c r="EI85" s="873"/>
      <c r="EJ85" s="873"/>
      <c r="EK85" s="873"/>
      <c r="EL85" s="873"/>
      <c r="EM85" s="873"/>
      <c r="EN85" s="873"/>
      <c r="EO85" s="873"/>
      <c r="EP85" s="873"/>
      <c r="EQ85" s="873"/>
      <c r="ER85" s="873"/>
      <c r="ES85" s="873"/>
      <c r="ET85" s="873"/>
      <c r="EU85" s="873"/>
      <c r="EV85" s="873"/>
      <c r="EW85" s="873"/>
      <c r="EX85" s="873"/>
      <c r="EY85" s="873"/>
      <c r="EZ85" s="873"/>
      <c r="FA85" s="873"/>
      <c r="FB85" s="873"/>
      <c r="FC85" s="873"/>
      <c r="FD85" s="873"/>
      <c r="FE85" s="873"/>
      <c r="FF85" s="873"/>
      <c r="FG85" s="873"/>
      <c r="FH85" s="873"/>
      <c r="FI85" s="873"/>
      <c r="FJ85" s="873"/>
      <c r="FK85" s="873"/>
      <c r="FL85" s="873"/>
      <c r="FM85" s="873"/>
      <c r="FN85" s="873"/>
      <c r="FO85" s="873"/>
      <c r="FP85" s="873"/>
      <c r="FQ85" s="873"/>
      <c r="FR85" s="873"/>
      <c r="FS85" s="873"/>
      <c r="FT85" s="873"/>
      <c r="FU85" s="873"/>
      <c r="FV85" s="873"/>
      <c r="FW85" s="873"/>
      <c r="FX85" s="873"/>
      <c r="FY85" s="873"/>
      <c r="FZ85" s="873"/>
      <c r="GA85" s="873"/>
      <c r="GB85" s="873"/>
      <c r="GC85" s="873"/>
      <c r="GD85" s="873"/>
      <c r="GE85" s="873"/>
      <c r="GF85" s="873"/>
      <c r="GG85" s="873"/>
      <c r="GH85" s="873"/>
      <c r="GI85" s="873"/>
      <c r="GJ85" s="873"/>
      <c r="GK85" s="873"/>
      <c r="GL85" s="873"/>
      <c r="GM85" s="873"/>
      <c r="GN85" s="873"/>
      <c r="GO85" s="873"/>
      <c r="GP85" s="873"/>
      <c r="GQ85" s="873"/>
      <c r="GR85" s="873"/>
      <c r="GS85" s="873"/>
      <c r="GT85" s="873"/>
      <c r="GU85" s="873"/>
      <c r="GV85" s="873"/>
      <c r="GW85" s="873"/>
      <c r="GX85" s="873"/>
      <c r="GY85" s="873"/>
      <c r="GZ85" s="873"/>
      <c r="HA85" s="873"/>
      <c r="HB85" s="873"/>
      <c r="HC85" s="873"/>
      <c r="HD85" s="873"/>
      <c r="HE85" s="873"/>
      <c r="HF85" s="873"/>
      <c r="HG85" s="873"/>
      <c r="HH85" s="873"/>
      <c r="HI85" s="873"/>
      <c r="HJ85" s="873"/>
      <c r="HK85" s="873"/>
      <c r="HL85" s="873"/>
      <c r="HM85" s="873"/>
      <c r="HN85" s="873"/>
      <c r="HO85" s="873"/>
      <c r="HP85" s="873"/>
      <c r="HQ85" s="873"/>
      <c r="HR85" s="873"/>
      <c r="HS85" s="873"/>
      <c r="HT85" s="873"/>
      <c r="HU85" s="873"/>
      <c r="HV85" s="873"/>
      <c r="HW85" s="873"/>
      <c r="HX85" s="873"/>
      <c r="HY85" s="873"/>
      <c r="HZ85" s="873"/>
      <c r="IA85" s="873"/>
      <c r="IB85" s="873"/>
      <c r="IC85" s="873"/>
      <c r="ID85" s="873"/>
      <c r="IE85" s="873"/>
      <c r="IF85" s="873"/>
      <c r="IG85" s="873"/>
      <c r="IH85" s="873"/>
      <c r="II85" s="873"/>
      <c r="IJ85" s="873"/>
      <c r="IK85" s="873"/>
      <c r="IL85" s="873"/>
      <c r="IM85" s="873"/>
      <c r="IN85" s="873"/>
      <c r="IO85" s="873"/>
      <c r="IP85" s="873"/>
      <c r="IQ85" s="873"/>
      <c r="IR85" s="873"/>
      <c r="IS85" s="873"/>
      <c r="IT85" s="873"/>
      <c r="IU85" s="873"/>
      <c r="IV85" s="873"/>
      <c r="IW85" s="873"/>
      <c r="IX85" s="873"/>
      <c r="IY85" s="873"/>
      <c r="IZ85" s="873"/>
      <c r="JA85" s="873"/>
      <c r="JB85" s="873"/>
      <c r="JC85" s="873"/>
      <c r="JD85" s="873"/>
      <c r="JE85" s="873"/>
      <c r="JF85" s="873"/>
      <c r="JG85" s="873"/>
      <c r="JH85" s="873"/>
      <c r="JI85" s="873"/>
      <c r="JJ85" s="873"/>
      <c r="JK85" s="873"/>
      <c r="JL85" s="873"/>
      <c r="JM85" s="873"/>
      <c r="JN85" s="873"/>
      <c r="JO85" s="873"/>
      <c r="JP85" s="873"/>
      <c r="JQ85" s="873"/>
      <c r="JR85" s="873"/>
      <c r="JS85" s="873"/>
      <c r="JT85" s="873"/>
      <c r="JU85" s="873"/>
      <c r="JV85" s="402"/>
    </row>
    <row r="86" spans="1:282">
      <c r="A86" s="672"/>
      <c r="B86" s="408"/>
      <c r="C86" s="873"/>
      <c r="D86" s="888"/>
      <c r="E86" s="671"/>
      <c r="F86" s="873"/>
      <c r="G86" s="873"/>
      <c r="H86" s="873"/>
      <c r="I86" s="873"/>
      <c r="J86" s="873"/>
      <c r="K86" s="873"/>
      <c r="L86" s="873"/>
      <c r="M86" s="873"/>
      <c r="N86" s="873"/>
      <c r="O86" s="873"/>
      <c r="P86" s="873"/>
      <c r="Q86" s="873"/>
      <c r="R86" s="873"/>
      <c r="S86" s="873"/>
      <c r="T86" s="873"/>
      <c r="U86" s="873"/>
      <c r="V86" s="873"/>
      <c r="W86" s="873"/>
      <c r="X86" s="873"/>
      <c r="Y86" s="873"/>
      <c r="Z86" s="873"/>
      <c r="AA86" s="394"/>
      <c r="AB86" s="873"/>
      <c r="AC86" s="394"/>
      <c r="AD86" s="873"/>
      <c r="AE86" s="873"/>
      <c r="AF86" s="873"/>
      <c r="AG86" s="873"/>
      <c r="AH86" s="873"/>
      <c r="AI86" s="873"/>
      <c r="AJ86" s="403"/>
      <c r="AK86" s="403"/>
      <c r="AL86" s="873"/>
      <c r="AM86" s="873"/>
      <c r="AN86" s="403"/>
      <c r="AO86" s="403"/>
      <c r="AP86" s="394"/>
      <c r="AQ86" s="394"/>
      <c r="AR86" s="394"/>
      <c r="AS86" s="394"/>
      <c r="AT86" s="394"/>
      <c r="AU86" s="873"/>
      <c r="AV86" s="873"/>
      <c r="AW86" s="873"/>
      <c r="AX86" s="873"/>
      <c r="AY86" s="873"/>
      <c r="AZ86" s="873"/>
      <c r="BA86" s="394"/>
      <c r="BB86" s="873"/>
      <c r="BC86" s="873"/>
      <c r="BD86" s="873"/>
      <c r="BE86" s="873"/>
      <c r="BF86" s="873"/>
      <c r="BG86" s="873"/>
      <c r="BH86" s="873"/>
      <c r="BI86" s="873"/>
      <c r="BJ86" s="873"/>
      <c r="BK86" s="873"/>
      <c r="BL86" s="873"/>
      <c r="BM86" s="873"/>
      <c r="BN86" s="873"/>
      <c r="BO86" s="873"/>
      <c r="BP86" s="873"/>
      <c r="BQ86" s="873"/>
      <c r="BR86" s="873"/>
      <c r="BS86" s="873"/>
      <c r="BT86" s="873"/>
      <c r="BU86" s="873"/>
      <c r="BV86" s="873"/>
      <c r="BW86" s="873"/>
      <c r="BX86" s="873"/>
      <c r="BY86" s="873"/>
      <c r="BZ86" s="873"/>
      <c r="CA86" s="873"/>
      <c r="CB86" s="873"/>
      <c r="CC86" s="873"/>
      <c r="CD86" s="873"/>
      <c r="CE86" s="873"/>
      <c r="CF86" s="873"/>
      <c r="CG86" s="873"/>
      <c r="CH86" s="873"/>
      <c r="CI86" s="873"/>
      <c r="CJ86" s="873"/>
      <c r="CK86" s="873"/>
      <c r="CL86" s="873"/>
      <c r="CM86" s="873"/>
      <c r="CN86" s="873"/>
      <c r="CO86" s="873"/>
      <c r="CP86" s="873"/>
      <c r="CQ86" s="873"/>
      <c r="CR86" s="873"/>
      <c r="CS86" s="873"/>
      <c r="CT86" s="873"/>
      <c r="CU86" s="873"/>
      <c r="CV86" s="873"/>
      <c r="CW86" s="873"/>
      <c r="CX86" s="873"/>
      <c r="CY86" s="873"/>
      <c r="CZ86" s="873"/>
      <c r="DA86" s="873"/>
      <c r="DB86" s="873"/>
      <c r="DC86" s="873"/>
      <c r="DD86" s="873"/>
      <c r="DE86" s="873"/>
      <c r="DF86" s="873"/>
      <c r="DG86" s="873"/>
      <c r="DH86" s="873"/>
      <c r="DI86" s="873"/>
      <c r="DJ86" s="873"/>
      <c r="DK86" s="873"/>
      <c r="DL86" s="873"/>
      <c r="DM86" s="873"/>
      <c r="DN86" s="873"/>
      <c r="DO86" s="873"/>
      <c r="DP86" s="873"/>
      <c r="DQ86" s="873"/>
      <c r="DR86" s="873"/>
      <c r="DS86" s="873"/>
      <c r="DT86" s="873"/>
      <c r="DU86" s="873"/>
      <c r="DV86" s="873"/>
      <c r="DW86" s="873"/>
      <c r="DX86" s="873"/>
      <c r="DY86" s="873"/>
      <c r="DZ86" s="873"/>
      <c r="EA86" s="873"/>
      <c r="EB86" s="873"/>
      <c r="EC86" s="873"/>
      <c r="ED86" s="873"/>
      <c r="EE86" s="873"/>
      <c r="EF86" s="873"/>
      <c r="EG86" s="873"/>
      <c r="EH86" s="873"/>
      <c r="EI86" s="873"/>
      <c r="EJ86" s="873"/>
      <c r="EK86" s="873"/>
      <c r="EL86" s="873"/>
      <c r="EM86" s="873"/>
      <c r="EN86" s="873"/>
      <c r="EO86" s="873"/>
      <c r="EP86" s="873"/>
      <c r="EQ86" s="873"/>
      <c r="ER86" s="873"/>
      <c r="ES86" s="873"/>
      <c r="ET86" s="873"/>
      <c r="EU86" s="873"/>
      <c r="EV86" s="873"/>
      <c r="EW86" s="873"/>
      <c r="EX86" s="873"/>
      <c r="EY86" s="873"/>
      <c r="EZ86" s="873"/>
      <c r="FA86" s="873"/>
      <c r="FB86" s="873"/>
      <c r="FC86" s="873"/>
      <c r="FD86" s="873"/>
      <c r="FE86" s="873"/>
      <c r="FF86" s="873"/>
      <c r="FG86" s="873"/>
      <c r="FH86" s="873"/>
      <c r="FI86" s="873"/>
      <c r="FJ86" s="873"/>
      <c r="FK86" s="873"/>
      <c r="FL86" s="873"/>
      <c r="FM86" s="873"/>
      <c r="FN86" s="873"/>
      <c r="FO86" s="873"/>
      <c r="FP86" s="873"/>
      <c r="FQ86" s="873"/>
      <c r="FR86" s="873"/>
      <c r="FS86" s="873"/>
      <c r="FT86" s="873"/>
      <c r="FU86" s="873"/>
      <c r="FV86" s="873"/>
      <c r="FW86" s="873"/>
      <c r="FX86" s="873"/>
      <c r="FY86" s="873"/>
      <c r="FZ86" s="873"/>
      <c r="GA86" s="873"/>
      <c r="GB86" s="873"/>
      <c r="GC86" s="873"/>
      <c r="GD86" s="873"/>
      <c r="GE86" s="873"/>
      <c r="GF86" s="873"/>
      <c r="GG86" s="873"/>
      <c r="GH86" s="873"/>
      <c r="GI86" s="873"/>
      <c r="GJ86" s="873"/>
      <c r="GK86" s="873"/>
      <c r="GL86" s="873"/>
      <c r="GM86" s="873"/>
      <c r="GN86" s="873"/>
      <c r="GO86" s="873"/>
      <c r="GP86" s="873"/>
      <c r="GQ86" s="873"/>
      <c r="GR86" s="873"/>
      <c r="GS86" s="873"/>
      <c r="GT86" s="873"/>
      <c r="GU86" s="873"/>
      <c r="GV86" s="873"/>
      <c r="GW86" s="873"/>
      <c r="GX86" s="873"/>
      <c r="GY86" s="873"/>
      <c r="GZ86" s="873"/>
      <c r="HA86" s="873"/>
      <c r="HB86" s="873"/>
      <c r="HC86" s="873"/>
      <c r="HD86" s="873"/>
      <c r="HE86" s="873"/>
      <c r="HF86" s="873"/>
      <c r="HG86" s="873"/>
      <c r="HH86" s="873"/>
      <c r="HI86" s="873"/>
      <c r="HJ86" s="873"/>
      <c r="HK86" s="873"/>
      <c r="HL86" s="873"/>
      <c r="HM86" s="873"/>
      <c r="HN86" s="873"/>
      <c r="HO86" s="873"/>
      <c r="HP86" s="873"/>
      <c r="HQ86" s="873"/>
      <c r="HR86" s="873"/>
      <c r="HS86" s="873"/>
      <c r="HT86" s="873"/>
      <c r="HU86" s="873"/>
      <c r="HV86" s="873"/>
      <c r="HW86" s="873"/>
      <c r="HX86" s="873"/>
      <c r="HY86" s="873"/>
      <c r="HZ86" s="873"/>
      <c r="IA86" s="873"/>
      <c r="IB86" s="873"/>
      <c r="IC86" s="873"/>
      <c r="ID86" s="873"/>
      <c r="IE86" s="873"/>
      <c r="IF86" s="873"/>
      <c r="IG86" s="873"/>
      <c r="IH86" s="873"/>
      <c r="II86" s="873"/>
      <c r="IJ86" s="873"/>
      <c r="IK86" s="873"/>
      <c r="IL86" s="873"/>
      <c r="IM86" s="873"/>
      <c r="IN86" s="873"/>
      <c r="IO86" s="873"/>
      <c r="IP86" s="873"/>
      <c r="IQ86" s="873"/>
      <c r="IR86" s="873"/>
      <c r="IS86" s="873"/>
      <c r="IT86" s="873"/>
      <c r="IU86" s="873"/>
      <c r="IV86" s="873"/>
      <c r="IW86" s="873"/>
      <c r="IX86" s="873"/>
      <c r="IY86" s="873"/>
      <c r="IZ86" s="873"/>
      <c r="JA86" s="873"/>
      <c r="JB86" s="873"/>
      <c r="JC86" s="873"/>
      <c r="JD86" s="873"/>
      <c r="JE86" s="873"/>
      <c r="JF86" s="873"/>
      <c r="JG86" s="873"/>
      <c r="JH86" s="873"/>
      <c r="JI86" s="873"/>
      <c r="JJ86" s="873"/>
      <c r="JK86" s="873"/>
      <c r="JL86" s="873"/>
      <c r="JM86" s="873"/>
      <c r="JN86" s="873"/>
      <c r="JO86" s="873"/>
      <c r="JP86" s="873"/>
      <c r="JQ86" s="873"/>
      <c r="JR86" s="873"/>
      <c r="JS86" s="873"/>
      <c r="JT86" s="873"/>
      <c r="JU86" s="873"/>
      <c r="JV86" s="402"/>
    </row>
    <row r="87" spans="1:282">
      <c r="A87" s="672"/>
      <c r="B87" s="408"/>
      <c r="C87" s="873"/>
      <c r="D87" s="888"/>
      <c r="E87" s="671"/>
      <c r="F87" s="873"/>
      <c r="G87" s="873"/>
      <c r="H87" s="873"/>
      <c r="I87" s="873"/>
      <c r="J87" s="873"/>
      <c r="K87" s="873"/>
      <c r="L87" s="873"/>
      <c r="M87" s="873"/>
      <c r="N87" s="873"/>
      <c r="O87" s="873"/>
      <c r="P87" s="873"/>
      <c r="Q87" s="873"/>
      <c r="R87" s="873"/>
      <c r="S87" s="873"/>
      <c r="T87" s="873"/>
      <c r="U87" s="873"/>
      <c r="V87" s="873"/>
      <c r="W87" s="873"/>
      <c r="X87" s="873"/>
      <c r="Y87" s="873"/>
      <c r="Z87" s="873"/>
      <c r="AA87" s="394"/>
      <c r="AB87" s="873"/>
      <c r="AC87" s="394"/>
      <c r="AD87" s="873"/>
      <c r="AE87" s="873"/>
      <c r="AF87" s="873"/>
      <c r="AG87" s="873"/>
      <c r="AH87" s="873"/>
      <c r="AI87" s="873"/>
      <c r="AJ87" s="403"/>
      <c r="AK87" s="403"/>
      <c r="AL87" s="873"/>
      <c r="AM87" s="873"/>
      <c r="AN87" s="403"/>
      <c r="AO87" s="403"/>
      <c r="AP87" s="394"/>
      <c r="AQ87" s="394"/>
      <c r="AR87" s="394"/>
      <c r="AS87" s="394"/>
      <c r="AT87" s="394"/>
      <c r="AU87" s="873"/>
      <c r="AV87" s="873"/>
      <c r="AW87" s="873"/>
      <c r="AX87" s="873"/>
      <c r="AY87" s="873"/>
      <c r="AZ87" s="873"/>
      <c r="BA87" s="394"/>
      <c r="BB87" s="873"/>
      <c r="BC87" s="873"/>
      <c r="BD87" s="873"/>
      <c r="BE87" s="873"/>
      <c r="BF87" s="873"/>
      <c r="BG87" s="873"/>
      <c r="BH87" s="873"/>
      <c r="BI87" s="873"/>
      <c r="BJ87" s="873"/>
      <c r="BK87" s="873"/>
      <c r="BL87" s="873"/>
      <c r="BM87" s="873"/>
      <c r="BN87" s="873"/>
      <c r="BO87" s="873"/>
      <c r="BP87" s="873"/>
      <c r="BQ87" s="873"/>
      <c r="BR87" s="873"/>
      <c r="BS87" s="873"/>
      <c r="BT87" s="873"/>
      <c r="BU87" s="873"/>
      <c r="BV87" s="873"/>
      <c r="BW87" s="873"/>
      <c r="BX87" s="873"/>
      <c r="BY87" s="873"/>
      <c r="BZ87" s="873"/>
      <c r="CA87" s="873"/>
      <c r="CB87" s="873"/>
      <c r="CC87" s="873"/>
      <c r="CD87" s="873"/>
      <c r="CE87" s="873"/>
      <c r="CF87" s="873"/>
      <c r="CG87" s="873"/>
      <c r="CH87" s="873"/>
      <c r="CI87" s="873"/>
      <c r="CJ87" s="873"/>
      <c r="CK87" s="873"/>
      <c r="CL87" s="873"/>
      <c r="CM87" s="873"/>
      <c r="CN87" s="873"/>
      <c r="CO87" s="873"/>
      <c r="CP87" s="873"/>
      <c r="CQ87" s="873"/>
      <c r="CR87" s="873"/>
      <c r="CS87" s="873"/>
      <c r="CT87" s="873"/>
      <c r="CU87" s="873"/>
      <c r="CV87" s="873"/>
      <c r="CW87" s="873"/>
      <c r="CX87" s="873"/>
      <c r="CY87" s="873"/>
      <c r="CZ87" s="873"/>
      <c r="DA87" s="873"/>
      <c r="DB87" s="873"/>
      <c r="DC87" s="873"/>
      <c r="DD87" s="873"/>
      <c r="DE87" s="873"/>
      <c r="DF87" s="873"/>
      <c r="DG87" s="873"/>
      <c r="DH87" s="873"/>
      <c r="DI87" s="873"/>
      <c r="DJ87" s="873"/>
      <c r="DK87" s="873"/>
      <c r="DL87" s="873"/>
      <c r="DM87" s="873"/>
      <c r="DN87" s="873"/>
      <c r="DO87" s="873"/>
      <c r="DP87" s="873"/>
      <c r="DQ87" s="873"/>
      <c r="DR87" s="873"/>
      <c r="DS87" s="873"/>
      <c r="DT87" s="873"/>
      <c r="DU87" s="873"/>
      <c r="DV87" s="873"/>
      <c r="DW87" s="873"/>
      <c r="DX87" s="873"/>
      <c r="DY87" s="873"/>
      <c r="DZ87" s="873"/>
      <c r="EA87" s="873"/>
      <c r="EB87" s="873"/>
      <c r="EC87" s="873"/>
      <c r="ED87" s="873"/>
      <c r="EE87" s="873"/>
      <c r="EF87" s="873"/>
      <c r="EG87" s="873"/>
      <c r="EH87" s="873"/>
      <c r="EI87" s="873"/>
      <c r="EJ87" s="873"/>
      <c r="EK87" s="873"/>
      <c r="EL87" s="873"/>
      <c r="EM87" s="873"/>
      <c r="EN87" s="873"/>
      <c r="EO87" s="873"/>
      <c r="EP87" s="873"/>
      <c r="EQ87" s="873"/>
      <c r="ER87" s="873"/>
      <c r="ES87" s="873"/>
      <c r="ET87" s="873"/>
      <c r="EU87" s="873"/>
      <c r="EV87" s="873"/>
      <c r="EW87" s="873"/>
      <c r="EX87" s="873"/>
      <c r="EY87" s="873"/>
      <c r="EZ87" s="873"/>
      <c r="FA87" s="873"/>
      <c r="FB87" s="873"/>
      <c r="FC87" s="873"/>
      <c r="FD87" s="873"/>
      <c r="FE87" s="873"/>
      <c r="FF87" s="873"/>
      <c r="FG87" s="873"/>
      <c r="FH87" s="873"/>
      <c r="FI87" s="873"/>
      <c r="FJ87" s="873"/>
      <c r="FK87" s="873"/>
      <c r="FL87" s="873"/>
      <c r="FM87" s="873"/>
      <c r="FN87" s="873"/>
      <c r="FO87" s="873"/>
      <c r="FP87" s="873"/>
      <c r="FQ87" s="873"/>
      <c r="FR87" s="873"/>
      <c r="FS87" s="873"/>
      <c r="FT87" s="873"/>
      <c r="FU87" s="873"/>
      <c r="FV87" s="873"/>
      <c r="FW87" s="873"/>
      <c r="FX87" s="873"/>
      <c r="FY87" s="873"/>
      <c r="FZ87" s="873"/>
      <c r="GA87" s="873"/>
      <c r="GB87" s="873"/>
      <c r="GC87" s="873"/>
      <c r="GD87" s="873"/>
      <c r="GE87" s="873"/>
      <c r="GF87" s="873"/>
      <c r="GG87" s="873"/>
      <c r="GH87" s="873"/>
      <c r="GI87" s="873"/>
      <c r="GJ87" s="873"/>
      <c r="GK87" s="873"/>
      <c r="GL87" s="873"/>
      <c r="GM87" s="873"/>
      <c r="GN87" s="873"/>
      <c r="GO87" s="873"/>
      <c r="GP87" s="873"/>
      <c r="GQ87" s="873"/>
      <c r="GR87" s="873"/>
      <c r="GS87" s="873"/>
      <c r="GT87" s="873"/>
      <c r="GU87" s="873"/>
      <c r="GV87" s="873"/>
      <c r="GW87" s="873"/>
      <c r="GX87" s="873"/>
      <c r="GY87" s="873"/>
      <c r="GZ87" s="873"/>
      <c r="HA87" s="873"/>
      <c r="HB87" s="873"/>
      <c r="HC87" s="873"/>
      <c r="HD87" s="873"/>
      <c r="HE87" s="873"/>
      <c r="HF87" s="873"/>
      <c r="HG87" s="873"/>
      <c r="HH87" s="873"/>
      <c r="HI87" s="873"/>
      <c r="HJ87" s="873"/>
      <c r="HK87" s="873"/>
      <c r="HL87" s="873"/>
      <c r="HM87" s="873"/>
      <c r="HN87" s="873"/>
      <c r="HO87" s="873"/>
      <c r="HP87" s="873"/>
      <c r="HQ87" s="873"/>
      <c r="HR87" s="873"/>
      <c r="HS87" s="873"/>
      <c r="HT87" s="873"/>
      <c r="HU87" s="873"/>
      <c r="HV87" s="873"/>
      <c r="HW87" s="873"/>
      <c r="HX87" s="873"/>
      <c r="HY87" s="873"/>
      <c r="HZ87" s="873"/>
      <c r="IA87" s="873"/>
      <c r="IB87" s="873"/>
      <c r="IC87" s="873"/>
      <c r="ID87" s="873"/>
      <c r="IE87" s="873"/>
      <c r="IF87" s="873"/>
      <c r="IG87" s="873"/>
      <c r="IH87" s="873"/>
      <c r="II87" s="873"/>
      <c r="IJ87" s="873"/>
      <c r="IK87" s="873"/>
      <c r="IL87" s="873"/>
      <c r="IM87" s="873"/>
      <c r="IN87" s="873"/>
      <c r="IO87" s="873"/>
      <c r="IP87" s="873"/>
      <c r="IQ87" s="873"/>
      <c r="IR87" s="873"/>
      <c r="IS87" s="873"/>
      <c r="IT87" s="873"/>
      <c r="IU87" s="873"/>
      <c r="IV87" s="873"/>
      <c r="IW87" s="873"/>
      <c r="IX87" s="873"/>
      <c r="IY87" s="873"/>
      <c r="IZ87" s="873"/>
      <c r="JA87" s="873"/>
      <c r="JB87" s="873"/>
      <c r="JC87" s="873"/>
      <c r="JD87" s="873"/>
      <c r="JE87" s="873"/>
      <c r="JF87" s="873"/>
      <c r="JG87" s="873"/>
      <c r="JH87" s="873"/>
      <c r="JI87" s="873"/>
      <c r="JJ87" s="873"/>
      <c r="JK87" s="873"/>
      <c r="JL87" s="873"/>
      <c r="JM87" s="873"/>
      <c r="JN87" s="873"/>
      <c r="JO87" s="873"/>
      <c r="JP87" s="873"/>
      <c r="JQ87" s="873"/>
      <c r="JR87" s="873"/>
      <c r="JS87" s="873"/>
      <c r="JT87" s="873"/>
      <c r="JU87" s="873"/>
      <c r="JV87" s="402"/>
    </row>
    <row r="88" spans="1:282">
      <c r="A88" s="672"/>
      <c r="B88" s="408"/>
      <c r="C88" s="873"/>
      <c r="D88" s="888"/>
      <c r="E88" s="671"/>
      <c r="F88" s="873"/>
      <c r="G88" s="873"/>
      <c r="H88" s="873"/>
      <c r="I88" s="873"/>
      <c r="J88" s="873"/>
      <c r="K88" s="873"/>
      <c r="L88" s="873"/>
      <c r="M88" s="873"/>
      <c r="N88" s="873"/>
      <c r="O88" s="873"/>
      <c r="P88" s="873"/>
      <c r="Q88" s="873"/>
      <c r="R88" s="873"/>
      <c r="S88" s="873"/>
      <c r="T88" s="873"/>
      <c r="U88" s="873"/>
      <c r="V88" s="873"/>
      <c r="W88" s="873"/>
      <c r="X88" s="873"/>
      <c r="Y88" s="873"/>
      <c r="Z88" s="873"/>
      <c r="AA88" s="394"/>
      <c r="AB88" s="873"/>
      <c r="AC88" s="394"/>
      <c r="AD88" s="873"/>
      <c r="AE88" s="873"/>
      <c r="AF88" s="873"/>
      <c r="AG88" s="873"/>
      <c r="AH88" s="873"/>
      <c r="AI88" s="873"/>
      <c r="AJ88" s="403"/>
      <c r="AK88" s="403"/>
      <c r="AL88" s="873"/>
      <c r="AM88" s="873"/>
      <c r="AN88" s="403"/>
      <c r="AO88" s="403"/>
      <c r="AP88" s="394"/>
      <c r="AQ88" s="394"/>
      <c r="AR88" s="394"/>
      <c r="AS88" s="394"/>
      <c r="AT88" s="394"/>
      <c r="AU88" s="873"/>
      <c r="AV88" s="873"/>
      <c r="AW88" s="873"/>
      <c r="AX88" s="873"/>
      <c r="AY88" s="873"/>
      <c r="AZ88" s="873"/>
      <c r="BA88" s="394"/>
      <c r="BB88" s="873"/>
      <c r="BC88" s="873"/>
      <c r="BD88" s="873"/>
      <c r="BE88" s="873"/>
      <c r="BF88" s="873"/>
      <c r="BG88" s="873"/>
      <c r="BH88" s="873"/>
      <c r="BI88" s="873"/>
      <c r="BJ88" s="873"/>
      <c r="BK88" s="873"/>
      <c r="BL88" s="873"/>
      <c r="BM88" s="873"/>
      <c r="BN88" s="873"/>
      <c r="BO88" s="873"/>
      <c r="BP88" s="873"/>
      <c r="BQ88" s="873"/>
      <c r="BR88" s="873"/>
      <c r="BS88" s="873"/>
      <c r="BT88" s="873"/>
      <c r="BU88" s="873"/>
      <c r="BV88" s="873"/>
      <c r="BW88" s="873"/>
      <c r="BX88" s="873"/>
      <c r="BY88" s="873"/>
      <c r="BZ88" s="873"/>
      <c r="CA88" s="873"/>
      <c r="CB88" s="873"/>
      <c r="CC88" s="873"/>
      <c r="CD88" s="873"/>
      <c r="CE88" s="873"/>
      <c r="CF88" s="873"/>
      <c r="CG88" s="873"/>
      <c r="CH88" s="873"/>
      <c r="CI88" s="873"/>
      <c r="CJ88" s="873"/>
      <c r="CK88" s="873"/>
      <c r="CL88" s="873"/>
      <c r="CM88" s="873"/>
      <c r="CN88" s="873"/>
      <c r="CO88" s="873"/>
      <c r="CP88" s="873"/>
      <c r="CQ88" s="873"/>
      <c r="CR88" s="873"/>
      <c r="CS88" s="873"/>
      <c r="CT88" s="873"/>
      <c r="CU88" s="873"/>
      <c r="CV88" s="873"/>
      <c r="CW88" s="873"/>
      <c r="CX88" s="873"/>
      <c r="CY88" s="873"/>
      <c r="CZ88" s="873"/>
      <c r="DA88" s="873"/>
      <c r="DB88" s="873"/>
      <c r="DC88" s="873"/>
      <c r="DD88" s="873"/>
      <c r="DE88" s="873"/>
      <c r="DF88" s="873"/>
      <c r="DG88" s="873"/>
      <c r="DH88" s="873"/>
      <c r="DI88" s="873"/>
      <c r="DJ88" s="873"/>
      <c r="DK88" s="873"/>
      <c r="DL88" s="873"/>
      <c r="DM88" s="873"/>
      <c r="DN88" s="873"/>
      <c r="DO88" s="873"/>
      <c r="DP88" s="873"/>
      <c r="DQ88" s="873"/>
      <c r="DR88" s="873"/>
      <c r="DS88" s="873"/>
      <c r="DT88" s="873"/>
      <c r="DU88" s="873"/>
      <c r="DV88" s="873"/>
      <c r="DW88" s="873"/>
      <c r="DX88" s="873"/>
      <c r="DY88" s="873"/>
      <c r="DZ88" s="873"/>
      <c r="EA88" s="873"/>
      <c r="EB88" s="873"/>
      <c r="EC88" s="873"/>
      <c r="ED88" s="873"/>
      <c r="EE88" s="873"/>
      <c r="EF88" s="873"/>
      <c r="EG88" s="873"/>
      <c r="EH88" s="873"/>
      <c r="EI88" s="873"/>
      <c r="EJ88" s="873"/>
      <c r="EK88" s="873"/>
      <c r="EL88" s="873"/>
      <c r="EM88" s="873"/>
      <c r="EN88" s="873"/>
      <c r="EO88" s="873"/>
      <c r="EP88" s="873"/>
      <c r="EQ88" s="873"/>
      <c r="ER88" s="873"/>
      <c r="ES88" s="873"/>
      <c r="ET88" s="873"/>
      <c r="EU88" s="873"/>
      <c r="EV88" s="873"/>
      <c r="EW88" s="873"/>
      <c r="EX88" s="873"/>
      <c r="EY88" s="873"/>
      <c r="EZ88" s="873"/>
      <c r="FA88" s="873"/>
      <c r="FB88" s="873"/>
      <c r="FC88" s="873"/>
      <c r="FD88" s="873"/>
      <c r="FE88" s="873"/>
      <c r="FF88" s="873"/>
      <c r="FG88" s="873"/>
      <c r="FH88" s="873"/>
      <c r="FI88" s="873"/>
      <c r="FJ88" s="873"/>
      <c r="FK88" s="873"/>
      <c r="FL88" s="873"/>
      <c r="FM88" s="873"/>
      <c r="FN88" s="873"/>
      <c r="FO88" s="873"/>
      <c r="FP88" s="873"/>
      <c r="FQ88" s="873"/>
      <c r="FR88" s="873"/>
      <c r="FS88" s="873"/>
      <c r="FT88" s="873"/>
      <c r="FU88" s="873"/>
      <c r="FV88" s="873"/>
      <c r="FW88" s="873"/>
      <c r="FX88" s="873"/>
      <c r="FY88" s="873"/>
      <c r="FZ88" s="873"/>
      <c r="GA88" s="873"/>
      <c r="GB88" s="873"/>
      <c r="GC88" s="873"/>
      <c r="GD88" s="873"/>
      <c r="GE88" s="873"/>
      <c r="GF88" s="873"/>
      <c r="GG88" s="873"/>
      <c r="GH88" s="873"/>
      <c r="GI88" s="873"/>
      <c r="GJ88" s="873"/>
      <c r="GK88" s="873"/>
      <c r="GL88" s="873"/>
      <c r="GM88" s="873"/>
      <c r="GN88" s="873"/>
      <c r="GO88" s="873"/>
      <c r="GP88" s="873"/>
      <c r="GQ88" s="873"/>
      <c r="GR88" s="873"/>
      <c r="GS88" s="873"/>
      <c r="GT88" s="873"/>
      <c r="GU88" s="873"/>
      <c r="GV88" s="873"/>
      <c r="GW88" s="873"/>
      <c r="GX88" s="873"/>
      <c r="GY88" s="873"/>
      <c r="GZ88" s="873"/>
      <c r="HA88" s="873"/>
      <c r="HB88" s="873"/>
      <c r="HC88" s="873"/>
      <c r="HD88" s="873"/>
      <c r="HE88" s="873"/>
      <c r="HF88" s="873"/>
      <c r="HG88" s="873"/>
      <c r="HH88" s="873"/>
      <c r="HI88" s="873"/>
      <c r="HJ88" s="873"/>
      <c r="HK88" s="873"/>
      <c r="HL88" s="873"/>
      <c r="HM88" s="873"/>
      <c r="HN88" s="873"/>
      <c r="HO88" s="873"/>
      <c r="HP88" s="873"/>
      <c r="HQ88" s="873"/>
      <c r="HR88" s="873"/>
      <c r="HS88" s="873"/>
      <c r="HT88" s="873"/>
      <c r="HU88" s="873"/>
      <c r="HV88" s="873"/>
      <c r="HW88" s="873"/>
      <c r="HX88" s="873"/>
      <c r="HY88" s="873"/>
      <c r="HZ88" s="873"/>
      <c r="IA88" s="873"/>
      <c r="IB88" s="873"/>
      <c r="IC88" s="873"/>
      <c r="ID88" s="873"/>
      <c r="IE88" s="873"/>
      <c r="IF88" s="873"/>
      <c r="IG88" s="873"/>
      <c r="IH88" s="873"/>
      <c r="II88" s="873"/>
      <c r="IJ88" s="873"/>
      <c r="IK88" s="873"/>
      <c r="IL88" s="873"/>
      <c r="IM88" s="873"/>
      <c r="IN88" s="873"/>
      <c r="IO88" s="873"/>
      <c r="IP88" s="873"/>
      <c r="IQ88" s="873"/>
      <c r="IR88" s="873"/>
      <c r="IS88" s="873"/>
      <c r="IT88" s="873"/>
      <c r="IU88" s="873"/>
      <c r="IV88" s="873"/>
      <c r="IW88" s="873"/>
      <c r="IX88" s="873"/>
      <c r="IY88" s="873"/>
      <c r="IZ88" s="873"/>
      <c r="JA88" s="873"/>
      <c r="JB88" s="873"/>
      <c r="JC88" s="873"/>
      <c r="JD88" s="873"/>
      <c r="JE88" s="873"/>
      <c r="JF88" s="873"/>
      <c r="JG88" s="873"/>
      <c r="JH88" s="873"/>
      <c r="JI88" s="873"/>
      <c r="JJ88" s="873"/>
      <c r="JK88" s="873"/>
      <c r="JL88" s="873"/>
      <c r="JM88" s="873"/>
      <c r="JN88" s="873"/>
      <c r="JO88" s="873"/>
      <c r="JP88" s="873"/>
      <c r="JQ88" s="873"/>
      <c r="JR88" s="873"/>
      <c r="JS88" s="873"/>
      <c r="JT88" s="873"/>
      <c r="JU88" s="873"/>
      <c r="JV88" s="402"/>
    </row>
    <row r="89" spans="1:282">
      <c r="A89" s="672"/>
      <c r="B89" s="408"/>
      <c r="C89" s="873"/>
      <c r="D89" s="888"/>
      <c r="E89" s="671"/>
      <c r="F89" s="873"/>
      <c r="G89" s="873"/>
      <c r="H89" s="873"/>
      <c r="I89" s="873"/>
      <c r="J89" s="873"/>
      <c r="K89" s="873"/>
      <c r="L89" s="873"/>
      <c r="M89" s="873"/>
      <c r="N89" s="873"/>
      <c r="O89" s="873"/>
      <c r="P89" s="873"/>
      <c r="Q89" s="873"/>
      <c r="R89" s="873"/>
      <c r="S89" s="873"/>
      <c r="T89" s="873"/>
      <c r="U89" s="873"/>
      <c r="V89" s="873"/>
      <c r="W89" s="873"/>
      <c r="X89" s="873"/>
      <c r="Y89" s="873"/>
      <c r="Z89" s="873"/>
      <c r="AA89" s="394"/>
      <c r="AB89" s="873"/>
      <c r="AC89" s="394"/>
      <c r="AD89" s="873"/>
      <c r="AE89" s="873"/>
      <c r="AF89" s="873"/>
      <c r="AG89" s="873"/>
      <c r="AH89" s="873"/>
      <c r="AI89" s="873"/>
      <c r="AJ89" s="403"/>
      <c r="AK89" s="403"/>
      <c r="AL89" s="873"/>
      <c r="AM89" s="873"/>
      <c r="AN89" s="403"/>
      <c r="AO89" s="403"/>
      <c r="AP89" s="394"/>
      <c r="AQ89" s="394"/>
      <c r="AR89" s="394"/>
      <c r="AS89" s="394"/>
      <c r="AT89" s="394"/>
      <c r="AU89" s="873"/>
      <c r="AV89" s="873"/>
      <c r="AW89" s="873"/>
      <c r="AX89" s="873"/>
      <c r="AY89" s="873"/>
      <c r="AZ89" s="873"/>
      <c r="BA89" s="394"/>
      <c r="BB89" s="873"/>
      <c r="BC89" s="873"/>
      <c r="BD89" s="873"/>
      <c r="BE89" s="873"/>
      <c r="BF89" s="873"/>
      <c r="BG89" s="873"/>
      <c r="BH89" s="873"/>
      <c r="BI89" s="873"/>
      <c r="BJ89" s="873"/>
      <c r="BK89" s="873"/>
      <c r="BL89" s="873"/>
      <c r="BM89" s="873"/>
      <c r="BN89" s="873"/>
      <c r="BO89" s="873"/>
      <c r="BP89" s="873"/>
      <c r="BQ89" s="873"/>
      <c r="BR89" s="873"/>
      <c r="BS89" s="873"/>
      <c r="BT89" s="873"/>
      <c r="BU89" s="873"/>
      <c r="BV89" s="873"/>
      <c r="BW89" s="873"/>
      <c r="BX89" s="873"/>
      <c r="BY89" s="873"/>
      <c r="BZ89" s="873"/>
      <c r="CA89" s="873"/>
      <c r="CB89" s="873"/>
      <c r="CC89" s="873"/>
      <c r="CD89" s="873"/>
      <c r="CE89" s="873"/>
      <c r="CF89" s="873"/>
      <c r="CG89" s="873"/>
      <c r="CH89" s="873"/>
      <c r="CI89" s="873"/>
      <c r="CJ89" s="873"/>
      <c r="CK89" s="873"/>
      <c r="CL89" s="873"/>
      <c r="CM89" s="873"/>
      <c r="CN89" s="873"/>
      <c r="CO89" s="873"/>
      <c r="CP89" s="873"/>
      <c r="CQ89" s="873"/>
      <c r="CR89" s="873"/>
      <c r="CS89" s="873"/>
      <c r="CT89" s="873"/>
      <c r="CU89" s="873"/>
      <c r="CV89" s="873"/>
      <c r="CW89" s="873"/>
      <c r="CX89" s="873"/>
      <c r="CY89" s="873"/>
      <c r="CZ89" s="873"/>
      <c r="DA89" s="873"/>
      <c r="DB89" s="873"/>
      <c r="DC89" s="873"/>
      <c r="DD89" s="873"/>
      <c r="DE89" s="873"/>
      <c r="DF89" s="873"/>
      <c r="DG89" s="873"/>
      <c r="DH89" s="873"/>
      <c r="DI89" s="873"/>
      <c r="DJ89" s="873"/>
      <c r="DK89" s="873"/>
      <c r="DL89" s="873"/>
      <c r="DM89" s="873"/>
      <c r="DN89" s="873"/>
      <c r="DO89" s="873"/>
      <c r="DP89" s="873"/>
      <c r="DQ89" s="873"/>
      <c r="DR89" s="873"/>
      <c r="DS89" s="873"/>
      <c r="DT89" s="873"/>
      <c r="DU89" s="873"/>
      <c r="DV89" s="873"/>
      <c r="DW89" s="873"/>
      <c r="DX89" s="873"/>
      <c r="DY89" s="873"/>
      <c r="DZ89" s="873"/>
      <c r="EA89" s="873"/>
      <c r="EB89" s="873"/>
      <c r="EC89" s="873"/>
      <c r="ED89" s="873"/>
      <c r="EE89" s="873"/>
      <c r="EF89" s="873"/>
      <c r="EG89" s="873"/>
      <c r="EH89" s="873"/>
      <c r="EI89" s="873"/>
      <c r="EJ89" s="873"/>
      <c r="EK89" s="873"/>
      <c r="EL89" s="873"/>
      <c r="EM89" s="873"/>
      <c r="EN89" s="873"/>
      <c r="EO89" s="873"/>
      <c r="EP89" s="873"/>
      <c r="EQ89" s="873"/>
      <c r="ER89" s="873"/>
      <c r="ES89" s="873"/>
      <c r="ET89" s="873"/>
      <c r="EU89" s="873"/>
      <c r="EV89" s="873"/>
      <c r="EW89" s="873"/>
      <c r="EX89" s="873"/>
      <c r="EY89" s="873"/>
      <c r="EZ89" s="873"/>
      <c r="FA89" s="873"/>
      <c r="FB89" s="873"/>
      <c r="FC89" s="873"/>
      <c r="FD89" s="873"/>
      <c r="FE89" s="873"/>
      <c r="FF89" s="873"/>
      <c r="FG89" s="873"/>
      <c r="FH89" s="873"/>
      <c r="FI89" s="873"/>
      <c r="FJ89" s="873"/>
      <c r="FK89" s="873"/>
      <c r="FL89" s="873"/>
      <c r="FM89" s="873"/>
      <c r="FN89" s="873"/>
      <c r="FO89" s="873"/>
      <c r="FP89" s="873"/>
      <c r="FQ89" s="873"/>
      <c r="FR89" s="873"/>
      <c r="FS89" s="873"/>
      <c r="FT89" s="873"/>
      <c r="FU89" s="873"/>
      <c r="FV89" s="873"/>
      <c r="FW89" s="873"/>
      <c r="FX89" s="873"/>
      <c r="FY89" s="873"/>
      <c r="FZ89" s="873"/>
      <c r="GA89" s="873"/>
      <c r="GB89" s="873"/>
      <c r="GC89" s="873"/>
      <c r="GD89" s="873"/>
      <c r="GE89" s="873"/>
      <c r="GF89" s="873"/>
      <c r="GG89" s="873"/>
      <c r="GH89" s="873"/>
      <c r="GI89" s="873"/>
      <c r="GJ89" s="873"/>
      <c r="GK89" s="873"/>
      <c r="GL89" s="873"/>
      <c r="GM89" s="873"/>
      <c r="GN89" s="873"/>
      <c r="GO89" s="873"/>
      <c r="GP89" s="873"/>
      <c r="GQ89" s="873"/>
      <c r="GR89" s="873"/>
      <c r="GS89" s="873"/>
      <c r="GT89" s="873"/>
      <c r="GU89" s="873"/>
      <c r="GV89" s="873"/>
      <c r="GW89" s="873"/>
      <c r="GX89" s="873"/>
      <c r="GY89" s="873"/>
      <c r="GZ89" s="873"/>
      <c r="HA89" s="873"/>
      <c r="HB89" s="873"/>
      <c r="HC89" s="873"/>
      <c r="HD89" s="873"/>
      <c r="HE89" s="873"/>
      <c r="HF89" s="873"/>
      <c r="HG89" s="873"/>
      <c r="HH89" s="873"/>
      <c r="HI89" s="873"/>
      <c r="HJ89" s="873"/>
      <c r="HK89" s="873"/>
      <c r="HL89" s="873"/>
      <c r="HM89" s="873"/>
      <c r="HN89" s="873"/>
      <c r="HO89" s="873"/>
      <c r="HP89" s="873"/>
      <c r="HQ89" s="873"/>
      <c r="HR89" s="873"/>
      <c r="HS89" s="873"/>
      <c r="HT89" s="873"/>
      <c r="HU89" s="873"/>
      <c r="HV89" s="873"/>
      <c r="HW89" s="873"/>
      <c r="HX89" s="873"/>
      <c r="HY89" s="873"/>
      <c r="HZ89" s="873"/>
      <c r="IA89" s="873"/>
      <c r="IB89" s="873"/>
      <c r="IC89" s="873"/>
      <c r="ID89" s="873"/>
      <c r="IE89" s="873"/>
      <c r="IF89" s="873"/>
      <c r="IG89" s="873"/>
      <c r="IH89" s="873"/>
      <c r="II89" s="873"/>
      <c r="IJ89" s="873"/>
      <c r="IK89" s="873"/>
      <c r="IL89" s="873"/>
      <c r="IM89" s="873"/>
      <c r="IN89" s="873"/>
      <c r="IO89" s="873"/>
      <c r="IP89" s="873"/>
      <c r="IQ89" s="873"/>
      <c r="IR89" s="873"/>
      <c r="IS89" s="873"/>
      <c r="IT89" s="873"/>
      <c r="IU89" s="873"/>
      <c r="IV89" s="873"/>
      <c r="IW89" s="873"/>
      <c r="IX89" s="873"/>
      <c r="IY89" s="873"/>
      <c r="IZ89" s="873"/>
      <c r="JA89" s="873"/>
      <c r="JB89" s="873"/>
      <c r="JC89" s="873"/>
      <c r="JD89" s="873"/>
      <c r="JE89" s="873"/>
      <c r="JF89" s="873"/>
      <c r="JG89" s="873"/>
      <c r="JH89" s="873"/>
      <c r="JI89" s="873"/>
      <c r="JJ89" s="873"/>
      <c r="JK89" s="873"/>
      <c r="JL89" s="873"/>
      <c r="JM89" s="873"/>
      <c r="JN89" s="873"/>
      <c r="JO89" s="873"/>
      <c r="JP89" s="873"/>
      <c r="JQ89" s="873"/>
      <c r="JR89" s="873"/>
      <c r="JS89" s="873"/>
      <c r="JT89" s="873"/>
      <c r="JU89" s="873"/>
      <c r="JV89" s="402"/>
    </row>
    <row r="90" spans="1:282">
      <c r="A90" s="672"/>
      <c r="B90" s="408"/>
      <c r="C90" s="873"/>
      <c r="D90" s="888"/>
      <c r="E90" s="671"/>
      <c r="F90" s="873"/>
      <c r="G90" s="873"/>
      <c r="H90" s="873"/>
      <c r="I90" s="873"/>
      <c r="J90" s="873"/>
      <c r="K90" s="873"/>
      <c r="L90" s="873"/>
      <c r="M90" s="873"/>
      <c r="N90" s="873"/>
      <c r="O90" s="873"/>
      <c r="P90" s="873"/>
      <c r="Q90" s="873"/>
      <c r="R90" s="873"/>
      <c r="S90" s="873"/>
      <c r="T90" s="873"/>
      <c r="U90" s="873"/>
      <c r="V90" s="873"/>
      <c r="W90" s="873"/>
      <c r="X90" s="873"/>
      <c r="Y90" s="873"/>
      <c r="Z90" s="873"/>
      <c r="AA90" s="394"/>
      <c r="AB90" s="873"/>
      <c r="AC90" s="394"/>
      <c r="AD90" s="873"/>
      <c r="AE90" s="873"/>
      <c r="AF90" s="873"/>
      <c r="AG90" s="873"/>
      <c r="AH90" s="873"/>
      <c r="AI90" s="873"/>
      <c r="AJ90" s="403"/>
      <c r="AK90" s="403"/>
      <c r="AL90" s="873"/>
      <c r="AM90" s="873"/>
      <c r="AN90" s="403"/>
      <c r="AO90" s="403"/>
      <c r="AP90" s="394"/>
      <c r="AQ90" s="394"/>
      <c r="AR90" s="394"/>
      <c r="AS90" s="394"/>
      <c r="AT90" s="394"/>
      <c r="AU90" s="873"/>
      <c r="AV90" s="873"/>
      <c r="AW90" s="873"/>
      <c r="AX90" s="873"/>
      <c r="AY90" s="873"/>
      <c r="AZ90" s="873"/>
      <c r="BA90" s="394"/>
      <c r="BB90" s="873"/>
      <c r="BC90" s="873"/>
      <c r="BD90" s="873"/>
      <c r="BE90" s="873"/>
      <c r="BF90" s="873"/>
      <c r="BG90" s="873"/>
      <c r="BH90" s="873"/>
      <c r="BI90" s="873"/>
      <c r="BJ90" s="873"/>
      <c r="BK90" s="873"/>
      <c r="BL90" s="873"/>
      <c r="BM90" s="873"/>
      <c r="BN90" s="873"/>
      <c r="BO90" s="873"/>
      <c r="BP90" s="873"/>
      <c r="BQ90" s="873"/>
      <c r="BR90" s="873"/>
      <c r="BS90" s="873"/>
      <c r="BT90" s="873"/>
      <c r="BU90" s="873"/>
      <c r="BV90" s="873"/>
      <c r="BW90" s="873"/>
      <c r="BX90" s="873"/>
      <c r="BY90" s="873"/>
      <c r="BZ90" s="873"/>
      <c r="CA90" s="873"/>
      <c r="CB90" s="873"/>
      <c r="CC90" s="873"/>
      <c r="CD90" s="873"/>
      <c r="CE90" s="873"/>
      <c r="CF90" s="873"/>
      <c r="CG90" s="873"/>
      <c r="CH90" s="873"/>
      <c r="CI90" s="873"/>
      <c r="CJ90" s="873"/>
      <c r="CK90" s="873"/>
      <c r="CL90" s="873"/>
      <c r="CM90" s="873"/>
      <c r="CN90" s="873"/>
      <c r="CO90" s="873"/>
      <c r="CP90" s="873"/>
      <c r="CQ90" s="873"/>
      <c r="CR90" s="873"/>
      <c r="CS90" s="873"/>
      <c r="CT90" s="873"/>
      <c r="CU90" s="873"/>
      <c r="CV90" s="873"/>
      <c r="CW90" s="873"/>
      <c r="CX90" s="873"/>
      <c r="CY90" s="873"/>
      <c r="CZ90" s="873"/>
      <c r="DA90" s="873"/>
      <c r="DB90" s="873"/>
      <c r="DC90" s="873"/>
      <c r="DD90" s="873"/>
      <c r="DE90" s="873"/>
      <c r="DF90" s="873"/>
      <c r="DG90" s="873"/>
      <c r="DH90" s="873"/>
      <c r="DI90" s="873"/>
      <c r="DJ90" s="873"/>
      <c r="DK90" s="873"/>
      <c r="DL90" s="873"/>
      <c r="DM90" s="873"/>
      <c r="DN90" s="873"/>
      <c r="DO90" s="873"/>
      <c r="DP90" s="873"/>
      <c r="DQ90" s="873"/>
      <c r="DR90" s="873"/>
      <c r="DS90" s="873"/>
      <c r="DT90" s="873"/>
      <c r="DU90" s="873"/>
      <c r="DV90" s="873"/>
      <c r="DW90" s="873"/>
      <c r="DX90" s="873"/>
      <c r="DY90" s="873"/>
      <c r="DZ90" s="873"/>
      <c r="EA90" s="873"/>
      <c r="EB90" s="873"/>
      <c r="EC90" s="873"/>
      <c r="ED90" s="873"/>
      <c r="EE90" s="873"/>
      <c r="EF90" s="873"/>
      <c r="EG90" s="873"/>
      <c r="EH90" s="873"/>
      <c r="EI90" s="873"/>
      <c r="EJ90" s="873"/>
      <c r="EK90" s="873"/>
      <c r="EL90" s="873"/>
      <c r="EM90" s="873"/>
      <c r="EN90" s="873"/>
      <c r="EO90" s="873"/>
      <c r="EP90" s="873"/>
      <c r="EQ90" s="873"/>
      <c r="ER90" s="873"/>
      <c r="ES90" s="873"/>
      <c r="ET90" s="873"/>
      <c r="EU90" s="873"/>
      <c r="EV90" s="873"/>
      <c r="EW90" s="873"/>
      <c r="EX90" s="873"/>
      <c r="EY90" s="873"/>
      <c r="EZ90" s="873"/>
      <c r="FA90" s="873"/>
      <c r="FB90" s="873"/>
      <c r="FC90" s="873"/>
      <c r="FD90" s="873"/>
      <c r="FE90" s="873"/>
      <c r="FF90" s="873"/>
      <c r="FG90" s="873"/>
      <c r="FH90" s="873"/>
      <c r="FI90" s="873"/>
      <c r="FJ90" s="873"/>
      <c r="FK90" s="873"/>
      <c r="FL90" s="873"/>
      <c r="FM90" s="873"/>
      <c r="FN90" s="873"/>
      <c r="FO90" s="873"/>
      <c r="FP90" s="873"/>
      <c r="FQ90" s="873"/>
      <c r="FR90" s="873"/>
      <c r="FS90" s="873"/>
      <c r="FT90" s="873"/>
      <c r="FU90" s="873"/>
      <c r="FV90" s="873"/>
      <c r="FW90" s="873"/>
      <c r="FX90" s="873"/>
      <c r="FY90" s="873"/>
      <c r="FZ90" s="873"/>
      <c r="GA90" s="873"/>
      <c r="GB90" s="873"/>
      <c r="GC90" s="873"/>
      <c r="GD90" s="873"/>
      <c r="GE90" s="873"/>
      <c r="GF90" s="873"/>
      <c r="GG90" s="873"/>
      <c r="GH90" s="873"/>
      <c r="GI90" s="873"/>
      <c r="GJ90" s="873"/>
      <c r="GK90" s="873"/>
      <c r="GL90" s="873"/>
      <c r="GM90" s="873"/>
      <c r="GN90" s="873"/>
      <c r="GO90" s="873"/>
      <c r="GP90" s="873"/>
      <c r="GQ90" s="873"/>
      <c r="GR90" s="873"/>
      <c r="GS90" s="873"/>
      <c r="GT90" s="873"/>
      <c r="GU90" s="873"/>
      <c r="GV90" s="873"/>
      <c r="GW90" s="873"/>
      <c r="GX90" s="873"/>
      <c r="GY90" s="873"/>
      <c r="GZ90" s="873"/>
      <c r="HA90" s="873"/>
      <c r="HB90" s="873"/>
      <c r="HC90" s="873"/>
      <c r="HD90" s="873"/>
      <c r="HE90" s="873"/>
      <c r="HF90" s="873"/>
      <c r="HG90" s="873"/>
      <c r="HH90" s="873"/>
      <c r="HI90" s="873"/>
      <c r="HJ90" s="873"/>
      <c r="HK90" s="873"/>
      <c r="HL90" s="873"/>
      <c r="HM90" s="873"/>
      <c r="HN90" s="873"/>
      <c r="HO90" s="873"/>
      <c r="HP90" s="873"/>
      <c r="HQ90" s="873"/>
      <c r="HR90" s="873"/>
      <c r="HS90" s="873"/>
      <c r="HT90" s="873"/>
      <c r="HU90" s="873"/>
      <c r="HV90" s="873"/>
      <c r="HW90" s="873"/>
      <c r="HX90" s="873"/>
      <c r="HY90" s="873"/>
      <c r="HZ90" s="873"/>
      <c r="IA90" s="873"/>
      <c r="IB90" s="873"/>
      <c r="IC90" s="873"/>
      <c r="ID90" s="873"/>
      <c r="IE90" s="873"/>
      <c r="IF90" s="873"/>
      <c r="IG90" s="873"/>
      <c r="IH90" s="873"/>
      <c r="II90" s="873"/>
      <c r="IJ90" s="873"/>
      <c r="IK90" s="873"/>
      <c r="IL90" s="873"/>
      <c r="IM90" s="873"/>
      <c r="IN90" s="873"/>
      <c r="IO90" s="873"/>
      <c r="IP90" s="873"/>
      <c r="IQ90" s="873"/>
      <c r="IR90" s="873"/>
      <c r="IS90" s="873"/>
      <c r="IT90" s="873"/>
      <c r="IU90" s="873"/>
      <c r="IV90" s="873"/>
      <c r="IW90" s="873"/>
      <c r="IX90" s="873"/>
      <c r="IY90" s="873"/>
      <c r="IZ90" s="873"/>
      <c r="JA90" s="873"/>
      <c r="JB90" s="873"/>
      <c r="JC90" s="873"/>
      <c r="JD90" s="873"/>
      <c r="JE90" s="873"/>
      <c r="JF90" s="873"/>
      <c r="JG90" s="873"/>
      <c r="JH90" s="873"/>
      <c r="JI90" s="873"/>
      <c r="JJ90" s="873"/>
      <c r="JK90" s="873"/>
      <c r="JL90" s="873"/>
      <c r="JM90" s="873"/>
      <c r="JN90" s="873"/>
      <c r="JO90" s="873"/>
      <c r="JP90" s="873"/>
      <c r="JQ90" s="873"/>
      <c r="JR90" s="873"/>
      <c r="JS90" s="873"/>
      <c r="JT90" s="873"/>
      <c r="JU90" s="873"/>
      <c r="JV90" s="402"/>
    </row>
    <row r="91" spans="1:282">
      <c r="A91" s="672"/>
      <c r="B91" s="408"/>
      <c r="C91" s="873"/>
      <c r="D91" s="888"/>
      <c r="E91" s="671"/>
      <c r="F91" s="873"/>
      <c r="G91" s="873"/>
      <c r="H91" s="873"/>
      <c r="I91" s="873"/>
      <c r="J91" s="873"/>
      <c r="K91" s="873"/>
      <c r="L91" s="873"/>
      <c r="M91" s="873"/>
      <c r="N91" s="873"/>
      <c r="O91" s="873"/>
      <c r="P91" s="873"/>
      <c r="Q91" s="873"/>
      <c r="R91" s="873"/>
      <c r="S91" s="873"/>
      <c r="T91" s="873"/>
      <c r="U91" s="873"/>
      <c r="V91" s="873"/>
      <c r="W91" s="873"/>
      <c r="X91" s="873"/>
      <c r="Y91" s="873"/>
      <c r="Z91" s="873"/>
      <c r="AA91" s="394"/>
      <c r="AB91" s="873"/>
      <c r="AC91" s="394"/>
      <c r="AD91" s="873"/>
      <c r="AE91" s="873"/>
      <c r="AF91" s="873"/>
      <c r="AG91" s="873"/>
      <c r="AH91" s="873"/>
      <c r="AI91" s="873"/>
      <c r="AJ91" s="403"/>
      <c r="AK91" s="403"/>
      <c r="AL91" s="873"/>
      <c r="AM91" s="873"/>
      <c r="AN91" s="403"/>
      <c r="AO91" s="403"/>
      <c r="AP91" s="394"/>
      <c r="AQ91" s="394"/>
      <c r="AR91" s="394"/>
      <c r="AS91" s="394"/>
      <c r="AT91" s="394"/>
      <c r="AU91" s="873"/>
      <c r="AV91" s="873"/>
      <c r="AW91" s="873"/>
      <c r="AX91" s="873"/>
      <c r="AY91" s="873"/>
      <c r="AZ91" s="873"/>
      <c r="BA91" s="394"/>
      <c r="BB91" s="873"/>
      <c r="BC91" s="873"/>
      <c r="BD91" s="873"/>
      <c r="BE91" s="873"/>
      <c r="BF91" s="873"/>
      <c r="BG91" s="873"/>
      <c r="BH91" s="873"/>
      <c r="BI91" s="873"/>
      <c r="BJ91" s="873"/>
      <c r="BK91" s="873"/>
      <c r="BL91" s="873"/>
      <c r="BM91" s="873"/>
      <c r="BN91" s="873"/>
      <c r="BO91" s="873"/>
      <c r="BP91" s="873"/>
      <c r="BQ91" s="873"/>
      <c r="BR91" s="873"/>
      <c r="BS91" s="873"/>
      <c r="BT91" s="873"/>
      <c r="BU91" s="873"/>
      <c r="BV91" s="873"/>
      <c r="BW91" s="873"/>
      <c r="BX91" s="873"/>
      <c r="BY91" s="873"/>
      <c r="BZ91" s="873"/>
      <c r="CA91" s="873"/>
      <c r="CB91" s="873"/>
      <c r="CC91" s="873"/>
      <c r="CD91" s="873"/>
      <c r="CE91" s="873"/>
      <c r="CF91" s="873"/>
      <c r="CG91" s="873"/>
      <c r="CH91" s="873"/>
      <c r="CI91" s="873"/>
      <c r="CJ91" s="873"/>
      <c r="CK91" s="873"/>
      <c r="CL91" s="873"/>
      <c r="CM91" s="873"/>
      <c r="CN91" s="873"/>
      <c r="CO91" s="873"/>
      <c r="CP91" s="873"/>
      <c r="CQ91" s="873"/>
      <c r="CR91" s="873"/>
      <c r="CS91" s="873"/>
      <c r="CT91" s="873"/>
      <c r="CU91" s="873"/>
      <c r="CV91" s="873"/>
      <c r="CW91" s="873"/>
      <c r="CX91" s="873"/>
      <c r="CY91" s="873"/>
      <c r="CZ91" s="873"/>
      <c r="DA91" s="873"/>
      <c r="DB91" s="873"/>
      <c r="DC91" s="873"/>
      <c r="DD91" s="873"/>
      <c r="DE91" s="873"/>
      <c r="DF91" s="873"/>
      <c r="DG91" s="873"/>
      <c r="DH91" s="873"/>
      <c r="DI91" s="873"/>
      <c r="DJ91" s="873"/>
      <c r="DK91" s="873"/>
      <c r="DL91" s="873"/>
      <c r="DM91" s="873"/>
      <c r="DN91" s="873"/>
      <c r="DO91" s="873"/>
      <c r="DP91" s="873"/>
      <c r="DQ91" s="873"/>
      <c r="DR91" s="873"/>
      <c r="DS91" s="873"/>
      <c r="DT91" s="873"/>
      <c r="DU91" s="873"/>
      <c r="DV91" s="873"/>
      <c r="DW91" s="873"/>
      <c r="DX91" s="873"/>
      <c r="DY91" s="873"/>
      <c r="DZ91" s="873"/>
      <c r="EA91" s="873"/>
      <c r="EB91" s="873"/>
      <c r="EC91" s="873"/>
      <c r="ED91" s="873"/>
      <c r="EE91" s="873"/>
      <c r="EF91" s="873"/>
      <c r="EG91" s="873"/>
      <c r="EH91" s="873"/>
      <c r="EI91" s="873"/>
      <c r="EJ91" s="873"/>
      <c r="EK91" s="873"/>
      <c r="EL91" s="873"/>
      <c r="EM91" s="873"/>
      <c r="EN91" s="873"/>
      <c r="EO91" s="873"/>
      <c r="EP91" s="873"/>
      <c r="EQ91" s="873"/>
      <c r="ER91" s="873"/>
      <c r="ES91" s="873"/>
      <c r="ET91" s="873"/>
      <c r="EU91" s="873"/>
      <c r="EV91" s="873"/>
      <c r="EW91" s="873"/>
      <c r="EX91" s="873"/>
      <c r="EY91" s="873"/>
      <c r="EZ91" s="873"/>
      <c r="FA91" s="873"/>
      <c r="FB91" s="873"/>
      <c r="FC91" s="873"/>
      <c r="FD91" s="873"/>
      <c r="FE91" s="873"/>
      <c r="FF91" s="873"/>
      <c r="FG91" s="873"/>
      <c r="FH91" s="873"/>
      <c r="FI91" s="873"/>
      <c r="FJ91" s="873"/>
      <c r="FK91" s="873"/>
      <c r="FL91" s="873"/>
      <c r="FM91" s="873"/>
      <c r="FN91" s="873"/>
      <c r="FO91" s="873"/>
      <c r="FP91" s="873"/>
      <c r="FQ91" s="873"/>
      <c r="FR91" s="873"/>
      <c r="FS91" s="873"/>
      <c r="FT91" s="873"/>
      <c r="FU91" s="873"/>
      <c r="FV91" s="873"/>
      <c r="FW91" s="873"/>
      <c r="FX91" s="873"/>
      <c r="FY91" s="873"/>
      <c r="FZ91" s="873"/>
      <c r="GA91" s="873"/>
      <c r="GB91" s="873"/>
      <c r="GC91" s="873"/>
      <c r="GD91" s="873"/>
      <c r="GE91" s="873"/>
      <c r="GF91" s="873"/>
      <c r="GG91" s="873"/>
      <c r="GH91" s="873"/>
      <c r="GI91" s="873"/>
      <c r="GJ91" s="873"/>
      <c r="GK91" s="873"/>
      <c r="GL91" s="873"/>
      <c r="GM91" s="873"/>
      <c r="GN91" s="873"/>
      <c r="GO91" s="873"/>
      <c r="GP91" s="873"/>
      <c r="GQ91" s="873"/>
      <c r="GR91" s="873"/>
      <c r="GS91" s="873"/>
      <c r="GT91" s="873"/>
      <c r="GU91" s="873"/>
      <c r="GV91" s="873"/>
      <c r="GW91" s="873"/>
      <c r="GX91" s="873"/>
      <c r="GY91" s="873"/>
      <c r="GZ91" s="873"/>
      <c r="HA91" s="873"/>
      <c r="HB91" s="873"/>
      <c r="HC91" s="873"/>
      <c r="HD91" s="873"/>
      <c r="HE91" s="873"/>
      <c r="HF91" s="873"/>
      <c r="HG91" s="873"/>
      <c r="HH91" s="873"/>
      <c r="HI91" s="873"/>
      <c r="HJ91" s="873"/>
      <c r="HK91" s="873"/>
      <c r="HL91" s="873"/>
      <c r="HM91" s="873"/>
      <c r="HN91" s="873"/>
      <c r="HO91" s="873"/>
      <c r="HP91" s="873"/>
      <c r="HQ91" s="873"/>
      <c r="HR91" s="873"/>
      <c r="HS91" s="873"/>
      <c r="HT91" s="873"/>
      <c r="HU91" s="873"/>
      <c r="HV91" s="873"/>
      <c r="HW91" s="873"/>
      <c r="HX91" s="873"/>
      <c r="HY91" s="873"/>
      <c r="HZ91" s="873"/>
      <c r="IA91" s="873"/>
      <c r="IB91" s="873"/>
      <c r="IC91" s="873"/>
      <c r="ID91" s="873"/>
      <c r="IE91" s="873"/>
      <c r="IF91" s="873"/>
      <c r="IG91" s="873"/>
      <c r="IH91" s="873"/>
      <c r="II91" s="873"/>
      <c r="IJ91" s="873"/>
      <c r="IK91" s="873"/>
      <c r="IL91" s="873"/>
      <c r="IM91" s="873"/>
      <c r="IN91" s="873"/>
      <c r="IO91" s="873"/>
      <c r="IP91" s="873"/>
      <c r="IQ91" s="873"/>
      <c r="IR91" s="873"/>
      <c r="IS91" s="873"/>
      <c r="IT91" s="873"/>
      <c r="IU91" s="873"/>
      <c r="IV91" s="873"/>
      <c r="IW91" s="873"/>
      <c r="IX91" s="873"/>
      <c r="IY91" s="873"/>
      <c r="IZ91" s="873"/>
      <c r="JA91" s="873"/>
      <c r="JB91" s="873"/>
      <c r="JC91" s="873"/>
      <c r="JD91" s="873"/>
      <c r="JE91" s="873"/>
      <c r="JF91" s="873"/>
      <c r="JG91" s="873"/>
      <c r="JH91" s="873"/>
      <c r="JI91" s="873"/>
      <c r="JJ91" s="873"/>
      <c r="JK91" s="873"/>
      <c r="JL91" s="873"/>
      <c r="JM91" s="873"/>
      <c r="JN91" s="873"/>
      <c r="JO91" s="873"/>
      <c r="JP91" s="873"/>
      <c r="JQ91" s="873"/>
      <c r="JR91" s="873"/>
      <c r="JS91" s="873"/>
      <c r="JT91" s="873"/>
      <c r="JU91" s="873"/>
      <c r="JV91" s="402"/>
    </row>
    <row r="92" spans="1:282">
      <c r="A92" s="672"/>
      <c r="B92" s="408"/>
      <c r="C92" s="873"/>
      <c r="D92" s="888"/>
      <c r="E92" s="671"/>
      <c r="F92" s="873"/>
      <c r="G92" s="873"/>
      <c r="H92" s="873"/>
      <c r="I92" s="873"/>
      <c r="J92" s="873"/>
      <c r="K92" s="873"/>
      <c r="L92" s="873"/>
      <c r="M92" s="873"/>
      <c r="N92" s="873"/>
      <c r="O92" s="873"/>
      <c r="P92" s="873"/>
      <c r="Q92" s="873"/>
      <c r="R92" s="873"/>
      <c r="S92" s="873"/>
      <c r="T92" s="873"/>
      <c r="U92" s="873"/>
      <c r="V92" s="873"/>
      <c r="W92" s="873"/>
      <c r="X92" s="873"/>
      <c r="Y92" s="873"/>
      <c r="Z92" s="873"/>
      <c r="AA92" s="394"/>
      <c r="AB92" s="873"/>
      <c r="AC92" s="394"/>
      <c r="AD92" s="873"/>
      <c r="AE92" s="873"/>
      <c r="AF92" s="873"/>
      <c r="AG92" s="873"/>
      <c r="AH92" s="873"/>
      <c r="AI92" s="873"/>
      <c r="AJ92" s="403"/>
      <c r="AK92" s="403"/>
      <c r="AL92" s="873"/>
      <c r="AM92" s="873"/>
      <c r="AN92" s="403"/>
      <c r="AO92" s="403"/>
      <c r="AP92" s="394"/>
      <c r="AQ92" s="394"/>
      <c r="AR92" s="394"/>
      <c r="AS92" s="394"/>
      <c r="AT92" s="394"/>
      <c r="AU92" s="873"/>
      <c r="AV92" s="873"/>
      <c r="AW92" s="873"/>
      <c r="AX92" s="873"/>
      <c r="AY92" s="873"/>
      <c r="AZ92" s="873"/>
      <c r="BA92" s="394"/>
      <c r="BB92" s="873"/>
      <c r="BC92" s="873"/>
      <c r="BD92" s="873"/>
      <c r="BE92" s="873"/>
      <c r="BF92" s="873"/>
      <c r="BG92" s="873"/>
      <c r="BH92" s="873"/>
      <c r="BI92" s="873"/>
      <c r="BJ92" s="873"/>
      <c r="BK92" s="873"/>
      <c r="BL92" s="873"/>
      <c r="BM92" s="873"/>
      <c r="BN92" s="873"/>
      <c r="BO92" s="873"/>
      <c r="BP92" s="873"/>
      <c r="BQ92" s="873"/>
      <c r="BR92" s="873"/>
      <c r="BS92" s="873"/>
      <c r="BT92" s="873"/>
      <c r="BU92" s="873"/>
      <c r="BV92" s="873"/>
      <c r="BW92" s="873"/>
      <c r="BX92" s="873"/>
      <c r="BY92" s="873"/>
      <c r="BZ92" s="873"/>
      <c r="CA92" s="873"/>
      <c r="CB92" s="873"/>
      <c r="CC92" s="873"/>
      <c r="CD92" s="873"/>
      <c r="CE92" s="873"/>
      <c r="CF92" s="873"/>
      <c r="CG92" s="873"/>
      <c r="CH92" s="873"/>
      <c r="CI92" s="873"/>
      <c r="CJ92" s="873"/>
      <c r="CK92" s="873"/>
      <c r="CL92" s="873"/>
      <c r="CM92" s="873"/>
      <c r="CN92" s="873"/>
      <c r="CO92" s="873"/>
      <c r="CP92" s="873"/>
      <c r="CQ92" s="873"/>
      <c r="CR92" s="873"/>
      <c r="CS92" s="873"/>
      <c r="CT92" s="873"/>
      <c r="CU92" s="873"/>
      <c r="CV92" s="873"/>
      <c r="CW92" s="873"/>
      <c r="CX92" s="873"/>
      <c r="CY92" s="873"/>
      <c r="CZ92" s="873"/>
      <c r="DA92" s="873"/>
      <c r="DB92" s="873"/>
      <c r="DC92" s="873"/>
      <c r="DD92" s="873"/>
      <c r="DE92" s="873"/>
      <c r="DF92" s="873"/>
      <c r="DG92" s="873"/>
      <c r="DH92" s="873"/>
      <c r="DI92" s="873"/>
      <c r="DJ92" s="873"/>
      <c r="DK92" s="873"/>
      <c r="DL92" s="873"/>
      <c r="DM92" s="873"/>
      <c r="DN92" s="873"/>
      <c r="DO92" s="873"/>
      <c r="DP92" s="873"/>
      <c r="DQ92" s="873"/>
      <c r="DR92" s="873"/>
      <c r="DS92" s="873"/>
      <c r="DT92" s="873"/>
      <c r="DU92" s="873"/>
      <c r="DV92" s="873"/>
      <c r="DW92" s="873"/>
      <c r="DX92" s="873"/>
      <c r="DY92" s="873"/>
      <c r="DZ92" s="873"/>
      <c r="EA92" s="873"/>
      <c r="EB92" s="873"/>
      <c r="EC92" s="873"/>
      <c r="ED92" s="873"/>
      <c r="EE92" s="873"/>
      <c r="EF92" s="873"/>
      <c r="EG92" s="873"/>
      <c r="EH92" s="873"/>
      <c r="EI92" s="873"/>
      <c r="EJ92" s="873"/>
      <c r="EK92" s="873"/>
      <c r="EL92" s="873"/>
      <c r="EM92" s="873"/>
      <c r="EN92" s="873"/>
      <c r="EO92" s="873"/>
      <c r="EP92" s="873"/>
      <c r="EQ92" s="873"/>
      <c r="ER92" s="873"/>
      <c r="ES92" s="873"/>
      <c r="ET92" s="873"/>
      <c r="EU92" s="873"/>
      <c r="EV92" s="873"/>
      <c r="EW92" s="873"/>
      <c r="EX92" s="873"/>
      <c r="EY92" s="873"/>
      <c r="EZ92" s="873"/>
      <c r="FA92" s="873"/>
      <c r="FB92" s="873"/>
      <c r="FC92" s="873"/>
      <c r="FD92" s="873"/>
      <c r="FE92" s="873"/>
      <c r="FF92" s="873"/>
      <c r="FG92" s="873"/>
      <c r="FH92" s="873"/>
      <c r="FI92" s="873"/>
      <c r="FJ92" s="873"/>
      <c r="FK92" s="873"/>
      <c r="FL92" s="873"/>
      <c r="FM92" s="873"/>
      <c r="FN92" s="873"/>
      <c r="FO92" s="873"/>
      <c r="FP92" s="873"/>
      <c r="FQ92" s="873"/>
      <c r="FR92" s="873"/>
      <c r="FS92" s="873"/>
      <c r="FT92" s="873"/>
      <c r="FU92" s="873"/>
      <c r="FV92" s="873"/>
      <c r="FW92" s="873"/>
      <c r="FX92" s="873"/>
      <c r="FY92" s="873"/>
      <c r="FZ92" s="873"/>
      <c r="GA92" s="873"/>
      <c r="GB92" s="873"/>
      <c r="GC92" s="873"/>
      <c r="GD92" s="873"/>
      <c r="GE92" s="873"/>
      <c r="GF92" s="873"/>
      <c r="GG92" s="873"/>
      <c r="GH92" s="873"/>
      <c r="GI92" s="873"/>
      <c r="GJ92" s="873"/>
      <c r="GK92" s="873"/>
      <c r="GL92" s="873"/>
      <c r="GM92" s="873"/>
      <c r="GN92" s="873"/>
      <c r="GO92" s="873"/>
      <c r="GP92" s="873"/>
      <c r="GQ92" s="873"/>
      <c r="GR92" s="873"/>
      <c r="GS92" s="873"/>
      <c r="GT92" s="873"/>
      <c r="GU92" s="873"/>
      <c r="GV92" s="873"/>
      <c r="GW92" s="873"/>
      <c r="GX92" s="873"/>
      <c r="GY92" s="873"/>
      <c r="GZ92" s="873"/>
      <c r="HA92" s="873"/>
      <c r="HB92" s="873"/>
      <c r="HC92" s="873"/>
      <c r="HD92" s="873"/>
      <c r="HE92" s="873"/>
      <c r="HF92" s="873"/>
      <c r="HG92" s="873"/>
      <c r="HH92" s="873"/>
      <c r="HI92" s="873"/>
      <c r="HJ92" s="873"/>
      <c r="HK92" s="873"/>
      <c r="HL92" s="873"/>
      <c r="HM92" s="873"/>
      <c r="HN92" s="873"/>
      <c r="HO92" s="873"/>
      <c r="HP92" s="873"/>
      <c r="HQ92" s="873"/>
      <c r="HR92" s="873"/>
      <c r="HS92" s="873"/>
      <c r="HT92" s="873"/>
      <c r="HU92" s="873"/>
      <c r="HV92" s="873"/>
      <c r="HW92" s="873"/>
      <c r="HX92" s="873"/>
      <c r="HY92" s="873"/>
      <c r="HZ92" s="873"/>
      <c r="IA92" s="873"/>
      <c r="IB92" s="873"/>
      <c r="IC92" s="873"/>
      <c r="ID92" s="873"/>
      <c r="IE92" s="873"/>
      <c r="IF92" s="873"/>
      <c r="IG92" s="873"/>
      <c r="IH92" s="873"/>
      <c r="II92" s="873"/>
      <c r="IJ92" s="873"/>
      <c r="IK92" s="873"/>
      <c r="IL92" s="873"/>
      <c r="IM92" s="873"/>
      <c r="IN92" s="873"/>
      <c r="IO92" s="873"/>
      <c r="IP92" s="873"/>
      <c r="IQ92" s="873"/>
      <c r="IR92" s="873"/>
      <c r="IS92" s="873"/>
      <c r="IT92" s="873"/>
      <c r="IU92" s="873"/>
      <c r="IV92" s="873"/>
      <c r="IW92" s="873"/>
      <c r="IX92" s="873"/>
      <c r="IY92" s="873"/>
      <c r="IZ92" s="873"/>
      <c r="JA92" s="873"/>
      <c r="JB92" s="873"/>
      <c r="JC92" s="873"/>
      <c r="JD92" s="873"/>
      <c r="JE92" s="873"/>
      <c r="JF92" s="873"/>
      <c r="JG92" s="873"/>
      <c r="JH92" s="873"/>
      <c r="JI92" s="873"/>
      <c r="JJ92" s="873"/>
      <c r="JK92" s="873"/>
      <c r="JL92" s="873"/>
      <c r="JM92" s="873"/>
      <c r="JN92" s="873"/>
      <c r="JO92" s="873"/>
      <c r="JP92" s="873"/>
      <c r="JQ92" s="873"/>
      <c r="JR92" s="873"/>
      <c r="JS92" s="873"/>
      <c r="JT92" s="873"/>
      <c r="JU92" s="873"/>
      <c r="JV92" s="402"/>
    </row>
    <row r="93" spans="1:282">
      <c r="A93" s="672"/>
      <c r="B93" s="408"/>
      <c r="C93" s="873"/>
      <c r="D93" s="888"/>
      <c r="E93" s="671"/>
      <c r="F93" s="873"/>
      <c r="G93" s="873"/>
      <c r="H93" s="873"/>
      <c r="I93" s="873"/>
      <c r="J93" s="873"/>
      <c r="K93" s="873"/>
      <c r="L93" s="873"/>
      <c r="M93" s="873"/>
      <c r="N93" s="873"/>
      <c r="O93" s="873"/>
      <c r="P93" s="873"/>
      <c r="Q93" s="873"/>
      <c r="R93" s="873"/>
      <c r="S93" s="873"/>
      <c r="T93" s="873"/>
      <c r="U93" s="873"/>
      <c r="V93" s="873"/>
      <c r="W93" s="873"/>
      <c r="X93" s="873"/>
      <c r="Y93" s="873"/>
      <c r="Z93" s="873"/>
      <c r="AA93" s="394"/>
      <c r="AB93" s="873"/>
      <c r="AC93" s="394"/>
      <c r="AD93" s="873"/>
      <c r="AE93" s="873"/>
      <c r="AF93" s="873"/>
      <c r="AG93" s="873"/>
      <c r="AH93" s="873"/>
      <c r="AI93" s="873"/>
      <c r="AJ93" s="403"/>
      <c r="AK93" s="403"/>
      <c r="AL93" s="873"/>
      <c r="AM93" s="873"/>
      <c r="AN93" s="403"/>
      <c r="AO93" s="403"/>
      <c r="AP93" s="394"/>
      <c r="AQ93" s="394"/>
      <c r="AR93" s="394"/>
      <c r="AS93" s="394"/>
      <c r="AT93" s="394"/>
      <c r="AU93" s="873"/>
      <c r="AV93" s="873"/>
      <c r="AW93" s="873"/>
      <c r="AX93" s="873"/>
      <c r="AY93" s="873"/>
      <c r="AZ93" s="873"/>
      <c r="BA93" s="394"/>
      <c r="BB93" s="873"/>
      <c r="BC93" s="873"/>
      <c r="BD93" s="873"/>
      <c r="BE93" s="873"/>
      <c r="BF93" s="873"/>
      <c r="BG93" s="873"/>
      <c r="BH93" s="873"/>
      <c r="BI93" s="873"/>
      <c r="BJ93" s="873"/>
      <c r="BK93" s="873"/>
      <c r="BL93" s="873"/>
      <c r="BM93" s="873"/>
      <c r="BN93" s="873"/>
      <c r="BO93" s="873"/>
      <c r="BP93" s="873"/>
      <c r="BQ93" s="873"/>
      <c r="BR93" s="873"/>
      <c r="BS93" s="873"/>
      <c r="BT93" s="873"/>
      <c r="BU93" s="873"/>
      <c r="BV93" s="873"/>
      <c r="BW93" s="873"/>
      <c r="BX93" s="873"/>
      <c r="BY93" s="873"/>
      <c r="BZ93" s="873"/>
      <c r="CA93" s="873"/>
      <c r="CB93" s="873"/>
      <c r="CC93" s="873"/>
      <c r="CD93" s="873"/>
      <c r="CE93" s="873"/>
      <c r="CF93" s="873"/>
      <c r="CG93" s="873"/>
      <c r="CH93" s="873"/>
      <c r="CI93" s="873"/>
      <c r="CJ93" s="873"/>
      <c r="CK93" s="873"/>
      <c r="CL93" s="873"/>
      <c r="CM93" s="873"/>
      <c r="CN93" s="873"/>
      <c r="CO93" s="873"/>
      <c r="CP93" s="873"/>
      <c r="CQ93" s="873"/>
      <c r="CR93" s="873"/>
      <c r="CS93" s="873"/>
      <c r="CT93" s="873"/>
      <c r="CU93" s="873"/>
      <c r="CV93" s="873"/>
      <c r="CW93" s="873"/>
      <c r="CX93" s="873"/>
      <c r="CY93" s="873"/>
      <c r="CZ93" s="873"/>
      <c r="DA93" s="873"/>
      <c r="DB93" s="873"/>
      <c r="DC93" s="873"/>
      <c r="DD93" s="873"/>
      <c r="DE93" s="873"/>
      <c r="DF93" s="873"/>
      <c r="DG93" s="873"/>
      <c r="DH93" s="873"/>
      <c r="DI93" s="873"/>
      <c r="DJ93" s="873"/>
      <c r="DK93" s="873"/>
      <c r="DL93" s="873"/>
      <c r="DM93" s="873"/>
      <c r="DN93" s="873"/>
      <c r="DO93" s="873"/>
      <c r="DP93" s="873"/>
      <c r="DQ93" s="873"/>
      <c r="DR93" s="873"/>
      <c r="DS93" s="873"/>
      <c r="DT93" s="873"/>
      <c r="DU93" s="873"/>
      <c r="DV93" s="873"/>
      <c r="DW93" s="873"/>
      <c r="DX93" s="873"/>
      <c r="DY93" s="873"/>
      <c r="DZ93" s="873"/>
      <c r="EA93" s="873"/>
      <c r="EB93" s="873"/>
      <c r="EC93" s="873"/>
      <c r="ED93" s="873"/>
      <c r="EE93" s="873"/>
      <c r="EF93" s="873"/>
      <c r="EG93" s="873"/>
      <c r="EH93" s="873"/>
      <c r="EI93" s="873"/>
      <c r="EJ93" s="873"/>
      <c r="EK93" s="873"/>
      <c r="EL93" s="873"/>
      <c r="EM93" s="873"/>
      <c r="EN93" s="873"/>
      <c r="EO93" s="873"/>
      <c r="EP93" s="873"/>
      <c r="EQ93" s="873"/>
      <c r="ER93" s="873"/>
      <c r="ES93" s="873"/>
      <c r="ET93" s="873"/>
      <c r="EU93" s="873"/>
      <c r="EV93" s="873"/>
      <c r="EW93" s="873"/>
      <c r="EX93" s="873"/>
      <c r="EY93" s="873"/>
      <c r="EZ93" s="873"/>
      <c r="FA93" s="873"/>
      <c r="FB93" s="873"/>
      <c r="FC93" s="873"/>
      <c r="FD93" s="873"/>
      <c r="FE93" s="873"/>
      <c r="FF93" s="873"/>
      <c r="FG93" s="873"/>
      <c r="FH93" s="873"/>
      <c r="FI93" s="873"/>
      <c r="FJ93" s="873"/>
      <c r="FK93" s="873"/>
      <c r="FL93" s="873"/>
      <c r="FM93" s="873"/>
      <c r="FN93" s="873"/>
      <c r="FO93" s="873"/>
      <c r="FP93" s="873"/>
      <c r="FQ93" s="873"/>
      <c r="FR93" s="873"/>
      <c r="FS93" s="873"/>
      <c r="FT93" s="873"/>
      <c r="FU93" s="873"/>
      <c r="FV93" s="873"/>
      <c r="FW93" s="873"/>
      <c r="FX93" s="873"/>
      <c r="FY93" s="873"/>
      <c r="FZ93" s="873"/>
      <c r="GA93" s="873"/>
      <c r="GB93" s="873"/>
      <c r="GC93" s="873"/>
      <c r="GD93" s="873"/>
      <c r="GE93" s="873"/>
      <c r="GF93" s="873"/>
      <c r="GG93" s="873"/>
      <c r="GH93" s="873"/>
      <c r="GI93" s="873"/>
      <c r="GJ93" s="873"/>
      <c r="GK93" s="873"/>
      <c r="GL93" s="873"/>
      <c r="GM93" s="873"/>
      <c r="GN93" s="873"/>
      <c r="GO93" s="873"/>
      <c r="GP93" s="873"/>
      <c r="GQ93" s="873"/>
      <c r="GR93" s="873"/>
      <c r="GS93" s="873"/>
      <c r="GT93" s="873"/>
      <c r="GU93" s="873"/>
      <c r="GV93" s="873"/>
      <c r="GW93" s="873"/>
      <c r="GX93" s="873"/>
      <c r="GY93" s="873"/>
      <c r="GZ93" s="873"/>
      <c r="HA93" s="873"/>
      <c r="HB93" s="873"/>
      <c r="HC93" s="873"/>
      <c r="HD93" s="873"/>
      <c r="HE93" s="873"/>
      <c r="HF93" s="873"/>
      <c r="HG93" s="873"/>
      <c r="HH93" s="873"/>
      <c r="HI93" s="873"/>
      <c r="HJ93" s="873"/>
      <c r="HK93" s="873"/>
      <c r="HL93" s="873"/>
      <c r="HM93" s="873"/>
      <c r="HN93" s="873"/>
      <c r="HO93" s="873"/>
      <c r="HP93" s="873"/>
      <c r="HQ93" s="873"/>
      <c r="HR93" s="873"/>
      <c r="HS93" s="873"/>
      <c r="HT93" s="873"/>
      <c r="HU93" s="873"/>
      <c r="HV93" s="873"/>
      <c r="HW93" s="873"/>
      <c r="HX93" s="873"/>
      <c r="HY93" s="873"/>
      <c r="HZ93" s="873"/>
      <c r="IA93" s="873"/>
      <c r="IB93" s="873"/>
      <c r="IC93" s="873"/>
      <c r="ID93" s="873"/>
      <c r="IE93" s="873"/>
      <c r="IF93" s="873"/>
      <c r="IG93" s="873"/>
      <c r="IH93" s="873"/>
      <c r="II93" s="873"/>
      <c r="IJ93" s="873"/>
      <c r="IK93" s="873"/>
      <c r="IL93" s="873"/>
      <c r="IM93" s="873"/>
      <c r="IN93" s="873"/>
      <c r="IO93" s="873"/>
      <c r="IP93" s="873"/>
      <c r="IQ93" s="873"/>
      <c r="IR93" s="873"/>
      <c r="IS93" s="873"/>
      <c r="IT93" s="873"/>
      <c r="IU93" s="873"/>
      <c r="IV93" s="873"/>
      <c r="IW93" s="873"/>
      <c r="IX93" s="873"/>
      <c r="IY93" s="873"/>
      <c r="IZ93" s="873"/>
      <c r="JA93" s="873"/>
      <c r="JB93" s="873"/>
      <c r="JC93" s="873"/>
      <c r="JD93" s="873"/>
      <c r="JE93" s="873"/>
      <c r="JF93" s="873"/>
      <c r="JG93" s="873"/>
      <c r="JH93" s="873"/>
      <c r="JI93" s="873"/>
      <c r="JJ93" s="873"/>
      <c r="JK93" s="873"/>
      <c r="JL93" s="873"/>
      <c r="JM93" s="873"/>
      <c r="JN93" s="873"/>
      <c r="JO93" s="873"/>
      <c r="JP93" s="873"/>
      <c r="JQ93" s="873"/>
      <c r="JR93" s="873"/>
      <c r="JS93" s="873"/>
      <c r="JT93" s="873"/>
      <c r="JU93" s="873"/>
      <c r="JV93" s="402"/>
    </row>
    <row r="94" spans="1:282">
      <c r="A94" s="672"/>
      <c r="B94" s="408"/>
      <c r="C94" s="873"/>
      <c r="D94" s="888"/>
      <c r="E94" s="671"/>
      <c r="F94" s="873"/>
      <c r="G94" s="873"/>
      <c r="H94" s="873"/>
      <c r="I94" s="873"/>
      <c r="J94" s="873"/>
      <c r="K94" s="873"/>
      <c r="L94" s="873"/>
      <c r="M94" s="873"/>
      <c r="N94" s="873"/>
      <c r="O94" s="873"/>
      <c r="P94" s="873"/>
      <c r="Q94" s="873"/>
      <c r="R94" s="873"/>
      <c r="S94" s="873"/>
      <c r="T94" s="873"/>
      <c r="U94" s="873"/>
      <c r="V94" s="873"/>
      <c r="W94" s="873"/>
      <c r="X94" s="873"/>
      <c r="Y94" s="873"/>
      <c r="Z94" s="873"/>
      <c r="AA94" s="394"/>
      <c r="AB94" s="873"/>
      <c r="AC94" s="394"/>
      <c r="AD94" s="873"/>
      <c r="AE94" s="873"/>
      <c r="AF94" s="873"/>
      <c r="AG94" s="873"/>
      <c r="AH94" s="873"/>
      <c r="AI94" s="873"/>
      <c r="AJ94" s="403"/>
      <c r="AK94" s="403"/>
      <c r="AL94" s="873"/>
      <c r="AM94" s="873"/>
      <c r="AN94" s="403"/>
      <c r="AO94" s="403"/>
      <c r="AP94" s="394"/>
      <c r="AQ94" s="394"/>
      <c r="AR94" s="394"/>
      <c r="AS94" s="394"/>
      <c r="AT94" s="394"/>
      <c r="AU94" s="873"/>
      <c r="AV94" s="873"/>
      <c r="AW94" s="873"/>
      <c r="AX94" s="873"/>
      <c r="AY94" s="873"/>
      <c r="AZ94" s="873"/>
      <c r="BA94" s="394"/>
      <c r="BB94" s="873"/>
      <c r="BC94" s="873"/>
      <c r="BD94" s="873"/>
      <c r="BE94" s="873"/>
      <c r="BF94" s="873"/>
      <c r="BG94" s="873"/>
      <c r="BH94" s="873"/>
      <c r="BI94" s="873"/>
      <c r="BJ94" s="873"/>
      <c r="BK94" s="873"/>
      <c r="BL94" s="873"/>
      <c r="BM94" s="873"/>
      <c r="BN94" s="873"/>
      <c r="BO94" s="873"/>
      <c r="BP94" s="873"/>
      <c r="BQ94" s="873"/>
      <c r="BR94" s="873"/>
      <c r="BS94" s="873"/>
      <c r="BT94" s="873"/>
      <c r="BU94" s="873"/>
      <c r="BV94" s="873"/>
      <c r="BW94" s="873"/>
      <c r="BX94" s="873"/>
      <c r="BY94" s="873"/>
      <c r="BZ94" s="873"/>
      <c r="CA94" s="873"/>
      <c r="CB94" s="873"/>
      <c r="CC94" s="873"/>
      <c r="CD94" s="873"/>
      <c r="CE94" s="873"/>
      <c r="CF94" s="873"/>
      <c r="CG94" s="873"/>
      <c r="CH94" s="873"/>
      <c r="CI94" s="873"/>
      <c r="CJ94" s="873"/>
      <c r="CK94" s="873"/>
      <c r="CL94" s="873"/>
      <c r="CM94" s="873"/>
      <c r="CN94" s="873"/>
      <c r="CO94" s="873"/>
      <c r="CP94" s="873"/>
      <c r="CQ94" s="873"/>
      <c r="CR94" s="873"/>
      <c r="CS94" s="873"/>
      <c r="CT94" s="873"/>
      <c r="CU94" s="873"/>
      <c r="CV94" s="873"/>
      <c r="CW94" s="873"/>
      <c r="CX94" s="873"/>
      <c r="CY94" s="873"/>
      <c r="CZ94" s="873"/>
      <c r="DA94" s="873"/>
      <c r="DB94" s="873"/>
      <c r="DC94" s="873"/>
      <c r="DD94" s="873"/>
      <c r="DE94" s="873"/>
      <c r="DF94" s="873"/>
      <c r="DG94" s="873"/>
      <c r="DH94" s="873"/>
      <c r="DI94" s="873"/>
      <c r="DJ94" s="873"/>
      <c r="DK94" s="873"/>
      <c r="DL94" s="873"/>
      <c r="DM94" s="873"/>
      <c r="DN94" s="873"/>
      <c r="DO94" s="873"/>
      <c r="DP94" s="873"/>
      <c r="DQ94" s="873"/>
      <c r="DR94" s="873"/>
      <c r="DS94" s="873"/>
      <c r="DT94" s="873"/>
      <c r="DU94" s="873"/>
      <c r="DV94" s="873"/>
      <c r="DW94" s="873"/>
      <c r="DX94" s="873"/>
      <c r="DY94" s="873"/>
      <c r="DZ94" s="873"/>
      <c r="EA94" s="873"/>
      <c r="EB94" s="873"/>
      <c r="EC94" s="873"/>
      <c r="ED94" s="873"/>
      <c r="EE94" s="873"/>
      <c r="EF94" s="873"/>
      <c r="EG94" s="873"/>
      <c r="EH94" s="873"/>
      <c r="EI94" s="873"/>
      <c r="EJ94" s="873"/>
      <c r="EK94" s="873"/>
      <c r="EL94" s="873"/>
      <c r="EM94" s="873"/>
      <c r="EN94" s="873"/>
      <c r="EO94" s="873"/>
      <c r="EP94" s="873"/>
      <c r="EQ94" s="873"/>
      <c r="ER94" s="873"/>
      <c r="ES94" s="873"/>
      <c r="ET94" s="873"/>
      <c r="EU94" s="873"/>
      <c r="EV94" s="873"/>
      <c r="EW94" s="873"/>
      <c r="EX94" s="873"/>
      <c r="EY94" s="873"/>
      <c r="EZ94" s="873"/>
      <c r="FA94" s="873"/>
      <c r="FB94" s="873"/>
      <c r="FC94" s="873"/>
      <c r="FD94" s="873"/>
      <c r="FE94" s="873"/>
      <c r="FF94" s="873"/>
      <c r="FG94" s="873"/>
      <c r="FH94" s="873"/>
      <c r="FI94" s="873"/>
      <c r="FJ94" s="873"/>
      <c r="FK94" s="873"/>
      <c r="FL94" s="873"/>
      <c r="FM94" s="873"/>
      <c r="FN94" s="873"/>
      <c r="FO94" s="873"/>
      <c r="FP94" s="873"/>
      <c r="FQ94" s="873"/>
      <c r="FR94" s="873"/>
      <c r="FS94" s="873"/>
      <c r="FT94" s="873"/>
      <c r="FU94" s="873"/>
      <c r="FV94" s="873"/>
      <c r="FW94" s="873"/>
      <c r="FX94" s="873"/>
      <c r="FY94" s="873"/>
      <c r="FZ94" s="873"/>
      <c r="GA94" s="873"/>
      <c r="GB94" s="873"/>
      <c r="GC94" s="873"/>
      <c r="GD94" s="873"/>
      <c r="GE94" s="873"/>
      <c r="GF94" s="873"/>
      <c r="GG94" s="873"/>
      <c r="GH94" s="873"/>
      <c r="GI94" s="873"/>
      <c r="GJ94" s="873"/>
      <c r="GK94" s="873"/>
      <c r="GL94" s="873"/>
      <c r="GM94" s="873"/>
      <c r="GN94" s="873"/>
      <c r="GO94" s="873"/>
      <c r="GP94" s="873"/>
      <c r="GQ94" s="873"/>
      <c r="GR94" s="873"/>
      <c r="GS94" s="873"/>
      <c r="GT94" s="873"/>
      <c r="GU94" s="873"/>
      <c r="GV94" s="873"/>
      <c r="GW94" s="873"/>
      <c r="GX94" s="873"/>
      <c r="GY94" s="873"/>
      <c r="GZ94" s="873"/>
      <c r="HA94" s="873"/>
      <c r="HB94" s="873"/>
      <c r="HC94" s="873"/>
      <c r="HD94" s="873"/>
      <c r="HE94" s="873"/>
      <c r="HF94" s="873"/>
      <c r="HG94" s="873"/>
      <c r="HH94" s="873"/>
      <c r="HI94" s="873"/>
      <c r="HJ94" s="873"/>
      <c r="HK94" s="873"/>
      <c r="HL94" s="873"/>
      <c r="HM94" s="873"/>
      <c r="HN94" s="873"/>
      <c r="HO94" s="873"/>
      <c r="HP94" s="873"/>
      <c r="HQ94" s="873"/>
      <c r="HR94" s="873"/>
      <c r="HS94" s="873"/>
      <c r="HT94" s="873"/>
      <c r="HU94" s="873"/>
      <c r="HV94" s="873"/>
      <c r="HW94" s="873"/>
      <c r="HX94" s="873"/>
      <c r="HY94" s="873"/>
      <c r="HZ94" s="873"/>
      <c r="IA94" s="873"/>
      <c r="IB94" s="873"/>
      <c r="IC94" s="873"/>
      <c r="ID94" s="873"/>
      <c r="IE94" s="873"/>
      <c r="IF94" s="873"/>
      <c r="IG94" s="873"/>
      <c r="IH94" s="873"/>
      <c r="II94" s="873"/>
      <c r="IJ94" s="873"/>
      <c r="IK94" s="873"/>
      <c r="IL94" s="873"/>
      <c r="IM94" s="873"/>
      <c r="IN94" s="873"/>
      <c r="IO94" s="873"/>
      <c r="IP94" s="873"/>
      <c r="IQ94" s="873"/>
      <c r="IR94" s="873"/>
      <c r="IS94" s="873"/>
      <c r="IT94" s="873"/>
      <c r="IU94" s="873"/>
      <c r="IV94" s="873"/>
      <c r="IW94" s="873"/>
      <c r="IX94" s="873"/>
      <c r="IY94" s="873"/>
      <c r="IZ94" s="873"/>
      <c r="JA94" s="873"/>
      <c r="JB94" s="873"/>
      <c r="JC94" s="873"/>
      <c r="JD94" s="873"/>
      <c r="JE94" s="873"/>
      <c r="JF94" s="873"/>
      <c r="JG94" s="873"/>
      <c r="JH94" s="873"/>
      <c r="JI94" s="873"/>
      <c r="JJ94" s="873"/>
      <c r="JK94" s="873"/>
      <c r="JL94" s="873"/>
      <c r="JM94" s="873"/>
      <c r="JN94" s="873"/>
      <c r="JO94" s="873"/>
      <c r="JP94" s="873"/>
      <c r="JQ94" s="873"/>
      <c r="JR94" s="873"/>
      <c r="JS94" s="873"/>
      <c r="JT94" s="873"/>
      <c r="JU94" s="873"/>
      <c r="JV94" s="402"/>
    </row>
    <row r="95" spans="1:282">
      <c r="A95" s="672"/>
      <c r="B95" s="408"/>
      <c r="C95" s="873"/>
      <c r="D95" s="888"/>
      <c r="E95" s="671"/>
      <c r="F95" s="873"/>
      <c r="G95" s="873"/>
      <c r="H95" s="873"/>
      <c r="I95" s="873"/>
      <c r="J95" s="873"/>
      <c r="K95" s="873"/>
      <c r="L95" s="873"/>
      <c r="M95" s="873"/>
      <c r="N95" s="873"/>
      <c r="O95" s="873"/>
      <c r="P95" s="873"/>
      <c r="Q95" s="873"/>
      <c r="R95" s="873"/>
      <c r="S95" s="873"/>
      <c r="T95" s="873"/>
      <c r="U95" s="873"/>
      <c r="V95" s="873"/>
      <c r="W95" s="873"/>
      <c r="X95" s="873"/>
      <c r="Y95" s="873"/>
      <c r="Z95" s="873"/>
      <c r="AA95" s="394"/>
      <c r="AB95" s="873"/>
      <c r="AC95" s="394"/>
      <c r="AD95" s="873"/>
      <c r="AE95" s="873"/>
      <c r="AF95" s="873"/>
      <c r="AG95" s="873"/>
      <c r="AH95" s="873"/>
      <c r="AI95" s="873"/>
      <c r="AJ95" s="403"/>
      <c r="AK95" s="403"/>
      <c r="AL95" s="873"/>
      <c r="AM95" s="873"/>
      <c r="AN95" s="403"/>
      <c r="AO95" s="403"/>
      <c r="AP95" s="394"/>
      <c r="AQ95" s="394"/>
      <c r="AR95" s="394"/>
      <c r="AS95" s="394"/>
      <c r="AT95" s="394"/>
      <c r="AU95" s="873"/>
      <c r="AV95" s="873"/>
      <c r="AW95" s="873"/>
      <c r="AX95" s="873"/>
      <c r="AY95" s="873"/>
      <c r="AZ95" s="873"/>
      <c r="BA95" s="394"/>
      <c r="BB95" s="873"/>
      <c r="BC95" s="873"/>
      <c r="BD95" s="873"/>
      <c r="BE95" s="873"/>
      <c r="BF95" s="873"/>
      <c r="BG95" s="873"/>
      <c r="BH95" s="873"/>
      <c r="BI95" s="873"/>
      <c r="BJ95" s="873"/>
      <c r="BK95" s="873"/>
      <c r="BL95" s="873"/>
      <c r="BM95" s="873"/>
      <c r="BN95" s="873"/>
      <c r="BO95" s="873"/>
      <c r="BP95" s="873"/>
      <c r="BQ95" s="873"/>
      <c r="BR95" s="873"/>
      <c r="BS95" s="873"/>
      <c r="BT95" s="873"/>
      <c r="BU95" s="873"/>
      <c r="BV95" s="873"/>
      <c r="BW95" s="873"/>
      <c r="BX95" s="873"/>
      <c r="BY95" s="873"/>
      <c r="BZ95" s="873"/>
      <c r="CA95" s="873"/>
      <c r="CB95" s="873"/>
      <c r="CC95" s="873"/>
      <c r="CD95" s="873"/>
      <c r="CE95" s="873"/>
      <c r="CF95" s="873"/>
      <c r="CG95" s="873"/>
      <c r="CH95" s="873"/>
      <c r="CI95" s="873"/>
      <c r="CJ95" s="873"/>
      <c r="CK95" s="873"/>
      <c r="CL95" s="873"/>
      <c r="CM95" s="873"/>
      <c r="CN95" s="873"/>
      <c r="CO95" s="873"/>
      <c r="CP95" s="873"/>
      <c r="CQ95" s="873"/>
      <c r="CR95" s="873"/>
      <c r="CS95" s="873"/>
      <c r="CT95" s="873"/>
      <c r="CU95" s="873"/>
      <c r="CV95" s="873"/>
      <c r="CW95" s="873"/>
      <c r="CX95" s="873"/>
      <c r="CY95" s="873"/>
      <c r="CZ95" s="873"/>
      <c r="DA95" s="873"/>
      <c r="DB95" s="873"/>
      <c r="DC95" s="873"/>
      <c r="DD95" s="873"/>
      <c r="DE95" s="873"/>
      <c r="DF95" s="873"/>
      <c r="DG95" s="873"/>
      <c r="DH95" s="873"/>
      <c r="DI95" s="873"/>
      <c r="DJ95" s="873"/>
      <c r="DK95" s="873"/>
      <c r="DL95" s="873"/>
      <c r="DM95" s="873"/>
      <c r="DN95" s="873"/>
      <c r="DO95" s="873"/>
      <c r="DP95" s="873"/>
      <c r="DQ95" s="873"/>
      <c r="DR95" s="873"/>
      <c r="DS95" s="873"/>
      <c r="DT95" s="873"/>
      <c r="DU95" s="873"/>
      <c r="DV95" s="873"/>
      <c r="DW95" s="873"/>
      <c r="DX95" s="873"/>
      <c r="DY95" s="873"/>
      <c r="DZ95" s="873"/>
      <c r="EA95" s="873"/>
      <c r="EB95" s="873"/>
      <c r="EC95" s="873"/>
      <c r="ED95" s="873"/>
      <c r="EE95" s="873"/>
      <c r="EF95" s="873"/>
      <c r="EG95" s="873"/>
      <c r="EH95" s="873"/>
      <c r="EI95" s="873"/>
      <c r="EJ95" s="873"/>
      <c r="EK95" s="873"/>
      <c r="EL95" s="873"/>
      <c r="EM95" s="873"/>
      <c r="EN95" s="873"/>
      <c r="EO95" s="873"/>
      <c r="EP95" s="873"/>
      <c r="EQ95" s="873"/>
      <c r="ER95" s="873"/>
      <c r="ES95" s="873"/>
      <c r="ET95" s="873"/>
      <c r="EU95" s="873"/>
      <c r="EV95" s="873"/>
      <c r="EW95" s="873"/>
      <c r="EX95" s="873"/>
      <c r="EY95" s="873"/>
      <c r="EZ95" s="873"/>
      <c r="FA95" s="873"/>
      <c r="FB95" s="873"/>
      <c r="FC95" s="873"/>
      <c r="FD95" s="873"/>
      <c r="FE95" s="873"/>
      <c r="FF95" s="873"/>
      <c r="FG95" s="873"/>
      <c r="FH95" s="873"/>
      <c r="FI95" s="873"/>
      <c r="FJ95" s="873"/>
      <c r="FK95" s="873"/>
      <c r="FL95" s="873"/>
      <c r="FM95" s="873"/>
      <c r="FN95" s="873"/>
      <c r="FO95" s="873"/>
      <c r="FP95" s="873"/>
      <c r="FQ95" s="873"/>
      <c r="FR95" s="873"/>
      <c r="FS95" s="873"/>
      <c r="FT95" s="873"/>
      <c r="FU95" s="873"/>
      <c r="FV95" s="873"/>
      <c r="FW95" s="873"/>
      <c r="FX95" s="873"/>
      <c r="FY95" s="873"/>
      <c r="FZ95" s="873"/>
      <c r="GA95" s="873"/>
      <c r="GB95" s="873"/>
      <c r="GC95" s="873"/>
      <c r="GD95" s="873"/>
      <c r="GE95" s="873"/>
      <c r="GF95" s="873"/>
      <c r="GG95" s="873"/>
      <c r="GH95" s="873"/>
      <c r="GI95" s="873"/>
      <c r="GJ95" s="873"/>
      <c r="GK95" s="873"/>
      <c r="GL95" s="873"/>
      <c r="GM95" s="873"/>
      <c r="GN95" s="873"/>
      <c r="GO95" s="873"/>
      <c r="GP95" s="873"/>
      <c r="GQ95" s="873"/>
      <c r="GR95" s="873"/>
      <c r="GS95" s="873"/>
      <c r="GT95" s="873"/>
      <c r="GU95" s="873"/>
      <c r="GV95" s="873"/>
      <c r="GW95" s="873"/>
      <c r="GX95" s="873"/>
      <c r="GY95" s="873"/>
      <c r="GZ95" s="873"/>
      <c r="HA95" s="873"/>
      <c r="HB95" s="873"/>
      <c r="HC95" s="873"/>
      <c r="HD95" s="873"/>
      <c r="HE95" s="873"/>
      <c r="HF95" s="873"/>
      <c r="HG95" s="873"/>
      <c r="HH95" s="873"/>
      <c r="HI95" s="873"/>
      <c r="HJ95" s="873"/>
      <c r="HK95" s="873"/>
      <c r="HL95" s="873"/>
      <c r="HM95" s="873"/>
      <c r="HN95" s="873"/>
      <c r="HO95" s="873"/>
      <c r="HP95" s="873"/>
      <c r="HQ95" s="873"/>
      <c r="HR95" s="873"/>
      <c r="HS95" s="873"/>
      <c r="HT95" s="873"/>
      <c r="HU95" s="873"/>
      <c r="HV95" s="873"/>
      <c r="HW95" s="873"/>
      <c r="HX95" s="873"/>
      <c r="HY95" s="873"/>
      <c r="HZ95" s="873"/>
      <c r="IA95" s="873"/>
      <c r="IB95" s="873"/>
      <c r="IC95" s="873"/>
      <c r="ID95" s="873"/>
      <c r="IE95" s="873"/>
      <c r="IF95" s="873"/>
      <c r="IG95" s="873"/>
      <c r="IH95" s="873"/>
      <c r="II95" s="873"/>
      <c r="IJ95" s="873"/>
      <c r="IK95" s="873"/>
      <c r="IL95" s="873"/>
      <c r="IM95" s="873"/>
      <c r="IN95" s="873"/>
      <c r="IO95" s="873"/>
      <c r="IP95" s="873"/>
      <c r="IQ95" s="873"/>
      <c r="IR95" s="873"/>
      <c r="IS95" s="873"/>
      <c r="IT95" s="873"/>
      <c r="IU95" s="873"/>
      <c r="IV95" s="873"/>
      <c r="IW95" s="873"/>
      <c r="IX95" s="873"/>
      <c r="IY95" s="873"/>
      <c r="IZ95" s="873"/>
      <c r="JA95" s="873"/>
      <c r="JB95" s="873"/>
      <c r="JC95" s="873"/>
      <c r="JD95" s="873"/>
      <c r="JE95" s="873"/>
      <c r="JF95" s="873"/>
      <c r="JG95" s="873"/>
      <c r="JH95" s="873"/>
      <c r="JI95" s="873"/>
      <c r="JJ95" s="873"/>
      <c r="JK95" s="873"/>
      <c r="JL95" s="873"/>
      <c r="JM95" s="873"/>
      <c r="JN95" s="873"/>
      <c r="JO95" s="873"/>
      <c r="JP95" s="873"/>
      <c r="JQ95" s="873"/>
      <c r="JR95" s="873"/>
      <c r="JS95" s="873"/>
      <c r="JT95" s="873"/>
      <c r="JU95" s="873"/>
      <c r="JV95" s="402"/>
    </row>
    <row r="96" spans="1:282">
      <c r="A96" s="672"/>
      <c r="B96" s="408"/>
      <c r="C96" s="873"/>
      <c r="D96" s="888"/>
      <c r="E96" s="671"/>
      <c r="F96" s="873"/>
      <c r="G96" s="873"/>
      <c r="H96" s="873"/>
      <c r="I96" s="873"/>
      <c r="J96" s="873"/>
      <c r="K96" s="873"/>
      <c r="L96" s="873"/>
      <c r="M96" s="873"/>
      <c r="N96" s="873"/>
      <c r="O96" s="873"/>
      <c r="P96" s="873"/>
      <c r="Q96" s="873"/>
      <c r="R96" s="873"/>
      <c r="S96" s="873"/>
      <c r="T96" s="873"/>
      <c r="U96" s="873"/>
      <c r="V96" s="873"/>
      <c r="W96" s="873"/>
      <c r="X96" s="873"/>
      <c r="Y96" s="873"/>
      <c r="Z96" s="873"/>
      <c r="AA96" s="394"/>
      <c r="AB96" s="873"/>
      <c r="AC96" s="394"/>
      <c r="AD96" s="873"/>
      <c r="AE96" s="873"/>
      <c r="AF96" s="873"/>
      <c r="AG96" s="873"/>
      <c r="AH96" s="873"/>
      <c r="AI96" s="873"/>
      <c r="AJ96" s="403"/>
      <c r="AK96" s="403"/>
      <c r="AL96" s="873"/>
      <c r="AM96" s="873"/>
      <c r="AN96" s="403"/>
      <c r="AO96" s="403"/>
      <c r="AP96" s="394"/>
      <c r="AQ96" s="394"/>
      <c r="AR96" s="394"/>
      <c r="AS96" s="394"/>
      <c r="AT96" s="394"/>
      <c r="AU96" s="873"/>
      <c r="AV96" s="873"/>
      <c r="AW96" s="873"/>
      <c r="AX96" s="873"/>
      <c r="AY96" s="873"/>
      <c r="AZ96" s="873"/>
      <c r="BA96" s="394"/>
      <c r="BB96" s="873"/>
      <c r="BC96" s="873"/>
      <c r="BD96" s="873"/>
      <c r="BE96" s="873"/>
      <c r="BF96" s="873"/>
      <c r="BG96" s="873"/>
      <c r="BH96" s="873"/>
      <c r="BI96" s="873"/>
      <c r="BJ96" s="873"/>
      <c r="BK96" s="873"/>
      <c r="BL96" s="873"/>
      <c r="BM96" s="873"/>
      <c r="BN96" s="873"/>
      <c r="BO96" s="873"/>
      <c r="BP96" s="873"/>
      <c r="BQ96" s="873"/>
      <c r="BR96" s="873"/>
      <c r="BS96" s="873"/>
      <c r="BT96" s="873"/>
      <c r="BU96" s="873"/>
      <c r="BV96" s="873"/>
      <c r="BW96" s="873"/>
      <c r="BX96" s="873"/>
      <c r="BY96" s="873"/>
      <c r="BZ96" s="873"/>
      <c r="CA96" s="873"/>
      <c r="CB96" s="873"/>
      <c r="CC96" s="873"/>
      <c r="CD96" s="873"/>
      <c r="CE96" s="873"/>
      <c r="CF96" s="873"/>
      <c r="CG96" s="873"/>
      <c r="CH96" s="873"/>
      <c r="CI96" s="873"/>
      <c r="CJ96" s="873"/>
      <c r="CK96" s="873"/>
      <c r="CL96" s="873"/>
      <c r="CM96" s="873"/>
      <c r="CN96" s="873"/>
      <c r="CO96" s="873"/>
      <c r="CP96" s="873"/>
      <c r="CQ96" s="873"/>
      <c r="CR96" s="873"/>
      <c r="CS96" s="873"/>
      <c r="CT96" s="873"/>
      <c r="CU96" s="873"/>
      <c r="CV96" s="873"/>
      <c r="CW96" s="873"/>
      <c r="CX96" s="873"/>
      <c r="CY96" s="873"/>
      <c r="CZ96" s="873"/>
      <c r="DA96" s="873"/>
      <c r="DB96" s="873"/>
      <c r="DC96" s="873"/>
      <c r="DD96" s="873"/>
      <c r="DE96" s="873"/>
      <c r="DF96" s="873"/>
      <c r="DG96" s="873"/>
      <c r="DH96" s="873"/>
      <c r="DI96" s="873"/>
      <c r="DJ96" s="873"/>
      <c r="DK96" s="873"/>
      <c r="DL96" s="873"/>
      <c r="DM96" s="873"/>
      <c r="DN96" s="873"/>
      <c r="DO96" s="873"/>
      <c r="DP96" s="873"/>
      <c r="DQ96" s="873"/>
      <c r="DR96" s="873"/>
      <c r="DS96" s="873"/>
      <c r="DT96" s="873"/>
      <c r="DU96" s="873"/>
      <c r="DV96" s="873"/>
      <c r="DW96" s="873"/>
      <c r="DX96" s="873"/>
      <c r="DY96" s="873"/>
      <c r="DZ96" s="873"/>
      <c r="EA96" s="873"/>
      <c r="EB96" s="873"/>
      <c r="EC96" s="873"/>
      <c r="ED96" s="873"/>
      <c r="EE96" s="873"/>
      <c r="EF96" s="873"/>
      <c r="EG96" s="873"/>
      <c r="EH96" s="873"/>
      <c r="EI96" s="873"/>
      <c r="EJ96" s="873"/>
      <c r="EK96" s="873"/>
      <c r="EL96" s="873"/>
      <c r="EM96" s="873"/>
      <c r="EN96" s="873"/>
      <c r="EO96" s="873"/>
      <c r="EP96" s="873"/>
      <c r="EQ96" s="873"/>
      <c r="ER96" s="873"/>
      <c r="ES96" s="873"/>
      <c r="ET96" s="873"/>
      <c r="EU96" s="873"/>
      <c r="EV96" s="873"/>
      <c r="EW96" s="873"/>
      <c r="EX96" s="873"/>
      <c r="EY96" s="873"/>
      <c r="EZ96" s="873"/>
      <c r="FA96" s="873"/>
      <c r="FB96" s="873"/>
      <c r="FC96" s="873"/>
      <c r="FD96" s="873"/>
      <c r="FE96" s="873"/>
      <c r="FF96" s="873"/>
      <c r="FG96" s="873"/>
      <c r="FH96" s="873"/>
      <c r="FI96" s="873"/>
      <c r="FJ96" s="873"/>
      <c r="FK96" s="873"/>
      <c r="FL96" s="873"/>
      <c r="FM96" s="873"/>
      <c r="FN96" s="873"/>
      <c r="FO96" s="873"/>
      <c r="FP96" s="873"/>
      <c r="FQ96" s="873"/>
      <c r="FR96" s="873"/>
      <c r="FS96" s="873"/>
      <c r="FT96" s="873"/>
      <c r="FU96" s="873"/>
      <c r="FV96" s="873"/>
      <c r="FW96" s="873"/>
      <c r="FX96" s="873"/>
      <c r="FY96" s="873"/>
      <c r="FZ96" s="873"/>
      <c r="GA96" s="873"/>
      <c r="GB96" s="873"/>
      <c r="GC96" s="873"/>
      <c r="GD96" s="873"/>
      <c r="GE96" s="873"/>
      <c r="GF96" s="873"/>
      <c r="GG96" s="873"/>
      <c r="GH96" s="873"/>
      <c r="GI96" s="873"/>
      <c r="GJ96" s="873"/>
      <c r="GK96" s="873"/>
      <c r="GL96" s="873"/>
      <c r="GM96" s="873"/>
      <c r="GN96" s="873"/>
      <c r="GO96" s="873"/>
      <c r="GP96" s="873"/>
      <c r="GQ96" s="873"/>
      <c r="GR96" s="873"/>
      <c r="GS96" s="873"/>
      <c r="GT96" s="873"/>
      <c r="GU96" s="873"/>
      <c r="GV96" s="873"/>
      <c r="GW96" s="873"/>
      <c r="GX96" s="873"/>
      <c r="GY96" s="873"/>
      <c r="GZ96" s="873"/>
      <c r="HA96" s="873"/>
      <c r="HB96" s="873"/>
      <c r="HC96" s="873"/>
      <c r="HD96" s="873"/>
      <c r="HE96" s="873"/>
      <c r="HF96" s="873"/>
      <c r="HG96" s="873"/>
      <c r="HH96" s="873"/>
      <c r="HI96" s="873"/>
      <c r="HJ96" s="873"/>
      <c r="HK96" s="873"/>
      <c r="HL96" s="873"/>
      <c r="HM96" s="873"/>
      <c r="HN96" s="873"/>
      <c r="HO96" s="873"/>
      <c r="HP96" s="873"/>
      <c r="HQ96" s="873"/>
      <c r="HR96" s="873"/>
      <c r="HS96" s="873"/>
      <c r="HT96" s="873"/>
      <c r="HU96" s="873"/>
      <c r="HV96" s="873"/>
      <c r="HW96" s="873"/>
      <c r="HX96" s="873"/>
      <c r="HY96" s="873"/>
      <c r="HZ96" s="873"/>
      <c r="IA96" s="873"/>
      <c r="IB96" s="873"/>
      <c r="IC96" s="873"/>
      <c r="ID96" s="873"/>
      <c r="IE96" s="873"/>
      <c r="IF96" s="873"/>
      <c r="IG96" s="873"/>
      <c r="IH96" s="873"/>
      <c r="II96" s="873"/>
      <c r="IJ96" s="873"/>
      <c r="IK96" s="873"/>
      <c r="IL96" s="873"/>
      <c r="IM96" s="873"/>
      <c r="IN96" s="873"/>
      <c r="IO96" s="873"/>
      <c r="IP96" s="873"/>
      <c r="IQ96" s="873"/>
      <c r="IR96" s="873"/>
      <c r="IS96" s="873"/>
      <c r="IT96" s="873"/>
      <c r="IU96" s="873"/>
      <c r="IV96" s="873"/>
      <c r="IW96" s="873"/>
      <c r="IX96" s="873"/>
      <c r="IY96" s="873"/>
      <c r="IZ96" s="873"/>
      <c r="JA96" s="873"/>
      <c r="JB96" s="873"/>
      <c r="JC96" s="873"/>
      <c r="JD96" s="873"/>
      <c r="JE96" s="873"/>
      <c r="JF96" s="873"/>
      <c r="JG96" s="873"/>
      <c r="JH96" s="873"/>
      <c r="JI96" s="873"/>
      <c r="JJ96" s="873"/>
      <c r="JK96" s="873"/>
      <c r="JL96" s="873"/>
      <c r="JM96" s="873"/>
      <c r="JN96" s="873"/>
      <c r="JO96" s="873"/>
      <c r="JP96" s="873"/>
      <c r="JQ96" s="873"/>
      <c r="JR96" s="873"/>
      <c r="JS96" s="873"/>
      <c r="JT96" s="873"/>
      <c r="JU96" s="873"/>
      <c r="JV96" s="402"/>
    </row>
    <row r="97" spans="1:282">
      <c r="A97" s="672"/>
      <c r="B97" s="408"/>
      <c r="C97" s="873"/>
      <c r="D97" s="888"/>
      <c r="E97" s="671"/>
      <c r="F97" s="873"/>
      <c r="G97" s="873"/>
      <c r="H97" s="873"/>
      <c r="I97" s="873"/>
      <c r="J97" s="873"/>
      <c r="K97" s="873"/>
      <c r="L97" s="873"/>
      <c r="M97" s="873"/>
      <c r="N97" s="873"/>
      <c r="O97" s="873"/>
      <c r="P97" s="873"/>
      <c r="Q97" s="873"/>
      <c r="R97" s="873"/>
      <c r="S97" s="873"/>
      <c r="T97" s="873"/>
      <c r="U97" s="873"/>
      <c r="V97" s="873"/>
      <c r="W97" s="873"/>
      <c r="X97" s="873"/>
      <c r="Y97" s="873"/>
      <c r="Z97" s="873"/>
      <c r="AA97" s="394"/>
      <c r="AB97" s="873"/>
      <c r="AC97" s="394"/>
      <c r="AD97" s="873"/>
      <c r="AE97" s="873"/>
      <c r="AF97" s="873"/>
      <c r="AG97" s="873"/>
      <c r="AH97" s="873"/>
      <c r="AI97" s="873"/>
      <c r="AJ97" s="403"/>
      <c r="AK97" s="403"/>
      <c r="AL97" s="873"/>
      <c r="AM97" s="873"/>
      <c r="AN97" s="403"/>
      <c r="AO97" s="403"/>
      <c r="AP97" s="394"/>
      <c r="AQ97" s="394"/>
      <c r="AR97" s="394"/>
      <c r="AS97" s="394"/>
      <c r="AT97" s="394"/>
      <c r="AU97" s="873"/>
      <c r="AV97" s="873"/>
      <c r="AW97" s="873"/>
      <c r="AX97" s="873"/>
      <c r="AY97" s="873"/>
      <c r="AZ97" s="873"/>
      <c r="BA97" s="394"/>
      <c r="BB97" s="873"/>
      <c r="BC97" s="873"/>
      <c r="BD97" s="873"/>
      <c r="BE97" s="873"/>
      <c r="BF97" s="873"/>
      <c r="BG97" s="873"/>
      <c r="BH97" s="873"/>
      <c r="BI97" s="873"/>
      <c r="BJ97" s="873"/>
      <c r="BK97" s="873"/>
      <c r="BL97" s="873"/>
      <c r="BM97" s="873"/>
      <c r="BN97" s="873"/>
      <c r="BO97" s="873"/>
      <c r="BP97" s="873"/>
      <c r="BQ97" s="873"/>
      <c r="BR97" s="873"/>
      <c r="BS97" s="873"/>
      <c r="BT97" s="873"/>
      <c r="BU97" s="873"/>
      <c r="BV97" s="873"/>
      <c r="BW97" s="873"/>
      <c r="BX97" s="873"/>
      <c r="BY97" s="873"/>
      <c r="BZ97" s="873"/>
      <c r="CA97" s="873"/>
      <c r="CB97" s="873"/>
      <c r="CC97" s="873"/>
      <c r="CD97" s="873"/>
      <c r="CE97" s="873"/>
      <c r="CF97" s="873"/>
      <c r="CG97" s="873"/>
      <c r="CH97" s="873"/>
      <c r="CI97" s="873"/>
      <c r="CJ97" s="873"/>
      <c r="CK97" s="873"/>
      <c r="CL97" s="873"/>
      <c r="CM97" s="873"/>
      <c r="CN97" s="873"/>
      <c r="CO97" s="873"/>
      <c r="CP97" s="873"/>
      <c r="CQ97" s="873"/>
      <c r="CR97" s="873"/>
      <c r="CS97" s="873"/>
      <c r="CT97" s="873"/>
      <c r="CU97" s="873"/>
      <c r="CV97" s="873"/>
      <c r="CW97" s="873"/>
      <c r="CX97" s="873"/>
      <c r="CY97" s="873"/>
      <c r="CZ97" s="873"/>
      <c r="DA97" s="873"/>
      <c r="DB97" s="873"/>
      <c r="DC97" s="873"/>
      <c r="DD97" s="873"/>
      <c r="DE97" s="873"/>
      <c r="DF97" s="873"/>
      <c r="DG97" s="873"/>
      <c r="DH97" s="873"/>
      <c r="DI97" s="873"/>
      <c r="DJ97" s="873"/>
      <c r="DK97" s="873"/>
      <c r="DL97" s="873"/>
      <c r="DM97" s="873"/>
      <c r="DN97" s="873"/>
      <c r="DO97" s="873"/>
      <c r="DP97" s="873"/>
      <c r="DQ97" s="873"/>
      <c r="DR97" s="873"/>
      <c r="DS97" s="873"/>
      <c r="DT97" s="873"/>
      <c r="DU97" s="873"/>
      <c r="DV97" s="873"/>
      <c r="DW97" s="873"/>
      <c r="DX97" s="873"/>
      <c r="DY97" s="873"/>
      <c r="DZ97" s="873"/>
      <c r="EA97" s="873"/>
      <c r="EB97" s="873"/>
      <c r="EC97" s="873"/>
      <c r="ED97" s="873"/>
      <c r="EE97" s="873"/>
      <c r="EF97" s="873"/>
      <c r="EG97" s="873"/>
      <c r="EH97" s="873"/>
      <c r="EI97" s="873"/>
      <c r="EJ97" s="873"/>
      <c r="EK97" s="873"/>
      <c r="EL97" s="873"/>
      <c r="EM97" s="873"/>
      <c r="EN97" s="873"/>
      <c r="EO97" s="873"/>
      <c r="EP97" s="873"/>
      <c r="EQ97" s="873"/>
      <c r="ER97" s="873"/>
      <c r="ES97" s="873"/>
      <c r="ET97" s="873"/>
      <c r="EU97" s="873"/>
      <c r="EV97" s="873"/>
      <c r="EW97" s="873"/>
      <c r="EX97" s="873"/>
      <c r="EY97" s="873"/>
      <c r="EZ97" s="873"/>
      <c r="FA97" s="873"/>
      <c r="FB97" s="873"/>
      <c r="FC97" s="873"/>
      <c r="FD97" s="873"/>
      <c r="FE97" s="873"/>
      <c r="FF97" s="873"/>
      <c r="FG97" s="873"/>
      <c r="FH97" s="873"/>
      <c r="FI97" s="873"/>
      <c r="FJ97" s="873"/>
      <c r="FK97" s="873"/>
      <c r="FL97" s="873"/>
      <c r="FM97" s="873"/>
      <c r="FN97" s="873"/>
      <c r="FO97" s="873"/>
      <c r="FP97" s="873"/>
      <c r="FQ97" s="873"/>
      <c r="FR97" s="873"/>
      <c r="FS97" s="873"/>
      <c r="FT97" s="873"/>
      <c r="FU97" s="873"/>
      <c r="FV97" s="873"/>
      <c r="FW97" s="873"/>
      <c r="FX97" s="873"/>
      <c r="FY97" s="873"/>
      <c r="FZ97" s="873"/>
      <c r="GA97" s="873"/>
      <c r="GB97" s="873"/>
      <c r="GC97" s="873"/>
      <c r="GD97" s="873"/>
      <c r="GE97" s="873"/>
      <c r="GF97" s="873"/>
      <c r="GG97" s="873"/>
      <c r="GH97" s="873"/>
      <c r="GI97" s="873"/>
      <c r="GJ97" s="873"/>
      <c r="GK97" s="873"/>
      <c r="GL97" s="873"/>
      <c r="GM97" s="873"/>
      <c r="GN97" s="873"/>
      <c r="GO97" s="873"/>
      <c r="GP97" s="873"/>
      <c r="GQ97" s="873"/>
      <c r="GR97" s="873"/>
      <c r="GS97" s="873"/>
      <c r="GT97" s="873"/>
      <c r="GU97" s="873"/>
      <c r="GV97" s="873"/>
      <c r="GW97" s="873"/>
      <c r="GX97" s="873"/>
      <c r="GY97" s="873"/>
      <c r="GZ97" s="873"/>
      <c r="HA97" s="873"/>
      <c r="HB97" s="873"/>
      <c r="HC97" s="873"/>
      <c r="HD97" s="873"/>
      <c r="HE97" s="873"/>
      <c r="HF97" s="873"/>
      <c r="HG97" s="873"/>
      <c r="HH97" s="873"/>
      <c r="HI97" s="873"/>
      <c r="HJ97" s="873"/>
      <c r="HK97" s="873"/>
      <c r="HL97" s="873"/>
      <c r="HM97" s="873"/>
      <c r="HN97" s="873"/>
      <c r="HO97" s="873"/>
      <c r="HP97" s="873"/>
      <c r="HQ97" s="873"/>
      <c r="HR97" s="873"/>
      <c r="HS97" s="873"/>
      <c r="HT97" s="873"/>
      <c r="HU97" s="873"/>
      <c r="HV97" s="873"/>
      <c r="HW97" s="873"/>
      <c r="HX97" s="873"/>
      <c r="HY97" s="873"/>
      <c r="HZ97" s="873"/>
      <c r="IA97" s="873"/>
      <c r="IB97" s="873"/>
      <c r="IC97" s="873"/>
      <c r="ID97" s="873"/>
      <c r="IE97" s="873"/>
      <c r="IF97" s="873"/>
      <c r="IG97" s="873"/>
      <c r="IH97" s="873"/>
      <c r="II97" s="873"/>
      <c r="IJ97" s="873"/>
      <c r="IK97" s="873"/>
      <c r="IL97" s="873"/>
      <c r="IM97" s="873"/>
      <c r="IN97" s="873"/>
      <c r="IO97" s="873"/>
      <c r="IP97" s="873"/>
      <c r="IQ97" s="873"/>
      <c r="IR97" s="873"/>
      <c r="IS97" s="873"/>
      <c r="IT97" s="873"/>
      <c r="IU97" s="873"/>
      <c r="IV97" s="873"/>
      <c r="IW97" s="873"/>
      <c r="IX97" s="873"/>
      <c r="IY97" s="873"/>
      <c r="IZ97" s="873"/>
      <c r="JA97" s="873"/>
      <c r="JB97" s="873"/>
      <c r="JC97" s="873"/>
      <c r="JD97" s="873"/>
      <c r="JE97" s="873"/>
      <c r="JF97" s="873"/>
      <c r="JG97" s="873"/>
      <c r="JH97" s="873"/>
      <c r="JI97" s="873"/>
      <c r="JJ97" s="873"/>
      <c r="JK97" s="873"/>
      <c r="JL97" s="873"/>
      <c r="JM97" s="873"/>
      <c r="JN97" s="873"/>
      <c r="JO97" s="873"/>
      <c r="JP97" s="873"/>
      <c r="JQ97" s="873"/>
      <c r="JR97" s="873"/>
      <c r="JS97" s="873"/>
      <c r="JT97" s="873"/>
      <c r="JU97" s="873"/>
      <c r="JV97" s="402"/>
    </row>
    <row r="98" spans="1:282">
      <c r="A98" s="672"/>
      <c r="B98" s="408"/>
      <c r="C98" s="873"/>
      <c r="D98" s="888"/>
      <c r="E98" s="671"/>
      <c r="F98" s="873"/>
      <c r="G98" s="873"/>
      <c r="H98" s="873"/>
      <c r="I98" s="873"/>
      <c r="J98" s="873"/>
      <c r="K98" s="873"/>
      <c r="L98" s="873"/>
      <c r="M98" s="873"/>
      <c r="N98" s="873"/>
      <c r="O98" s="873"/>
      <c r="P98" s="873"/>
      <c r="Q98" s="873"/>
      <c r="R98" s="873"/>
      <c r="S98" s="873"/>
      <c r="T98" s="873"/>
      <c r="U98" s="873"/>
      <c r="V98" s="873"/>
      <c r="W98" s="873"/>
      <c r="X98" s="873"/>
      <c r="Y98" s="873"/>
      <c r="Z98" s="873"/>
      <c r="AA98" s="394"/>
      <c r="AB98" s="873"/>
      <c r="AC98" s="394"/>
      <c r="AD98" s="873"/>
      <c r="AE98" s="873"/>
      <c r="AF98" s="873"/>
      <c r="AG98" s="873"/>
      <c r="AH98" s="873"/>
      <c r="AI98" s="873"/>
      <c r="AJ98" s="403"/>
      <c r="AK98" s="403"/>
      <c r="AL98" s="873"/>
      <c r="AM98" s="873"/>
      <c r="AN98" s="403"/>
      <c r="AO98" s="403"/>
      <c r="AP98" s="394"/>
      <c r="AQ98" s="394"/>
      <c r="AR98" s="394"/>
      <c r="AS98" s="394"/>
      <c r="AT98" s="394"/>
      <c r="AU98" s="873"/>
      <c r="AV98" s="873"/>
      <c r="AW98" s="873"/>
      <c r="AX98" s="873"/>
      <c r="AY98" s="873"/>
      <c r="AZ98" s="873"/>
      <c r="BA98" s="394"/>
      <c r="BB98" s="873"/>
      <c r="BC98" s="873"/>
      <c r="BD98" s="873"/>
      <c r="BE98" s="873"/>
      <c r="BF98" s="873"/>
      <c r="BG98" s="873"/>
      <c r="BH98" s="873"/>
      <c r="BI98" s="873"/>
      <c r="BJ98" s="873"/>
      <c r="BK98" s="873"/>
      <c r="BL98" s="873"/>
      <c r="BM98" s="873"/>
      <c r="BN98" s="873"/>
      <c r="BO98" s="873"/>
      <c r="BP98" s="873"/>
      <c r="BQ98" s="873"/>
      <c r="BR98" s="873"/>
      <c r="BS98" s="873"/>
      <c r="BT98" s="873"/>
      <c r="BU98" s="873"/>
      <c r="BV98" s="873"/>
      <c r="BW98" s="873"/>
      <c r="BX98" s="873"/>
      <c r="BY98" s="873"/>
      <c r="BZ98" s="873"/>
      <c r="CA98" s="873"/>
      <c r="CB98" s="873"/>
      <c r="CC98" s="873"/>
      <c r="CD98" s="873"/>
      <c r="CE98" s="873"/>
      <c r="CF98" s="873"/>
      <c r="CG98" s="873"/>
      <c r="CH98" s="873"/>
      <c r="CI98" s="873"/>
      <c r="CJ98" s="873"/>
      <c r="CK98" s="873"/>
      <c r="CL98" s="873"/>
      <c r="CM98" s="873"/>
      <c r="CN98" s="873"/>
      <c r="CO98" s="873"/>
      <c r="CP98" s="873"/>
      <c r="CQ98" s="873"/>
      <c r="CR98" s="873"/>
      <c r="CS98" s="873"/>
      <c r="CT98" s="873"/>
      <c r="CU98" s="873"/>
      <c r="CV98" s="873"/>
      <c r="CW98" s="873"/>
      <c r="CX98" s="873"/>
      <c r="CY98" s="873"/>
      <c r="CZ98" s="873"/>
      <c r="DA98" s="873"/>
      <c r="DB98" s="873"/>
      <c r="DC98" s="873"/>
      <c r="DD98" s="873"/>
      <c r="DE98" s="873"/>
      <c r="DF98" s="873"/>
      <c r="DG98" s="873"/>
      <c r="DH98" s="873"/>
      <c r="DI98" s="873"/>
      <c r="DJ98" s="873"/>
      <c r="DK98" s="873"/>
      <c r="DL98" s="873"/>
      <c r="DM98" s="873"/>
      <c r="DN98" s="873"/>
      <c r="DO98" s="873"/>
      <c r="DP98" s="873"/>
      <c r="DQ98" s="873"/>
      <c r="DR98" s="873"/>
      <c r="DS98" s="873"/>
      <c r="DT98" s="873"/>
      <c r="DU98" s="873"/>
      <c r="DV98" s="873"/>
      <c r="DW98" s="873"/>
      <c r="DX98" s="873"/>
      <c r="DY98" s="873"/>
      <c r="DZ98" s="873"/>
      <c r="EA98" s="873"/>
      <c r="EB98" s="873"/>
      <c r="EC98" s="873"/>
      <c r="ED98" s="873"/>
      <c r="EE98" s="873"/>
      <c r="EF98" s="873"/>
      <c r="EG98" s="873"/>
      <c r="EH98" s="873"/>
      <c r="EI98" s="873"/>
      <c r="EJ98" s="873"/>
      <c r="EK98" s="873"/>
      <c r="EL98" s="873"/>
      <c r="EM98" s="873"/>
      <c r="EN98" s="873"/>
      <c r="EO98" s="873"/>
      <c r="EP98" s="873"/>
      <c r="EQ98" s="873"/>
      <c r="ER98" s="873"/>
      <c r="ES98" s="873"/>
      <c r="ET98" s="873"/>
      <c r="EU98" s="873"/>
      <c r="EV98" s="873"/>
      <c r="EW98" s="873"/>
      <c r="EX98" s="873"/>
      <c r="EY98" s="873"/>
      <c r="EZ98" s="873"/>
      <c r="FA98" s="873"/>
      <c r="FB98" s="873"/>
      <c r="FC98" s="873"/>
      <c r="FD98" s="873"/>
      <c r="FE98" s="873"/>
      <c r="FF98" s="873"/>
      <c r="FG98" s="873"/>
      <c r="FH98" s="873"/>
      <c r="FI98" s="873"/>
      <c r="FJ98" s="873"/>
      <c r="FK98" s="873"/>
      <c r="FL98" s="873"/>
      <c r="FM98" s="873"/>
      <c r="FN98" s="873"/>
      <c r="FO98" s="873"/>
      <c r="FP98" s="873"/>
      <c r="FQ98" s="873"/>
      <c r="FR98" s="873"/>
      <c r="FS98" s="873"/>
      <c r="FT98" s="873"/>
      <c r="FU98" s="873"/>
      <c r="FV98" s="873"/>
      <c r="FW98" s="873"/>
      <c r="FX98" s="873"/>
      <c r="FY98" s="873"/>
      <c r="FZ98" s="873"/>
      <c r="GA98" s="873"/>
      <c r="GB98" s="873"/>
      <c r="GC98" s="873"/>
      <c r="GD98" s="873"/>
      <c r="GE98" s="873"/>
      <c r="GF98" s="873"/>
      <c r="GG98" s="873"/>
      <c r="GH98" s="873"/>
      <c r="GI98" s="873"/>
      <c r="GJ98" s="873"/>
      <c r="GK98" s="873"/>
      <c r="GL98" s="873"/>
      <c r="GM98" s="873"/>
      <c r="GN98" s="873"/>
      <c r="GO98" s="873"/>
      <c r="GP98" s="873"/>
      <c r="GQ98" s="873"/>
      <c r="GR98" s="873"/>
      <c r="GS98" s="873"/>
      <c r="GT98" s="873"/>
      <c r="GU98" s="873"/>
      <c r="GV98" s="873"/>
      <c r="GW98" s="873"/>
      <c r="GX98" s="873"/>
      <c r="GY98" s="873"/>
      <c r="GZ98" s="873"/>
      <c r="HA98" s="873"/>
      <c r="HB98" s="873"/>
      <c r="HC98" s="873"/>
      <c r="HD98" s="873"/>
      <c r="HE98" s="873"/>
      <c r="HF98" s="873"/>
      <c r="HG98" s="873"/>
      <c r="HH98" s="873"/>
      <c r="HI98" s="873"/>
      <c r="HJ98" s="873"/>
      <c r="HK98" s="873"/>
      <c r="HL98" s="873"/>
      <c r="HM98" s="873"/>
      <c r="HN98" s="873"/>
      <c r="HO98" s="873"/>
      <c r="HP98" s="873"/>
      <c r="HQ98" s="873"/>
      <c r="HR98" s="873"/>
      <c r="HS98" s="873"/>
      <c r="HT98" s="873"/>
      <c r="HU98" s="873"/>
      <c r="HV98" s="873"/>
      <c r="HW98" s="873"/>
      <c r="HX98" s="873"/>
      <c r="HY98" s="873"/>
      <c r="HZ98" s="873"/>
      <c r="IA98" s="873"/>
      <c r="IB98" s="873"/>
      <c r="IC98" s="873"/>
      <c r="ID98" s="873"/>
      <c r="IE98" s="873"/>
      <c r="IF98" s="873"/>
      <c r="IG98" s="873"/>
      <c r="IH98" s="873"/>
      <c r="II98" s="873"/>
      <c r="IJ98" s="873"/>
      <c r="IK98" s="873"/>
      <c r="IL98" s="873"/>
      <c r="IM98" s="873"/>
      <c r="IN98" s="873"/>
      <c r="IO98" s="873"/>
      <c r="IP98" s="873"/>
      <c r="IQ98" s="873"/>
      <c r="IR98" s="873"/>
      <c r="IS98" s="873"/>
      <c r="IT98" s="873"/>
      <c r="IU98" s="873"/>
      <c r="IV98" s="873"/>
      <c r="IW98" s="873"/>
      <c r="IX98" s="873"/>
      <c r="IY98" s="873"/>
      <c r="IZ98" s="873"/>
      <c r="JA98" s="873"/>
      <c r="JB98" s="873"/>
      <c r="JC98" s="873"/>
      <c r="JD98" s="873"/>
      <c r="JE98" s="873"/>
      <c r="JF98" s="873"/>
      <c r="JG98" s="873"/>
      <c r="JH98" s="873"/>
      <c r="JI98" s="873"/>
      <c r="JJ98" s="873"/>
      <c r="JK98" s="873"/>
      <c r="JL98" s="873"/>
      <c r="JM98" s="873"/>
      <c r="JN98" s="873"/>
      <c r="JO98" s="873"/>
      <c r="JP98" s="873"/>
      <c r="JQ98" s="873"/>
      <c r="JR98" s="873"/>
      <c r="JS98" s="873"/>
      <c r="JT98" s="873"/>
      <c r="JU98" s="873"/>
      <c r="JV98" s="402"/>
    </row>
    <row r="99" spans="1:282">
      <c r="A99" s="672"/>
      <c r="B99" s="408"/>
      <c r="C99" s="873"/>
      <c r="D99" s="888"/>
      <c r="E99" s="671"/>
      <c r="F99" s="873"/>
      <c r="G99" s="873"/>
      <c r="H99" s="873"/>
      <c r="I99" s="873"/>
      <c r="J99" s="873"/>
      <c r="K99" s="873"/>
      <c r="L99" s="873"/>
      <c r="M99" s="873"/>
      <c r="N99" s="873"/>
      <c r="O99" s="873"/>
      <c r="P99" s="873"/>
      <c r="Q99" s="873"/>
      <c r="R99" s="873"/>
      <c r="S99" s="873"/>
      <c r="T99" s="873"/>
      <c r="U99" s="873"/>
      <c r="V99" s="873"/>
      <c r="W99" s="873"/>
      <c r="X99" s="873"/>
      <c r="Y99" s="873"/>
      <c r="Z99" s="873"/>
      <c r="AA99" s="394"/>
      <c r="AB99" s="873"/>
      <c r="AC99" s="394"/>
      <c r="AD99" s="873"/>
      <c r="AE99" s="873"/>
      <c r="AF99" s="873"/>
      <c r="AG99" s="873"/>
      <c r="AH99" s="873"/>
      <c r="AI99" s="873"/>
      <c r="AJ99" s="403"/>
      <c r="AK99" s="403"/>
      <c r="AL99" s="873"/>
      <c r="AM99" s="873"/>
      <c r="AN99" s="403"/>
      <c r="AO99" s="403"/>
      <c r="AP99" s="394"/>
      <c r="AQ99" s="394"/>
      <c r="AR99" s="394"/>
      <c r="AS99" s="394"/>
      <c r="AT99" s="394"/>
      <c r="AU99" s="873"/>
      <c r="AV99" s="873"/>
      <c r="AW99" s="873"/>
      <c r="AX99" s="873"/>
      <c r="AY99" s="873"/>
      <c r="AZ99" s="873"/>
      <c r="BA99" s="394"/>
      <c r="BB99" s="873"/>
      <c r="BC99" s="873"/>
      <c r="BD99" s="873"/>
      <c r="BE99" s="873"/>
      <c r="BF99" s="873"/>
      <c r="BG99" s="873"/>
      <c r="BH99" s="873"/>
      <c r="BI99" s="873"/>
      <c r="BJ99" s="873"/>
      <c r="BK99" s="873"/>
      <c r="BL99" s="873"/>
      <c r="BM99" s="873"/>
      <c r="BN99" s="873"/>
      <c r="BO99" s="873"/>
      <c r="BP99" s="873"/>
      <c r="BQ99" s="873"/>
      <c r="BR99" s="873"/>
      <c r="BS99" s="873"/>
      <c r="BT99" s="873"/>
      <c r="BU99" s="873"/>
      <c r="BV99" s="873"/>
      <c r="BW99" s="873"/>
      <c r="BX99" s="873"/>
      <c r="BY99" s="873"/>
      <c r="BZ99" s="873"/>
      <c r="CA99" s="873"/>
      <c r="CB99" s="873"/>
      <c r="CC99" s="873"/>
      <c r="CD99" s="873"/>
      <c r="CE99" s="873"/>
      <c r="CF99" s="873"/>
      <c r="CG99" s="873"/>
      <c r="CH99" s="873"/>
      <c r="CI99" s="873"/>
      <c r="CJ99" s="873"/>
      <c r="CK99" s="873"/>
      <c r="CL99" s="873"/>
      <c r="CM99" s="873"/>
      <c r="CN99" s="873"/>
      <c r="CO99" s="873"/>
      <c r="CP99" s="873"/>
      <c r="CQ99" s="873"/>
      <c r="CR99" s="873"/>
      <c r="CS99" s="873"/>
      <c r="CT99" s="873"/>
      <c r="CU99" s="873"/>
      <c r="CV99" s="873"/>
      <c r="CW99" s="873"/>
      <c r="CX99" s="873"/>
      <c r="CY99" s="873"/>
      <c r="CZ99" s="873"/>
      <c r="DA99" s="873"/>
      <c r="DB99" s="873"/>
      <c r="DC99" s="873"/>
      <c r="DD99" s="873"/>
      <c r="DE99" s="873"/>
      <c r="DF99" s="873"/>
      <c r="DG99" s="873"/>
      <c r="DH99" s="873"/>
      <c r="DI99" s="873"/>
      <c r="DJ99" s="873"/>
      <c r="DK99" s="873"/>
      <c r="DL99" s="873"/>
      <c r="DM99" s="873"/>
      <c r="DN99" s="873"/>
      <c r="DO99" s="873"/>
      <c r="DP99" s="873"/>
      <c r="DQ99" s="873"/>
      <c r="DR99" s="873"/>
      <c r="DS99" s="873"/>
      <c r="DT99" s="873"/>
      <c r="DU99" s="873"/>
      <c r="DV99" s="873"/>
      <c r="DW99" s="873"/>
      <c r="DX99" s="873"/>
      <c r="DY99" s="873"/>
      <c r="DZ99" s="873"/>
      <c r="EA99" s="873"/>
      <c r="EB99" s="873"/>
      <c r="EC99" s="873"/>
      <c r="ED99" s="873"/>
      <c r="EE99" s="873"/>
      <c r="EF99" s="873"/>
      <c r="EG99" s="873"/>
      <c r="EH99" s="873"/>
      <c r="EI99" s="873"/>
      <c r="EJ99" s="873"/>
      <c r="EK99" s="873"/>
      <c r="EL99" s="873"/>
      <c r="EM99" s="873"/>
      <c r="EN99" s="873"/>
      <c r="EO99" s="873"/>
      <c r="EP99" s="873"/>
      <c r="EQ99" s="873"/>
      <c r="ER99" s="873"/>
      <c r="ES99" s="873"/>
      <c r="ET99" s="873"/>
      <c r="EU99" s="873"/>
      <c r="EV99" s="873"/>
      <c r="EW99" s="873"/>
      <c r="EX99" s="873"/>
      <c r="EY99" s="873"/>
      <c r="EZ99" s="873"/>
      <c r="FA99" s="873"/>
      <c r="FB99" s="873"/>
      <c r="FC99" s="873"/>
      <c r="FD99" s="873"/>
      <c r="FE99" s="873"/>
      <c r="FF99" s="873"/>
      <c r="FG99" s="873"/>
      <c r="FH99" s="873"/>
      <c r="FI99" s="873"/>
      <c r="FJ99" s="873"/>
      <c r="FK99" s="873"/>
      <c r="FL99" s="873"/>
      <c r="FM99" s="873"/>
      <c r="FN99" s="873"/>
      <c r="FO99" s="873"/>
      <c r="FP99" s="873"/>
      <c r="FQ99" s="873"/>
      <c r="FR99" s="873"/>
      <c r="FS99" s="873"/>
      <c r="FT99" s="873"/>
      <c r="FU99" s="873"/>
      <c r="FV99" s="873"/>
      <c r="FW99" s="873"/>
      <c r="FX99" s="873"/>
      <c r="FY99" s="873"/>
      <c r="FZ99" s="873"/>
      <c r="GA99" s="873"/>
      <c r="GB99" s="873"/>
      <c r="GC99" s="873"/>
      <c r="GD99" s="873"/>
      <c r="GE99" s="873"/>
      <c r="GF99" s="873"/>
      <c r="GG99" s="873"/>
      <c r="GH99" s="873"/>
      <c r="GI99" s="873"/>
      <c r="GJ99" s="873"/>
      <c r="GK99" s="873"/>
      <c r="GL99" s="873"/>
      <c r="GM99" s="873"/>
      <c r="GN99" s="873"/>
      <c r="GO99" s="873"/>
      <c r="GP99" s="873"/>
      <c r="GQ99" s="873"/>
      <c r="GR99" s="873"/>
      <c r="GS99" s="873"/>
      <c r="GT99" s="873"/>
      <c r="GU99" s="873"/>
      <c r="GV99" s="873"/>
      <c r="GW99" s="873"/>
      <c r="GX99" s="873"/>
      <c r="GY99" s="873"/>
      <c r="GZ99" s="873"/>
      <c r="HA99" s="873"/>
      <c r="HB99" s="873"/>
      <c r="HC99" s="873"/>
      <c r="HD99" s="873"/>
      <c r="HE99" s="873"/>
      <c r="HF99" s="873"/>
      <c r="HG99" s="873"/>
      <c r="HH99" s="873"/>
      <c r="HI99" s="873"/>
      <c r="HJ99" s="873"/>
      <c r="HK99" s="873"/>
      <c r="HL99" s="873"/>
      <c r="HM99" s="873"/>
      <c r="HN99" s="873"/>
      <c r="HO99" s="873"/>
      <c r="HP99" s="873"/>
      <c r="HQ99" s="873"/>
      <c r="HR99" s="873"/>
      <c r="HS99" s="873"/>
      <c r="HT99" s="873"/>
      <c r="HU99" s="873"/>
      <c r="HV99" s="873"/>
      <c r="HW99" s="873"/>
      <c r="HX99" s="873"/>
      <c r="HY99" s="873"/>
      <c r="HZ99" s="873"/>
      <c r="IA99" s="873"/>
      <c r="IB99" s="873"/>
      <c r="IC99" s="873"/>
      <c r="ID99" s="873"/>
      <c r="IE99" s="873"/>
      <c r="IF99" s="873"/>
      <c r="IG99" s="873"/>
      <c r="IH99" s="873"/>
      <c r="II99" s="873"/>
      <c r="IJ99" s="873"/>
      <c r="IK99" s="873"/>
      <c r="IL99" s="873"/>
      <c r="IM99" s="873"/>
      <c r="IN99" s="873"/>
      <c r="IO99" s="873"/>
      <c r="IP99" s="873"/>
      <c r="IQ99" s="873"/>
      <c r="IR99" s="873"/>
      <c r="IS99" s="873"/>
      <c r="IT99" s="873"/>
      <c r="IU99" s="873"/>
      <c r="IV99" s="873"/>
      <c r="IW99" s="873"/>
      <c r="IX99" s="873"/>
      <c r="IY99" s="873"/>
      <c r="IZ99" s="873"/>
      <c r="JA99" s="873"/>
      <c r="JB99" s="873"/>
      <c r="JC99" s="873"/>
      <c r="JD99" s="873"/>
      <c r="JE99" s="873"/>
      <c r="JF99" s="873"/>
      <c r="JG99" s="873"/>
      <c r="JH99" s="873"/>
      <c r="JI99" s="873"/>
      <c r="JJ99" s="873"/>
      <c r="JK99" s="873"/>
      <c r="JL99" s="873"/>
      <c r="JM99" s="873"/>
      <c r="JN99" s="873"/>
      <c r="JO99" s="873"/>
      <c r="JP99" s="873"/>
      <c r="JQ99" s="873"/>
      <c r="JR99" s="873"/>
      <c r="JS99" s="873"/>
      <c r="JT99" s="873"/>
      <c r="JU99" s="873"/>
      <c r="JV99" s="402"/>
    </row>
    <row r="100" spans="1:282">
      <c r="A100" s="672"/>
      <c r="B100" s="408"/>
      <c r="C100" s="873"/>
      <c r="D100" s="888"/>
      <c r="E100" s="671"/>
      <c r="F100" s="873"/>
      <c r="G100" s="873"/>
      <c r="H100" s="873"/>
      <c r="I100" s="873"/>
      <c r="J100" s="873"/>
      <c r="K100" s="873"/>
      <c r="L100" s="873"/>
      <c r="M100" s="873"/>
      <c r="N100" s="873"/>
      <c r="O100" s="873"/>
      <c r="P100" s="873"/>
      <c r="Q100" s="873"/>
      <c r="R100" s="873"/>
      <c r="S100" s="873"/>
      <c r="T100" s="873"/>
      <c r="U100" s="873"/>
      <c r="V100" s="873"/>
      <c r="W100" s="873"/>
      <c r="X100" s="873"/>
      <c r="Y100" s="873"/>
      <c r="Z100" s="873"/>
      <c r="AA100" s="394"/>
      <c r="AB100" s="873"/>
      <c r="AC100" s="394"/>
      <c r="AD100" s="873"/>
      <c r="AE100" s="873"/>
      <c r="AF100" s="873"/>
      <c r="AG100" s="873"/>
      <c r="AH100" s="873"/>
      <c r="AI100" s="873"/>
      <c r="AJ100" s="403"/>
      <c r="AK100" s="403"/>
      <c r="AL100" s="873"/>
      <c r="AM100" s="873"/>
      <c r="AN100" s="403"/>
      <c r="AO100" s="403"/>
      <c r="AP100" s="394"/>
      <c r="AQ100" s="394"/>
      <c r="AR100" s="394"/>
      <c r="AS100" s="394"/>
      <c r="AT100" s="394"/>
      <c r="AU100" s="873"/>
      <c r="AV100" s="873"/>
      <c r="AW100" s="873"/>
      <c r="AX100" s="873"/>
      <c r="AY100" s="873"/>
      <c r="AZ100" s="873"/>
      <c r="BA100" s="394"/>
      <c r="BB100" s="873"/>
      <c r="BC100" s="873"/>
      <c r="BD100" s="873"/>
      <c r="BE100" s="873"/>
      <c r="BF100" s="873"/>
      <c r="BG100" s="873"/>
      <c r="BH100" s="873"/>
      <c r="BI100" s="873"/>
      <c r="BJ100" s="873"/>
      <c r="BK100" s="873"/>
      <c r="BL100" s="873"/>
      <c r="BM100" s="873"/>
      <c r="BN100" s="873"/>
      <c r="BO100" s="873"/>
      <c r="BP100" s="873"/>
      <c r="BQ100" s="873"/>
      <c r="BR100" s="873"/>
      <c r="BS100" s="873"/>
      <c r="BT100" s="873"/>
      <c r="BU100" s="873"/>
      <c r="BV100" s="873"/>
      <c r="BW100" s="873"/>
      <c r="BX100" s="873"/>
      <c r="BY100" s="873"/>
      <c r="BZ100" s="873"/>
      <c r="CA100" s="873"/>
      <c r="CB100" s="873"/>
      <c r="CC100" s="873"/>
      <c r="CD100" s="873"/>
      <c r="CE100" s="873"/>
      <c r="CF100" s="873"/>
      <c r="CG100" s="873"/>
      <c r="CH100" s="873"/>
      <c r="CI100" s="873"/>
      <c r="CJ100" s="873"/>
      <c r="CK100" s="873"/>
      <c r="CL100" s="873"/>
      <c r="CM100" s="873"/>
      <c r="CN100" s="873"/>
      <c r="CO100" s="873"/>
      <c r="CP100" s="873"/>
      <c r="CQ100" s="873"/>
      <c r="CR100" s="873"/>
      <c r="CS100" s="873"/>
      <c r="CT100" s="873"/>
      <c r="CU100" s="873"/>
      <c r="CV100" s="873"/>
      <c r="CW100" s="873"/>
      <c r="CX100" s="873"/>
      <c r="CY100" s="873"/>
      <c r="CZ100" s="873"/>
      <c r="DA100" s="873"/>
      <c r="DB100" s="873"/>
      <c r="DC100" s="873"/>
      <c r="DD100" s="873"/>
      <c r="DE100" s="873"/>
      <c r="DF100" s="873"/>
      <c r="DG100" s="873"/>
      <c r="DH100" s="873"/>
      <c r="DI100" s="873"/>
      <c r="DJ100" s="873"/>
      <c r="DK100" s="873"/>
      <c r="DL100" s="873"/>
      <c r="DM100" s="873"/>
      <c r="DN100" s="873"/>
      <c r="DO100" s="873"/>
      <c r="DP100" s="873"/>
      <c r="DQ100" s="873"/>
      <c r="DR100" s="873"/>
      <c r="DS100" s="873"/>
      <c r="DT100" s="873"/>
      <c r="DU100" s="873"/>
      <c r="DV100" s="873"/>
      <c r="DW100" s="873"/>
      <c r="DX100" s="873"/>
      <c r="DY100" s="873"/>
      <c r="DZ100" s="873"/>
      <c r="EA100" s="873"/>
      <c r="EB100" s="873"/>
      <c r="EC100" s="873"/>
      <c r="ED100" s="873"/>
      <c r="EE100" s="873"/>
      <c r="EF100" s="873"/>
      <c r="EG100" s="873"/>
      <c r="EH100" s="873"/>
      <c r="EI100" s="873"/>
      <c r="EJ100" s="873"/>
      <c r="EK100" s="873"/>
      <c r="EL100" s="873"/>
      <c r="EM100" s="873"/>
      <c r="EN100" s="873"/>
      <c r="EO100" s="873"/>
      <c r="EP100" s="873"/>
      <c r="EQ100" s="873"/>
      <c r="ER100" s="873"/>
      <c r="ES100" s="873"/>
      <c r="ET100" s="873"/>
      <c r="EU100" s="873"/>
      <c r="EV100" s="873"/>
      <c r="EW100" s="873"/>
      <c r="EX100" s="873"/>
      <c r="EY100" s="873"/>
      <c r="EZ100" s="873"/>
      <c r="FA100" s="873"/>
      <c r="FB100" s="873"/>
      <c r="FC100" s="873"/>
      <c r="FD100" s="873"/>
      <c r="FE100" s="873"/>
      <c r="FF100" s="873"/>
      <c r="FG100" s="873"/>
      <c r="FH100" s="873"/>
      <c r="FI100" s="873"/>
      <c r="FJ100" s="873"/>
      <c r="FK100" s="873"/>
      <c r="FL100" s="873"/>
      <c r="FM100" s="873"/>
      <c r="FN100" s="873"/>
      <c r="FO100" s="873"/>
      <c r="FP100" s="873"/>
      <c r="FQ100" s="873"/>
      <c r="FR100" s="873"/>
      <c r="FS100" s="873"/>
      <c r="FT100" s="873"/>
      <c r="FU100" s="873"/>
      <c r="FV100" s="873"/>
      <c r="FW100" s="873"/>
      <c r="FX100" s="873"/>
      <c r="FY100" s="873"/>
      <c r="FZ100" s="873"/>
      <c r="GA100" s="873"/>
      <c r="GB100" s="873"/>
      <c r="GC100" s="873"/>
      <c r="GD100" s="873"/>
      <c r="GE100" s="873"/>
      <c r="GF100" s="873"/>
      <c r="GG100" s="873"/>
      <c r="GH100" s="873"/>
      <c r="GI100" s="873"/>
      <c r="GJ100" s="873"/>
      <c r="GK100" s="873"/>
      <c r="GL100" s="873"/>
      <c r="GM100" s="873"/>
      <c r="GN100" s="873"/>
      <c r="GO100" s="873"/>
      <c r="GP100" s="873"/>
      <c r="GQ100" s="873"/>
      <c r="GR100" s="873"/>
      <c r="GS100" s="873"/>
      <c r="GT100" s="873"/>
      <c r="GU100" s="873"/>
      <c r="GV100" s="873"/>
      <c r="GW100" s="873"/>
      <c r="GX100" s="873"/>
      <c r="GY100" s="873"/>
      <c r="GZ100" s="873"/>
      <c r="HA100" s="873"/>
      <c r="HB100" s="873"/>
      <c r="HC100" s="873"/>
      <c r="HD100" s="873"/>
      <c r="HE100" s="873"/>
      <c r="HF100" s="873"/>
      <c r="HG100" s="873"/>
      <c r="HH100" s="873"/>
      <c r="HI100" s="873"/>
      <c r="HJ100" s="873"/>
      <c r="HK100" s="873"/>
      <c r="HL100" s="873"/>
      <c r="HM100" s="873"/>
      <c r="HN100" s="873"/>
      <c r="HO100" s="873"/>
      <c r="HP100" s="873"/>
      <c r="HQ100" s="873"/>
      <c r="HR100" s="873"/>
      <c r="HS100" s="873"/>
      <c r="HT100" s="873"/>
      <c r="HU100" s="873"/>
      <c r="HV100" s="873"/>
      <c r="HW100" s="873"/>
      <c r="HX100" s="873"/>
      <c r="HY100" s="873"/>
      <c r="HZ100" s="873"/>
      <c r="IA100" s="873"/>
      <c r="IB100" s="873"/>
      <c r="IC100" s="873"/>
      <c r="ID100" s="873"/>
      <c r="IE100" s="873"/>
      <c r="IF100" s="873"/>
      <c r="IG100" s="873"/>
      <c r="IH100" s="873"/>
      <c r="II100" s="873"/>
      <c r="IJ100" s="873"/>
      <c r="IK100" s="873"/>
      <c r="IL100" s="873"/>
      <c r="IM100" s="873"/>
      <c r="IN100" s="873"/>
      <c r="IO100" s="873"/>
      <c r="IP100" s="873"/>
      <c r="IQ100" s="873"/>
      <c r="IR100" s="873"/>
      <c r="IS100" s="873"/>
      <c r="IT100" s="873"/>
      <c r="IU100" s="873"/>
      <c r="IV100" s="873"/>
      <c r="IW100" s="873"/>
      <c r="IX100" s="873"/>
      <c r="IY100" s="873"/>
      <c r="IZ100" s="873"/>
      <c r="JA100" s="873"/>
      <c r="JB100" s="873"/>
      <c r="JC100" s="873"/>
      <c r="JD100" s="873"/>
      <c r="JE100" s="873"/>
      <c r="JF100" s="873"/>
      <c r="JG100" s="873"/>
      <c r="JH100" s="873"/>
      <c r="JI100" s="873"/>
      <c r="JJ100" s="873"/>
      <c r="JK100" s="873"/>
      <c r="JL100" s="873"/>
      <c r="JM100" s="873"/>
      <c r="JN100" s="873"/>
      <c r="JO100" s="873"/>
      <c r="JP100" s="873"/>
      <c r="JQ100" s="873"/>
      <c r="JR100" s="873"/>
      <c r="JS100" s="873"/>
      <c r="JT100" s="873"/>
      <c r="JU100" s="873"/>
      <c r="JV100" s="402"/>
    </row>
    <row r="101" spans="1:282">
      <c r="A101" s="672"/>
      <c r="B101" s="408"/>
      <c r="C101" s="873"/>
      <c r="D101" s="888"/>
      <c r="E101" s="671"/>
      <c r="F101" s="873"/>
      <c r="G101" s="873"/>
      <c r="H101" s="873"/>
      <c r="I101" s="873"/>
      <c r="J101" s="873"/>
      <c r="K101" s="873"/>
      <c r="L101" s="873"/>
      <c r="M101" s="873"/>
      <c r="N101" s="873"/>
      <c r="O101" s="873"/>
      <c r="P101" s="873"/>
      <c r="Q101" s="873"/>
      <c r="R101" s="873"/>
      <c r="S101" s="873"/>
      <c r="T101" s="873"/>
      <c r="U101" s="873"/>
      <c r="V101" s="873"/>
      <c r="W101" s="873"/>
      <c r="X101" s="873"/>
      <c r="Y101" s="873"/>
      <c r="Z101" s="873"/>
      <c r="AA101" s="394"/>
      <c r="AB101" s="873"/>
      <c r="AC101" s="394"/>
      <c r="AD101" s="873"/>
      <c r="AE101" s="873"/>
      <c r="AF101" s="873"/>
      <c r="AG101" s="873"/>
      <c r="AH101" s="873"/>
      <c r="AI101" s="873"/>
      <c r="AJ101" s="403"/>
      <c r="AK101" s="403"/>
      <c r="AL101" s="873"/>
      <c r="AM101" s="873"/>
      <c r="AN101" s="403"/>
      <c r="AO101" s="403"/>
      <c r="AP101" s="394"/>
      <c r="AQ101" s="394"/>
      <c r="AR101" s="394"/>
      <c r="AS101" s="394"/>
      <c r="AT101" s="394"/>
      <c r="AU101" s="873"/>
      <c r="AV101" s="873"/>
      <c r="AW101" s="873"/>
      <c r="AX101" s="873"/>
      <c r="AY101" s="873"/>
      <c r="AZ101" s="873"/>
      <c r="BA101" s="394"/>
      <c r="BB101" s="873"/>
      <c r="BC101" s="873"/>
      <c r="BD101" s="873"/>
      <c r="BE101" s="873"/>
      <c r="BF101" s="873"/>
      <c r="BG101" s="873"/>
      <c r="BH101" s="873"/>
      <c r="BI101" s="873"/>
      <c r="BJ101" s="873"/>
      <c r="BK101" s="873"/>
      <c r="BL101" s="873"/>
      <c r="BM101" s="873"/>
      <c r="BN101" s="873"/>
      <c r="BO101" s="873"/>
      <c r="BP101" s="873"/>
      <c r="BQ101" s="873"/>
      <c r="BR101" s="873"/>
      <c r="BS101" s="873"/>
      <c r="BT101" s="873"/>
      <c r="BU101" s="873"/>
      <c r="BV101" s="873"/>
      <c r="BW101" s="873"/>
      <c r="BX101" s="873"/>
      <c r="BY101" s="873"/>
      <c r="BZ101" s="873"/>
      <c r="CA101" s="873"/>
      <c r="CB101" s="873"/>
      <c r="CC101" s="873"/>
      <c r="CD101" s="873"/>
      <c r="CE101" s="873"/>
      <c r="CF101" s="873"/>
      <c r="CG101" s="873"/>
      <c r="CH101" s="873"/>
      <c r="CI101" s="873"/>
      <c r="CJ101" s="873"/>
      <c r="CK101" s="873"/>
      <c r="CL101" s="873"/>
      <c r="CM101" s="873"/>
      <c r="CN101" s="873"/>
      <c r="CO101" s="873"/>
      <c r="CP101" s="873"/>
      <c r="CQ101" s="873"/>
      <c r="CR101" s="873"/>
      <c r="CS101" s="873"/>
      <c r="CT101" s="873"/>
      <c r="CU101" s="873"/>
      <c r="CV101" s="873"/>
      <c r="CW101" s="873"/>
      <c r="CX101" s="873"/>
      <c r="CY101" s="873"/>
      <c r="CZ101" s="873"/>
      <c r="DA101" s="873"/>
      <c r="DB101" s="873"/>
      <c r="DC101" s="873"/>
      <c r="DD101" s="873"/>
      <c r="DE101" s="873"/>
      <c r="DF101" s="873"/>
      <c r="DG101" s="873"/>
      <c r="DH101" s="873"/>
      <c r="DI101" s="873"/>
      <c r="DJ101" s="873"/>
      <c r="DK101" s="873"/>
      <c r="DL101" s="873"/>
      <c r="DM101" s="873"/>
      <c r="DN101" s="873"/>
      <c r="DO101" s="873"/>
      <c r="DP101" s="873"/>
      <c r="DQ101" s="873"/>
      <c r="DR101" s="873"/>
      <c r="DS101" s="873"/>
      <c r="DT101" s="873"/>
      <c r="DU101" s="873"/>
      <c r="DV101" s="873"/>
      <c r="DW101" s="873"/>
      <c r="DX101" s="873"/>
      <c r="DY101" s="873"/>
      <c r="DZ101" s="873"/>
      <c r="EA101" s="873"/>
      <c r="EB101" s="873"/>
      <c r="EC101" s="873"/>
      <c r="ED101" s="873"/>
      <c r="EE101" s="873"/>
      <c r="EF101" s="873"/>
      <c r="EG101" s="873"/>
      <c r="EH101" s="873"/>
      <c r="EI101" s="873"/>
      <c r="EJ101" s="873"/>
      <c r="EK101" s="873"/>
      <c r="EL101" s="873"/>
      <c r="EM101" s="873"/>
      <c r="EN101" s="873"/>
      <c r="EO101" s="873"/>
      <c r="EP101" s="873"/>
      <c r="EQ101" s="873"/>
      <c r="ER101" s="873"/>
      <c r="ES101" s="873"/>
      <c r="ET101" s="873"/>
      <c r="EU101" s="873"/>
      <c r="EV101" s="873"/>
      <c r="EW101" s="873"/>
      <c r="EX101" s="873"/>
      <c r="EY101" s="873"/>
      <c r="EZ101" s="873"/>
      <c r="FA101" s="873"/>
      <c r="FB101" s="873"/>
      <c r="FC101" s="873"/>
      <c r="FD101" s="873"/>
      <c r="FE101" s="873"/>
      <c r="FF101" s="873"/>
      <c r="FG101" s="873"/>
      <c r="FH101" s="873"/>
      <c r="FI101" s="873"/>
      <c r="FJ101" s="873"/>
      <c r="FK101" s="873"/>
      <c r="FL101" s="873"/>
      <c r="FM101" s="873"/>
      <c r="FN101" s="873"/>
      <c r="FO101" s="873"/>
      <c r="FP101" s="873"/>
      <c r="FQ101" s="873"/>
      <c r="FR101" s="873"/>
      <c r="FS101" s="873"/>
      <c r="FT101" s="873"/>
      <c r="FU101" s="873"/>
      <c r="FV101" s="873"/>
      <c r="FW101" s="873"/>
      <c r="FX101" s="873"/>
      <c r="FY101" s="873"/>
      <c r="FZ101" s="873"/>
      <c r="GA101" s="873"/>
      <c r="GB101" s="873"/>
      <c r="GC101" s="873"/>
      <c r="GD101" s="873"/>
      <c r="GE101" s="873"/>
      <c r="GF101" s="873"/>
      <c r="GG101" s="873"/>
      <c r="GH101" s="873"/>
      <c r="GI101" s="873"/>
      <c r="GJ101" s="873"/>
      <c r="GK101" s="873"/>
      <c r="GL101" s="873"/>
      <c r="GM101" s="873"/>
      <c r="GN101" s="873"/>
      <c r="GO101" s="873"/>
      <c r="GP101" s="873"/>
      <c r="GQ101" s="873"/>
      <c r="GR101" s="873"/>
      <c r="GS101" s="873"/>
      <c r="GT101" s="873"/>
      <c r="GU101" s="873"/>
      <c r="GV101" s="873"/>
      <c r="GW101" s="873"/>
      <c r="GX101" s="873"/>
      <c r="GY101" s="873"/>
      <c r="GZ101" s="873"/>
      <c r="HA101" s="873"/>
      <c r="HB101" s="873"/>
      <c r="HC101" s="873"/>
      <c r="HD101" s="873"/>
      <c r="HE101" s="873"/>
      <c r="HF101" s="873"/>
      <c r="HG101" s="873"/>
      <c r="HH101" s="873"/>
      <c r="HI101" s="873"/>
      <c r="HJ101" s="873"/>
      <c r="HK101" s="873"/>
      <c r="HL101" s="873"/>
      <c r="HM101" s="873"/>
      <c r="HN101" s="873"/>
      <c r="HO101" s="873"/>
      <c r="HP101" s="873"/>
      <c r="HQ101" s="873"/>
      <c r="HR101" s="873"/>
      <c r="HS101" s="873"/>
      <c r="HT101" s="873"/>
      <c r="HU101" s="873"/>
      <c r="HV101" s="873"/>
      <c r="HW101" s="873"/>
      <c r="HX101" s="873"/>
      <c r="HY101" s="873"/>
      <c r="HZ101" s="873"/>
      <c r="IA101" s="873"/>
      <c r="IB101" s="873"/>
      <c r="IC101" s="873"/>
      <c r="ID101" s="873"/>
      <c r="IE101" s="873"/>
      <c r="IF101" s="873"/>
      <c r="IG101" s="873"/>
      <c r="IH101" s="873"/>
      <c r="II101" s="873"/>
      <c r="IJ101" s="873"/>
      <c r="IK101" s="873"/>
      <c r="IL101" s="873"/>
      <c r="IM101" s="873"/>
      <c r="IN101" s="873"/>
      <c r="IO101" s="873"/>
      <c r="IP101" s="873"/>
      <c r="IQ101" s="873"/>
      <c r="IR101" s="873"/>
      <c r="IS101" s="873"/>
      <c r="IT101" s="873"/>
      <c r="IU101" s="873"/>
      <c r="IV101" s="873"/>
      <c r="IW101" s="873"/>
      <c r="IX101" s="873"/>
      <c r="IY101" s="873"/>
      <c r="IZ101" s="873"/>
      <c r="JA101" s="873"/>
      <c r="JB101" s="873"/>
      <c r="JC101" s="873"/>
      <c r="JD101" s="873"/>
      <c r="JE101" s="873"/>
      <c r="JF101" s="873"/>
      <c r="JG101" s="873"/>
      <c r="JH101" s="873"/>
      <c r="JI101" s="873"/>
      <c r="JJ101" s="873"/>
      <c r="JK101" s="873"/>
      <c r="JL101" s="873"/>
      <c r="JM101" s="873"/>
      <c r="JN101" s="873"/>
      <c r="JO101" s="873"/>
      <c r="JP101" s="873"/>
      <c r="JQ101" s="873"/>
      <c r="JR101" s="873"/>
      <c r="JS101" s="873"/>
      <c r="JT101" s="873"/>
      <c r="JU101" s="873"/>
      <c r="JV101" s="402"/>
    </row>
    <row r="102" spans="1:282">
      <c r="A102" s="672"/>
      <c r="B102" s="408"/>
      <c r="C102" s="873"/>
      <c r="D102" s="888"/>
      <c r="E102" s="671"/>
      <c r="F102" s="873"/>
      <c r="G102" s="873"/>
      <c r="H102" s="873"/>
      <c r="I102" s="873"/>
      <c r="J102" s="873"/>
      <c r="K102" s="873"/>
      <c r="L102" s="873"/>
      <c r="M102" s="873"/>
      <c r="N102" s="873"/>
      <c r="O102" s="873"/>
      <c r="P102" s="873"/>
      <c r="Q102" s="873"/>
      <c r="R102" s="873"/>
      <c r="S102" s="873"/>
      <c r="T102" s="873"/>
      <c r="U102" s="873"/>
      <c r="V102" s="873"/>
      <c r="W102" s="873"/>
      <c r="X102" s="873"/>
      <c r="Y102" s="873"/>
      <c r="Z102" s="873"/>
      <c r="AA102" s="394"/>
      <c r="AB102" s="873"/>
      <c r="AC102" s="394"/>
      <c r="AD102" s="873"/>
      <c r="AE102" s="873"/>
      <c r="AF102" s="873"/>
      <c r="AG102" s="873"/>
      <c r="AH102" s="873"/>
      <c r="AI102" s="873"/>
      <c r="AJ102" s="403"/>
      <c r="AK102" s="403"/>
      <c r="AL102" s="873"/>
      <c r="AM102" s="873"/>
      <c r="AN102" s="403"/>
      <c r="AO102" s="403"/>
      <c r="AP102" s="394"/>
      <c r="AQ102" s="394"/>
      <c r="AR102" s="394"/>
      <c r="AS102" s="394"/>
      <c r="AT102" s="394"/>
      <c r="AU102" s="873"/>
      <c r="AV102" s="873"/>
      <c r="AW102" s="873"/>
      <c r="AX102" s="873"/>
      <c r="AY102" s="873"/>
      <c r="AZ102" s="873"/>
      <c r="BA102" s="394"/>
      <c r="BB102" s="873"/>
      <c r="BC102" s="873"/>
      <c r="BD102" s="873"/>
      <c r="BE102" s="873"/>
      <c r="BF102" s="873"/>
      <c r="BG102" s="873"/>
      <c r="BH102" s="873"/>
      <c r="BI102" s="873"/>
      <c r="BJ102" s="873"/>
      <c r="BK102" s="873"/>
      <c r="BL102" s="873"/>
      <c r="BM102" s="873"/>
      <c r="BN102" s="873"/>
      <c r="BO102" s="873"/>
      <c r="BP102" s="873"/>
      <c r="BQ102" s="873"/>
      <c r="BR102" s="873"/>
      <c r="BS102" s="873"/>
      <c r="BT102" s="873"/>
      <c r="BU102" s="873"/>
      <c r="BV102" s="873"/>
      <c r="BW102" s="873"/>
      <c r="BX102" s="873"/>
      <c r="BY102" s="873"/>
      <c r="BZ102" s="873"/>
      <c r="CA102" s="873"/>
      <c r="CB102" s="873"/>
      <c r="CC102" s="873"/>
      <c r="CD102" s="873"/>
      <c r="CE102" s="873"/>
      <c r="CF102" s="873"/>
      <c r="CG102" s="873"/>
      <c r="CH102" s="873"/>
      <c r="CI102" s="873"/>
      <c r="CJ102" s="873"/>
      <c r="CK102" s="873"/>
      <c r="CL102" s="873"/>
      <c r="CM102" s="873"/>
      <c r="CN102" s="873"/>
      <c r="CO102" s="873"/>
      <c r="CP102" s="873"/>
      <c r="CQ102" s="873"/>
      <c r="CR102" s="873"/>
      <c r="CS102" s="873"/>
      <c r="CT102" s="873"/>
      <c r="CU102" s="873"/>
      <c r="CV102" s="873"/>
      <c r="CW102" s="873"/>
      <c r="CX102" s="873"/>
      <c r="CY102" s="873"/>
      <c r="CZ102" s="873"/>
      <c r="DA102" s="873"/>
      <c r="DB102" s="873"/>
      <c r="DC102" s="873"/>
      <c r="DD102" s="873"/>
      <c r="DE102" s="873"/>
      <c r="DF102" s="873"/>
      <c r="DG102" s="873"/>
      <c r="DH102" s="873"/>
      <c r="DI102" s="873"/>
      <c r="DJ102" s="873"/>
      <c r="DK102" s="873"/>
      <c r="DL102" s="873"/>
      <c r="DM102" s="873"/>
      <c r="DN102" s="873"/>
      <c r="DO102" s="873"/>
      <c r="DP102" s="873"/>
      <c r="DQ102" s="873"/>
      <c r="DR102" s="873"/>
      <c r="DS102" s="873"/>
      <c r="DT102" s="873"/>
      <c r="DU102" s="873"/>
      <c r="DV102" s="873"/>
      <c r="DW102" s="873"/>
      <c r="DX102" s="873"/>
      <c r="DY102" s="873"/>
      <c r="DZ102" s="873"/>
      <c r="EA102" s="873"/>
      <c r="EB102" s="873"/>
      <c r="EC102" s="873"/>
      <c r="ED102" s="873"/>
      <c r="EE102" s="873"/>
      <c r="EF102" s="873"/>
      <c r="EG102" s="873"/>
      <c r="EH102" s="873"/>
      <c r="EI102" s="873"/>
      <c r="EJ102" s="873"/>
      <c r="EK102" s="873"/>
      <c r="EL102" s="873"/>
      <c r="EM102" s="873"/>
      <c r="EN102" s="873"/>
      <c r="EO102" s="873"/>
      <c r="EP102" s="873"/>
      <c r="EQ102" s="873"/>
      <c r="ER102" s="873"/>
      <c r="ES102" s="873"/>
      <c r="ET102" s="873"/>
      <c r="EU102" s="873"/>
      <c r="EV102" s="873"/>
      <c r="EW102" s="873"/>
      <c r="EX102" s="873"/>
      <c r="EY102" s="873"/>
      <c r="EZ102" s="873"/>
      <c r="FA102" s="873"/>
      <c r="FB102" s="873"/>
      <c r="FC102" s="873"/>
      <c r="FD102" s="873"/>
      <c r="FE102" s="873"/>
      <c r="FF102" s="873"/>
      <c r="FG102" s="873"/>
      <c r="FH102" s="873"/>
      <c r="FI102" s="873"/>
      <c r="FJ102" s="873"/>
      <c r="FK102" s="873"/>
      <c r="FL102" s="873"/>
      <c r="FM102" s="873"/>
      <c r="FN102" s="873"/>
      <c r="FO102" s="873"/>
      <c r="FP102" s="873"/>
      <c r="FQ102" s="873"/>
      <c r="FR102" s="873"/>
      <c r="FS102" s="873"/>
      <c r="FT102" s="873"/>
      <c r="FU102" s="873"/>
      <c r="FV102" s="873"/>
      <c r="FW102" s="873"/>
      <c r="FX102" s="873"/>
      <c r="FY102" s="873"/>
      <c r="FZ102" s="873"/>
      <c r="GA102" s="873"/>
      <c r="GB102" s="873"/>
      <c r="GC102" s="873"/>
      <c r="GD102" s="873"/>
      <c r="GE102" s="873"/>
      <c r="GF102" s="873"/>
      <c r="GG102" s="873"/>
      <c r="GH102" s="873"/>
      <c r="GI102" s="873"/>
      <c r="GJ102" s="873"/>
      <c r="GK102" s="873"/>
      <c r="GL102" s="873"/>
      <c r="GM102" s="873"/>
      <c r="GN102" s="873"/>
      <c r="GO102" s="873"/>
      <c r="GP102" s="873"/>
      <c r="GQ102" s="873"/>
      <c r="GR102" s="873"/>
      <c r="GS102" s="873"/>
      <c r="GT102" s="873"/>
      <c r="GU102" s="873"/>
      <c r="GV102" s="873"/>
      <c r="GW102" s="873"/>
      <c r="GX102" s="873"/>
      <c r="GY102" s="873"/>
      <c r="GZ102" s="873"/>
      <c r="HA102" s="873"/>
      <c r="HB102" s="873"/>
      <c r="HC102" s="873"/>
      <c r="HD102" s="873"/>
      <c r="HE102" s="873"/>
      <c r="HF102" s="873"/>
      <c r="HG102" s="873"/>
      <c r="HH102" s="873"/>
      <c r="HI102" s="873"/>
      <c r="HJ102" s="873"/>
      <c r="HK102" s="873"/>
      <c r="HL102" s="873"/>
      <c r="HM102" s="873"/>
      <c r="HN102" s="873"/>
      <c r="HO102" s="873"/>
      <c r="HP102" s="873"/>
      <c r="HQ102" s="873"/>
      <c r="HR102" s="873"/>
      <c r="HS102" s="873"/>
      <c r="HT102" s="873"/>
      <c r="HU102" s="873"/>
      <c r="HV102" s="873"/>
      <c r="HW102" s="873"/>
      <c r="HX102" s="873"/>
      <c r="HY102" s="873"/>
      <c r="HZ102" s="873"/>
      <c r="IA102" s="873"/>
      <c r="IB102" s="873"/>
      <c r="IC102" s="873"/>
      <c r="ID102" s="873"/>
      <c r="IE102" s="873"/>
      <c r="IF102" s="873"/>
      <c r="IG102" s="873"/>
      <c r="IH102" s="873"/>
      <c r="II102" s="873"/>
      <c r="IJ102" s="873"/>
      <c r="IK102" s="873"/>
      <c r="IL102" s="873"/>
      <c r="IM102" s="873"/>
      <c r="IN102" s="873"/>
      <c r="IO102" s="873"/>
      <c r="IP102" s="873"/>
      <c r="IQ102" s="873"/>
      <c r="IR102" s="873"/>
      <c r="IS102" s="873"/>
      <c r="IT102" s="873"/>
      <c r="IU102" s="873"/>
      <c r="IV102" s="873"/>
      <c r="IW102" s="873"/>
      <c r="IX102" s="873"/>
      <c r="IY102" s="873"/>
      <c r="IZ102" s="873"/>
      <c r="JA102" s="873"/>
      <c r="JB102" s="873"/>
      <c r="JC102" s="873"/>
      <c r="JD102" s="873"/>
      <c r="JE102" s="873"/>
      <c r="JF102" s="873"/>
      <c r="JG102" s="873"/>
      <c r="JH102" s="873"/>
      <c r="JI102" s="873"/>
      <c r="JJ102" s="873"/>
      <c r="JK102" s="873"/>
      <c r="JL102" s="873"/>
      <c r="JM102" s="873"/>
      <c r="JN102" s="873"/>
      <c r="JO102" s="873"/>
      <c r="JP102" s="873"/>
      <c r="JQ102" s="873"/>
      <c r="JR102" s="873"/>
      <c r="JS102" s="873"/>
      <c r="JT102" s="873"/>
      <c r="JU102" s="873"/>
      <c r="JV102" s="402"/>
    </row>
    <row r="103" spans="1:282">
      <c r="A103" s="672"/>
      <c r="B103" s="408"/>
      <c r="C103" s="873"/>
      <c r="D103" s="888"/>
      <c r="E103" s="671"/>
      <c r="F103" s="873"/>
      <c r="G103" s="873"/>
      <c r="H103" s="873"/>
      <c r="I103" s="873"/>
      <c r="J103" s="873"/>
      <c r="K103" s="873"/>
      <c r="L103" s="873"/>
      <c r="M103" s="873"/>
      <c r="N103" s="873"/>
      <c r="O103" s="873"/>
      <c r="P103" s="873"/>
      <c r="Q103" s="873"/>
      <c r="R103" s="873"/>
      <c r="S103" s="873"/>
      <c r="T103" s="873"/>
      <c r="U103" s="873"/>
      <c r="V103" s="873"/>
      <c r="W103" s="873"/>
      <c r="X103" s="873"/>
      <c r="Y103" s="873"/>
      <c r="Z103" s="873"/>
      <c r="AA103" s="394"/>
      <c r="AB103" s="873"/>
      <c r="AC103" s="394"/>
      <c r="AD103" s="873"/>
      <c r="AE103" s="873"/>
      <c r="AF103" s="873"/>
      <c r="AG103" s="873"/>
      <c r="AH103" s="873"/>
      <c r="AI103" s="873"/>
      <c r="AJ103" s="403"/>
      <c r="AK103" s="403"/>
      <c r="AL103" s="873"/>
      <c r="AM103" s="873"/>
      <c r="AN103" s="403"/>
      <c r="AO103" s="403"/>
      <c r="AP103" s="394"/>
      <c r="AQ103" s="394"/>
      <c r="AR103" s="394"/>
      <c r="AS103" s="394"/>
      <c r="AT103" s="394"/>
      <c r="AU103" s="873"/>
      <c r="AV103" s="873"/>
      <c r="AW103" s="873"/>
      <c r="AX103" s="873"/>
      <c r="AY103" s="873"/>
      <c r="AZ103" s="873"/>
      <c r="BA103" s="394"/>
      <c r="BB103" s="873"/>
      <c r="BC103" s="873"/>
      <c r="BD103" s="873"/>
      <c r="BE103" s="873"/>
      <c r="BF103" s="873"/>
      <c r="BG103" s="873"/>
      <c r="BH103" s="873"/>
      <c r="BI103" s="873"/>
      <c r="BJ103" s="873"/>
      <c r="BK103" s="873"/>
      <c r="BL103" s="873"/>
      <c r="BM103" s="873"/>
      <c r="BN103" s="873"/>
      <c r="BO103" s="873"/>
      <c r="BP103" s="873"/>
      <c r="BQ103" s="873"/>
      <c r="BR103" s="873"/>
      <c r="BS103" s="873"/>
      <c r="BT103" s="873"/>
      <c r="BU103" s="873"/>
      <c r="BV103" s="873"/>
      <c r="BW103" s="873"/>
      <c r="BX103" s="873"/>
      <c r="BY103" s="873"/>
      <c r="BZ103" s="873"/>
      <c r="CA103" s="873"/>
      <c r="CB103" s="873"/>
      <c r="CC103" s="873"/>
      <c r="CD103" s="873"/>
      <c r="CE103" s="873"/>
      <c r="CF103" s="873"/>
      <c r="CG103" s="873"/>
      <c r="CH103" s="873"/>
      <c r="CI103" s="873"/>
      <c r="CJ103" s="873"/>
      <c r="CK103" s="873"/>
      <c r="CL103" s="873"/>
      <c r="CM103" s="873"/>
      <c r="CN103" s="873"/>
      <c r="CO103" s="873"/>
      <c r="CP103" s="873"/>
      <c r="CQ103" s="873"/>
      <c r="CR103" s="873"/>
      <c r="CS103" s="873"/>
      <c r="CT103" s="873"/>
      <c r="CU103" s="873"/>
      <c r="CV103" s="873"/>
      <c r="CW103" s="873"/>
      <c r="CX103" s="873"/>
      <c r="CY103" s="873"/>
      <c r="CZ103" s="873"/>
      <c r="DA103" s="873"/>
      <c r="DB103" s="873"/>
      <c r="DC103" s="873"/>
      <c r="DD103" s="873"/>
      <c r="DE103" s="873"/>
      <c r="DF103" s="873"/>
      <c r="DG103" s="873"/>
      <c r="DH103" s="873"/>
      <c r="DI103" s="873"/>
      <c r="DJ103" s="873"/>
      <c r="DK103" s="873"/>
      <c r="DL103" s="873"/>
      <c r="DM103" s="873"/>
      <c r="DN103" s="873"/>
      <c r="DO103" s="873"/>
      <c r="DP103" s="873"/>
      <c r="DQ103" s="873"/>
      <c r="DR103" s="873"/>
      <c r="DS103" s="873"/>
      <c r="DT103" s="873"/>
      <c r="DU103" s="873"/>
      <c r="DV103" s="873"/>
      <c r="DW103" s="873"/>
      <c r="DX103" s="873"/>
      <c r="DY103" s="873"/>
      <c r="DZ103" s="873"/>
      <c r="EA103" s="873"/>
      <c r="EB103" s="873"/>
      <c r="EC103" s="873"/>
      <c r="ED103" s="873"/>
      <c r="EE103" s="873"/>
      <c r="EF103" s="873"/>
      <c r="EG103" s="873"/>
      <c r="EH103" s="873"/>
      <c r="EI103" s="873"/>
      <c r="EJ103" s="873"/>
      <c r="EK103" s="873"/>
      <c r="EL103" s="873"/>
      <c r="EM103" s="873"/>
      <c r="EN103" s="873"/>
      <c r="EO103" s="873"/>
      <c r="EP103" s="873"/>
      <c r="EQ103" s="873"/>
      <c r="ER103" s="873"/>
      <c r="ES103" s="873"/>
      <c r="ET103" s="873"/>
      <c r="EU103" s="873"/>
      <c r="EV103" s="873"/>
      <c r="EW103" s="873"/>
      <c r="EX103" s="873"/>
      <c r="EY103" s="873"/>
      <c r="EZ103" s="873"/>
      <c r="FA103" s="873"/>
      <c r="FB103" s="873"/>
      <c r="FC103" s="873"/>
      <c r="FD103" s="873"/>
      <c r="FE103" s="873"/>
      <c r="FF103" s="873"/>
      <c r="FG103" s="873"/>
      <c r="FH103" s="873"/>
      <c r="FI103" s="873"/>
      <c r="FJ103" s="873"/>
      <c r="FK103" s="873"/>
      <c r="FL103" s="873"/>
      <c r="FM103" s="873"/>
      <c r="FN103" s="873"/>
      <c r="FO103" s="873"/>
      <c r="FP103" s="873"/>
      <c r="FQ103" s="873"/>
      <c r="FR103" s="873"/>
      <c r="FS103" s="873"/>
      <c r="FT103" s="873"/>
      <c r="FU103" s="873"/>
      <c r="FV103" s="873"/>
      <c r="FW103" s="873"/>
      <c r="FX103" s="873"/>
      <c r="FY103" s="873"/>
      <c r="FZ103" s="873"/>
      <c r="GA103" s="873"/>
      <c r="GB103" s="873"/>
      <c r="GC103" s="873"/>
      <c r="GD103" s="873"/>
      <c r="GE103" s="873"/>
      <c r="GF103" s="873"/>
      <c r="GG103" s="873"/>
      <c r="GH103" s="873"/>
      <c r="GI103" s="873"/>
      <c r="GJ103" s="873"/>
      <c r="GK103" s="873"/>
      <c r="GL103" s="873"/>
      <c r="GM103" s="873"/>
      <c r="GN103" s="873"/>
      <c r="GO103" s="873"/>
      <c r="GP103" s="873"/>
      <c r="GQ103" s="873"/>
      <c r="GR103" s="873"/>
      <c r="GS103" s="873"/>
      <c r="GT103" s="873"/>
      <c r="GU103" s="873"/>
      <c r="GV103" s="873"/>
      <c r="GW103" s="873"/>
      <c r="GX103" s="873"/>
      <c r="GY103" s="873"/>
      <c r="GZ103" s="873"/>
      <c r="HA103" s="873"/>
      <c r="HB103" s="873"/>
      <c r="HC103" s="873"/>
      <c r="HD103" s="873"/>
      <c r="HE103" s="873"/>
      <c r="HF103" s="873"/>
      <c r="HG103" s="873"/>
      <c r="HH103" s="873"/>
      <c r="HI103" s="873"/>
      <c r="HJ103" s="873"/>
      <c r="HK103" s="873"/>
      <c r="HL103" s="873"/>
      <c r="HM103" s="873"/>
      <c r="HN103" s="873"/>
      <c r="HO103" s="873"/>
      <c r="HP103" s="873"/>
      <c r="HQ103" s="873"/>
      <c r="HR103" s="873"/>
      <c r="HS103" s="873"/>
      <c r="HT103" s="873"/>
      <c r="HU103" s="873"/>
      <c r="HV103" s="873"/>
      <c r="HW103" s="873"/>
      <c r="HX103" s="873"/>
      <c r="HY103" s="873"/>
      <c r="HZ103" s="873"/>
      <c r="IA103" s="873"/>
      <c r="IB103" s="873"/>
      <c r="IC103" s="873"/>
      <c r="ID103" s="873"/>
      <c r="IE103" s="873"/>
      <c r="IF103" s="873"/>
      <c r="IG103" s="873"/>
      <c r="IH103" s="873"/>
      <c r="II103" s="873"/>
      <c r="IJ103" s="873"/>
      <c r="IK103" s="873"/>
      <c r="IL103" s="873"/>
      <c r="IM103" s="873"/>
      <c r="IN103" s="873"/>
      <c r="IO103" s="873"/>
      <c r="IP103" s="873"/>
      <c r="IQ103" s="873"/>
      <c r="IR103" s="873"/>
      <c r="IS103" s="873"/>
      <c r="IT103" s="873"/>
      <c r="IU103" s="873"/>
      <c r="IV103" s="873"/>
      <c r="IW103" s="873"/>
      <c r="IX103" s="873"/>
      <c r="IY103" s="873"/>
      <c r="IZ103" s="873"/>
      <c r="JA103" s="873"/>
      <c r="JB103" s="873"/>
      <c r="JC103" s="873"/>
      <c r="JD103" s="873"/>
      <c r="JE103" s="873"/>
      <c r="JF103" s="873"/>
      <c r="JG103" s="873"/>
      <c r="JH103" s="873"/>
      <c r="JI103" s="873"/>
      <c r="JJ103" s="873"/>
      <c r="JK103" s="873"/>
      <c r="JL103" s="873"/>
      <c r="JM103" s="873"/>
      <c r="JN103" s="873"/>
      <c r="JO103" s="873"/>
      <c r="JP103" s="873"/>
      <c r="JQ103" s="873"/>
      <c r="JR103" s="873"/>
      <c r="JS103" s="873"/>
      <c r="JT103" s="873"/>
      <c r="JU103" s="873"/>
      <c r="JV103" s="402"/>
    </row>
    <row r="104" spans="1:282">
      <c r="A104" s="672"/>
      <c r="B104" s="408"/>
      <c r="C104" s="873"/>
      <c r="D104" s="888"/>
      <c r="E104" s="671"/>
      <c r="F104" s="873"/>
      <c r="G104" s="873"/>
      <c r="H104" s="873"/>
      <c r="I104" s="873"/>
      <c r="J104" s="873"/>
      <c r="K104" s="873"/>
      <c r="L104" s="873"/>
      <c r="M104" s="873"/>
      <c r="N104" s="873"/>
      <c r="O104" s="873"/>
      <c r="P104" s="873"/>
      <c r="Q104" s="873"/>
      <c r="R104" s="873"/>
      <c r="S104" s="873"/>
      <c r="T104" s="873"/>
      <c r="U104" s="873"/>
      <c r="V104" s="873"/>
      <c r="W104" s="873"/>
      <c r="X104" s="873"/>
      <c r="Y104" s="873"/>
      <c r="Z104" s="873"/>
      <c r="AA104" s="394"/>
      <c r="AB104" s="873"/>
      <c r="AC104" s="394"/>
      <c r="AD104" s="873"/>
      <c r="AE104" s="873"/>
      <c r="AF104" s="873"/>
      <c r="AG104" s="873"/>
      <c r="AH104" s="873"/>
      <c r="AI104" s="873"/>
      <c r="AJ104" s="403"/>
      <c r="AK104" s="403"/>
      <c r="AL104" s="873"/>
      <c r="AM104" s="873"/>
      <c r="AN104" s="403"/>
      <c r="AO104" s="403"/>
      <c r="AP104" s="394"/>
      <c r="AQ104" s="394"/>
      <c r="AR104" s="394"/>
      <c r="AS104" s="394"/>
      <c r="AT104" s="394"/>
      <c r="AU104" s="873"/>
      <c r="AV104" s="873"/>
      <c r="AW104" s="873"/>
      <c r="AX104" s="873"/>
      <c r="AY104" s="873"/>
      <c r="AZ104" s="873"/>
      <c r="BA104" s="394"/>
      <c r="BB104" s="873"/>
      <c r="BC104" s="873"/>
      <c r="BD104" s="873"/>
      <c r="BE104" s="873"/>
      <c r="BF104" s="873"/>
      <c r="BG104" s="873"/>
      <c r="BH104" s="873"/>
      <c r="BI104" s="873"/>
      <c r="BJ104" s="873"/>
      <c r="BK104" s="873"/>
      <c r="BL104" s="873"/>
      <c r="BM104" s="873"/>
      <c r="BN104" s="873"/>
      <c r="BO104" s="873"/>
      <c r="BP104" s="873"/>
      <c r="BQ104" s="873"/>
      <c r="BR104" s="873"/>
      <c r="BS104" s="873"/>
      <c r="BT104" s="873"/>
      <c r="BU104" s="873"/>
      <c r="BV104" s="873"/>
      <c r="BW104" s="873"/>
      <c r="BX104" s="873"/>
      <c r="BY104" s="873"/>
      <c r="BZ104" s="873"/>
      <c r="CA104" s="873"/>
      <c r="CB104" s="873"/>
      <c r="CC104" s="873"/>
      <c r="CD104" s="873"/>
      <c r="CE104" s="873"/>
      <c r="CF104" s="873"/>
      <c r="CG104" s="873"/>
      <c r="CH104" s="873"/>
      <c r="CI104" s="873"/>
      <c r="CJ104" s="873"/>
      <c r="CK104" s="873"/>
      <c r="CL104" s="873"/>
      <c r="CM104" s="873"/>
      <c r="CN104" s="873"/>
      <c r="CO104" s="873"/>
      <c r="CP104" s="873"/>
      <c r="CQ104" s="873"/>
      <c r="CR104" s="873"/>
      <c r="CS104" s="873"/>
      <c r="CT104" s="873"/>
      <c r="CU104" s="873"/>
      <c r="CV104" s="873"/>
      <c r="CW104" s="873"/>
      <c r="CX104" s="873"/>
      <c r="CY104" s="873"/>
      <c r="CZ104" s="873"/>
      <c r="DA104" s="873"/>
      <c r="DB104" s="873"/>
      <c r="DC104" s="873"/>
      <c r="DD104" s="873"/>
      <c r="DE104" s="873"/>
      <c r="DF104" s="873"/>
      <c r="DG104" s="873"/>
      <c r="DH104" s="873"/>
      <c r="DI104" s="873"/>
      <c r="DJ104" s="873"/>
      <c r="DK104" s="873"/>
      <c r="DL104" s="873"/>
      <c r="DM104" s="873"/>
      <c r="DN104" s="873"/>
      <c r="DO104" s="873"/>
      <c r="DP104" s="873"/>
      <c r="DQ104" s="873"/>
      <c r="DR104" s="873"/>
      <c r="DS104" s="873"/>
      <c r="DT104" s="873"/>
      <c r="DU104" s="873"/>
      <c r="DV104" s="873"/>
      <c r="DW104" s="873"/>
      <c r="DX104" s="873"/>
      <c r="DY104" s="873"/>
      <c r="DZ104" s="873"/>
      <c r="EA104" s="873"/>
      <c r="EB104" s="873"/>
      <c r="EC104" s="873"/>
      <c r="ED104" s="873"/>
      <c r="EE104" s="873"/>
      <c r="EF104" s="873"/>
      <c r="EG104" s="873"/>
      <c r="EH104" s="873"/>
      <c r="EI104" s="873"/>
      <c r="EJ104" s="873"/>
      <c r="EK104" s="873"/>
      <c r="EL104" s="873"/>
      <c r="EM104" s="873"/>
      <c r="EN104" s="873"/>
      <c r="EO104" s="873"/>
      <c r="EP104" s="873"/>
      <c r="EQ104" s="873"/>
      <c r="ER104" s="873"/>
      <c r="ES104" s="873"/>
      <c r="ET104" s="873"/>
      <c r="EU104" s="873"/>
      <c r="EV104" s="873"/>
      <c r="EW104" s="873"/>
      <c r="EX104" s="873"/>
      <c r="EY104" s="873"/>
      <c r="EZ104" s="873"/>
      <c r="FA104" s="873"/>
      <c r="FB104" s="873"/>
      <c r="FC104" s="873"/>
      <c r="FD104" s="873"/>
      <c r="FE104" s="873"/>
      <c r="FF104" s="873"/>
      <c r="FG104" s="873"/>
      <c r="FH104" s="873"/>
      <c r="FI104" s="873"/>
      <c r="FJ104" s="873"/>
      <c r="FK104" s="873"/>
      <c r="FL104" s="873"/>
      <c r="FM104" s="873"/>
      <c r="FN104" s="873"/>
      <c r="FO104" s="873"/>
      <c r="FP104" s="873"/>
      <c r="FQ104" s="873"/>
      <c r="FR104" s="873"/>
      <c r="FS104" s="873"/>
      <c r="FT104" s="873"/>
      <c r="FU104" s="873"/>
      <c r="FV104" s="873"/>
      <c r="FW104" s="873"/>
      <c r="FX104" s="873"/>
      <c r="FY104" s="873"/>
      <c r="FZ104" s="873"/>
      <c r="GA104" s="873"/>
      <c r="GB104" s="873"/>
      <c r="GC104" s="873"/>
      <c r="GD104" s="873"/>
      <c r="GE104" s="873"/>
      <c r="GF104" s="873"/>
      <c r="GG104" s="873"/>
      <c r="GH104" s="873"/>
      <c r="GI104" s="873"/>
      <c r="GJ104" s="873"/>
      <c r="GK104" s="873"/>
      <c r="GL104" s="873"/>
      <c r="GM104" s="873"/>
      <c r="GN104" s="873"/>
      <c r="GO104" s="873"/>
      <c r="GP104" s="873"/>
      <c r="GQ104" s="873"/>
      <c r="GR104" s="873"/>
      <c r="GS104" s="873"/>
      <c r="GT104" s="873"/>
      <c r="GU104" s="873"/>
      <c r="GV104" s="873"/>
      <c r="GW104" s="873"/>
      <c r="GX104" s="873"/>
      <c r="GY104" s="873"/>
      <c r="GZ104" s="873"/>
      <c r="HA104" s="873"/>
      <c r="HB104" s="873"/>
      <c r="HC104" s="873"/>
      <c r="HD104" s="873"/>
      <c r="HE104" s="873"/>
      <c r="HF104" s="873"/>
      <c r="HG104" s="873"/>
      <c r="HH104" s="873"/>
      <c r="HI104" s="873"/>
      <c r="HJ104" s="873"/>
      <c r="HK104" s="873"/>
      <c r="HL104" s="873"/>
      <c r="HM104" s="873"/>
      <c r="HN104" s="873"/>
      <c r="HO104" s="873"/>
      <c r="HP104" s="873"/>
      <c r="HQ104" s="873"/>
      <c r="HR104" s="873"/>
      <c r="HS104" s="873"/>
      <c r="HT104" s="873"/>
      <c r="HU104" s="873"/>
      <c r="HV104" s="873"/>
      <c r="HW104" s="873"/>
      <c r="HX104" s="873"/>
      <c r="HY104" s="873"/>
      <c r="HZ104" s="873"/>
      <c r="IA104" s="873"/>
      <c r="IB104" s="873"/>
      <c r="IC104" s="873"/>
      <c r="ID104" s="873"/>
      <c r="IE104" s="873"/>
      <c r="IF104" s="873"/>
      <c r="IG104" s="873"/>
      <c r="IH104" s="873"/>
      <c r="II104" s="873"/>
      <c r="IJ104" s="873"/>
      <c r="IK104" s="873"/>
      <c r="IL104" s="873"/>
      <c r="IM104" s="873"/>
      <c r="IN104" s="873"/>
      <c r="IO104" s="873"/>
      <c r="IP104" s="873"/>
      <c r="IQ104" s="873"/>
      <c r="IR104" s="873"/>
      <c r="IS104" s="873"/>
      <c r="IT104" s="873"/>
      <c r="IU104" s="873"/>
      <c r="IV104" s="873"/>
      <c r="IW104" s="873"/>
      <c r="IX104" s="873"/>
      <c r="IY104" s="873"/>
      <c r="IZ104" s="873"/>
      <c r="JA104" s="873"/>
      <c r="JB104" s="873"/>
      <c r="JC104" s="873"/>
      <c r="JD104" s="873"/>
      <c r="JE104" s="873"/>
      <c r="JF104" s="873"/>
      <c r="JG104" s="873"/>
      <c r="JH104" s="873"/>
      <c r="JI104" s="873"/>
      <c r="JJ104" s="873"/>
      <c r="JK104" s="873"/>
      <c r="JL104" s="873"/>
      <c r="JM104" s="873"/>
      <c r="JN104" s="873"/>
      <c r="JO104" s="873"/>
      <c r="JP104" s="873"/>
      <c r="JQ104" s="873"/>
      <c r="JR104" s="873"/>
      <c r="JS104" s="873"/>
      <c r="JT104" s="873"/>
      <c r="JU104" s="873"/>
      <c r="JV104" s="402"/>
    </row>
    <row r="105" spans="1:282">
      <c r="A105" s="672"/>
      <c r="B105" s="408"/>
      <c r="C105" s="873"/>
      <c r="D105" s="888"/>
      <c r="E105" s="671"/>
      <c r="F105" s="873"/>
      <c r="G105" s="873"/>
      <c r="H105" s="873"/>
      <c r="I105" s="873"/>
      <c r="J105" s="873"/>
      <c r="K105" s="873"/>
      <c r="L105" s="873"/>
      <c r="M105" s="873"/>
      <c r="N105" s="873"/>
      <c r="O105" s="873"/>
      <c r="P105" s="873"/>
      <c r="Q105" s="873"/>
      <c r="R105" s="873"/>
      <c r="S105" s="873"/>
      <c r="T105" s="873"/>
      <c r="U105" s="873"/>
      <c r="V105" s="873"/>
      <c r="W105" s="873"/>
      <c r="X105" s="873"/>
      <c r="Y105" s="873"/>
      <c r="Z105" s="873"/>
      <c r="AA105" s="394"/>
      <c r="AB105" s="873"/>
      <c r="AC105" s="394"/>
      <c r="AD105" s="873"/>
      <c r="AE105" s="873"/>
      <c r="AF105" s="873"/>
      <c r="AG105" s="873"/>
      <c r="AH105" s="873"/>
      <c r="AI105" s="873"/>
      <c r="AJ105" s="403"/>
      <c r="AK105" s="403"/>
      <c r="AL105" s="873"/>
      <c r="AM105" s="873"/>
      <c r="AN105" s="403"/>
      <c r="AO105" s="403"/>
      <c r="AP105" s="394"/>
      <c r="AQ105" s="394"/>
      <c r="AR105" s="394"/>
      <c r="AS105" s="394"/>
      <c r="AT105" s="394"/>
      <c r="AU105" s="873"/>
      <c r="AV105" s="873"/>
      <c r="AW105" s="873"/>
      <c r="AX105" s="873"/>
      <c r="AY105" s="873"/>
      <c r="AZ105" s="873"/>
      <c r="BA105" s="394"/>
      <c r="BB105" s="873"/>
      <c r="BC105" s="873"/>
      <c r="BD105" s="873"/>
      <c r="BE105" s="873"/>
      <c r="BF105" s="873"/>
      <c r="BG105" s="873"/>
      <c r="BH105" s="873"/>
      <c r="BI105" s="873"/>
      <c r="BJ105" s="873"/>
      <c r="BK105" s="873"/>
      <c r="BL105" s="873"/>
      <c r="BM105" s="873"/>
      <c r="BN105" s="873"/>
      <c r="BO105" s="873"/>
      <c r="BP105" s="873"/>
      <c r="BQ105" s="873"/>
      <c r="BR105" s="873"/>
      <c r="BS105" s="873"/>
      <c r="BT105" s="873"/>
      <c r="BU105" s="873"/>
      <c r="BV105" s="873"/>
      <c r="BW105" s="873"/>
      <c r="BX105" s="873"/>
      <c r="BY105" s="873"/>
      <c r="BZ105" s="873"/>
      <c r="CA105" s="873"/>
      <c r="CB105" s="873"/>
      <c r="CC105" s="873"/>
      <c r="CD105" s="873"/>
      <c r="CE105" s="873"/>
      <c r="CF105" s="873"/>
      <c r="CG105" s="873"/>
      <c r="CH105" s="873"/>
      <c r="CI105" s="873"/>
      <c r="CJ105" s="873"/>
      <c r="CK105" s="873"/>
      <c r="CL105" s="873"/>
      <c r="CM105" s="873"/>
      <c r="CN105" s="873"/>
      <c r="CO105" s="873"/>
      <c r="CP105" s="873"/>
      <c r="CQ105" s="873"/>
      <c r="CR105" s="873"/>
      <c r="CS105" s="873"/>
      <c r="CT105" s="873"/>
      <c r="CU105" s="873"/>
      <c r="CV105" s="873"/>
      <c r="CW105" s="873"/>
      <c r="CX105" s="873"/>
      <c r="CY105" s="873"/>
      <c r="CZ105" s="873"/>
      <c r="DA105" s="873"/>
      <c r="DB105" s="873"/>
      <c r="DC105" s="873"/>
      <c r="DD105" s="873"/>
      <c r="DE105" s="873"/>
      <c r="DF105" s="873"/>
      <c r="DG105" s="873"/>
      <c r="DH105" s="873"/>
      <c r="DI105" s="873"/>
      <c r="DJ105" s="873"/>
      <c r="DK105" s="873"/>
      <c r="DL105" s="873"/>
      <c r="DM105" s="873"/>
      <c r="DN105" s="873"/>
      <c r="DO105" s="873"/>
      <c r="DP105" s="873"/>
      <c r="DQ105" s="873"/>
      <c r="DR105" s="873"/>
      <c r="DS105" s="873"/>
      <c r="DT105" s="873"/>
      <c r="DU105" s="873"/>
      <c r="DV105" s="873"/>
      <c r="DW105" s="873"/>
      <c r="DX105" s="873"/>
      <c r="DY105" s="873"/>
      <c r="DZ105" s="873"/>
      <c r="EA105" s="873"/>
      <c r="EB105" s="873"/>
      <c r="EC105" s="873"/>
      <c r="ED105" s="873"/>
      <c r="EE105" s="873"/>
      <c r="EF105" s="873"/>
      <c r="EG105" s="873"/>
      <c r="EH105" s="873"/>
      <c r="EI105" s="873"/>
      <c r="EJ105" s="873"/>
      <c r="EK105" s="873"/>
      <c r="EL105" s="873"/>
      <c r="EM105" s="873"/>
      <c r="EN105" s="873"/>
      <c r="EO105" s="873"/>
      <c r="EP105" s="873"/>
      <c r="EQ105" s="873"/>
      <c r="ER105" s="873"/>
      <c r="ES105" s="873"/>
      <c r="ET105" s="873"/>
      <c r="EU105" s="873"/>
      <c r="EV105" s="873"/>
      <c r="EW105" s="873"/>
      <c r="EX105" s="873"/>
      <c r="EY105" s="873"/>
      <c r="EZ105" s="873"/>
      <c r="FA105" s="873"/>
      <c r="FB105" s="873"/>
      <c r="FC105" s="873"/>
      <c r="FD105" s="873"/>
      <c r="FE105" s="873"/>
      <c r="FF105" s="873"/>
      <c r="FG105" s="873"/>
      <c r="FH105" s="873"/>
      <c r="FI105" s="873"/>
      <c r="FJ105" s="873"/>
      <c r="FK105" s="873"/>
      <c r="FL105" s="873"/>
      <c r="FM105" s="873"/>
      <c r="FN105" s="873"/>
      <c r="FO105" s="873"/>
      <c r="FP105" s="873"/>
      <c r="FQ105" s="873"/>
      <c r="FR105" s="873"/>
      <c r="FS105" s="873"/>
      <c r="FT105" s="873"/>
      <c r="FU105" s="873"/>
      <c r="FV105" s="873"/>
      <c r="FW105" s="873"/>
      <c r="FX105" s="873"/>
      <c r="FY105" s="873"/>
      <c r="FZ105" s="873"/>
      <c r="GA105" s="873"/>
      <c r="GB105" s="873"/>
      <c r="GC105" s="873"/>
      <c r="GD105" s="873"/>
      <c r="GE105" s="873"/>
      <c r="GF105" s="873"/>
      <c r="GG105" s="873"/>
      <c r="GH105" s="873"/>
      <c r="GI105" s="873"/>
      <c r="GJ105" s="873"/>
      <c r="GK105" s="873"/>
      <c r="GL105" s="873"/>
      <c r="GM105" s="873"/>
      <c r="GN105" s="873"/>
      <c r="GO105" s="873"/>
      <c r="GP105" s="873"/>
      <c r="GQ105" s="873"/>
      <c r="GR105" s="873"/>
      <c r="GS105" s="873"/>
      <c r="GT105" s="873"/>
      <c r="GU105" s="873"/>
      <c r="GV105" s="873"/>
      <c r="GW105" s="873"/>
      <c r="GX105" s="873"/>
      <c r="GY105" s="873"/>
      <c r="GZ105" s="873"/>
      <c r="HA105" s="873"/>
      <c r="HB105" s="873"/>
      <c r="HC105" s="873"/>
      <c r="HD105" s="873"/>
      <c r="HE105" s="873"/>
      <c r="HF105" s="873"/>
      <c r="HG105" s="873"/>
      <c r="HH105" s="873"/>
      <c r="HI105" s="873"/>
      <c r="HJ105" s="873"/>
      <c r="HK105" s="873"/>
      <c r="HL105" s="873"/>
      <c r="HM105" s="873"/>
      <c r="HN105" s="873"/>
      <c r="HO105" s="873"/>
      <c r="HP105" s="873"/>
      <c r="HQ105" s="873"/>
      <c r="HR105" s="873"/>
      <c r="HS105" s="873"/>
      <c r="HT105" s="873"/>
      <c r="HU105" s="873"/>
      <c r="HV105" s="873"/>
      <c r="HW105" s="873"/>
      <c r="HX105" s="873"/>
      <c r="HY105" s="873"/>
      <c r="HZ105" s="873"/>
      <c r="IA105" s="873"/>
      <c r="IB105" s="873"/>
      <c r="IC105" s="873"/>
      <c r="ID105" s="873"/>
      <c r="IE105" s="873"/>
      <c r="IF105" s="873"/>
      <c r="IG105" s="873"/>
      <c r="IH105" s="873"/>
      <c r="II105" s="873"/>
      <c r="IJ105" s="873"/>
      <c r="IK105" s="873"/>
      <c r="IL105" s="873"/>
      <c r="IM105" s="873"/>
      <c r="IN105" s="873"/>
      <c r="IO105" s="873"/>
      <c r="IP105" s="873"/>
      <c r="IQ105" s="873"/>
      <c r="IR105" s="873"/>
      <c r="IS105" s="873"/>
      <c r="IT105" s="873"/>
      <c r="IU105" s="873"/>
      <c r="IV105" s="873"/>
      <c r="IW105" s="873"/>
      <c r="IX105" s="873"/>
      <c r="IY105" s="873"/>
      <c r="IZ105" s="873"/>
      <c r="JA105" s="873"/>
      <c r="JB105" s="873"/>
      <c r="JC105" s="873"/>
      <c r="JD105" s="873"/>
      <c r="JE105" s="873"/>
      <c r="JF105" s="873"/>
      <c r="JG105" s="873"/>
      <c r="JH105" s="873"/>
      <c r="JI105" s="873"/>
      <c r="JJ105" s="873"/>
      <c r="JK105" s="873"/>
      <c r="JL105" s="873"/>
      <c r="JM105" s="873"/>
      <c r="JN105" s="873"/>
      <c r="JO105" s="873"/>
      <c r="JP105" s="873"/>
      <c r="JQ105" s="873"/>
      <c r="JR105" s="873"/>
      <c r="JS105" s="873"/>
      <c r="JT105" s="873"/>
      <c r="JU105" s="873"/>
      <c r="JV105" s="402"/>
    </row>
    <row r="106" spans="1:282">
      <c r="A106" s="672"/>
      <c r="B106" s="408"/>
      <c r="C106" s="873"/>
      <c r="D106" s="888"/>
      <c r="E106" s="671"/>
      <c r="F106" s="873"/>
      <c r="G106" s="873"/>
      <c r="H106" s="873"/>
      <c r="I106" s="873"/>
      <c r="J106" s="873"/>
      <c r="K106" s="873"/>
      <c r="L106" s="873"/>
      <c r="M106" s="873"/>
      <c r="N106" s="873"/>
      <c r="O106" s="873"/>
      <c r="P106" s="873"/>
      <c r="Q106" s="873"/>
      <c r="R106" s="873"/>
      <c r="S106" s="873"/>
      <c r="T106" s="873"/>
      <c r="U106" s="873"/>
      <c r="V106" s="873"/>
      <c r="W106" s="873"/>
      <c r="X106" s="873"/>
      <c r="Y106" s="873"/>
      <c r="Z106" s="873"/>
      <c r="AA106" s="394"/>
      <c r="AB106" s="873"/>
      <c r="AC106" s="394"/>
      <c r="AD106" s="873"/>
      <c r="AE106" s="873"/>
      <c r="AF106" s="873"/>
      <c r="AG106" s="873"/>
      <c r="AH106" s="873"/>
      <c r="AI106" s="873"/>
      <c r="AJ106" s="403"/>
      <c r="AK106" s="403"/>
      <c r="AL106" s="873"/>
      <c r="AM106" s="873"/>
      <c r="AN106" s="403"/>
      <c r="AO106" s="403"/>
      <c r="AP106" s="394"/>
      <c r="AQ106" s="394"/>
      <c r="AR106" s="394"/>
      <c r="AS106" s="394"/>
      <c r="AT106" s="394"/>
      <c r="AU106" s="873"/>
      <c r="AV106" s="873"/>
      <c r="AW106" s="873"/>
      <c r="AX106" s="873"/>
      <c r="AY106" s="873"/>
      <c r="AZ106" s="873"/>
      <c r="BA106" s="394"/>
      <c r="BB106" s="873"/>
      <c r="BC106" s="873"/>
      <c r="BD106" s="873"/>
      <c r="BE106" s="873"/>
      <c r="BF106" s="873"/>
      <c r="BG106" s="873"/>
      <c r="BH106" s="873"/>
      <c r="BI106" s="873"/>
      <c r="BJ106" s="873"/>
      <c r="BK106" s="873"/>
      <c r="BL106" s="873"/>
      <c r="BM106" s="873"/>
      <c r="BN106" s="873"/>
      <c r="BO106" s="873"/>
      <c r="BP106" s="873"/>
      <c r="BQ106" s="873"/>
      <c r="BR106" s="873"/>
      <c r="BS106" s="873"/>
      <c r="BT106" s="873"/>
      <c r="BU106" s="873"/>
      <c r="BV106" s="873"/>
      <c r="BW106" s="873"/>
      <c r="BX106" s="873"/>
      <c r="BY106" s="873"/>
      <c r="BZ106" s="873"/>
      <c r="CA106" s="873"/>
      <c r="CB106" s="873"/>
      <c r="CC106" s="873"/>
      <c r="CD106" s="873"/>
      <c r="CE106" s="873"/>
      <c r="CF106" s="873"/>
      <c r="CG106" s="873"/>
      <c r="CH106" s="873"/>
      <c r="CI106" s="873"/>
      <c r="CJ106" s="873"/>
      <c r="CK106" s="873"/>
      <c r="CL106" s="873"/>
      <c r="CM106" s="873"/>
      <c r="CN106" s="873"/>
      <c r="CO106" s="873"/>
      <c r="CP106" s="873"/>
      <c r="CQ106" s="873"/>
      <c r="CR106" s="873"/>
      <c r="CS106" s="873"/>
      <c r="CT106" s="873"/>
      <c r="CU106" s="873"/>
      <c r="CV106" s="873"/>
      <c r="CW106" s="873"/>
      <c r="CX106" s="873"/>
      <c r="CY106" s="873"/>
      <c r="CZ106" s="873"/>
      <c r="DA106" s="873"/>
      <c r="DB106" s="873"/>
      <c r="DC106" s="873"/>
      <c r="DD106" s="873"/>
      <c r="DE106" s="873"/>
      <c r="DF106" s="873"/>
      <c r="DG106" s="873"/>
      <c r="DH106" s="873"/>
      <c r="DI106" s="873"/>
      <c r="DJ106" s="873"/>
      <c r="DK106" s="873"/>
      <c r="DL106" s="873"/>
      <c r="DM106" s="873"/>
      <c r="DN106" s="873"/>
      <c r="DO106" s="873"/>
      <c r="DP106" s="873"/>
      <c r="DQ106" s="873"/>
      <c r="DR106" s="873"/>
      <c r="DS106" s="873"/>
      <c r="DT106" s="873"/>
      <c r="DU106" s="873"/>
      <c r="DV106" s="873"/>
      <c r="DW106" s="873"/>
      <c r="DX106" s="873"/>
      <c r="DY106" s="873"/>
      <c r="DZ106" s="873"/>
      <c r="EA106" s="873"/>
      <c r="EB106" s="873"/>
      <c r="EC106" s="873"/>
      <c r="ED106" s="873"/>
      <c r="EE106" s="873"/>
      <c r="EF106" s="873"/>
      <c r="EG106" s="873"/>
      <c r="EH106" s="873"/>
      <c r="EI106" s="873"/>
      <c r="EJ106" s="873"/>
      <c r="EK106" s="873"/>
      <c r="EL106" s="873"/>
      <c r="EM106" s="873"/>
      <c r="EN106" s="873"/>
      <c r="EO106" s="873"/>
      <c r="EP106" s="873"/>
      <c r="EQ106" s="873"/>
      <c r="ER106" s="873"/>
      <c r="ES106" s="873"/>
      <c r="ET106" s="873"/>
      <c r="EU106" s="873"/>
      <c r="EV106" s="873"/>
      <c r="EW106" s="873"/>
      <c r="EX106" s="873"/>
      <c r="EY106" s="873"/>
      <c r="EZ106" s="873"/>
      <c r="FA106" s="873"/>
      <c r="FB106" s="873"/>
      <c r="FC106" s="873"/>
      <c r="FD106" s="873"/>
      <c r="FE106" s="873"/>
      <c r="FF106" s="873"/>
      <c r="FG106" s="873"/>
      <c r="FH106" s="873"/>
      <c r="FI106" s="873"/>
      <c r="FJ106" s="873"/>
      <c r="FK106" s="873"/>
      <c r="FL106" s="873"/>
      <c r="FM106" s="873"/>
      <c r="FN106" s="873"/>
      <c r="FO106" s="873"/>
      <c r="FP106" s="873"/>
      <c r="FQ106" s="873"/>
      <c r="FR106" s="873"/>
      <c r="FS106" s="873"/>
      <c r="FT106" s="873"/>
      <c r="FU106" s="873"/>
      <c r="FV106" s="873"/>
      <c r="FW106" s="873"/>
      <c r="FX106" s="873"/>
      <c r="FY106" s="873"/>
      <c r="FZ106" s="873"/>
      <c r="GA106" s="873"/>
      <c r="GB106" s="873"/>
      <c r="GC106" s="873"/>
      <c r="GD106" s="873"/>
      <c r="GE106" s="873"/>
      <c r="GF106" s="873"/>
      <c r="GG106" s="873"/>
      <c r="GH106" s="873"/>
      <c r="GI106" s="873"/>
      <c r="GJ106" s="873"/>
      <c r="GK106" s="873"/>
      <c r="GL106" s="873"/>
      <c r="GM106" s="873"/>
      <c r="GN106" s="873"/>
      <c r="GO106" s="873"/>
      <c r="GP106" s="873"/>
      <c r="GQ106" s="873"/>
      <c r="GR106" s="873"/>
      <c r="GS106" s="873"/>
      <c r="GT106" s="873"/>
      <c r="GU106" s="873"/>
      <c r="GV106" s="873"/>
      <c r="GW106" s="873"/>
      <c r="GX106" s="873"/>
      <c r="GY106" s="873"/>
      <c r="GZ106" s="873"/>
      <c r="HA106" s="873"/>
      <c r="HB106" s="873"/>
      <c r="HC106" s="873"/>
      <c r="HD106" s="873"/>
      <c r="HE106" s="873"/>
      <c r="HF106" s="873"/>
      <c r="HG106" s="873"/>
      <c r="HH106" s="873"/>
      <c r="HI106" s="873"/>
      <c r="HJ106" s="873"/>
      <c r="HK106" s="873"/>
      <c r="HL106" s="873"/>
      <c r="HM106" s="873"/>
      <c r="HN106" s="873"/>
      <c r="HO106" s="873"/>
      <c r="HP106" s="873"/>
      <c r="HQ106" s="873"/>
      <c r="HR106" s="873"/>
      <c r="HS106" s="873"/>
      <c r="HT106" s="873"/>
      <c r="HU106" s="873"/>
      <c r="HV106" s="873"/>
      <c r="HW106" s="873"/>
      <c r="HX106" s="873"/>
      <c r="HY106" s="873"/>
      <c r="HZ106" s="873"/>
      <c r="IA106" s="873"/>
      <c r="IB106" s="873"/>
      <c r="IC106" s="873"/>
      <c r="ID106" s="873"/>
      <c r="IE106" s="873"/>
      <c r="IF106" s="873"/>
      <c r="IG106" s="873"/>
      <c r="IH106" s="873"/>
      <c r="II106" s="873"/>
      <c r="IJ106" s="873"/>
      <c r="IK106" s="873"/>
      <c r="IL106" s="873"/>
      <c r="IM106" s="873"/>
      <c r="IN106" s="873"/>
      <c r="IO106" s="873"/>
      <c r="IP106" s="873"/>
      <c r="IQ106" s="873"/>
      <c r="IR106" s="873"/>
      <c r="IS106" s="873"/>
      <c r="IT106" s="873"/>
      <c r="IU106" s="873"/>
      <c r="IV106" s="873"/>
      <c r="IW106" s="873"/>
      <c r="IX106" s="873"/>
      <c r="IY106" s="873"/>
      <c r="IZ106" s="873"/>
      <c r="JA106" s="873"/>
      <c r="JB106" s="873"/>
      <c r="JC106" s="873"/>
      <c r="JD106" s="873"/>
      <c r="JE106" s="873"/>
      <c r="JF106" s="873"/>
      <c r="JG106" s="873"/>
      <c r="JH106" s="873"/>
      <c r="JI106" s="873"/>
      <c r="JJ106" s="873"/>
      <c r="JK106" s="873"/>
      <c r="JL106" s="873"/>
      <c r="JM106" s="873"/>
      <c r="JN106" s="873"/>
      <c r="JO106" s="873"/>
      <c r="JP106" s="873"/>
      <c r="JQ106" s="873"/>
      <c r="JR106" s="873"/>
      <c r="JS106" s="873"/>
      <c r="JT106" s="873"/>
      <c r="JU106" s="873"/>
      <c r="JV106" s="402"/>
    </row>
    <row r="107" spans="1:282">
      <c r="A107" s="672"/>
      <c r="B107" s="408"/>
      <c r="C107" s="873"/>
      <c r="D107" s="888"/>
      <c r="E107" s="671"/>
      <c r="F107" s="873"/>
      <c r="G107" s="873"/>
      <c r="H107" s="873"/>
      <c r="I107" s="873"/>
      <c r="J107" s="873"/>
      <c r="K107" s="873"/>
      <c r="L107" s="873"/>
      <c r="M107" s="873"/>
      <c r="N107" s="873"/>
      <c r="O107" s="873"/>
      <c r="P107" s="873"/>
      <c r="Q107" s="873"/>
      <c r="R107" s="873"/>
      <c r="S107" s="873"/>
      <c r="T107" s="873"/>
      <c r="U107" s="873"/>
      <c r="V107" s="873"/>
      <c r="W107" s="873"/>
      <c r="X107" s="873"/>
      <c r="Y107" s="873"/>
      <c r="Z107" s="873"/>
      <c r="AA107" s="394"/>
      <c r="AB107" s="873"/>
      <c r="AC107" s="394"/>
      <c r="AD107" s="873"/>
      <c r="AE107" s="873"/>
      <c r="AF107" s="873"/>
      <c r="AG107" s="873"/>
      <c r="AH107" s="873"/>
      <c r="AI107" s="873"/>
      <c r="AJ107" s="403"/>
      <c r="AK107" s="403"/>
      <c r="AL107" s="873"/>
      <c r="AM107" s="873"/>
      <c r="AN107" s="403"/>
      <c r="AO107" s="403"/>
      <c r="AP107" s="394"/>
      <c r="AQ107" s="394"/>
      <c r="AR107" s="394"/>
      <c r="AS107" s="394"/>
      <c r="AT107" s="394"/>
      <c r="AU107" s="873"/>
      <c r="AV107" s="873"/>
      <c r="AW107" s="873"/>
      <c r="AX107" s="873"/>
      <c r="AY107" s="873"/>
      <c r="AZ107" s="873"/>
      <c r="BA107" s="394"/>
      <c r="BB107" s="873"/>
      <c r="BC107" s="873"/>
      <c r="BD107" s="873"/>
      <c r="BE107" s="873"/>
      <c r="BF107" s="873"/>
      <c r="BG107" s="873"/>
      <c r="BH107" s="873"/>
      <c r="BI107" s="873"/>
      <c r="BJ107" s="873"/>
      <c r="BK107" s="873"/>
      <c r="BL107" s="873"/>
      <c r="BM107" s="873"/>
      <c r="BN107" s="873"/>
      <c r="BO107" s="873"/>
      <c r="BP107" s="873"/>
      <c r="BQ107" s="873"/>
      <c r="BR107" s="873"/>
      <c r="BS107" s="873"/>
      <c r="BT107" s="873"/>
      <c r="BU107" s="873"/>
      <c r="BV107" s="873"/>
      <c r="BW107" s="873"/>
      <c r="BX107" s="873"/>
      <c r="BY107" s="873"/>
      <c r="BZ107" s="873"/>
      <c r="CA107" s="873"/>
      <c r="CB107" s="873"/>
      <c r="CC107" s="873"/>
      <c r="CD107" s="873"/>
      <c r="CE107" s="873"/>
      <c r="CF107" s="873"/>
      <c r="CG107" s="873"/>
      <c r="CH107" s="873"/>
      <c r="CI107" s="873"/>
      <c r="CJ107" s="873"/>
      <c r="CK107" s="873"/>
      <c r="CL107" s="873"/>
      <c r="CM107" s="873"/>
      <c r="CN107" s="873"/>
      <c r="CO107" s="873"/>
      <c r="CP107" s="873"/>
      <c r="CQ107" s="873"/>
      <c r="CR107" s="873"/>
      <c r="CS107" s="873"/>
      <c r="CT107" s="873"/>
      <c r="CU107" s="873"/>
      <c r="CV107" s="873"/>
      <c r="CW107" s="873"/>
      <c r="CX107" s="873"/>
      <c r="CY107" s="873"/>
      <c r="CZ107" s="873"/>
      <c r="DA107" s="873"/>
      <c r="DB107" s="873"/>
      <c r="DC107" s="873"/>
      <c r="DD107" s="873"/>
      <c r="DE107" s="873"/>
      <c r="DF107" s="873"/>
      <c r="DG107" s="873"/>
      <c r="DH107" s="873"/>
      <c r="DI107" s="873"/>
      <c r="DJ107" s="873"/>
      <c r="DK107" s="873"/>
      <c r="DL107" s="873"/>
      <c r="DM107" s="873"/>
      <c r="DN107" s="873"/>
      <c r="DO107" s="873"/>
      <c r="DP107" s="873"/>
      <c r="DQ107" s="873"/>
      <c r="DR107" s="873"/>
      <c r="DS107" s="873"/>
      <c r="DT107" s="873"/>
      <c r="DU107" s="873"/>
      <c r="DV107" s="873"/>
      <c r="DW107" s="873"/>
      <c r="DX107" s="873"/>
      <c r="DY107" s="873"/>
      <c r="DZ107" s="873"/>
      <c r="EA107" s="873"/>
      <c r="EB107" s="873"/>
      <c r="EC107" s="873"/>
      <c r="ED107" s="873"/>
      <c r="EE107" s="873"/>
      <c r="EF107" s="873"/>
      <c r="EG107" s="873"/>
      <c r="EH107" s="873"/>
      <c r="EI107" s="873"/>
      <c r="EJ107" s="873"/>
      <c r="EK107" s="873"/>
      <c r="EL107" s="873"/>
      <c r="EM107" s="873"/>
      <c r="EN107" s="873"/>
      <c r="EO107" s="873"/>
      <c r="EP107" s="873"/>
      <c r="EQ107" s="873"/>
      <c r="ER107" s="873"/>
      <c r="ES107" s="873"/>
      <c r="ET107" s="873"/>
      <c r="EU107" s="873"/>
      <c r="EV107" s="873"/>
      <c r="EW107" s="873"/>
      <c r="EX107" s="873"/>
      <c r="EY107" s="873"/>
      <c r="EZ107" s="873"/>
      <c r="FA107" s="873"/>
      <c r="FB107" s="873"/>
      <c r="FC107" s="873"/>
      <c r="FD107" s="873"/>
      <c r="FE107" s="873"/>
      <c r="FF107" s="873"/>
      <c r="FG107" s="873"/>
      <c r="FH107" s="873"/>
      <c r="FI107" s="873"/>
      <c r="FJ107" s="873"/>
      <c r="FK107" s="873"/>
      <c r="FL107" s="873"/>
      <c r="FM107" s="873"/>
      <c r="FN107" s="873"/>
      <c r="FO107" s="873"/>
      <c r="FP107" s="873"/>
      <c r="FQ107" s="873"/>
      <c r="FR107" s="873"/>
      <c r="FS107" s="873"/>
      <c r="FT107" s="873"/>
      <c r="FU107" s="873"/>
      <c r="FV107" s="873"/>
      <c r="FW107" s="873"/>
      <c r="FX107" s="873"/>
      <c r="FY107" s="873"/>
      <c r="FZ107" s="873"/>
      <c r="GA107" s="873"/>
      <c r="GB107" s="873"/>
      <c r="GC107" s="873"/>
      <c r="GD107" s="873"/>
      <c r="GE107" s="873"/>
      <c r="GF107" s="873"/>
      <c r="GG107" s="873"/>
      <c r="GH107" s="873"/>
      <c r="GI107" s="873"/>
      <c r="GJ107" s="873"/>
      <c r="GK107" s="873"/>
      <c r="GL107" s="873"/>
      <c r="GM107" s="873"/>
      <c r="GN107" s="873"/>
      <c r="GO107" s="873"/>
      <c r="GP107" s="873"/>
      <c r="GQ107" s="873"/>
      <c r="GR107" s="873"/>
      <c r="GS107" s="873"/>
      <c r="GT107" s="873"/>
      <c r="GU107" s="873"/>
      <c r="GV107" s="873"/>
      <c r="GW107" s="873"/>
      <c r="GX107" s="873"/>
      <c r="GY107" s="873"/>
      <c r="GZ107" s="873"/>
      <c r="HA107" s="873"/>
      <c r="HB107" s="873"/>
      <c r="HC107" s="873"/>
      <c r="HD107" s="873"/>
      <c r="HE107" s="873"/>
      <c r="HF107" s="873"/>
      <c r="HG107" s="873"/>
      <c r="HH107" s="873"/>
      <c r="HI107" s="873"/>
      <c r="HJ107" s="873"/>
      <c r="HK107" s="873"/>
      <c r="HL107" s="873"/>
      <c r="HM107" s="873"/>
      <c r="HN107" s="873"/>
      <c r="HO107" s="873"/>
      <c r="HP107" s="873"/>
      <c r="HQ107" s="873"/>
      <c r="HR107" s="873"/>
      <c r="HS107" s="873"/>
      <c r="HT107" s="873"/>
      <c r="HU107" s="873"/>
      <c r="HV107" s="873"/>
      <c r="HW107" s="873"/>
      <c r="HX107" s="873"/>
      <c r="HY107" s="873"/>
      <c r="HZ107" s="873"/>
      <c r="IA107" s="873"/>
      <c r="IB107" s="873"/>
      <c r="IC107" s="873"/>
      <c r="ID107" s="873"/>
      <c r="IE107" s="873"/>
      <c r="IF107" s="873"/>
      <c r="IG107" s="873"/>
      <c r="IH107" s="873"/>
      <c r="II107" s="873"/>
      <c r="IJ107" s="873"/>
      <c r="IK107" s="873"/>
      <c r="IL107" s="873"/>
      <c r="IM107" s="873"/>
      <c r="IN107" s="873"/>
      <c r="IO107" s="873"/>
      <c r="IP107" s="873"/>
      <c r="IQ107" s="873"/>
      <c r="IR107" s="873"/>
      <c r="IS107" s="873"/>
      <c r="IT107" s="873"/>
      <c r="IU107" s="873"/>
      <c r="IV107" s="873"/>
      <c r="IW107" s="873"/>
      <c r="IX107" s="873"/>
      <c r="IY107" s="873"/>
      <c r="IZ107" s="873"/>
      <c r="JA107" s="873"/>
      <c r="JB107" s="873"/>
      <c r="JC107" s="873"/>
      <c r="JD107" s="873"/>
      <c r="JE107" s="873"/>
      <c r="JF107" s="873"/>
      <c r="JG107" s="873"/>
      <c r="JH107" s="873"/>
      <c r="JI107" s="873"/>
      <c r="JJ107" s="873"/>
      <c r="JK107" s="873"/>
      <c r="JL107" s="873"/>
      <c r="JM107" s="873"/>
      <c r="JN107" s="873"/>
      <c r="JO107" s="873"/>
      <c r="JP107" s="873"/>
      <c r="JQ107" s="873"/>
      <c r="JR107" s="873"/>
      <c r="JS107" s="873"/>
      <c r="JT107" s="873"/>
      <c r="JU107" s="873"/>
      <c r="JV107" s="402"/>
    </row>
    <row r="108" spans="1:282">
      <c r="A108" s="672"/>
      <c r="B108" s="408"/>
      <c r="C108" s="873"/>
      <c r="D108" s="888"/>
      <c r="E108" s="671"/>
      <c r="F108" s="873"/>
      <c r="G108" s="873"/>
      <c r="H108" s="873"/>
      <c r="I108" s="873"/>
      <c r="J108" s="873"/>
      <c r="K108" s="873"/>
      <c r="L108" s="873"/>
      <c r="M108" s="873"/>
      <c r="N108" s="873"/>
      <c r="O108" s="873"/>
      <c r="P108" s="873"/>
      <c r="Q108" s="873"/>
      <c r="R108" s="873"/>
      <c r="S108" s="873"/>
      <c r="T108" s="873"/>
      <c r="U108" s="873"/>
      <c r="V108" s="873"/>
      <c r="W108" s="873"/>
      <c r="X108" s="873"/>
      <c r="Y108" s="873"/>
      <c r="Z108" s="873"/>
      <c r="AA108" s="394"/>
      <c r="AB108" s="873"/>
      <c r="AC108" s="394"/>
      <c r="AD108" s="873"/>
      <c r="AE108" s="873"/>
      <c r="AF108" s="873"/>
      <c r="AG108" s="873"/>
      <c r="AH108" s="873"/>
      <c r="AI108" s="873"/>
      <c r="AJ108" s="403"/>
      <c r="AK108" s="403"/>
      <c r="AL108" s="873"/>
      <c r="AM108" s="873"/>
      <c r="AN108" s="403"/>
      <c r="AO108" s="403"/>
      <c r="AP108" s="394"/>
      <c r="AQ108" s="394"/>
      <c r="AR108" s="394"/>
      <c r="AS108" s="394"/>
      <c r="AT108" s="394"/>
      <c r="AU108" s="873"/>
      <c r="AV108" s="873"/>
      <c r="AW108" s="873"/>
      <c r="AX108" s="873"/>
      <c r="AY108" s="873"/>
      <c r="AZ108" s="873"/>
      <c r="BA108" s="394"/>
      <c r="BB108" s="873"/>
      <c r="BC108" s="873"/>
      <c r="BD108" s="873"/>
      <c r="BE108" s="873"/>
      <c r="BF108" s="873"/>
      <c r="BG108" s="873"/>
      <c r="BH108" s="873"/>
      <c r="BI108" s="873"/>
      <c r="BJ108" s="873"/>
      <c r="BK108" s="873"/>
      <c r="BL108" s="873"/>
      <c r="BM108" s="873"/>
      <c r="BN108" s="873"/>
      <c r="BO108" s="873"/>
      <c r="BP108" s="873"/>
      <c r="BQ108" s="873"/>
      <c r="BR108" s="873"/>
      <c r="BS108" s="873"/>
      <c r="BT108" s="873"/>
      <c r="BU108" s="873"/>
      <c r="BV108" s="873"/>
      <c r="BW108" s="873"/>
      <c r="BX108" s="873"/>
      <c r="BY108" s="873"/>
      <c r="BZ108" s="873"/>
      <c r="CA108" s="873"/>
      <c r="CB108" s="873"/>
      <c r="CC108" s="873"/>
      <c r="CD108" s="873"/>
      <c r="CE108" s="873"/>
      <c r="CF108" s="873"/>
      <c r="CG108" s="873"/>
      <c r="CH108" s="873"/>
      <c r="CI108" s="873"/>
      <c r="CJ108" s="873"/>
      <c r="CK108" s="873"/>
      <c r="CL108" s="873"/>
      <c r="CM108" s="873"/>
      <c r="CN108" s="873"/>
      <c r="CO108" s="873"/>
      <c r="CP108" s="873"/>
      <c r="CQ108" s="873"/>
      <c r="CR108" s="873"/>
      <c r="CS108" s="873"/>
      <c r="CT108" s="873"/>
      <c r="CU108" s="873"/>
      <c r="CV108" s="873"/>
      <c r="CW108" s="873"/>
      <c r="CX108" s="873"/>
      <c r="CY108" s="873"/>
      <c r="CZ108" s="873"/>
      <c r="DA108" s="873"/>
      <c r="DB108" s="873"/>
      <c r="DC108" s="873"/>
      <c r="DD108" s="873"/>
      <c r="DE108" s="873"/>
      <c r="DF108" s="873"/>
      <c r="DG108" s="873"/>
      <c r="DH108" s="873"/>
      <c r="DI108" s="873"/>
      <c r="DJ108" s="873"/>
      <c r="DK108" s="873"/>
      <c r="DL108" s="873"/>
      <c r="DM108" s="873"/>
      <c r="DN108" s="873"/>
      <c r="DO108" s="873"/>
      <c r="DP108" s="873"/>
      <c r="DQ108" s="873"/>
      <c r="DR108" s="873"/>
      <c r="DS108" s="873"/>
      <c r="DT108" s="873"/>
      <c r="DU108" s="873"/>
      <c r="DV108" s="873"/>
      <c r="DW108" s="873"/>
      <c r="DX108" s="873"/>
      <c r="DY108" s="873"/>
      <c r="DZ108" s="873"/>
      <c r="EA108" s="873"/>
      <c r="EB108" s="873"/>
      <c r="EC108" s="873"/>
      <c r="ED108" s="873"/>
      <c r="EE108" s="873"/>
      <c r="EF108" s="873"/>
      <c r="EG108" s="873"/>
      <c r="EH108" s="873"/>
      <c r="EI108" s="873"/>
      <c r="EJ108" s="873"/>
      <c r="EK108" s="873"/>
      <c r="EL108" s="873"/>
      <c r="EM108" s="873"/>
      <c r="EN108" s="873"/>
      <c r="EO108" s="873"/>
      <c r="EP108" s="873"/>
      <c r="EQ108" s="873"/>
      <c r="ER108" s="873"/>
      <c r="ES108" s="873"/>
      <c r="ET108" s="873"/>
      <c r="EU108" s="873"/>
      <c r="EV108" s="873"/>
      <c r="EW108" s="873"/>
      <c r="EX108" s="873"/>
      <c r="EY108" s="873"/>
      <c r="EZ108" s="873"/>
      <c r="FA108" s="873"/>
      <c r="FB108" s="873"/>
      <c r="FC108" s="873"/>
      <c r="FD108" s="873"/>
      <c r="FE108" s="873"/>
      <c r="FF108" s="873"/>
      <c r="FG108" s="873"/>
      <c r="FH108" s="873"/>
      <c r="FI108" s="873"/>
      <c r="FJ108" s="873"/>
      <c r="FK108" s="873"/>
      <c r="FL108" s="873"/>
      <c r="FM108" s="873"/>
      <c r="FN108" s="873"/>
      <c r="FO108" s="873"/>
      <c r="FP108" s="873"/>
      <c r="FQ108" s="873"/>
      <c r="FR108" s="873"/>
      <c r="FS108" s="873"/>
      <c r="FT108" s="873"/>
      <c r="FU108" s="873"/>
      <c r="FV108" s="873"/>
      <c r="FW108" s="873"/>
      <c r="FX108" s="873"/>
      <c r="FY108" s="873"/>
      <c r="FZ108" s="873"/>
      <c r="GA108" s="873"/>
      <c r="GB108" s="873"/>
      <c r="GC108" s="873"/>
      <c r="GD108" s="873"/>
      <c r="GE108" s="873"/>
      <c r="GF108" s="873"/>
      <c r="GG108" s="873"/>
      <c r="GH108" s="873"/>
      <c r="GI108" s="873"/>
      <c r="GJ108" s="873"/>
      <c r="GK108" s="873"/>
      <c r="GL108" s="873"/>
      <c r="GM108" s="873"/>
      <c r="GN108" s="873"/>
      <c r="GO108" s="873"/>
      <c r="GP108" s="873"/>
      <c r="GQ108" s="873"/>
      <c r="GR108" s="873"/>
      <c r="GS108" s="873"/>
      <c r="GT108" s="873"/>
      <c r="GU108" s="873"/>
      <c r="GV108" s="873"/>
      <c r="GW108" s="873"/>
      <c r="GX108" s="873"/>
      <c r="GY108" s="873"/>
      <c r="GZ108" s="873"/>
      <c r="HA108" s="873"/>
      <c r="HB108" s="873"/>
      <c r="HC108" s="873"/>
      <c r="HD108" s="873"/>
      <c r="HE108" s="873"/>
      <c r="HF108" s="873"/>
      <c r="HG108" s="873"/>
      <c r="HH108" s="873"/>
      <c r="HI108" s="873"/>
      <c r="HJ108" s="873"/>
      <c r="HK108" s="873"/>
      <c r="HL108" s="873"/>
      <c r="HM108" s="873"/>
      <c r="HN108" s="873"/>
      <c r="HO108" s="873"/>
      <c r="HP108" s="873"/>
      <c r="HQ108" s="873"/>
      <c r="HR108" s="873"/>
      <c r="HS108" s="873"/>
      <c r="HT108" s="873"/>
      <c r="HU108" s="873"/>
      <c r="HV108" s="873"/>
      <c r="HW108" s="873"/>
      <c r="HX108" s="873"/>
      <c r="HY108" s="873"/>
      <c r="HZ108" s="873"/>
      <c r="IA108" s="873"/>
      <c r="IB108" s="873"/>
      <c r="IC108" s="873"/>
      <c r="ID108" s="873"/>
      <c r="IE108" s="873"/>
      <c r="IF108" s="873"/>
      <c r="IG108" s="873"/>
      <c r="IH108" s="873"/>
      <c r="II108" s="873"/>
      <c r="IJ108" s="873"/>
      <c r="IK108" s="873"/>
      <c r="IL108" s="873"/>
      <c r="IM108" s="873"/>
      <c r="IN108" s="873"/>
      <c r="IO108" s="873"/>
      <c r="IP108" s="873"/>
      <c r="IQ108" s="873"/>
      <c r="IR108" s="873"/>
      <c r="IS108" s="873"/>
      <c r="IT108" s="873"/>
      <c r="IU108" s="873"/>
      <c r="IV108" s="873"/>
      <c r="IW108" s="873"/>
      <c r="IX108" s="873"/>
      <c r="IY108" s="873"/>
      <c r="IZ108" s="873"/>
      <c r="JA108" s="873"/>
      <c r="JB108" s="873"/>
      <c r="JC108" s="873"/>
      <c r="JD108" s="873"/>
      <c r="JE108" s="873"/>
      <c r="JF108" s="873"/>
      <c r="JG108" s="873"/>
      <c r="JH108" s="873"/>
      <c r="JI108" s="873"/>
      <c r="JJ108" s="873"/>
      <c r="JK108" s="873"/>
      <c r="JL108" s="873"/>
      <c r="JM108" s="873"/>
      <c r="JN108" s="873"/>
      <c r="JO108" s="873"/>
      <c r="JP108" s="873"/>
      <c r="JQ108" s="873"/>
      <c r="JR108" s="873"/>
      <c r="JS108" s="873"/>
      <c r="JT108" s="873"/>
      <c r="JU108" s="873"/>
      <c r="JV108" s="402"/>
    </row>
    <row r="109" spans="1:282">
      <c r="A109" s="672"/>
      <c r="B109" s="408"/>
      <c r="C109" s="873"/>
      <c r="D109" s="888"/>
      <c r="E109" s="671"/>
      <c r="F109" s="873"/>
      <c r="G109" s="873"/>
      <c r="H109" s="873"/>
      <c r="I109" s="873"/>
      <c r="J109" s="873"/>
      <c r="K109" s="873"/>
      <c r="L109" s="873"/>
      <c r="M109" s="873"/>
      <c r="N109" s="873"/>
      <c r="O109" s="873"/>
      <c r="P109" s="873"/>
      <c r="Q109" s="873"/>
      <c r="R109" s="873"/>
      <c r="S109" s="873"/>
      <c r="T109" s="873"/>
      <c r="U109" s="873"/>
      <c r="V109" s="873"/>
      <c r="W109" s="873"/>
      <c r="X109" s="873"/>
      <c r="Y109" s="873"/>
      <c r="Z109" s="873"/>
      <c r="AA109" s="394"/>
      <c r="AB109" s="873"/>
      <c r="AC109" s="394"/>
      <c r="AD109" s="873"/>
      <c r="AE109" s="873"/>
      <c r="AF109" s="873"/>
      <c r="AG109" s="873"/>
      <c r="AH109" s="873"/>
      <c r="AI109" s="873"/>
      <c r="AJ109" s="403"/>
      <c r="AK109" s="403"/>
      <c r="AL109" s="873"/>
      <c r="AM109" s="873"/>
      <c r="AN109" s="403"/>
      <c r="AO109" s="403"/>
      <c r="AP109" s="394"/>
      <c r="AQ109" s="394"/>
      <c r="AR109" s="394"/>
      <c r="AS109" s="394"/>
      <c r="AT109" s="394"/>
      <c r="AU109" s="873"/>
      <c r="AV109" s="873"/>
      <c r="AW109" s="873"/>
      <c r="AX109" s="873"/>
      <c r="AY109" s="873"/>
      <c r="AZ109" s="873"/>
      <c r="BA109" s="394"/>
      <c r="BB109" s="873"/>
      <c r="BC109" s="873"/>
      <c r="BD109" s="873"/>
      <c r="BE109" s="873"/>
      <c r="BF109" s="873"/>
      <c r="BG109" s="873"/>
      <c r="BH109" s="873"/>
      <c r="BI109" s="873"/>
      <c r="BJ109" s="873"/>
      <c r="BK109" s="873"/>
      <c r="BL109" s="873"/>
      <c r="BM109" s="873"/>
      <c r="BN109" s="873"/>
      <c r="BO109" s="873"/>
      <c r="BP109" s="873"/>
      <c r="BQ109" s="873"/>
      <c r="BR109" s="873"/>
      <c r="BS109" s="873"/>
      <c r="BT109" s="873"/>
      <c r="BU109" s="873"/>
      <c r="BV109" s="873"/>
      <c r="BW109" s="873"/>
      <c r="BX109" s="873"/>
      <c r="BY109" s="873"/>
      <c r="BZ109" s="873"/>
      <c r="CA109" s="873"/>
      <c r="CB109" s="873"/>
      <c r="CC109" s="873"/>
      <c r="CD109" s="873"/>
      <c r="CE109" s="873"/>
      <c r="CF109" s="873"/>
      <c r="CG109" s="873"/>
      <c r="CH109" s="873"/>
      <c r="CI109" s="873"/>
      <c r="CJ109" s="873"/>
      <c r="CK109" s="873"/>
      <c r="CL109" s="873"/>
      <c r="CM109" s="873"/>
      <c r="CN109" s="873"/>
      <c r="CO109" s="873"/>
      <c r="CP109" s="873"/>
      <c r="CQ109" s="873"/>
      <c r="CR109" s="873"/>
      <c r="CS109" s="873"/>
      <c r="CT109" s="873"/>
      <c r="CU109" s="873"/>
      <c r="CV109" s="873"/>
      <c r="CW109" s="873"/>
      <c r="CX109" s="873"/>
      <c r="CY109" s="873"/>
      <c r="CZ109" s="873"/>
      <c r="DA109" s="873"/>
      <c r="DB109" s="873"/>
      <c r="DC109" s="873"/>
      <c r="DD109" s="873"/>
      <c r="DE109" s="873"/>
      <c r="DF109" s="873"/>
      <c r="DG109" s="873"/>
      <c r="DH109" s="873"/>
      <c r="DI109" s="873"/>
      <c r="DJ109" s="873"/>
      <c r="DK109" s="873"/>
      <c r="DL109" s="873"/>
      <c r="DM109" s="873"/>
      <c r="DN109" s="873"/>
      <c r="DO109" s="873"/>
      <c r="DP109" s="873"/>
      <c r="DQ109" s="873"/>
      <c r="DR109" s="873"/>
      <c r="DS109" s="873"/>
      <c r="DT109" s="873"/>
      <c r="DU109" s="873"/>
      <c r="DV109" s="873"/>
      <c r="DW109" s="873"/>
      <c r="DX109" s="873"/>
      <c r="DY109" s="873"/>
      <c r="DZ109" s="873"/>
      <c r="EA109" s="873"/>
      <c r="EB109" s="873"/>
      <c r="EC109" s="873"/>
      <c r="ED109" s="873"/>
      <c r="EE109" s="873"/>
      <c r="EF109" s="873"/>
      <c r="EG109" s="873"/>
      <c r="EH109" s="873"/>
      <c r="EI109" s="873"/>
      <c r="EJ109" s="873"/>
      <c r="EK109" s="873"/>
      <c r="EL109" s="873"/>
      <c r="EM109" s="873"/>
      <c r="EN109" s="873"/>
      <c r="EO109" s="873"/>
      <c r="EP109" s="873"/>
      <c r="EQ109" s="873"/>
      <c r="ER109" s="873"/>
      <c r="ES109" s="873"/>
      <c r="ET109" s="873"/>
      <c r="EU109" s="873"/>
      <c r="EV109" s="873"/>
      <c r="EW109" s="873"/>
      <c r="EX109" s="873"/>
      <c r="EY109" s="873"/>
      <c r="EZ109" s="873"/>
      <c r="FA109" s="873"/>
      <c r="FB109" s="873"/>
      <c r="FC109" s="873"/>
      <c r="FD109" s="873"/>
      <c r="FE109" s="873"/>
      <c r="FF109" s="873"/>
      <c r="FG109" s="873"/>
      <c r="FH109" s="873"/>
      <c r="FI109" s="873"/>
      <c r="FJ109" s="873"/>
      <c r="FK109" s="873"/>
      <c r="FL109" s="873"/>
      <c r="FM109" s="873"/>
      <c r="FN109" s="873"/>
      <c r="FO109" s="873"/>
      <c r="FP109" s="873"/>
      <c r="FQ109" s="873"/>
      <c r="FR109" s="873"/>
      <c r="FS109" s="873"/>
      <c r="FT109" s="873"/>
      <c r="FU109" s="873"/>
      <c r="FV109" s="873"/>
      <c r="FW109" s="873"/>
      <c r="FX109" s="873"/>
      <c r="FY109" s="873"/>
      <c r="FZ109" s="873"/>
      <c r="GA109" s="873"/>
      <c r="GB109" s="873"/>
      <c r="GC109" s="873"/>
      <c r="GD109" s="873"/>
      <c r="GE109" s="873"/>
      <c r="GF109" s="873"/>
      <c r="GG109" s="873"/>
      <c r="GH109" s="873"/>
      <c r="GI109" s="873"/>
      <c r="GJ109" s="873"/>
      <c r="GK109" s="873"/>
      <c r="GL109" s="873"/>
      <c r="GM109" s="873"/>
      <c r="GN109" s="873"/>
      <c r="GO109" s="873"/>
      <c r="GP109" s="873"/>
      <c r="GQ109" s="873"/>
      <c r="GR109" s="873"/>
      <c r="GS109" s="873"/>
      <c r="GT109" s="873"/>
      <c r="GU109" s="873"/>
      <c r="GV109" s="873"/>
      <c r="GW109" s="873"/>
      <c r="GX109" s="873"/>
      <c r="GY109" s="873"/>
      <c r="GZ109" s="873"/>
      <c r="HA109" s="873"/>
      <c r="HB109" s="873"/>
      <c r="HC109" s="873"/>
      <c r="HD109" s="873"/>
      <c r="HE109" s="873"/>
      <c r="HF109" s="873"/>
      <c r="HG109" s="873"/>
      <c r="HH109" s="873"/>
      <c r="HI109" s="873"/>
      <c r="HJ109" s="873"/>
      <c r="HK109" s="873"/>
      <c r="HL109" s="873"/>
      <c r="HM109" s="873"/>
      <c r="HN109" s="873"/>
      <c r="HO109" s="873"/>
      <c r="HP109" s="873"/>
      <c r="HQ109" s="873"/>
      <c r="HR109" s="873"/>
      <c r="HS109" s="873"/>
      <c r="HT109" s="873"/>
      <c r="HU109" s="873"/>
      <c r="HV109" s="873"/>
      <c r="HW109" s="873"/>
      <c r="HX109" s="873"/>
      <c r="HY109" s="873"/>
      <c r="HZ109" s="873"/>
      <c r="IA109" s="873"/>
      <c r="IB109" s="873"/>
      <c r="IC109" s="873"/>
      <c r="ID109" s="873"/>
      <c r="IE109" s="873"/>
      <c r="IF109" s="873"/>
      <c r="IG109" s="873"/>
      <c r="IH109" s="873"/>
      <c r="II109" s="873"/>
      <c r="IJ109" s="873"/>
      <c r="IK109" s="873"/>
      <c r="IL109" s="873"/>
      <c r="IM109" s="873"/>
      <c r="IN109" s="873"/>
      <c r="IO109" s="873"/>
      <c r="IP109" s="873"/>
      <c r="IQ109" s="873"/>
      <c r="IR109" s="873"/>
      <c r="IS109" s="873"/>
      <c r="IT109" s="873"/>
      <c r="IU109" s="873"/>
      <c r="IV109" s="873"/>
      <c r="IW109" s="873"/>
      <c r="IX109" s="873"/>
      <c r="IY109" s="873"/>
      <c r="IZ109" s="873"/>
      <c r="JA109" s="873"/>
      <c r="JB109" s="873"/>
      <c r="JC109" s="873"/>
      <c r="JD109" s="873"/>
      <c r="JE109" s="873"/>
      <c r="JF109" s="873"/>
      <c r="JG109" s="873"/>
      <c r="JH109" s="873"/>
      <c r="JI109" s="873"/>
      <c r="JJ109" s="873"/>
      <c r="JK109" s="873"/>
      <c r="JL109" s="873"/>
      <c r="JM109" s="873"/>
      <c r="JN109" s="873"/>
      <c r="JO109" s="873"/>
      <c r="JP109" s="873"/>
      <c r="JQ109" s="873"/>
      <c r="JR109" s="873"/>
      <c r="JS109" s="873"/>
      <c r="JT109" s="873"/>
      <c r="JU109" s="873"/>
      <c r="JV109" s="402"/>
    </row>
    <row r="110" spans="1:282">
      <c r="A110" s="672"/>
      <c r="B110" s="408"/>
      <c r="C110" s="873"/>
      <c r="D110" s="888"/>
      <c r="E110" s="671"/>
      <c r="F110" s="873"/>
      <c r="G110" s="873"/>
      <c r="H110" s="873"/>
      <c r="I110" s="873"/>
      <c r="J110" s="873"/>
      <c r="K110" s="873"/>
      <c r="L110" s="873"/>
      <c r="M110" s="873"/>
      <c r="N110" s="873"/>
      <c r="O110" s="873"/>
      <c r="P110" s="873"/>
      <c r="Q110" s="873"/>
      <c r="R110" s="873"/>
      <c r="S110" s="873"/>
      <c r="T110" s="873"/>
      <c r="U110" s="873"/>
      <c r="V110" s="873"/>
      <c r="W110" s="873"/>
      <c r="X110" s="873"/>
      <c r="Y110" s="873"/>
      <c r="Z110" s="873"/>
      <c r="AA110" s="394"/>
      <c r="AB110" s="873"/>
      <c r="AC110" s="394"/>
      <c r="AD110" s="873"/>
      <c r="AE110" s="873"/>
      <c r="AF110" s="873"/>
      <c r="AG110" s="873"/>
      <c r="AH110" s="873"/>
      <c r="AI110" s="873"/>
      <c r="AJ110" s="403"/>
      <c r="AK110" s="403"/>
      <c r="AL110" s="873"/>
      <c r="AM110" s="873"/>
      <c r="AN110" s="403"/>
      <c r="AO110" s="403"/>
      <c r="AP110" s="394"/>
      <c r="AQ110" s="394"/>
      <c r="AR110" s="394"/>
      <c r="AS110" s="394"/>
      <c r="AT110" s="394"/>
      <c r="AU110" s="873"/>
      <c r="AV110" s="873"/>
      <c r="AW110" s="873"/>
      <c r="AX110" s="873"/>
      <c r="AY110" s="873"/>
      <c r="AZ110" s="873"/>
      <c r="BA110" s="394"/>
      <c r="BB110" s="873"/>
      <c r="BC110" s="873"/>
      <c r="BD110" s="873"/>
      <c r="BE110" s="873"/>
      <c r="BF110" s="873"/>
      <c r="BG110" s="873"/>
      <c r="BH110" s="873"/>
      <c r="BI110" s="873"/>
      <c r="BJ110" s="873"/>
      <c r="BK110" s="873"/>
      <c r="BL110" s="873"/>
      <c r="BM110" s="873"/>
      <c r="BN110" s="873"/>
      <c r="BO110" s="873"/>
      <c r="BP110" s="873"/>
      <c r="BQ110" s="873"/>
      <c r="BR110" s="873"/>
      <c r="BS110" s="873"/>
      <c r="BT110" s="873"/>
      <c r="BU110" s="873"/>
      <c r="BV110" s="873"/>
      <c r="BW110" s="873"/>
      <c r="BX110" s="873"/>
      <c r="BY110" s="873"/>
      <c r="BZ110" s="873"/>
      <c r="CA110" s="873"/>
      <c r="CB110" s="873"/>
      <c r="CC110" s="873"/>
      <c r="CD110" s="873"/>
      <c r="CE110" s="873"/>
      <c r="CF110" s="873"/>
      <c r="CG110" s="873"/>
      <c r="CH110" s="873"/>
      <c r="CI110" s="873"/>
      <c r="CJ110" s="873"/>
      <c r="CK110" s="873"/>
      <c r="CL110" s="873"/>
      <c r="CM110" s="873"/>
      <c r="CN110" s="873"/>
      <c r="CO110" s="873"/>
      <c r="CP110" s="873"/>
      <c r="CQ110" s="873"/>
      <c r="CR110" s="873"/>
      <c r="CS110" s="873"/>
      <c r="CT110" s="873"/>
      <c r="CU110" s="873"/>
      <c r="CV110" s="873"/>
      <c r="CW110" s="873"/>
      <c r="CX110" s="873"/>
      <c r="CY110" s="873"/>
      <c r="CZ110" s="873"/>
      <c r="DA110" s="873"/>
      <c r="DB110" s="873"/>
      <c r="DC110" s="873"/>
      <c r="DD110" s="873"/>
      <c r="DE110" s="873"/>
      <c r="DF110" s="873"/>
      <c r="DG110" s="873"/>
      <c r="DH110" s="873"/>
      <c r="DI110" s="873"/>
      <c r="DJ110" s="873"/>
      <c r="DK110" s="873"/>
      <c r="DL110" s="873"/>
      <c r="DM110" s="873"/>
      <c r="DN110" s="873"/>
      <c r="DO110" s="873"/>
      <c r="DP110" s="873"/>
      <c r="DQ110" s="873"/>
      <c r="DR110" s="873"/>
      <c r="DS110" s="873"/>
      <c r="DT110" s="873"/>
      <c r="DU110" s="873"/>
      <c r="DV110" s="873"/>
      <c r="DW110" s="873"/>
      <c r="DX110" s="873"/>
      <c r="DY110" s="873"/>
      <c r="DZ110" s="873"/>
      <c r="EA110" s="873"/>
      <c r="EB110" s="873"/>
      <c r="EC110" s="873"/>
      <c r="ED110" s="873"/>
      <c r="EE110" s="873"/>
      <c r="EF110" s="873"/>
      <c r="EG110" s="873"/>
      <c r="EH110" s="873"/>
      <c r="EI110" s="873"/>
      <c r="EJ110" s="873"/>
      <c r="EK110" s="873"/>
      <c r="EL110" s="873"/>
      <c r="EM110" s="873"/>
      <c r="EN110" s="873"/>
      <c r="EO110" s="873"/>
      <c r="EP110" s="873"/>
      <c r="EQ110" s="873"/>
      <c r="ER110" s="873"/>
      <c r="ES110" s="873"/>
      <c r="ET110" s="873"/>
      <c r="EU110" s="873"/>
      <c r="EV110" s="873"/>
      <c r="EW110" s="873"/>
      <c r="EX110" s="873"/>
      <c r="EY110" s="873"/>
      <c r="EZ110" s="873"/>
      <c r="FA110" s="873"/>
      <c r="FB110" s="873"/>
      <c r="FC110" s="873"/>
      <c r="FD110" s="873"/>
      <c r="FE110" s="873"/>
      <c r="FF110" s="873"/>
      <c r="FG110" s="873"/>
      <c r="FH110" s="873"/>
      <c r="FI110" s="873"/>
      <c r="FJ110" s="873"/>
      <c r="FK110" s="873"/>
      <c r="FL110" s="873"/>
      <c r="FM110" s="873"/>
      <c r="FN110" s="873"/>
      <c r="FO110" s="873"/>
      <c r="FP110" s="873"/>
      <c r="FQ110" s="873"/>
      <c r="FR110" s="873"/>
      <c r="FS110" s="873"/>
      <c r="FT110" s="873"/>
      <c r="FU110" s="873"/>
      <c r="FV110" s="873"/>
      <c r="FW110" s="873"/>
      <c r="FX110" s="873"/>
      <c r="FY110" s="873"/>
      <c r="FZ110" s="873"/>
      <c r="GA110" s="873"/>
      <c r="GB110" s="873"/>
      <c r="GC110" s="873"/>
      <c r="GD110" s="873"/>
      <c r="GE110" s="873"/>
      <c r="GF110" s="873"/>
      <c r="GG110" s="873"/>
      <c r="GH110" s="873"/>
      <c r="GI110" s="873"/>
      <c r="GJ110" s="873"/>
      <c r="GK110" s="873"/>
      <c r="GL110" s="873"/>
      <c r="GM110" s="873"/>
      <c r="GN110" s="873"/>
      <c r="GO110" s="873"/>
      <c r="GP110" s="873"/>
      <c r="GQ110" s="873"/>
      <c r="GR110" s="873"/>
      <c r="GS110" s="873"/>
      <c r="GT110" s="873"/>
      <c r="GU110" s="873"/>
      <c r="GV110" s="873"/>
      <c r="GW110" s="873"/>
      <c r="GX110" s="873"/>
      <c r="GY110" s="873"/>
      <c r="GZ110" s="873"/>
      <c r="HA110" s="873"/>
      <c r="HB110" s="873"/>
      <c r="HC110" s="873"/>
      <c r="HD110" s="873"/>
      <c r="HE110" s="873"/>
      <c r="HF110" s="873"/>
      <c r="HG110" s="873"/>
      <c r="HH110" s="873"/>
      <c r="HI110" s="873"/>
      <c r="HJ110" s="873"/>
      <c r="HK110" s="873"/>
      <c r="HL110" s="873"/>
      <c r="HM110" s="873"/>
      <c r="HN110" s="873"/>
      <c r="HO110" s="873"/>
      <c r="HP110" s="873"/>
      <c r="HQ110" s="873"/>
      <c r="HR110" s="873"/>
      <c r="HS110" s="873"/>
      <c r="HT110" s="873"/>
      <c r="HU110" s="873"/>
      <c r="HV110" s="873"/>
      <c r="HW110" s="873"/>
      <c r="HX110" s="873"/>
      <c r="HY110" s="873"/>
      <c r="HZ110" s="873"/>
      <c r="IA110" s="873"/>
      <c r="IB110" s="873"/>
      <c r="IC110" s="873"/>
      <c r="ID110" s="873"/>
      <c r="IE110" s="873"/>
      <c r="IF110" s="873"/>
      <c r="IG110" s="873"/>
      <c r="IH110" s="873"/>
      <c r="II110" s="873"/>
      <c r="IJ110" s="873"/>
      <c r="IK110" s="873"/>
      <c r="IL110" s="873"/>
      <c r="IM110" s="873"/>
      <c r="IN110" s="873"/>
      <c r="IO110" s="873"/>
      <c r="IP110" s="873"/>
      <c r="IQ110" s="873"/>
      <c r="IR110" s="873"/>
      <c r="IS110" s="873"/>
      <c r="IT110" s="873"/>
      <c r="IU110" s="873"/>
      <c r="IV110" s="873"/>
      <c r="IW110" s="873"/>
      <c r="IX110" s="873"/>
      <c r="IY110" s="873"/>
      <c r="IZ110" s="873"/>
      <c r="JA110" s="873"/>
      <c r="JB110" s="873"/>
      <c r="JC110" s="873"/>
      <c r="JD110" s="873"/>
      <c r="JE110" s="873"/>
      <c r="JF110" s="873"/>
      <c r="JG110" s="873"/>
      <c r="JH110" s="873"/>
      <c r="JI110" s="873"/>
      <c r="JJ110" s="873"/>
      <c r="JK110" s="873"/>
      <c r="JL110" s="873"/>
      <c r="JM110" s="873"/>
      <c r="JN110" s="873"/>
      <c r="JO110" s="873"/>
      <c r="JP110" s="873"/>
      <c r="JQ110" s="873"/>
      <c r="JR110" s="873"/>
      <c r="JS110" s="873"/>
      <c r="JT110" s="873"/>
      <c r="JU110" s="873"/>
      <c r="JV110" s="402"/>
    </row>
    <row r="111" spans="1:282">
      <c r="A111" s="672"/>
      <c r="B111" s="408"/>
      <c r="C111" s="873"/>
      <c r="D111" s="888"/>
      <c r="E111" s="671"/>
      <c r="F111" s="873"/>
      <c r="G111" s="873"/>
      <c r="H111" s="873"/>
      <c r="I111" s="873"/>
      <c r="J111" s="873"/>
      <c r="K111" s="873"/>
      <c r="L111" s="873"/>
      <c r="M111" s="873"/>
      <c r="N111" s="873"/>
      <c r="O111" s="873"/>
      <c r="P111" s="873"/>
      <c r="Q111" s="873"/>
      <c r="R111" s="873"/>
      <c r="S111" s="873"/>
      <c r="T111" s="873"/>
      <c r="U111" s="873"/>
      <c r="V111" s="873"/>
      <c r="W111" s="873"/>
      <c r="X111" s="873"/>
      <c r="Y111" s="873"/>
      <c r="Z111" s="873"/>
      <c r="AA111" s="394"/>
      <c r="AB111" s="873"/>
      <c r="AC111" s="394"/>
      <c r="AD111" s="873"/>
      <c r="AE111" s="873"/>
      <c r="AF111" s="873"/>
      <c r="AG111" s="873"/>
      <c r="AH111" s="873"/>
      <c r="AI111" s="873"/>
      <c r="AJ111" s="403"/>
      <c r="AK111" s="403"/>
      <c r="AL111" s="873"/>
      <c r="AM111" s="873"/>
      <c r="AN111" s="403"/>
      <c r="AO111" s="403"/>
      <c r="AP111" s="394"/>
      <c r="AQ111" s="394"/>
      <c r="AR111" s="394"/>
      <c r="AS111" s="394"/>
      <c r="AT111" s="394"/>
      <c r="AU111" s="873"/>
      <c r="AV111" s="873"/>
      <c r="AW111" s="873"/>
      <c r="AX111" s="873"/>
      <c r="AY111" s="873"/>
      <c r="AZ111" s="873"/>
      <c r="BA111" s="394"/>
      <c r="BB111" s="873"/>
      <c r="BC111" s="873"/>
      <c r="BD111" s="873"/>
      <c r="BE111" s="873"/>
      <c r="BF111" s="873"/>
      <c r="BG111" s="873"/>
      <c r="BH111" s="873"/>
      <c r="BI111" s="873"/>
      <c r="BJ111" s="873"/>
      <c r="BK111" s="873"/>
      <c r="BL111" s="873"/>
      <c r="BM111" s="873"/>
      <c r="BN111" s="873"/>
      <c r="BO111" s="873"/>
      <c r="BP111" s="873"/>
      <c r="BQ111" s="873"/>
      <c r="BR111" s="873"/>
      <c r="BS111" s="873"/>
      <c r="BT111" s="873"/>
      <c r="BU111" s="873"/>
      <c r="BV111" s="873"/>
      <c r="BW111" s="873"/>
      <c r="BX111" s="873"/>
      <c r="BY111" s="873"/>
      <c r="BZ111" s="873"/>
      <c r="CA111" s="873"/>
      <c r="CB111" s="873"/>
      <c r="CC111" s="873"/>
      <c r="CD111" s="873"/>
      <c r="CE111" s="873"/>
      <c r="CF111" s="873"/>
      <c r="CG111" s="873"/>
      <c r="CH111" s="873"/>
      <c r="CI111" s="873"/>
      <c r="CJ111" s="873"/>
      <c r="CK111" s="873"/>
      <c r="CL111" s="873"/>
      <c r="CM111" s="873"/>
      <c r="CN111" s="873"/>
      <c r="CO111" s="873"/>
      <c r="CP111" s="873"/>
      <c r="CQ111" s="873"/>
      <c r="CR111" s="873"/>
      <c r="CS111" s="873"/>
      <c r="CT111" s="873"/>
      <c r="CU111" s="873"/>
      <c r="CV111" s="873"/>
      <c r="CW111" s="873"/>
      <c r="CX111" s="873"/>
      <c r="CY111" s="873"/>
      <c r="CZ111" s="873"/>
      <c r="DA111" s="873"/>
      <c r="DB111" s="873"/>
      <c r="DC111" s="873"/>
      <c r="DD111" s="873"/>
      <c r="DE111" s="873"/>
      <c r="DF111" s="873"/>
      <c r="DG111" s="873"/>
      <c r="DH111" s="873"/>
      <c r="DI111" s="873"/>
      <c r="DJ111" s="873"/>
      <c r="DK111" s="873"/>
      <c r="DL111" s="873"/>
      <c r="DM111" s="873"/>
      <c r="DN111" s="873"/>
      <c r="DO111" s="873"/>
      <c r="DP111" s="873"/>
      <c r="DQ111" s="873"/>
      <c r="DR111" s="873"/>
      <c r="DS111" s="873"/>
      <c r="DT111" s="873"/>
      <c r="DU111" s="873"/>
      <c r="DV111" s="873"/>
      <c r="DW111" s="873"/>
      <c r="DX111" s="873"/>
      <c r="DY111" s="873"/>
      <c r="DZ111" s="873"/>
      <c r="EA111" s="873"/>
      <c r="EB111" s="873"/>
      <c r="EC111" s="873"/>
      <c r="ED111" s="873"/>
      <c r="EE111" s="873"/>
      <c r="EF111" s="873"/>
      <c r="EG111" s="873"/>
      <c r="EH111" s="873"/>
      <c r="EI111" s="873"/>
      <c r="EJ111" s="873"/>
      <c r="EK111" s="873"/>
      <c r="EL111" s="873"/>
      <c r="EM111" s="873"/>
      <c r="EN111" s="873"/>
      <c r="EO111" s="873"/>
      <c r="EP111" s="873"/>
      <c r="EQ111" s="873"/>
      <c r="ER111" s="873"/>
      <c r="ES111" s="873"/>
      <c r="ET111" s="873"/>
      <c r="EU111" s="873"/>
      <c r="EV111" s="873"/>
      <c r="EW111" s="873"/>
      <c r="EX111" s="873"/>
      <c r="EY111" s="873"/>
      <c r="EZ111" s="873"/>
      <c r="FA111" s="873"/>
      <c r="FB111" s="873"/>
      <c r="FC111" s="873"/>
      <c r="FD111" s="873"/>
      <c r="FE111" s="873"/>
      <c r="FF111" s="873"/>
      <c r="FG111" s="873"/>
      <c r="FH111" s="873"/>
      <c r="FI111" s="873"/>
      <c r="FJ111" s="873"/>
      <c r="FK111" s="873"/>
      <c r="FL111" s="873"/>
      <c r="FM111" s="873"/>
      <c r="FN111" s="873"/>
      <c r="FO111" s="873"/>
      <c r="FP111" s="873"/>
      <c r="FQ111" s="873"/>
      <c r="FR111" s="873"/>
      <c r="FS111" s="873"/>
      <c r="FT111" s="873"/>
      <c r="FU111" s="873"/>
      <c r="FV111" s="873"/>
      <c r="FW111" s="873"/>
      <c r="FX111" s="873"/>
      <c r="FY111" s="873"/>
      <c r="FZ111" s="873"/>
      <c r="GA111" s="873"/>
      <c r="GB111" s="873"/>
      <c r="GC111" s="873"/>
      <c r="GD111" s="873"/>
      <c r="GE111" s="873"/>
      <c r="GF111" s="873"/>
      <c r="GG111" s="873"/>
      <c r="GH111" s="873"/>
      <c r="GI111" s="873"/>
      <c r="GJ111" s="873"/>
      <c r="GK111" s="873"/>
      <c r="GL111" s="873"/>
      <c r="GM111" s="873"/>
      <c r="GN111" s="873"/>
      <c r="GO111" s="873"/>
      <c r="GP111" s="873"/>
      <c r="GQ111" s="873"/>
      <c r="GR111" s="873"/>
      <c r="GS111" s="873"/>
      <c r="GT111" s="873"/>
      <c r="GU111" s="873"/>
      <c r="GV111" s="873"/>
      <c r="GW111" s="873"/>
      <c r="GX111" s="873"/>
      <c r="GY111" s="873"/>
      <c r="GZ111" s="873"/>
      <c r="HA111" s="873"/>
      <c r="HB111" s="873"/>
      <c r="HC111" s="873"/>
      <c r="HD111" s="873"/>
      <c r="HE111" s="873"/>
      <c r="HF111" s="873"/>
      <c r="HG111" s="873"/>
      <c r="HH111" s="873"/>
      <c r="HI111" s="873"/>
      <c r="HJ111" s="873"/>
      <c r="HK111" s="873"/>
      <c r="HL111" s="873"/>
      <c r="HM111" s="873"/>
      <c r="HN111" s="873"/>
      <c r="HO111" s="873"/>
      <c r="HP111" s="873"/>
      <c r="HQ111" s="873"/>
      <c r="HR111" s="873"/>
      <c r="HS111" s="873"/>
      <c r="HT111" s="873"/>
      <c r="HU111" s="873"/>
      <c r="HV111" s="873"/>
      <c r="HW111" s="873"/>
      <c r="HX111" s="873"/>
      <c r="HY111" s="873"/>
      <c r="HZ111" s="873"/>
      <c r="IA111" s="873"/>
      <c r="IB111" s="873"/>
      <c r="IC111" s="873"/>
      <c r="ID111" s="873"/>
      <c r="IE111" s="873"/>
      <c r="IF111" s="873"/>
      <c r="IG111" s="873"/>
      <c r="IH111" s="873"/>
      <c r="II111" s="873"/>
      <c r="IJ111" s="873"/>
      <c r="IK111" s="873"/>
      <c r="IL111" s="873"/>
      <c r="IM111" s="873"/>
      <c r="IN111" s="873"/>
      <c r="IO111" s="873"/>
      <c r="IP111" s="873"/>
      <c r="IQ111" s="873"/>
      <c r="IR111" s="873"/>
      <c r="IS111" s="873"/>
      <c r="IT111" s="873"/>
      <c r="IU111" s="873"/>
      <c r="IV111" s="873"/>
      <c r="IW111" s="873"/>
      <c r="IX111" s="873"/>
      <c r="IY111" s="873"/>
      <c r="IZ111" s="873"/>
      <c r="JA111" s="873"/>
      <c r="JB111" s="873"/>
      <c r="JC111" s="873"/>
      <c r="JD111" s="873"/>
      <c r="JE111" s="873"/>
      <c r="JF111" s="873"/>
      <c r="JG111" s="873"/>
      <c r="JH111" s="873"/>
      <c r="JI111" s="873"/>
      <c r="JJ111" s="873"/>
      <c r="JK111" s="873"/>
      <c r="JL111" s="873"/>
      <c r="JM111" s="873"/>
      <c r="JN111" s="873"/>
      <c r="JO111" s="873"/>
      <c r="JP111" s="873"/>
      <c r="JQ111" s="873"/>
      <c r="JR111" s="873"/>
      <c r="JS111" s="873"/>
      <c r="JT111" s="873"/>
      <c r="JU111" s="873"/>
      <c r="JV111" s="402"/>
    </row>
    <row r="112" spans="1:282">
      <c r="A112" s="672"/>
      <c r="B112" s="408"/>
      <c r="C112" s="873"/>
      <c r="D112" s="888"/>
      <c r="E112" s="671"/>
      <c r="F112" s="873"/>
      <c r="G112" s="873"/>
      <c r="H112" s="873"/>
      <c r="I112" s="873"/>
      <c r="J112" s="873"/>
      <c r="K112" s="873"/>
      <c r="L112" s="873"/>
      <c r="M112" s="873"/>
      <c r="N112" s="873"/>
      <c r="O112" s="873"/>
      <c r="P112" s="873"/>
      <c r="Q112" s="873"/>
      <c r="R112" s="873"/>
      <c r="S112" s="873"/>
      <c r="T112" s="873"/>
      <c r="U112" s="873"/>
      <c r="V112" s="873"/>
      <c r="W112" s="873"/>
      <c r="X112" s="873"/>
      <c r="Y112" s="873"/>
      <c r="Z112" s="873"/>
      <c r="AA112" s="394"/>
      <c r="AB112" s="873"/>
      <c r="AC112" s="394"/>
      <c r="AD112" s="873"/>
      <c r="AE112" s="873"/>
      <c r="AF112" s="873"/>
      <c r="AG112" s="873"/>
      <c r="AH112" s="873"/>
      <c r="AI112" s="873"/>
      <c r="AJ112" s="403"/>
      <c r="AK112" s="403"/>
      <c r="AL112" s="873"/>
      <c r="AM112" s="873"/>
      <c r="AN112" s="403"/>
      <c r="AO112" s="403"/>
      <c r="AP112" s="394"/>
      <c r="AQ112" s="394"/>
      <c r="AR112" s="394"/>
      <c r="AS112" s="394"/>
      <c r="AT112" s="394"/>
      <c r="AU112" s="873"/>
      <c r="AV112" s="873"/>
      <c r="AW112" s="873"/>
      <c r="AX112" s="873"/>
      <c r="AY112" s="873"/>
      <c r="AZ112" s="873"/>
      <c r="BA112" s="394"/>
      <c r="BB112" s="873"/>
      <c r="BC112" s="873"/>
      <c r="BD112" s="873"/>
      <c r="BE112" s="873"/>
      <c r="BF112" s="873"/>
      <c r="BG112" s="873"/>
      <c r="BH112" s="873"/>
      <c r="BI112" s="873"/>
      <c r="BJ112" s="873"/>
      <c r="BK112" s="873"/>
      <c r="BL112" s="873"/>
      <c r="BM112" s="873"/>
      <c r="BN112" s="873"/>
      <c r="BO112" s="873"/>
      <c r="BP112" s="873"/>
      <c r="BQ112" s="873"/>
      <c r="BR112" s="873"/>
      <c r="BS112" s="873"/>
      <c r="BT112" s="873"/>
      <c r="BU112" s="873"/>
      <c r="BV112" s="873"/>
      <c r="BW112" s="873"/>
      <c r="BX112" s="873"/>
      <c r="BY112" s="873"/>
      <c r="BZ112" s="873"/>
      <c r="CA112" s="873"/>
      <c r="CB112" s="873"/>
      <c r="CC112" s="873"/>
      <c r="CD112" s="873"/>
      <c r="CE112" s="873"/>
      <c r="CF112" s="873"/>
      <c r="CG112" s="873"/>
      <c r="CH112" s="873"/>
      <c r="CI112" s="873"/>
      <c r="CJ112" s="873"/>
      <c r="CK112" s="873"/>
      <c r="CL112" s="873"/>
      <c r="CM112" s="873"/>
      <c r="CN112" s="873"/>
      <c r="CO112" s="873"/>
      <c r="CP112" s="873"/>
      <c r="CQ112" s="873"/>
      <c r="CR112" s="873"/>
      <c r="CS112" s="873"/>
      <c r="CT112" s="873"/>
      <c r="CU112" s="873"/>
      <c r="CV112" s="873"/>
      <c r="CW112" s="873"/>
      <c r="CX112" s="873"/>
      <c r="CY112" s="873"/>
      <c r="CZ112" s="873"/>
      <c r="DA112" s="873"/>
      <c r="DB112" s="873"/>
      <c r="DC112" s="873"/>
      <c r="DD112" s="873"/>
      <c r="DE112" s="873"/>
      <c r="DF112" s="873"/>
      <c r="DG112" s="873"/>
      <c r="DH112" s="873"/>
      <c r="DI112" s="873"/>
      <c r="DJ112" s="873"/>
      <c r="DK112" s="873"/>
      <c r="DL112" s="873"/>
      <c r="DM112" s="873"/>
      <c r="DN112" s="873"/>
      <c r="DO112" s="873"/>
      <c r="DP112" s="873"/>
      <c r="DQ112" s="873"/>
      <c r="DR112" s="873"/>
      <c r="DS112" s="873"/>
      <c r="DT112" s="873"/>
      <c r="DU112" s="873"/>
      <c r="DV112" s="873"/>
      <c r="DW112" s="873"/>
      <c r="DX112" s="873"/>
      <c r="DY112" s="873"/>
      <c r="DZ112" s="873"/>
      <c r="EA112" s="873"/>
      <c r="EB112" s="873"/>
      <c r="EC112" s="873"/>
      <c r="ED112" s="873"/>
      <c r="EE112" s="873"/>
      <c r="EF112" s="873"/>
      <c r="EG112" s="873"/>
      <c r="EH112" s="873"/>
      <c r="EI112" s="873"/>
      <c r="EJ112" s="873"/>
      <c r="EK112" s="873"/>
      <c r="EL112" s="873"/>
      <c r="EM112" s="873"/>
      <c r="EN112" s="873"/>
      <c r="EO112" s="873"/>
      <c r="EP112" s="873"/>
      <c r="EQ112" s="873"/>
      <c r="ER112" s="873"/>
      <c r="ES112" s="873"/>
      <c r="ET112" s="873"/>
      <c r="EU112" s="873"/>
      <c r="EV112" s="873"/>
      <c r="EW112" s="873"/>
      <c r="EX112" s="873"/>
      <c r="EY112" s="873"/>
      <c r="EZ112" s="873"/>
      <c r="FA112" s="873"/>
      <c r="FB112" s="873"/>
      <c r="FC112" s="873"/>
      <c r="FD112" s="873"/>
      <c r="FE112" s="873"/>
      <c r="FF112" s="873"/>
      <c r="FG112" s="873"/>
      <c r="FH112" s="873"/>
      <c r="FI112" s="873"/>
      <c r="FJ112" s="873"/>
      <c r="FK112" s="873"/>
      <c r="FL112" s="873"/>
      <c r="FM112" s="873"/>
      <c r="FN112" s="873"/>
      <c r="FO112" s="873"/>
      <c r="FP112" s="873"/>
      <c r="FQ112" s="873"/>
      <c r="FR112" s="873"/>
      <c r="FS112" s="873"/>
      <c r="FT112" s="873"/>
      <c r="FU112" s="873"/>
      <c r="FV112" s="873"/>
      <c r="FW112" s="873"/>
      <c r="FX112" s="873"/>
      <c r="FY112" s="873"/>
      <c r="FZ112" s="873"/>
      <c r="GA112" s="873"/>
      <c r="GB112" s="873"/>
      <c r="GC112" s="873"/>
      <c r="GD112" s="873"/>
      <c r="GE112" s="873"/>
      <c r="GF112" s="873"/>
      <c r="GG112" s="873"/>
      <c r="GH112" s="873"/>
      <c r="GI112" s="873"/>
      <c r="GJ112" s="873"/>
      <c r="GK112" s="873"/>
      <c r="GL112" s="873"/>
      <c r="GM112" s="873"/>
      <c r="GN112" s="873"/>
      <c r="GO112" s="873"/>
      <c r="GP112" s="873"/>
      <c r="GQ112" s="873"/>
      <c r="GR112" s="873"/>
      <c r="GS112" s="873"/>
      <c r="GT112" s="873"/>
      <c r="GU112" s="873"/>
      <c r="GV112" s="873"/>
      <c r="GW112" s="873"/>
      <c r="GX112" s="873"/>
      <c r="GY112" s="873"/>
      <c r="GZ112" s="873"/>
      <c r="HA112" s="873"/>
      <c r="HB112" s="873"/>
      <c r="HC112" s="873"/>
      <c r="HD112" s="873"/>
      <c r="HE112" s="873"/>
      <c r="HF112" s="873"/>
      <c r="HG112" s="873"/>
      <c r="HH112" s="873"/>
      <c r="HI112" s="873"/>
      <c r="HJ112" s="873"/>
      <c r="HK112" s="873"/>
      <c r="HL112" s="873"/>
      <c r="HM112" s="873"/>
      <c r="HN112" s="873"/>
      <c r="HO112" s="873"/>
      <c r="HP112" s="873"/>
      <c r="HQ112" s="873"/>
      <c r="HR112" s="873"/>
      <c r="HS112" s="873"/>
      <c r="HT112" s="873"/>
      <c r="HU112" s="873"/>
      <c r="HV112" s="873"/>
      <c r="HW112" s="873"/>
      <c r="HX112" s="873"/>
      <c r="HY112" s="873"/>
      <c r="HZ112" s="873"/>
      <c r="IA112" s="873"/>
      <c r="IB112" s="873"/>
      <c r="IC112" s="873"/>
      <c r="ID112" s="873"/>
      <c r="IE112" s="873"/>
      <c r="IF112" s="873"/>
      <c r="IG112" s="873"/>
      <c r="IH112" s="873"/>
      <c r="II112" s="873"/>
      <c r="IJ112" s="873"/>
      <c r="IK112" s="873"/>
      <c r="IL112" s="873"/>
      <c r="IM112" s="873"/>
      <c r="IN112" s="873"/>
      <c r="IO112" s="873"/>
      <c r="IP112" s="873"/>
      <c r="IQ112" s="873"/>
      <c r="IR112" s="873"/>
      <c r="IS112" s="873"/>
      <c r="IT112" s="873"/>
      <c r="IU112" s="873"/>
      <c r="IV112" s="873"/>
      <c r="IW112" s="873"/>
      <c r="IX112" s="873"/>
      <c r="IY112" s="873"/>
      <c r="IZ112" s="873"/>
      <c r="JA112" s="873"/>
      <c r="JB112" s="873"/>
      <c r="JC112" s="873"/>
      <c r="JD112" s="873"/>
      <c r="JE112" s="873"/>
      <c r="JF112" s="873"/>
      <c r="JG112" s="873"/>
      <c r="JH112" s="873"/>
      <c r="JI112" s="873"/>
      <c r="JJ112" s="873"/>
      <c r="JK112" s="873"/>
      <c r="JL112" s="873"/>
      <c r="JM112" s="873"/>
      <c r="JN112" s="873"/>
      <c r="JO112" s="873"/>
      <c r="JP112" s="873"/>
      <c r="JQ112" s="873"/>
      <c r="JR112" s="873"/>
      <c r="JS112" s="873"/>
      <c r="JT112" s="873"/>
      <c r="JU112" s="873"/>
      <c r="JV112" s="402"/>
    </row>
    <row r="113" spans="1:282">
      <c r="A113" s="672"/>
      <c r="B113" s="408"/>
      <c r="C113" s="873"/>
      <c r="D113" s="888"/>
      <c r="E113" s="671"/>
      <c r="F113" s="873"/>
      <c r="G113" s="873"/>
      <c r="H113" s="873"/>
      <c r="I113" s="873"/>
      <c r="J113" s="873"/>
      <c r="K113" s="873"/>
      <c r="L113" s="873"/>
      <c r="M113" s="873"/>
      <c r="N113" s="873"/>
      <c r="O113" s="873"/>
      <c r="P113" s="873"/>
      <c r="Q113" s="873"/>
      <c r="R113" s="873"/>
      <c r="S113" s="873"/>
      <c r="T113" s="873"/>
      <c r="U113" s="873"/>
      <c r="V113" s="873"/>
      <c r="W113" s="873"/>
      <c r="X113" s="873"/>
      <c r="Y113" s="873"/>
      <c r="Z113" s="873"/>
      <c r="AA113" s="394"/>
      <c r="AB113" s="873"/>
      <c r="AC113" s="394"/>
      <c r="AD113" s="873"/>
      <c r="AE113" s="873"/>
      <c r="AF113" s="873"/>
      <c r="AG113" s="873"/>
      <c r="AH113" s="873"/>
      <c r="AI113" s="873"/>
      <c r="AJ113" s="403"/>
      <c r="AK113" s="403"/>
      <c r="AL113" s="873"/>
      <c r="AM113" s="873"/>
      <c r="AN113" s="403"/>
      <c r="AO113" s="403"/>
      <c r="AP113" s="394"/>
      <c r="AQ113" s="394"/>
      <c r="AR113" s="394"/>
      <c r="AS113" s="394"/>
      <c r="AT113" s="394"/>
      <c r="AU113" s="873"/>
      <c r="AV113" s="873"/>
      <c r="AW113" s="873"/>
      <c r="AX113" s="873"/>
      <c r="AY113" s="873"/>
      <c r="AZ113" s="873"/>
      <c r="BA113" s="394"/>
      <c r="BB113" s="873"/>
      <c r="BC113" s="873"/>
      <c r="BD113" s="873"/>
      <c r="BE113" s="873"/>
      <c r="BF113" s="873"/>
      <c r="BG113" s="873"/>
      <c r="BH113" s="873"/>
      <c r="BI113" s="873"/>
      <c r="BJ113" s="873"/>
      <c r="BK113" s="873"/>
      <c r="BL113" s="873"/>
      <c r="BM113" s="873"/>
      <c r="BN113" s="873"/>
      <c r="BO113" s="873"/>
      <c r="BP113" s="873"/>
      <c r="BQ113" s="873"/>
      <c r="BR113" s="873"/>
      <c r="BS113" s="873"/>
      <c r="BT113" s="873"/>
      <c r="BU113" s="873"/>
      <c r="BV113" s="873"/>
      <c r="BW113" s="873"/>
      <c r="BX113" s="873"/>
      <c r="BY113" s="873"/>
      <c r="BZ113" s="873"/>
      <c r="CA113" s="873"/>
      <c r="CB113" s="873"/>
      <c r="CC113" s="873"/>
      <c r="CD113" s="873"/>
      <c r="CE113" s="873"/>
      <c r="CF113" s="873"/>
      <c r="CG113" s="873"/>
      <c r="CH113" s="873"/>
      <c r="CI113" s="873"/>
      <c r="CJ113" s="873"/>
      <c r="CK113" s="873"/>
      <c r="CL113" s="873"/>
      <c r="CM113" s="873"/>
      <c r="CN113" s="873"/>
      <c r="CO113" s="873"/>
      <c r="CP113" s="873"/>
      <c r="CQ113" s="873"/>
      <c r="CR113" s="873"/>
      <c r="CS113" s="873"/>
      <c r="CT113" s="873"/>
      <c r="CU113" s="873"/>
      <c r="CV113" s="873"/>
      <c r="CW113" s="873"/>
      <c r="CX113" s="873"/>
      <c r="CY113" s="873"/>
      <c r="CZ113" s="873"/>
      <c r="DA113" s="873"/>
      <c r="DB113" s="873"/>
      <c r="DC113" s="873"/>
      <c r="DD113" s="873"/>
      <c r="DE113" s="873"/>
      <c r="DF113" s="873"/>
      <c r="DG113" s="873"/>
      <c r="DH113" s="873"/>
      <c r="DI113" s="873"/>
      <c r="DJ113" s="873"/>
      <c r="DK113" s="873"/>
      <c r="DL113" s="873"/>
      <c r="DM113" s="873"/>
      <c r="DN113" s="873"/>
      <c r="DO113" s="873"/>
      <c r="DP113" s="873"/>
      <c r="DQ113" s="873"/>
      <c r="DR113" s="873"/>
      <c r="DS113" s="873"/>
      <c r="DT113" s="873"/>
      <c r="DU113" s="873"/>
      <c r="DV113" s="873"/>
      <c r="DW113" s="873"/>
      <c r="DX113" s="873"/>
      <c r="DY113" s="873"/>
      <c r="DZ113" s="873"/>
      <c r="EA113" s="873"/>
      <c r="EB113" s="873"/>
      <c r="EC113" s="873"/>
      <c r="ED113" s="873"/>
      <c r="EE113" s="873"/>
      <c r="EF113" s="873"/>
      <c r="EG113" s="873"/>
      <c r="EH113" s="873"/>
      <c r="EI113" s="873"/>
      <c r="EJ113" s="873"/>
      <c r="EK113" s="873"/>
      <c r="EL113" s="873"/>
      <c r="EM113" s="873"/>
      <c r="EN113" s="873"/>
      <c r="EO113" s="873"/>
      <c r="EP113" s="873"/>
      <c r="EQ113" s="873"/>
      <c r="ER113" s="873"/>
      <c r="ES113" s="873"/>
      <c r="ET113" s="873"/>
      <c r="EU113" s="873"/>
      <c r="EV113" s="873"/>
      <c r="EW113" s="873"/>
      <c r="EX113" s="873"/>
      <c r="EY113" s="873"/>
      <c r="EZ113" s="873"/>
      <c r="FA113" s="873"/>
      <c r="FB113" s="873"/>
      <c r="FC113" s="873"/>
      <c r="FD113" s="873"/>
      <c r="FE113" s="873"/>
      <c r="FF113" s="873"/>
      <c r="FG113" s="873"/>
      <c r="FH113" s="873"/>
      <c r="FI113" s="873"/>
      <c r="FJ113" s="873"/>
      <c r="FK113" s="873"/>
      <c r="FL113" s="873"/>
      <c r="FM113" s="873"/>
      <c r="FN113" s="873"/>
      <c r="FO113" s="873"/>
      <c r="FP113" s="873"/>
      <c r="FQ113" s="873"/>
      <c r="FR113" s="873"/>
      <c r="FS113" s="873"/>
      <c r="FT113" s="873"/>
      <c r="FU113" s="873"/>
      <c r="FV113" s="873"/>
      <c r="FW113" s="873"/>
      <c r="FX113" s="873"/>
      <c r="FY113" s="873"/>
      <c r="FZ113" s="873"/>
      <c r="GA113" s="873"/>
      <c r="GB113" s="873"/>
      <c r="GC113" s="873"/>
      <c r="GD113" s="873"/>
      <c r="GE113" s="873"/>
      <c r="GF113" s="873"/>
      <c r="GG113" s="873"/>
      <c r="GH113" s="873"/>
      <c r="GI113" s="873"/>
      <c r="GJ113" s="873"/>
      <c r="GK113" s="873"/>
      <c r="GL113" s="873"/>
      <c r="GM113" s="873"/>
      <c r="GN113" s="873"/>
      <c r="GO113" s="873"/>
      <c r="GP113" s="873"/>
      <c r="GQ113" s="873"/>
      <c r="GR113" s="873"/>
      <c r="GS113" s="873"/>
      <c r="GT113" s="873"/>
      <c r="GU113" s="873"/>
      <c r="GV113" s="873"/>
      <c r="GW113" s="873"/>
      <c r="GX113" s="873"/>
      <c r="GY113" s="873"/>
      <c r="GZ113" s="873"/>
      <c r="HA113" s="873"/>
      <c r="HB113" s="873"/>
      <c r="HC113" s="873"/>
      <c r="HD113" s="873"/>
      <c r="HE113" s="873"/>
      <c r="HF113" s="873"/>
      <c r="HG113" s="873"/>
      <c r="HH113" s="873"/>
      <c r="HI113" s="873"/>
      <c r="HJ113" s="873"/>
      <c r="HK113" s="873"/>
      <c r="HL113" s="873"/>
      <c r="HM113" s="873"/>
      <c r="HN113" s="873"/>
      <c r="HO113" s="873"/>
      <c r="HP113" s="873"/>
      <c r="HQ113" s="873"/>
      <c r="HR113" s="873"/>
      <c r="HS113" s="873"/>
      <c r="HT113" s="873"/>
      <c r="HU113" s="873"/>
      <c r="HV113" s="873"/>
      <c r="HW113" s="873"/>
      <c r="HX113" s="873"/>
      <c r="HY113" s="873"/>
      <c r="HZ113" s="873"/>
      <c r="IA113" s="873"/>
      <c r="IB113" s="873"/>
      <c r="IC113" s="873"/>
      <c r="ID113" s="873"/>
      <c r="IE113" s="873"/>
      <c r="IF113" s="873"/>
      <c r="IG113" s="873"/>
      <c r="IH113" s="873"/>
      <c r="II113" s="873"/>
      <c r="IJ113" s="873"/>
      <c r="IK113" s="873"/>
      <c r="IL113" s="873"/>
      <c r="IM113" s="873"/>
      <c r="IN113" s="873"/>
      <c r="IO113" s="873"/>
      <c r="IP113" s="873"/>
      <c r="IQ113" s="873"/>
      <c r="IR113" s="873"/>
      <c r="IS113" s="873"/>
      <c r="IT113" s="873"/>
      <c r="IU113" s="873"/>
      <c r="IV113" s="873"/>
      <c r="IW113" s="873"/>
      <c r="IX113" s="873"/>
      <c r="IY113" s="873"/>
      <c r="IZ113" s="873"/>
      <c r="JA113" s="873"/>
      <c r="JB113" s="873"/>
      <c r="JC113" s="873"/>
      <c r="JD113" s="873"/>
      <c r="JE113" s="873"/>
      <c r="JF113" s="873"/>
      <c r="JG113" s="873"/>
      <c r="JH113" s="873"/>
      <c r="JI113" s="873"/>
      <c r="JJ113" s="873"/>
      <c r="JK113" s="873"/>
      <c r="JL113" s="873"/>
      <c r="JM113" s="873"/>
      <c r="JN113" s="873"/>
      <c r="JO113" s="873"/>
      <c r="JP113" s="873"/>
      <c r="JQ113" s="873"/>
      <c r="JR113" s="873"/>
      <c r="JS113" s="873"/>
      <c r="JT113" s="873"/>
      <c r="JU113" s="873"/>
      <c r="JV113" s="402"/>
    </row>
    <row r="114" spans="1:282">
      <c r="A114" s="672"/>
      <c r="B114" s="408"/>
      <c r="C114" s="873"/>
      <c r="D114" s="888"/>
      <c r="E114" s="671"/>
      <c r="F114" s="873"/>
      <c r="G114" s="873"/>
      <c r="H114" s="873"/>
      <c r="I114" s="873"/>
      <c r="J114" s="873"/>
      <c r="K114" s="873"/>
      <c r="L114" s="873"/>
      <c r="M114" s="873"/>
      <c r="N114" s="873"/>
      <c r="O114" s="873"/>
      <c r="P114" s="873"/>
      <c r="Q114" s="873"/>
      <c r="R114" s="873"/>
      <c r="S114" s="873"/>
      <c r="T114" s="873"/>
      <c r="U114" s="873"/>
      <c r="V114" s="873"/>
      <c r="W114" s="873"/>
      <c r="X114" s="873"/>
      <c r="Y114" s="873"/>
      <c r="Z114" s="873"/>
      <c r="AA114" s="394"/>
      <c r="AB114" s="873"/>
      <c r="AC114" s="394"/>
      <c r="AD114" s="873"/>
      <c r="AE114" s="873"/>
      <c r="AF114" s="873"/>
      <c r="AG114" s="873"/>
      <c r="AH114" s="873"/>
      <c r="AI114" s="873"/>
      <c r="AJ114" s="403"/>
      <c r="AK114" s="403"/>
      <c r="AL114" s="873"/>
      <c r="AM114" s="873"/>
      <c r="AN114" s="403"/>
      <c r="AO114" s="403"/>
      <c r="AP114" s="394"/>
      <c r="AQ114" s="394"/>
      <c r="AR114" s="394"/>
      <c r="AS114" s="394"/>
      <c r="AT114" s="394"/>
      <c r="AU114" s="873"/>
      <c r="AV114" s="873"/>
      <c r="AW114" s="873"/>
      <c r="AX114" s="873"/>
      <c r="AY114" s="873"/>
      <c r="AZ114" s="873"/>
      <c r="BA114" s="394"/>
      <c r="BB114" s="873"/>
      <c r="BC114" s="873"/>
      <c r="BD114" s="873"/>
      <c r="BE114" s="873"/>
      <c r="BF114" s="873"/>
      <c r="BG114" s="873"/>
      <c r="BH114" s="873"/>
      <c r="BI114" s="873"/>
      <c r="BJ114" s="873"/>
      <c r="BK114" s="873"/>
      <c r="BL114" s="873"/>
      <c r="BM114" s="873"/>
      <c r="BN114" s="873"/>
      <c r="BO114" s="873"/>
      <c r="BP114" s="873"/>
      <c r="BQ114" s="873"/>
      <c r="BR114" s="873"/>
      <c r="BS114" s="873"/>
      <c r="BT114" s="873"/>
      <c r="BU114" s="873"/>
      <c r="BV114" s="873"/>
      <c r="BW114" s="873"/>
      <c r="BX114" s="873"/>
      <c r="BY114" s="873"/>
      <c r="BZ114" s="873"/>
      <c r="CA114" s="873"/>
      <c r="CB114" s="873"/>
      <c r="CC114" s="873"/>
      <c r="CD114" s="873"/>
      <c r="CE114" s="873"/>
      <c r="CF114" s="873"/>
      <c r="CG114" s="873"/>
      <c r="CH114" s="873"/>
      <c r="CI114" s="873"/>
      <c r="CJ114" s="873"/>
      <c r="CK114" s="873"/>
      <c r="CL114" s="873"/>
      <c r="CM114" s="873"/>
      <c r="CN114" s="873"/>
      <c r="CO114" s="873"/>
      <c r="CP114" s="873"/>
      <c r="CQ114" s="873"/>
      <c r="CR114" s="873"/>
      <c r="CS114" s="873"/>
      <c r="CT114" s="873"/>
      <c r="CU114" s="873"/>
      <c r="CV114" s="873"/>
      <c r="CW114" s="873"/>
      <c r="CX114" s="873"/>
      <c r="CY114" s="873"/>
      <c r="CZ114" s="873"/>
      <c r="DA114" s="873"/>
      <c r="DB114" s="873"/>
      <c r="DC114" s="873"/>
      <c r="DD114" s="873"/>
      <c r="DE114" s="873"/>
      <c r="DF114" s="873"/>
      <c r="DG114" s="873"/>
      <c r="DH114" s="873"/>
      <c r="DI114" s="873"/>
      <c r="DJ114" s="873"/>
      <c r="DK114" s="873"/>
      <c r="DL114" s="873"/>
      <c r="DM114" s="873"/>
      <c r="DN114" s="873"/>
      <c r="DO114" s="873"/>
      <c r="DP114" s="873"/>
      <c r="DQ114" s="873"/>
      <c r="DR114" s="873"/>
      <c r="DS114" s="873"/>
      <c r="DT114" s="873"/>
      <c r="DU114" s="873"/>
      <c r="DV114" s="873"/>
      <c r="DW114" s="873"/>
      <c r="DX114" s="873"/>
      <c r="DY114" s="873"/>
      <c r="DZ114" s="873"/>
      <c r="EA114" s="873"/>
      <c r="EB114" s="873"/>
      <c r="EC114" s="873"/>
      <c r="ED114" s="873"/>
      <c r="EE114" s="873"/>
      <c r="EF114" s="873"/>
      <c r="EG114" s="873"/>
      <c r="EH114" s="873"/>
      <c r="EI114" s="873"/>
      <c r="EJ114" s="873"/>
      <c r="EK114" s="873"/>
      <c r="EL114" s="873"/>
      <c r="EM114" s="873"/>
      <c r="EN114" s="873"/>
      <c r="EO114" s="873"/>
      <c r="EP114" s="873"/>
      <c r="EQ114" s="873"/>
      <c r="ER114" s="873"/>
      <c r="ES114" s="873"/>
      <c r="ET114" s="873"/>
      <c r="EU114" s="873"/>
      <c r="EV114" s="873"/>
      <c r="EW114" s="873"/>
      <c r="EX114" s="873"/>
      <c r="EY114" s="873"/>
      <c r="EZ114" s="873"/>
      <c r="FA114" s="873"/>
      <c r="FB114" s="873"/>
      <c r="FC114" s="873"/>
      <c r="FD114" s="873"/>
      <c r="FE114" s="873"/>
      <c r="FF114" s="873"/>
      <c r="FG114" s="873"/>
      <c r="FH114" s="873"/>
      <c r="FI114" s="873"/>
      <c r="FJ114" s="873"/>
      <c r="FK114" s="873"/>
      <c r="FL114" s="873"/>
      <c r="FM114" s="873"/>
      <c r="FN114" s="873"/>
      <c r="FO114" s="873"/>
      <c r="FP114" s="873"/>
      <c r="FQ114" s="873"/>
      <c r="FR114" s="873"/>
      <c r="FS114" s="873"/>
      <c r="FT114" s="873"/>
      <c r="FU114" s="873"/>
      <c r="FV114" s="873"/>
      <c r="FW114" s="873"/>
      <c r="FX114" s="873"/>
      <c r="FY114" s="873"/>
      <c r="FZ114" s="873"/>
      <c r="GA114" s="873"/>
      <c r="GB114" s="873"/>
      <c r="GC114" s="873"/>
      <c r="GD114" s="873"/>
      <c r="GE114" s="873"/>
      <c r="GF114" s="873"/>
      <c r="GG114" s="873"/>
      <c r="GH114" s="873"/>
      <c r="GI114" s="873"/>
      <c r="GJ114" s="873"/>
      <c r="GK114" s="873"/>
      <c r="GL114" s="873"/>
      <c r="GM114" s="873"/>
      <c r="GN114" s="873"/>
      <c r="GO114" s="873"/>
      <c r="GP114" s="873"/>
      <c r="GQ114" s="873"/>
      <c r="GR114" s="873"/>
      <c r="GS114" s="873"/>
      <c r="GT114" s="873"/>
      <c r="GU114" s="873"/>
      <c r="GV114" s="873"/>
      <c r="GW114" s="873"/>
      <c r="GX114" s="873"/>
      <c r="GY114" s="873"/>
      <c r="GZ114" s="873"/>
      <c r="HA114" s="873"/>
      <c r="HB114" s="873"/>
      <c r="HC114" s="873"/>
      <c r="HD114" s="873"/>
      <c r="HE114" s="873"/>
      <c r="HF114" s="873"/>
      <c r="HG114" s="873"/>
      <c r="HH114" s="873"/>
      <c r="HI114" s="873"/>
      <c r="HJ114" s="873"/>
      <c r="HK114" s="873"/>
      <c r="HL114" s="873"/>
      <c r="HM114" s="873"/>
      <c r="HN114" s="873"/>
      <c r="HO114" s="873"/>
      <c r="HP114" s="873"/>
      <c r="HQ114" s="873"/>
      <c r="HR114" s="873"/>
      <c r="HS114" s="873"/>
      <c r="HT114" s="873"/>
      <c r="HU114" s="873"/>
      <c r="HV114" s="873"/>
      <c r="HW114" s="873"/>
      <c r="HX114" s="873"/>
      <c r="HY114" s="873"/>
      <c r="HZ114" s="873"/>
      <c r="IA114" s="873"/>
      <c r="IB114" s="873"/>
      <c r="IC114" s="873"/>
      <c r="ID114" s="873"/>
      <c r="IE114" s="873"/>
      <c r="IF114" s="873"/>
      <c r="IG114" s="873"/>
      <c r="IH114" s="873"/>
      <c r="II114" s="873"/>
      <c r="IJ114" s="873"/>
      <c r="IK114" s="873"/>
      <c r="IL114" s="873"/>
      <c r="IM114" s="873"/>
      <c r="IN114" s="873"/>
      <c r="IO114" s="873"/>
      <c r="IP114" s="873"/>
      <c r="IQ114" s="873"/>
      <c r="IR114" s="873"/>
      <c r="IS114" s="873"/>
      <c r="IT114" s="873"/>
      <c r="IU114" s="873"/>
      <c r="IV114" s="873"/>
      <c r="IW114" s="873"/>
      <c r="IX114" s="873"/>
      <c r="IY114" s="873"/>
      <c r="IZ114" s="873"/>
      <c r="JA114" s="873"/>
      <c r="JB114" s="873"/>
      <c r="JC114" s="873"/>
      <c r="JD114" s="873"/>
      <c r="JE114" s="873"/>
      <c r="JF114" s="873"/>
      <c r="JG114" s="873"/>
      <c r="JH114" s="873"/>
      <c r="JI114" s="873"/>
      <c r="JJ114" s="873"/>
      <c r="JK114" s="873"/>
      <c r="JL114" s="873"/>
      <c r="JM114" s="873"/>
      <c r="JN114" s="873"/>
      <c r="JO114" s="873"/>
      <c r="JP114" s="873"/>
      <c r="JQ114" s="873"/>
      <c r="JR114" s="873"/>
      <c r="JS114" s="873"/>
      <c r="JT114" s="873"/>
      <c r="JU114" s="873"/>
      <c r="JV114" s="402"/>
    </row>
    <row r="115" spans="1:282">
      <c r="A115" s="672"/>
      <c r="B115" s="408"/>
      <c r="C115" s="873"/>
      <c r="D115" s="888"/>
      <c r="E115" s="671"/>
      <c r="F115" s="873"/>
      <c r="G115" s="873"/>
      <c r="H115" s="873"/>
      <c r="I115" s="873"/>
      <c r="J115" s="873"/>
      <c r="K115" s="873"/>
      <c r="L115" s="873"/>
      <c r="M115" s="873"/>
      <c r="N115" s="873"/>
      <c r="O115" s="873"/>
      <c r="P115" s="873"/>
      <c r="Q115" s="873"/>
      <c r="R115" s="873"/>
      <c r="S115" s="873"/>
      <c r="T115" s="873"/>
      <c r="U115" s="873"/>
      <c r="V115" s="873"/>
      <c r="W115" s="873"/>
      <c r="X115" s="873"/>
      <c r="Y115" s="873"/>
      <c r="Z115" s="873"/>
      <c r="AA115" s="394"/>
      <c r="AB115" s="873"/>
      <c r="AC115" s="394"/>
      <c r="AD115" s="873"/>
      <c r="AE115" s="873"/>
      <c r="AF115" s="873"/>
      <c r="AG115" s="873"/>
      <c r="AH115" s="873"/>
      <c r="AI115" s="873"/>
      <c r="AJ115" s="403"/>
      <c r="AK115" s="403"/>
      <c r="AL115" s="873"/>
      <c r="AM115" s="873"/>
      <c r="AN115" s="403"/>
      <c r="AO115" s="403"/>
      <c r="AP115" s="394"/>
      <c r="AQ115" s="394"/>
      <c r="AR115" s="394"/>
      <c r="AS115" s="394"/>
      <c r="AT115" s="394"/>
      <c r="AU115" s="873"/>
      <c r="AV115" s="873"/>
      <c r="AW115" s="873"/>
      <c r="AX115" s="873"/>
      <c r="AY115" s="873"/>
      <c r="AZ115" s="873"/>
      <c r="BA115" s="394"/>
      <c r="BB115" s="873"/>
      <c r="BC115" s="873"/>
      <c r="BD115" s="873"/>
      <c r="BE115" s="873"/>
      <c r="BF115" s="873"/>
      <c r="BG115" s="873"/>
      <c r="BH115" s="873"/>
      <c r="BI115" s="873"/>
      <c r="BJ115" s="873"/>
      <c r="BK115" s="873"/>
      <c r="BL115" s="873"/>
      <c r="BM115" s="873"/>
      <c r="BN115" s="873"/>
      <c r="BO115" s="873"/>
      <c r="BP115" s="873"/>
      <c r="BQ115" s="873"/>
      <c r="BR115" s="873"/>
      <c r="BS115" s="873"/>
      <c r="BT115" s="873"/>
      <c r="BU115" s="873"/>
      <c r="BV115" s="873"/>
      <c r="BW115" s="873"/>
      <c r="BX115" s="873"/>
      <c r="BY115" s="873"/>
      <c r="BZ115" s="873"/>
      <c r="CA115" s="873"/>
      <c r="CB115" s="873"/>
      <c r="CC115" s="873"/>
      <c r="CD115" s="873"/>
      <c r="CE115" s="873"/>
      <c r="CF115" s="873"/>
      <c r="CG115" s="873"/>
      <c r="CH115" s="873"/>
      <c r="CI115" s="873"/>
      <c r="CJ115" s="873"/>
      <c r="CK115" s="873"/>
      <c r="CL115" s="873"/>
      <c r="CM115" s="873"/>
      <c r="CN115" s="873"/>
      <c r="CO115" s="873"/>
      <c r="CP115" s="873"/>
      <c r="CQ115" s="873"/>
      <c r="CR115" s="873"/>
      <c r="CS115" s="873"/>
      <c r="CT115" s="873"/>
      <c r="CU115" s="873"/>
      <c r="CV115" s="873"/>
      <c r="CW115" s="873"/>
      <c r="CX115" s="873"/>
      <c r="CY115" s="873"/>
      <c r="CZ115" s="873"/>
      <c r="DA115" s="873"/>
      <c r="DB115" s="873"/>
      <c r="DC115" s="873"/>
      <c r="DD115" s="873"/>
      <c r="DE115" s="873"/>
      <c r="DF115" s="873"/>
      <c r="DG115" s="873"/>
      <c r="DH115" s="873"/>
      <c r="DI115" s="873"/>
      <c r="DJ115" s="873"/>
      <c r="DK115" s="873"/>
      <c r="DL115" s="873"/>
      <c r="DM115" s="873"/>
      <c r="DN115" s="873"/>
      <c r="DO115" s="873"/>
      <c r="DP115" s="873"/>
      <c r="DQ115" s="873"/>
      <c r="DR115" s="873"/>
      <c r="DS115" s="873"/>
      <c r="DT115" s="873"/>
      <c r="DU115" s="873"/>
      <c r="DV115" s="873"/>
      <c r="DW115" s="873"/>
      <c r="DX115" s="873"/>
      <c r="DY115" s="873"/>
      <c r="DZ115" s="873"/>
      <c r="EA115" s="873"/>
      <c r="EB115" s="873"/>
      <c r="EC115" s="873"/>
      <c r="ED115" s="873"/>
      <c r="EE115" s="873"/>
      <c r="EF115" s="873"/>
      <c r="EG115" s="873"/>
      <c r="EH115" s="873"/>
      <c r="EI115" s="873"/>
      <c r="EJ115" s="873"/>
      <c r="EK115" s="873"/>
      <c r="EL115" s="873"/>
      <c r="EM115" s="873"/>
      <c r="EN115" s="873"/>
      <c r="EO115" s="873"/>
      <c r="EP115" s="873"/>
      <c r="EQ115" s="873"/>
      <c r="ER115" s="873"/>
      <c r="ES115" s="873"/>
      <c r="ET115" s="873"/>
      <c r="EU115" s="873"/>
      <c r="EV115" s="873"/>
      <c r="EW115" s="873"/>
      <c r="EX115" s="873"/>
      <c r="EY115" s="873"/>
      <c r="EZ115" s="873"/>
      <c r="FA115" s="873"/>
      <c r="FB115" s="873"/>
      <c r="FC115" s="873"/>
      <c r="FD115" s="873"/>
      <c r="FE115" s="873"/>
      <c r="FF115" s="873"/>
      <c r="FG115" s="873"/>
      <c r="FH115" s="873"/>
      <c r="FI115" s="873"/>
      <c r="FJ115" s="873"/>
      <c r="FK115" s="873"/>
      <c r="FL115" s="873"/>
      <c r="FM115" s="873"/>
      <c r="FN115" s="873"/>
      <c r="FO115" s="873"/>
      <c r="FP115" s="873"/>
      <c r="FQ115" s="873"/>
      <c r="FR115" s="873"/>
      <c r="FS115" s="873"/>
      <c r="FT115" s="873"/>
      <c r="FU115" s="873"/>
      <c r="FV115" s="873"/>
      <c r="FW115" s="873"/>
      <c r="FX115" s="873"/>
      <c r="FY115" s="873"/>
      <c r="FZ115" s="873"/>
      <c r="GA115" s="873"/>
      <c r="GB115" s="873"/>
      <c r="GC115" s="873"/>
      <c r="GD115" s="873"/>
      <c r="GE115" s="873"/>
      <c r="GF115" s="873"/>
      <c r="GG115" s="873"/>
      <c r="GH115" s="873"/>
      <c r="GI115" s="873"/>
      <c r="GJ115" s="873"/>
      <c r="GK115" s="873"/>
      <c r="GL115" s="873"/>
      <c r="GM115" s="873"/>
      <c r="GN115" s="873"/>
      <c r="GO115" s="873"/>
      <c r="GP115" s="873"/>
      <c r="GQ115" s="873"/>
      <c r="GR115" s="873"/>
      <c r="GS115" s="873"/>
      <c r="GT115" s="873"/>
      <c r="GU115" s="873"/>
      <c r="GV115" s="873"/>
      <c r="GW115" s="873"/>
      <c r="GX115" s="873"/>
      <c r="GY115" s="873"/>
      <c r="GZ115" s="873"/>
      <c r="HA115" s="873"/>
      <c r="HB115" s="873"/>
      <c r="HC115" s="873"/>
      <c r="HD115" s="873"/>
      <c r="HE115" s="873"/>
      <c r="HF115" s="873"/>
      <c r="HG115" s="873"/>
      <c r="HH115" s="873"/>
      <c r="HI115" s="873"/>
      <c r="HJ115" s="873"/>
      <c r="HK115" s="873"/>
      <c r="HL115" s="873"/>
      <c r="HM115" s="873"/>
      <c r="HN115" s="873"/>
      <c r="HO115" s="873"/>
      <c r="HP115" s="873"/>
      <c r="HQ115" s="873"/>
      <c r="HR115" s="873"/>
      <c r="HS115" s="873"/>
      <c r="HT115" s="873"/>
      <c r="HU115" s="873"/>
      <c r="HV115" s="873"/>
      <c r="HW115" s="873"/>
      <c r="HX115" s="873"/>
      <c r="HY115" s="873"/>
      <c r="HZ115" s="873"/>
      <c r="IA115" s="873"/>
      <c r="IB115" s="873"/>
      <c r="IC115" s="873"/>
      <c r="ID115" s="873"/>
      <c r="IE115" s="873"/>
      <c r="IF115" s="873"/>
      <c r="IG115" s="873"/>
      <c r="IH115" s="873"/>
      <c r="II115" s="873"/>
      <c r="IJ115" s="873"/>
      <c r="IK115" s="873"/>
      <c r="IL115" s="873"/>
      <c r="IM115" s="873"/>
      <c r="IN115" s="873"/>
      <c r="IO115" s="873"/>
      <c r="IP115" s="873"/>
      <c r="IQ115" s="873"/>
      <c r="IR115" s="873"/>
      <c r="IS115" s="873"/>
      <c r="IT115" s="873"/>
      <c r="IU115" s="873"/>
      <c r="IV115" s="873"/>
      <c r="IW115" s="873"/>
      <c r="IX115" s="873"/>
      <c r="IY115" s="873"/>
      <c r="IZ115" s="873"/>
      <c r="JA115" s="873"/>
      <c r="JB115" s="873"/>
      <c r="JC115" s="873"/>
      <c r="JD115" s="873"/>
      <c r="JE115" s="873"/>
      <c r="JF115" s="873"/>
      <c r="JG115" s="873"/>
      <c r="JH115" s="873"/>
      <c r="JI115" s="873"/>
      <c r="JJ115" s="873"/>
      <c r="JK115" s="873"/>
      <c r="JL115" s="873"/>
      <c r="JM115" s="873"/>
      <c r="JN115" s="873"/>
      <c r="JO115" s="873"/>
      <c r="JP115" s="873"/>
      <c r="JQ115" s="873"/>
      <c r="JR115" s="873"/>
      <c r="JS115" s="873"/>
      <c r="JT115" s="873"/>
      <c r="JU115" s="873"/>
      <c r="JV115" s="402"/>
    </row>
    <row r="116" spans="1:282">
      <c r="A116" s="672"/>
      <c r="B116" s="408"/>
      <c r="C116" s="873"/>
      <c r="D116" s="888"/>
      <c r="E116" s="671"/>
      <c r="F116" s="873"/>
      <c r="G116" s="873"/>
      <c r="H116" s="873"/>
      <c r="I116" s="873"/>
      <c r="J116" s="873"/>
      <c r="K116" s="873"/>
      <c r="L116" s="873"/>
      <c r="M116" s="873"/>
      <c r="N116" s="873"/>
      <c r="O116" s="873"/>
      <c r="P116" s="873"/>
      <c r="Q116" s="873"/>
      <c r="R116" s="873"/>
      <c r="S116" s="873"/>
      <c r="T116" s="873"/>
      <c r="U116" s="873"/>
      <c r="V116" s="873"/>
      <c r="W116" s="873"/>
      <c r="X116" s="873"/>
      <c r="Y116" s="873"/>
      <c r="Z116" s="873"/>
      <c r="AA116" s="394"/>
      <c r="AB116" s="873"/>
      <c r="AC116" s="394"/>
      <c r="AD116" s="873"/>
      <c r="AE116" s="873"/>
      <c r="AF116" s="873"/>
      <c r="AG116" s="873"/>
      <c r="AH116" s="873"/>
      <c r="AI116" s="873"/>
      <c r="AJ116" s="403"/>
      <c r="AK116" s="403"/>
      <c r="AL116" s="873"/>
      <c r="AM116" s="873"/>
      <c r="AN116" s="403"/>
      <c r="AO116" s="403"/>
      <c r="AP116" s="394"/>
      <c r="AQ116" s="394"/>
      <c r="AR116" s="394"/>
      <c r="AS116" s="394"/>
      <c r="AT116" s="394"/>
      <c r="AU116" s="873"/>
      <c r="AV116" s="873"/>
      <c r="AW116" s="873"/>
      <c r="AX116" s="873"/>
      <c r="AY116" s="873"/>
      <c r="AZ116" s="873"/>
      <c r="BA116" s="394"/>
      <c r="BB116" s="873"/>
      <c r="BC116" s="873"/>
      <c r="BD116" s="873"/>
      <c r="BE116" s="873"/>
      <c r="BF116" s="873"/>
      <c r="BG116" s="873"/>
      <c r="BH116" s="873"/>
      <c r="BI116" s="873"/>
      <c r="BJ116" s="873"/>
      <c r="BK116" s="873"/>
      <c r="BL116" s="873"/>
      <c r="BM116" s="873"/>
      <c r="BN116" s="873"/>
      <c r="BO116" s="873"/>
      <c r="BP116" s="873"/>
      <c r="BQ116" s="873"/>
      <c r="BR116" s="873"/>
      <c r="BS116" s="873"/>
      <c r="BT116" s="873"/>
      <c r="BU116" s="873"/>
      <c r="BV116" s="873"/>
      <c r="BW116" s="873"/>
      <c r="BX116" s="873"/>
      <c r="BY116" s="873"/>
      <c r="BZ116" s="873"/>
      <c r="CA116" s="873"/>
      <c r="CB116" s="873"/>
      <c r="CC116" s="873"/>
      <c r="CD116" s="873"/>
      <c r="CE116" s="873"/>
      <c r="CF116" s="873"/>
      <c r="CG116" s="873"/>
      <c r="CH116" s="873"/>
      <c r="CI116" s="873"/>
      <c r="CJ116" s="873"/>
      <c r="CK116" s="873"/>
      <c r="CL116" s="873"/>
      <c r="CM116" s="873"/>
      <c r="CN116" s="873"/>
      <c r="CO116" s="873"/>
      <c r="CP116" s="873"/>
      <c r="CQ116" s="873"/>
      <c r="CR116" s="873"/>
      <c r="CS116" s="873"/>
      <c r="CT116" s="873"/>
      <c r="CU116" s="873"/>
      <c r="CV116" s="873"/>
      <c r="CW116" s="873"/>
      <c r="CX116" s="873"/>
      <c r="CY116" s="873"/>
      <c r="CZ116" s="873"/>
      <c r="DA116" s="873"/>
      <c r="DB116" s="873"/>
      <c r="DC116" s="873"/>
      <c r="DD116" s="873"/>
      <c r="DE116" s="873"/>
      <c r="DF116" s="873"/>
      <c r="DG116" s="873"/>
      <c r="DH116" s="873"/>
      <c r="DI116" s="873"/>
      <c r="DJ116" s="873"/>
      <c r="DK116" s="873"/>
      <c r="DL116" s="873"/>
      <c r="DM116" s="873"/>
      <c r="DN116" s="873"/>
      <c r="DO116" s="873"/>
      <c r="DP116" s="873"/>
      <c r="DQ116" s="873"/>
      <c r="DR116" s="873"/>
      <c r="DS116" s="873"/>
      <c r="DT116" s="873"/>
      <c r="DU116" s="873"/>
      <c r="DV116" s="873"/>
      <c r="DW116" s="873"/>
      <c r="DX116" s="873"/>
      <c r="DY116" s="873"/>
      <c r="DZ116" s="873"/>
      <c r="EA116" s="873"/>
      <c r="EB116" s="873"/>
      <c r="EC116" s="873"/>
      <c r="ED116" s="873"/>
      <c r="EE116" s="873"/>
      <c r="EF116" s="873"/>
      <c r="EG116" s="873"/>
      <c r="EH116" s="873"/>
      <c r="EI116" s="873"/>
      <c r="EJ116" s="873"/>
      <c r="EK116" s="873"/>
      <c r="EL116" s="873"/>
      <c r="EM116" s="873"/>
      <c r="EN116" s="873"/>
      <c r="EO116" s="873"/>
      <c r="EP116" s="873"/>
      <c r="EQ116" s="873"/>
      <c r="ER116" s="873"/>
      <c r="ES116" s="873"/>
      <c r="ET116" s="873"/>
      <c r="EU116" s="873"/>
      <c r="EV116" s="873"/>
      <c r="EW116" s="873"/>
      <c r="EX116" s="873"/>
      <c r="EY116" s="873"/>
      <c r="EZ116" s="873"/>
      <c r="FA116" s="873"/>
      <c r="FB116" s="873"/>
      <c r="FC116" s="873"/>
      <c r="FD116" s="873"/>
      <c r="FE116" s="873"/>
      <c r="FF116" s="873"/>
      <c r="FG116" s="873"/>
      <c r="FH116" s="873"/>
      <c r="FI116" s="873"/>
      <c r="FJ116" s="873"/>
      <c r="FK116" s="873"/>
      <c r="FL116" s="873"/>
      <c r="FM116" s="873"/>
      <c r="FN116" s="873"/>
      <c r="FO116" s="873"/>
      <c r="FP116" s="873"/>
      <c r="FQ116" s="873"/>
      <c r="FR116" s="873"/>
      <c r="FS116" s="873"/>
      <c r="FT116" s="873"/>
      <c r="FU116" s="873"/>
      <c r="FV116" s="873"/>
      <c r="FW116" s="873"/>
      <c r="FX116" s="873"/>
      <c r="FY116" s="873"/>
      <c r="FZ116" s="873"/>
      <c r="GA116" s="873"/>
      <c r="GB116" s="873"/>
      <c r="GC116" s="873"/>
      <c r="GD116" s="873"/>
      <c r="GE116" s="873"/>
      <c r="GF116" s="873"/>
      <c r="GG116" s="873"/>
      <c r="GH116" s="873"/>
      <c r="GI116" s="873"/>
      <c r="GJ116" s="873"/>
      <c r="GK116" s="873"/>
      <c r="GL116" s="873"/>
      <c r="GM116" s="873"/>
      <c r="GN116" s="873"/>
      <c r="GO116" s="873"/>
      <c r="GP116" s="873"/>
      <c r="GQ116" s="873"/>
      <c r="GR116" s="873"/>
      <c r="GS116" s="873"/>
      <c r="GT116" s="873"/>
      <c r="GU116" s="873"/>
      <c r="GV116" s="873"/>
      <c r="GW116" s="873"/>
      <c r="GX116" s="873"/>
      <c r="GY116" s="873"/>
      <c r="GZ116" s="873"/>
      <c r="HA116" s="873"/>
      <c r="HB116" s="873"/>
      <c r="HC116" s="873"/>
      <c r="HD116" s="873"/>
      <c r="HE116" s="873"/>
      <c r="HF116" s="873"/>
      <c r="HG116" s="873"/>
      <c r="HH116" s="873"/>
      <c r="HI116" s="873"/>
      <c r="HJ116" s="873"/>
      <c r="HK116" s="873"/>
      <c r="HL116" s="873"/>
      <c r="HM116" s="873"/>
      <c r="HN116" s="873"/>
      <c r="HO116" s="873"/>
      <c r="HP116" s="873"/>
      <c r="HQ116" s="873"/>
      <c r="HR116" s="873"/>
      <c r="HS116" s="873"/>
      <c r="HT116" s="873"/>
      <c r="HU116" s="873"/>
      <c r="HV116" s="873"/>
      <c r="HW116" s="873"/>
      <c r="HX116" s="873"/>
      <c r="HY116" s="873"/>
      <c r="HZ116" s="873"/>
      <c r="IA116" s="873"/>
      <c r="IB116" s="873"/>
      <c r="IC116" s="873"/>
      <c r="ID116" s="873"/>
      <c r="IE116" s="873"/>
      <c r="IF116" s="873"/>
      <c r="IG116" s="873"/>
      <c r="IH116" s="873"/>
      <c r="II116" s="873"/>
      <c r="IJ116" s="873"/>
      <c r="IK116" s="873"/>
      <c r="IL116" s="873"/>
      <c r="IM116" s="873"/>
      <c r="IN116" s="873"/>
      <c r="IO116" s="873"/>
      <c r="IP116" s="873"/>
      <c r="IQ116" s="873"/>
      <c r="IR116" s="873"/>
      <c r="IS116" s="873"/>
      <c r="IT116" s="873"/>
      <c r="IU116" s="873"/>
      <c r="IV116" s="873"/>
      <c r="IW116" s="873"/>
      <c r="IX116" s="873"/>
      <c r="IY116" s="873"/>
      <c r="IZ116" s="873"/>
      <c r="JA116" s="873"/>
      <c r="JB116" s="873"/>
      <c r="JC116" s="873"/>
      <c r="JD116" s="873"/>
      <c r="JE116" s="873"/>
      <c r="JF116" s="873"/>
      <c r="JG116" s="873"/>
      <c r="JH116" s="873"/>
      <c r="JI116" s="873"/>
      <c r="JJ116" s="873"/>
      <c r="JK116" s="873"/>
      <c r="JL116" s="873"/>
      <c r="JM116" s="873"/>
      <c r="JN116" s="873"/>
      <c r="JO116" s="873"/>
      <c r="JP116" s="873"/>
      <c r="JQ116" s="873"/>
      <c r="JR116" s="873"/>
      <c r="JS116" s="873"/>
      <c r="JT116" s="873"/>
      <c r="JU116" s="873"/>
      <c r="JV116" s="402"/>
    </row>
    <row r="117" spans="1:282">
      <c r="A117" s="672"/>
      <c r="B117" s="408"/>
      <c r="C117" s="873"/>
      <c r="D117" s="888"/>
      <c r="E117" s="671"/>
      <c r="F117" s="873"/>
      <c r="G117" s="873"/>
      <c r="H117" s="873"/>
      <c r="I117" s="873"/>
      <c r="J117" s="873"/>
      <c r="K117" s="873"/>
      <c r="L117" s="873"/>
      <c r="M117" s="873"/>
      <c r="N117" s="873"/>
      <c r="O117" s="873"/>
      <c r="P117" s="873"/>
      <c r="Q117" s="873"/>
      <c r="R117" s="873"/>
      <c r="S117" s="873"/>
      <c r="T117" s="873"/>
      <c r="U117" s="873"/>
      <c r="V117" s="873"/>
      <c r="W117" s="873"/>
      <c r="X117" s="873"/>
      <c r="Y117" s="873"/>
      <c r="Z117" s="873"/>
      <c r="AA117" s="394"/>
      <c r="AB117" s="873"/>
      <c r="AC117" s="394"/>
      <c r="AD117" s="873"/>
      <c r="AE117" s="873"/>
      <c r="AF117" s="873"/>
      <c r="AG117" s="873"/>
      <c r="AH117" s="873"/>
      <c r="AI117" s="873"/>
      <c r="AJ117" s="403"/>
      <c r="AK117" s="403"/>
      <c r="AL117" s="873"/>
      <c r="AM117" s="873"/>
      <c r="AN117" s="403"/>
      <c r="AO117" s="403"/>
      <c r="AP117" s="394"/>
      <c r="AQ117" s="394"/>
      <c r="AR117" s="394"/>
      <c r="AS117" s="394"/>
      <c r="AT117" s="394"/>
      <c r="AU117" s="873"/>
      <c r="AV117" s="873"/>
      <c r="AW117" s="873"/>
      <c r="AX117" s="873"/>
      <c r="AY117" s="873"/>
      <c r="AZ117" s="873"/>
      <c r="BA117" s="394"/>
      <c r="BB117" s="873"/>
      <c r="BC117" s="873"/>
      <c r="BD117" s="873"/>
      <c r="BE117" s="873"/>
      <c r="BF117" s="873"/>
      <c r="BG117" s="873"/>
      <c r="BH117" s="873"/>
      <c r="BI117" s="873"/>
      <c r="BJ117" s="873"/>
      <c r="BK117" s="873"/>
      <c r="BL117" s="873"/>
      <c r="BM117" s="873"/>
      <c r="BN117" s="873"/>
      <c r="BO117" s="873"/>
      <c r="BP117" s="873"/>
      <c r="BQ117" s="873"/>
      <c r="BR117" s="873"/>
      <c r="BS117" s="873"/>
      <c r="BT117" s="873"/>
      <c r="BU117" s="873"/>
      <c r="BV117" s="873"/>
      <c r="BW117" s="873"/>
      <c r="BX117" s="873"/>
      <c r="BY117" s="873"/>
      <c r="BZ117" s="873"/>
      <c r="CA117" s="873"/>
      <c r="CB117" s="873"/>
      <c r="CC117" s="873"/>
      <c r="CD117" s="873"/>
      <c r="CE117" s="873"/>
      <c r="CF117" s="873"/>
      <c r="CG117" s="873"/>
      <c r="CH117" s="873"/>
      <c r="CI117" s="873"/>
      <c r="CJ117" s="873"/>
      <c r="CK117" s="873"/>
      <c r="CL117" s="873"/>
      <c r="CM117" s="873"/>
      <c r="CN117" s="873"/>
      <c r="CO117" s="873"/>
      <c r="CP117" s="873"/>
      <c r="CQ117" s="873"/>
      <c r="CR117" s="873"/>
      <c r="CS117" s="873"/>
      <c r="CT117" s="873"/>
      <c r="CU117" s="873"/>
      <c r="CV117" s="873"/>
      <c r="CW117" s="873"/>
      <c r="CX117" s="873"/>
      <c r="CY117" s="873"/>
      <c r="CZ117" s="873"/>
      <c r="DA117" s="873"/>
      <c r="DB117" s="873"/>
      <c r="DC117" s="873"/>
      <c r="DD117" s="873"/>
      <c r="DE117" s="873"/>
      <c r="DF117" s="873"/>
      <c r="DG117" s="873"/>
      <c r="DH117" s="873"/>
      <c r="DI117" s="873"/>
      <c r="DJ117" s="873"/>
      <c r="DK117" s="873"/>
      <c r="DL117" s="873"/>
      <c r="DM117" s="873"/>
      <c r="DN117" s="873"/>
      <c r="DO117" s="873"/>
      <c r="DP117" s="873"/>
      <c r="DQ117" s="873"/>
      <c r="DR117" s="873"/>
      <c r="DS117" s="873"/>
      <c r="DT117" s="873"/>
      <c r="DU117" s="873"/>
      <c r="DV117" s="873"/>
      <c r="DW117" s="873"/>
      <c r="DX117" s="873"/>
      <c r="DY117" s="873"/>
      <c r="DZ117" s="873"/>
      <c r="EA117" s="873"/>
      <c r="EB117" s="873"/>
      <c r="EC117" s="873"/>
      <c r="ED117" s="873"/>
      <c r="EE117" s="873"/>
      <c r="EF117" s="873"/>
      <c r="EG117" s="873"/>
      <c r="EH117" s="873"/>
      <c r="EI117" s="873"/>
      <c r="EJ117" s="873"/>
      <c r="EK117" s="873"/>
      <c r="EL117" s="873"/>
      <c r="EM117" s="873"/>
      <c r="EN117" s="873"/>
      <c r="EO117" s="873"/>
      <c r="EP117" s="873"/>
      <c r="EQ117" s="873"/>
      <c r="ER117" s="873"/>
      <c r="ES117" s="873"/>
      <c r="ET117" s="873"/>
      <c r="EU117" s="873"/>
      <c r="EV117" s="873"/>
      <c r="EW117" s="873"/>
      <c r="EX117" s="873"/>
      <c r="EY117" s="873"/>
      <c r="EZ117" s="873"/>
      <c r="FA117" s="873"/>
      <c r="FB117" s="873"/>
      <c r="FC117" s="873"/>
      <c r="FD117" s="873"/>
      <c r="FE117" s="873"/>
      <c r="FF117" s="873"/>
      <c r="FG117" s="873"/>
      <c r="FH117" s="873"/>
      <c r="FI117" s="873"/>
      <c r="FJ117" s="873"/>
      <c r="FK117" s="873"/>
      <c r="FL117" s="873"/>
      <c r="FM117" s="873"/>
      <c r="FN117" s="873"/>
      <c r="FO117" s="873"/>
      <c r="FP117" s="873"/>
      <c r="FQ117" s="873"/>
      <c r="FR117" s="873"/>
      <c r="FS117" s="873"/>
      <c r="FT117" s="873"/>
      <c r="FU117" s="873"/>
      <c r="FV117" s="873"/>
      <c r="FW117" s="873"/>
      <c r="FX117" s="873"/>
      <c r="FY117" s="873"/>
      <c r="FZ117" s="873"/>
      <c r="GA117" s="873"/>
      <c r="GB117" s="873"/>
      <c r="GC117" s="873"/>
      <c r="GD117" s="873"/>
      <c r="GE117" s="873"/>
      <c r="GF117" s="873"/>
      <c r="GG117" s="873"/>
      <c r="GH117" s="873"/>
      <c r="GI117" s="873"/>
      <c r="GJ117" s="873"/>
      <c r="GK117" s="873"/>
      <c r="GL117" s="873"/>
      <c r="GM117" s="873"/>
      <c r="GN117" s="873"/>
      <c r="GO117" s="873"/>
      <c r="GP117" s="873"/>
      <c r="GQ117" s="873"/>
      <c r="GR117" s="873"/>
      <c r="GS117" s="873"/>
      <c r="GT117" s="873"/>
      <c r="GU117" s="873"/>
      <c r="GV117" s="873"/>
      <c r="GW117" s="873"/>
      <c r="GX117" s="873"/>
      <c r="GY117" s="873"/>
      <c r="GZ117" s="873"/>
      <c r="HA117" s="873"/>
      <c r="HB117" s="873"/>
      <c r="HC117" s="873"/>
      <c r="HD117" s="873"/>
      <c r="HE117" s="873"/>
      <c r="HF117" s="873"/>
      <c r="HG117" s="873"/>
      <c r="HH117" s="873"/>
      <c r="HI117" s="873"/>
      <c r="HJ117" s="873"/>
      <c r="HK117" s="873"/>
      <c r="HL117" s="873"/>
      <c r="HM117" s="873"/>
      <c r="HN117" s="873"/>
      <c r="HO117" s="873"/>
      <c r="HP117" s="873"/>
      <c r="HQ117" s="873"/>
      <c r="HR117" s="873"/>
      <c r="HS117" s="873"/>
      <c r="HT117" s="873"/>
      <c r="HU117" s="873"/>
      <c r="HV117" s="873"/>
      <c r="HW117" s="873"/>
      <c r="HX117" s="873"/>
      <c r="HY117" s="873"/>
      <c r="HZ117" s="873"/>
      <c r="IA117" s="873"/>
      <c r="IB117" s="873"/>
      <c r="IC117" s="873"/>
      <c r="ID117" s="873"/>
      <c r="IE117" s="873"/>
      <c r="IF117" s="873"/>
      <c r="IG117" s="873"/>
      <c r="IH117" s="873"/>
      <c r="II117" s="873"/>
      <c r="IJ117" s="873"/>
      <c r="IK117" s="873"/>
      <c r="IL117" s="873"/>
      <c r="IM117" s="873"/>
      <c r="IN117" s="873"/>
      <c r="IO117" s="873"/>
      <c r="IP117" s="873"/>
      <c r="IQ117" s="873"/>
      <c r="IR117" s="873"/>
      <c r="IS117" s="873"/>
      <c r="IT117" s="873"/>
      <c r="IU117" s="873"/>
      <c r="IV117" s="873"/>
      <c r="IW117" s="873"/>
      <c r="IX117" s="873"/>
      <c r="IY117" s="873"/>
      <c r="IZ117" s="873"/>
      <c r="JA117" s="873"/>
      <c r="JB117" s="873"/>
      <c r="JC117" s="873"/>
      <c r="JD117" s="873"/>
      <c r="JE117" s="873"/>
      <c r="JF117" s="873"/>
      <c r="JG117" s="873"/>
      <c r="JH117" s="873"/>
      <c r="JI117" s="873"/>
      <c r="JJ117" s="873"/>
      <c r="JK117" s="873"/>
      <c r="JL117" s="873"/>
      <c r="JM117" s="873"/>
      <c r="JN117" s="873"/>
      <c r="JO117" s="873"/>
      <c r="JP117" s="873"/>
      <c r="JQ117" s="873"/>
      <c r="JR117" s="873"/>
      <c r="JS117" s="873"/>
      <c r="JT117" s="873"/>
      <c r="JU117" s="873"/>
      <c r="JV117" s="402"/>
    </row>
    <row r="118" spans="1:282">
      <c r="A118" s="672"/>
      <c r="B118" s="408"/>
      <c r="C118" s="873"/>
      <c r="D118" s="888"/>
      <c r="E118" s="671"/>
      <c r="F118" s="873"/>
      <c r="G118" s="873"/>
      <c r="H118" s="873"/>
      <c r="I118" s="873"/>
      <c r="J118" s="873"/>
      <c r="K118" s="873"/>
      <c r="L118" s="873"/>
      <c r="M118" s="873"/>
      <c r="N118" s="873"/>
      <c r="O118" s="873"/>
      <c r="P118" s="873"/>
      <c r="Q118" s="873"/>
      <c r="R118" s="873"/>
      <c r="S118" s="873"/>
      <c r="T118" s="873"/>
      <c r="U118" s="873"/>
      <c r="V118" s="873"/>
      <c r="W118" s="873"/>
      <c r="X118" s="873"/>
      <c r="Y118" s="873"/>
      <c r="Z118" s="873"/>
      <c r="AA118" s="394"/>
      <c r="AB118" s="873"/>
      <c r="AC118" s="394"/>
      <c r="AD118" s="873"/>
      <c r="AE118" s="873"/>
      <c r="AF118" s="873"/>
      <c r="AG118" s="873"/>
      <c r="AH118" s="873"/>
      <c r="AI118" s="873"/>
      <c r="AJ118" s="403"/>
      <c r="AK118" s="403"/>
      <c r="AL118" s="873"/>
      <c r="AM118" s="873"/>
      <c r="AN118" s="403"/>
      <c r="AO118" s="403"/>
      <c r="AP118" s="394"/>
      <c r="AQ118" s="394"/>
      <c r="AR118" s="394"/>
      <c r="AS118" s="394"/>
      <c r="AT118" s="394"/>
      <c r="AU118" s="873"/>
      <c r="AV118" s="873"/>
      <c r="AW118" s="873"/>
      <c r="AX118" s="873"/>
      <c r="AY118" s="873"/>
      <c r="AZ118" s="873"/>
      <c r="BA118" s="394"/>
      <c r="BB118" s="873"/>
      <c r="BC118" s="873"/>
      <c r="BD118" s="873"/>
      <c r="BE118" s="873"/>
      <c r="BF118" s="873"/>
      <c r="BG118" s="873"/>
      <c r="BH118" s="873"/>
      <c r="BI118" s="873"/>
      <c r="BJ118" s="873"/>
      <c r="BK118" s="873"/>
      <c r="BL118" s="873"/>
      <c r="BM118" s="873"/>
      <c r="BN118" s="873"/>
      <c r="BO118" s="873"/>
      <c r="BP118" s="873"/>
      <c r="BQ118" s="873"/>
      <c r="BR118" s="873"/>
      <c r="BS118" s="873"/>
      <c r="BT118" s="873"/>
      <c r="BU118" s="873"/>
      <c r="BV118" s="873"/>
      <c r="BW118" s="873"/>
      <c r="BX118" s="873"/>
      <c r="BY118" s="873"/>
      <c r="BZ118" s="873"/>
      <c r="CA118" s="873"/>
      <c r="CB118" s="873"/>
      <c r="CC118" s="873"/>
      <c r="CD118" s="873"/>
      <c r="CE118" s="873"/>
      <c r="CF118" s="873"/>
      <c r="CG118" s="873"/>
      <c r="CH118" s="873"/>
      <c r="CI118" s="873"/>
      <c r="CJ118" s="873"/>
      <c r="CK118" s="873"/>
      <c r="CL118" s="873"/>
      <c r="CM118" s="873"/>
      <c r="CN118" s="873"/>
      <c r="CO118" s="873"/>
      <c r="CP118" s="873"/>
      <c r="CQ118" s="873"/>
      <c r="CR118" s="873"/>
      <c r="CS118" s="873"/>
      <c r="CT118" s="873"/>
      <c r="CU118" s="873"/>
      <c r="CV118" s="873"/>
      <c r="CW118" s="873"/>
      <c r="CX118" s="873"/>
      <c r="CY118" s="873"/>
      <c r="CZ118" s="873"/>
      <c r="DA118" s="873"/>
      <c r="DB118" s="873"/>
      <c r="DC118" s="873"/>
      <c r="DD118" s="873"/>
      <c r="DE118" s="873"/>
      <c r="DF118" s="873"/>
      <c r="DG118" s="873"/>
      <c r="DH118" s="873"/>
      <c r="DI118" s="873"/>
      <c r="DJ118" s="873"/>
      <c r="DK118" s="873"/>
      <c r="DL118" s="873"/>
      <c r="DM118" s="873"/>
      <c r="DN118" s="873"/>
      <c r="DO118" s="873"/>
      <c r="DP118" s="873"/>
      <c r="DQ118" s="873"/>
      <c r="DR118" s="873"/>
      <c r="DS118" s="873"/>
      <c r="DT118" s="873"/>
      <c r="DU118" s="873"/>
      <c r="DV118" s="873"/>
      <c r="DW118" s="873"/>
      <c r="DX118" s="873"/>
      <c r="DY118" s="873"/>
      <c r="DZ118" s="873"/>
      <c r="EA118" s="873"/>
      <c r="EB118" s="873"/>
      <c r="EC118" s="873"/>
      <c r="ED118" s="873"/>
      <c r="EE118" s="873"/>
      <c r="EF118" s="873"/>
      <c r="EG118" s="873"/>
      <c r="EH118" s="873"/>
      <c r="EI118" s="873"/>
      <c r="EJ118" s="873"/>
      <c r="EK118" s="873"/>
      <c r="EL118" s="873"/>
      <c r="EM118" s="873"/>
      <c r="EN118" s="873"/>
      <c r="EO118" s="873"/>
      <c r="EP118" s="873"/>
      <c r="EQ118" s="873"/>
      <c r="ER118" s="873"/>
      <c r="ES118" s="873"/>
      <c r="ET118" s="873"/>
      <c r="EU118" s="873"/>
      <c r="EV118" s="873"/>
      <c r="EW118" s="873"/>
      <c r="EX118" s="873"/>
      <c r="EY118" s="873"/>
      <c r="EZ118" s="873"/>
      <c r="FA118" s="873"/>
      <c r="FB118" s="873"/>
      <c r="FC118" s="873"/>
      <c r="FD118" s="873"/>
      <c r="FE118" s="873"/>
      <c r="FF118" s="873"/>
      <c r="FG118" s="873"/>
      <c r="FH118" s="873"/>
      <c r="FI118" s="873"/>
      <c r="FJ118" s="873"/>
      <c r="FK118" s="873"/>
      <c r="FL118" s="873"/>
      <c r="FM118" s="873"/>
      <c r="FN118" s="873"/>
      <c r="FO118" s="873"/>
      <c r="FP118" s="873"/>
      <c r="FQ118" s="873"/>
      <c r="FR118" s="873"/>
      <c r="FS118" s="873"/>
      <c r="FT118" s="873"/>
      <c r="FU118" s="873"/>
      <c r="FV118" s="873"/>
      <c r="FW118" s="873"/>
      <c r="FX118" s="873"/>
      <c r="FY118" s="873"/>
      <c r="FZ118" s="873"/>
      <c r="GA118" s="873"/>
      <c r="GB118" s="873"/>
      <c r="GC118" s="873"/>
      <c r="GD118" s="873"/>
      <c r="GE118" s="873"/>
      <c r="GF118" s="873"/>
      <c r="GG118" s="873"/>
      <c r="GH118" s="873"/>
      <c r="GI118" s="873"/>
      <c r="GJ118" s="873"/>
      <c r="GK118" s="873"/>
      <c r="GL118" s="873"/>
      <c r="GM118" s="873"/>
      <c r="GN118" s="873"/>
      <c r="GO118" s="873"/>
      <c r="GP118" s="873"/>
      <c r="GQ118" s="873"/>
      <c r="GR118" s="873"/>
      <c r="GS118" s="873"/>
      <c r="GT118" s="873"/>
      <c r="GU118" s="873"/>
      <c r="GV118" s="873"/>
      <c r="GW118" s="873"/>
      <c r="GX118" s="873"/>
      <c r="GY118" s="873"/>
      <c r="GZ118" s="873"/>
      <c r="HA118" s="873"/>
      <c r="HB118" s="873"/>
      <c r="HC118" s="873"/>
      <c r="HD118" s="873"/>
      <c r="HE118" s="873"/>
      <c r="HF118" s="873"/>
      <c r="HG118" s="873"/>
      <c r="HH118" s="873"/>
      <c r="HI118" s="873"/>
      <c r="HJ118" s="873"/>
      <c r="HK118" s="873"/>
      <c r="HL118" s="873"/>
      <c r="HM118" s="873"/>
      <c r="HN118" s="873"/>
      <c r="HO118" s="873"/>
      <c r="HP118" s="873"/>
      <c r="HQ118" s="873"/>
      <c r="HR118" s="873"/>
      <c r="HS118" s="873"/>
      <c r="HT118" s="873"/>
      <c r="HU118" s="873"/>
      <c r="HV118" s="873"/>
      <c r="HW118" s="873"/>
      <c r="HX118" s="873"/>
      <c r="HY118" s="873"/>
      <c r="HZ118" s="873"/>
      <c r="IA118" s="873"/>
      <c r="IB118" s="873"/>
      <c r="IC118" s="873"/>
      <c r="ID118" s="873"/>
      <c r="IE118" s="873"/>
      <c r="IF118" s="873"/>
      <c r="IG118" s="873"/>
      <c r="IH118" s="873"/>
      <c r="II118" s="873"/>
      <c r="IJ118" s="873"/>
      <c r="IK118" s="873"/>
      <c r="IL118" s="873"/>
      <c r="IM118" s="873"/>
      <c r="IN118" s="873"/>
      <c r="IO118" s="873"/>
      <c r="IP118" s="873"/>
      <c r="IQ118" s="873"/>
      <c r="IR118" s="873"/>
      <c r="IS118" s="873"/>
      <c r="IT118" s="873"/>
      <c r="IU118" s="873"/>
      <c r="IV118" s="873"/>
      <c r="IW118" s="873"/>
      <c r="IX118" s="873"/>
      <c r="IY118" s="873"/>
      <c r="IZ118" s="873"/>
      <c r="JA118" s="873"/>
      <c r="JB118" s="873"/>
      <c r="JC118" s="873"/>
      <c r="JD118" s="873"/>
      <c r="JE118" s="873"/>
      <c r="JF118" s="873"/>
      <c r="JG118" s="873"/>
      <c r="JH118" s="873"/>
      <c r="JI118" s="873"/>
      <c r="JJ118" s="873"/>
      <c r="JK118" s="873"/>
      <c r="JL118" s="873"/>
      <c r="JM118" s="873"/>
      <c r="JN118" s="873"/>
      <c r="JO118" s="873"/>
      <c r="JP118" s="873"/>
      <c r="JQ118" s="873"/>
      <c r="JR118" s="873"/>
      <c r="JS118" s="873"/>
      <c r="JT118" s="873"/>
      <c r="JU118" s="873"/>
      <c r="JV118" s="402"/>
    </row>
    <row r="119" spans="1:282">
      <c r="A119" s="672"/>
      <c r="B119" s="408"/>
      <c r="C119" s="873"/>
      <c r="D119" s="888"/>
      <c r="E119" s="671"/>
      <c r="F119" s="873"/>
      <c r="G119" s="873"/>
      <c r="H119" s="873"/>
      <c r="I119" s="873"/>
      <c r="J119" s="873"/>
      <c r="K119" s="873"/>
      <c r="L119" s="873"/>
      <c r="M119" s="873"/>
      <c r="N119" s="873"/>
      <c r="O119" s="873"/>
      <c r="P119" s="873"/>
      <c r="Q119" s="873"/>
      <c r="R119" s="873"/>
      <c r="S119" s="873"/>
      <c r="T119" s="873"/>
      <c r="U119" s="873"/>
      <c r="V119" s="873"/>
      <c r="W119" s="873"/>
      <c r="X119" s="873"/>
      <c r="Y119" s="873"/>
      <c r="Z119" s="873"/>
      <c r="AA119" s="394"/>
      <c r="AB119" s="873"/>
      <c r="AC119" s="394"/>
      <c r="AD119" s="873"/>
      <c r="AE119" s="873"/>
      <c r="AF119" s="873"/>
      <c r="AG119" s="873"/>
      <c r="AH119" s="873"/>
      <c r="AI119" s="873"/>
      <c r="AJ119" s="403"/>
      <c r="AK119" s="403"/>
      <c r="AL119" s="873"/>
      <c r="AM119" s="873"/>
      <c r="AN119" s="403"/>
      <c r="AO119" s="403"/>
      <c r="AP119" s="394"/>
      <c r="AQ119" s="394"/>
      <c r="AR119" s="394"/>
      <c r="AS119" s="394"/>
      <c r="AT119" s="394"/>
      <c r="AU119" s="873"/>
      <c r="AV119" s="873"/>
      <c r="AW119" s="873"/>
      <c r="AX119" s="873"/>
      <c r="AY119" s="873"/>
      <c r="AZ119" s="873"/>
      <c r="BA119" s="394"/>
      <c r="BB119" s="873"/>
      <c r="BC119" s="873"/>
      <c r="BD119" s="873"/>
      <c r="BE119" s="873"/>
      <c r="BF119" s="873"/>
      <c r="BG119" s="873"/>
      <c r="BH119" s="873"/>
      <c r="BI119" s="873"/>
      <c r="BJ119" s="873"/>
      <c r="BK119" s="873"/>
      <c r="BL119" s="873"/>
      <c r="BM119" s="873"/>
      <c r="BN119" s="873"/>
      <c r="BO119" s="873"/>
      <c r="BP119" s="873"/>
      <c r="BQ119" s="873"/>
      <c r="BR119" s="873"/>
      <c r="BS119" s="873"/>
      <c r="BT119" s="873"/>
      <c r="BU119" s="873"/>
      <c r="BV119" s="873"/>
      <c r="BW119" s="873"/>
      <c r="BX119" s="873"/>
      <c r="BY119" s="873"/>
      <c r="BZ119" s="873"/>
      <c r="CA119" s="873"/>
      <c r="CB119" s="873"/>
      <c r="CC119" s="873"/>
      <c r="CD119" s="873"/>
      <c r="CE119" s="873"/>
      <c r="CF119" s="873"/>
      <c r="CG119" s="873"/>
      <c r="CH119" s="873"/>
      <c r="CI119" s="873"/>
      <c r="CJ119" s="873"/>
      <c r="CK119" s="873"/>
      <c r="CL119" s="873"/>
      <c r="CM119" s="873"/>
      <c r="CN119" s="873"/>
      <c r="CO119" s="873"/>
      <c r="CP119" s="873"/>
      <c r="CQ119" s="873"/>
      <c r="CR119" s="873"/>
      <c r="CS119" s="873"/>
      <c r="CT119" s="873"/>
      <c r="CU119" s="873"/>
      <c r="CV119" s="873"/>
      <c r="CW119" s="873"/>
      <c r="CX119" s="873"/>
      <c r="CY119" s="873"/>
      <c r="CZ119" s="873"/>
      <c r="DA119" s="873"/>
      <c r="DB119" s="873"/>
      <c r="DC119" s="873"/>
      <c r="DD119" s="873"/>
      <c r="DE119" s="873"/>
      <c r="DF119" s="873"/>
      <c r="DG119" s="873"/>
      <c r="DH119" s="873"/>
      <c r="DI119" s="873"/>
      <c r="DJ119" s="873"/>
      <c r="DK119" s="873"/>
      <c r="DL119" s="873"/>
      <c r="DM119" s="873"/>
      <c r="DN119" s="873"/>
      <c r="DO119" s="873"/>
      <c r="DP119" s="873"/>
      <c r="DQ119" s="873"/>
      <c r="DR119" s="873"/>
      <c r="DS119" s="873"/>
      <c r="DT119" s="873"/>
      <c r="DU119" s="873"/>
      <c r="DV119" s="873"/>
      <c r="DW119" s="873"/>
      <c r="DX119" s="873"/>
      <c r="DY119" s="873"/>
      <c r="DZ119" s="873"/>
      <c r="EA119" s="873"/>
      <c r="EB119" s="873"/>
      <c r="EC119" s="873"/>
      <c r="ED119" s="873"/>
      <c r="EE119" s="873"/>
      <c r="EF119" s="873"/>
      <c r="EG119" s="873"/>
      <c r="EH119" s="873"/>
      <c r="EI119" s="873"/>
      <c r="EJ119" s="873"/>
      <c r="EK119" s="873"/>
      <c r="EL119" s="873"/>
      <c r="EM119" s="873"/>
      <c r="EN119" s="873"/>
      <c r="EO119" s="873"/>
      <c r="EP119" s="873"/>
      <c r="EQ119" s="873"/>
      <c r="ER119" s="873"/>
      <c r="ES119" s="873"/>
      <c r="ET119" s="873"/>
      <c r="EU119" s="873"/>
      <c r="EV119" s="873"/>
      <c r="EW119" s="873"/>
      <c r="EX119" s="873"/>
      <c r="EY119" s="873"/>
      <c r="EZ119" s="873"/>
      <c r="FA119" s="873"/>
      <c r="FB119" s="873"/>
      <c r="FC119" s="873"/>
      <c r="FD119" s="873"/>
      <c r="FE119" s="873"/>
      <c r="FF119" s="873"/>
      <c r="FG119" s="873"/>
      <c r="FH119" s="873"/>
      <c r="FI119" s="873"/>
      <c r="FJ119" s="873"/>
      <c r="FK119" s="873"/>
      <c r="FL119" s="873"/>
      <c r="FM119" s="873"/>
      <c r="FN119" s="873"/>
      <c r="FO119" s="873"/>
      <c r="FP119" s="873"/>
      <c r="FQ119" s="873"/>
      <c r="FR119" s="873"/>
      <c r="FS119" s="873"/>
      <c r="FT119" s="873"/>
      <c r="FU119" s="873"/>
      <c r="FV119" s="873"/>
      <c r="FW119" s="873"/>
      <c r="FX119" s="873"/>
      <c r="FY119" s="873"/>
      <c r="FZ119" s="873"/>
      <c r="GA119" s="873"/>
      <c r="GB119" s="873"/>
      <c r="GC119" s="873"/>
      <c r="GD119" s="873"/>
      <c r="GE119" s="873"/>
      <c r="GF119" s="873"/>
      <c r="GG119" s="873"/>
      <c r="GH119" s="873"/>
      <c r="GI119" s="873"/>
      <c r="GJ119" s="873"/>
      <c r="GK119" s="873"/>
      <c r="GL119" s="873"/>
      <c r="GM119" s="873"/>
      <c r="GN119" s="873"/>
      <c r="GO119" s="873"/>
      <c r="GP119" s="873"/>
      <c r="GQ119" s="873"/>
      <c r="GR119" s="873"/>
      <c r="GS119" s="873"/>
      <c r="GT119" s="873"/>
      <c r="GU119" s="873"/>
      <c r="GV119" s="873"/>
      <c r="GW119" s="873"/>
      <c r="GX119" s="873"/>
      <c r="GY119" s="873"/>
      <c r="GZ119" s="873"/>
      <c r="HA119" s="873"/>
      <c r="HB119" s="873"/>
      <c r="HC119" s="873"/>
      <c r="HD119" s="873"/>
      <c r="HE119" s="873"/>
      <c r="HF119" s="873"/>
      <c r="HG119" s="873"/>
      <c r="HH119" s="873"/>
      <c r="HI119" s="873"/>
      <c r="HJ119" s="873"/>
      <c r="HK119" s="873"/>
      <c r="HL119" s="873"/>
      <c r="HM119" s="873"/>
      <c r="HN119" s="873"/>
      <c r="HO119" s="873"/>
      <c r="HP119" s="873"/>
      <c r="HQ119" s="873"/>
      <c r="HR119" s="873"/>
      <c r="HS119" s="873"/>
      <c r="HT119" s="873"/>
      <c r="HU119" s="873"/>
      <c r="HV119" s="873"/>
      <c r="HW119" s="873"/>
      <c r="HX119" s="873"/>
      <c r="HY119" s="873"/>
      <c r="HZ119" s="873"/>
      <c r="IA119" s="873"/>
      <c r="IB119" s="873"/>
      <c r="IC119" s="873"/>
      <c r="ID119" s="873"/>
      <c r="IE119" s="873"/>
      <c r="IF119" s="873"/>
      <c r="IG119" s="873"/>
      <c r="IH119" s="873"/>
      <c r="II119" s="873"/>
      <c r="IJ119" s="873"/>
      <c r="IK119" s="873"/>
      <c r="IL119" s="873"/>
      <c r="IM119" s="873"/>
      <c r="IN119" s="873"/>
      <c r="IO119" s="873"/>
      <c r="IP119" s="873"/>
      <c r="IQ119" s="873"/>
      <c r="IR119" s="873"/>
      <c r="IS119" s="873"/>
      <c r="IT119" s="873"/>
      <c r="IU119" s="873"/>
      <c r="IV119" s="873"/>
      <c r="IW119" s="873"/>
      <c r="IX119" s="873"/>
      <c r="IY119" s="873"/>
      <c r="IZ119" s="873"/>
      <c r="JA119" s="873"/>
      <c r="JB119" s="873"/>
      <c r="JC119" s="873"/>
      <c r="JD119" s="873"/>
      <c r="JE119" s="873"/>
      <c r="JF119" s="873"/>
      <c r="JG119" s="873"/>
      <c r="JH119" s="873"/>
      <c r="JI119" s="873"/>
      <c r="JJ119" s="873"/>
      <c r="JK119" s="873"/>
      <c r="JL119" s="873"/>
      <c r="JM119" s="873"/>
      <c r="JN119" s="873"/>
      <c r="JO119" s="873"/>
      <c r="JP119" s="873"/>
      <c r="JQ119" s="873"/>
      <c r="JR119" s="873"/>
      <c r="JS119" s="873"/>
      <c r="JT119" s="873"/>
      <c r="JU119" s="873"/>
      <c r="JV119" s="402"/>
    </row>
    <row r="120" spans="1:282">
      <c r="A120" s="672"/>
      <c r="B120" s="408"/>
      <c r="C120" s="873"/>
      <c r="D120" s="888"/>
      <c r="E120" s="671"/>
      <c r="F120" s="873"/>
      <c r="G120" s="873"/>
      <c r="H120" s="873"/>
      <c r="I120" s="873"/>
      <c r="J120" s="873"/>
      <c r="K120" s="873"/>
      <c r="L120" s="873"/>
      <c r="M120" s="873"/>
      <c r="N120" s="873"/>
      <c r="O120" s="873"/>
      <c r="P120" s="873"/>
      <c r="Q120" s="873"/>
      <c r="R120" s="873"/>
      <c r="S120" s="873"/>
      <c r="T120" s="873"/>
      <c r="U120" s="873"/>
      <c r="V120" s="873"/>
      <c r="W120" s="873"/>
      <c r="X120" s="873"/>
      <c r="Y120" s="873"/>
      <c r="Z120" s="873"/>
      <c r="AA120" s="394"/>
      <c r="AB120" s="873"/>
      <c r="AC120" s="394"/>
      <c r="AD120" s="873"/>
      <c r="AE120" s="873"/>
      <c r="AF120" s="873"/>
      <c r="AG120" s="873"/>
      <c r="AH120" s="873"/>
      <c r="AI120" s="873"/>
      <c r="AJ120" s="403"/>
      <c r="AK120" s="403"/>
      <c r="AL120" s="873"/>
      <c r="AM120" s="873"/>
      <c r="AN120" s="403"/>
      <c r="AO120" s="403"/>
      <c r="AP120" s="394"/>
      <c r="AQ120" s="394"/>
      <c r="AR120" s="394"/>
      <c r="AS120" s="394"/>
      <c r="AT120" s="394"/>
      <c r="AU120" s="873"/>
      <c r="AV120" s="873"/>
      <c r="AW120" s="873"/>
      <c r="AX120" s="873"/>
      <c r="AY120" s="873"/>
      <c r="AZ120" s="873"/>
      <c r="BA120" s="394"/>
      <c r="BB120" s="873"/>
      <c r="BC120" s="873"/>
      <c r="BD120" s="873"/>
      <c r="BE120" s="873"/>
      <c r="BF120" s="873"/>
      <c r="BG120" s="873"/>
      <c r="BH120" s="873"/>
      <c r="BI120" s="873"/>
      <c r="BJ120" s="873"/>
      <c r="BK120" s="873"/>
      <c r="BL120" s="873"/>
      <c r="BM120" s="873"/>
      <c r="BN120" s="873"/>
      <c r="BO120" s="873"/>
      <c r="BP120" s="873"/>
      <c r="BQ120" s="873"/>
      <c r="BR120" s="873"/>
      <c r="BS120" s="873"/>
      <c r="BT120" s="873"/>
      <c r="BU120" s="873"/>
      <c r="BV120" s="873"/>
      <c r="BW120" s="873"/>
      <c r="BX120" s="873"/>
      <c r="BY120" s="873"/>
      <c r="BZ120" s="873"/>
      <c r="CA120" s="873"/>
      <c r="CB120" s="873"/>
      <c r="CC120" s="873"/>
      <c r="CD120" s="873"/>
      <c r="CE120" s="873"/>
      <c r="CF120" s="873"/>
      <c r="CG120" s="873"/>
      <c r="CH120" s="873"/>
      <c r="CI120" s="873"/>
      <c r="CJ120" s="873"/>
      <c r="CK120" s="873"/>
      <c r="CL120" s="873"/>
      <c r="CM120" s="873"/>
      <c r="CN120" s="873"/>
      <c r="CO120" s="873"/>
      <c r="CP120" s="873"/>
      <c r="CQ120" s="873"/>
      <c r="CR120" s="873"/>
      <c r="CS120" s="873"/>
      <c r="CT120" s="873"/>
      <c r="CU120" s="873"/>
      <c r="CV120" s="873"/>
      <c r="CW120" s="873"/>
      <c r="CX120" s="873"/>
      <c r="CY120" s="873"/>
      <c r="CZ120" s="873"/>
      <c r="DA120" s="873"/>
      <c r="DB120" s="873"/>
      <c r="DC120" s="873"/>
      <c r="DD120" s="873"/>
      <c r="DE120" s="873"/>
      <c r="DF120" s="873"/>
      <c r="DG120" s="873"/>
      <c r="DH120" s="873"/>
      <c r="DI120" s="873"/>
      <c r="DJ120" s="873"/>
      <c r="DK120" s="873"/>
      <c r="DL120" s="873"/>
      <c r="DM120" s="873"/>
      <c r="DN120" s="873"/>
      <c r="DO120" s="873"/>
      <c r="DP120" s="873"/>
      <c r="DQ120" s="873"/>
      <c r="DR120" s="873"/>
      <c r="DS120" s="873"/>
      <c r="DT120" s="873"/>
      <c r="DU120" s="873"/>
      <c r="DV120" s="873"/>
      <c r="DW120" s="873"/>
      <c r="DX120" s="873"/>
      <c r="DY120" s="873"/>
      <c r="DZ120" s="873"/>
      <c r="EA120" s="873"/>
      <c r="EB120" s="873"/>
      <c r="EC120" s="873"/>
      <c r="ED120" s="873"/>
      <c r="EE120" s="873"/>
      <c r="EF120" s="873"/>
      <c r="EG120" s="873"/>
      <c r="EH120" s="873"/>
      <c r="EI120" s="873"/>
      <c r="EJ120" s="873"/>
      <c r="EK120" s="873"/>
      <c r="EL120" s="873"/>
      <c r="EM120" s="873"/>
      <c r="EN120" s="873"/>
      <c r="EO120" s="873"/>
      <c r="EP120" s="873"/>
      <c r="EQ120" s="873"/>
      <c r="ER120" s="873"/>
      <c r="ES120" s="873"/>
      <c r="ET120" s="873"/>
      <c r="EU120" s="873"/>
      <c r="EV120" s="873"/>
      <c r="EW120" s="873"/>
      <c r="EX120" s="873"/>
      <c r="EY120" s="873"/>
      <c r="EZ120" s="873"/>
      <c r="FA120" s="873"/>
      <c r="FB120" s="873"/>
      <c r="FC120" s="873"/>
      <c r="FD120" s="873"/>
      <c r="FE120" s="873"/>
      <c r="FF120" s="873"/>
      <c r="FG120" s="873"/>
      <c r="FH120" s="873"/>
      <c r="FI120" s="873"/>
      <c r="FJ120" s="873"/>
      <c r="FK120" s="873"/>
      <c r="FL120" s="873"/>
      <c r="FM120" s="873"/>
      <c r="FN120" s="873"/>
      <c r="FO120" s="873"/>
      <c r="FP120" s="873"/>
      <c r="FQ120" s="873"/>
      <c r="FR120" s="873"/>
      <c r="FS120" s="873"/>
      <c r="FT120" s="873"/>
      <c r="FU120" s="873"/>
      <c r="FV120" s="873"/>
      <c r="FW120" s="873"/>
      <c r="FX120" s="873"/>
      <c r="FY120" s="873"/>
      <c r="FZ120" s="873"/>
      <c r="GA120" s="873"/>
      <c r="GB120" s="873"/>
      <c r="GC120" s="873"/>
      <c r="GD120" s="873"/>
      <c r="GE120" s="873"/>
      <c r="GF120" s="873"/>
      <c r="GG120" s="873"/>
      <c r="GH120" s="873"/>
      <c r="GI120" s="873"/>
      <c r="GJ120" s="873"/>
      <c r="GK120" s="873"/>
      <c r="GL120" s="873"/>
      <c r="GM120" s="873"/>
      <c r="GN120" s="873"/>
      <c r="GO120" s="873"/>
      <c r="GP120" s="873"/>
      <c r="GQ120" s="873"/>
      <c r="GR120" s="873"/>
      <c r="GS120" s="873"/>
      <c r="GT120" s="873"/>
      <c r="GU120" s="873"/>
      <c r="GV120" s="873"/>
      <c r="GW120" s="873"/>
      <c r="GX120" s="873"/>
      <c r="GY120" s="873"/>
      <c r="GZ120" s="873"/>
      <c r="HA120" s="873"/>
      <c r="HB120" s="873"/>
      <c r="HC120" s="873"/>
      <c r="HD120" s="873"/>
      <c r="HE120" s="873"/>
      <c r="HF120" s="873"/>
      <c r="HG120" s="873"/>
      <c r="HH120" s="873"/>
      <c r="HI120" s="873"/>
      <c r="HJ120" s="873"/>
      <c r="HK120" s="873"/>
      <c r="HL120" s="873"/>
      <c r="HM120" s="873"/>
      <c r="HN120" s="873"/>
      <c r="HO120" s="873"/>
      <c r="HP120" s="873"/>
      <c r="HQ120" s="873"/>
      <c r="HR120" s="873"/>
      <c r="HS120" s="873"/>
      <c r="HT120" s="873"/>
      <c r="HU120" s="873"/>
      <c r="HV120" s="873"/>
      <c r="HW120" s="873"/>
      <c r="HX120" s="873"/>
      <c r="HY120" s="873"/>
      <c r="HZ120" s="873"/>
      <c r="IA120" s="873"/>
      <c r="IB120" s="873"/>
      <c r="IC120" s="873"/>
      <c r="ID120" s="873"/>
      <c r="IE120" s="873"/>
      <c r="IF120" s="873"/>
      <c r="IG120" s="873"/>
      <c r="IH120" s="873"/>
      <c r="II120" s="873"/>
      <c r="IJ120" s="873"/>
      <c r="IK120" s="873"/>
      <c r="IL120" s="873"/>
      <c r="IM120" s="873"/>
      <c r="IN120" s="873"/>
      <c r="IO120" s="873"/>
      <c r="IP120" s="873"/>
      <c r="IQ120" s="873"/>
      <c r="IR120" s="873"/>
      <c r="IS120" s="873"/>
      <c r="IT120" s="873"/>
      <c r="IU120" s="873"/>
      <c r="IV120" s="873"/>
      <c r="IW120" s="873"/>
      <c r="IX120" s="873"/>
      <c r="IY120" s="873"/>
      <c r="IZ120" s="873"/>
      <c r="JA120" s="873"/>
      <c r="JB120" s="873"/>
      <c r="JC120" s="873"/>
      <c r="JD120" s="873"/>
      <c r="JE120" s="873"/>
      <c r="JF120" s="873"/>
      <c r="JG120" s="873"/>
      <c r="JH120" s="873"/>
      <c r="JI120" s="873"/>
      <c r="JJ120" s="873"/>
      <c r="JK120" s="873"/>
      <c r="JL120" s="873"/>
      <c r="JM120" s="873"/>
      <c r="JN120" s="873"/>
      <c r="JO120" s="873"/>
      <c r="JP120" s="873"/>
      <c r="JQ120" s="873"/>
      <c r="JR120" s="873"/>
      <c r="JS120" s="873"/>
      <c r="JT120" s="873"/>
      <c r="JU120" s="873"/>
      <c r="JV120" s="402"/>
    </row>
    <row r="121" spans="1:282">
      <c r="A121" s="672"/>
      <c r="B121" s="408"/>
      <c r="C121" s="873"/>
      <c r="D121" s="888"/>
      <c r="E121" s="671"/>
      <c r="F121" s="873"/>
      <c r="G121" s="873"/>
      <c r="H121" s="873"/>
      <c r="I121" s="873"/>
      <c r="J121" s="873"/>
      <c r="K121" s="873"/>
      <c r="L121" s="873"/>
      <c r="M121" s="873"/>
      <c r="N121" s="873"/>
      <c r="O121" s="873"/>
      <c r="P121" s="873"/>
      <c r="Q121" s="873"/>
      <c r="R121" s="873"/>
      <c r="S121" s="873"/>
      <c r="T121" s="873"/>
      <c r="U121" s="873"/>
      <c r="V121" s="873"/>
      <c r="W121" s="873"/>
      <c r="X121" s="873"/>
      <c r="Y121" s="873"/>
      <c r="Z121" s="873"/>
      <c r="AA121" s="394"/>
      <c r="AB121" s="873"/>
      <c r="AC121" s="394"/>
      <c r="AD121" s="873"/>
      <c r="AE121" s="873"/>
      <c r="AF121" s="873"/>
      <c r="AG121" s="873"/>
      <c r="AH121" s="873"/>
      <c r="AI121" s="873"/>
      <c r="AJ121" s="403"/>
      <c r="AK121" s="403"/>
      <c r="AL121" s="873"/>
      <c r="AM121" s="873"/>
      <c r="AN121" s="403"/>
      <c r="AO121" s="403"/>
      <c r="AP121" s="394"/>
      <c r="AQ121" s="394"/>
      <c r="AR121" s="394"/>
      <c r="AS121" s="394"/>
      <c r="AT121" s="394"/>
      <c r="AU121" s="873"/>
      <c r="AV121" s="873"/>
      <c r="AW121" s="873"/>
      <c r="AX121" s="873"/>
      <c r="AY121" s="873"/>
      <c r="AZ121" s="873"/>
      <c r="BA121" s="394"/>
      <c r="BB121" s="873"/>
      <c r="BC121" s="873"/>
      <c r="BD121" s="873"/>
      <c r="BE121" s="873"/>
      <c r="BF121" s="873"/>
      <c r="BG121" s="873"/>
      <c r="BH121" s="873"/>
      <c r="BI121" s="873"/>
      <c r="BJ121" s="873"/>
      <c r="BK121" s="873"/>
      <c r="BL121" s="873"/>
      <c r="BM121" s="873"/>
      <c r="BN121" s="873"/>
      <c r="BO121" s="873"/>
      <c r="BP121" s="873"/>
      <c r="BQ121" s="873"/>
      <c r="BR121" s="873"/>
      <c r="BS121" s="873"/>
      <c r="BT121" s="873"/>
      <c r="BU121" s="873"/>
      <c r="BV121" s="873"/>
      <c r="BW121" s="873"/>
      <c r="BX121" s="873"/>
      <c r="BY121" s="873"/>
      <c r="BZ121" s="873"/>
      <c r="CA121" s="873"/>
      <c r="CB121" s="873"/>
      <c r="CC121" s="873"/>
      <c r="CD121" s="873"/>
      <c r="CE121" s="873"/>
      <c r="CF121" s="873"/>
      <c r="CG121" s="873"/>
      <c r="CH121" s="873"/>
      <c r="CI121" s="873"/>
      <c r="CJ121" s="873"/>
      <c r="CK121" s="873"/>
      <c r="CL121" s="873"/>
      <c r="CM121" s="873"/>
      <c r="CN121" s="873"/>
      <c r="CO121" s="873"/>
      <c r="CP121" s="873"/>
      <c r="CQ121" s="873"/>
      <c r="CR121" s="873"/>
      <c r="CS121" s="873"/>
      <c r="CT121" s="873"/>
      <c r="CU121" s="873"/>
      <c r="CV121" s="873"/>
      <c r="CW121" s="873"/>
      <c r="CX121" s="873"/>
      <c r="CY121" s="873"/>
      <c r="CZ121" s="873"/>
      <c r="DA121" s="873"/>
      <c r="DB121" s="873"/>
      <c r="DC121" s="873"/>
      <c r="DD121" s="873"/>
      <c r="DE121" s="873"/>
      <c r="DF121" s="873"/>
      <c r="DG121" s="873"/>
      <c r="DH121" s="873"/>
      <c r="DI121" s="873"/>
      <c r="DJ121" s="873"/>
      <c r="DK121" s="873"/>
      <c r="DL121" s="873"/>
      <c r="DM121" s="873"/>
      <c r="DN121" s="873"/>
      <c r="DO121" s="873"/>
      <c r="DP121" s="873"/>
      <c r="DQ121" s="873"/>
      <c r="DR121" s="873"/>
      <c r="DS121" s="873"/>
      <c r="DT121" s="873"/>
      <c r="DU121" s="873"/>
      <c r="DV121" s="873"/>
      <c r="DW121" s="873"/>
      <c r="DX121" s="873"/>
      <c r="DY121" s="873"/>
      <c r="DZ121" s="873"/>
      <c r="EA121" s="873"/>
      <c r="EB121" s="873"/>
      <c r="EC121" s="873"/>
      <c r="ED121" s="873"/>
      <c r="EE121" s="873"/>
      <c r="EF121" s="873"/>
      <c r="EG121" s="873"/>
      <c r="EH121" s="873"/>
      <c r="EI121" s="873"/>
      <c r="EJ121" s="873"/>
      <c r="EK121" s="873"/>
      <c r="EL121" s="873"/>
      <c r="EM121" s="873"/>
      <c r="EN121" s="873"/>
      <c r="EO121" s="873"/>
      <c r="EP121" s="873"/>
      <c r="EQ121" s="873"/>
      <c r="ER121" s="873"/>
      <c r="ES121" s="873"/>
      <c r="ET121" s="873"/>
      <c r="EU121" s="873"/>
      <c r="EV121" s="873"/>
      <c r="EW121" s="873"/>
      <c r="EX121" s="873"/>
      <c r="EY121" s="873"/>
      <c r="EZ121" s="873"/>
      <c r="FA121" s="873"/>
      <c r="FB121" s="873"/>
      <c r="FC121" s="873"/>
      <c r="FD121" s="873"/>
      <c r="FE121" s="873"/>
      <c r="FF121" s="873"/>
      <c r="FG121" s="873"/>
      <c r="FH121" s="873"/>
      <c r="FI121" s="873"/>
      <c r="FJ121" s="873"/>
      <c r="FK121" s="873"/>
      <c r="FL121" s="873"/>
      <c r="FM121" s="873"/>
      <c r="FN121" s="873"/>
      <c r="FO121" s="873"/>
      <c r="FP121" s="873"/>
      <c r="FQ121" s="873"/>
      <c r="FR121" s="873"/>
      <c r="FS121" s="873"/>
      <c r="FT121" s="873"/>
      <c r="FU121" s="873"/>
      <c r="FV121" s="873"/>
      <c r="FW121" s="873"/>
      <c r="FX121" s="873"/>
      <c r="FY121" s="873"/>
      <c r="FZ121" s="873"/>
      <c r="GA121" s="873"/>
      <c r="GB121" s="873"/>
      <c r="GC121" s="873"/>
      <c r="GD121" s="873"/>
      <c r="GE121" s="873"/>
      <c r="GF121" s="873"/>
      <c r="GG121" s="873"/>
      <c r="GH121" s="873"/>
      <c r="GI121" s="873"/>
      <c r="GJ121" s="873"/>
      <c r="GK121" s="873"/>
      <c r="GL121" s="873"/>
      <c r="GM121" s="873"/>
      <c r="GN121" s="873"/>
      <c r="GO121" s="873"/>
      <c r="GP121" s="873"/>
      <c r="GQ121" s="873"/>
      <c r="GR121" s="873"/>
      <c r="GS121" s="873"/>
      <c r="GT121" s="873"/>
      <c r="GU121" s="873"/>
      <c r="GV121" s="873"/>
      <c r="GW121" s="873"/>
      <c r="GX121" s="873"/>
      <c r="GY121" s="873"/>
      <c r="GZ121" s="873"/>
      <c r="HA121" s="873"/>
      <c r="HB121" s="873"/>
      <c r="HC121" s="873"/>
      <c r="HD121" s="873"/>
      <c r="HE121" s="873"/>
      <c r="HF121" s="873"/>
      <c r="HG121" s="873"/>
      <c r="HH121" s="873"/>
      <c r="HI121" s="873"/>
      <c r="HJ121" s="873"/>
      <c r="HK121" s="873"/>
      <c r="HL121" s="873"/>
      <c r="HM121" s="873"/>
      <c r="HN121" s="873"/>
      <c r="HO121" s="873"/>
      <c r="HP121" s="873"/>
      <c r="HQ121" s="873"/>
      <c r="HR121" s="873"/>
      <c r="HS121" s="873"/>
      <c r="HT121" s="873"/>
      <c r="HU121" s="873"/>
      <c r="HV121" s="873"/>
      <c r="HW121" s="873"/>
      <c r="HX121" s="873"/>
      <c r="HY121" s="873"/>
      <c r="HZ121" s="873"/>
      <c r="IA121" s="873"/>
      <c r="IB121" s="873"/>
      <c r="IC121" s="873"/>
      <c r="ID121" s="873"/>
      <c r="IE121" s="873"/>
      <c r="IF121" s="873"/>
      <c r="IG121" s="873"/>
      <c r="IH121" s="873"/>
      <c r="II121" s="873"/>
      <c r="IJ121" s="873"/>
      <c r="IK121" s="873"/>
      <c r="IL121" s="873"/>
      <c r="IM121" s="873"/>
      <c r="IN121" s="873"/>
      <c r="IO121" s="873"/>
      <c r="IP121" s="873"/>
      <c r="IQ121" s="873"/>
      <c r="IR121" s="873"/>
      <c r="IS121" s="873"/>
      <c r="IT121" s="873"/>
      <c r="IU121" s="873"/>
      <c r="IV121" s="873"/>
      <c r="IW121" s="873"/>
      <c r="IX121" s="873"/>
      <c r="IY121" s="873"/>
      <c r="IZ121" s="873"/>
      <c r="JA121" s="873"/>
      <c r="JB121" s="873"/>
      <c r="JC121" s="873"/>
      <c r="JD121" s="873"/>
      <c r="JE121" s="873"/>
      <c r="JF121" s="873"/>
      <c r="JG121" s="873"/>
      <c r="JH121" s="873"/>
      <c r="JI121" s="873"/>
      <c r="JJ121" s="873"/>
      <c r="JK121" s="873"/>
      <c r="JL121" s="873"/>
      <c r="JM121" s="873"/>
      <c r="JN121" s="873"/>
      <c r="JO121" s="873"/>
      <c r="JP121" s="873"/>
      <c r="JQ121" s="873"/>
      <c r="JR121" s="873"/>
      <c r="JS121" s="873"/>
      <c r="JT121" s="873"/>
      <c r="JU121" s="873"/>
      <c r="JV121" s="402"/>
    </row>
    <row r="122" spans="1:282">
      <c r="A122" s="672"/>
      <c r="B122" s="408"/>
      <c r="C122" s="873"/>
      <c r="D122" s="888"/>
      <c r="E122" s="671"/>
      <c r="F122" s="873"/>
      <c r="G122" s="873"/>
      <c r="H122" s="873"/>
      <c r="I122" s="873"/>
      <c r="J122" s="873"/>
      <c r="K122" s="873"/>
      <c r="L122" s="873"/>
      <c r="M122" s="873"/>
      <c r="N122" s="873"/>
      <c r="O122" s="873"/>
      <c r="P122" s="873"/>
      <c r="Q122" s="873"/>
      <c r="R122" s="873"/>
      <c r="S122" s="873"/>
      <c r="T122" s="873"/>
      <c r="U122" s="873"/>
      <c r="V122" s="873"/>
      <c r="W122" s="873"/>
      <c r="X122" s="873"/>
      <c r="Y122" s="873"/>
      <c r="Z122" s="873"/>
      <c r="AA122" s="394"/>
      <c r="AB122" s="873"/>
      <c r="AC122" s="394"/>
      <c r="AD122" s="873"/>
      <c r="AE122" s="873"/>
      <c r="AF122" s="873"/>
      <c r="AG122" s="873"/>
      <c r="AH122" s="873"/>
      <c r="AI122" s="873"/>
      <c r="AJ122" s="403"/>
      <c r="AK122" s="403"/>
      <c r="AL122" s="873"/>
      <c r="AM122" s="873"/>
      <c r="AN122" s="403"/>
      <c r="AO122" s="403"/>
      <c r="AP122" s="394"/>
      <c r="AQ122" s="394"/>
      <c r="AR122" s="394"/>
      <c r="AS122" s="394"/>
      <c r="AT122" s="394"/>
      <c r="AU122" s="873"/>
      <c r="AV122" s="873"/>
      <c r="AW122" s="873"/>
      <c r="AX122" s="873"/>
      <c r="AY122" s="873"/>
      <c r="AZ122" s="873"/>
      <c r="BA122" s="394"/>
      <c r="BB122" s="873"/>
      <c r="BC122" s="873"/>
      <c r="BD122" s="873"/>
      <c r="BE122" s="873"/>
      <c r="BF122" s="873"/>
      <c r="BG122" s="873"/>
      <c r="BH122" s="873"/>
      <c r="BI122" s="873"/>
      <c r="BJ122" s="873"/>
      <c r="BK122" s="873"/>
      <c r="BL122" s="873"/>
      <c r="BM122" s="873"/>
      <c r="BN122" s="873"/>
      <c r="BO122" s="873"/>
      <c r="BP122" s="873"/>
      <c r="BQ122" s="873"/>
      <c r="BR122" s="873"/>
      <c r="BS122" s="873"/>
      <c r="BT122" s="873"/>
      <c r="BU122" s="873"/>
      <c r="BV122" s="873"/>
      <c r="BW122" s="873"/>
      <c r="BX122" s="873"/>
      <c r="BY122" s="873"/>
      <c r="BZ122" s="873"/>
      <c r="CA122" s="873"/>
      <c r="CB122" s="873"/>
      <c r="CC122" s="873"/>
      <c r="CD122" s="873"/>
      <c r="CE122" s="873"/>
      <c r="CF122" s="873"/>
      <c r="CG122" s="873"/>
      <c r="CH122" s="873"/>
      <c r="CI122" s="873"/>
      <c r="CJ122" s="873"/>
      <c r="CK122" s="873"/>
      <c r="CL122" s="873"/>
      <c r="CM122" s="873"/>
      <c r="CN122" s="873"/>
      <c r="CO122" s="873"/>
      <c r="CP122" s="873"/>
      <c r="CQ122" s="873"/>
      <c r="CR122" s="873"/>
      <c r="CS122" s="873"/>
      <c r="CT122" s="873"/>
      <c r="CU122" s="873"/>
      <c r="CV122" s="873"/>
      <c r="CW122" s="873"/>
      <c r="CX122" s="873"/>
      <c r="CY122" s="873"/>
      <c r="CZ122" s="873"/>
      <c r="DA122" s="873"/>
      <c r="DB122" s="873"/>
      <c r="DC122" s="873"/>
      <c r="DD122" s="873"/>
      <c r="DE122" s="873"/>
      <c r="DF122" s="873"/>
      <c r="DG122" s="873"/>
      <c r="DH122" s="873"/>
      <c r="DI122" s="873"/>
      <c r="DJ122" s="873"/>
      <c r="DK122" s="873"/>
      <c r="DL122" s="873"/>
      <c r="DM122" s="873"/>
      <c r="DN122" s="873"/>
      <c r="DO122" s="873"/>
      <c r="DP122" s="873"/>
      <c r="DQ122" s="873"/>
      <c r="DR122" s="873"/>
      <c r="DS122" s="873"/>
      <c r="DT122" s="873"/>
      <c r="DU122" s="873"/>
      <c r="DV122" s="873"/>
      <c r="DW122" s="873"/>
      <c r="DX122" s="873"/>
      <c r="DY122" s="873"/>
      <c r="DZ122" s="873"/>
      <c r="EA122" s="873"/>
      <c r="EB122" s="873"/>
      <c r="EC122" s="873"/>
      <c r="ED122" s="873"/>
      <c r="EE122" s="873"/>
      <c r="EF122" s="873"/>
      <c r="EG122" s="873"/>
      <c r="EH122" s="873"/>
      <c r="EI122" s="873"/>
      <c r="EJ122" s="873"/>
      <c r="EK122" s="873"/>
      <c r="EL122" s="873"/>
      <c r="EM122" s="873"/>
      <c r="EN122" s="873"/>
      <c r="EO122" s="873"/>
      <c r="EP122" s="873"/>
      <c r="EQ122" s="873"/>
      <c r="ER122" s="873"/>
      <c r="ES122" s="873"/>
      <c r="ET122" s="873"/>
      <c r="EU122" s="873"/>
      <c r="EV122" s="873"/>
      <c r="EW122" s="873"/>
      <c r="EX122" s="873"/>
      <c r="EY122" s="873"/>
      <c r="EZ122" s="873"/>
      <c r="FA122" s="873"/>
      <c r="FB122" s="873"/>
      <c r="FC122" s="873"/>
      <c r="FD122" s="873"/>
      <c r="FE122" s="873"/>
      <c r="FF122" s="873"/>
      <c r="FG122" s="873"/>
      <c r="FH122" s="873"/>
      <c r="FI122" s="873"/>
      <c r="FJ122" s="873"/>
      <c r="FK122" s="873"/>
      <c r="FL122" s="873"/>
      <c r="FM122" s="873"/>
      <c r="FN122" s="873"/>
      <c r="FO122" s="873"/>
      <c r="FP122" s="873"/>
      <c r="FQ122" s="873"/>
      <c r="FR122" s="873"/>
      <c r="FS122" s="873"/>
      <c r="FT122" s="873"/>
      <c r="FU122" s="873"/>
      <c r="FV122" s="873"/>
      <c r="FW122" s="873"/>
      <c r="FX122" s="873"/>
      <c r="FY122" s="873"/>
      <c r="FZ122" s="873"/>
      <c r="GA122" s="873"/>
      <c r="GB122" s="873"/>
      <c r="GC122" s="873"/>
      <c r="GD122" s="873"/>
      <c r="GE122" s="873"/>
      <c r="GF122" s="873"/>
      <c r="GG122" s="873"/>
      <c r="GH122" s="873"/>
      <c r="GI122" s="873"/>
      <c r="GJ122" s="873"/>
      <c r="GK122" s="873"/>
      <c r="GL122" s="873"/>
      <c r="GM122" s="873"/>
      <c r="GN122" s="873"/>
      <c r="GO122" s="873"/>
      <c r="GP122" s="873"/>
      <c r="GQ122" s="873"/>
      <c r="GR122" s="873"/>
      <c r="GS122" s="873"/>
      <c r="GT122" s="873"/>
      <c r="GU122" s="873"/>
      <c r="GV122" s="873"/>
      <c r="GW122" s="873"/>
      <c r="GX122" s="873"/>
      <c r="GY122" s="873"/>
      <c r="GZ122" s="873"/>
      <c r="HA122" s="873"/>
      <c r="HB122" s="873"/>
      <c r="HC122" s="873"/>
      <c r="HD122" s="873"/>
      <c r="HE122" s="873"/>
      <c r="HF122" s="873"/>
      <c r="HG122" s="873"/>
      <c r="HH122" s="873"/>
      <c r="HI122" s="873"/>
      <c r="HJ122" s="873"/>
      <c r="HK122" s="873"/>
      <c r="HL122" s="873"/>
      <c r="HM122" s="873"/>
      <c r="HN122" s="873"/>
      <c r="HO122" s="873"/>
      <c r="HP122" s="873"/>
      <c r="HQ122" s="873"/>
      <c r="HR122" s="873"/>
      <c r="HS122" s="873"/>
      <c r="HT122" s="873"/>
      <c r="HU122" s="873"/>
      <c r="HV122" s="873"/>
      <c r="HW122" s="873"/>
      <c r="HX122" s="873"/>
      <c r="HY122" s="873"/>
      <c r="HZ122" s="873"/>
      <c r="IA122" s="873"/>
      <c r="IB122" s="873"/>
      <c r="IC122" s="873"/>
      <c r="ID122" s="873"/>
      <c r="IE122" s="873"/>
      <c r="IF122" s="873"/>
      <c r="IG122" s="873"/>
      <c r="IH122" s="873"/>
      <c r="II122" s="873"/>
      <c r="IJ122" s="873"/>
      <c r="IK122" s="873"/>
      <c r="IL122" s="873"/>
      <c r="IM122" s="873"/>
      <c r="IN122" s="873"/>
      <c r="IO122" s="873"/>
      <c r="IP122" s="873"/>
      <c r="IQ122" s="873"/>
      <c r="IR122" s="873"/>
      <c r="IS122" s="873"/>
      <c r="IT122" s="873"/>
      <c r="IU122" s="873"/>
      <c r="IV122" s="873"/>
      <c r="IW122" s="873"/>
      <c r="IX122" s="873"/>
      <c r="IY122" s="873"/>
      <c r="IZ122" s="873"/>
      <c r="JA122" s="873"/>
      <c r="JB122" s="873"/>
      <c r="JC122" s="873"/>
      <c r="JD122" s="873"/>
      <c r="JE122" s="873"/>
      <c r="JF122" s="873"/>
      <c r="JG122" s="873"/>
      <c r="JH122" s="873"/>
      <c r="JI122" s="873"/>
      <c r="JJ122" s="873"/>
      <c r="JK122" s="873"/>
      <c r="JL122" s="873"/>
      <c r="JM122" s="873"/>
      <c r="JN122" s="873"/>
      <c r="JO122" s="873"/>
      <c r="JP122" s="873"/>
      <c r="JQ122" s="873"/>
      <c r="JR122" s="873"/>
      <c r="JS122" s="873"/>
      <c r="JT122" s="873"/>
      <c r="JU122" s="873"/>
      <c r="JV122" s="402"/>
    </row>
    <row r="123" spans="1:282">
      <c r="A123" s="672"/>
      <c r="B123" s="408"/>
      <c r="C123" s="873"/>
      <c r="D123" s="888"/>
      <c r="E123" s="671"/>
      <c r="F123" s="873"/>
      <c r="G123" s="873"/>
      <c r="H123" s="873"/>
      <c r="I123" s="873"/>
      <c r="J123" s="873"/>
      <c r="K123" s="873"/>
      <c r="L123" s="873"/>
      <c r="M123" s="873"/>
      <c r="N123" s="873"/>
      <c r="O123" s="873"/>
      <c r="P123" s="873"/>
      <c r="Q123" s="873"/>
      <c r="R123" s="873"/>
      <c r="S123" s="873"/>
      <c r="T123" s="873"/>
      <c r="U123" s="873"/>
      <c r="V123" s="873"/>
      <c r="W123" s="873"/>
      <c r="X123" s="873"/>
      <c r="Y123" s="873"/>
      <c r="Z123" s="873"/>
      <c r="AA123" s="394"/>
      <c r="AB123" s="873"/>
      <c r="AC123" s="394"/>
      <c r="AD123" s="873"/>
      <c r="AE123" s="873"/>
      <c r="AF123" s="873"/>
      <c r="AG123" s="873"/>
      <c r="AH123" s="873"/>
      <c r="AI123" s="873"/>
      <c r="AJ123" s="403"/>
      <c r="AK123" s="403"/>
      <c r="AL123" s="873"/>
      <c r="AM123" s="873"/>
      <c r="AN123" s="403"/>
      <c r="AO123" s="403"/>
      <c r="AP123" s="394"/>
      <c r="AQ123" s="394"/>
      <c r="AR123" s="394"/>
      <c r="AS123" s="394"/>
      <c r="AT123" s="394"/>
      <c r="AU123" s="873"/>
      <c r="AV123" s="873"/>
      <c r="AW123" s="873"/>
      <c r="AX123" s="873"/>
      <c r="AY123" s="873"/>
      <c r="AZ123" s="873"/>
      <c r="BA123" s="394"/>
      <c r="BB123" s="873"/>
      <c r="BC123" s="873"/>
      <c r="BD123" s="873"/>
      <c r="BE123" s="873"/>
      <c r="BF123" s="873"/>
      <c r="BG123" s="873"/>
      <c r="BH123" s="873"/>
      <c r="BI123" s="873"/>
      <c r="BJ123" s="873"/>
      <c r="BK123" s="873"/>
      <c r="BL123" s="873"/>
      <c r="BM123" s="873"/>
      <c r="BN123" s="873"/>
      <c r="BO123" s="873"/>
      <c r="BP123" s="873"/>
      <c r="BQ123" s="873"/>
      <c r="BR123" s="873"/>
      <c r="BS123" s="873"/>
      <c r="BT123" s="873"/>
      <c r="BU123" s="873"/>
      <c r="BV123" s="873"/>
      <c r="BW123" s="873"/>
      <c r="BX123" s="873"/>
      <c r="BY123" s="873"/>
      <c r="BZ123" s="873"/>
      <c r="CA123" s="873"/>
      <c r="CB123" s="873"/>
      <c r="CC123" s="873"/>
      <c r="CD123" s="873"/>
      <c r="CE123" s="873"/>
      <c r="CF123" s="873"/>
      <c r="CG123" s="873"/>
      <c r="CH123" s="873"/>
      <c r="CI123" s="873"/>
      <c r="CJ123" s="873"/>
      <c r="CK123" s="873"/>
      <c r="CL123" s="873"/>
      <c r="CM123" s="873"/>
      <c r="CN123" s="873"/>
      <c r="CO123" s="873"/>
      <c r="CP123" s="873"/>
      <c r="CQ123" s="873"/>
      <c r="CR123" s="873"/>
      <c r="CS123" s="873"/>
      <c r="CT123" s="873"/>
      <c r="CU123" s="873"/>
      <c r="CV123" s="873"/>
      <c r="CW123" s="873"/>
      <c r="CX123" s="873"/>
      <c r="CY123" s="873"/>
      <c r="CZ123" s="873"/>
      <c r="DA123" s="873"/>
      <c r="DB123" s="873"/>
      <c r="DC123" s="873"/>
      <c r="DD123" s="873"/>
      <c r="DE123" s="873"/>
      <c r="DF123" s="873"/>
      <c r="DG123" s="873"/>
      <c r="DH123" s="873"/>
      <c r="DI123" s="873"/>
      <c r="DJ123" s="873"/>
      <c r="DK123" s="873"/>
      <c r="DL123" s="873"/>
      <c r="DM123" s="873"/>
      <c r="DN123" s="873"/>
      <c r="DO123" s="873"/>
      <c r="DP123" s="873"/>
      <c r="DQ123" s="873"/>
      <c r="DR123" s="873"/>
      <c r="DS123" s="873"/>
      <c r="DT123" s="873"/>
      <c r="DU123" s="873"/>
      <c r="DV123" s="873"/>
      <c r="DW123" s="873"/>
      <c r="DX123" s="873"/>
      <c r="DY123" s="873"/>
      <c r="DZ123" s="873"/>
      <c r="EA123" s="873"/>
      <c r="EB123" s="873"/>
      <c r="EC123" s="873"/>
      <c r="ED123" s="873"/>
      <c r="EE123" s="873"/>
      <c r="EF123" s="873"/>
      <c r="EG123" s="873"/>
      <c r="EH123" s="873"/>
      <c r="EI123" s="873"/>
      <c r="EJ123" s="873"/>
      <c r="EK123" s="873"/>
      <c r="EL123" s="873"/>
      <c r="EM123" s="873"/>
      <c r="EN123" s="873"/>
      <c r="EO123" s="873"/>
      <c r="EP123" s="873"/>
      <c r="EQ123" s="873"/>
      <c r="ER123" s="873"/>
      <c r="ES123" s="873"/>
      <c r="ET123" s="873"/>
      <c r="EU123" s="873"/>
      <c r="EV123" s="873"/>
      <c r="EW123" s="873"/>
      <c r="EX123" s="873"/>
      <c r="EY123" s="873"/>
      <c r="EZ123" s="873"/>
      <c r="FA123" s="873"/>
      <c r="FB123" s="873"/>
      <c r="FC123" s="873"/>
      <c r="FD123" s="873"/>
      <c r="FE123" s="873"/>
      <c r="FF123" s="873"/>
      <c r="FG123" s="873"/>
      <c r="FH123" s="873"/>
      <c r="FI123" s="873"/>
      <c r="FJ123" s="873"/>
      <c r="FK123" s="873"/>
      <c r="FL123" s="873"/>
      <c r="FM123" s="873"/>
      <c r="FN123" s="873"/>
      <c r="FO123" s="873"/>
      <c r="FP123" s="873"/>
      <c r="FQ123" s="873"/>
      <c r="FR123" s="873"/>
      <c r="FS123" s="873"/>
      <c r="FT123" s="873"/>
      <c r="FU123" s="873"/>
      <c r="FV123" s="873"/>
      <c r="FW123" s="873"/>
      <c r="FX123" s="873"/>
      <c r="FY123" s="873"/>
      <c r="FZ123" s="873"/>
      <c r="GA123" s="873"/>
      <c r="GB123" s="873"/>
      <c r="GC123" s="873"/>
      <c r="GD123" s="873"/>
      <c r="GE123" s="873"/>
      <c r="GF123" s="873"/>
      <c r="GG123" s="873"/>
      <c r="GH123" s="873"/>
      <c r="GI123" s="873"/>
      <c r="GJ123" s="873"/>
      <c r="GK123" s="873"/>
      <c r="GL123" s="873"/>
      <c r="GM123" s="873"/>
      <c r="GN123" s="873"/>
      <c r="GO123" s="873"/>
      <c r="GP123" s="873"/>
      <c r="GQ123" s="873"/>
      <c r="GR123" s="873"/>
      <c r="GS123" s="873"/>
      <c r="GT123" s="873"/>
      <c r="GU123" s="873"/>
      <c r="GV123" s="873"/>
      <c r="GW123" s="873"/>
      <c r="GX123" s="873"/>
      <c r="GY123" s="873"/>
      <c r="GZ123" s="873"/>
      <c r="HA123" s="873"/>
      <c r="HB123" s="873"/>
      <c r="HC123" s="873"/>
      <c r="HD123" s="873"/>
      <c r="HE123" s="873"/>
      <c r="HF123" s="873"/>
      <c r="HG123" s="873"/>
      <c r="HH123" s="873"/>
      <c r="HI123" s="873"/>
      <c r="HJ123" s="873"/>
      <c r="HK123" s="873"/>
      <c r="HL123" s="873"/>
      <c r="HM123" s="873"/>
      <c r="HN123" s="873"/>
      <c r="HO123" s="873"/>
      <c r="HP123" s="873"/>
      <c r="HQ123" s="873"/>
      <c r="HR123" s="873"/>
      <c r="HS123" s="873"/>
      <c r="HT123" s="873"/>
      <c r="HU123" s="873"/>
      <c r="HV123" s="873"/>
      <c r="HW123" s="873"/>
      <c r="HX123" s="873"/>
      <c r="HY123" s="873"/>
      <c r="HZ123" s="873"/>
      <c r="IA123" s="873"/>
      <c r="IB123" s="873"/>
      <c r="IC123" s="873"/>
      <c r="ID123" s="873"/>
      <c r="IE123" s="873"/>
      <c r="IF123" s="873"/>
      <c r="IG123" s="873"/>
      <c r="IH123" s="873"/>
      <c r="II123" s="873"/>
      <c r="IJ123" s="873"/>
      <c r="IK123" s="873"/>
      <c r="IL123" s="873"/>
      <c r="IM123" s="873"/>
      <c r="IN123" s="873"/>
      <c r="IO123" s="873"/>
      <c r="IP123" s="873"/>
      <c r="IQ123" s="873"/>
      <c r="IR123" s="873"/>
      <c r="IS123" s="873"/>
      <c r="IT123" s="873"/>
      <c r="IU123" s="873"/>
      <c r="IV123" s="873"/>
      <c r="IW123" s="873"/>
      <c r="IX123" s="873"/>
      <c r="IY123" s="873"/>
      <c r="IZ123" s="873"/>
      <c r="JA123" s="873"/>
      <c r="JB123" s="873"/>
      <c r="JC123" s="873"/>
      <c r="JD123" s="873"/>
      <c r="JE123" s="873"/>
      <c r="JF123" s="873"/>
      <c r="JG123" s="873"/>
      <c r="JH123" s="873"/>
      <c r="JI123" s="873"/>
      <c r="JJ123" s="873"/>
      <c r="JK123" s="873"/>
      <c r="JL123" s="873"/>
      <c r="JM123" s="873"/>
      <c r="JN123" s="873"/>
      <c r="JO123" s="873"/>
      <c r="JP123" s="873"/>
      <c r="JQ123" s="873"/>
      <c r="JR123" s="873"/>
      <c r="JS123" s="873"/>
      <c r="JT123" s="873"/>
      <c r="JU123" s="873"/>
      <c r="JV123" s="402"/>
    </row>
    <row r="124" spans="1:282">
      <c r="A124" s="672"/>
      <c r="B124" s="408"/>
      <c r="C124" s="873"/>
      <c r="D124" s="888"/>
      <c r="E124" s="671"/>
      <c r="F124" s="873"/>
      <c r="G124" s="873"/>
      <c r="H124" s="873"/>
      <c r="I124" s="873"/>
      <c r="J124" s="873"/>
      <c r="K124" s="873"/>
      <c r="L124" s="873"/>
      <c r="M124" s="873"/>
      <c r="N124" s="873"/>
      <c r="O124" s="873"/>
      <c r="P124" s="873"/>
      <c r="Q124" s="873"/>
      <c r="R124" s="873"/>
      <c r="S124" s="873"/>
      <c r="T124" s="873"/>
      <c r="U124" s="873"/>
      <c r="V124" s="873"/>
      <c r="W124" s="873"/>
      <c r="X124" s="873"/>
      <c r="Y124" s="873"/>
      <c r="Z124" s="873"/>
      <c r="AA124" s="394"/>
      <c r="AB124" s="873"/>
      <c r="AC124" s="394"/>
      <c r="AD124" s="873"/>
      <c r="AE124" s="873"/>
      <c r="AF124" s="873"/>
      <c r="AG124" s="873"/>
      <c r="AH124" s="873"/>
      <c r="AI124" s="873"/>
      <c r="AJ124" s="403"/>
      <c r="AK124" s="403"/>
      <c r="AL124" s="873"/>
      <c r="AM124" s="873"/>
      <c r="AN124" s="403"/>
      <c r="AO124" s="403"/>
      <c r="AP124" s="394"/>
      <c r="AQ124" s="394"/>
      <c r="AR124" s="394"/>
      <c r="AS124" s="394"/>
      <c r="AT124" s="394"/>
      <c r="AU124" s="873"/>
      <c r="AV124" s="873"/>
      <c r="AW124" s="873"/>
      <c r="AX124" s="873"/>
      <c r="AY124" s="873"/>
      <c r="AZ124" s="873"/>
      <c r="BA124" s="394"/>
      <c r="BB124" s="873"/>
      <c r="BC124" s="873"/>
      <c r="BD124" s="873"/>
      <c r="BE124" s="873"/>
      <c r="BF124" s="873"/>
      <c r="BG124" s="873"/>
      <c r="BH124" s="873"/>
      <c r="BI124" s="873"/>
      <c r="BJ124" s="873"/>
      <c r="BK124" s="873"/>
      <c r="BL124" s="873"/>
      <c r="BM124" s="873"/>
      <c r="BN124" s="873"/>
      <c r="BO124" s="873"/>
      <c r="BP124" s="873"/>
      <c r="BQ124" s="873"/>
      <c r="BR124" s="873"/>
      <c r="BS124" s="873"/>
      <c r="BT124" s="873"/>
      <c r="BU124" s="873"/>
      <c r="BV124" s="873"/>
      <c r="BW124" s="873"/>
      <c r="BX124" s="873"/>
      <c r="BY124" s="873"/>
      <c r="BZ124" s="873"/>
      <c r="CA124" s="873"/>
      <c r="CB124" s="873"/>
      <c r="CC124" s="873"/>
      <c r="CD124" s="873"/>
      <c r="CE124" s="873"/>
      <c r="CF124" s="873"/>
      <c r="CG124" s="873"/>
      <c r="CH124" s="873"/>
      <c r="CI124" s="873"/>
      <c r="CJ124" s="873"/>
      <c r="CK124" s="873"/>
      <c r="CL124" s="873"/>
      <c r="CM124" s="873"/>
      <c r="CN124" s="873"/>
      <c r="CO124" s="873"/>
      <c r="CP124" s="873"/>
      <c r="CQ124" s="873"/>
      <c r="CR124" s="873"/>
      <c r="CS124" s="873"/>
      <c r="CT124" s="873"/>
      <c r="CU124" s="873"/>
      <c r="CV124" s="873"/>
      <c r="CW124" s="873"/>
      <c r="CX124" s="873"/>
      <c r="CY124" s="873"/>
      <c r="CZ124" s="873"/>
      <c r="DA124" s="873"/>
      <c r="DB124" s="873"/>
      <c r="DC124" s="873"/>
      <c r="DD124" s="873"/>
      <c r="DE124" s="873"/>
      <c r="DF124" s="873"/>
      <c r="DG124" s="873"/>
      <c r="DH124" s="873"/>
      <c r="DI124" s="873"/>
      <c r="DJ124" s="873"/>
      <c r="DK124" s="873"/>
      <c r="DL124" s="873"/>
      <c r="DM124" s="873"/>
      <c r="DN124" s="873"/>
      <c r="DO124" s="873"/>
      <c r="DP124" s="873"/>
      <c r="DQ124" s="873"/>
      <c r="DR124" s="873"/>
      <c r="DS124" s="873"/>
      <c r="DT124" s="873"/>
      <c r="DU124" s="873"/>
      <c r="DV124" s="873"/>
      <c r="DW124" s="873"/>
      <c r="DX124" s="873"/>
      <c r="DY124" s="873"/>
      <c r="DZ124" s="873"/>
      <c r="EA124" s="873"/>
      <c r="EB124" s="873"/>
      <c r="EC124" s="873"/>
      <c r="ED124" s="873"/>
      <c r="EE124" s="873"/>
      <c r="EF124" s="873"/>
      <c r="EG124" s="873"/>
      <c r="EH124" s="873"/>
      <c r="EI124" s="873"/>
      <c r="EJ124" s="873"/>
      <c r="EK124" s="873"/>
      <c r="EL124" s="873"/>
      <c r="EM124" s="873"/>
      <c r="EN124" s="873"/>
      <c r="EO124" s="873"/>
      <c r="EP124" s="873"/>
      <c r="EQ124" s="873"/>
      <c r="ER124" s="873"/>
      <c r="ES124" s="873"/>
      <c r="ET124" s="873"/>
      <c r="EU124" s="873"/>
      <c r="EV124" s="873"/>
      <c r="EW124" s="873"/>
      <c r="EX124" s="873"/>
      <c r="EY124" s="873"/>
      <c r="EZ124" s="873"/>
      <c r="FA124" s="873"/>
      <c r="FB124" s="873"/>
      <c r="FC124" s="873"/>
      <c r="FD124" s="873"/>
      <c r="FE124" s="873"/>
      <c r="FF124" s="873"/>
      <c r="FG124" s="873"/>
      <c r="FH124" s="873"/>
      <c r="FI124" s="873"/>
      <c r="FJ124" s="873"/>
      <c r="FK124" s="873"/>
      <c r="FL124" s="873"/>
      <c r="FM124" s="873"/>
      <c r="FN124" s="873"/>
      <c r="FO124" s="873"/>
      <c r="FP124" s="873"/>
      <c r="FQ124" s="873"/>
      <c r="FR124" s="873"/>
      <c r="FS124" s="873"/>
      <c r="FT124" s="873"/>
      <c r="FU124" s="873"/>
      <c r="FV124" s="873"/>
      <c r="FW124" s="873"/>
      <c r="FX124" s="873"/>
      <c r="FY124" s="873"/>
      <c r="FZ124" s="873"/>
      <c r="GA124" s="873"/>
      <c r="GB124" s="873"/>
      <c r="GC124" s="873"/>
      <c r="GD124" s="873"/>
      <c r="GE124" s="873"/>
      <c r="GF124" s="873"/>
      <c r="GG124" s="873"/>
      <c r="GH124" s="873"/>
      <c r="GI124" s="873"/>
      <c r="GJ124" s="873"/>
      <c r="GK124" s="873"/>
      <c r="GL124" s="873"/>
      <c r="GM124" s="873"/>
      <c r="GN124" s="873"/>
      <c r="GO124" s="873"/>
      <c r="GP124" s="873"/>
      <c r="GQ124" s="873"/>
      <c r="GR124" s="873"/>
      <c r="GS124" s="873"/>
      <c r="GT124" s="873"/>
      <c r="GU124" s="873"/>
      <c r="GV124" s="873"/>
      <c r="GW124" s="873"/>
      <c r="GX124" s="873"/>
      <c r="GY124" s="873"/>
      <c r="GZ124" s="873"/>
      <c r="HA124" s="873"/>
      <c r="HB124" s="873"/>
      <c r="HC124" s="873"/>
      <c r="HD124" s="873"/>
      <c r="HE124" s="873"/>
      <c r="HF124" s="873"/>
      <c r="HG124" s="873"/>
      <c r="HH124" s="873"/>
      <c r="HI124" s="873"/>
      <c r="HJ124" s="873"/>
      <c r="HK124" s="873"/>
      <c r="HL124" s="873"/>
      <c r="HM124" s="873"/>
      <c r="HN124" s="873"/>
      <c r="HO124" s="873"/>
      <c r="HP124" s="873"/>
      <c r="HQ124" s="873"/>
      <c r="HR124" s="873"/>
      <c r="HS124" s="873"/>
      <c r="HT124" s="873"/>
      <c r="HU124" s="873"/>
      <c r="HV124" s="873"/>
      <c r="HW124" s="873"/>
      <c r="HX124" s="873"/>
      <c r="HY124" s="873"/>
      <c r="HZ124" s="873"/>
      <c r="IA124" s="873"/>
      <c r="IB124" s="873"/>
      <c r="IC124" s="873"/>
      <c r="ID124" s="873"/>
      <c r="IE124" s="873"/>
      <c r="IF124" s="873"/>
      <c r="IG124" s="873"/>
      <c r="IH124" s="873"/>
      <c r="II124" s="873"/>
      <c r="IJ124" s="873"/>
      <c r="IK124" s="873"/>
      <c r="IL124" s="873"/>
      <c r="IM124" s="873"/>
      <c r="IN124" s="873"/>
      <c r="IO124" s="873"/>
      <c r="IP124" s="873"/>
      <c r="IQ124" s="873"/>
      <c r="IR124" s="873"/>
      <c r="IS124" s="873"/>
      <c r="IT124" s="873"/>
      <c r="IU124" s="873"/>
      <c r="IV124" s="873"/>
      <c r="IW124" s="873"/>
      <c r="IX124" s="873"/>
      <c r="IY124" s="873"/>
      <c r="IZ124" s="873"/>
      <c r="JA124" s="873"/>
      <c r="JB124" s="873"/>
      <c r="JC124" s="873"/>
      <c r="JD124" s="873"/>
      <c r="JE124" s="873"/>
      <c r="JF124" s="873"/>
      <c r="JG124" s="873"/>
      <c r="JH124" s="873"/>
      <c r="JI124" s="873"/>
      <c r="JJ124" s="873"/>
      <c r="JK124" s="873"/>
      <c r="JL124" s="873"/>
      <c r="JM124" s="873"/>
      <c r="JN124" s="873"/>
      <c r="JO124" s="873"/>
      <c r="JP124" s="873"/>
      <c r="JQ124" s="873"/>
      <c r="JR124" s="873"/>
      <c r="JS124" s="873"/>
      <c r="JT124" s="873"/>
      <c r="JU124" s="873"/>
      <c r="JV124" s="402"/>
    </row>
    <row r="125" spans="1:282">
      <c r="A125" s="672"/>
      <c r="B125" s="408"/>
      <c r="C125" s="873"/>
      <c r="D125" s="888"/>
      <c r="E125" s="671"/>
      <c r="F125" s="873"/>
      <c r="G125" s="873"/>
      <c r="H125" s="873"/>
      <c r="I125" s="873"/>
      <c r="J125" s="873"/>
      <c r="K125" s="873"/>
      <c r="L125" s="873"/>
      <c r="M125" s="873"/>
      <c r="N125" s="873"/>
      <c r="O125" s="873"/>
      <c r="P125" s="873"/>
      <c r="Q125" s="873"/>
      <c r="R125" s="873"/>
      <c r="S125" s="873"/>
      <c r="T125" s="873"/>
      <c r="U125" s="873"/>
      <c r="V125" s="873"/>
      <c r="W125" s="873"/>
      <c r="X125" s="873"/>
      <c r="Y125" s="873"/>
      <c r="Z125" s="873"/>
      <c r="AA125" s="394"/>
      <c r="AB125" s="873"/>
      <c r="AC125" s="394"/>
      <c r="AD125" s="873"/>
      <c r="AE125" s="873"/>
      <c r="AF125" s="873"/>
      <c r="AG125" s="873"/>
      <c r="AH125" s="873"/>
      <c r="AI125" s="873"/>
      <c r="AJ125" s="403"/>
      <c r="AK125" s="403"/>
      <c r="AL125" s="873"/>
      <c r="AM125" s="873"/>
      <c r="AN125" s="403"/>
      <c r="AO125" s="403"/>
      <c r="AP125" s="394"/>
      <c r="AQ125" s="394"/>
      <c r="AR125" s="394"/>
      <c r="AS125" s="394"/>
      <c r="AT125" s="394"/>
      <c r="AU125" s="873"/>
      <c r="AV125" s="873"/>
      <c r="AW125" s="873"/>
      <c r="AX125" s="873"/>
      <c r="AY125" s="873"/>
      <c r="AZ125" s="873"/>
      <c r="BA125" s="394"/>
      <c r="BB125" s="873"/>
      <c r="BC125" s="873"/>
      <c r="BD125" s="873"/>
      <c r="BE125" s="873"/>
      <c r="BF125" s="873"/>
      <c r="BG125" s="873"/>
      <c r="BH125" s="873"/>
      <c r="BI125" s="873"/>
      <c r="BJ125" s="873"/>
      <c r="BK125" s="873"/>
      <c r="BL125" s="873"/>
      <c r="BM125" s="873"/>
      <c r="BN125" s="873"/>
      <c r="BO125" s="873"/>
      <c r="BP125" s="873"/>
      <c r="BQ125" s="873"/>
      <c r="BR125" s="873"/>
      <c r="BS125" s="873"/>
      <c r="BT125" s="873"/>
      <c r="BU125" s="873"/>
      <c r="BV125" s="873"/>
      <c r="BW125" s="873"/>
      <c r="BX125" s="873"/>
      <c r="BY125" s="873"/>
      <c r="BZ125" s="873"/>
      <c r="CA125" s="873"/>
      <c r="CB125" s="873"/>
      <c r="CC125" s="873"/>
      <c r="CD125" s="873"/>
      <c r="CE125" s="873"/>
      <c r="CF125" s="873"/>
      <c r="CG125" s="873"/>
      <c r="CH125" s="873"/>
      <c r="CI125" s="873"/>
      <c r="CJ125" s="873"/>
      <c r="CK125" s="873"/>
      <c r="CL125" s="873"/>
      <c r="CM125" s="873"/>
      <c r="CN125" s="873"/>
      <c r="CO125" s="873"/>
      <c r="CP125" s="873"/>
      <c r="CQ125" s="873"/>
      <c r="CR125" s="873"/>
      <c r="CS125" s="873"/>
      <c r="CT125" s="873"/>
      <c r="CU125" s="873"/>
      <c r="CV125" s="873"/>
      <c r="CW125" s="873"/>
      <c r="CX125" s="873"/>
      <c r="CY125" s="873"/>
      <c r="CZ125" s="873"/>
      <c r="DA125" s="873"/>
      <c r="DB125" s="873"/>
      <c r="DC125" s="873"/>
      <c r="DD125" s="873"/>
      <c r="DE125" s="873"/>
      <c r="DF125" s="873"/>
      <c r="DG125" s="873"/>
      <c r="DH125" s="873"/>
      <c r="DI125" s="873"/>
      <c r="DJ125" s="873"/>
      <c r="DK125" s="873"/>
      <c r="DL125" s="873"/>
      <c r="DM125" s="873"/>
      <c r="DN125" s="873"/>
      <c r="DO125" s="873"/>
      <c r="DP125" s="873"/>
      <c r="DQ125" s="873"/>
      <c r="DR125" s="873"/>
      <c r="DS125" s="873"/>
      <c r="DT125" s="873"/>
      <c r="DU125" s="873"/>
      <c r="DV125" s="873"/>
      <c r="DW125" s="873"/>
      <c r="DX125" s="873"/>
      <c r="DY125" s="873"/>
      <c r="DZ125" s="873"/>
      <c r="EA125" s="873"/>
      <c r="EB125" s="873"/>
      <c r="EC125" s="873"/>
      <c r="ED125" s="873"/>
      <c r="EE125" s="873"/>
      <c r="EF125" s="873"/>
      <c r="EG125" s="873"/>
      <c r="EH125" s="873"/>
      <c r="EI125" s="873"/>
      <c r="EJ125" s="873"/>
      <c r="EK125" s="873"/>
      <c r="EL125" s="873"/>
      <c r="EM125" s="873"/>
      <c r="EN125" s="873"/>
      <c r="EO125" s="873"/>
      <c r="EP125" s="873"/>
      <c r="EQ125" s="873"/>
      <c r="ER125" s="873"/>
      <c r="ES125" s="873"/>
      <c r="ET125" s="873"/>
      <c r="EU125" s="873"/>
      <c r="EV125" s="873"/>
      <c r="EW125" s="873"/>
      <c r="EX125" s="873"/>
      <c r="EY125" s="873"/>
      <c r="EZ125" s="873"/>
      <c r="FA125" s="873"/>
      <c r="FB125" s="873"/>
      <c r="FC125" s="873"/>
      <c r="FD125" s="873"/>
      <c r="FE125" s="873"/>
      <c r="FF125" s="873"/>
      <c r="FG125" s="873"/>
      <c r="FH125" s="873"/>
      <c r="FI125" s="873"/>
      <c r="FJ125" s="873"/>
      <c r="FK125" s="873"/>
      <c r="FL125" s="873"/>
      <c r="FM125" s="873"/>
      <c r="FN125" s="873"/>
      <c r="FO125" s="873"/>
      <c r="FP125" s="873"/>
      <c r="FQ125" s="873"/>
      <c r="FR125" s="873"/>
      <c r="FS125" s="873"/>
      <c r="FT125" s="873"/>
      <c r="FU125" s="873"/>
      <c r="FV125" s="873"/>
      <c r="FW125" s="873"/>
      <c r="FX125" s="873"/>
      <c r="FY125" s="873"/>
      <c r="FZ125" s="873"/>
      <c r="GA125" s="873"/>
      <c r="GB125" s="873"/>
      <c r="GC125" s="873"/>
      <c r="GD125" s="873"/>
      <c r="GE125" s="873"/>
      <c r="GF125" s="873"/>
      <c r="GG125" s="873"/>
      <c r="GH125" s="873"/>
      <c r="GI125" s="873"/>
      <c r="GJ125" s="873"/>
      <c r="GK125" s="873"/>
      <c r="GL125" s="873"/>
      <c r="GM125" s="873"/>
      <c r="GN125" s="873"/>
      <c r="GO125" s="873"/>
      <c r="GP125" s="873"/>
      <c r="GQ125" s="873"/>
      <c r="GR125" s="873"/>
      <c r="GS125" s="873"/>
      <c r="GT125" s="873"/>
      <c r="GU125" s="873"/>
      <c r="GV125" s="873"/>
      <c r="GW125" s="873"/>
      <c r="GX125" s="873"/>
      <c r="GY125" s="873"/>
      <c r="GZ125" s="873"/>
      <c r="HA125" s="873"/>
      <c r="HB125" s="873"/>
      <c r="HC125" s="873"/>
      <c r="HD125" s="873"/>
      <c r="HE125" s="873"/>
      <c r="HF125" s="873"/>
      <c r="HG125" s="873"/>
      <c r="HH125" s="873"/>
      <c r="HI125" s="873"/>
      <c r="HJ125" s="873"/>
      <c r="HK125" s="873"/>
      <c r="HL125" s="873"/>
      <c r="HM125" s="873"/>
      <c r="HN125" s="873"/>
      <c r="HO125" s="873"/>
      <c r="HP125" s="873"/>
      <c r="HQ125" s="873"/>
      <c r="HR125" s="873"/>
      <c r="HS125" s="873"/>
      <c r="HT125" s="873"/>
      <c r="HU125" s="873"/>
      <c r="HV125" s="873"/>
      <c r="HW125" s="873"/>
      <c r="HX125" s="873"/>
      <c r="HY125" s="873"/>
      <c r="HZ125" s="873"/>
      <c r="IA125" s="873"/>
      <c r="IB125" s="873"/>
      <c r="IC125" s="873"/>
      <c r="ID125" s="873"/>
      <c r="IE125" s="873"/>
      <c r="IF125" s="873"/>
      <c r="IG125" s="873"/>
      <c r="IH125" s="873"/>
      <c r="II125" s="873"/>
      <c r="IJ125" s="873"/>
      <c r="IK125" s="873"/>
      <c r="IL125" s="873"/>
      <c r="IM125" s="873"/>
      <c r="IN125" s="873"/>
      <c r="IO125" s="873"/>
      <c r="IP125" s="873"/>
      <c r="IQ125" s="873"/>
      <c r="IR125" s="873"/>
      <c r="IS125" s="873"/>
      <c r="IT125" s="873"/>
      <c r="IU125" s="873"/>
      <c r="IV125" s="873"/>
      <c r="IW125" s="873"/>
      <c r="IX125" s="873"/>
      <c r="IY125" s="873"/>
      <c r="IZ125" s="873"/>
      <c r="JA125" s="873"/>
      <c r="JB125" s="873"/>
      <c r="JC125" s="873"/>
      <c r="JD125" s="873"/>
      <c r="JE125" s="873"/>
      <c r="JF125" s="873"/>
      <c r="JG125" s="873"/>
      <c r="JH125" s="873"/>
      <c r="JI125" s="873"/>
      <c r="JJ125" s="873"/>
      <c r="JK125" s="873"/>
      <c r="JL125" s="873"/>
      <c r="JM125" s="873"/>
      <c r="JN125" s="873"/>
      <c r="JO125" s="873"/>
      <c r="JP125" s="873"/>
      <c r="JQ125" s="873"/>
      <c r="JR125" s="873"/>
      <c r="JS125" s="873"/>
      <c r="JT125" s="873"/>
      <c r="JU125" s="873"/>
      <c r="JV125" s="402"/>
    </row>
    <row r="126" spans="1:282">
      <c r="A126" s="672"/>
      <c r="B126" s="408"/>
      <c r="C126" s="873"/>
      <c r="D126" s="888"/>
      <c r="E126" s="671"/>
      <c r="F126" s="873"/>
      <c r="G126" s="873"/>
      <c r="H126" s="873"/>
      <c r="I126" s="873"/>
      <c r="J126" s="873"/>
      <c r="K126" s="873"/>
      <c r="L126" s="873"/>
      <c r="M126" s="873"/>
      <c r="N126" s="873"/>
      <c r="O126" s="873"/>
      <c r="P126" s="873"/>
      <c r="Q126" s="873"/>
      <c r="R126" s="873"/>
      <c r="S126" s="873"/>
      <c r="T126" s="873"/>
      <c r="U126" s="873"/>
      <c r="V126" s="873"/>
      <c r="W126" s="873"/>
      <c r="X126" s="873"/>
      <c r="Y126" s="873"/>
      <c r="Z126" s="873"/>
      <c r="AA126" s="394"/>
      <c r="AB126" s="873"/>
      <c r="AC126" s="394"/>
      <c r="AD126" s="873"/>
      <c r="AE126" s="873"/>
      <c r="AF126" s="873"/>
      <c r="AG126" s="873"/>
      <c r="AH126" s="873"/>
      <c r="AI126" s="873"/>
      <c r="AJ126" s="403"/>
      <c r="AK126" s="403"/>
      <c r="AL126" s="873"/>
      <c r="AM126" s="873"/>
      <c r="AN126" s="403"/>
      <c r="AO126" s="403"/>
      <c r="AP126" s="394"/>
      <c r="AQ126" s="394"/>
      <c r="AR126" s="394"/>
      <c r="AS126" s="394"/>
      <c r="AT126" s="394"/>
      <c r="AU126" s="873"/>
      <c r="AV126" s="873"/>
      <c r="AW126" s="873"/>
      <c r="AX126" s="873"/>
      <c r="AY126" s="873"/>
      <c r="AZ126" s="873"/>
      <c r="BA126" s="394"/>
      <c r="BB126" s="873"/>
      <c r="BC126" s="873"/>
      <c r="BD126" s="873"/>
      <c r="BE126" s="873"/>
      <c r="BF126" s="873"/>
      <c r="BG126" s="873"/>
      <c r="BH126" s="873"/>
      <c r="BI126" s="873"/>
      <c r="BJ126" s="873"/>
      <c r="BK126" s="873"/>
      <c r="BL126" s="873"/>
      <c r="BM126" s="873"/>
      <c r="BN126" s="873"/>
      <c r="BO126" s="873"/>
      <c r="BP126" s="873"/>
      <c r="BQ126" s="873"/>
      <c r="BR126" s="873"/>
      <c r="BS126" s="873"/>
      <c r="BT126" s="873"/>
      <c r="BU126" s="873"/>
      <c r="BV126" s="873"/>
      <c r="BW126" s="873"/>
      <c r="BX126" s="873"/>
      <c r="BY126" s="873"/>
      <c r="BZ126" s="873"/>
      <c r="CA126" s="873"/>
      <c r="CB126" s="873"/>
      <c r="CC126" s="873"/>
      <c r="CD126" s="873"/>
      <c r="CE126" s="873"/>
      <c r="CF126" s="873"/>
      <c r="CG126" s="873"/>
      <c r="CH126" s="873"/>
      <c r="CI126" s="873"/>
      <c r="CJ126" s="873"/>
      <c r="CK126" s="873"/>
      <c r="CL126" s="873"/>
      <c r="CM126" s="873"/>
      <c r="CN126" s="873"/>
      <c r="CO126" s="873"/>
      <c r="CP126" s="873"/>
      <c r="CQ126" s="873"/>
      <c r="CR126" s="873"/>
      <c r="CS126" s="873"/>
      <c r="CT126" s="873"/>
      <c r="CU126" s="873"/>
      <c r="CV126" s="873"/>
      <c r="CW126" s="873"/>
      <c r="CX126" s="873"/>
      <c r="CY126" s="873"/>
      <c r="CZ126" s="873"/>
      <c r="DA126" s="873"/>
      <c r="DB126" s="873"/>
      <c r="DC126" s="873"/>
      <c r="DD126" s="873"/>
      <c r="DE126" s="873"/>
      <c r="DF126" s="873"/>
      <c r="DG126" s="873"/>
      <c r="DH126" s="873"/>
      <c r="DI126" s="873"/>
      <c r="DJ126" s="873"/>
      <c r="DK126" s="873"/>
      <c r="DL126" s="873"/>
      <c r="DM126" s="873"/>
      <c r="DN126" s="873"/>
      <c r="DO126" s="873"/>
      <c r="DP126" s="873"/>
      <c r="DQ126" s="873"/>
      <c r="DR126" s="873"/>
      <c r="DS126" s="873"/>
      <c r="DT126" s="873"/>
      <c r="DU126" s="873"/>
      <c r="DV126" s="873"/>
      <c r="DW126" s="873"/>
      <c r="DX126" s="873"/>
      <c r="DY126" s="873"/>
      <c r="DZ126" s="873"/>
      <c r="EA126" s="873"/>
      <c r="EB126" s="873"/>
      <c r="EC126" s="873"/>
      <c r="ED126" s="873"/>
      <c r="EE126" s="873"/>
      <c r="EF126" s="873"/>
      <c r="EG126" s="873"/>
      <c r="EH126" s="873"/>
      <c r="EI126" s="873"/>
      <c r="EJ126" s="873"/>
      <c r="EK126" s="873"/>
      <c r="EL126" s="873"/>
      <c r="EM126" s="873"/>
      <c r="EN126" s="873"/>
      <c r="EO126" s="873"/>
      <c r="EP126" s="873"/>
      <c r="EQ126" s="873"/>
      <c r="ER126" s="873"/>
      <c r="ES126" s="873"/>
      <c r="ET126" s="873"/>
      <c r="EU126" s="873"/>
      <c r="EV126" s="873"/>
      <c r="EW126" s="873"/>
      <c r="EX126" s="873"/>
      <c r="EY126" s="873"/>
      <c r="EZ126" s="873"/>
      <c r="FA126" s="873"/>
      <c r="FB126" s="873"/>
      <c r="FC126" s="873"/>
      <c r="FD126" s="873"/>
      <c r="FE126" s="873"/>
      <c r="FF126" s="873"/>
      <c r="FG126" s="873"/>
      <c r="FH126" s="873"/>
      <c r="FI126" s="873"/>
      <c r="FJ126" s="873"/>
      <c r="FK126" s="873"/>
      <c r="FL126" s="873"/>
      <c r="FM126" s="873"/>
      <c r="FN126" s="873"/>
      <c r="FO126" s="873"/>
      <c r="FP126" s="873"/>
      <c r="FQ126" s="873"/>
      <c r="FR126" s="873"/>
      <c r="FS126" s="873"/>
      <c r="FT126" s="873"/>
      <c r="FU126" s="873"/>
      <c r="FV126" s="873"/>
      <c r="FW126" s="873"/>
      <c r="FX126" s="873"/>
      <c r="FY126" s="873"/>
      <c r="FZ126" s="873"/>
      <c r="GA126" s="873"/>
      <c r="GB126" s="873"/>
      <c r="GC126" s="873"/>
      <c r="GD126" s="873"/>
      <c r="GE126" s="873"/>
      <c r="GF126" s="873"/>
      <c r="GG126" s="873"/>
      <c r="GH126" s="873"/>
      <c r="GI126" s="873"/>
      <c r="GJ126" s="873"/>
      <c r="GK126" s="873"/>
      <c r="GL126" s="873"/>
      <c r="GM126" s="873"/>
      <c r="GN126" s="873"/>
      <c r="GO126" s="873"/>
      <c r="GP126" s="873"/>
      <c r="GQ126" s="873"/>
      <c r="GR126" s="873"/>
      <c r="GS126" s="873"/>
      <c r="GT126" s="873"/>
      <c r="GU126" s="873"/>
      <c r="GV126" s="873"/>
      <c r="GW126" s="873"/>
      <c r="GX126" s="873"/>
      <c r="GY126" s="873"/>
      <c r="GZ126" s="873"/>
      <c r="HA126" s="873"/>
      <c r="HB126" s="873"/>
      <c r="HC126" s="873"/>
      <c r="HD126" s="873"/>
      <c r="HE126" s="873"/>
      <c r="HF126" s="873"/>
      <c r="HG126" s="873"/>
      <c r="HH126" s="873"/>
      <c r="HI126" s="873"/>
      <c r="HJ126" s="873"/>
      <c r="HK126" s="873"/>
      <c r="HL126" s="873"/>
      <c r="HM126" s="873"/>
      <c r="HN126" s="873"/>
      <c r="HO126" s="873"/>
      <c r="HP126" s="873"/>
      <c r="HQ126" s="873"/>
      <c r="HR126" s="873"/>
      <c r="HS126" s="873"/>
      <c r="HT126" s="873"/>
      <c r="HU126" s="873"/>
      <c r="HV126" s="873"/>
      <c r="HW126" s="873"/>
      <c r="HX126" s="873"/>
      <c r="HY126" s="873"/>
      <c r="HZ126" s="873"/>
      <c r="IA126" s="873"/>
      <c r="IB126" s="873"/>
      <c r="IC126" s="873"/>
      <c r="ID126" s="873"/>
      <c r="IE126" s="873"/>
      <c r="IF126" s="873"/>
      <c r="IG126" s="873"/>
      <c r="IH126" s="873"/>
      <c r="II126" s="873"/>
      <c r="IJ126" s="873"/>
      <c r="IK126" s="873"/>
      <c r="IL126" s="873"/>
      <c r="IM126" s="873"/>
      <c r="IN126" s="873"/>
      <c r="IO126" s="873"/>
      <c r="IP126" s="873"/>
      <c r="IQ126" s="873"/>
      <c r="IR126" s="873"/>
      <c r="IS126" s="873"/>
      <c r="IT126" s="873"/>
      <c r="IU126" s="873"/>
      <c r="IV126" s="873"/>
      <c r="IW126" s="873"/>
      <c r="IX126" s="873"/>
      <c r="IY126" s="873"/>
      <c r="IZ126" s="873"/>
      <c r="JA126" s="873"/>
      <c r="JB126" s="873"/>
      <c r="JC126" s="873"/>
      <c r="JD126" s="873"/>
      <c r="JE126" s="873"/>
      <c r="JF126" s="873"/>
      <c r="JG126" s="873"/>
      <c r="JH126" s="873"/>
      <c r="JI126" s="873"/>
      <c r="JJ126" s="873"/>
      <c r="JK126" s="873"/>
      <c r="JL126" s="873"/>
      <c r="JM126" s="873"/>
      <c r="JN126" s="873"/>
      <c r="JO126" s="873"/>
      <c r="JP126" s="873"/>
      <c r="JQ126" s="873"/>
      <c r="JR126" s="873"/>
      <c r="JS126" s="873"/>
      <c r="JT126" s="873"/>
      <c r="JU126" s="873"/>
      <c r="JV126" s="402"/>
    </row>
    <row r="127" spans="1:282">
      <c r="A127" s="672"/>
      <c r="B127" s="408"/>
      <c r="C127" s="873"/>
      <c r="D127" s="888"/>
      <c r="E127" s="671"/>
      <c r="F127" s="873"/>
      <c r="G127" s="873"/>
      <c r="H127" s="873"/>
      <c r="I127" s="873"/>
      <c r="J127" s="873"/>
      <c r="K127" s="873"/>
      <c r="L127" s="873"/>
      <c r="M127" s="873"/>
      <c r="N127" s="873"/>
      <c r="O127" s="873"/>
      <c r="P127" s="873"/>
      <c r="Q127" s="873"/>
      <c r="R127" s="873"/>
      <c r="S127" s="873"/>
      <c r="T127" s="873"/>
      <c r="U127" s="873"/>
      <c r="V127" s="873"/>
      <c r="W127" s="873"/>
      <c r="X127" s="873"/>
      <c r="Y127" s="873"/>
      <c r="Z127" s="873"/>
      <c r="AA127" s="394"/>
      <c r="AB127" s="873"/>
      <c r="AC127" s="394"/>
      <c r="AD127" s="873"/>
      <c r="AE127" s="873"/>
      <c r="AF127" s="873"/>
      <c r="AG127" s="873"/>
      <c r="AH127" s="873"/>
      <c r="AI127" s="873"/>
      <c r="AJ127" s="403"/>
      <c r="AK127" s="403"/>
      <c r="AL127" s="873"/>
      <c r="AM127" s="873"/>
      <c r="AN127" s="403"/>
      <c r="AO127" s="403"/>
      <c r="AP127" s="394"/>
      <c r="AQ127" s="394"/>
      <c r="AR127" s="394"/>
      <c r="AS127" s="394"/>
      <c r="AT127" s="394"/>
      <c r="AU127" s="873"/>
      <c r="AV127" s="873"/>
      <c r="AW127" s="873"/>
      <c r="AX127" s="873"/>
      <c r="AY127" s="873"/>
      <c r="AZ127" s="873"/>
      <c r="BA127" s="394"/>
      <c r="BB127" s="873"/>
      <c r="BC127" s="873"/>
      <c r="BD127" s="873"/>
      <c r="BE127" s="873"/>
      <c r="BF127" s="873"/>
      <c r="BG127" s="873"/>
      <c r="BH127" s="873"/>
      <c r="BI127" s="873"/>
      <c r="BJ127" s="873"/>
      <c r="BK127" s="873"/>
      <c r="BL127" s="873"/>
      <c r="BM127" s="873"/>
      <c r="BN127" s="873"/>
      <c r="BO127" s="873"/>
      <c r="BP127" s="873"/>
      <c r="BQ127" s="873"/>
      <c r="BR127" s="873"/>
      <c r="BS127" s="873"/>
      <c r="BT127" s="873"/>
      <c r="BU127" s="873"/>
      <c r="BV127" s="873"/>
      <c r="BW127" s="873"/>
      <c r="BX127" s="873"/>
      <c r="BY127" s="873"/>
      <c r="BZ127" s="873"/>
      <c r="CA127" s="873"/>
      <c r="CB127" s="873"/>
      <c r="CC127" s="873"/>
      <c r="CD127" s="873"/>
      <c r="CE127" s="873"/>
      <c r="CF127" s="873"/>
      <c r="CG127" s="873"/>
      <c r="CH127" s="873"/>
      <c r="CI127" s="873"/>
      <c r="CJ127" s="873"/>
      <c r="CK127" s="873"/>
      <c r="CL127" s="873"/>
      <c r="CM127" s="873"/>
      <c r="CN127" s="873"/>
      <c r="CO127" s="873"/>
      <c r="CP127" s="873"/>
      <c r="CQ127" s="873"/>
      <c r="CR127" s="873"/>
      <c r="CS127" s="873"/>
      <c r="CT127" s="873"/>
      <c r="CU127" s="873"/>
      <c r="CV127" s="873"/>
      <c r="CW127" s="873"/>
      <c r="CX127" s="873"/>
      <c r="CY127" s="873"/>
      <c r="CZ127" s="873"/>
      <c r="DA127" s="873"/>
      <c r="DB127" s="873"/>
      <c r="DC127" s="873"/>
      <c r="DD127" s="873"/>
      <c r="DE127" s="873"/>
      <c r="DF127" s="873"/>
      <c r="DG127" s="873"/>
      <c r="DH127" s="873"/>
      <c r="DI127" s="873"/>
      <c r="DJ127" s="873"/>
      <c r="DK127" s="873"/>
      <c r="DL127" s="873"/>
      <c r="DM127" s="873"/>
      <c r="DN127" s="873"/>
      <c r="DO127" s="873"/>
      <c r="DP127" s="873"/>
      <c r="DQ127" s="873"/>
      <c r="DR127" s="873"/>
      <c r="DS127" s="873"/>
      <c r="DT127" s="873"/>
      <c r="DU127" s="873"/>
      <c r="DV127" s="873"/>
      <c r="DW127" s="873"/>
      <c r="DX127" s="873"/>
      <c r="DY127" s="873"/>
      <c r="DZ127" s="873"/>
      <c r="EA127" s="873"/>
      <c r="EB127" s="873"/>
      <c r="EC127" s="873"/>
      <c r="ED127" s="873"/>
      <c r="EE127" s="873"/>
      <c r="EF127" s="873"/>
      <c r="EG127" s="873"/>
      <c r="EH127" s="873"/>
      <c r="EI127" s="873"/>
      <c r="EJ127" s="873"/>
      <c r="EK127" s="873"/>
      <c r="EL127" s="873"/>
      <c r="EM127" s="873"/>
      <c r="EN127" s="873"/>
      <c r="EO127" s="873"/>
      <c r="EP127" s="873"/>
      <c r="EQ127" s="873"/>
      <c r="ER127" s="873"/>
      <c r="ES127" s="873"/>
      <c r="ET127" s="873"/>
      <c r="EU127" s="873"/>
      <c r="EV127" s="873"/>
      <c r="EW127" s="873"/>
      <c r="EX127" s="873"/>
      <c r="EY127" s="873"/>
      <c r="EZ127" s="873"/>
      <c r="FA127" s="873"/>
      <c r="FB127" s="873"/>
      <c r="FC127" s="873"/>
      <c r="FD127" s="873"/>
      <c r="FE127" s="873"/>
      <c r="FF127" s="873"/>
      <c r="FG127" s="873"/>
      <c r="FH127" s="873"/>
      <c r="FI127" s="873"/>
      <c r="FJ127" s="873"/>
      <c r="FK127" s="873"/>
      <c r="FL127" s="873"/>
      <c r="FM127" s="873"/>
      <c r="FN127" s="873"/>
      <c r="FO127" s="873"/>
      <c r="FP127" s="873"/>
      <c r="FQ127" s="873"/>
      <c r="FR127" s="873"/>
      <c r="FS127" s="873"/>
      <c r="FT127" s="873"/>
      <c r="FU127" s="873"/>
      <c r="FV127" s="873"/>
      <c r="FW127" s="873"/>
      <c r="FX127" s="873"/>
      <c r="FY127" s="873"/>
      <c r="FZ127" s="873"/>
      <c r="GA127" s="873"/>
      <c r="GB127" s="873"/>
      <c r="GC127" s="873"/>
      <c r="GD127" s="873"/>
      <c r="GE127" s="873"/>
      <c r="GF127" s="873"/>
      <c r="GG127" s="873"/>
      <c r="GH127" s="873"/>
      <c r="GI127" s="873"/>
      <c r="GJ127" s="873"/>
      <c r="GK127" s="873"/>
      <c r="GL127" s="873"/>
      <c r="GM127" s="873"/>
      <c r="GN127" s="873"/>
      <c r="GO127" s="873"/>
      <c r="GP127" s="873"/>
      <c r="GQ127" s="873"/>
      <c r="GR127" s="873"/>
      <c r="GS127" s="873"/>
      <c r="GT127" s="873"/>
      <c r="GU127" s="873"/>
      <c r="GV127" s="873"/>
      <c r="GW127" s="873"/>
      <c r="GX127" s="873"/>
      <c r="GY127" s="873"/>
      <c r="GZ127" s="873"/>
      <c r="HA127" s="873"/>
      <c r="HB127" s="873"/>
      <c r="HC127" s="873"/>
      <c r="HD127" s="873"/>
      <c r="HE127" s="873"/>
      <c r="HF127" s="873"/>
      <c r="HG127" s="873"/>
      <c r="HH127" s="873"/>
      <c r="HI127" s="873"/>
      <c r="HJ127" s="873"/>
      <c r="HK127" s="873"/>
      <c r="HL127" s="873"/>
      <c r="HM127" s="873"/>
      <c r="HN127" s="873"/>
      <c r="HO127" s="873"/>
      <c r="HP127" s="873"/>
      <c r="HQ127" s="873"/>
      <c r="HR127" s="873"/>
      <c r="HS127" s="873"/>
      <c r="HT127" s="873"/>
      <c r="HU127" s="873"/>
      <c r="HV127" s="873"/>
      <c r="HW127" s="873"/>
      <c r="HX127" s="873"/>
      <c r="HY127" s="873"/>
      <c r="HZ127" s="873"/>
      <c r="IA127" s="873"/>
      <c r="IB127" s="873"/>
      <c r="IC127" s="873"/>
      <c r="ID127" s="873"/>
      <c r="IE127" s="873"/>
      <c r="IF127" s="873"/>
      <c r="IG127" s="873"/>
      <c r="IH127" s="873"/>
      <c r="II127" s="873"/>
      <c r="IJ127" s="873"/>
      <c r="IK127" s="873"/>
      <c r="IL127" s="873"/>
      <c r="IM127" s="873"/>
      <c r="IN127" s="873"/>
      <c r="IO127" s="873"/>
      <c r="IP127" s="873"/>
      <c r="IQ127" s="873"/>
      <c r="IR127" s="873"/>
      <c r="IS127" s="873"/>
      <c r="IT127" s="873"/>
      <c r="IU127" s="873"/>
      <c r="IV127" s="873"/>
      <c r="IW127" s="873"/>
      <c r="IX127" s="873"/>
      <c r="IY127" s="873"/>
      <c r="IZ127" s="873"/>
      <c r="JA127" s="873"/>
      <c r="JB127" s="873"/>
      <c r="JC127" s="873"/>
      <c r="JD127" s="873"/>
      <c r="JE127" s="873"/>
      <c r="JF127" s="873"/>
      <c r="JG127" s="873"/>
      <c r="JH127" s="873"/>
      <c r="JI127" s="873"/>
      <c r="JJ127" s="873"/>
      <c r="JK127" s="873"/>
      <c r="JL127" s="873"/>
      <c r="JM127" s="873"/>
      <c r="JN127" s="873"/>
      <c r="JO127" s="873"/>
      <c r="JP127" s="873"/>
      <c r="JQ127" s="873"/>
      <c r="JR127" s="873"/>
      <c r="JS127" s="873"/>
      <c r="JT127" s="873"/>
      <c r="JU127" s="873"/>
      <c r="JV127" s="402"/>
    </row>
    <row r="128" spans="1:282">
      <c r="A128" s="672"/>
      <c r="B128" s="408"/>
      <c r="C128" s="873"/>
      <c r="D128" s="888"/>
      <c r="E128" s="671"/>
      <c r="F128" s="873"/>
      <c r="G128" s="873"/>
      <c r="H128" s="873"/>
      <c r="I128" s="873"/>
      <c r="J128" s="873"/>
      <c r="K128" s="873"/>
      <c r="L128" s="873"/>
      <c r="M128" s="873"/>
      <c r="N128" s="873"/>
      <c r="O128" s="873"/>
      <c r="P128" s="873"/>
      <c r="Q128" s="873"/>
      <c r="R128" s="873"/>
      <c r="S128" s="873"/>
      <c r="T128" s="873"/>
      <c r="U128" s="873"/>
      <c r="V128" s="873"/>
      <c r="W128" s="873"/>
      <c r="X128" s="873"/>
      <c r="Y128" s="873"/>
      <c r="Z128" s="873"/>
      <c r="AA128" s="394"/>
      <c r="AB128" s="873"/>
      <c r="AC128" s="394"/>
      <c r="AD128" s="873"/>
      <c r="AE128" s="873"/>
      <c r="AF128" s="873"/>
      <c r="AG128" s="873"/>
      <c r="AH128" s="873"/>
      <c r="AI128" s="873"/>
      <c r="AJ128" s="403"/>
      <c r="AK128" s="403"/>
      <c r="AL128" s="873"/>
      <c r="AM128" s="873"/>
      <c r="AN128" s="403"/>
      <c r="AO128" s="403"/>
      <c r="AP128" s="394"/>
      <c r="AQ128" s="394"/>
      <c r="AR128" s="394"/>
      <c r="AS128" s="394"/>
      <c r="AT128" s="394"/>
      <c r="AU128" s="873"/>
      <c r="AV128" s="873"/>
      <c r="AW128" s="873"/>
      <c r="AX128" s="873"/>
      <c r="AY128" s="873"/>
      <c r="AZ128" s="873"/>
      <c r="BA128" s="394"/>
      <c r="BB128" s="873"/>
      <c r="BC128" s="873"/>
      <c r="BD128" s="873"/>
      <c r="BE128" s="873"/>
      <c r="BF128" s="873"/>
      <c r="BG128" s="873"/>
      <c r="BH128" s="873"/>
      <c r="BI128" s="873"/>
      <c r="BJ128" s="873"/>
      <c r="BK128" s="873"/>
      <c r="BL128" s="873"/>
      <c r="BM128" s="873"/>
      <c r="BN128" s="873"/>
      <c r="BO128" s="873"/>
      <c r="BP128" s="873"/>
      <c r="BQ128" s="873"/>
      <c r="BR128" s="873"/>
      <c r="BS128" s="873"/>
      <c r="BT128" s="873"/>
      <c r="BU128" s="873"/>
      <c r="BV128" s="873"/>
      <c r="BW128" s="873"/>
      <c r="BX128" s="873"/>
      <c r="BY128" s="873"/>
      <c r="BZ128" s="873"/>
      <c r="CA128" s="873"/>
      <c r="CB128" s="873"/>
      <c r="CC128" s="873"/>
      <c r="CD128" s="873"/>
      <c r="CE128" s="873"/>
      <c r="CF128" s="873"/>
      <c r="CG128" s="873"/>
      <c r="CH128" s="873"/>
      <c r="CI128" s="873"/>
      <c r="CJ128" s="873"/>
      <c r="CK128" s="873"/>
      <c r="CL128" s="873"/>
      <c r="CM128" s="873"/>
      <c r="CN128" s="873"/>
      <c r="CO128" s="873"/>
      <c r="CP128" s="873"/>
      <c r="CQ128" s="873"/>
      <c r="CR128" s="873"/>
      <c r="CS128" s="873"/>
      <c r="CT128" s="873"/>
      <c r="CU128" s="873"/>
      <c r="CV128" s="873"/>
      <c r="CW128" s="873"/>
      <c r="CX128" s="873"/>
      <c r="CY128" s="873"/>
      <c r="CZ128" s="873"/>
      <c r="DA128" s="873"/>
      <c r="DB128" s="873"/>
      <c r="DC128" s="873"/>
      <c r="DD128" s="873"/>
      <c r="DE128" s="873"/>
      <c r="DF128" s="873"/>
      <c r="DG128" s="873"/>
      <c r="DH128" s="873"/>
      <c r="DI128" s="873"/>
      <c r="DJ128" s="873"/>
      <c r="DK128" s="873"/>
      <c r="DL128" s="873"/>
      <c r="DM128" s="873"/>
      <c r="DN128" s="873"/>
      <c r="DO128" s="873"/>
      <c r="DP128" s="873"/>
      <c r="DQ128" s="873"/>
      <c r="DR128" s="873"/>
      <c r="DS128" s="873"/>
      <c r="DT128" s="873"/>
      <c r="DU128" s="873"/>
      <c r="DV128" s="873"/>
      <c r="DW128" s="873"/>
      <c r="DX128" s="873"/>
      <c r="DY128" s="873"/>
      <c r="DZ128" s="873"/>
      <c r="EA128" s="873"/>
      <c r="EB128" s="873"/>
      <c r="EC128" s="873"/>
      <c r="ED128" s="873"/>
      <c r="EE128" s="873"/>
      <c r="EF128" s="873"/>
      <c r="EG128" s="873"/>
      <c r="EH128" s="873"/>
      <c r="EI128" s="873"/>
      <c r="EJ128" s="873"/>
      <c r="EK128" s="873"/>
      <c r="EL128" s="873"/>
      <c r="EM128" s="873"/>
      <c r="EN128" s="873"/>
      <c r="EO128" s="873"/>
      <c r="EP128" s="873"/>
      <c r="EQ128" s="873"/>
      <c r="ER128" s="873"/>
      <c r="ES128" s="873"/>
      <c r="ET128" s="873"/>
      <c r="EU128" s="873"/>
      <c r="EV128" s="873"/>
      <c r="EW128" s="873"/>
      <c r="EX128" s="873"/>
      <c r="EY128" s="873"/>
      <c r="EZ128" s="873"/>
      <c r="FA128" s="873"/>
      <c r="FB128" s="873"/>
      <c r="FC128" s="873"/>
      <c r="FD128" s="873"/>
      <c r="FE128" s="873"/>
      <c r="FF128" s="873"/>
      <c r="FG128" s="873"/>
      <c r="FH128" s="873"/>
      <c r="FI128" s="873"/>
      <c r="FJ128" s="873"/>
      <c r="FK128" s="873"/>
      <c r="FL128" s="873"/>
      <c r="FM128" s="873"/>
      <c r="FN128" s="873"/>
      <c r="FO128" s="873"/>
      <c r="FP128" s="873"/>
      <c r="FQ128" s="873"/>
      <c r="FR128" s="873"/>
      <c r="FS128" s="873"/>
      <c r="FT128" s="873"/>
      <c r="FU128" s="873"/>
      <c r="FV128" s="873"/>
      <c r="FW128" s="873"/>
      <c r="FX128" s="873"/>
      <c r="FY128" s="873"/>
      <c r="FZ128" s="873"/>
      <c r="GA128" s="873"/>
      <c r="GB128" s="873"/>
      <c r="GC128" s="873"/>
      <c r="GD128" s="873"/>
      <c r="GE128" s="873"/>
      <c r="GF128" s="873"/>
      <c r="GG128" s="873"/>
      <c r="GH128" s="873"/>
      <c r="GI128" s="873"/>
      <c r="GJ128" s="873"/>
      <c r="GK128" s="873"/>
      <c r="GL128" s="873"/>
      <c r="GM128" s="873"/>
      <c r="GN128" s="873"/>
      <c r="GO128" s="873"/>
      <c r="GP128" s="873"/>
      <c r="GQ128" s="873"/>
      <c r="GR128" s="873"/>
      <c r="GS128" s="873"/>
      <c r="GT128" s="873"/>
      <c r="GU128" s="873"/>
      <c r="GV128" s="873"/>
      <c r="GW128" s="873"/>
      <c r="GX128" s="873"/>
      <c r="GY128" s="873"/>
      <c r="GZ128" s="873"/>
      <c r="HA128" s="873"/>
      <c r="HB128" s="873"/>
      <c r="HC128" s="873"/>
      <c r="HD128" s="873"/>
      <c r="HE128" s="873"/>
      <c r="HF128" s="873"/>
      <c r="HG128" s="873"/>
      <c r="HH128" s="873"/>
      <c r="HI128" s="873"/>
      <c r="HJ128" s="873"/>
      <c r="HK128" s="873"/>
      <c r="HL128" s="873"/>
      <c r="HM128" s="873"/>
      <c r="HN128" s="873"/>
      <c r="HO128" s="873"/>
      <c r="HP128" s="873"/>
      <c r="HQ128" s="873"/>
      <c r="HR128" s="873"/>
      <c r="HS128" s="873"/>
      <c r="HT128" s="873"/>
      <c r="HU128" s="873"/>
      <c r="HV128" s="873"/>
      <c r="HW128" s="873"/>
      <c r="HX128" s="873"/>
      <c r="HY128" s="873"/>
      <c r="HZ128" s="873"/>
      <c r="IA128" s="873"/>
      <c r="IB128" s="873"/>
      <c r="IC128" s="873"/>
      <c r="ID128" s="873"/>
      <c r="IE128" s="873"/>
      <c r="IF128" s="873"/>
      <c r="IG128" s="873"/>
      <c r="IH128" s="873"/>
      <c r="II128" s="873"/>
      <c r="IJ128" s="873"/>
      <c r="IK128" s="873"/>
      <c r="IL128" s="873"/>
      <c r="IM128" s="873"/>
      <c r="IN128" s="873"/>
      <c r="IO128" s="873"/>
      <c r="IP128" s="873"/>
      <c r="IQ128" s="873"/>
      <c r="IR128" s="873"/>
      <c r="IS128" s="873"/>
      <c r="IT128" s="873"/>
      <c r="IU128" s="873"/>
      <c r="IV128" s="873"/>
      <c r="IW128" s="873"/>
      <c r="IX128" s="873"/>
      <c r="IY128" s="873"/>
      <c r="IZ128" s="873"/>
      <c r="JA128" s="873"/>
      <c r="JB128" s="873"/>
      <c r="JC128" s="873"/>
      <c r="JD128" s="873"/>
      <c r="JE128" s="873"/>
      <c r="JF128" s="873"/>
      <c r="JG128" s="873"/>
      <c r="JH128" s="873"/>
      <c r="JI128" s="873"/>
      <c r="JJ128" s="873"/>
      <c r="JK128" s="873"/>
      <c r="JL128" s="873"/>
      <c r="JM128" s="873"/>
      <c r="JN128" s="873"/>
      <c r="JO128" s="873"/>
      <c r="JP128" s="873"/>
      <c r="JQ128" s="873"/>
      <c r="JR128" s="873"/>
      <c r="JS128" s="873"/>
      <c r="JT128" s="873"/>
      <c r="JU128" s="873"/>
      <c r="JV128" s="402"/>
    </row>
    <row r="129" spans="1:282">
      <c r="A129" s="672"/>
      <c r="B129" s="408"/>
      <c r="C129" s="873"/>
      <c r="D129" s="888"/>
      <c r="E129" s="671"/>
      <c r="F129" s="873"/>
      <c r="G129" s="873"/>
      <c r="H129" s="873"/>
      <c r="I129" s="873"/>
      <c r="J129" s="873"/>
      <c r="K129" s="873"/>
      <c r="L129" s="873"/>
      <c r="M129" s="873"/>
      <c r="N129" s="873"/>
      <c r="O129" s="873"/>
      <c r="P129" s="873"/>
      <c r="Q129" s="873"/>
      <c r="R129" s="873"/>
      <c r="S129" s="873"/>
      <c r="T129" s="873"/>
      <c r="U129" s="873"/>
      <c r="V129" s="873"/>
      <c r="W129" s="873"/>
      <c r="X129" s="873"/>
      <c r="Y129" s="873"/>
      <c r="Z129" s="873"/>
      <c r="AA129" s="394"/>
      <c r="AB129" s="873"/>
      <c r="AC129" s="394"/>
      <c r="AD129" s="873"/>
      <c r="AE129" s="873"/>
      <c r="AF129" s="873"/>
      <c r="AG129" s="873"/>
      <c r="AH129" s="873"/>
      <c r="AI129" s="873"/>
      <c r="AJ129" s="403"/>
      <c r="AK129" s="403"/>
      <c r="AL129" s="873"/>
      <c r="AM129" s="873"/>
      <c r="AN129" s="403"/>
      <c r="AO129" s="403"/>
      <c r="AP129" s="394"/>
      <c r="AQ129" s="394"/>
      <c r="AR129" s="394"/>
      <c r="AS129" s="394"/>
      <c r="AT129" s="394"/>
      <c r="AU129" s="873"/>
      <c r="AV129" s="873"/>
      <c r="AW129" s="873"/>
      <c r="AX129" s="873"/>
      <c r="AY129" s="873"/>
      <c r="AZ129" s="873"/>
      <c r="BA129" s="394"/>
      <c r="BB129" s="873"/>
      <c r="BC129" s="873"/>
      <c r="BD129" s="873"/>
      <c r="BE129" s="873"/>
      <c r="BF129" s="873"/>
      <c r="BG129" s="873"/>
      <c r="BH129" s="873"/>
      <c r="BI129" s="873"/>
      <c r="BJ129" s="873"/>
      <c r="BK129" s="873"/>
      <c r="BL129" s="873"/>
      <c r="BM129" s="873"/>
      <c r="BN129" s="873"/>
      <c r="BO129" s="873"/>
      <c r="BP129" s="873"/>
      <c r="BQ129" s="873"/>
      <c r="BR129" s="873"/>
      <c r="BS129" s="873"/>
      <c r="BT129" s="873"/>
      <c r="BU129" s="873"/>
      <c r="BV129" s="873"/>
      <c r="BW129" s="873"/>
      <c r="BX129" s="873"/>
      <c r="BY129" s="873"/>
      <c r="BZ129" s="873"/>
      <c r="CA129" s="873"/>
      <c r="CB129" s="873"/>
      <c r="CC129" s="873"/>
      <c r="CD129" s="873"/>
      <c r="CE129" s="873"/>
      <c r="CF129" s="873"/>
      <c r="CG129" s="873"/>
      <c r="CH129" s="873"/>
      <c r="CI129" s="873"/>
      <c r="CJ129" s="873"/>
      <c r="CK129" s="873"/>
      <c r="CL129" s="873"/>
      <c r="CM129" s="873"/>
      <c r="CN129" s="873"/>
      <c r="CO129" s="873"/>
      <c r="CP129" s="873"/>
      <c r="CQ129" s="873"/>
      <c r="CR129" s="873"/>
      <c r="CS129" s="873"/>
      <c r="CT129" s="873"/>
      <c r="CU129" s="873"/>
      <c r="CV129" s="873"/>
      <c r="CW129" s="873"/>
      <c r="CX129" s="873"/>
      <c r="CY129" s="873"/>
      <c r="CZ129" s="873"/>
      <c r="DA129" s="873"/>
      <c r="DB129" s="873"/>
      <c r="DC129" s="873"/>
      <c r="DD129" s="873"/>
      <c r="DE129" s="873"/>
      <c r="DF129" s="873"/>
      <c r="DG129" s="873"/>
      <c r="DH129" s="873"/>
      <c r="DI129" s="873"/>
      <c r="DJ129" s="873"/>
      <c r="DK129" s="873"/>
      <c r="DL129" s="873"/>
      <c r="DM129" s="873"/>
      <c r="DN129" s="873"/>
      <c r="DO129" s="873"/>
      <c r="DP129" s="873"/>
      <c r="DQ129" s="873"/>
      <c r="DR129" s="873"/>
      <c r="DS129" s="873"/>
      <c r="DT129" s="873"/>
      <c r="DU129" s="873"/>
      <c r="DV129" s="873"/>
      <c r="DW129" s="873"/>
      <c r="DX129" s="873"/>
      <c r="DY129" s="873"/>
      <c r="DZ129" s="873"/>
      <c r="EA129" s="873"/>
      <c r="EB129" s="873"/>
      <c r="EC129" s="873"/>
      <c r="ED129" s="873"/>
      <c r="EE129" s="873"/>
      <c r="EF129" s="873"/>
      <c r="EG129" s="873"/>
      <c r="EH129" s="873"/>
      <c r="EI129" s="873"/>
      <c r="EJ129" s="873"/>
      <c r="EK129" s="873"/>
      <c r="EL129" s="873"/>
      <c r="EM129" s="873"/>
      <c r="EN129" s="873"/>
      <c r="EO129" s="873"/>
      <c r="EP129" s="873"/>
      <c r="EQ129" s="873"/>
      <c r="ER129" s="873"/>
      <c r="ES129" s="873"/>
      <c r="ET129" s="873"/>
      <c r="EU129" s="873"/>
      <c r="EV129" s="873"/>
      <c r="EW129" s="873"/>
      <c r="EX129" s="873"/>
      <c r="EY129" s="873"/>
      <c r="EZ129" s="873"/>
      <c r="FA129" s="873"/>
      <c r="FB129" s="873"/>
      <c r="FC129" s="873"/>
      <c r="FD129" s="873"/>
      <c r="FE129" s="873"/>
      <c r="FF129" s="873"/>
      <c r="FG129" s="873"/>
      <c r="FH129" s="873"/>
      <c r="FI129" s="873"/>
      <c r="FJ129" s="873"/>
      <c r="FK129" s="873"/>
      <c r="FL129" s="873"/>
      <c r="FM129" s="873"/>
      <c r="FN129" s="873"/>
      <c r="FO129" s="873"/>
      <c r="FP129" s="873"/>
      <c r="FQ129" s="873"/>
      <c r="FR129" s="873"/>
      <c r="FS129" s="873"/>
      <c r="FT129" s="873"/>
      <c r="FU129" s="873"/>
      <c r="FV129" s="873"/>
      <c r="FW129" s="873"/>
      <c r="FX129" s="873"/>
      <c r="FY129" s="873"/>
      <c r="FZ129" s="873"/>
      <c r="GA129" s="873"/>
      <c r="GB129" s="873"/>
      <c r="GC129" s="873"/>
      <c r="GD129" s="873"/>
      <c r="GE129" s="873"/>
      <c r="GF129" s="873"/>
      <c r="GG129" s="873"/>
      <c r="GH129" s="873"/>
      <c r="GI129" s="873"/>
      <c r="GJ129" s="873"/>
      <c r="GK129" s="873"/>
      <c r="GL129" s="873"/>
      <c r="GM129" s="873"/>
      <c r="GN129" s="873"/>
      <c r="GO129" s="873"/>
      <c r="GP129" s="873"/>
      <c r="GQ129" s="873"/>
      <c r="GR129" s="873"/>
      <c r="GS129" s="873"/>
      <c r="GT129" s="873"/>
      <c r="GU129" s="873"/>
      <c r="GV129" s="873"/>
      <c r="GW129" s="873"/>
      <c r="GX129" s="873"/>
      <c r="GY129" s="873"/>
      <c r="GZ129" s="873"/>
      <c r="HA129" s="873"/>
      <c r="HB129" s="873"/>
      <c r="HC129" s="873"/>
      <c r="HD129" s="873"/>
      <c r="HE129" s="873"/>
      <c r="HF129" s="873"/>
      <c r="HG129" s="873"/>
      <c r="HH129" s="873"/>
      <c r="HI129" s="873"/>
      <c r="HJ129" s="873"/>
      <c r="HK129" s="873"/>
      <c r="HL129" s="873"/>
      <c r="HM129" s="873"/>
      <c r="HN129" s="873"/>
      <c r="HO129" s="873"/>
      <c r="HP129" s="873"/>
      <c r="HQ129" s="873"/>
      <c r="HR129" s="873"/>
      <c r="HS129" s="873"/>
      <c r="HT129" s="873"/>
      <c r="HU129" s="873"/>
      <c r="HV129" s="873"/>
      <c r="HW129" s="873"/>
      <c r="HX129" s="873"/>
      <c r="HY129" s="873"/>
      <c r="HZ129" s="873"/>
      <c r="IA129" s="873"/>
      <c r="IB129" s="873"/>
      <c r="IC129" s="873"/>
      <c r="ID129" s="873"/>
      <c r="IE129" s="873"/>
      <c r="IF129" s="873"/>
      <c r="IG129" s="873"/>
      <c r="IH129" s="873"/>
      <c r="II129" s="873"/>
      <c r="IJ129" s="873"/>
      <c r="IK129" s="873"/>
      <c r="IL129" s="873"/>
      <c r="IM129" s="873"/>
      <c r="IN129" s="873"/>
      <c r="IO129" s="873"/>
      <c r="IP129" s="873"/>
      <c r="IQ129" s="873"/>
      <c r="IR129" s="873"/>
      <c r="IS129" s="873"/>
      <c r="IT129" s="873"/>
      <c r="IU129" s="873"/>
      <c r="IV129" s="873"/>
      <c r="IW129" s="873"/>
      <c r="IX129" s="873"/>
      <c r="IY129" s="873"/>
      <c r="IZ129" s="873"/>
      <c r="JA129" s="873"/>
      <c r="JB129" s="873"/>
      <c r="JC129" s="873"/>
      <c r="JD129" s="873"/>
      <c r="JE129" s="873"/>
      <c r="JF129" s="873"/>
      <c r="JG129" s="873"/>
      <c r="JH129" s="873"/>
      <c r="JI129" s="873"/>
      <c r="JJ129" s="873"/>
      <c r="JK129" s="873"/>
      <c r="JL129" s="873"/>
      <c r="JM129" s="873"/>
      <c r="JN129" s="873"/>
      <c r="JO129" s="873"/>
      <c r="JP129" s="873"/>
      <c r="JQ129" s="873"/>
      <c r="JR129" s="873"/>
      <c r="JS129" s="873"/>
      <c r="JT129" s="873"/>
      <c r="JU129" s="873"/>
      <c r="JV129" s="402"/>
    </row>
    <row r="130" spans="1:282">
      <c r="A130" s="672"/>
      <c r="B130" s="408"/>
      <c r="C130" s="873"/>
      <c r="D130" s="888"/>
      <c r="E130" s="671"/>
      <c r="F130" s="873"/>
      <c r="G130" s="873"/>
      <c r="H130" s="873"/>
      <c r="I130" s="873"/>
      <c r="J130" s="873"/>
      <c r="K130" s="873"/>
      <c r="L130" s="873"/>
      <c r="M130" s="873"/>
      <c r="N130" s="873"/>
      <c r="O130" s="873"/>
      <c r="P130" s="873"/>
      <c r="Q130" s="873"/>
      <c r="R130" s="873"/>
      <c r="S130" s="873"/>
      <c r="T130" s="873"/>
      <c r="U130" s="873"/>
      <c r="V130" s="873"/>
      <c r="W130" s="873"/>
      <c r="X130" s="873"/>
      <c r="Y130" s="873"/>
      <c r="Z130" s="873"/>
      <c r="AA130" s="394"/>
      <c r="AB130" s="873"/>
      <c r="AC130" s="394"/>
      <c r="AD130" s="873"/>
      <c r="AE130" s="873"/>
      <c r="AF130" s="873"/>
      <c r="AG130" s="873"/>
      <c r="AH130" s="873"/>
      <c r="AI130" s="873"/>
      <c r="AJ130" s="403"/>
      <c r="AK130" s="403"/>
      <c r="AL130" s="873"/>
      <c r="AM130" s="873"/>
      <c r="AN130" s="403"/>
      <c r="AO130" s="403"/>
      <c r="AP130" s="394"/>
      <c r="AQ130" s="394"/>
      <c r="AR130" s="394"/>
      <c r="AS130" s="394"/>
      <c r="AT130" s="394"/>
      <c r="AU130" s="873"/>
      <c r="AV130" s="873"/>
      <c r="AW130" s="873"/>
      <c r="AX130" s="873"/>
      <c r="AY130" s="873"/>
      <c r="AZ130" s="873"/>
      <c r="BA130" s="394"/>
      <c r="BB130" s="873"/>
      <c r="BC130" s="873"/>
      <c r="BD130" s="873"/>
      <c r="BE130" s="873"/>
      <c r="BF130" s="873"/>
      <c r="BG130" s="873"/>
      <c r="BH130" s="873"/>
      <c r="BI130" s="873"/>
      <c r="BJ130" s="873"/>
      <c r="BK130" s="873"/>
      <c r="BL130" s="873"/>
      <c r="BM130" s="873"/>
      <c r="BN130" s="873"/>
      <c r="BO130" s="873"/>
      <c r="BP130" s="873"/>
      <c r="BQ130" s="873"/>
      <c r="BR130" s="873"/>
      <c r="BS130" s="873"/>
      <c r="BT130" s="873"/>
      <c r="BU130" s="873"/>
      <c r="BV130" s="873"/>
      <c r="BW130" s="873"/>
      <c r="BX130" s="873"/>
      <c r="BY130" s="873"/>
      <c r="BZ130" s="873"/>
      <c r="CA130" s="873"/>
      <c r="CB130" s="873"/>
      <c r="CC130" s="873"/>
      <c r="CD130" s="873"/>
      <c r="CE130" s="873"/>
      <c r="CF130" s="873"/>
      <c r="CG130" s="873"/>
      <c r="CH130" s="873"/>
      <c r="CI130" s="873"/>
      <c r="CJ130" s="873"/>
      <c r="CK130" s="873"/>
      <c r="CL130" s="873"/>
      <c r="CM130" s="873"/>
      <c r="CN130" s="873"/>
      <c r="CO130" s="873"/>
      <c r="CP130" s="873"/>
      <c r="CQ130" s="873"/>
      <c r="CR130" s="873"/>
      <c r="CS130" s="873"/>
      <c r="CT130" s="873"/>
      <c r="CU130" s="873"/>
      <c r="CV130" s="873"/>
      <c r="CW130" s="873"/>
      <c r="CX130" s="873"/>
      <c r="CY130" s="873"/>
      <c r="CZ130" s="873"/>
      <c r="DA130" s="873"/>
      <c r="DB130" s="873"/>
      <c r="DC130" s="873"/>
      <c r="DD130" s="873"/>
      <c r="DE130" s="873"/>
      <c r="DF130" s="873"/>
      <c r="DG130" s="873"/>
      <c r="DH130" s="873"/>
      <c r="DI130" s="873"/>
      <c r="DJ130" s="873"/>
      <c r="DK130" s="873"/>
      <c r="DL130" s="873"/>
      <c r="DM130" s="873"/>
      <c r="DN130" s="873"/>
      <c r="DO130" s="873"/>
      <c r="DP130" s="873"/>
      <c r="DQ130" s="873"/>
      <c r="DR130" s="873"/>
      <c r="DS130" s="873"/>
      <c r="DT130" s="873"/>
      <c r="DU130" s="873"/>
      <c r="DV130" s="873"/>
      <c r="DW130" s="873"/>
      <c r="DX130" s="873"/>
      <c r="DY130" s="873"/>
      <c r="DZ130" s="873"/>
      <c r="EA130" s="873"/>
      <c r="EB130" s="873"/>
      <c r="EC130" s="873"/>
      <c r="ED130" s="873"/>
      <c r="EE130" s="873"/>
      <c r="EF130" s="873"/>
      <c r="EG130" s="873"/>
      <c r="EH130" s="873"/>
      <c r="EI130" s="873"/>
      <c r="EJ130" s="873"/>
      <c r="EK130" s="873"/>
      <c r="EL130" s="873"/>
      <c r="EM130" s="873"/>
      <c r="EN130" s="873"/>
      <c r="EO130" s="873"/>
      <c r="EP130" s="873"/>
      <c r="EQ130" s="873"/>
      <c r="ER130" s="873"/>
      <c r="ES130" s="873"/>
      <c r="ET130" s="873"/>
      <c r="EU130" s="873"/>
      <c r="EV130" s="873"/>
      <c r="EW130" s="873"/>
      <c r="EX130" s="873"/>
      <c r="EY130" s="873"/>
      <c r="EZ130" s="873"/>
      <c r="FA130" s="873"/>
      <c r="FB130" s="873"/>
      <c r="FC130" s="873"/>
      <c r="FD130" s="873"/>
      <c r="FE130" s="873"/>
      <c r="FF130" s="873"/>
      <c r="FG130" s="873"/>
      <c r="FH130" s="873"/>
      <c r="FI130" s="873"/>
      <c r="FJ130" s="873"/>
      <c r="FK130" s="873"/>
      <c r="FL130" s="873"/>
      <c r="FM130" s="873"/>
      <c r="FN130" s="873"/>
      <c r="FO130" s="873"/>
      <c r="FP130" s="873"/>
      <c r="FQ130" s="873"/>
      <c r="FR130" s="873"/>
      <c r="FS130" s="873"/>
      <c r="FT130" s="873"/>
      <c r="FU130" s="873"/>
      <c r="FV130" s="873"/>
      <c r="FW130" s="873"/>
      <c r="FX130" s="873"/>
      <c r="FY130" s="873"/>
      <c r="FZ130" s="873"/>
      <c r="GA130" s="873"/>
      <c r="GB130" s="873"/>
      <c r="GC130" s="873"/>
      <c r="GD130" s="873"/>
      <c r="GE130" s="873"/>
      <c r="GF130" s="873"/>
      <c r="GG130" s="873"/>
      <c r="GH130" s="873"/>
      <c r="GI130" s="873"/>
      <c r="GJ130" s="873"/>
      <c r="GK130" s="873"/>
      <c r="GL130" s="873"/>
      <c r="GM130" s="873"/>
      <c r="GN130" s="873"/>
      <c r="GO130" s="873"/>
      <c r="GP130" s="873"/>
      <c r="GQ130" s="873"/>
      <c r="GR130" s="873"/>
      <c r="GS130" s="873"/>
      <c r="GT130" s="873"/>
      <c r="GU130" s="873"/>
      <c r="GV130" s="873"/>
      <c r="GW130" s="873"/>
      <c r="GX130" s="873"/>
      <c r="GY130" s="873"/>
      <c r="GZ130" s="873"/>
      <c r="HA130" s="873"/>
      <c r="HB130" s="873"/>
      <c r="HC130" s="873"/>
      <c r="HD130" s="873"/>
      <c r="HE130" s="873"/>
      <c r="HF130" s="873"/>
      <c r="HG130" s="873"/>
      <c r="HH130" s="873"/>
      <c r="HI130" s="873"/>
      <c r="HJ130" s="873"/>
      <c r="HK130" s="873"/>
      <c r="HL130" s="873"/>
      <c r="HM130" s="873"/>
      <c r="HN130" s="873"/>
      <c r="HO130" s="873"/>
      <c r="HP130" s="873"/>
      <c r="HQ130" s="873"/>
      <c r="HR130" s="873"/>
      <c r="HS130" s="873"/>
      <c r="HT130" s="873"/>
      <c r="HU130" s="873"/>
      <c r="HV130" s="873"/>
      <c r="HW130" s="873"/>
      <c r="HX130" s="873"/>
      <c r="HY130" s="873"/>
      <c r="HZ130" s="873"/>
      <c r="IA130" s="873"/>
      <c r="IB130" s="873"/>
      <c r="IC130" s="873"/>
      <c r="ID130" s="873"/>
      <c r="IE130" s="873"/>
      <c r="IF130" s="873"/>
      <c r="IG130" s="873"/>
      <c r="IH130" s="873"/>
      <c r="II130" s="873"/>
      <c r="IJ130" s="873"/>
      <c r="IK130" s="873"/>
      <c r="IL130" s="873"/>
      <c r="IM130" s="873"/>
      <c r="IN130" s="873"/>
      <c r="IO130" s="873"/>
      <c r="IP130" s="873"/>
      <c r="IQ130" s="873"/>
      <c r="IR130" s="873"/>
      <c r="IS130" s="873"/>
      <c r="IT130" s="873"/>
      <c r="IU130" s="873"/>
      <c r="IV130" s="873"/>
      <c r="IW130" s="873"/>
      <c r="IX130" s="873"/>
      <c r="IY130" s="873"/>
      <c r="IZ130" s="873"/>
      <c r="JA130" s="873"/>
      <c r="JB130" s="873"/>
      <c r="JC130" s="873"/>
      <c r="JD130" s="873"/>
      <c r="JE130" s="873"/>
      <c r="JF130" s="873"/>
      <c r="JG130" s="873"/>
      <c r="JH130" s="873"/>
      <c r="JI130" s="873"/>
      <c r="JJ130" s="873"/>
      <c r="JK130" s="873"/>
      <c r="JL130" s="873"/>
      <c r="JM130" s="873"/>
      <c r="JN130" s="873"/>
      <c r="JO130" s="873"/>
      <c r="JP130" s="873"/>
      <c r="JQ130" s="873"/>
      <c r="JR130" s="873"/>
      <c r="JS130" s="873"/>
      <c r="JT130" s="873"/>
      <c r="JU130" s="873"/>
      <c r="JV130" s="402"/>
    </row>
    <row r="131" spans="1:282">
      <c r="A131" s="672"/>
      <c r="B131" s="408"/>
      <c r="C131" s="873"/>
      <c r="D131" s="888"/>
      <c r="E131" s="671"/>
      <c r="F131" s="873"/>
      <c r="G131" s="873"/>
      <c r="H131" s="873"/>
      <c r="I131" s="873"/>
      <c r="J131" s="873"/>
      <c r="K131" s="873"/>
      <c r="L131" s="873"/>
      <c r="M131" s="873"/>
      <c r="N131" s="873"/>
      <c r="O131" s="873"/>
      <c r="P131" s="873"/>
      <c r="Q131" s="873"/>
      <c r="R131" s="873"/>
      <c r="S131" s="873"/>
      <c r="T131" s="873"/>
      <c r="U131" s="873"/>
      <c r="V131" s="873"/>
      <c r="W131" s="873"/>
      <c r="X131" s="873"/>
      <c r="Y131" s="873"/>
      <c r="Z131" s="873"/>
      <c r="AA131" s="394"/>
      <c r="AB131" s="873"/>
      <c r="AC131" s="394"/>
      <c r="AD131" s="873"/>
      <c r="AE131" s="873"/>
      <c r="AF131" s="873"/>
      <c r="AG131" s="873"/>
      <c r="AH131" s="873"/>
      <c r="AI131" s="873"/>
      <c r="AJ131" s="403"/>
      <c r="AK131" s="403"/>
      <c r="AL131" s="873"/>
      <c r="AM131" s="873"/>
      <c r="AN131" s="403"/>
      <c r="AO131" s="403"/>
      <c r="AP131" s="394"/>
      <c r="AQ131" s="394"/>
      <c r="AR131" s="394"/>
      <c r="AS131" s="394"/>
      <c r="AT131" s="394"/>
      <c r="AU131" s="873"/>
      <c r="AV131" s="873"/>
      <c r="AW131" s="873"/>
      <c r="AX131" s="873"/>
      <c r="AY131" s="873"/>
      <c r="AZ131" s="873"/>
      <c r="BA131" s="394"/>
      <c r="BB131" s="873"/>
      <c r="BC131" s="873"/>
      <c r="BD131" s="873"/>
      <c r="BE131" s="873"/>
      <c r="BF131" s="873"/>
      <c r="BG131" s="873"/>
      <c r="BH131" s="873"/>
      <c r="BI131" s="873"/>
      <c r="BJ131" s="873"/>
      <c r="BK131" s="873"/>
      <c r="BL131" s="873"/>
      <c r="BM131" s="873"/>
      <c r="BN131" s="873"/>
      <c r="BO131" s="873"/>
      <c r="BP131" s="873"/>
      <c r="BQ131" s="873"/>
      <c r="BR131" s="873"/>
      <c r="BS131" s="873"/>
      <c r="BT131" s="873"/>
      <c r="BU131" s="873"/>
      <c r="BV131" s="873"/>
      <c r="BW131" s="873"/>
      <c r="BX131" s="873"/>
      <c r="BY131" s="873"/>
      <c r="BZ131" s="873"/>
      <c r="CA131" s="873"/>
      <c r="CB131" s="873"/>
      <c r="CC131" s="873"/>
      <c r="CD131" s="873"/>
      <c r="CE131" s="873"/>
      <c r="CF131" s="873"/>
      <c r="CG131" s="873"/>
      <c r="CH131" s="873"/>
      <c r="CI131" s="873"/>
      <c r="CJ131" s="873"/>
      <c r="CK131" s="873"/>
      <c r="CL131" s="873"/>
      <c r="CM131" s="873"/>
      <c r="CN131" s="873"/>
      <c r="CO131" s="873"/>
      <c r="CP131" s="873"/>
      <c r="CQ131" s="873"/>
      <c r="CR131" s="873"/>
      <c r="CS131" s="873"/>
      <c r="CT131" s="873"/>
      <c r="CU131" s="873"/>
      <c r="CV131" s="873"/>
      <c r="CW131" s="873"/>
      <c r="CX131" s="873"/>
      <c r="CY131" s="873"/>
      <c r="CZ131" s="873"/>
      <c r="DA131" s="873"/>
      <c r="DB131" s="873"/>
      <c r="DC131" s="873"/>
      <c r="DD131" s="873"/>
      <c r="DE131" s="873"/>
      <c r="DF131" s="873"/>
      <c r="DG131" s="873"/>
      <c r="DH131" s="873"/>
      <c r="DI131" s="873"/>
      <c r="DJ131" s="873"/>
      <c r="DK131" s="873"/>
      <c r="DL131" s="873"/>
      <c r="DM131" s="873"/>
      <c r="DN131" s="873"/>
      <c r="DO131" s="873"/>
      <c r="DP131" s="873"/>
      <c r="DQ131" s="873"/>
      <c r="DR131" s="873"/>
      <c r="DS131" s="873"/>
      <c r="DT131" s="873"/>
      <c r="DU131" s="873"/>
      <c r="DV131" s="873"/>
      <c r="DW131" s="873"/>
      <c r="DX131" s="873"/>
      <c r="DY131" s="873"/>
      <c r="DZ131" s="873"/>
      <c r="EA131" s="873"/>
      <c r="EB131" s="873"/>
      <c r="EC131" s="873"/>
      <c r="ED131" s="873"/>
      <c r="EE131" s="873"/>
      <c r="EF131" s="873"/>
      <c r="EG131" s="873"/>
      <c r="EH131" s="873"/>
      <c r="EI131" s="873"/>
      <c r="EJ131" s="873"/>
      <c r="EK131" s="873"/>
      <c r="EL131" s="873"/>
      <c r="EM131" s="873"/>
      <c r="EN131" s="873"/>
      <c r="EO131" s="873"/>
      <c r="EP131" s="873"/>
      <c r="EQ131" s="873"/>
      <c r="ER131" s="873"/>
      <c r="ES131" s="873"/>
      <c r="ET131" s="873"/>
      <c r="EU131" s="873"/>
      <c r="EV131" s="873"/>
      <c r="EW131" s="873"/>
      <c r="EX131" s="873"/>
      <c r="EY131" s="873"/>
      <c r="EZ131" s="873"/>
      <c r="FA131" s="873"/>
      <c r="FB131" s="873"/>
      <c r="FC131" s="873"/>
      <c r="FD131" s="873"/>
      <c r="FE131" s="873"/>
      <c r="FF131" s="873"/>
      <c r="FG131" s="873"/>
      <c r="FH131" s="873"/>
      <c r="FI131" s="873"/>
      <c r="FJ131" s="873"/>
      <c r="FK131" s="873"/>
      <c r="FL131" s="873"/>
      <c r="FM131" s="873"/>
      <c r="FN131" s="873"/>
      <c r="FO131" s="873"/>
      <c r="FP131" s="873"/>
      <c r="FQ131" s="873"/>
      <c r="FR131" s="873"/>
      <c r="FS131" s="873"/>
      <c r="FT131" s="873"/>
      <c r="FU131" s="873"/>
      <c r="FV131" s="873"/>
      <c r="FW131" s="873"/>
      <c r="FX131" s="873"/>
      <c r="FY131" s="873"/>
      <c r="FZ131" s="873"/>
      <c r="GA131" s="873"/>
      <c r="GB131" s="873"/>
      <c r="GC131" s="873"/>
      <c r="GD131" s="873"/>
      <c r="GE131" s="873"/>
      <c r="GF131" s="873"/>
      <c r="GG131" s="873"/>
      <c r="GH131" s="873"/>
      <c r="GI131" s="873"/>
      <c r="GJ131" s="873"/>
      <c r="GK131" s="873"/>
      <c r="GL131" s="873"/>
      <c r="GM131" s="873"/>
      <c r="GN131" s="873"/>
      <c r="GO131" s="873"/>
      <c r="GP131" s="873"/>
      <c r="GQ131" s="873"/>
      <c r="GR131" s="873"/>
      <c r="GS131" s="873"/>
      <c r="GT131" s="873"/>
      <c r="GU131" s="873"/>
      <c r="GV131" s="873"/>
      <c r="GW131" s="873"/>
      <c r="GX131" s="873"/>
      <c r="GY131" s="873"/>
      <c r="GZ131" s="873"/>
      <c r="HA131" s="873"/>
      <c r="HB131" s="873"/>
      <c r="HC131" s="873"/>
      <c r="HD131" s="873"/>
      <c r="HE131" s="873"/>
      <c r="HF131" s="873"/>
      <c r="HG131" s="873"/>
      <c r="HH131" s="873"/>
      <c r="HI131" s="873"/>
      <c r="HJ131" s="873"/>
      <c r="HK131" s="873"/>
      <c r="HL131" s="873"/>
      <c r="HM131" s="873"/>
      <c r="HN131" s="873"/>
      <c r="HO131" s="873"/>
      <c r="HP131" s="873"/>
      <c r="HQ131" s="873"/>
      <c r="HR131" s="873"/>
      <c r="HS131" s="873"/>
      <c r="HT131" s="873"/>
      <c r="HU131" s="873"/>
      <c r="HV131" s="873"/>
      <c r="HW131" s="873"/>
      <c r="HX131" s="873"/>
      <c r="HY131" s="873"/>
      <c r="HZ131" s="873"/>
      <c r="IA131" s="873"/>
      <c r="IB131" s="873"/>
      <c r="IC131" s="873"/>
      <c r="ID131" s="873"/>
      <c r="IE131" s="873"/>
      <c r="IF131" s="873"/>
      <c r="IG131" s="873"/>
      <c r="IH131" s="873"/>
      <c r="II131" s="873"/>
      <c r="IJ131" s="873"/>
      <c r="IK131" s="873"/>
      <c r="IL131" s="873"/>
      <c r="IM131" s="873"/>
      <c r="IN131" s="873"/>
      <c r="IO131" s="873"/>
      <c r="IP131" s="873"/>
      <c r="IQ131" s="873"/>
      <c r="IR131" s="873"/>
      <c r="IS131" s="873"/>
      <c r="IT131" s="873"/>
      <c r="IU131" s="873"/>
      <c r="IV131" s="873"/>
      <c r="IW131" s="873"/>
      <c r="IX131" s="873"/>
      <c r="IY131" s="873"/>
      <c r="IZ131" s="873"/>
      <c r="JA131" s="873"/>
      <c r="JB131" s="873"/>
      <c r="JC131" s="873"/>
      <c r="JD131" s="873"/>
      <c r="JE131" s="873"/>
      <c r="JF131" s="873"/>
      <c r="JG131" s="873"/>
      <c r="JH131" s="873"/>
      <c r="JI131" s="873"/>
      <c r="JJ131" s="873"/>
      <c r="JK131" s="873"/>
      <c r="JL131" s="873"/>
      <c r="JM131" s="873"/>
      <c r="JN131" s="873"/>
      <c r="JO131" s="873"/>
      <c r="JP131" s="873"/>
      <c r="JQ131" s="873"/>
      <c r="JR131" s="873"/>
      <c r="JS131" s="873"/>
      <c r="JT131" s="873"/>
      <c r="JU131" s="873"/>
      <c r="JV131" s="402"/>
    </row>
    <row r="132" spans="1:282">
      <c r="A132" s="672"/>
      <c r="B132" s="408"/>
      <c r="C132" s="873"/>
      <c r="D132" s="888"/>
      <c r="E132" s="671"/>
      <c r="F132" s="873"/>
      <c r="G132" s="873"/>
      <c r="H132" s="873"/>
      <c r="I132" s="873"/>
      <c r="J132" s="873"/>
      <c r="K132" s="873"/>
      <c r="L132" s="873"/>
      <c r="M132" s="873"/>
      <c r="N132" s="873"/>
      <c r="O132" s="873"/>
      <c r="P132" s="873"/>
      <c r="Q132" s="873"/>
      <c r="R132" s="873"/>
      <c r="S132" s="873"/>
      <c r="T132" s="873"/>
      <c r="U132" s="873"/>
      <c r="V132" s="873"/>
      <c r="W132" s="873"/>
      <c r="X132" s="873"/>
      <c r="Y132" s="873"/>
      <c r="Z132" s="873"/>
      <c r="AA132" s="394"/>
      <c r="AB132" s="873"/>
      <c r="AC132" s="394"/>
      <c r="AD132" s="873"/>
      <c r="AE132" s="873"/>
      <c r="AF132" s="873"/>
      <c r="AG132" s="873"/>
      <c r="AH132" s="873"/>
      <c r="AI132" s="873"/>
      <c r="AJ132" s="403"/>
      <c r="AK132" s="403"/>
      <c r="AL132" s="873"/>
      <c r="AM132" s="873"/>
      <c r="AN132" s="403"/>
      <c r="AO132" s="403"/>
      <c r="AP132" s="394"/>
      <c r="AQ132" s="394"/>
      <c r="AR132" s="394"/>
      <c r="AS132" s="394"/>
      <c r="AT132" s="394"/>
      <c r="AU132" s="873"/>
      <c r="AV132" s="873"/>
      <c r="AW132" s="873"/>
      <c r="AX132" s="873"/>
      <c r="AY132" s="873"/>
      <c r="AZ132" s="873"/>
      <c r="BA132" s="394"/>
      <c r="BB132" s="873"/>
      <c r="BC132" s="873"/>
      <c r="BD132" s="873"/>
      <c r="BE132" s="873"/>
      <c r="BF132" s="873"/>
      <c r="BG132" s="873"/>
      <c r="BH132" s="873"/>
      <c r="BI132" s="873"/>
      <c r="BJ132" s="873"/>
      <c r="BK132" s="873"/>
      <c r="BL132" s="873"/>
      <c r="BM132" s="873"/>
      <c r="BN132" s="873"/>
      <c r="BO132" s="873"/>
      <c r="BP132" s="873"/>
      <c r="BQ132" s="873"/>
      <c r="BR132" s="873"/>
      <c r="BS132" s="873"/>
      <c r="BT132" s="873"/>
      <c r="BU132" s="873"/>
      <c r="BV132" s="873"/>
      <c r="BW132" s="873"/>
      <c r="BX132" s="873"/>
      <c r="BY132" s="873"/>
      <c r="BZ132" s="873"/>
      <c r="CA132" s="873"/>
      <c r="CB132" s="873"/>
      <c r="CC132" s="873"/>
      <c r="CD132" s="873"/>
      <c r="CE132" s="873"/>
      <c r="CF132" s="873"/>
      <c r="CG132" s="873"/>
      <c r="CH132" s="873"/>
      <c r="CI132" s="873"/>
      <c r="CJ132" s="873"/>
      <c r="CK132" s="873"/>
      <c r="CL132" s="873"/>
      <c r="CM132" s="873"/>
      <c r="CN132" s="873"/>
      <c r="CO132" s="873"/>
      <c r="CP132" s="873"/>
      <c r="CQ132" s="873"/>
      <c r="CR132" s="873"/>
      <c r="CS132" s="873"/>
      <c r="CT132" s="873"/>
      <c r="CU132" s="873"/>
      <c r="CV132" s="873"/>
      <c r="CW132" s="873"/>
      <c r="CX132" s="873"/>
      <c r="CY132" s="873"/>
      <c r="CZ132" s="873"/>
      <c r="DA132" s="873"/>
      <c r="DB132" s="873"/>
      <c r="DC132" s="873"/>
      <c r="DD132" s="873"/>
      <c r="DE132" s="873"/>
      <c r="DF132" s="873"/>
      <c r="DG132" s="873"/>
      <c r="DH132" s="873"/>
      <c r="DI132" s="873"/>
      <c r="DJ132" s="873"/>
      <c r="DK132" s="873"/>
      <c r="DL132" s="873"/>
      <c r="DM132" s="873"/>
      <c r="DN132" s="873"/>
      <c r="DO132" s="873"/>
      <c r="DP132" s="873"/>
      <c r="DQ132" s="873"/>
      <c r="DR132" s="873"/>
      <c r="DS132" s="873"/>
      <c r="DT132" s="873"/>
      <c r="DU132" s="873"/>
      <c r="DV132" s="873"/>
      <c r="DW132" s="873"/>
      <c r="DX132" s="873"/>
      <c r="DY132" s="873"/>
      <c r="DZ132" s="873"/>
      <c r="EA132" s="873"/>
      <c r="EB132" s="873"/>
      <c r="EC132" s="873"/>
      <c r="ED132" s="873"/>
      <c r="EE132" s="873"/>
      <c r="EF132" s="873"/>
      <c r="EG132" s="873"/>
      <c r="EH132" s="873"/>
      <c r="EI132" s="873"/>
      <c r="EJ132" s="873"/>
      <c r="EK132" s="873"/>
      <c r="EL132" s="873"/>
      <c r="EM132" s="873"/>
      <c r="EN132" s="873"/>
      <c r="EO132" s="873"/>
      <c r="EP132" s="873"/>
      <c r="EQ132" s="873"/>
      <c r="ER132" s="873"/>
      <c r="ES132" s="873"/>
      <c r="ET132" s="873"/>
      <c r="EU132" s="873"/>
      <c r="EV132" s="873"/>
      <c r="EW132" s="873"/>
      <c r="EX132" s="873"/>
      <c r="EY132" s="873"/>
      <c r="EZ132" s="873"/>
      <c r="FA132" s="873"/>
      <c r="FB132" s="873"/>
      <c r="FC132" s="873"/>
      <c r="FD132" s="873"/>
      <c r="FE132" s="873"/>
      <c r="FF132" s="873"/>
      <c r="FG132" s="873"/>
      <c r="FH132" s="873"/>
      <c r="FI132" s="873"/>
      <c r="FJ132" s="873"/>
      <c r="FK132" s="873"/>
      <c r="FL132" s="873"/>
      <c r="FM132" s="873"/>
      <c r="FN132" s="873"/>
      <c r="FO132" s="873"/>
      <c r="FP132" s="873"/>
      <c r="FQ132" s="873"/>
      <c r="FR132" s="873"/>
      <c r="FS132" s="873"/>
      <c r="FT132" s="873"/>
      <c r="FU132" s="873"/>
      <c r="FV132" s="873"/>
      <c r="FW132" s="873"/>
      <c r="FX132" s="873"/>
      <c r="FY132" s="873"/>
      <c r="FZ132" s="873"/>
      <c r="GA132" s="873"/>
      <c r="GB132" s="873"/>
      <c r="GC132" s="873"/>
      <c r="GD132" s="873"/>
      <c r="GE132" s="873"/>
      <c r="GF132" s="873"/>
      <c r="GG132" s="873"/>
      <c r="GH132" s="873"/>
      <c r="GI132" s="873"/>
      <c r="GJ132" s="873"/>
      <c r="GK132" s="873"/>
      <c r="GL132" s="873"/>
      <c r="GM132" s="873"/>
      <c r="GN132" s="873"/>
      <c r="GO132" s="873"/>
      <c r="GP132" s="873"/>
      <c r="GQ132" s="873"/>
      <c r="GR132" s="873"/>
      <c r="GS132" s="873"/>
      <c r="GT132" s="873"/>
      <c r="GU132" s="873"/>
      <c r="GV132" s="873"/>
      <c r="GW132" s="873"/>
      <c r="GX132" s="873"/>
      <c r="GY132" s="873"/>
      <c r="GZ132" s="873"/>
      <c r="HA132" s="873"/>
      <c r="HB132" s="873"/>
      <c r="HC132" s="873"/>
      <c r="HD132" s="873"/>
      <c r="HE132" s="873"/>
      <c r="HF132" s="873"/>
      <c r="HG132" s="873"/>
      <c r="HH132" s="873"/>
      <c r="HI132" s="873"/>
      <c r="HJ132" s="873"/>
      <c r="HK132" s="873"/>
      <c r="HL132" s="873"/>
      <c r="HM132" s="873"/>
      <c r="HN132" s="873"/>
      <c r="HO132" s="873"/>
      <c r="HP132" s="873"/>
      <c r="HQ132" s="873"/>
      <c r="HR132" s="873"/>
      <c r="HS132" s="873"/>
      <c r="HT132" s="873"/>
      <c r="HU132" s="873"/>
      <c r="HV132" s="873"/>
      <c r="HW132" s="873"/>
      <c r="HX132" s="873"/>
      <c r="HY132" s="873"/>
      <c r="HZ132" s="873"/>
      <c r="IA132" s="873"/>
      <c r="IB132" s="873"/>
      <c r="IC132" s="873"/>
      <c r="ID132" s="873"/>
      <c r="IE132" s="873"/>
      <c r="IF132" s="873"/>
      <c r="IG132" s="873"/>
      <c r="IH132" s="873"/>
      <c r="II132" s="873"/>
      <c r="IJ132" s="873"/>
      <c r="IK132" s="873"/>
      <c r="IL132" s="873"/>
      <c r="IM132" s="873"/>
      <c r="IN132" s="873"/>
      <c r="IO132" s="873"/>
      <c r="IP132" s="873"/>
      <c r="IQ132" s="873"/>
      <c r="IR132" s="873"/>
      <c r="IS132" s="873"/>
      <c r="IT132" s="873"/>
      <c r="IU132" s="873"/>
      <c r="IV132" s="873"/>
      <c r="IW132" s="873"/>
      <c r="IX132" s="873"/>
      <c r="IY132" s="873"/>
      <c r="IZ132" s="873"/>
      <c r="JA132" s="873"/>
      <c r="JB132" s="873"/>
      <c r="JC132" s="873"/>
      <c r="JD132" s="873"/>
      <c r="JE132" s="873"/>
      <c r="JF132" s="873"/>
      <c r="JG132" s="873"/>
      <c r="JH132" s="873"/>
      <c r="JI132" s="873"/>
      <c r="JJ132" s="873"/>
      <c r="JK132" s="873"/>
      <c r="JL132" s="873"/>
      <c r="JM132" s="873"/>
      <c r="JN132" s="873"/>
      <c r="JO132" s="873"/>
      <c r="JP132" s="873"/>
      <c r="JQ132" s="873"/>
      <c r="JR132" s="873"/>
      <c r="JS132" s="873"/>
      <c r="JT132" s="873"/>
      <c r="JU132" s="873"/>
      <c r="JV132" s="402"/>
    </row>
    <row r="133" spans="1:282">
      <c r="A133" s="672"/>
      <c r="B133" s="408"/>
      <c r="C133" s="873"/>
      <c r="D133" s="888"/>
      <c r="E133" s="671"/>
      <c r="F133" s="873"/>
      <c r="G133" s="873"/>
      <c r="H133" s="873"/>
      <c r="I133" s="873"/>
      <c r="J133" s="873"/>
      <c r="K133" s="873"/>
      <c r="L133" s="873"/>
      <c r="M133" s="873"/>
      <c r="N133" s="873"/>
      <c r="O133" s="873"/>
      <c r="P133" s="873"/>
      <c r="Q133" s="873"/>
      <c r="R133" s="873"/>
      <c r="S133" s="873"/>
      <c r="T133" s="873"/>
      <c r="U133" s="873"/>
      <c r="V133" s="873"/>
      <c r="W133" s="873"/>
      <c r="X133" s="873"/>
      <c r="Y133" s="873"/>
      <c r="Z133" s="873"/>
      <c r="AA133" s="394"/>
      <c r="AB133" s="873"/>
      <c r="AC133" s="394"/>
      <c r="AD133" s="873"/>
      <c r="AE133" s="873"/>
      <c r="AF133" s="873"/>
      <c r="AG133" s="873"/>
      <c r="AH133" s="873"/>
      <c r="AI133" s="873"/>
      <c r="AJ133" s="403"/>
      <c r="AK133" s="403"/>
      <c r="AL133" s="873"/>
      <c r="AM133" s="873"/>
      <c r="AN133" s="403"/>
      <c r="AO133" s="403"/>
      <c r="AP133" s="394"/>
      <c r="AQ133" s="394"/>
      <c r="AR133" s="394"/>
      <c r="AS133" s="394"/>
      <c r="AT133" s="394"/>
      <c r="AU133" s="873"/>
      <c r="AV133" s="873"/>
      <c r="AW133" s="873"/>
      <c r="AX133" s="873"/>
      <c r="AY133" s="873"/>
      <c r="AZ133" s="873"/>
      <c r="BA133" s="394"/>
      <c r="BB133" s="873"/>
      <c r="BC133" s="873"/>
      <c r="BD133" s="873"/>
      <c r="BE133" s="873"/>
      <c r="BF133" s="873"/>
      <c r="BG133" s="873"/>
      <c r="BH133" s="873"/>
      <c r="BI133" s="873"/>
      <c r="BJ133" s="873"/>
      <c r="BK133" s="873"/>
      <c r="BL133" s="873"/>
      <c r="BM133" s="873"/>
      <c r="BN133" s="873"/>
      <c r="BO133" s="873"/>
      <c r="BP133" s="873"/>
      <c r="BQ133" s="873"/>
      <c r="BR133" s="873"/>
      <c r="BS133" s="873"/>
      <c r="BT133" s="873"/>
      <c r="BU133" s="873"/>
      <c r="BV133" s="873"/>
      <c r="BW133" s="873"/>
      <c r="BX133" s="873"/>
      <c r="BY133" s="873"/>
      <c r="BZ133" s="873"/>
      <c r="CA133" s="873"/>
      <c r="CB133" s="873"/>
      <c r="CC133" s="873"/>
      <c r="CD133" s="873"/>
      <c r="CE133" s="873"/>
      <c r="CF133" s="873"/>
      <c r="CG133" s="873"/>
      <c r="CH133" s="873"/>
      <c r="CI133" s="873"/>
      <c r="CJ133" s="873"/>
      <c r="CK133" s="873"/>
      <c r="CL133" s="873"/>
      <c r="CM133" s="873"/>
      <c r="CN133" s="873"/>
      <c r="CO133" s="873"/>
      <c r="CP133" s="873"/>
      <c r="CQ133" s="873"/>
      <c r="CR133" s="873"/>
      <c r="CS133" s="873"/>
      <c r="CT133" s="873"/>
      <c r="CU133" s="873"/>
      <c r="CV133" s="873"/>
      <c r="CW133" s="873"/>
      <c r="CX133" s="873"/>
      <c r="CY133" s="873"/>
      <c r="CZ133" s="873"/>
      <c r="DA133" s="873"/>
      <c r="DB133" s="873"/>
      <c r="DC133" s="873"/>
      <c r="DD133" s="873"/>
      <c r="DE133" s="873"/>
      <c r="DF133" s="873"/>
      <c r="DG133" s="873"/>
      <c r="DH133" s="873"/>
      <c r="DI133" s="873"/>
      <c r="DJ133" s="873"/>
      <c r="DK133" s="873"/>
      <c r="DL133" s="873"/>
      <c r="DM133" s="873"/>
      <c r="DN133" s="873"/>
      <c r="DO133" s="873"/>
      <c r="DP133" s="873"/>
      <c r="DQ133" s="873"/>
      <c r="DR133" s="873"/>
      <c r="DS133" s="873"/>
      <c r="DT133" s="873"/>
      <c r="DU133" s="873"/>
      <c r="DV133" s="873"/>
      <c r="DW133" s="873"/>
      <c r="DX133" s="873"/>
      <c r="DY133" s="873"/>
      <c r="DZ133" s="873"/>
      <c r="EA133" s="873"/>
      <c r="EB133" s="873"/>
      <c r="EC133" s="873"/>
      <c r="ED133" s="873"/>
      <c r="EE133" s="873"/>
      <c r="EF133" s="873"/>
      <c r="EG133" s="873"/>
      <c r="EH133" s="873"/>
      <c r="EI133" s="873"/>
      <c r="EJ133" s="873"/>
      <c r="EK133" s="873"/>
      <c r="EL133" s="873"/>
      <c r="EM133" s="873"/>
      <c r="EN133" s="873"/>
      <c r="EO133" s="873"/>
      <c r="EP133" s="873"/>
      <c r="EQ133" s="873"/>
      <c r="ER133" s="873"/>
      <c r="ES133" s="873"/>
      <c r="ET133" s="873"/>
      <c r="EU133" s="873"/>
      <c r="EV133" s="873"/>
      <c r="EW133" s="873"/>
      <c r="EX133" s="873"/>
      <c r="EY133" s="873"/>
      <c r="EZ133" s="873"/>
      <c r="FA133" s="873"/>
      <c r="FB133" s="873"/>
      <c r="FC133" s="873"/>
      <c r="FD133" s="873"/>
      <c r="FE133" s="873"/>
      <c r="FF133" s="873"/>
      <c r="FG133" s="873"/>
      <c r="FH133" s="873"/>
      <c r="FI133" s="873"/>
      <c r="FJ133" s="873"/>
      <c r="FK133" s="873"/>
      <c r="FL133" s="873"/>
      <c r="FM133" s="873"/>
      <c r="FN133" s="873"/>
      <c r="FO133" s="873"/>
      <c r="FP133" s="873"/>
      <c r="FQ133" s="873"/>
      <c r="FR133" s="873"/>
      <c r="FS133" s="873"/>
      <c r="FT133" s="873"/>
      <c r="FU133" s="873"/>
      <c r="FV133" s="873"/>
      <c r="FW133" s="873"/>
      <c r="FX133" s="873"/>
      <c r="FY133" s="873"/>
      <c r="FZ133" s="873"/>
      <c r="GA133" s="873"/>
      <c r="GB133" s="873"/>
      <c r="GC133" s="873"/>
      <c r="GD133" s="873"/>
      <c r="GE133" s="873"/>
      <c r="GF133" s="873"/>
      <c r="GG133" s="873"/>
      <c r="GH133" s="873"/>
      <c r="GI133" s="873"/>
      <c r="GJ133" s="873"/>
      <c r="GK133" s="873"/>
      <c r="GL133" s="873"/>
      <c r="GM133" s="873"/>
      <c r="GN133" s="873"/>
      <c r="GO133" s="873"/>
      <c r="GP133" s="873"/>
      <c r="GQ133" s="873"/>
      <c r="GR133" s="873"/>
      <c r="GS133" s="873"/>
      <c r="GT133" s="873"/>
      <c r="GU133" s="873"/>
      <c r="GV133" s="873"/>
      <c r="GW133" s="873"/>
      <c r="GX133" s="873"/>
      <c r="GY133" s="873"/>
      <c r="GZ133" s="873"/>
      <c r="HA133" s="873"/>
      <c r="HB133" s="873"/>
      <c r="HC133" s="873"/>
      <c r="HD133" s="873"/>
      <c r="HE133" s="873"/>
      <c r="HF133" s="873"/>
      <c r="HG133" s="873"/>
      <c r="HH133" s="873"/>
      <c r="HI133" s="873"/>
      <c r="HJ133" s="873"/>
      <c r="HK133" s="873"/>
      <c r="HL133" s="873"/>
      <c r="HM133" s="873"/>
      <c r="HN133" s="873"/>
      <c r="HO133" s="873"/>
      <c r="HP133" s="873"/>
      <c r="HQ133" s="873"/>
      <c r="HR133" s="873"/>
      <c r="HS133" s="873"/>
      <c r="HT133" s="873"/>
      <c r="HU133" s="873"/>
      <c r="HV133" s="873"/>
      <c r="HW133" s="873"/>
      <c r="HX133" s="873"/>
      <c r="HY133" s="873"/>
      <c r="HZ133" s="873"/>
      <c r="IA133" s="873"/>
      <c r="IB133" s="873"/>
      <c r="IC133" s="873"/>
      <c r="ID133" s="873"/>
      <c r="IE133" s="873"/>
      <c r="IF133" s="873"/>
      <c r="IG133" s="873"/>
      <c r="IH133" s="873"/>
      <c r="II133" s="873"/>
      <c r="IJ133" s="873"/>
      <c r="IK133" s="873"/>
      <c r="IL133" s="873"/>
      <c r="IM133" s="873"/>
      <c r="IN133" s="873"/>
      <c r="IO133" s="873"/>
      <c r="IP133" s="873"/>
      <c r="IQ133" s="873"/>
      <c r="IR133" s="873"/>
      <c r="IS133" s="873"/>
      <c r="IT133" s="873"/>
      <c r="IU133" s="873"/>
      <c r="IV133" s="873"/>
      <c r="IW133" s="873"/>
      <c r="IX133" s="873"/>
      <c r="IY133" s="873"/>
      <c r="IZ133" s="873"/>
      <c r="JA133" s="873"/>
      <c r="JB133" s="873"/>
      <c r="JC133" s="873"/>
      <c r="JD133" s="873"/>
      <c r="JE133" s="873"/>
      <c r="JF133" s="873"/>
      <c r="JG133" s="873"/>
      <c r="JH133" s="873"/>
      <c r="JI133" s="873"/>
      <c r="JJ133" s="873"/>
      <c r="JK133" s="873"/>
      <c r="JL133" s="873"/>
      <c r="JM133" s="873"/>
      <c r="JN133" s="873"/>
      <c r="JO133" s="873"/>
      <c r="JP133" s="873"/>
      <c r="JQ133" s="873"/>
      <c r="JR133" s="873"/>
      <c r="JS133" s="873"/>
      <c r="JT133" s="873"/>
      <c r="JU133" s="873"/>
      <c r="JV133" s="402"/>
    </row>
    <row r="134" spans="1:282">
      <c r="A134" s="672"/>
      <c r="B134" s="408"/>
      <c r="C134" s="873"/>
      <c r="D134" s="888"/>
      <c r="E134" s="671"/>
      <c r="F134" s="873"/>
      <c r="G134" s="873"/>
      <c r="H134" s="873"/>
      <c r="I134" s="873"/>
      <c r="J134" s="873"/>
      <c r="K134" s="873"/>
      <c r="L134" s="873"/>
      <c r="M134" s="873"/>
      <c r="N134" s="873"/>
      <c r="O134" s="873"/>
      <c r="P134" s="873"/>
      <c r="Q134" s="873"/>
      <c r="R134" s="873"/>
      <c r="S134" s="873"/>
      <c r="T134" s="873"/>
      <c r="U134" s="873"/>
      <c r="V134" s="873"/>
      <c r="W134" s="873"/>
      <c r="X134" s="873"/>
      <c r="Y134" s="873"/>
      <c r="Z134" s="873"/>
      <c r="AA134" s="394"/>
      <c r="AB134" s="873"/>
      <c r="AC134" s="394"/>
      <c r="AD134" s="873"/>
      <c r="AE134" s="873"/>
      <c r="AF134" s="873"/>
      <c r="AG134" s="873"/>
      <c r="AH134" s="873"/>
      <c r="AI134" s="873"/>
      <c r="AJ134" s="403"/>
      <c r="AK134" s="403"/>
      <c r="AL134" s="873"/>
      <c r="AM134" s="873"/>
      <c r="AN134" s="403"/>
      <c r="AO134" s="403"/>
      <c r="AP134" s="394"/>
      <c r="AQ134" s="394"/>
      <c r="AR134" s="394"/>
      <c r="AS134" s="394"/>
      <c r="AT134" s="394"/>
      <c r="AU134" s="873"/>
      <c r="AV134" s="873"/>
      <c r="AW134" s="873"/>
      <c r="AX134" s="873"/>
      <c r="AY134" s="873"/>
      <c r="AZ134" s="873"/>
      <c r="BA134" s="394"/>
      <c r="BB134" s="873"/>
      <c r="BC134" s="873"/>
      <c r="BD134" s="873"/>
      <c r="BE134" s="873"/>
      <c r="BF134" s="873"/>
      <c r="BG134" s="873"/>
      <c r="BH134" s="873"/>
      <c r="BI134" s="873"/>
      <c r="BJ134" s="873"/>
      <c r="BK134" s="873"/>
      <c r="BL134" s="873"/>
      <c r="BM134" s="873"/>
      <c r="BN134" s="873"/>
      <c r="BO134" s="873"/>
      <c r="BP134" s="873"/>
      <c r="BQ134" s="873"/>
      <c r="BR134" s="873"/>
      <c r="BS134" s="873"/>
      <c r="BT134" s="873"/>
      <c r="BU134" s="873"/>
      <c r="BV134" s="873"/>
      <c r="BW134" s="873"/>
      <c r="BX134" s="873"/>
      <c r="BY134" s="873"/>
      <c r="BZ134" s="873"/>
      <c r="CA134" s="873"/>
      <c r="CB134" s="873"/>
      <c r="CC134" s="873"/>
      <c r="CD134" s="873"/>
      <c r="CE134" s="873"/>
      <c r="CF134" s="873"/>
      <c r="CG134" s="873"/>
      <c r="CH134" s="873"/>
      <c r="CI134" s="873"/>
      <c r="CJ134" s="873"/>
      <c r="CK134" s="873"/>
      <c r="CL134" s="873"/>
      <c r="CM134" s="873"/>
      <c r="CN134" s="873"/>
      <c r="CO134" s="873"/>
      <c r="CP134" s="873"/>
      <c r="CQ134" s="873"/>
      <c r="CR134" s="873"/>
      <c r="CS134" s="873"/>
      <c r="CT134" s="873"/>
      <c r="CU134" s="873"/>
      <c r="CV134" s="873"/>
      <c r="CW134" s="873"/>
      <c r="CX134" s="873"/>
      <c r="CY134" s="873"/>
      <c r="CZ134" s="873"/>
      <c r="DA134" s="873"/>
      <c r="DB134" s="873"/>
      <c r="DC134" s="873"/>
      <c r="DD134" s="873"/>
      <c r="DE134" s="873"/>
      <c r="DF134" s="873"/>
      <c r="DG134" s="873"/>
      <c r="DH134" s="873"/>
      <c r="DI134" s="873"/>
      <c r="DJ134" s="873"/>
      <c r="DK134" s="873"/>
      <c r="DL134" s="873"/>
      <c r="DM134" s="873"/>
      <c r="DN134" s="873"/>
      <c r="DO134" s="873"/>
      <c r="DP134" s="873"/>
      <c r="DQ134" s="873"/>
      <c r="DR134" s="873"/>
      <c r="DS134" s="873"/>
      <c r="DT134" s="873"/>
      <c r="DU134" s="873"/>
      <c r="DV134" s="873"/>
      <c r="DW134" s="873"/>
      <c r="DX134" s="873"/>
      <c r="DY134" s="873"/>
      <c r="DZ134" s="873"/>
      <c r="EA134" s="873"/>
      <c r="EB134" s="873"/>
      <c r="EC134" s="873"/>
      <c r="ED134" s="873"/>
      <c r="EE134" s="873"/>
      <c r="EF134" s="873"/>
      <c r="EG134" s="873"/>
      <c r="EH134" s="873"/>
      <c r="EI134" s="873"/>
      <c r="EJ134" s="873"/>
      <c r="EK134" s="873"/>
      <c r="EL134" s="873"/>
      <c r="EM134" s="873"/>
      <c r="EN134" s="873"/>
      <c r="EO134" s="873"/>
      <c r="EP134" s="873"/>
      <c r="EQ134" s="873"/>
      <c r="ER134" s="873"/>
      <c r="ES134" s="873"/>
      <c r="ET134" s="873"/>
      <c r="EU134" s="873"/>
      <c r="EV134" s="873"/>
      <c r="EW134" s="873"/>
      <c r="EX134" s="873"/>
      <c r="EY134" s="873"/>
      <c r="EZ134" s="873"/>
      <c r="FA134" s="873"/>
      <c r="FB134" s="873"/>
      <c r="FC134" s="873"/>
      <c r="FD134" s="873"/>
      <c r="FE134" s="873"/>
      <c r="FF134" s="873"/>
      <c r="FG134" s="873"/>
      <c r="FH134" s="873"/>
      <c r="FI134" s="873"/>
      <c r="FJ134" s="873"/>
      <c r="FK134" s="873"/>
      <c r="FL134" s="873"/>
      <c r="FM134" s="873"/>
      <c r="FN134" s="873"/>
      <c r="FO134" s="873"/>
      <c r="FP134" s="873"/>
      <c r="FQ134" s="873"/>
      <c r="FR134" s="873"/>
      <c r="FS134" s="873"/>
      <c r="FT134" s="873"/>
      <c r="FU134" s="873"/>
      <c r="FV134" s="873"/>
      <c r="FW134" s="873"/>
      <c r="FX134" s="873"/>
      <c r="FY134" s="873"/>
      <c r="FZ134" s="873"/>
      <c r="GA134" s="873"/>
      <c r="GB134" s="873"/>
      <c r="GC134" s="873"/>
      <c r="GD134" s="873"/>
      <c r="GE134" s="873"/>
      <c r="GF134" s="873"/>
      <c r="GG134" s="873"/>
      <c r="GH134" s="873"/>
      <c r="GI134" s="873"/>
      <c r="GJ134" s="873"/>
      <c r="GK134" s="873"/>
      <c r="GL134" s="873"/>
      <c r="GM134" s="873"/>
      <c r="GN134" s="873"/>
      <c r="GO134" s="873"/>
      <c r="GP134" s="873"/>
      <c r="GQ134" s="873"/>
      <c r="GR134" s="873"/>
      <c r="GS134" s="873"/>
      <c r="GT134" s="873"/>
      <c r="GU134" s="873"/>
      <c r="GV134" s="873"/>
      <c r="GW134" s="873"/>
      <c r="GX134" s="873"/>
      <c r="GY134" s="873"/>
      <c r="GZ134" s="873"/>
      <c r="HA134" s="873"/>
      <c r="HB134" s="873"/>
      <c r="HC134" s="873"/>
      <c r="HD134" s="873"/>
      <c r="HE134" s="873"/>
      <c r="HF134" s="873"/>
      <c r="HG134" s="873"/>
      <c r="HH134" s="873"/>
      <c r="HI134" s="873"/>
      <c r="HJ134" s="873"/>
      <c r="HK134" s="873"/>
      <c r="HL134" s="873"/>
      <c r="HM134" s="873"/>
      <c r="HN134" s="873"/>
      <c r="HO134" s="873"/>
      <c r="HP134" s="873"/>
      <c r="HQ134" s="873"/>
      <c r="HR134" s="873"/>
      <c r="HS134" s="873"/>
      <c r="HT134" s="873"/>
      <c r="HU134" s="873"/>
      <c r="HV134" s="873"/>
      <c r="HW134" s="873"/>
      <c r="HX134" s="873"/>
      <c r="HY134" s="873"/>
      <c r="HZ134" s="873"/>
      <c r="IA134" s="873"/>
      <c r="IB134" s="873"/>
      <c r="IC134" s="873"/>
      <c r="ID134" s="873"/>
      <c r="IE134" s="873"/>
      <c r="IF134" s="873"/>
      <c r="IG134" s="873"/>
      <c r="IH134" s="873"/>
      <c r="II134" s="873"/>
      <c r="IJ134" s="873"/>
      <c r="IK134" s="873"/>
      <c r="IL134" s="873"/>
      <c r="IM134" s="873"/>
      <c r="IN134" s="873"/>
      <c r="IO134" s="873"/>
      <c r="IP134" s="873"/>
      <c r="IQ134" s="873"/>
      <c r="IR134" s="873"/>
      <c r="IS134" s="873"/>
      <c r="IT134" s="873"/>
      <c r="IU134" s="873"/>
      <c r="IV134" s="873"/>
      <c r="IW134" s="873"/>
      <c r="IX134" s="873"/>
      <c r="IY134" s="873"/>
      <c r="IZ134" s="873"/>
      <c r="JA134" s="873"/>
      <c r="JB134" s="873"/>
      <c r="JC134" s="873"/>
      <c r="JD134" s="873"/>
      <c r="JE134" s="873"/>
      <c r="JF134" s="873"/>
      <c r="JG134" s="873"/>
      <c r="JH134" s="873"/>
      <c r="JI134" s="873"/>
      <c r="JJ134" s="873"/>
      <c r="JK134" s="873"/>
      <c r="JL134" s="873"/>
      <c r="JM134" s="873"/>
      <c r="JN134" s="873"/>
      <c r="JO134" s="873"/>
      <c r="JP134" s="873"/>
      <c r="JQ134" s="873"/>
      <c r="JR134" s="873"/>
      <c r="JS134" s="873"/>
      <c r="JT134" s="873"/>
      <c r="JU134" s="873"/>
      <c r="JV134" s="402"/>
    </row>
    <row r="135" spans="1:282">
      <c r="A135" s="672"/>
      <c r="B135" s="408"/>
      <c r="C135" s="873"/>
      <c r="D135" s="888"/>
      <c r="E135" s="671"/>
      <c r="F135" s="873"/>
      <c r="G135" s="873"/>
      <c r="H135" s="873"/>
      <c r="I135" s="873"/>
      <c r="J135" s="873"/>
      <c r="K135" s="873"/>
      <c r="L135" s="873"/>
      <c r="M135" s="873"/>
      <c r="N135" s="873"/>
      <c r="O135" s="873"/>
      <c r="P135" s="873"/>
      <c r="Q135" s="873"/>
      <c r="R135" s="873"/>
      <c r="S135" s="873"/>
      <c r="T135" s="873"/>
      <c r="U135" s="873"/>
      <c r="V135" s="873"/>
      <c r="W135" s="873"/>
      <c r="X135" s="873"/>
      <c r="Y135" s="873"/>
      <c r="Z135" s="873"/>
      <c r="AA135" s="394"/>
      <c r="AB135" s="873"/>
      <c r="AC135" s="394"/>
      <c r="AD135" s="873"/>
      <c r="AE135" s="873"/>
      <c r="AF135" s="873"/>
      <c r="AG135" s="873"/>
      <c r="AH135" s="873"/>
      <c r="AI135" s="873"/>
      <c r="AJ135" s="403"/>
      <c r="AK135" s="403"/>
      <c r="AL135" s="873"/>
      <c r="AM135" s="873"/>
      <c r="AN135" s="403"/>
      <c r="AO135" s="403"/>
      <c r="AP135" s="394"/>
      <c r="AQ135" s="394"/>
      <c r="AR135" s="394"/>
      <c r="AS135" s="394"/>
      <c r="AT135" s="394"/>
      <c r="AU135" s="873"/>
      <c r="AV135" s="873"/>
      <c r="AW135" s="873"/>
      <c r="AX135" s="873"/>
      <c r="AY135" s="873"/>
      <c r="AZ135" s="873"/>
      <c r="BA135" s="394"/>
      <c r="BB135" s="873"/>
      <c r="BC135" s="873"/>
      <c r="BD135" s="873"/>
      <c r="BE135" s="873"/>
      <c r="BF135" s="873"/>
      <c r="BG135" s="873"/>
      <c r="BH135" s="873"/>
      <c r="BI135" s="873"/>
      <c r="BJ135" s="873"/>
      <c r="BK135" s="873"/>
      <c r="BL135" s="873"/>
      <c r="BM135" s="873"/>
      <c r="BN135" s="873"/>
      <c r="BO135" s="873"/>
      <c r="BP135" s="873"/>
      <c r="BQ135" s="873"/>
      <c r="BR135" s="873"/>
      <c r="BS135" s="873"/>
      <c r="BT135" s="873"/>
      <c r="BU135" s="873"/>
      <c r="BV135" s="873"/>
      <c r="BW135" s="873"/>
      <c r="BX135" s="873"/>
      <c r="BY135" s="873"/>
      <c r="BZ135" s="873"/>
      <c r="CA135" s="873"/>
      <c r="CB135" s="873"/>
      <c r="CC135" s="873"/>
      <c r="CD135" s="873"/>
      <c r="CE135" s="873"/>
      <c r="CF135" s="873"/>
      <c r="CG135" s="873"/>
      <c r="CH135" s="873"/>
      <c r="CI135" s="873"/>
      <c r="CJ135" s="873"/>
      <c r="CK135" s="873"/>
      <c r="CL135" s="873"/>
      <c r="CM135" s="873"/>
      <c r="CN135" s="873"/>
      <c r="CO135" s="873"/>
      <c r="CP135" s="873"/>
      <c r="CQ135" s="873"/>
      <c r="CR135" s="873"/>
      <c r="CS135" s="873"/>
      <c r="CT135" s="873"/>
      <c r="CU135" s="873"/>
      <c r="CV135" s="873"/>
      <c r="CW135" s="873"/>
      <c r="CX135" s="873"/>
      <c r="CY135" s="873"/>
      <c r="CZ135" s="873"/>
      <c r="DA135" s="873"/>
      <c r="DB135" s="873"/>
      <c r="DC135" s="873"/>
      <c r="DD135" s="873"/>
      <c r="DE135" s="873"/>
      <c r="DF135" s="873"/>
      <c r="DG135" s="873"/>
      <c r="DH135" s="873"/>
      <c r="DI135" s="873"/>
      <c r="DJ135" s="873"/>
      <c r="DK135" s="873"/>
      <c r="DL135" s="873"/>
      <c r="DM135" s="873"/>
      <c r="DN135" s="873"/>
      <c r="DO135" s="873"/>
      <c r="DP135" s="873"/>
      <c r="DQ135" s="873"/>
      <c r="DR135" s="873"/>
      <c r="DS135" s="873"/>
      <c r="DT135" s="873"/>
      <c r="DU135" s="873"/>
      <c r="DV135" s="873"/>
      <c r="DW135" s="873"/>
      <c r="DX135" s="873"/>
      <c r="DY135" s="873"/>
      <c r="DZ135" s="873"/>
      <c r="EA135" s="873"/>
      <c r="EB135" s="873"/>
      <c r="EC135" s="873"/>
      <c r="ED135" s="873"/>
      <c r="EE135" s="873"/>
      <c r="EF135" s="873"/>
      <c r="EG135" s="873"/>
      <c r="EH135" s="873"/>
      <c r="EI135" s="873"/>
      <c r="EJ135" s="873"/>
      <c r="EK135" s="873"/>
      <c r="EL135" s="873"/>
      <c r="EM135" s="873"/>
      <c r="EN135" s="873"/>
      <c r="EO135" s="873"/>
      <c r="EP135" s="873"/>
      <c r="EQ135" s="873"/>
      <c r="ER135" s="873"/>
      <c r="ES135" s="873"/>
      <c r="ET135" s="873"/>
      <c r="EU135" s="873"/>
      <c r="EV135" s="873"/>
      <c r="EW135" s="873"/>
      <c r="EX135" s="873"/>
      <c r="EY135" s="873"/>
      <c r="EZ135" s="873"/>
      <c r="FA135" s="873"/>
      <c r="FB135" s="873"/>
      <c r="FC135" s="873"/>
      <c r="FD135" s="873"/>
      <c r="FE135" s="873"/>
      <c r="FF135" s="873"/>
      <c r="FG135" s="873"/>
      <c r="FH135" s="873"/>
      <c r="FI135" s="873"/>
      <c r="FJ135" s="873"/>
      <c r="FK135" s="873"/>
      <c r="FL135" s="873"/>
      <c r="FM135" s="873"/>
      <c r="FN135" s="873"/>
      <c r="FO135" s="873"/>
      <c r="FP135" s="873"/>
      <c r="FQ135" s="873"/>
      <c r="FR135" s="873"/>
      <c r="FS135" s="873"/>
      <c r="FT135" s="873"/>
      <c r="FU135" s="873"/>
      <c r="FV135" s="873"/>
      <c r="FW135" s="873"/>
      <c r="FX135" s="873"/>
      <c r="FY135" s="873"/>
      <c r="FZ135" s="873"/>
      <c r="GA135" s="873"/>
      <c r="GB135" s="873"/>
      <c r="GC135" s="873"/>
      <c r="GD135" s="873"/>
      <c r="GE135" s="873"/>
      <c r="GF135" s="873"/>
      <c r="GG135" s="873"/>
      <c r="GH135" s="873"/>
      <c r="GI135" s="873"/>
      <c r="GJ135" s="873"/>
      <c r="GK135" s="873"/>
      <c r="GL135" s="873"/>
      <c r="GM135" s="873"/>
      <c r="GN135" s="873"/>
      <c r="GO135" s="873"/>
      <c r="GP135" s="873"/>
      <c r="GQ135" s="873"/>
      <c r="GR135" s="873"/>
      <c r="GS135" s="873"/>
      <c r="GT135" s="873"/>
      <c r="GU135" s="873"/>
      <c r="GV135" s="873"/>
      <c r="GW135" s="873"/>
      <c r="GX135" s="873"/>
      <c r="GY135" s="873"/>
      <c r="GZ135" s="873"/>
      <c r="HA135" s="873"/>
      <c r="HB135" s="873"/>
      <c r="HC135" s="873"/>
      <c r="HD135" s="873"/>
      <c r="HE135" s="873"/>
      <c r="HF135" s="873"/>
      <c r="HG135" s="873"/>
      <c r="HH135" s="873"/>
      <c r="HI135" s="873"/>
      <c r="HJ135" s="873"/>
      <c r="HK135" s="873"/>
      <c r="HL135" s="873"/>
      <c r="HM135" s="873"/>
      <c r="HN135" s="873"/>
      <c r="HO135" s="873"/>
      <c r="HP135" s="873"/>
      <c r="HQ135" s="873"/>
      <c r="HR135" s="873"/>
      <c r="HS135" s="873"/>
      <c r="HT135" s="873"/>
      <c r="HU135" s="873"/>
      <c r="HV135" s="873"/>
      <c r="HW135" s="873"/>
      <c r="HX135" s="873"/>
      <c r="HY135" s="873"/>
      <c r="HZ135" s="873"/>
      <c r="IA135" s="873"/>
      <c r="IB135" s="873"/>
      <c r="IC135" s="873"/>
      <c r="ID135" s="873"/>
      <c r="IE135" s="873"/>
      <c r="IF135" s="873"/>
      <c r="IG135" s="873"/>
      <c r="IH135" s="873"/>
      <c r="II135" s="873"/>
      <c r="IJ135" s="873"/>
      <c r="IK135" s="873"/>
      <c r="IL135" s="873"/>
      <c r="IM135" s="873"/>
      <c r="IN135" s="873"/>
      <c r="IO135" s="873"/>
      <c r="IP135" s="873"/>
      <c r="IQ135" s="873"/>
      <c r="IR135" s="873"/>
      <c r="IS135" s="873"/>
      <c r="IT135" s="873"/>
      <c r="IU135" s="873"/>
      <c r="IV135" s="873"/>
      <c r="IW135" s="873"/>
      <c r="IX135" s="873"/>
      <c r="IY135" s="873"/>
      <c r="IZ135" s="873"/>
      <c r="JA135" s="873"/>
      <c r="JB135" s="873"/>
      <c r="JC135" s="873"/>
      <c r="JD135" s="873"/>
      <c r="JE135" s="873"/>
      <c r="JF135" s="873"/>
      <c r="JG135" s="873"/>
      <c r="JH135" s="873"/>
      <c r="JI135" s="873"/>
      <c r="JJ135" s="873"/>
      <c r="JK135" s="873"/>
      <c r="JL135" s="873"/>
      <c r="JM135" s="873"/>
      <c r="JN135" s="873"/>
      <c r="JO135" s="873"/>
      <c r="JP135" s="873"/>
      <c r="JQ135" s="873"/>
      <c r="JR135" s="873"/>
      <c r="JS135" s="873"/>
      <c r="JT135" s="873"/>
      <c r="JU135" s="873"/>
      <c r="JV135" s="402"/>
    </row>
    <row r="136" spans="1:282">
      <c r="A136" s="672"/>
      <c r="B136" s="408"/>
      <c r="C136" s="873"/>
      <c r="D136" s="888"/>
      <c r="E136" s="671"/>
      <c r="F136" s="873"/>
      <c r="G136" s="873"/>
      <c r="H136" s="873"/>
      <c r="I136" s="873"/>
      <c r="J136" s="873"/>
      <c r="K136" s="873"/>
      <c r="L136" s="873"/>
      <c r="M136" s="873"/>
      <c r="N136" s="873"/>
      <c r="O136" s="873"/>
      <c r="P136" s="873"/>
      <c r="Q136" s="873"/>
      <c r="R136" s="873"/>
      <c r="S136" s="873"/>
      <c r="T136" s="873"/>
      <c r="U136" s="873"/>
      <c r="V136" s="873"/>
      <c r="W136" s="873"/>
      <c r="X136" s="873"/>
      <c r="Y136" s="873"/>
      <c r="Z136" s="873"/>
      <c r="AA136" s="394"/>
      <c r="AB136" s="873"/>
      <c r="AC136" s="394"/>
      <c r="AD136" s="873"/>
      <c r="AE136" s="873"/>
      <c r="AF136" s="873"/>
      <c r="AG136" s="873"/>
      <c r="AH136" s="873"/>
      <c r="AI136" s="873"/>
      <c r="AJ136" s="403"/>
      <c r="AK136" s="403"/>
      <c r="AL136" s="873"/>
      <c r="AM136" s="873"/>
      <c r="AN136" s="403"/>
      <c r="AO136" s="403"/>
      <c r="AP136" s="394"/>
      <c r="AQ136" s="394"/>
      <c r="AR136" s="394"/>
      <c r="AS136" s="394"/>
      <c r="AT136" s="394"/>
      <c r="AU136" s="873"/>
      <c r="AV136" s="873"/>
      <c r="AW136" s="873"/>
      <c r="AX136" s="873"/>
      <c r="AY136" s="873"/>
      <c r="AZ136" s="873"/>
      <c r="BA136" s="394"/>
      <c r="BB136" s="873"/>
      <c r="BC136" s="873"/>
      <c r="BD136" s="873"/>
      <c r="BE136" s="873"/>
      <c r="BF136" s="873"/>
      <c r="BG136" s="873"/>
      <c r="BH136" s="873"/>
      <c r="BI136" s="873"/>
      <c r="BJ136" s="873"/>
      <c r="BK136" s="873"/>
      <c r="BL136" s="873"/>
      <c r="BM136" s="873"/>
      <c r="BN136" s="873"/>
      <c r="BO136" s="873"/>
      <c r="BP136" s="873"/>
      <c r="BQ136" s="873"/>
      <c r="BR136" s="873"/>
      <c r="BS136" s="873"/>
      <c r="BT136" s="873"/>
      <c r="BU136" s="873"/>
      <c r="BV136" s="873"/>
      <c r="BW136" s="873"/>
      <c r="BX136" s="873"/>
      <c r="BY136" s="873"/>
      <c r="BZ136" s="873"/>
      <c r="CA136" s="873"/>
      <c r="CB136" s="873"/>
      <c r="CC136" s="873"/>
      <c r="CD136" s="873"/>
      <c r="CE136" s="873"/>
      <c r="CF136" s="873"/>
      <c r="CG136" s="873"/>
      <c r="CH136" s="873"/>
      <c r="CI136" s="873"/>
      <c r="CJ136" s="873"/>
      <c r="CK136" s="873"/>
      <c r="CL136" s="873"/>
      <c r="CM136" s="873"/>
      <c r="CN136" s="873"/>
      <c r="CO136" s="873"/>
      <c r="CP136" s="873"/>
      <c r="CQ136" s="873"/>
      <c r="CR136" s="873"/>
      <c r="CS136" s="873"/>
      <c r="CT136" s="873"/>
      <c r="CU136" s="873"/>
      <c r="CV136" s="873"/>
      <c r="CW136" s="873"/>
      <c r="CX136" s="873"/>
      <c r="CY136" s="873"/>
      <c r="CZ136" s="873"/>
      <c r="DA136" s="873"/>
      <c r="DB136" s="873"/>
      <c r="DC136" s="873"/>
      <c r="DD136" s="873"/>
      <c r="DE136" s="873"/>
      <c r="DF136" s="873"/>
      <c r="DG136" s="873"/>
      <c r="DH136" s="873"/>
      <c r="DI136" s="873"/>
      <c r="DJ136" s="873"/>
      <c r="DK136" s="873"/>
      <c r="DL136" s="873"/>
      <c r="DM136" s="873"/>
      <c r="DN136" s="873"/>
      <c r="DO136" s="873"/>
      <c r="DP136" s="873"/>
      <c r="DQ136" s="873"/>
      <c r="DR136" s="873"/>
      <c r="DS136" s="873"/>
      <c r="DT136" s="873"/>
      <c r="DU136" s="873"/>
      <c r="DV136" s="873"/>
      <c r="DW136" s="873"/>
      <c r="DX136" s="873"/>
      <c r="DY136" s="873"/>
      <c r="DZ136" s="873"/>
      <c r="EA136" s="873"/>
      <c r="EB136" s="873"/>
      <c r="EC136" s="873"/>
      <c r="ED136" s="873"/>
      <c r="EE136" s="873"/>
      <c r="EF136" s="873"/>
      <c r="EG136" s="873"/>
      <c r="EH136" s="873"/>
      <c r="EI136" s="873"/>
      <c r="EJ136" s="873"/>
      <c r="EK136" s="873"/>
      <c r="EL136" s="873"/>
      <c r="EM136" s="873"/>
      <c r="EN136" s="873"/>
      <c r="EO136" s="873"/>
      <c r="EP136" s="873"/>
      <c r="EQ136" s="873"/>
      <c r="ER136" s="873"/>
      <c r="ES136" s="873"/>
      <c r="ET136" s="873"/>
      <c r="EU136" s="873"/>
      <c r="EV136" s="873"/>
      <c r="EW136" s="873"/>
      <c r="EX136" s="873"/>
      <c r="EY136" s="873"/>
      <c r="EZ136" s="873"/>
      <c r="FA136" s="873"/>
      <c r="FB136" s="873"/>
      <c r="FC136" s="873"/>
      <c r="FD136" s="873"/>
      <c r="FE136" s="873"/>
      <c r="FF136" s="873"/>
      <c r="FG136" s="873"/>
      <c r="FH136" s="873"/>
      <c r="FI136" s="873"/>
      <c r="FJ136" s="873"/>
      <c r="FK136" s="873"/>
      <c r="FL136" s="873"/>
      <c r="FM136" s="873"/>
      <c r="FN136" s="873"/>
      <c r="FO136" s="873"/>
      <c r="FP136" s="873"/>
      <c r="FQ136" s="873"/>
      <c r="FR136" s="873"/>
      <c r="FS136" s="873"/>
      <c r="FT136" s="873"/>
      <c r="FU136" s="873"/>
      <c r="FV136" s="873"/>
      <c r="FW136" s="873"/>
      <c r="FX136" s="873"/>
      <c r="FY136" s="873"/>
      <c r="FZ136" s="873"/>
      <c r="GA136" s="873"/>
      <c r="GB136" s="873"/>
      <c r="GC136" s="873"/>
      <c r="GD136" s="873"/>
      <c r="GE136" s="873"/>
      <c r="GF136" s="873"/>
      <c r="GG136" s="873"/>
      <c r="GH136" s="873"/>
      <c r="GI136" s="873"/>
      <c r="GJ136" s="873"/>
      <c r="GK136" s="873"/>
      <c r="GL136" s="873"/>
      <c r="GM136" s="873"/>
      <c r="GN136" s="873"/>
      <c r="GO136" s="873"/>
      <c r="GP136" s="873"/>
      <c r="GQ136" s="873"/>
      <c r="GR136" s="873"/>
      <c r="GS136" s="873"/>
      <c r="GT136" s="873"/>
      <c r="GU136" s="873"/>
      <c r="GV136" s="873"/>
      <c r="GW136" s="873"/>
      <c r="GX136" s="873"/>
      <c r="GY136" s="873"/>
      <c r="GZ136" s="873"/>
      <c r="HA136" s="873"/>
      <c r="HB136" s="873"/>
      <c r="HC136" s="873"/>
      <c r="HD136" s="873"/>
      <c r="HE136" s="873"/>
      <c r="HF136" s="873"/>
      <c r="HG136" s="873"/>
      <c r="HH136" s="873"/>
      <c r="HI136" s="873"/>
      <c r="HJ136" s="873"/>
      <c r="HK136" s="873"/>
      <c r="HL136" s="873"/>
      <c r="HM136" s="873"/>
      <c r="HN136" s="873"/>
      <c r="HO136" s="873"/>
      <c r="HP136" s="873"/>
      <c r="HQ136" s="873"/>
      <c r="HR136" s="873"/>
      <c r="HS136" s="873"/>
      <c r="HT136" s="873"/>
      <c r="HU136" s="873"/>
      <c r="HV136" s="873"/>
      <c r="HW136" s="873"/>
      <c r="HX136" s="873"/>
      <c r="HY136" s="873"/>
      <c r="HZ136" s="873"/>
      <c r="IA136" s="873"/>
      <c r="IB136" s="873"/>
      <c r="IC136" s="873"/>
      <c r="ID136" s="873"/>
      <c r="IE136" s="873"/>
      <c r="IF136" s="873"/>
      <c r="IG136" s="873"/>
      <c r="IH136" s="873"/>
      <c r="II136" s="873"/>
      <c r="IJ136" s="873"/>
      <c r="IK136" s="873"/>
      <c r="IL136" s="873"/>
      <c r="IM136" s="873"/>
      <c r="IN136" s="873"/>
      <c r="IO136" s="873"/>
      <c r="IP136" s="873"/>
      <c r="IQ136" s="873"/>
      <c r="IR136" s="873"/>
      <c r="IS136" s="873"/>
      <c r="IT136" s="873"/>
      <c r="IU136" s="873"/>
      <c r="IV136" s="873"/>
      <c r="IW136" s="873"/>
      <c r="IX136" s="873"/>
      <c r="IY136" s="873"/>
      <c r="IZ136" s="873"/>
      <c r="JA136" s="873"/>
      <c r="JB136" s="873"/>
      <c r="JC136" s="873"/>
      <c r="JD136" s="873"/>
      <c r="JE136" s="873"/>
      <c r="JF136" s="873"/>
      <c r="JG136" s="873"/>
      <c r="JH136" s="873"/>
      <c r="JI136" s="873"/>
      <c r="JJ136" s="873"/>
      <c r="JK136" s="873"/>
      <c r="JL136" s="873"/>
      <c r="JM136" s="873"/>
      <c r="JN136" s="873"/>
      <c r="JO136" s="873"/>
      <c r="JP136" s="873"/>
      <c r="JQ136" s="873"/>
      <c r="JR136" s="873"/>
      <c r="JS136" s="873"/>
      <c r="JT136" s="873"/>
      <c r="JU136" s="873"/>
      <c r="JV136" s="402"/>
    </row>
    <row r="137" spans="1:282">
      <c r="A137" s="672"/>
      <c r="B137" s="408"/>
      <c r="C137" s="873"/>
      <c r="D137" s="888"/>
      <c r="E137" s="671"/>
      <c r="F137" s="873"/>
      <c r="G137" s="873"/>
      <c r="H137" s="873"/>
      <c r="I137" s="873"/>
      <c r="J137" s="873"/>
      <c r="K137" s="873"/>
      <c r="L137" s="873"/>
      <c r="M137" s="873"/>
      <c r="N137" s="873"/>
      <c r="O137" s="873"/>
      <c r="P137" s="873"/>
      <c r="Q137" s="873"/>
      <c r="R137" s="873"/>
      <c r="S137" s="873"/>
      <c r="T137" s="873"/>
      <c r="U137" s="873"/>
      <c r="V137" s="873"/>
      <c r="W137" s="873"/>
      <c r="X137" s="873"/>
      <c r="Y137" s="873"/>
      <c r="Z137" s="873"/>
      <c r="AA137" s="394"/>
      <c r="AB137" s="873"/>
      <c r="AC137" s="394"/>
      <c r="AD137" s="873"/>
      <c r="AE137" s="873"/>
      <c r="AF137" s="873"/>
      <c r="AG137" s="873"/>
      <c r="AH137" s="873"/>
      <c r="AI137" s="873"/>
      <c r="AJ137" s="403"/>
      <c r="AK137" s="403"/>
      <c r="AL137" s="873"/>
      <c r="AM137" s="873"/>
      <c r="AN137" s="403"/>
      <c r="AO137" s="403"/>
      <c r="AP137" s="394"/>
      <c r="AQ137" s="394"/>
      <c r="AR137" s="394"/>
      <c r="AS137" s="394"/>
      <c r="AT137" s="394"/>
      <c r="AU137" s="873"/>
      <c r="AV137" s="873"/>
      <c r="AW137" s="873"/>
      <c r="AX137" s="873"/>
      <c r="AY137" s="873"/>
      <c r="AZ137" s="873"/>
      <c r="BA137" s="394"/>
      <c r="BB137" s="873"/>
      <c r="BC137" s="873"/>
      <c r="BD137" s="873"/>
      <c r="BE137" s="873"/>
      <c r="BF137" s="873"/>
      <c r="BG137" s="873"/>
      <c r="BH137" s="873"/>
      <c r="BI137" s="873"/>
      <c r="BJ137" s="873"/>
      <c r="BK137" s="873"/>
      <c r="BL137" s="873"/>
      <c r="BM137" s="873"/>
      <c r="BN137" s="873"/>
      <c r="BO137" s="873"/>
      <c r="BP137" s="873"/>
      <c r="BQ137" s="873"/>
      <c r="BR137" s="873"/>
      <c r="BS137" s="873"/>
      <c r="BT137" s="873"/>
      <c r="BU137" s="873"/>
      <c r="BV137" s="873"/>
      <c r="BW137" s="873"/>
      <c r="BX137" s="873"/>
      <c r="BY137" s="873"/>
      <c r="BZ137" s="873"/>
      <c r="CA137" s="873"/>
      <c r="CB137" s="873"/>
      <c r="CC137" s="873"/>
      <c r="CD137" s="873"/>
      <c r="CE137" s="873"/>
      <c r="CF137" s="873"/>
      <c r="CG137" s="873"/>
      <c r="CH137" s="873"/>
      <c r="CI137" s="873"/>
      <c r="CJ137" s="873"/>
      <c r="CK137" s="873"/>
      <c r="CL137" s="873"/>
      <c r="CM137" s="873"/>
      <c r="CN137" s="873"/>
      <c r="CO137" s="873"/>
      <c r="CP137" s="873"/>
      <c r="CQ137" s="873"/>
      <c r="CR137" s="873"/>
      <c r="CS137" s="873"/>
      <c r="CT137" s="873"/>
      <c r="CU137" s="873"/>
      <c r="CV137" s="873"/>
      <c r="CW137" s="873"/>
      <c r="CX137" s="873"/>
      <c r="CY137" s="873"/>
      <c r="CZ137" s="873"/>
      <c r="DA137" s="873"/>
      <c r="DB137" s="873"/>
      <c r="DC137" s="873"/>
      <c r="DD137" s="873"/>
      <c r="DE137" s="873"/>
      <c r="DF137" s="873"/>
      <c r="DG137" s="873"/>
      <c r="DH137" s="873"/>
      <c r="DI137" s="873"/>
      <c r="DJ137" s="873"/>
      <c r="DK137" s="873"/>
      <c r="DL137" s="873"/>
      <c r="DM137" s="873"/>
      <c r="DN137" s="873"/>
      <c r="DO137" s="873"/>
      <c r="DP137" s="873"/>
      <c r="DQ137" s="873"/>
      <c r="DR137" s="873"/>
      <c r="DS137" s="873"/>
      <c r="DT137" s="873"/>
      <c r="DU137" s="873"/>
      <c r="DV137" s="873"/>
      <c r="DW137" s="873"/>
      <c r="DX137" s="873"/>
      <c r="DY137" s="873"/>
      <c r="DZ137" s="873"/>
      <c r="EA137" s="873"/>
      <c r="EB137" s="873"/>
      <c r="EC137" s="873"/>
      <c r="ED137" s="873"/>
      <c r="EE137" s="873"/>
      <c r="EF137" s="873"/>
      <c r="EG137" s="873"/>
      <c r="EH137" s="873"/>
      <c r="EI137" s="873"/>
      <c r="EJ137" s="873"/>
      <c r="EK137" s="873"/>
      <c r="EL137" s="873"/>
      <c r="EM137" s="873"/>
      <c r="EN137" s="873"/>
      <c r="EO137" s="873"/>
      <c r="EP137" s="873"/>
      <c r="EQ137" s="873"/>
      <c r="ER137" s="873"/>
      <c r="ES137" s="873"/>
      <c r="ET137" s="873"/>
      <c r="EU137" s="873"/>
      <c r="EV137" s="873"/>
      <c r="EW137" s="873"/>
      <c r="EX137" s="873"/>
      <c r="EY137" s="873"/>
      <c r="EZ137" s="873"/>
      <c r="FA137" s="873"/>
      <c r="FB137" s="873"/>
      <c r="FC137" s="873"/>
      <c r="FD137" s="873"/>
      <c r="FE137" s="873"/>
      <c r="FF137" s="873"/>
      <c r="FG137" s="873"/>
      <c r="FH137" s="873"/>
      <c r="FI137" s="873"/>
      <c r="FJ137" s="873"/>
      <c r="FK137" s="873"/>
      <c r="FL137" s="873"/>
      <c r="FM137" s="873"/>
      <c r="FN137" s="873"/>
      <c r="FO137" s="873"/>
      <c r="FP137" s="873"/>
      <c r="FQ137" s="873"/>
      <c r="FR137" s="873"/>
      <c r="FS137" s="873"/>
      <c r="FT137" s="873"/>
      <c r="FU137" s="873"/>
      <c r="FV137" s="873"/>
      <c r="FW137" s="873"/>
      <c r="FX137" s="873"/>
      <c r="FY137" s="873"/>
      <c r="FZ137" s="873"/>
      <c r="GA137" s="873"/>
      <c r="GB137" s="873"/>
      <c r="GC137" s="873"/>
      <c r="GD137" s="873"/>
      <c r="GE137" s="873"/>
      <c r="GF137" s="873"/>
      <c r="GG137" s="873"/>
      <c r="GH137" s="873"/>
      <c r="GI137" s="873"/>
      <c r="GJ137" s="873"/>
      <c r="GK137" s="873"/>
      <c r="GL137" s="873"/>
      <c r="GM137" s="873"/>
      <c r="GN137" s="873"/>
      <c r="GO137" s="873"/>
      <c r="GP137" s="873"/>
      <c r="GQ137" s="873"/>
      <c r="GR137" s="873"/>
      <c r="GS137" s="873"/>
      <c r="GT137" s="873"/>
      <c r="GU137" s="873"/>
      <c r="GV137" s="873"/>
      <c r="GW137" s="873"/>
      <c r="GX137" s="873"/>
      <c r="GY137" s="873"/>
      <c r="GZ137" s="873"/>
      <c r="HA137" s="873"/>
      <c r="HB137" s="873"/>
      <c r="HC137" s="873"/>
      <c r="HD137" s="873"/>
      <c r="HE137" s="873"/>
      <c r="HF137" s="873"/>
      <c r="HG137" s="873"/>
      <c r="HH137" s="873"/>
      <c r="HI137" s="873"/>
      <c r="HJ137" s="873"/>
      <c r="HK137" s="873"/>
      <c r="HL137" s="873"/>
      <c r="HM137" s="873"/>
      <c r="HN137" s="873"/>
      <c r="HO137" s="873"/>
      <c r="HP137" s="873"/>
      <c r="HQ137" s="873"/>
      <c r="HR137" s="873"/>
      <c r="HS137" s="873"/>
      <c r="HT137" s="873"/>
      <c r="HU137" s="873"/>
      <c r="HV137" s="873"/>
      <c r="HW137" s="873"/>
      <c r="HX137" s="873"/>
      <c r="HY137" s="873"/>
      <c r="HZ137" s="873"/>
      <c r="IA137" s="873"/>
      <c r="IB137" s="873"/>
      <c r="IC137" s="873"/>
      <c r="ID137" s="873"/>
      <c r="IE137" s="873"/>
      <c r="IF137" s="873"/>
      <c r="IG137" s="873"/>
      <c r="IH137" s="873"/>
      <c r="II137" s="873"/>
      <c r="IJ137" s="873"/>
      <c r="IK137" s="873"/>
      <c r="IL137" s="873"/>
      <c r="IM137" s="873"/>
      <c r="IN137" s="873"/>
      <c r="IO137" s="873"/>
      <c r="IP137" s="873"/>
      <c r="IQ137" s="873"/>
      <c r="IR137" s="873"/>
      <c r="IS137" s="873"/>
      <c r="IT137" s="873"/>
      <c r="IU137" s="873"/>
      <c r="IV137" s="873"/>
      <c r="IW137" s="873"/>
      <c r="IX137" s="873"/>
      <c r="IY137" s="873"/>
      <c r="IZ137" s="873"/>
      <c r="JA137" s="873"/>
      <c r="JB137" s="873"/>
      <c r="JC137" s="873"/>
      <c r="JD137" s="873"/>
      <c r="JE137" s="873"/>
      <c r="JF137" s="873"/>
      <c r="JG137" s="873"/>
      <c r="JH137" s="873"/>
      <c r="JI137" s="873"/>
      <c r="JJ137" s="873"/>
      <c r="JK137" s="873"/>
      <c r="JL137" s="873"/>
      <c r="JM137" s="873"/>
      <c r="JN137" s="873"/>
      <c r="JO137" s="873"/>
      <c r="JP137" s="873"/>
      <c r="JQ137" s="873"/>
      <c r="JR137" s="873"/>
      <c r="JS137" s="873"/>
      <c r="JT137" s="873"/>
      <c r="JU137" s="873"/>
      <c r="JV137" s="402"/>
    </row>
    <row r="138" spans="1:282">
      <c r="A138" s="672"/>
      <c r="B138" s="408"/>
      <c r="C138" s="873"/>
      <c r="D138" s="888"/>
      <c r="E138" s="671"/>
      <c r="F138" s="873"/>
      <c r="G138" s="873"/>
      <c r="H138" s="873"/>
      <c r="I138" s="873"/>
      <c r="J138" s="873"/>
      <c r="K138" s="873"/>
      <c r="L138" s="873"/>
      <c r="M138" s="873"/>
      <c r="N138" s="873"/>
      <c r="O138" s="873"/>
      <c r="P138" s="873"/>
      <c r="Q138" s="873"/>
      <c r="R138" s="873"/>
      <c r="S138" s="873"/>
      <c r="T138" s="873"/>
      <c r="U138" s="873"/>
      <c r="V138" s="873"/>
      <c r="W138" s="873"/>
      <c r="X138" s="873"/>
      <c r="Y138" s="873"/>
      <c r="Z138" s="873"/>
      <c r="AA138" s="394"/>
      <c r="AB138" s="873"/>
      <c r="AC138" s="394"/>
      <c r="AD138" s="873"/>
      <c r="AE138" s="873"/>
      <c r="AF138" s="873"/>
      <c r="AG138" s="873"/>
      <c r="AH138" s="873"/>
      <c r="AI138" s="873"/>
      <c r="AJ138" s="403"/>
      <c r="AK138" s="403"/>
      <c r="AL138" s="873"/>
      <c r="AM138" s="873"/>
      <c r="AN138" s="403"/>
      <c r="AO138" s="403"/>
      <c r="AP138" s="394"/>
      <c r="AQ138" s="394"/>
      <c r="AR138" s="394"/>
      <c r="AS138" s="394"/>
      <c r="AT138" s="394"/>
      <c r="AU138" s="873"/>
      <c r="AV138" s="873"/>
      <c r="AW138" s="873"/>
      <c r="AX138" s="873"/>
      <c r="AY138" s="873"/>
      <c r="AZ138" s="873"/>
      <c r="BA138" s="394"/>
      <c r="BB138" s="873"/>
      <c r="BC138" s="873"/>
      <c r="BD138" s="873"/>
      <c r="BE138" s="873"/>
      <c r="BF138" s="873"/>
      <c r="BG138" s="873"/>
      <c r="BH138" s="873"/>
      <c r="BI138" s="873"/>
      <c r="BJ138" s="873"/>
      <c r="BK138" s="873"/>
      <c r="BL138" s="873"/>
      <c r="BM138" s="873"/>
      <c r="BN138" s="873"/>
      <c r="BO138" s="873"/>
      <c r="BP138" s="873"/>
      <c r="BQ138" s="873"/>
      <c r="BR138" s="873"/>
      <c r="BS138" s="873"/>
      <c r="BT138" s="873"/>
      <c r="BU138" s="873"/>
      <c r="BV138" s="873"/>
      <c r="BW138" s="873"/>
      <c r="BX138" s="873"/>
      <c r="BY138" s="873"/>
      <c r="BZ138" s="873"/>
      <c r="CA138" s="873"/>
      <c r="CB138" s="873"/>
      <c r="CC138" s="873"/>
      <c r="CD138" s="873"/>
      <c r="CE138" s="873"/>
      <c r="CF138" s="873"/>
      <c r="CG138" s="873"/>
      <c r="CH138" s="873"/>
      <c r="CI138" s="873"/>
      <c r="CJ138" s="873"/>
      <c r="CK138" s="873"/>
      <c r="CL138" s="873"/>
      <c r="CM138" s="873"/>
      <c r="CN138" s="873"/>
      <c r="CO138" s="873"/>
      <c r="CP138" s="873"/>
      <c r="CQ138" s="873"/>
      <c r="CR138" s="873"/>
      <c r="CS138" s="873"/>
      <c r="CT138" s="873"/>
      <c r="CU138" s="873"/>
      <c r="CV138" s="873"/>
      <c r="CW138" s="873"/>
      <c r="CX138" s="873"/>
      <c r="CY138" s="873"/>
      <c r="CZ138" s="873"/>
      <c r="DA138" s="873"/>
      <c r="DB138" s="873"/>
      <c r="DC138" s="873"/>
      <c r="DD138" s="873"/>
      <c r="DE138" s="873"/>
      <c r="DF138" s="873"/>
      <c r="DG138" s="873"/>
      <c r="DH138" s="873"/>
      <c r="DI138" s="873"/>
      <c r="DJ138" s="873"/>
      <c r="DK138" s="873"/>
      <c r="DL138" s="873"/>
      <c r="DM138" s="873"/>
      <c r="DN138" s="873"/>
      <c r="DO138" s="873"/>
      <c r="DP138" s="873"/>
      <c r="DQ138" s="873"/>
      <c r="DR138" s="873"/>
      <c r="DS138" s="873"/>
      <c r="DT138" s="873"/>
      <c r="DU138" s="873"/>
      <c r="DV138" s="873"/>
      <c r="DW138" s="873"/>
      <c r="DX138" s="873"/>
      <c r="DY138" s="873"/>
      <c r="DZ138" s="873"/>
      <c r="EA138" s="873"/>
      <c r="EB138" s="873"/>
      <c r="EC138" s="873"/>
      <c r="ED138" s="873"/>
      <c r="EE138" s="873"/>
      <c r="EF138" s="873"/>
      <c r="EG138" s="873"/>
      <c r="EH138" s="873"/>
      <c r="EI138" s="873"/>
      <c r="EJ138" s="873"/>
      <c r="EK138" s="873"/>
      <c r="EL138" s="873"/>
      <c r="EM138" s="873"/>
      <c r="EN138" s="873"/>
      <c r="EO138" s="873"/>
      <c r="EP138" s="873"/>
      <c r="EQ138" s="873"/>
      <c r="ER138" s="873"/>
      <c r="ES138" s="873"/>
      <c r="ET138" s="873"/>
      <c r="EU138" s="873"/>
      <c r="EV138" s="873"/>
      <c r="EW138" s="873"/>
      <c r="EX138" s="873"/>
      <c r="EY138" s="873"/>
      <c r="EZ138" s="873"/>
      <c r="FA138" s="873"/>
      <c r="FB138" s="873"/>
      <c r="FC138" s="873"/>
      <c r="FD138" s="873"/>
      <c r="FE138" s="873"/>
      <c r="FF138" s="873"/>
      <c r="FG138" s="873"/>
      <c r="FH138" s="873"/>
      <c r="FI138" s="873"/>
      <c r="FJ138" s="873"/>
      <c r="FK138" s="873"/>
      <c r="FL138" s="873"/>
      <c r="FM138" s="873"/>
      <c r="FN138" s="873"/>
      <c r="FO138" s="873"/>
      <c r="FP138" s="873"/>
      <c r="FQ138" s="873"/>
      <c r="FR138" s="873"/>
      <c r="FS138" s="873"/>
      <c r="FT138" s="873"/>
      <c r="FU138" s="873"/>
      <c r="FV138" s="873"/>
      <c r="FW138" s="873"/>
      <c r="FX138" s="873"/>
      <c r="FY138" s="873"/>
      <c r="FZ138" s="873"/>
      <c r="GA138" s="873"/>
      <c r="GB138" s="873"/>
      <c r="GC138" s="873"/>
      <c r="GD138" s="873"/>
      <c r="GE138" s="873"/>
      <c r="GF138" s="873"/>
      <c r="GG138" s="873"/>
      <c r="GH138" s="873"/>
      <c r="GI138" s="873"/>
      <c r="GJ138" s="873"/>
      <c r="GK138" s="873"/>
      <c r="GL138" s="873"/>
      <c r="GM138" s="873"/>
      <c r="GN138" s="873"/>
      <c r="GO138" s="873"/>
      <c r="GP138" s="873"/>
      <c r="GQ138" s="873"/>
      <c r="GR138" s="873"/>
      <c r="GS138" s="873"/>
      <c r="GT138" s="873"/>
      <c r="GU138" s="873"/>
      <c r="GV138" s="873"/>
      <c r="GW138" s="873"/>
      <c r="GX138" s="873"/>
      <c r="GY138" s="873"/>
      <c r="GZ138" s="873"/>
      <c r="HA138" s="873"/>
      <c r="HB138" s="873"/>
      <c r="HC138" s="873"/>
      <c r="HD138" s="873"/>
      <c r="HE138" s="873"/>
      <c r="HF138" s="873"/>
      <c r="HG138" s="873"/>
      <c r="HH138" s="873"/>
      <c r="HI138" s="873"/>
      <c r="HJ138" s="873"/>
      <c r="HK138" s="873"/>
      <c r="HL138" s="873"/>
      <c r="HM138" s="873"/>
      <c r="HN138" s="873"/>
      <c r="HO138" s="873"/>
      <c r="HP138" s="873"/>
      <c r="HQ138" s="873"/>
      <c r="HR138" s="873"/>
      <c r="HS138" s="873"/>
      <c r="HT138" s="873"/>
      <c r="HU138" s="873"/>
      <c r="HV138" s="873"/>
      <c r="HW138" s="873"/>
      <c r="HX138" s="873"/>
      <c r="HY138" s="873"/>
      <c r="HZ138" s="873"/>
      <c r="IA138" s="873"/>
      <c r="IB138" s="873"/>
      <c r="IC138" s="873"/>
      <c r="ID138" s="873"/>
      <c r="IE138" s="873"/>
      <c r="IF138" s="873"/>
      <c r="IG138" s="873"/>
      <c r="IH138" s="873"/>
      <c r="II138" s="873"/>
      <c r="IJ138" s="873"/>
      <c r="IK138" s="873"/>
      <c r="IL138" s="873"/>
      <c r="IM138" s="873"/>
      <c r="IN138" s="873"/>
      <c r="IO138" s="873"/>
      <c r="IP138" s="873"/>
      <c r="IQ138" s="873"/>
      <c r="IR138" s="873"/>
      <c r="IS138" s="873"/>
      <c r="IT138" s="873"/>
      <c r="IU138" s="873"/>
      <c r="IV138" s="873"/>
      <c r="IW138" s="873"/>
      <c r="IX138" s="873"/>
      <c r="IY138" s="873"/>
      <c r="IZ138" s="873"/>
      <c r="JA138" s="873"/>
      <c r="JB138" s="873"/>
      <c r="JC138" s="873"/>
      <c r="JD138" s="873"/>
      <c r="JE138" s="873"/>
      <c r="JF138" s="873"/>
      <c r="JG138" s="873"/>
      <c r="JH138" s="873"/>
      <c r="JI138" s="873"/>
      <c r="JJ138" s="873"/>
      <c r="JK138" s="873"/>
      <c r="JL138" s="873"/>
      <c r="JM138" s="873"/>
      <c r="JN138" s="873"/>
      <c r="JO138" s="873"/>
      <c r="JP138" s="873"/>
      <c r="JQ138" s="873"/>
      <c r="JR138" s="873"/>
      <c r="JS138" s="873"/>
      <c r="JT138" s="873"/>
      <c r="JU138" s="873"/>
      <c r="JV138" s="402"/>
    </row>
    <row r="139" spans="1:282">
      <c r="A139" s="672"/>
      <c r="B139" s="408"/>
      <c r="C139" s="873"/>
      <c r="D139" s="888"/>
      <c r="E139" s="671"/>
      <c r="F139" s="873"/>
      <c r="G139" s="873"/>
      <c r="H139" s="873"/>
      <c r="I139" s="873"/>
      <c r="J139" s="873"/>
      <c r="K139" s="873"/>
      <c r="L139" s="873"/>
      <c r="M139" s="873"/>
      <c r="N139" s="873"/>
      <c r="O139" s="873"/>
      <c r="P139" s="873"/>
      <c r="Q139" s="873"/>
      <c r="R139" s="873"/>
      <c r="S139" s="873"/>
      <c r="T139" s="873"/>
      <c r="U139" s="873"/>
      <c r="V139" s="873"/>
      <c r="W139" s="873"/>
      <c r="X139" s="873"/>
      <c r="Y139" s="873"/>
      <c r="Z139" s="873"/>
      <c r="AA139" s="394"/>
      <c r="AB139" s="873"/>
      <c r="AC139" s="394"/>
      <c r="AD139" s="873"/>
      <c r="AE139" s="873"/>
      <c r="AF139" s="873"/>
      <c r="AG139" s="873"/>
      <c r="AH139" s="873"/>
      <c r="AI139" s="873"/>
      <c r="AJ139" s="403"/>
      <c r="AK139" s="403"/>
      <c r="AL139" s="873"/>
      <c r="AM139" s="873"/>
      <c r="AN139" s="403"/>
      <c r="AO139" s="403"/>
      <c r="AP139" s="394"/>
      <c r="AQ139" s="394"/>
      <c r="AR139" s="394"/>
      <c r="AS139" s="394"/>
      <c r="AT139" s="394"/>
      <c r="AU139" s="873"/>
      <c r="AV139" s="873"/>
      <c r="AW139" s="873"/>
      <c r="AX139" s="873"/>
      <c r="AY139" s="873"/>
      <c r="AZ139" s="873"/>
      <c r="BA139" s="394"/>
      <c r="BB139" s="873"/>
      <c r="BC139" s="873"/>
      <c r="BD139" s="873"/>
      <c r="BE139" s="873"/>
      <c r="BF139" s="873"/>
      <c r="BG139" s="873"/>
      <c r="BH139" s="873"/>
      <c r="BI139" s="873"/>
      <c r="BJ139" s="873"/>
      <c r="BK139" s="873"/>
      <c r="BL139" s="873"/>
      <c r="BM139" s="873"/>
      <c r="BN139" s="873"/>
      <c r="BO139" s="873"/>
      <c r="BP139" s="873"/>
      <c r="BQ139" s="873"/>
      <c r="BR139" s="873"/>
      <c r="BS139" s="873"/>
      <c r="BT139" s="873"/>
      <c r="BU139" s="873"/>
      <c r="BV139" s="873"/>
      <c r="BW139" s="873"/>
      <c r="BX139" s="873"/>
      <c r="BY139" s="873"/>
      <c r="BZ139" s="873"/>
      <c r="CA139" s="873"/>
      <c r="CB139" s="873"/>
      <c r="CC139" s="873"/>
      <c r="CD139" s="873"/>
      <c r="CE139" s="873"/>
      <c r="CF139" s="873"/>
      <c r="CG139" s="873"/>
      <c r="CH139" s="873"/>
      <c r="CI139" s="873"/>
      <c r="CJ139" s="873"/>
      <c r="CK139" s="873"/>
      <c r="CL139" s="873"/>
      <c r="CM139" s="873"/>
      <c r="CN139" s="873"/>
      <c r="CO139" s="873"/>
      <c r="CP139" s="873"/>
      <c r="CQ139" s="873"/>
      <c r="CR139" s="873"/>
      <c r="CS139" s="873"/>
      <c r="CT139" s="873"/>
      <c r="CU139" s="873"/>
      <c r="CV139" s="873"/>
      <c r="CW139" s="873"/>
      <c r="CX139" s="873"/>
      <c r="CY139" s="873"/>
      <c r="CZ139" s="873"/>
      <c r="DA139" s="873"/>
      <c r="DB139" s="873"/>
      <c r="DC139" s="873"/>
      <c r="DD139" s="873"/>
      <c r="DE139" s="873"/>
      <c r="DF139" s="873"/>
      <c r="DG139" s="873"/>
      <c r="DH139" s="873"/>
      <c r="DI139" s="873"/>
      <c r="DJ139" s="873"/>
      <c r="DK139" s="873"/>
      <c r="DL139" s="873"/>
      <c r="DM139" s="873"/>
      <c r="DN139" s="873"/>
      <c r="DO139" s="873"/>
      <c r="DP139" s="873"/>
      <c r="DQ139" s="873"/>
      <c r="DR139" s="873"/>
      <c r="DS139" s="873"/>
      <c r="DT139" s="873"/>
      <c r="DU139" s="873"/>
      <c r="DV139" s="873"/>
      <c r="DW139" s="873"/>
      <c r="DX139" s="873"/>
      <c r="DY139" s="873"/>
      <c r="DZ139" s="873"/>
      <c r="EA139" s="873"/>
      <c r="EB139" s="873"/>
      <c r="EC139" s="873"/>
      <c r="ED139" s="873"/>
      <c r="EE139" s="873"/>
      <c r="EF139" s="873"/>
      <c r="EG139" s="873"/>
      <c r="EH139" s="873"/>
      <c r="EI139" s="873"/>
      <c r="EJ139" s="873"/>
      <c r="EK139" s="873"/>
      <c r="EL139" s="873"/>
      <c r="EM139" s="873"/>
      <c r="EN139" s="873"/>
      <c r="EO139" s="873"/>
      <c r="EP139" s="873"/>
      <c r="EQ139" s="873"/>
      <c r="ER139" s="873"/>
      <c r="ES139" s="873"/>
      <c r="ET139" s="873"/>
      <c r="EU139" s="873"/>
      <c r="EV139" s="873"/>
      <c r="EW139" s="873"/>
      <c r="EX139" s="873"/>
      <c r="EY139" s="873"/>
      <c r="EZ139" s="873"/>
      <c r="FA139" s="873"/>
      <c r="FB139" s="873"/>
      <c r="FC139" s="873"/>
      <c r="FD139" s="873"/>
      <c r="FE139" s="873"/>
      <c r="FF139" s="873"/>
      <c r="FG139" s="873"/>
      <c r="FH139" s="873"/>
      <c r="FI139" s="873"/>
      <c r="FJ139" s="873"/>
      <c r="FK139" s="873"/>
      <c r="FL139" s="873"/>
      <c r="FM139" s="873"/>
      <c r="FN139" s="873"/>
      <c r="FO139" s="873"/>
      <c r="FP139" s="873"/>
      <c r="FQ139" s="873"/>
      <c r="FR139" s="873"/>
      <c r="FS139" s="873"/>
      <c r="FT139" s="873"/>
      <c r="FU139" s="873"/>
      <c r="FV139" s="873"/>
      <c r="FW139" s="873"/>
      <c r="FX139" s="873"/>
      <c r="FY139" s="873"/>
      <c r="FZ139" s="873"/>
      <c r="GA139" s="873"/>
      <c r="GB139" s="873"/>
      <c r="GC139" s="873"/>
      <c r="GD139" s="873"/>
      <c r="GE139" s="873"/>
      <c r="GF139" s="873"/>
      <c r="GG139" s="873"/>
      <c r="GH139" s="873"/>
      <c r="GI139" s="873"/>
      <c r="GJ139" s="873"/>
      <c r="GK139" s="873"/>
      <c r="GL139" s="873"/>
      <c r="GM139" s="873"/>
      <c r="GN139" s="873"/>
      <c r="GO139" s="873"/>
      <c r="GP139" s="873"/>
      <c r="GQ139" s="873"/>
      <c r="GR139" s="873"/>
      <c r="GS139" s="873"/>
      <c r="GT139" s="873"/>
      <c r="GU139" s="873"/>
      <c r="GV139" s="873"/>
      <c r="GW139" s="873"/>
      <c r="GX139" s="873"/>
      <c r="GY139" s="873"/>
      <c r="GZ139" s="873"/>
      <c r="HA139" s="873"/>
      <c r="HB139" s="873"/>
      <c r="HC139" s="873"/>
      <c r="HD139" s="873"/>
      <c r="HE139" s="873"/>
      <c r="HF139" s="873"/>
      <c r="HG139" s="873"/>
      <c r="HH139" s="873"/>
      <c r="HI139" s="873"/>
      <c r="HJ139" s="873"/>
      <c r="HK139" s="873"/>
      <c r="HL139" s="873"/>
      <c r="HM139" s="873"/>
      <c r="HN139" s="873"/>
      <c r="HO139" s="873"/>
      <c r="HP139" s="873"/>
      <c r="HQ139" s="873"/>
      <c r="HR139" s="873"/>
      <c r="HS139" s="873"/>
      <c r="HT139" s="873"/>
      <c r="HU139" s="873"/>
      <c r="HV139" s="873"/>
      <c r="HW139" s="873"/>
      <c r="HX139" s="873"/>
      <c r="HY139" s="873"/>
      <c r="HZ139" s="873"/>
      <c r="IA139" s="873"/>
      <c r="IB139" s="873"/>
      <c r="IC139" s="873"/>
      <c r="ID139" s="873"/>
      <c r="IE139" s="873"/>
      <c r="IF139" s="873"/>
      <c r="IG139" s="873"/>
      <c r="IH139" s="873"/>
      <c r="II139" s="873"/>
      <c r="IJ139" s="873"/>
      <c r="IK139" s="873"/>
      <c r="IL139" s="873"/>
      <c r="IM139" s="873"/>
      <c r="IN139" s="873"/>
      <c r="IO139" s="873"/>
      <c r="IP139" s="873"/>
      <c r="IQ139" s="873"/>
      <c r="IR139" s="873"/>
      <c r="IS139" s="873"/>
      <c r="IT139" s="873"/>
      <c r="IU139" s="873"/>
      <c r="IV139" s="873"/>
      <c r="IW139" s="873"/>
      <c r="IX139" s="873"/>
      <c r="IY139" s="873"/>
      <c r="IZ139" s="873"/>
      <c r="JA139" s="873"/>
      <c r="JB139" s="873"/>
      <c r="JC139" s="873"/>
      <c r="JD139" s="873"/>
      <c r="JE139" s="873"/>
      <c r="JF139" s="873"/>
      <c r="JG139" s="873"/>
      <c r="JH139" s="873"/>
      <c r="JI139" s="873"/>
      <c r="JJ139" s="873"/>
      <c r="JK139" s="873"/>
      <c r="JL139" s="873"/>
      <c r="JM139" s="873"/>
      <c r="JN139" s="873"/>
      <c r="JO139" s="873"/>
      <c r="JP139" s="873"/>
      <c r="JQ139" s="873"/>
      <c r="JR139" s="873"/>
      <c r="JS139" s="873"/>
      <c r="JT139" s="873"/>
      <c r="JU139" s="873"/>
      <c r="JV139" s="402"/>
    </row>
    <row r="140" spans="1:282">
      <c r="A140" s="672"/>
      <c r="B140" s="408"/>
      <c r="C140" s="873"/>
      <c r="D140" s="888"/>
      <c r="E140" s="671"/>
      <c r="F140" s="873"/>
      <c r="G140" s="873"/>
      <c r="H140" s="873"/>
      <c r="I140" s="873"/>
      <c r="J140" s="873"/>
      <c r="K140" s="873"/>
      <c r="L140" s="873"/>
      <c r="M140" s="873"/>
      <c r="N140" s="873"/>
      <c r="O140" s="873"/>
      <c r="P140" s="873"/>
      <c r="Q140" s="873"/>
      <c r="R140" s="873"/>
      <c r="S140" s="873"/>
      <c r="T140" s="873"/>
      <c r="U140" s="873"/>
      <c r="V140" s="873"/>
      <c r="W140" s="873"/>
      <c r="X140" s="873"/>
      <c r="Y140" s="873"/>
      <c r="Z140" s="873"/>
      <c r="AA140" s="394"/>
      <c r="AB140" s="873"/>
      <c r="AC140" s="394"/>
      <c r="AD140" s="873"/>
      <c r="AE140" s="873"/>
      <c r="AF140" s="873"/>
      <c r="AG140" s="873"/>
      <c r="AH140" s="873"/>
      <c r="AI140" s="873"/>
      <c r="AJ140" s="403"/>
      <c r="AK140" s="403"/>
      <c r="AL140" s="873"/>
      <c r="AM140" s="873"/>
      <c r="AN140" s="403"/>
      <c r="AO140" s="403"/>
      <c r="AP140" s="394"/>
      <c r="AQ140" s="394"/>
      <c r="AR140" s="394"/>
      <c r="AS140" s="394"/>
      <c r="AT140" s="394"/>
      <c r="AU140" s="873"/>
      <c r="AV140" s="873"/>
      <c r="AW140" s="873"/>
      <c r="AX140" s="873"/>
      <c r="AY140" s="873"/>
      <c r="AZ140" s="873"/>
      <c r="BA140" s="394"/>
      <c r="BB140" s="873"/>
      <c r="BC140" s="873"/>
      <c r="BD140" s="873"/>
      <c r="BE140" s="873"/>
      <c r="BF140" s="873"/>
      <c r="BG140" s="873"/>
      <c r="BH140" s="873"/>
      <c r="BI140" s="873"/>
      <c r="BJ140" s="873"/>
      <c r="BK140" s="873"/>
      <c r="BL140" s="873"/>
      <c r="BM140" s="873"/>
      <c r="BN140" s="873"/>
      <c r="BO140" s="873"/>
      <c r="BP140" s="873"/>
      <c r="BQ140" s="873"/>
      <c r="BR140" s="873"/>
      <c r="BS140" s="873"/>
      <c r="BT140" s="873"/>
      <c r="BU140" s="873"/>
      <c r="BV140" s="873"/>
      <c r="BW140" s="873"/>
      <c r="BX140" s="873"/>
      <c r="BY140" s="873"/>
      <c r="BZ140" s="873"/>
      <c r="CA140" s="873"/>
      <c r="CB140" s="873"/>
      <c r="CC140" s="873"/>
      <c r="CD140" s="873"/>
      <c r="CE140" s="873"/>
      <c r="CF140" s="873"/>
      <c r="CG140" s="873"/>
      <c r="CH140" s="873"/>
      <c r="CI140" s="873"/>
      <c r="CJ140" s="873"/>
      <c r="CK140" s="873"/>
      <c r="CL140" s="873"/>
      <c r="CM140" s="873"/>
      <c r="CN140" s="873"/>
      <c r="CO140" s="873"/>
      <c r="CP140" s="873"/>
      <c r="CQ140" s="873"/>
      <c r="CR140" s="873"/>
      <c r="CS140" s="873"/>
      <c r="CT140" s="873"/>
      <c r="CU140" s="873"/>
      <c r="CV140" s="873"/>
      <c r="CW140" s="873"/>
      <c r="CX140" s="873"/>
      <c r="CY140" s="873"/>
      <c r="CZ140" s="873"/>
      <c r="DA140" s="873"/>
      <c r="DB140" s="873"/>
      <c r="DC140" s="873"/>
      <c r="DD140" s="873"/>
      <c r="DE140" s="873"/>
      <c r="DF140" s="873"/>
      <c r="DG140" s="873"/>
      <c r="DH140" s="873"/>
      <c r="DI140" s="873"/>
      <c r="DJ140" s="873"/>
      <c r="DK140" s="873"/>
      <c r="DL140" s="873"/>
      <c r="DM140" s="873"/>
      <c r="DN140" s="873"/>
      <c r="DO140" s="873"/>
      <c r="DP140" s="873"/>
      <c r="DQ140" s="873"/>
      <c r="DR140" s="873"/>
      <c r="DS140" s="873"/>
      <c r="DT140" s="873"/>
      <c r="DU140" s="873"/>
      <c r="DV140" s="873"/>
      <c r="DW140" s="873"/>
      <c r="DX140" s="873"/>
      <c r="DY140" s="873"/>
      <c r="DZ140" s="873"/>
      <c r="EA140" s="873"/>
      <c r="EB140" s="873"/>
      <c r="EC140" s="873"/>
      <c r="ED140" s="873"/>
      <c r="EE140" s="873"/>
      <c r="EF140" s="873"/>
      <c r="EG140" s="873"/>
      <c r="EH140" s="873"/>
      <c r="EI140" s="873"/>
      <c r="EJ140" s="873"/>
      <c r="EK140" s="873"/>
      <c r="EL140" s="873"/>
      <c r="EM140" s="873"/>
      <c r="EN140" s="873"/>
      <c r="EO140" s="873"/>
      <c r="EP140" s="873"/>
      <c r="EQ140" s="873"/>
      <c r="ER140" s="873"/>
      <c r="ES140" s="873"/>
      <c r="ET140" s="873"/>
      <c r="EU140" s="873"/>
      <c r="EV140" s="873"/>
      <c r="EW140" s="873"/>
      <c r="EX140" s="873"/>
      <c r="EY140" s="873"/>
      <c r="EZ140" s="873"/>
      <c r="FA140" s="873"/>
      <c r="FB140" s="873"/>
      <c r="FC140" s="873"/>
      <c r="FD140" s="873"/>
      <c r="FE140" s="873"/>
      <c r="FF140" s="873"/>
      <c r="FG140" s="873"/>
      <c r="FH140" s="873"/>
      <c r="FI140" s="873"/>
      <c r="FJ140" s="873"/>
      <c r="FK140" s="873"/>
      <c r="FL140" s="873"/>
      <c r="FM140" s="873"/>
      <c r="FN140" s="873"/>
      <c r="FO140" s="873"/>
      <c r="FP140" s="873"/>
      <c r="FQ140" s="873"/>
      <c r="FR140" s="873"/>
      <c r="FS140" s="873"/>
      <c r="FT140" s="873"/>
      <c r="FU140" s="873"/>
      <c r="FV140" s="873"/>
      <c r="FW140" s="873"/>
      <c r="FX140" s="873"/>
      <c r="FY140" s="873"/>
      <c r="FZ140" s="873"/>
      <c r="GA140" s="873"/>
      <c r="GB140" s="873"/>
      <c r="GC140" s="873"/>
      <c r="GD140" s="873"/>
      <c r="GE140" s="873"/>
      <c r="GF140" s="873"/>
      <c r="GG140" s="873"/>
      <c r="GH140" s="873"/>
      <c r="GI140" s="873"/>
      <c r="GJ140" s="873"/>
      <c r="GK140" s="873"/>
      <c r="GL140" s="873"/>
      <c r="GM140" s="873"/>
      <c r="GN140" s="873"/>
      <c r="GO140" s="873"/>
      <c r="GP140" s="873"/>
      <c r="GQ140" s="873"/>
      <c r="GR140" s="873"/>
      <c r="GS140" s="873"/>
      <c r="GT140" s="873"/>
      <c r="GU140" s="873"/>
      <c r="GV140" s="873"/>
      <c r="GW140" s="873"/>
      <c r="GX140" s="873"/>
      <c r="GY140" s="873"/>
      <c r="GZ140" s="873"/>
      <c r="HA140" s="873"/>
      <c r="HB140" s="873"/>
      <c r="HC140" s="873"/>
      <c r="HD140" s="873"/>
      <c r="HE140" s="873"/>
      <c r="HF140" s="873"/>
      <c r="HG140" s="873"/>
      <c r="HH140" s="873"/>
      <c r="HI140" s="873"/>
      <c r="HJ140" s="873"/>
      <c r="HK140" s="873"/>
      <c r="HL140" s="873"/>
      <c r="HM140" s="873"/>
      <c r="HN140" s="873"/>
      <c r="HO140" s="873"/>
      <c r="HP140" s="873"/>
      <c r="HQ140" s="873"/>
      <c r="HR140" s="873"/>
      <c r="HS140" s="873"/>
      <c r="HT140" s="873"/>
      <c r="HU140" s="873"/>
      <c r="HV140" s="873"/>
      <c r="HW140" s="873"/>
      <c r="HX140" s="873"/>
      <c r="HY140" s="873"/>
      <c r="HZ140" s="873"/>
      <c r="IA140" s="873"/>
      <c r="IB140" s="873"/>
      <c r="IC140" s="873"/>
      <c r="ID140" s="873"/>
      <c r="IE140" s="873"/>
      <c r="IF140" s="873"/>
      <c r="IG140" s="873"/>
      <c r="IH140" s="873"/>
      <c r="II140" s="873"/>
      <c r="IJ140" s="873"/>
      <c r="IK140" s="873"/>
      <c r="IL140" s="873"/>
      <c r="IM140" s="873"/>
      <c r="IN140" s="873"/>
      <c r="IO140" s="873"/>
      <c r="IP140" s="873"/>
      <c r="IQ140" s="873"/>
      <c r="IR140" s="873"/>
      <c r="IS140" s="873"/>
      <c r="IT140" s="873"/>
      <c r="IU140" s="873"/>
      <c r="IV140" s="873"/>
      <c r="IW140" s="873"/>
      <c r="IX140" s="873"/>
      <c r="IY140" s="873"/>
      <c r="IZ140" s="873"/>
      <c r="JA140" s="873"/>
      <c r="JB140" s="873"/>
      <c r="JC140" s="873"/>
      <c r="JD140" s="873"/>
      <c r="JE140" s="873"/>
      <c r="JF140" s="873"/>
      <c r="JG140" s="873"/>
      <c r="JH140" s="873"/>
      <c r="JI140" s="873"/>
      <c r="JJ140" s="873"/>
      <c r="JK140" s="873"/>
      <c r="JL140" s="873"/>
      <c r="JM140" s="873"/>
      <c r="JN140" s="873"/>
      <c r="JO140" s="873"/>
      <c r="JP140" s="873"/>
      <c r="JQ140" s="873"/>
      <c r="JR140" s="873"/>
      <c r="JS140" s="873"/>
      <c r="JT140" s="873"/>
      <c r="JU140" s="873"/>
      <c r="JV140" s="402"/>
    </row>
    <row r="141" spans="1:282">
      <c r="A141" s="672"/>
      <c r="B141" s="408"/>
      <c r="C141" s="873"/>
      <c r="D141" s="888"/>
      <c r="E141" s="671"/>
      <c r="F141" s="873"/>
      <c r="G141" s="873"/>
      <c r="H141" s="873"/>
      <c r="I141" s="873"/>
      <c r="J141" s="873"/>
      <c r="K141" s="873"/>
      <c r="L141" s="873"/>
      <c r="M141" s="873"/>
      <c r="N141" s="873"/>
      <c r="O141" s="873"/>
      <c r="P141" s="873"/>
      <c r="Q141" s="873"/>
      <c r="R141" s="873"/>
      <c r="S141" s="873"/>
      <c r="T141" s="873"/>
      <c r="U141" s="873"/>
      <c r="V141" s="873"/>
      <c r="W141" s="873"/>
      <c r="X141" s="873"/>
      <c r="Y141" s="873"/>
      <c r="Z141" s="873"/>
      <c r="AA141" s="394"/>
      <c r="AB141" s="873"/>
      <c r="AC141" s="394"/>
      <c r="AD141" s="873"/>
      <c r="AE141" s="873"/>
      <c r="AF141" s="873"/>
      <c r="AG141" s="873"/>
      <c r="AH141" s="873"/>
      <c r="AI141" s="873"/>
      <c r="AJ141" s="403"/>
      <c r="AK141" s="403"/>
      <c r="AL141" s="873"/>
      <c r="AM141" s="873"/>
      <c r="AN141" s="403"/>
      <c r="AO141" s="403"/>
      <c r="AP141" s="394"/>
      <c r="AQ141" s="394"/>
      <c r="AR141" s="394"/>
      <c r="AS141" s="394"/>
      <c r="AT141" s="394"/>
      <c r="AU141" s="873"/>
      <c r="AV141" s="873"/>
      <c r="AW141" s="873"/>
      <c r="AX141" s="873"/>
      <c r="AY141" s="873"/>
      <c r="AZ141" s="873"/>
      <c r="BA141" s="394"/>
      <c r="BB141" s="873"/>
      <c r="BC141" s="873"/>
      <c r="BD141" s="873"/>
      <c r="BE141" s="873"/>
      <c r="BF141" s="873"/>
      <c r="BG141" s="873"/>
      <c r="BH141" s="873"/>
      <c r="BI141" s="873"/>
      <c r="BJ141" s="873"/>
      <c r="BK141" s="873"/>
      <c r="BL141" s="873"/>
      <c r="BM141" s="873"/>
      <c r="BN141" s="873"/>
      <c r="BO141" s="873"/>
      <c r="BP141" s="873"/>
      <c r="BQ141" s="873"/>
      <c r="BR141" s="873"/>
      <c r="BS141" s="873"/>
      <c r="BT141" s="873"/>
      <c r="BU141" s="873"/>
      <c r="BV141" s="873"/>
      <c r="BW141" s="873"/>
      <c r="BX141" s="873"/>
      <c r="BY141" s="873"/>
      <c r="BZ141" s="873"/>
      <c r="CA141" s="873"/>
      <c r="CB141" s="873"/>
      <c r="CC141" s="873"/>
      <c r="CD141" s="873"/>
      <c r="CE141" s="873"/>
      <c r="CF141" s="873"/>
      <c r="CG141" s="873"/>
      <c r="CH141" s="873"/>
      <c r="CI141" s="873"/>
      <c r="CJ141" s="873"/>
      <c r="CK141" s="873"/>
      <c r="CL141" s="873"/>
      <c r="CM141" s="873"/>
      <c r="CN141" s="873"/>
      <c r="CO141" s="873"/>
      <c r="CP141" s="873"/>
      <c r="CQ141" s="873"/>
      <c r="CR141" s="873"/>
      <c r="CS141" s="873"/>
      <c r="CT141" s="873"/>
      <c r="CU141" s="873"/>
      <c r="CV141" s="873"/>
      <c r="CW141" s="873"/>
      <c r="CX141" s="873"/>
      <c r="CY141" s="873"/>
      <c r="CZ141" s="873"/>
      <c r="DA141" s="873"/>
      <c r="DB141" s="873"/>
      <c r="DC141" s="873"/>
      <c r="DD141" s="873"/>
      <c r="DE141" s="873"/>
      <c r="DF141" s="873"/>
      <c r="DG141" s="873"/>
      <c r="DH141" s="873"/>
      <c r="DI141" s="873"/>
      <c r="DJ141" s="873"/>
      <c r="DK141" s="873"/>
      <c r="DL141" s="873"/>
      <c r="DM141" s="873"/>
      <c r="DN141" s="873"/>
      <c r="DO141" s="873"/>
      <c r="DP141" s="873"/>
      <c r="DQ141" s="873"/>
      <c r="DR141" s="873"/>
      <c r="DS141" s="873"/>
      <c r="DT141" s="873"/>
      <c r="DU141" s="873"/>
      <c r="DV141" s="873"/>
      <c r="DW141" s="873"/>
      <c r="DX141" s="873"/>
      <c r="DY141" s="873"/>
      <c r="DZ141" s="873"/>
      <c r="EA141" s="873"/>
      <c r="EB141" s="873"/>
      <c r="EC141" s="873"/>
      <c r="ED141" s="873"/>
      <c r="EE141" s="873"/>
      <c r="EF141" s="873"/>
      <c r="EG141" s="873"/>
      <c r="EH141" s="873"/>
      <c r="EI141" s="873"/>
      <c r="EJ141" s="873"/>
      <c r="EK141" s="873"/>
      <c r="EL141" s="873"/>
      <c r="EM141" s="873"/>
      <c r="EN141" s="873"/>
      <c r="EO141" s="873"/>
      <c r="EP141" s="873"/>
      <c r="EQ141" s="873"/>
      <c r="ER141" s="873"/>
      <c r="ES141" s="873"/>
      <c r="ET141" s="873"/>
      <c r="EU141" s="873"/>
      <c r="EV141" s="873"/>
      <c r="EW141" s="873"/>
      <c r="EX141" s="873"/>
      <c r="EY141" s="873"/>
      <c r="EZ141" s="873"/>
      <c r="FA141" s="873"/>
      <c r="FB141" s="873"/>
      <c r="FC141" s="873"/>
      <c r="FD141" s="873"/>
      <c r="FE141" s="873"/>
      <c r="FF141" s="873"/>
      <c r="FG141" s="873"/>
      <c r="FH141" s="873"/>
      <c r="FI141" s="873"/>
      <c r="FJ141" s="873"/>
      <c r="FK141" s="873"/>
      <c r="FL141" s="873"/>
      <c r="FM141" s="873"/>
      <c r="FN141" s="873"/>
      <c r="FO141" s="873"/>
      <c r="FP141" s="873"/>
      <c r="FQ141" s="873"/>
      <c r="FR141" s="873"/>
      <c r="FS141" s="873"/>
      <c r="FT141" s="873"/>
      <c r="FU141" s="873"/>
      <c r="FV141" s="873"/>
      <c r="FW141" s="873"/>
      <c r="FX141" s="873"/>
      <c r="FY141" s="873"/>
      <c r="FZ141" s="873"/>
      <c r="GA141" s="873"/>
      <c r="GB141" s="873"/>
      <c r="GC141" s="873"/>
      <c r="GD141" s="873"/>
      <c r="GE141" s="873"/>
      <c r="GF141" s="873"/>
      <c r="GG141" s="873"/>
      <c r="GH141" s="873"/>
      <c r="GI141" s="873"/>
      <c r="GJ141" s="873"/>
      <c r="GK141" s="873"/>
      <c r="GL141" s="873"/>
      <c r="GM141" s="873"/>
      <c r="GN141" s="873"/>
      <c r="GO141" s="873"/>
      <c r="GP141" s="873"/>
      <c r="GQ141" s="873"/>
      <c r="GR141" s="873"/>
      <c r="GS141" s="873"/>
      <c r="GT141" s="873"/>
      <c r="GU141" s="873"/>
      <c r="GV141" s="873"/>
      <c r="GW141" s="873"/>
      <c r="GX141" s="873"/>
      <c r="GY141" s="873"/>
      <c r="GZ141" s="873"/>
      <c r="HA141" s="873"/>
      <c r="HB141" s="873"/>
      <c r="HC141" s="873"/>
      <c r="HD141" s="873"/>
      <c r="HE141" s="873"/>
      <c r="HF141" s="873"/>
      <c r="HG141" s="873"/>
      <c r="HH141" s="873"/>
      <c r="HI141" s="873"/>
      <c r="HJ141" s="873"/>
      <c r="HK141" s="873"/>
      <c r="HL141" s="873"/>
      <c r="HM141" s="873"/>
      <c r="HN141" s="873"/>
      <c r="HO141" s="873"/>
      <c r="HP141" s="873"/>
      <c r="HQ141" s="873"/>
      <c r="HR141" s="873"/>
      <c r="HS141" s="873"/>
      <c r="HT141" s="873"/>
      <c r="HU141" s="873"/>
      <c r="HV141" s="873"/>
      <c r="HW141" s="873"/>
      <c r="HX141" s="873"/>
      <c r="HY141" s="873"/>
      <c r="HZ141" s="873"/>
      <c r="IA141" s="873"/>
      <c r="IB141" s="873"/>
      <c r="IC141" s="873"/>
      <c r="ID141" s="873"/>
      <c r="IE141" s="873"/>
      <c r="IF141" s="873"/>
      <c r="IG141" s="873"/>
      <c r="IH141" s="873"/>
      <c r="II141" s="873"/>
      <c r="IJ141" s="873"/>
      <c r="IK141" s="873"/>
      <c r="IL141" s="873"/>
      <c r="IM141" s="873"/>
      <c r="IN141" s="873"/>
      <c r="IO141" s="873"/>
      <c r="IP141" s="873"/>
      <c r="IQ141" s="873"/>
      <c r="IR141" s="873"/>
      <c r="IS141" s="873"/>
      <c r="IT141" s="873"/>
      <c r="IU141" s="873"/>
      <c r="IV141" s="873"/>
      <c r="IW141" s="873"/>
      <c r="IX141" s="873"/>
      <c r="IY141" s="873"/>
      <c r="IZ141" s="873"/>
      <c r="JA141" s="873"/>
      <c r="JB141" s="873"/>
      <c r="JC141" s="873"/>
      <c r="JD141" s="873"/>
      <c r="JE141" s="873"/>
      <c r="JF141" s="873"/>
      <c r="JG141" s="873"/>
      <c r="JH141" s="873"/>
      <c r="JI141" s="873"/>
      <c r="JJ141" s="873"/>
      <c r="JK141" s="873"/>
      <c r="JL141" s="873"/>
      <c r="JM141" s="873"/>
      <c r="JN141" s="873"/>
      <c r="JO141" s="873"/>
      <c r="JP141" s="873"/>
      <c r="JQ141" s="873"/>
      <c r="JR141" s="873"/>
      <c r="JS141" s="873"/>
      <c r="JT141" s="873"/>
      <c r="JU141" s="873"/>
    </row>
    <row r="142" spans="1:282">
      <c r="A142" s="672"/>
      <c r="B142" s="408"/>
      <c r="C142" s="873"/>
      <c r="D142" s="888"/>
      <c r="E142" s="671"/>
      <c r="F142" s="873"/>
      <c r="G142" s="873"/>
      <c r="H142" s="873"/>
      <c r="I142" s="873"/>
      <c r="J142" s="873"/>
      <c r="K142" s="873"/>
      <c r="L142" s="873"/>
      <c r="M142" s="873"/>
      <c r="N142" s="873"/>
      <c r="O142" s="873"/>
      <c r="P142" s="873"/>
      <c r="Q142" s="873"/>
      <c r="R142" s="873"/>
      <c r="S142" s="873"/>
      <c r="T142" s="873"/>
      <c r="U142" s="873"/>
      <c r="V142" s="873"/>
      <c r="W142" s="873"/>
      <c r="X142" s="873"/>
      <c r="Y142" s="873"/>
      <c r="Z142" s="873"/>
      <c r="AA142" s="394"/>
      <c r="AB142" s="873"/>
      <c r="AC142" s="394"/>
      <c r="AD142" s="873"/>
      <c r="AE142" s="873"/>
      <c r="AF142" s="873"/>
      <c r="AG142" s="873"/>
      <c r="AH142" s="873"/>
      <c r="AI142" s="873"/>
      <c r="AJ142" s="403"/>
      <c r="AK142" s="403"/>
      <c r="AL142" s="873"/>
      <c r="AM142" s="873"/>
      <c r="AN142" s="403"/>
      <c r="AO142" s="403"/>
      <c r="AP142" s="394"/>
      <c r="AQ142" s="394"/>
      <c r="AR142" s="394"/>
      <c r="AS142" s="394"/>
      <c r="AT142" s="394"/>
      <c r="AU142" s="873"/>
      <c r="AV142" s="873"/>
      <c r="AW142" s="873"/>
      <c r="AX142" s="873"/>
      <c r="AY142" s="873"/>
      <c r="AZ142" s="873"/>
      <c r="BA142" s="394"/>
      <c r="BB142" s="873"/>
      <c r="BC142" s="873"/>
      <c r="BD142" s="873"/>
      <c r="BE142" s="873"/>
      <c r="BF142" s="873"/>
      <c r="BG142" s="873"/>
      <c r="BH142" s="873"/>
      <c r="BI142" s="873"/>
      <c r="BJ142" s="873"/>
      <c r="BK142" s="873"/>
      <c r="BL142" s="873"/>
      <c r="BM142" s="873"/>
      <c r="BN142" s="873"/>
      <c r="BO142" s="873"/>
      <c r="BP142" s="873"/>
      <c r="BQ142" s="873"/>
      <c r="BR142" s="873"/>
      <c r="BS142" s="873"/>
      <c r="BT142" s="873"/>
      <c r="BU142" s="873"/>
      <c r="BV142" s="873"/>
      <c r="BW142" s="873"/>
      <c r="BX142" s="873"/>
      <c r="BY142" s="873"/>
      <c r="BZ142" s="873"/>
      <c r="CA142" s="873"/>
      <c r="CB142" s="873"/>
      <c r="CC142" s="873"/>
      <c r="CD142" s="873"/>
      <c r="CE142" s="873"/>
      <c r="CF142" s="873"/>
      <c r="CG142" s="873"/>
      <c r="CH142" s="873"/>
      <c r="CI142" s="873"/>
      <c r="CJ142" s="873"/>
      <c r="CK142" s="873"/>
      <c r="CL142" s="873"/>
      <c r="CM142" s="873"/>
      <c r="CN142" s="873"/>
      <c r="CO142" s="873"/>
      <c r="CP142" s="873"/>
      <c r="CQ142" s="873"/>
      <c r="CR142" s="873"/>
      <c r="CS142" s="873"/>
      <c r="CT142" s="873"/>
      <c r="CU142" s="873"/>
      <c r="CV142" s="873"/>
      <c r="CW142" s="873"/>
      <c r="CX142" s="873"/>
      <c r="CY142" s="873"/>
      <c r="CZ142" s="873"/>
      <c r="DA142" s="873"/>
      <c r="DB142" s="873"/>
      <c r="DC142" s="873"/>
      <c r="DD142" s="873"/>
      <c r="DE142" s="873"/>
      <c r="DF142" s="873"/>
      <c r="DG142" s="873"/>
      <c r="DH142" s="873"/>
      <c r="DI142" s="873"/>
      <c r="DJ142" s="873"/>
      <c r="DK142" s="873"/>
      <c r="DL142" s="873"/>
      <c r="DM142" s="873"/>
      <c r="DN142" s="873"/>
      <c r="DO142" s="873"/>
      <c r="DP142" s="873"/>
      <c r="DQ142" s="873"/>
      <c r="DR142" s="873"/>
      <c r="DS142" s="873"/>
      <c r="DT142" s="873"/>
      <c r="DU142" s="873"/>
      <c r="DV142" s="873"/>
      <c r="DW142" s="873"/>
      <c r="DX142" s="873"/>
      <c r="DY142" s="873"/>
      <c r="DZ142" s="873"/>
      <c r="EA142" s="873"/>
      <c r="EB142" s="873"/>
      <c r="EC142" s="873"/>
      <c r="ED142" s="873"/>
      <c r="EE142" s="873"/>
      <c r="EF142" s="873"/>
      <c r="EG142" s="873"/>
      <c r="EH142" s="873"/>
      <c r="EI142" s="873"/>
      <c r="EJ142" s="873"/>
      <c r="EK142" s="873"/>
      <c r="EL142" s="873"/>
      <c r="EM142" s="873"/>
      <c r="EN142" s="873"/>
      <c r="EO142" s="873"/>
      <c r="EP142" s="873"/>
      <c r="EQ142" s="873"/>
      <c r="ER142" s="873"/>
      <c r="ES142" s="873"/>
      <c r="ET142" s="873"/>
      <c r="EU142" s="873"/>
      <c r="EV142" s="873"/>
      <c r="EW142" s="873"/>
      <c r="EX142" s="873"/>
      <c r="EY142" s="873"/>
      <c r="EZ142" s="873"/>
      <c r="FA142" s="873"/>
      <c r="FB142" s="873"/>
      <c r="FC142" s="873"/>
      <c r="FD142" s="873"/>
      <c r="FE142" s="873"/>
      <c r="FF142" s="873"/>
      <c r="FG142" s="873"/>
      <c r="FH142" s="873"/>
      <c r="FI142" s="873"/>
      <c r="FJ142" s="873"/>
      <c r="FK142" s="873"/>
      <c r="FL142" s="873"/>
      <c r="FM142" s="873"/>
      <c r="FN142" s="873"/>
      <c r="FO142" s="873"/>
      <c r="FP142" s="873"/>
      <c r="FQ142" s="873"/>
      <c r="FR142" s="873"/>
      <c r="FS142" s="873"/>
      <c r="FT142" s="873"/>
      <c r="FU142" s="873"/>
      <c r="FV142" s="873"/>
      <c r="FW142" s="873"/>
      <c r="FX142" s="873"/>
      <c r="FY142" s="873"/>
      <c r="FZ142" s="873"/>
      <c r="GA142" s="873"/>
      <c r="GB142" s="873"/>
      <c r="GC142" s="873"/>
      <c r="GD142" s="873"/>
      <c r="GE142" s="873"/>
      <c r="GF142" s="873"/>
      <c r="GG142" s="873"/>
      <c r="GH142" s="873"/>
      <c r="GI142" s="873"/>
      <c r="GJ142" s="873"/>
      <c r="GK142" s="873"/>
      <c r="GL142" s="873"/>
      <c r="GM142" s="873"/>
      <c r="GN142" s="873"/>
      <c r="GO142" s="873"/>
      <c r="GP142" s="873"/>
      <c r="GQ142" s="873"/>
      <c r="GR142" s="873"/>
      <c r="GS142" s="873"/>
      <c r="GT142" s="873"/>
      <c r="GU142" s="873"/>
      <c r="GV142" s="873"/>
      <c r="GW142" s="873"/>
      <c r="GX142" s="873"/>
      <c r="GY142" s="873"/>
      <c r="GZ142" s="873"/>
      <c r="HA142" s="873"/>
      <c r="HB142" s="873"/>
      <c r="HC142" s="873"/>
      <c r="HD142" s="873"/>
      <c r="HE142" s="873"/>
      <c r="HF142" s="873"/>
      <c r="HG142" s="873"/>
      <c r="HH142" s="873"/>
      <c r="HI142" s="873"/>
      <c r="HJ142" s="873"/>
      <c r="HK142" s="873"/>
      <c r="HL142" s="873"/>
      <c r="HM142" s="873"/>
      <c r="HN142" s="873"/>
      <c r="HO142" s="873"/>
      <c r="HP142" s="873"/>
      <c r="HQ142" s="873"/>
      <c r="HR142" s="873"/>
      <c r="HS142" s="873"/>
      <c r="HT142" s="873"/>
      <c r="HU142" s="873"/>
      <c r="HV142" s="873"/>
      <c r="HW142" s="873"/>
      <c r="HX142" s="873"/>
      <c r="HY142" s="873"/>
      <c r="HZ142" s="873"/>
      <c r="IA142" s="873"/>
      <c r="IB142" s="873"/>
      <c r="IC142" s="873"/>
      <c r="ID142" s="873"/>
      <c r="IE142" s="873"/>
      <c r="IF142" s="873"/>
      <c r="IG142" s="873"/>
      <c r="IH142" s="873"/>
      <c r="II142" s="873"/>
      <c r="IJ142" s="873"/>
      <c r="IK142" s="873"/>
      <c r="IL142" s="873"/>
      <c r="IM142" s="873"/>
      <c r="IN142" s="873"/>
      <c r="IO142" s="873"/>
      <c r="IP142" s="873"/>
      <c r="IQ142" s="873"/>
      <c r="IR142" s="873"/>
      <c r="IS142" s="873"/>
      <c r="IT142" s="873"/>
      <c r="IU142" s="873"/>
      <c r="IV142" s="873"/>
      <c r="IW142" s="873"/>
      <c r="IX142" s="873"/>
      <c r="IY142" s="873"/>
      <c r="IZ142" s="873"/>
      <c r="JA142" s="873"/>
      <c r="JB142" s="873"/>
      <c r="JC142" s="873"/>
      <c r="JD142" s="873"/>
      <c r="JE142" s="873"/>
      <c r="JF142" s="873"/>
      <c r="JG142" s="873"/>
      <c r="JH142" s="873"/>
      <c r="JI142" s="873"/>
      <c r="JJ142" s="873"/>
      <c r="JK142" s="873"/>
      <c r="JL142" s="873"/>
      <c r="JM142" s="873"/>
      <c r="JN142" s="873"/>
      <c r="JO142" s="873"/>
      <c r="JP142" s="873"/>
      <c r="JQ142" s="873"/>
      <c r="JR142" s="873"/>
      <c r="JS142" s="873"/>
      <c r="JT142" s="873"/>
      <c r="JU142" s="873"/>
    </row>
    <row r="143" spans="1:282">
      <c r="A143" s="672"/>
      <c r="B143" s="408"/>
      <c r="C143" s="873"/>
      <c r="D143" s="888"/>
      <c r="E143" s="671"/>
      <c r="F143" s="873"/>
      <c r="G143" s="873"/>
      <c r="H143" s="873"/>
      <c r="I143" s="873"/>
      <c r="J143" s="873"/>
      <c r="K143" s="873"/>
      <c r="L143" s="873"/>
      <c r="M143" s="873"/>
      <c r="N143" s="873"/>
      <c r="O143" s="873"/>
      <c r="P143" s="873"/>
      <c r="Q143" s="873"/>
      <c r="R143" s="873"/>
      <c r="S143" s="873"/>
      <c r="T143" s="873"/>
      <c r="U143" s="873"/>
      <c r="V143" s="873"/>
      <c r="W143" s="873"/>
      <c r="X143" s="873"/>
      <c r="Y143" s="873"/>
      <c r="Z143" s="873"/>
      <c r="AA143" s="394"/>
      <c r="AB143" s="873"/>
      <c r="AC143" s="394"/>
      <c r="AD143" s="873"/>
      <c r="AE143" s="873"/>
      <c r="AF143" s="873"/>
      <c r="AG143" s="873"/>
      <c r="AH143" s="873"/>
      <c r="AI143" s="873"/>
      <c r="AJ143" s="403"/>
      <c r="AK143" s="403"/>
      <c r="AL143" s="873"/>
      <c r="AM143" s="873"/>
      <c r="AN143" s="403"/>
      <c r="AO143" s="403"/>
      <c r="AP143" s="394"/>
      <c r="AQ143" s="394"/>
      <c r="AR143" s="394"/>
      <c r="AS143" s="394"/>
      <c r="AT143" s="394"/>
      <c r="AU143" s="873"/>
      <c r="AV143" s="873"/>
      <c r="AW143" s="873"/>
      <c r="AX143" s="873"/>
      <c r="AY143" s="873"/>
      <c r="AZ143" s="873"/>
      <c r="BA143" s="394"/>
      <c r="BB143" s="873"/>
      <c r="BC143" s="873"/>
      <c r="BD143" s="873"/>
      <c r="BE143" s="873"/>
      <c r="BF143" s="873"/>
      <c r="BG143" s="873"/>
      <c r="BH143" s="873"/>
      <c r="BI143" s="873"/>
      <c r="BJ143" s="873"/>
      <c r="BK143" s="873"/>
      <c r="BL143" s="873"/>
      <c r="BM143" s="873"/>
      <c r="BN143" s="873"/>
      <c r="BO143" s="873"/>
      <c r="BP143" s="873"/>
      <c r="BQ143" s="873"/>
      <c r="BR143" s="873"/>
      <c r="BS143" s="873"/>
      <c r="BT143" s="873"/>
      <c r="BU143" s="873"/>
      <c r="BV143" s="873"/>
      <c r="BW143" s="873"/>
      <c r="BX143" s="873"/>
      <c r="BY143" s="873"/>
      <c r="BZ143" s="873"/>
      <c r="CA143" s="873"/>
      <c r="CB143" s="873"/>
      <c r="CC143" s="873"/>
      <c r="CD143" s="873"/>
      <c r="CE143" s="873"/>
      <c r="CF143" s="873"/>
      <c r="CG143" s="873"/>
      <c r="CH143" s="873"/>
      <c r="CI143" s="873"/>
      <c r="CJ143" s="873"/>
      <c r="CK143" s="873"/>
      <c r="CL143" s="873"/>
      <c r="CM143" s="873"/>
      <c r="CN143" s="873"/>
      <c r="CO143" s="873"/>
      <c r="CP143" s="873"/>
      <c r="CQ143" s="873"/>
      <c r="CR143" s="873"/>
      <c r="CS143" s="873"/>
      <c r="CT143" s="873"/>
      <c r="CU143" s="873"/>
      <c r="CV143" s="873"/>
      <c r="CW143" s="873"/>
      <c r="CX143" s="873"/>
      <c r="CY143" s="873"/>
      <c r="CZ143" s="873"/>
      <c r="DA143" s="873"/>
      <c r="DB143" s="873"/>
      <c r="DC143" s="873"/>
      <c r="DD143" s="873"/>
      <c r="DE143" s="873"/>
      <c r="DF143" s="873"/>
      <c r="DG143" s="873"/>
      <c r="DH143" s="873"/>
      <c r="DI143" s="873"/>
      <c r="DJ143" s="873"/>
      <c r="DK143" s="873"/>
      <c r="DL143" s="873"/>
      <c r="DM143" s="873"/>
      <c r="DN143" s="873"/>
      <c r="DO143" s="873"/>
      <c r="DP143" s="873"/>
      <c r="DQ143" s="873"/>
      <c r="DR143" s="873"/>
      <c r="DS143" s="873"/>
      <c r="DT143" s="873"/>
      <c r="DU143" s="873"/>
      <c r="DV143" s="873"/>
      <c r="DW143" s="873"/>
      <c r="DX143" s="873"/>
      <c r="DY143" s="873"/>
      <c r="DZ143" s="873"/>
      <c r="EA143" s="873"/>
      <c r="EB143" s="873"/>
      <c r="EC143" s="873"/>
      <c r="ED143" s="873"/>
      <c r="EE143" s="873"/>
      <c r="EF143" s="873"/>
      <c r="EG143" s="873"/>
      <c r="EH143" s="873"/>
      <c r="EI143" s="873"/>
      <c r="EJ143" s="873"/>
      <c r="EK143" s="873"/>
      <c r="EL143" s="873"/>
      <c r="EM143" s="873"/>
      <c r="EN143" s="873"/>
      <c r="EO143" s="873"/>
      <c r="EP143" s="873"/>
      <c r="EQ143" s="873"/>
      <c r="ER143" s="873"/>
      <c r="ES143" s="873"/>
      <c r="ET143" s="873"/>
      <c r="EU143" s="873"/>
      <c r="EV143" s="873"/>
      <c r="EW143" s="873"/>
      <c r="EX143" s="873"/>
      <c r="EY143" s="873"/>
      <c r="EZ143" s="873"/>
      <c r="FA143" s="873"/>
      <c r="FB143" s="873"/>
      <c r="FC143" s="873"/>
      <c r="FD143" s="873"/>
      <c r="FE143" s="873"/>
      <c r="FF143" s="873"/>
      <c r="FG143" s="873"/>
      <c r="FH143" s="873"/>
      <c r="FI143" s="873"/>
      <c r="FJ143" s="873"/>
      <c r="FK143" s="873"/>
      <c r="FL143" s="873"/>
      <c r="FM143" s="873"/>
      <c r="FN143" s="873"/>
      <c r="FO143" s="873"/>
      <c r="FP143" s="873"/>
      <c r="FQ143" s="873"/>
      <c r="FR143" s="873"/>
      <c r="FS143" s="873"/>
      <c r="FT143" s="873"/>
      <c r="FU143" s="873"/>
      <c r="FV143" s="873"/>
      <c r="FW143" s="873"/>
      <c r="FX143" s="873"/>
      <c r="FY143" s="873"/>
      <c r="FZ143" s="873"/>
      <c r="GA143" s="873"/>
      <c r="GB143" s="873"/>
      <c r="GC143" s="873"/>
      <c r="GD143" s="873"/>
      <c r="GE143" s="873"/>
      <c r="GF143" s="873"/>
      <c r="GG143" s="873"/>
      <c r="GH143" s="873"/>
      <c r="GI143" s="873"/>
      <c r="GJ143" s="873"/>
      <c r="GK143" s="873"/>
      <c r="GL143" s="873"/>
      <c r="GM143" s="873"/>
      <c r="GN143" s="873"/>
      <c r="GO143" s="873"/>
      <c r="GP143" s="873"/>
      <c r="GQ143" s="873"/>
      <c r="GR143" s="873"/>
      <c r="GS143" s="873"/>
      <c r="GT143" s="873"/>
      <c r="GU143" s="873"/>
      <c r="GV143" s="873"/>
      <c r="GW143" s="873"/>
      <c r="GX143" s="873"/>
      <c r="GY143" s="873"/>
      <c r="GZ143" s="873"/>
      <c r="HA143" s="873"/>
      <c r="HB143" s="873"/>
      <c r="HC143" s="873"/>
      <c r="HD143" s="873"/>
      <c r="HE143" s="873"/>
      <c r="HF143" s="873"/>
      <c r="HG143" s="873"/>
      <c r="HH143" s="873"/>
      <c r="HI143" s="873"/>
      <c r="HJ143" s="873"/>
      <c r="HK143" s="873"/>
      <c r="HL143" s="873"/>
      <c r="HM143" s="873"/>
      <c r="HN143" s="873"/>
      <c r="HO143" s="873"/>
      <c r="HP143" s="873"/>
      <c r="HQ143" s="873"/>
      <c r="HR143" s="873"/>
      <c r="HS143" s="873"/>
      <c r="HT143" s="873"/>
      <c r="HU143" s="873"/>
      <c r="HV143" s="873"/>
      <c r="HW143" s="873"/>
      <c r="HX143" s="873"/>
      <c r="HY143" s="873"/>
      <c r="HZ143" s="873"/>
      <c r="IA143" s="873"/>
      <c r="IB143" s="873"/>
      <c r="IC143" s="873"/>
      <c r="ID143" s="873"/>
      <c r="IE143" s="873"/>
      <c r="IF143" s="873"/>
      <c r="IG143" s="873"/>
      <c r="IH143" s="873"/>
      <c r="II143" s="873"/>
      <c r="IJ143" s="873"/>
      <c r="IK143" s="873"/>
      <c r="IL143" s="873"/>
      <c r="IM143" s="873"/>
      <c r="IN143" s="873"/>
      <c r="IO143" s="873"/>
      <c r="IP143" s="873"/>
      <c r="IQ143" s="873"/>
      <c r="IR143" s="873"/>
      <c r="IS143" s="873"/>
      <c r="IT143" s="873"/>
      <c r="IU143" s="873"/>
      <c r="IV143" s="873"/>
      <c r="IW143" s="873"/>
      <c r="IX143" s="873"/>
      <c r="IY143" s="873"/>
      <c r="IZ143" s="873"/>
      <c r="JA143" s="873"/>
      <c r="JB143" s="873"/>
      <c r="JC143" s="873"/>
      <c r="JD143" s="873"/>
      <c r="JE143" s="873"/>
      <c r="JF143" s="873"/>
      <c r="JG143" s="873"/>
      <c r="JH143" s="873"/>
      <c r="JI143" s="873"/>
      <c r="JJ143" s="873"/>
      <c r="JK143" s="873"/>
      <c r="JL143" s="873"/>
      <c r="JM143" s="873"/>
      <c r="JN143" s="873"/>
      <c r="JO143" s="873"/>
      <c r="JP143" s="873"/>
      <c r="JQ143" s="873"/>
      <c r="JR143" s="873"/>
      <c r="JS143" s="873"/>
      <c r="JT143" s="873"/>
      <c r="JU143" s="873"/>
    </row>
    <row r="144" spans="1:282">
      <c r="A144" s="672"/>
      <c r="B144" s="408"/>
      <c r="C144" s="873"/>
      <c r="D144" s="888"/>
      <c r="E144" s="671"/>
      <c r="F144" s="873"/>
      <c r="G144" s="873"/>
      <c r="H144" s="873"/>
      <c r="I144" s="873"/>
      <c r="J144" s="873"/>
      <c r="K144" s="873"/>
      <c r="L144" s="873"/>
      <c r="M144" s="873"/>
      <c r="N144" s="873"/>
      <c r="O144" s="873"/>
      <c r="P144" s="873"/>
      <c r="Q144" s="873"/>
      <c r="R144" s="873"/>
      <c r="S144" s="873"/>
      <c r="T144" s="873"/>
      <c r="U144" s="873"/>
      <c r="V144" s="873"/>
      <c r="W144" s="873"/>
      <c r="X144" s="873"/>
      <c r="Y144" s="873"/>
      <c r="Z144" s="873"/>
      <c r="AA144" s="394"/>
      <c r="AB144" s="873"/>
      <c r="AC144" s="394"/>
      <c r="AD144" s="873"/>
      <c r="AE144" s="873"/>
      <c r="AF144" s="873"/>
      <c r="AG144" s="873"/>
      <c r="AH144" s="873"/>
      <c r="AI144" s="873"/>
      <c r="AJ144" s="403"/>
      <c r="AK144" s="403"/>
      <c r="AL144" s="873"/>
      <c r="AM144" s="873"/>
      <c r="AN144" s="403"/>
      <c r="AO144" s="403"/>
      <c r="AP144" s="394"/>
      <c r="AQ144" s="394"/>
      <c r="AR144" s="394"/>
      <c r="AS144" s="394"/>
      <c r="AT144" s="394"/>
      <c r="AU144" s="873"/>
      <c r="AV144" s="873"/>
      <c r="AW144" s="873"/>
      <c r="AX144" s="873"/>
      <c r="AY144" s="873"/>
      <c r="AZ144" s="873"/>
      <c r="BA144" s="394"/>
      <c r="BB144" s="873"/>
      <c r="BC144" s="873"/>
      <c r="BD144" s="873"/>
      <c r="BE144" s="873"/>
      <c r="BF144" s="873"/>
      <c r="BG144" s="873"/>
      <c r="BH144" s="873"/>
      <c r="BI144" s="873"/>
      <c r="BJ144" s="873"/>
      <c r="BK144" s="873"/>
      <c r="BL144" s="873"/>
      <c r="BM144" s="873"/>
      <c r="BN144" s="873"/>
      <c r="BO144" s="873"/>
      <c r="BP144" s="873"/>
      <c r="BQ144" s="873"/>
      <c r="BR144" s="873"/>
      <c r="BS144" s="873"/>
      <c r="BT144" s="873"/>
      <c r="BU144" s="873"/>
      <c r="BV144" s="873"/>
      <c r="BW144" s="873"/>
      <c r="BX144" s="873"/>
      <c r="BY144" s="873"/>
      <c r="BZ144" s="873"/>
      <c r="CA144" s="873"/>
      <c r="CB144" s="873"/>
      <c r="CC144" s="873"/>
      <c r="CD144" s="873"/>
      <c r="CE144" s="873"/>
      <c r="CF144" s="873"/>
      <c r="CG144" s="873"/>
      <c r="CH144" s="873"/>
      <c r="CI144" s="873"/>
      <c r="CJ144" s="873"/>
      <c r="CK144" s="873"/>
      <c r="CL144" s="873"/>
      <c r="CM144" s="873"/>
      <c r="CN144" s="873"/>
      <c r="CO144" s="873"/>
      <c r="CP144" s="873"/>
      <c r="CQ144" s="873"/>
      <c r="CR144" s="873"/>
      <c r="CS144" s="873"/>
      <c r="CT144" s="873"/>
      <c r="CU144" s="873"/>
      <c r="CV144" s="873"/>
      <c r="CW144" s="873"/>
      <c r="CX144" s="873"/>
      <c r="CY144" s="873"/>
      <c r="CZ144" s="873"/>
      <c r="DA144" s="873"/>
      <c r="DB144" s="873"/>
      <c r="DC144" s="873"/>
      <c r="DD144" s="873"/>
      <c r="DE144" s="873"/>
      <c r="DF144" s="873"/>
      <c r="DG144" s="873"/>
      <c r="DH144" s="873"/>
      <c r="DI144" s="873"/>
      <c r="DJ144" s="873"/>
      <c r="DK144" s="873"/>
      <c r="DL144" s="873"/>
      <c r="DM144" s="873"/>
      <c r="DN144" s="873"/>
      <c r="DO144" s="873"/>
      <c r="DP144" s="873"/>
      <c r="DQ144" s="873"/>
      <c r="DR144" s="873"/>
      <c r="DS144" s="873"/>
      <c r="DT144" s="873"/>
      <c r="DU144" s="873"/>
      <c r="DV144" s="873"/>
      <c r="DW144" s="873"/>
      <c r="DX144" s="873"/>
      <c r="DY144" s="873"/>
      <c r="DZ144" s="873"/>
      <c r="EA144" s="873"/>
      <c r="EB144" s="873"/>
      <c r="EC144" s="873"/>
      <c r="ED144" s="873"/>
      <c r="EE144" s="873"/>
      <c r="EF144" s="873"/>
      <c r="EG144" s="873"/>
      <c r="EH144" s="873"/>
      <c r="EI144" s="873"/>
      <c r="EJ144" s="873"/>
      <c r="EK144" s="873"/>
      <c r="EL144" s="873"/>
      <c r="EM144" s="873"/>
      <c r="EN144" s="873"/>
      <c r="EO144" s="873"/>
      <c r="EP144" s="873"/>
      <c r="EQ144" s="873"/>
      <c r="ER144" s="873"/>
      <c r="ES144" s="873"/>
      <c r="ET144" s="873"/>
      <c r="EU144" s="873"/>
      <c r="EV144" s="873"/>
      <c r="EW144" s="873"/>
      <c r="EX144" s="873"/>
      <c r="EY144" s="873"/>
      <c r="EZ144" s="873"/>
      <c r="FA144" s="873"/>
      <c r="FB144" s="873"/>
      <c r="FC144" s="873"/>
      <c r="FD144" s="873"/>
      <c r="FE144" s="873"/>
      <c r="FF144" s="873"/>
      <c r="FG144" s="873"/>
      <c r="FH144" s="873"/>
      <c r="FI144" s="873"/>
      <c r="FJ144" s="873"/>
      <c r="FK144" s="873"/>
      <c r="FL144" s="873"/>
      <c r="FM144" s="873"/>
      <c r="FN144" s="873"/>
      <c r="FO144" s="873"/>
      <c r="FP144" s="873"/>
      <c r="FQ144" s="873"/>
      <c r="FR144" s="873"/>
      <c r="FS144" s="873"/>
      <c r="FT144" s="873"/>
      <c r="FU144" s="873"/>
      <c r="FV144" s="873"/>
      <c r="FW144" s="873"/>
      <c r="FX144" s="873"/>
      <c r="FY144" s="873"/>
      <c r="FZ144" s="873"/>
      <c r="GA144" s="873"/>
      <c r="GB144" s="873"/>
      <c r="GC144" s="873"/>
      <c r="GD144" s="873"/>
      <c r="GE144" s="873"/>
      <c r="GF144" s="873"/>
      <c r="GG144" s="873"/>
      <c r="GH144" s="873"/>
      <c r="GI144" s="873"/>
      <c r="GJ144" s="873"/>
      <c r="GK144" s="873"/>
      <c r="GL144" s="873"/>
      <c r="GM144" s="873"/>
      <c r="GN144" s="873"/>
      <c r="GO144" s="873"/>
      <c r="GP144" s="873"/>
      <c r="GQ144" s="873"/>
      <c r="GR144" s="873"/>
      <c r="GS144" s="873"/>
      <c r="GT144" s="873"/>
      <c r="GU144" s="873"/>
      <c r="GV144" s="873"/>
      <c r="GW144" s="873"/>
      <c r="GX144" s="873"/>
      <c r="GY144" s="873"/>
      <c r="GZ144" s="873"/>
      <c r="HA144" s="873"/>
      <c r="HB144" s="873"/>
      <c r="HC144" s="873"/>
      <c r="HD144" s="873"/>
      <c r="HE144" s="873"/>
      <c r="HF144" s="873"/>
      <c r="HG144" s="873"/>
      <c r="HH144" s="873"/>
      <c r="HI144" s="873"/>
      <c r="HJ144" s="873"/>
      <c r="HK144" s="873"/>
      <c r="HL144" s="873"/>
      <c r="HM144" s="873"/>
      <c r="HN144" s="873"/>
      <c r="HO144" s="873"/>
      <c r="HP144" s="873"/>
      <c r="HQ144" s="873"/>
      <c r="HR144" s="873"/>
      <c r="HS144" s="873"/>
      <c r="HT144" s="873"/>
      <c r="HU144" s="873"/>
      <c r="HV144" s="873"/>
      <c r="HW144" s="873"/>
      <c r="HX144" s="873"/>
      <c r="HY144" s="873"/>
      <c r="HZ144" s="873"/>
      <c r="IA144" s="873"/>
      <c r="IB144" s="873"/>
      <c r="IC144" s="873"/>
      <c r="ID144" s="873"/>
      <c r="IE144" s="873"/>
      <c r="IF144" s="873"/>
      <c r="IG144" s="873"/>
      <c r="IH144" s="873"/>
      <c r="II144" s="873"/>
      <c r="IJ144" s="873"/>
      <c r="IK144" s="873"/>
      <c r="IL144" s="873"/>
      <c r="IM144" s="873"/>
      <c r="IN144" s="873"/>
      <c r="IO144" s="873"/>
      <c r="IP144" s="873"/>
      <c r="IQ144" s="873"/>
      <c r="IR144" s="873"/>
      <c r="IS144" s="873"/>
      <c r="IT144" s="873"/>
      <c r="IU144" s="873"/>
      <c r="IV144" s="873"/>
      <c r="IW144" s="873"/>
      <c r="IX144" s="873"/>
      <c r="IY144" s="873"/>
      <c r="IZ144" s="873"/>
      <c r="JA144" s="873"/>
      <c r="JB144" s="873"/>
      <c r="JC144" s="873"/>
      <c r="JD144" s="873"/>
      <c r="JE144" s="873"/>
      <c r="JF144" s="873"/>
      <c r="JG144" s="873"/>
      <c r="JH144" s="873"/>
      <c r="JI144" s="873"/>
      <c r="JJ144" s="873"/>
      <c r="JK144" s="873"/>
      <c r="JL144" s="873"/>
      <c r="JM144" s="873"/>
      <c r="JN144" s="873"/>
      <c r="JO144" s="873"/>
      <c r="JP144" s="873"/>
      <c r="JQ144" s="873"/>
      <c r="JR144" s="873"/>
      <c r="JS144" s="873"/>
      <c r="JT144" s="873"/>
      <c r="JU144" s="873"/>
    </row>
    <row r="145" spans="1:281">
      <c r="A145" s="672"/>
      <c r="B145" s="408"/>
      <c r="C145" s="873"/>
      <c r="D145" s="888"/>
      <c r="E145" s="671"/>
      <c r="F145" s="873"/>
      <c r="G145" s="873"/>
      <c r="H145" s="873"/>
      <c r="I145" s="873"/>
      <c r="J145" s="873"/>
      <c r="K145" s="873"/>
      <c r="L145" s="873"/>
      <c r="M145" s="873"/>
      <c r="N145" s="873"/>
      <c r="O145" s="873"/>
      <c r="P145" s="873"/>
      <c r="Q145" s="873"/>
      <c r="R145" s="873"/>
      <c r="S145" s="873"/>
      <c r="T145" s="873"/>
      <c r="U145" s="873"/>
      <c r="V145" s="873"/>
      <c r="W145" s="873"/>
      <c r="X145" s="873"/>
      <c r="Y145" s="873"/>
      <c r="Z145" s="873"/>
      <c r="AA145" s="394"/>
      <c r="AB145" s="873"/>
      <c r="AC145" s="394"/>
      <c r="AD145" s="873"/>
      <c r="AE145" s="873"/>
      <c r="AF145" s="873"/>
      <c r="AG145" s="873"/>
      <c r="AH145" s="873"/>
      <c r="AI145" s="873"/>
      <c r="AJ145" s="403"/>
      <c r="AK145" s="403"/>
      <c r="AL145" s="873"/>
      <c r="AM145" s="873"/>
      <c r="AN145" s="403"/>
      <c r="AO145" s="403"/>
      <c r="AP145" s="394"/>
      <c r="AQ145" s="394"/>
      <c r="AR145" s="394"/>
      <c r="AS145" s="394"/>
      <c r="AT145" s="394"/>
      <c r="AU145" s="873"/>
      <c r="AV145" s="873"/>
      <c r="AW145" s="873"/>
      <c r="AX145" s="873"/>
      <c r="AY145" s="873"/>
      <c r="AZ145" s="873"/>
      <c r="BA145" s="394"/>
      <c r="BB145" s="873"/>
      <c r="BC145" s="873"/>
      <c r="BD145" s="873"/>
      <c r="BE145" s="873"/>
      <c r="BF145" s="873"/>
      <c r="BG145" s="873"/>
      <c r="BH145" s="873"/>
      <c r="BI145" s="873"/>
      <c r="BJ145" s="873"/>
      <c r="BK145" s="873"/>
      <c r="BL145" s="873"/>
      <c r="BM145" s="873"/>
      <c r="BN145" s="873"/>
      <c r="BO145" s="873"/>
      <c r="BP145" s="873"/>
      <c r="BQ145" s="873"/>
      <c r="BR145" s="873"/>
      <c r="BS145" s="873"/>
      <c r="BT145" s="873"/>
      <c r="BU145" s="873"/>
      <c r="BV145" s="873"/>
      <c r="BW145" s="873"/>
      <c r="BX145" s="873"/>
      <c r="BY145" s="873"/>
      <c r="BZ145" s="873"/>
      <c r="CA145" s="873"/>
      <c r="CB145" s="873"/>
      <c r="CC145" s="873"/>
      <c r="CD145" s="873"/>
      <c r="CE145" s="873"/>
      <c r="CF145" s="873"/>
      <c r="CG145" s="873"/>
      <c r="CH145" s="873"/>
      <c r="CI145" s="873"/>
      <c r="CJ145" s="873"/>
      <c r="CK145" s="873"/>
      <c r="CL145" s="873"/>
      <c r="CM145" s="873"/>
      <c r="CN145" s="873"/>
      <c r="CO145" s="873"/>
      <c r="CP145" s="873"/>
      <c r="CQ145" s="873"/>
      <c r="CR145" s="873"/>
      <c r="CS145" s="873"/>
      <c r="CT145" s="873"/>
      <c r="CU145" s="873"/>
      <c r="CV145" s="873"/>
      <c r="CW145" s="873"/>
      <c r="CX145" s="873"/>
      <c r="CY145" s="873"/>
      <c r="CZ145" s="873"/>
      <c r="DA145" s="873"/>
      <c r="DB145" s="873"/>
      <c r="DC145" s="873"/>
      <c r="DD145" s="873"/>
      <c r="DE145" s="873"/>
      <c r="DF145" s="873"/>
      <c r="DG145" s="873"/>
      <c r="DH145" s="873"/>
      <c r="DI145" s="873"/>
      <c r="DJ145" s="873"/>
      <c r="DK145" s="873"/>
      <c r="DL145" s="873"/>
      <c r="DM145" s="873"/>
      <c r="DN145" s="873"/>
      <c r="DO145" s="873"/>
      <c r="DP145" s="873"/>
      <c r="DQ145" s="873"/>
      <c r="DR145" s="873"/>
      <c r="DS145" s="873"/>
      <c r="DT145" s="873"/>
      <c r="DU145" s="873"/>
      <c r="DV145" s="873"/>
      <c r="DW145" s="873"/>
      <c r="DX145" s="873"/>
      <c r="DY145" s="873"/>
      <c r="DZ145" s="873"/>
      <c r="EA145" s="873"/>
      <c r="EB145" s="873"/>
      <c r="EC145" s="873"/>
      <c r="ED145" s="873"/>
      <c r="EE145" s="873"/>
      <c r="EF145" s="873"/>
      <c r="EG145" s="873"/>
      <c r="EH145" s="873"/>
      <c r="EI145" s="873"/>
      <c r="EJ145" s="873"/>
      <c r="EK145" s="873"/>
      <c r="EL145" s="873"/>
      <c r="EM145" s="873"/>
      <c r="EN145" s="873"/>
      <c r="EO145" s="873"/>
      <c r="EP145" s="873"/>
      <c r="EQ145" s="873"/>
      <c r="ER145" s="873"/>
      <c r="ES145" s="873"/>
      <c r="ET145" s="873"/>
      <c r="EU145" s="873"/>
      <c r="EV145" s="873"/>
      <c r="EW145" s="873"/>
      <c r="EX145" s="873"/>
      <c r="EY145" s="873"/>
      <c r="EZ145" s="873"/>
      <c r="FA145" s="873"/>
      <c r="FB145" s="873"/>
      <c r="FC145" s="873"/>
      <c r="FD145" s="873"/>
      <c r="FE145" s="873"/>
      <c r="FF145" s="873"/>
      <c r="FG145" s="873"/>
      <c r="FH145" s="873"/>
      <c r="FI145" s="873"/>
      <c r="FJ145" s="873"/>
      <c r="FK145" s="873"/>
      <c r="FL145" s="873"/>
      <c r="FM145" s="873"/>
      <c r="FN145" s="873"/>
      <c r="FO145" s="873"/>
      <c r="FP145" s="873"/>
      <c r="FQ145" s="873"/>
      <c r="FR145" s="873"/>
      <c r="FS145" s="873"/>
      <c r="FT145" s="873"/>
      <c r="FU145" s="873"/>
      <c r="FV145" s="873"/>
      <c r="FW145" s="873"/>
      <c r="FX145" s="873"/>
      <c r="FY145" s="873"/>
      <c r="FZ145" s="873"/>
      <c r="GA145" s="873"/>
      <c r="GB145" s="873"/>
      <c r="GC145" s="873"/>
      <c r="GD145" s="873"/>
      <c r="GE145" s="873"/>
      <c r="GF145" s="873"/>
      <c r="GG145" s="873"/>
      <c r="GH145" s="873"/>
      <c r="GI145" s="873"/>
      <c r="GJ145" s="873"/>
      <c r="GK145" s="873"/>
      <c r="GL145" s="873"/>
      <c r="GM145" s="873"/>
      <c r="GN145" s="873"/>
      <c r="GO145" s="873"/>
      <c r="GP145" s="873"/>
      <c r="GQ145" s="873"/>
      <c r="GR145" s="873"/>
      <c r="GS145" s="873"/>
      <c r="GT145" s="873"/>
      <c r="GU145" s="873"/>
      <c r="GV145" s="873"/>
      <c r="GW145" s="873"/>
      <c r="GX145" s="873"/>
      <c r="GY145" s="873"/>
      <c r="GZ145" s="873"/>
      <c r="HA145" s="873"/>
      <c r="HB145" s="873"/>
      <c r="HC145" s="873"/>
      <c r="HD145" s="873"/>
      <c r="HE145" s="873"/>
      <c r="HF145" s="873"/>
      <c r="HG145" s="873"/>
      <c r="HH145" s="873"/>
      <c r="HI145" s="873"/>
      <c r="HJ145" s="873"/>
      <c r="HK145" s="873"/>
      <c r="HL145" s="873"/>
      <c r="HM145" s="873"/>
      <c r="HN145" s="873"/>
      <c r="HO145" s="873"/>
      <c r="HP145" s="873"/>
      <c r="HQ145" s="873"/>
      <c r="HR145" s="873"/>
      <c r="HS145" s="873"/>
      <c r="HT145" s="873"/>
      <c r="HU145" s="873"/>
      <c r="HV145" s="873"/>
      <c r="HW145" s="873"/>
      <c r="HX145" s="873"/>
      <c r="HY145" s="873"/>
      <c r="HZ145" s="873"/>
      <c r="IA145" s="873"/>
      <c r="IB145" s="873"/>
      <c r="IC145" s="873"/>
      <c r="ID145" s="873"/>
      <c r="IE145" s="873"/>
      <c r="IF145" s="873"/>
      <c r="IG145" s="873"/>
      <c r="IH145" s="873"/>
      <c r="II145" s="873"/>
      <c r="IJ145" s="873"/>
      <c r="IK145" s="873"/>
      <c r="IL145" s="873"/>
      <c r="IM145" s="873"/>
      <c r="IN145" s="873"/>
      <c r="IO145" s="873"/>
      <c r="IP145" s="873"/>
      <c r="IQ145" s="873"/>
      <c r="IR145" s="873"/>
      <c r="IS145" s="873"/>
      <c r="IT145" s="873"/>
      <c r="IU145" s="873"/>
      <c r="IV145" s="873"/>
      <c r="IW145" s="873"/>
      <c r="IX145" s="873"/>
      <c r="IY145" s="873"/>
      <c r="IZ145" s="873"/>
      <c r="JA145" s="873"/>
      <c r="JB145" s="873"/>
      <c r="JC145" s="873"/>
      <c r="JD145" s="873"/>
      <c r="JE145" s="873"/>
      <c r="JF145" s="873"/>
      <c r="JG145" s="873"/>
      <c r="JH145" s="873"/>
      <c r="JI145" s="873"/>
      <c r="JJ145" s="873"/>
      <c r="JK145" s="873"/>
      <c r="JL145" s="873"/>
      <c r="JM145" s="873"/>
      <c r="JN145" s="873"/>
      <c r="JO145" s="873"/>
      <c r="JP145" s="873"/>
      <c r="JQ145" s="873"/>
      <c r="JR145" s="873"/>
      <c r="JS145" s="873"/>
      <c r="JT145" s="873"/>
      <c r="JU145" s="873"/>
    </row>
    <row r="146" spans="1:281">
      <c r="A146" s="672"/>
      <c r="B146" s="408"/>
      <c r="C146" s="873"/>
      <c r="D146" s="888"/>
      <c r="E146" s="671"/>
      <c r="F146" s="873"/>
      <c r="G146" s="873"/>
      <c r="H146" s="873"/>
      <c r="I146" s="873"/>
      <c r="J146" s="873"/>
      <c r="K146" s="873"/>
      <c r="L146" s="873"/>
      <c r="M146" s="873"/>
      <c r="N146" s="873"/>
      <c r="O146" s="873"/>
      <c r="P146" s="873"/>
      <c r="Q146" s="873"/>
      <c r="R146" s="873"/>
      <c r="S146" s="873"/>
      <c r="T146" s="873"/>
      <c r="U146" s="873"/>
      <c r="V146" s="873"/>
      <c r="W146" s="873"/>
      <c r="X146" s="873"/>
      <c r="Y146" s="873"/>
      <c r="Z146" s="873"/>
      <c r="AA146" s="394"/>
      <c r="AB146" s="873"/>
      <c r="AC146" s="394"/>
      <c r="AD146" s="873"/>
      <c r="AE146" s="873"/>
      <c r="AF146" s="873"/>
      <c r="AG146" s="873"/>
      <c r="AH146" s="873"/>
      <c r="AI146" s="873"/>
      <c r="AJ146" s="403"/>
      <c r="AK146" s="403"/>
      <c r="AL146" s="873"/>
      <c r="AM146" s="873"/>
      <c r="AN146" s="403"/>
      <c r="AO146" s="403"/>
      <c r="AP146" s="394"/>
      <c r="AQ146" s="394"/>
      <c r="AR146" s="394"/>
      <c r="AS146" s="394"/>
      <c r="AT146" s="394"/>
      <c r="AU146" s="873"/>
      <c r="AV146" s="873"/>
      <c r="AW146" s="873"/>
      <c r="AX146" s="873"/>
      <c r="AY146" s="873"/>
      <c r="AZ146" s="873"/>
      <c r="BA146" s="394"/>
      <c r="BB146" s="873"/>
      <c r="BC146" s="873"/>
      <c r="BD146" s="873"/>
      <c r="BE146" s="873"/>
      <c r="BF146" s="873"/>
      <c r="BG146" s="873"/>
      <c r="BH146" s="873"/>
      <c r="BI146" s="873"/>
      <c r="BJ146" s="873"/>
      <c r="BK146" s="873"/>
      <c r="BL146" s="873"/>
      <c r="BM146" s="873"/>
      <c r="BN146" s="873"/>
      <c r="BO146" s="873"/>
      <c r="BP146" s="873"/>
      <c r="BQ146" s="873"/>
      <c r="BR146" s="873"/>
      <c r="BS146" s="873"/>
      <c r="BT146" s="873"/>
      <c r="BU146" s="873"/>
      <c r="BV146" s="873"/>
      <c r="BW146" s="873"/>
      <c r="BX146" s="873"/>
      <c r="BY146" s="873"/>
      <c r="BZ146" s="873"/>
      <c r="CA146" s="873"/>
      <c r="CB146" s="873"/>
      <c r="CC146" s="873"/>
      <c r="CD146" s="873"/>
      <c r="CE146" s="873"/>
      <c r="CF146" s="873"/>
      <c r="CG146" s="873"/>
      <c r="CH146" s="873"/>
      <c r="CI146" s="873"/>
      <c r="CJ146" s="873"/>
      <c r="CK146" s="873"/>
      <c r="CL146" s="873"/>
      <c r="CM146" s="873"/>
      <c r="CN146" s="873"/>
      <c r="CO146" s="873"/>
      <c r="CP146" s="873"/>
      <c r="CQ146" s="873"/>
      <c r="CR146" s="873"/>
      <c r="CS146" s="873"/>
      <c r="CT146" s="873"/>
      <c r="CU146" s="873"/>
      <c r="CV146" s="873"/>
      <c r="CW146" s="873"/>
      <c r="CX146" s="873"/>
      <c r="CY146" s="873"/>
      <c r="CZ146" s="873"/>
      <c r="DA146" s="873"/>
      <c r="DB146" s="873"/>
      <c r="DC146" s="873"/>
      <c r="DD146" s="873"/>
      <c r="DE146" s="873"/>
      <c r="DF146" s="873"/>
      <c r="DG146" s="873"/>
      <c r="DH146" s="873"/>
      <c r="DI146" s="873"/>
      <c r="DJ146" s="873"/>
      <c r="DK146" s="873"/>
      <c r="DL146" s="873"/>
      <c r="DM146" s="873"/>
      <c r="DN146" s="873"/>
      <c r="DO146" s="873"/>
      <c r="DP146" s="873"/>
      <c r="DQ146" s="873"/>
      <c r="DR146" s="873"/>
      <c r="DS146" s="873"/>
      <c r="DT146" s="873"/>
      <c r="DU146" s="873"/>
      <c r="DV146" s="873"/>
      <c r="DW146" s="873"/>
      <c r="DX146" s="873"/>
      <c r="DY146" s="873"/>
      <c r="DZ146" s="873"/>
      <c r="EA146" s="873"/>
      <c r="EB146" s="873"/>
      <c r="EC146" s="873"/>
      <c r="ED146" s="873"/>
      <c r="EE146" s="873"/>
      <c r="EF146" s="873"/>
      <c r="EG146" s="873"/>
      <c r="EH146" s="873"/>
      <c r="EI146" s="873"/>
      <c r="EJ146" s="873"/>
      <c r="EK146" s="873"/>
      <c r="EL146" s="873"/>
      <c r="EM146" s="873"/>
      <c r="EN146" s="873"/>
      <c r="EO146" s="873"/>
      <c r="EP146" s="873"/>
      <c r="EQ146" s="873"/>
      <c r="ER146" s="873"/>
      <c r="ES146" s="873"/>
      <c r="ET146" s="873"/>
      <c r="EU146" s="873"/>
      <c r="EV146" s="873"/>
      <c r="EW146" s="873"/>
      <c r="EX146" s="873"/>
      <c r="EY146" s="873"/>
      <c r="EZ146" s="873"/>
      <c r="FA146" s="873"/>
      <c r="FB146" s="873"/>
      <c r="FC146" s="873"/>
      <c r="FD146" s="873"/>
      <c r="FE146" s="873"/>
      <c r="FF146" s="873"/>
      <c r="FG146" s="873"/>
      <c r="FH146" s="873"/>
      <c r="FI146" s="873"/>
      <c r="FJ146" s="873"/>
      <c r="FK146" s="873"/>
      <c r="FL146" s="873"/>
      <c r="FM146" s="873"/>
      <c r="FN146" s="873"/>
      <c r="FO146" s="873"/>
      <c r="FP146" s="873"/>
      <c r="FQ146" s="873"/>
      <c r="FR146" s="873"/>
      <c r="FS146" s="873"/>
      <c r="FT146" s="873"/>
      <c r="FU146" s="873"/>
      <c r="FV146" s="873"/>
      <c r="FW146" s="873"/>
      <c r="FX146" s="873"/>
      <c r="FY146" s="873"/>
      <c r="FZ146" s="873"/>
      <c r="GA146" s="873"/>
      <c r="GB146" s="873"/>
      <c r="GC146" s="873"/>
      <c r="GD146" s="873"/>
      <c r="GE146" s="873"/>
      <c r="GF146" s="873"/>
      <c r="GG146" s="873"/>
      <c r="GH146" s="873"/>
      <c r="GI146" s="873"/>
      <c r="GJ146" s="873"/>
      <c r="GK146" s="873"/>
      <c r="GL146" s="873"/>
      <c r="GM146" s="873"/>
      <c r="GN146" s="873"/>
      <c r="GO146" s="873"/>
      <c r="GP146" s="873"/>
      <c r="GQ146" s="873"/>
      <c r="GR146" s="873"/>
      <c r="GS146" s="873"/>
      <c r="GT146" s="873"/>
      <c r="GU146" s="873"/>
      <c r="GV146" s="873"/>
      <c r="GW146" s="873"/>
      <c r="GX146" s="873"/>
      <c r="GY146" s="873"/>
      <c r="GZ146" s="873"/>
      <c r="HA146" s="873"/>
      <c r="HB146" s="873"/>
      <c r="HC146" s="873"/>
      <c r="HD146" s="873"/>
      <c r="HE146" s="873"/>
      <c r="HF146" s="873"/>
      <c r="HG146" s="873"/>
      <c r="HH146" s="873"/>
      <c r="HI146" s="873"/>
      <c r="HJ146" s="873"/>
      <c r="HK146" s="873"/>
      <c r="HL146" s="873"/>
      <c r="HM146" s="873"/>
      <c r="HN146" s="873"/>
      <c r="HO146" s="873"/>
      <c r="HP146" s="873"/>
      <c r="HQ146" s="873"/>
      <c r="HR146" s="873"/>
      <c r="HS146" s="873"/>
      <c r="HT146" s="873"/>
      <c r="HU146" s="873"/>
      <c r="HV146" s="873"/>
      <c r="HW146" s="873"/>
      <c r="HX146" s="873"/>
      <c r="HY146" s="873"/>
      <c r="HZ146" s="873"/>
      <c r="IA146" s="873"/>
      <c r="IB146" s="873"/>
      <c r="IC146" s="873"/>
      <c r="ID146" s="873"/>
      <c r="IE146" s="873"/>
      <c r="IF146" s="873"/>
      <c r="IG146" s="873"/>
      <c r="IH146" s="873"/>
      <c r="II146" s="873"/>
      <c r="IJ146" s="873"/>
      <c r="IK146" s="873"/>
      <c r="IL146" s="873"/>
      <c r="IM146" s="873"/>
      <c r="IN146" s="873"/>
      <c r="IO146" s="873"/>
      <c r="IP146" s="873"/>
      <c r="IQ146" s="873"/>
      <c r="IR146" s="873"/>
      <c r="IS146" s="873"/>
      <c r="IT146" s="873"/>
      <c r="IU146" s="873"/>
      <c r="IV146" s="873"/>
      <c r="IW146" s="873"/>
      <c r="IX146" s="873"/>
      <c r="IY146" s="873"/>
      <c r="IZ146" s="873"/>
      <c r="JA146" s="873"/>
      <c r="JB146" s="873"/>
      <c r="JC146" s="873"/>
      <c r="JD146" s="873"/>
      <c r="JE146" s="873"/>
      <c r="JF146" s="873"/>
      <c r="JG146" s="873"/>
      <c r="JH146" s="873"/>
      <c r="JI146" s="873"/>
      <c r="JJ146" s="873"/>
      <c r="JK146" s="873"/>
      <c r="JL146" s="873"/>
      <c r="JM146" s="873"/>
      <c r="JN146" s="873"/>
      <c r="JO146" s="873"/>
      <c r="JP146" s="873"/>
      <c r="JQ146" s="873"/>
      <c r="JR146" s="873"/>
      <c r="JS146" s="873"/>
      <c r="JT146" s="873"/>
      <c r="JU146" s="873"/>
    </row>
    <row r="147" spans="1:281">
      <c r="A147" s="672"/>
      <c r="B147" s="408"/>
      <c r="C147" s="873"/>
      <c r="D147" s="888"/>
      <c r="E147" s="671"/>
      <c r="F147" s="873"/>
      <c r="G147" s="873"/>
      <c r="H147" s="873"/>
      <c r="I147" s="873"/>
      <c r="J147" s="873"/>
      <c r="K147" s="873"/>
      <c r="L147" s="873"/>
      <c r="M147" s="873"/>
      <c r="N147" s="873"/>
      <c r="O147" s="873"/>
      <c r="P147" s="873"/>
      <c r="Q147" s="873"/>
      <c r="R147" s="873"/>
      <c r="S147" s="873"/>
      <c r="T147" s="873"/>
      <c r="U147" s="873"/>
      <c r="V147" s="873"/>
      <c r="W147" s="873"/>
      <c r="X147" s="873"/>
      <c r="Y147" s="873"/>
      <c r="Z147" s="873"/>
      <c r="AA147" s="394"/>
      <c r="AB147" s="873"/>
      <c r="AC147" s="394"/>
      <c r="AD147" s="873"/>
      <c r="AE147" s="873"/>
      <c r="AF147" s="873"/>
      <c r="AG147" s="873"/>
      <c r="AH147" s="873"/>
      <c r="AI147" s="873"/>
      <c r="AJ147" s="403"/>
      <c r="AK147" s="403"/>
      <c r="AL147" s="873"/>
      <c r="AM147" s="873"/>
      <c r="AN147" s="403"/>
      <c r="AO147" s="403"/>
      <c r="AP147" s="394"/>
      <c r="AQ147" s="394"/>
      <c r="AR147" s="394"/>
      <c r="AS147" s="394"/>
      <c r="AT147" s="394"/>
      <c r="AU147" s="873"/>
      <c r="AV147" s="873"/>
      <c r="AW147" s="873"/>
      <c r="AX147" s="873"/>
      <c r="AY147" s="873"/>
      <c r="AZ147" s="873"/>
      <c r="BA147" s="394"/>
      <c r="BB147" s="873"/>
      <c r="BC147" s="873"/>
      <c r="BD147" s="873"/>
      <c r="BE147" s="873"/>
      <c r="BF147" s="873"/>
      <c r="BG147" s="873"/>
      <c r="BH147" s="873"/>
      <c r="BI147" s="873"/>
      <c r="BJ147" s="873"/>
      <c r="BK147" s="873"/>
      <c r="BL147" s="873"/>
      <c r="BM147" s="873"/>
      <c r="BN147" s="873"/>
      <c r="BO147" s="873"/>
      <c r="BP147" s="873"/>
      <c r="BQ147" s="873"/>
      <c r="BR147" s="873"/>
      <c r="BS147" s="873"/>
      <c r="BT147" s="873"/>
      <c r="BU147" s="873"/>
      <c r="BV147" s="873"/>
      <c r="BW147" s="873"/>
      <c r="BX147" s="873"/>
      <c r="BY147" s="873"/>
      <c r="BZ147" s="873"/>
      <c r="CA147" s="873"/>
      <c r="CB147" s="873"/>
      <c r="CC147" s="873"/>
      <c r="CD147" s="873"/>
      <c r="CE147" s="873"/>
      <c r="CF147" s="873"/>
      <c r="CG147" s="873"/>
      <c r="CH147" s="873"/>
      <c r="CI147" s="873"/>
      <c r="CJ147" s="873"/>
      <c r="CK147" s="873"/>
      <c r="CL147" s="873"/>
      <c r="CM147" s="873"/>
      <c r="CN147" s="873"/>
      <c r="CO147" s="873"/>
      <c r="CP147" s="873"/>
      <c r="CQ147" s="873"/>
      <c r="CR147" s="873"/>
      <c r="CS147" s="873"/>
      <c r="CT147" s="873"/>
      <c r="CU147" s="873"/>
      <c r="CV147" s="873"/>
      <c r="CW147" s="873"/>
      <c r="CX147" s="873"/>
      <c r="CY147" s="873"/>
      <c r="CZ147" s="873"/>
      <c r="DA147" s="873"/>
      <c r="DB147" s="873"/>
      <c r="DC147" s="873"/>
      <c r="DD147" s="873"/>
      <c r="DE147" s="873"/>
      <c r="DF147" s="873"/>
      <c r="DG147" s="873"/>
      <c r="DH147" s="873"/>
      <c r="DI147" s="873"/>
      <c r="DJ147" s="873"/>
      <c r="DK147" s="873"/>
      <c r="DL147" s="873"/>
      <c r="DM147" s="873"/>
      <c r="DN147" s="873"/>
      <c r="DO147" s="873"/>
      <c r="DP147" s="873"/>
      <c r="DQ147" s="873"/>
      <c r="DR147" s="873"/>
      <c r="DS147" s="873"/>
      <c r="DT147" s="873"/>
      <c r="DU147" s="873"/>
      <c r="DV147" s="873"/>
      <c r="DW147" s="873"/>
      <c r="DX147" s="873"/>
      <c r="DY147" s="873"/>
      <c r="DZ147" s="873"/>
      <c r="EA147" s="873"/>
      <c r="EB147" s="873"/>
      <c r="EC147" s="873"/>
      <c r="ED147" s="873"/>
      <c r="EE147" s="873"/>
      <c r="EF147" s="873"/>
      <c r="EG147" s="873"/>
      <c r="EH147" s="873"/>
      <c r="EI147" s="873"/>
      <c r="EJ147" s="873"/>
      <c r="EK147" s="873"/>
      <c r="EL147" s="873"/>
      <c r="EM147" s="873"/>
      <c r="EN147" s="873"/>
      <c r="EO147" s="873"/>
      <c r="EP147" s="873"/>
      <c r="EQ147" s="873"/>
      <c r="ER147" s="873"/>
      <c r="ES147" s="873"/>
      <c r="ET147" s="873"/>
      <c r="EU147" s="873"/>
      <c r="EV147" s="873"/>
      <c r="EW147" s="873"/>
      <c r="EX147" s="873"/>
      <c r="EY147" s="873"/>
      <c r="EZ147" s="873"/>
      <c r="FA147" s="873"/>
      <c r="FB147" s="873"/>
      <c r="FC147" s="873"/>
      <c r="FD147" s="873"/>
      <c r="FE147" s="873"/>
      <c r="FF147" s="873"/>
      <c r="FG147" s="873"/>
      <c r="FH147" s="873"/>
      <c r="FI147" s="873"/>
      <c r="FJ147" s="873"/>
      <c r="FK147" s="873"/>
      <c r="FL147" s="873"/>
      <c r="FM147" s="873"/>
      <c r="FN147" s="873"/>
      <c r="FO147" s="873"/>
      <c r="FP147" s="873"/>
      <c r="FQ147" s="873"/>
      <c r="FR147" s="873"/>
      <c r="FS147" s="873"/>
      <c r="FT147" s="873"/>
      <c r="FU147" s="873"/>
      <c r="FV147" s="873"/>
      <c r="FW147" s="873"/>
      <c r="FX147" s="873"/>
      <c r="FY147" s="873"/>
      <c r="FZ147" s="873"/>
      <c r="GA147" s="873"/>
      <c r="GB147" s="873"/>
      <c r="GC147" s="873"/>
      <c r="GD147" s="873"/>
      <c r="GE147" s="873"/>
      <c r="GF147" s="873"/>
      <c r="GG147" s="873"/>
      <c r="GH147" s="873"/>
      <c r="GI147" s="873"/>
      <c r="GJ147" s="873"/>
      <c r="GK147" s="873"/>
      <c r="GL147" s="873"/>
      <c r="GM147" s="873"/>
      <c r="GN147" s="873"/>
      <c r="GO147" s="873"/>
      <c r="GP147" s="873"/>
      <c r="GQ147" s="873"/>
      <c r="GR147" s="873"/>
      <c r="GS147" s="873"/>
      <c r="GT147" s="873"/>
      <c r="GU147" s="873"/>
      <c r="GV147" s="873"/>
      <c r="GW147" s="873"/>
      <c r="GX147" s="873"/>
      <c r="GY147" s="873"/>
      <c r="GZ147" s="873"/>
      <c r="HA147" s="873"/>
      <c r="HB147" s="873"/>
      <c r="HC147" s="873"/>
      <c r="HD147" s="873"/>
      <c r="HE147" s="873"/>
      <c r="HF147" s="873"/>
      <c r="HG147" s="873"/>
      <c r="HH147" s="873"/>
      <c r="HI147" s="873"/>
      <c r="HJ147" s="873"/>
      <c r="HK147" s="873"/>
      <c r="HL147" s="873"/>
      <c r="HM147" s="873"/>
      <c r="HN147" s="873"/>
      <c r="HO147" s="873"/>
      <c r="HP147" s="873"/>
      <c r="HQ147" s="873"/>
      <c r="HR147" s="873"/>
      <c r="HS147" s="873"/>
      <c r="HT147" s="873"/>
      <c r="HU147" s="873"/>
      <c r="HV147" s="873"/>
      <c r="HW147" s="873"/>
      <c r="HX147" s="873"/>
      <c r="HY147" s="873"/>
      <c r="HZ147" s="873"/>
      <c r="IA147" s="873"/>
      <c r="IB147" s="873"/>
      <c r="IC147" s="873"/>
      <c r="ID147" s="873"/>
      <c r="IE147" s="873"/>
      <c r="IF147" s="873"/>
      <c r="IG147" s="873"/>
      <c r="IH147" s="873"/>
      <c r="II147" s="873"/>
      <c r="IJ147" s="873"/>
      <c r="IK147" s="873"/>
      <c r="IL147" s="873"/>
      <c r="IM147" s="873"/>
      <c r="IN147" s="873"/>
      <c r="IO147" s="873"/>
      <c r="IP147" s="873"/>
      <c r="IQ147" s="873"/>
      <c r="IR147" s="873"/>
      <c r="IS147" s="873"/>
      <c r="IT147" s="873"/>
      <c r="IU147" s="873"/>
      <c r="IV147" s="873"/>
      <c r="IW147" s="873"/>
      <c r="IX147" s="873"/>
      <c r="IY147" s="873"/>
      <c r="IZ147" s="873"/>
      <c r="JA147" s="873"/>
      <c r="JB147" s="873"/>
      <c r="JC147" s="873"/>
      <c r="JD147" s="873"/>
      <c r="JE147" s="873"/>
      <c r="JF147" s="873"/>
      <c r="JG147" s="873"/>
      <c r="JH147" s="873"/>
      <c r="JI147" s="873"/>
      <c r="JJ147" s="873"/>
      <c r="JK147" s="873"/>
      <c r="JL147" s="873"/>
      <c r="JM147" s="873"/>
      <c r="JN147" s="873"/>
      <c r="JO147" s="873"/>
      <c r="JP147" s="873"/>
      <c r="JQ147" s="873"/>
      <c r="JR147" s="873"/>
      <c r="JS147" s="873"/>
      <c r="JT147" s="873"/>
      <c r="JU147" s="873"/>
    </row>
    <row r="148" spans="1:281">
      <c r="A148" s="672"/>
      <c r="B148" s="408"/>
      <c r="C148" s="873"/>
      <c r="D148" s="888"/>
      <c r="E148" s="671"/>
      <c r="F148" s="873"/>
      <c r="G148" s="873"/>
      <c r="H148" s="873"/>
      <c r="I148" s="873"/>
      <c r="J148" s="873"/>
      <c r="K148" s="873"/>
      <c r="L148" s="873"/>
      <c r="M148" s="873"/>
      <c r="N148" s="873"/>
      <c r="O148" s="873"/>
      <c r="P148" s="873"/>
      <c r="Q148" s="873"/>
      <c r="R148" s="873"/>
      <c r="S148" s="873"/>
      <c r="T148" s="873"/>
      <c r="U148" s="873"/>
      <c r="V148" s="873"/>
      <c r="W148" s="873"/>
      <c r="X148" s="873"/>
      <c r="Y148" s="873"/>
      <c r="Z148" s="873"/>
      <c r="AA148" s="394"/>
      <c r="AB148" s="873"/>
      <c r="AC148" s="394"/>
      <c r="AD148" s="873"/>
      <c r="AE148" s="873"/>
      <c r="AF148" s="873"/>
      <c r="AG148" s="873"/>
      <c r="AH148" s="873"/>
      <c r="AI148" s="873"/>
      <c r="AJ148" s="403"/>
      <c r="AK148" s="403"/>
      <c r="AL148" s="873"/>
      <c r="AM148" s="873"/>
      <c r="AN148" s="403"/>
      <c r="AO148" s="403"/>
      <c r="AP148" s="394"/>
      <c r="AQ148" s="394"/>
      <c r="AR148" s="394"/>
      <c r="AS148" s="394"/>
      <c r="AT148" s="394"/>
      <c r="AU148" s="873"/>
      <c r="AV148" s="873"/>
      <c r="AW148" s="873"/>
      <c r="AX148" s="873"/>
      <c r="AY148" s="873"/>
      <c r="AZ148" s="873"/>
      <c r="BA148" s="394"/>
      <c r="BB148" s="873"/>
      <c r="BC148" s="873"/>
      <c r="BD148" s="873"/>
      <c r="BE148" s="873"/>
      <c r="BF148" s="873"/>
      <c r="BG148" s="873"/>
      <c r="BH148" s="873"/>
      <c r="BI148" s="873"/>
      <c r="BJ148" s="873"/>
      <c r="BK148" s="873"/>
      <c r="BL148" s="873"/>
      <c r="BM148" s="873"/>
      <c r="BN148" s="873"/>
      <c r="BO148" s="873"/>
      <c r="BP148" s="873"/>
      <c r="BQ148" s="873"/>
      <c r="BR148" s="873"/>
      <c r="BS148" s="873"/>
      <c r="BT148" s="873"/>
      <c r="BU148" s="873"/>
      <c r="BV148" s="873"/>
      <c r="BW148" s="873"/>
      <c r="BX148" s="873"/>
      <c r="BY148" s="873"/>
      <c r="BZ148" s="873"/>
      <c r="CA148" s="873"/>
      <c r="CB148" s="873"/>
      <c r="CC148" s="873"/>
      <c r="CD148" s="873"/>
      <c r="CE148" s="873"/>
      <c r="CF148" s="873"/>
      <c r="CG148" s="873"/>
      <c r="CH148" s="873"/>
      <c r="CI148" s="873"/>
      <c r="CJ148" s="873"/>
      <c r="CK148" s="873"/>
      <c r="CL148" s="873"/>
      <c r="CM148" s="873"/>
      <c r="CN148" s="873"/>
      <c r="CO148" s="873"/>
      <c r="CP148" s="873"/>
      <c r="CQ148" s="873"/>
      <c r="CR148" s="873"/>
      <c r="CS148" s="873"/>
      <c r="CT148" s="873"/>
      <c r="CU148" s="873"/>
      <c r="CV148" s="873"/>
      <c r="CW148" s="873"/>
      <c r="CX148" s="873"/>
      <c r="CY148" s="873"/>
      <c r="CZ148" s="873"/>
      <c r="DA148" s="873"/>
      <c r="DB148" s="873"/>
      <c r="DC148" s="873"/>
      <c r="DD148" s="873"/>
      <c r="DE148" s="873"/>
      <c r="DF148" s="873"/>
      <c r="DG148" s="873"/>
      <c r="DH148" s="873"/>
      <c r="DI148" s="873"/>
      <c r="DJ148" s="873"/>
      <c r="DK148" s="873"/>
      <c r="DL148" s="873"/>
      <c r="DM148" s="873"/>
      <c r="DN148" s="873"/>
      <c r="DO148" s="873"/>
      <c r="DP148" s="873"/>
      <c r="DQ148" s="873"/>
      <c r="DR148" s="873"/>
      <c r="DS148" s="873"/>
      <c r="DT148" s="873"/>
      <c r="DU148" s="873"/>
      <c r="DV148" s="873"/>
      <c r="DW148" s="873"/>
      <c r="DX148" s="873"/>
      <c r="DY148" s="873"/>
      <c r="DZ148" s="873"/>
      <c r="EA148" s="873"/>
      <c r="EB148" s="873"/>
      <c r="EC148" s="873"/>
      <c r="ED148" s="873"/>
      <c r="EE148" s="873"/>
      <c r="EF148" s="873"/>
      <c r="EG148" s="873"/>
      <c r="EH148" s="873"/>
      <c r="EI148" s="873"/>
      <c r="EJ148" s="873"/>
      <c r="EK148" s="873"/>
      <c r="EL148" s="873"/>
      <c r="EM148" s="873"/>
      <c r="EN148" s="873"/>
      <c r="EO148" s="873"/>
      <c r="EP148" s="873"/>
      <c r="EQ148" s="873"/>
      <c r="ER148" s="873"/>
      <c r="ES148" s="873"/>
      <c r="ET148" s="873"/>
      <c r="EU148" s="873"/>
      <c r="EV148" s="873"/>
      <c r="EW148" s="873"/>
      <c r="EX148" s="873"/>
      <c r="EY148" s="873"/>
      <c r="EZ148" s="873"/>
      <c r="FA148" s="873"/>
      <c r="FB148" s="873"/>
      <c r="FC148" s="873"/>
      <c r="FD148" s="873"/>
      <c r="FE148" s="873"/>
      <c r="FF148" s="873"/>
      <c r="FG148" s="873"/>
      <c r="FH148" s="873"/>
      <c r="FI148" s="873"/>
      <c r="FJ148" s="873"/>
      <c r="FK148" s="873"/>
      <c r="FL148" s="873"/>
      <c r="FM148" s="873"/>
      <c r="FN148" s="873"/>
      <c r="FO148" s="873"/>
      <c r="FP148" s="873"/>
      <c r="FQ148" s="873"/>
      <c r="FR148" s="873"/>
      <c r="FS148" s="873"/>
      <c r="FT148" s="873"/>
      <c r="FU148" s="873"/>
      <c r="FV148" s="873"/>
      <c r="FW148" s="873"/>
      <c r="FX148" s="873"/>
      <c r="FY148" s="873"/>
      <c r="FZ148" s="873"/>
      <c r="GA148" s="873"/>
      <c r="GB148" s="873"/>
      <c r="GC148" s="873"/>
      <c r="GD148" s="873"/>
      <c r="GE148" s="873"/>
      <c r="GF148" s="873"/>
      <c r="GG148" s="873"/>
      <c r="GH148" s="873"/>
      <c r="GI148" s="873"/>
      <c r="GJ148" s="873"/>
      <c r="GK148" s="873"/>
      <c r="GL148" s="873"/>
      <c r="GM148" s="873"/>
      <c r="GN148" s="873"/>
      <c r="GO148" s="873"/>
      <c r="GP148" s="873"/>
      <c r="GQ148" s="873"/>
      <c r="GR148" s="873"/>
      <c r="GS148" s="873"/>
      <c r="GT148" s="873"/>
      <c r="GU148" s="873"/>
      <c r="GV148" s="873"/>
      <c r="GW148" s="873"/>
      <c r="GX148" s="873"/>
      <c r="GY148" s="873"/>
      <c r="GZ148" s="873"/>
      <c r="HA148" s="873"/>
      <c r="HB148" s="873"/>
      <c r="HC148" s="873"/>
      <c r="HD148" s="873"/>
      <c r="HE148" s="873"/>
      <c r="HF148" s="873"/>
      <c r="HG148" s="873"/>
      <c r="HH148" s="873"/>
      <c r="HI148" s="873"/>
      <c r="HJ148" s="873"/>
      <c r="HK148" s="873"/>
      <c r="HL148" s="873"/>
      <c r="HM148" s="873"/>
      <c r="HN148" s="873"/>
      <c r="HO148" s="873"/>
      <c r="HP148" s="873"/>
      <c r="HQ148" s="873"/>
      <c r="HR148" s="873"/>
      <c r="HS148" s="873"/>
      <c r="HT148" s="873"/>
      <c r="HU148" s="873"/>
      <c r="HV148" s="873"/>
      <c r="HW148" s="873"/>
      <c r="HX148" s="873"/>
      <c r="HY148" s="873"/>
      <c r="HZ148" s="873"/>
      <c r="IA148" s="873"/>
      <c r="IB148" s="873"/>
      <c r="IC148" s="873"/>
      <c r="ID148" s="873"/>
      <c r="IE148" s="873"/>
      <c r="IF148" s="873"/>
      <c r="IG148" s="873"/>
      <c r="IH148" s="873"/>
      <c r="II148" s="873"/>
      <c r="IJ148" s="873"/>
      <c r="IK148" s="873"/>
      <c r="IL148" s="873"/>
      <c r="IM148" s="873"/>
      <c r="IN148" s="873"/>
      <c r="IO148" s="873"/>
      <c r="IP148" s="873"/>
      <c r="IQ148" s="873"/>
      <c r="IR148" s="873"/>
      <c r="IS148" s="873"/>
      <c r="IT148" s="873"/>
      <c r="IU148" s="873"/>
      <c r="IV148" s="873"/>
      <c r="IW148" s="873"/>
      <c r="IX148" s="873"/>
      <c r="IY148" s="873"/>
      <c r="IZ148" s="873"/>
      <c r="JA148" s="873"/>
      <c r="JB148" s="873"/>
      <c r="JC148" s="873"/>
      <c r="JD148" s="873"/>
      <c r="JE148" s="873"/>
      <c r="JF148" s="873"/>
      <c r="JG148" s="873"/>
      <c r="JH148" s="873"/>
      <c r="JI148" s="873"/>
      <c r="JJ148" s="873"/>
      <c r="JK148" s="873"/>
      <c r="JL148" s="873"/>
      <c r="JM148" s="873"/>
      <c r="JN148" s="873"/>
      <c r="JO148" s="873"/>
      <c r="JP148" s="873"/>
      <c r="JQ148" s="873"/>
      <c r="JR148" s="873"/>
      <c r="JS148" s="873"/>
      <c r="JT148" s="873"/>
      <c r="JU148" s="873"/>
    </row>
    <row r="149" spans="1:281">
      <c r="A149" s="672"/>
      <c r="B149" s="408"/>
      <c r="C149" s="873"/>
      <c r="D149" s="888"/>
      <c r="E149" s="671"/>
      <c r="F149" s="873"/>
      <c r="G149" s="873"/>
      <c r="H149" s="873"/>
      <c r="I149" s="873"/>
      <c r="J149" s="873"/>
      <c r="K149" s="873"/>
      <c r="L149" s="873"/>
      <c r="M149" s="873"/>
      <c r="N149" s="873"/>
      <c r="O149" s="873"/>
      <c r="P149" s="873"/>
      <c r="Q149" s="873"/>
      <c r="R149" s="873"/>
      <c r="S149" s="873"/>
      <c r="T149" s="873"/>
      <c r="U149" s="873"/>
      <c r="V149" s="873"/>
      <c r="W149" s="873"/>
      <c r="X149" s="873"/>
      <c r="Y149" s="873"/>
      <c r="Z149" s="873"/>
      <c r="AA149" s="394"/>
      <c r="AB149" s="873"/>
      <c r="AC149" s="394"/>
      <c r="AD149" s="873"/>
      <c r="AE149" s="873"/>
      <c r="AF149" s="873"/>
      <c r="AG149" s="873"/>
      <c r="AH149" s="873"/>
      <c r="AI149" s="873"/>
      <c r="AJ149" s="403"/>
      <c r="AK149" s="403"/>
      <c r="AL149" s="873"/>
      <c r="AM149" s="873"/>
      <c r="AN149" s="403"/>
      <c r="AO149" s="403"/>
      <c r="AP149" s="394"/>
      <c r="AQ149" s="394"/>
      <c r="AR149" s="394"/>
      <c r="AS149" s="394"/>
      <c r="AT149" s="394"/>
      <c r="AU149" s="873"/>
      <c r="AV149" s="873"/>
      <c r="AW149" s="873"/>
      <c r="AX149" s="873"/>
      <c r="AY149" s="873"/>
      <c r="AZ149" s="873"/>
      <c r="BA149" s="394"/>
      <c r="BB149" s="873"/>
      <c r="BC149" s="873"/>
      <c r="BD149" s="873"/>
      <c r="BE149" s="873"/>
      <c r="BF149" s="873"/>
      <c r="BG149" s="873"/>
      <c r="BH149" s="873"/>
      <c r="BI149" s="873"/>
      <c r="BJ149" s="873"/>
      <c r="BK149" s="873"/>
      <c r="BL149" s="873"/>
      <c r="BM149" s="873"/>
      <c r="BN149" s="873"/>
      <c r="BO149" s="873"/>
      <c r="BP149" s="873"/>
      <c r="BQ149" s="873"/>
      <c r="BR149" s="873"/>
      <c r="BS149" s="873"/>
      <c r="BT149" s="873"/>
      <c r="BU149" s="873"/>
      <c r="BV149" s="873"/>
      <c r="BW149" s="873"/>
      <c r="BX149" s="873"/>
      <c r="BY149" s="873"/>
      <c r="BZ149" s="873"/>
      <c r="CA149" s="873"/>
      <c r="CB149" s="873"/>
      <c r="CC149" s="873"/>
      <c r="CD149" s="873"/>
      <c r="CE149" s="873"/>
      <c r="CF149" s="873"/>
      <c r="CG149" s="873"/>
      <c r="CH149" s="873"/>
      <c r="CI149" s="873"/>
      <c r="CJ149" s="873"/>
      <c r="CK149" s="873"/>
      <c r="CL149" s="873"/>
      <c r="CM149" s="873"/>
      <c r="CN149" s="873"/>
      <c r="CO149" s="873"/>
      <c r="CP149" s="873"/>
      <c r="CQ149" s="873"/>
      <c r="CR149" s="873"/>
      <c r="CS149" s="873"/>
      <c r="CT149" s="873"/>
      <c r="CU149" s="873"/>
      <c r="CV149" s="873"/>
      <c r="CW149" s="873"/>
      <c r="CX149" s="873"/>
      <c r="CY149" s="873"/>
      <c r="CZ149" s="873"/>
      <c r="DA149" s="873"/>
      <c r="DB149" s="873"/>
      <c r="DC149" s="873"/>
      <c r="DD149" s="873"/>
      <c r="DE149" s="873"/>
      <c r="DF149" s="873"/>
      <c r="DG149" s="873"/>
      <c r="DH149" s="873"/>
      <c r="DI149" s="873"/>
      <c r="DJ149" s="873"/>
      <c r="DK149" s="873"/>
      <c r="DL149" s="873"/>
      <c r="DM149" s="873"/>
      <c r="DN149" s="873"/>
      <c r="DO149" s="873"/>
      <c r="DP149" s="873"/>
      <c r="DQ149" s="873"/>
      <c r="DR149" s="873"/>
      <c r="DS149" s="873"/>
      <c r="DT149" s="873"/>
      <c r="DU149" s="873"/>
      <c r="DV149" s="873"/>
      <c r="DW149" s="873"/>
      <c r="DX149" s="873"/>
      <c r="DY149" s="873"/>
      <c r="DZ149" s="873"/>
      <c r="EA149" s="873"/>
      <c r="EB149" s="873"/>
      <c r="EC149" s="873"/>
      <c r="ED149" s="873"/>
      <c r="EE149" s="873"/>
      <c r="EF149" s="873"/>
      <c r="EG149" s="873"/>
      <c r="EH149" s="873"/>
      <c r="EI149" s="873"/>
      <c r="EJ149" s="873"/>
      <c r="EK149" s="873"/>
      <c r="EL149" s="873"/>
      <c r="EM149" s="873"/>
      <c r="EN149" s="873"/>
      <c r="EO149" s="873"/>
      <c r="EP149" s="873"/>
      <c r="EQ149" s="873"/>
      <c r="ER149" s="873"/>
      <c r="ES149" s="873"/>
      <c r="ET149" s="873"/>
      <c r="EU149" s="873"/>
      <c r="EV149" s="873"/>
      <c r="EW149" s="873"/>
      <c r="EX149" s="873"/>
      <c r="EY149" s="873"/>
      <c r="EZ149" s="873"/>
      <c r="FA149" s="873"/>
      <c r="FB149" s="873"/>
      <c r="FC149" s="873"/>
      <c r="FD149" s="873"/>
      <c r="FE149" s="873"/>
      <c r="FF149" s="873"/>
      <c r="FG149" s="873"/>
      <c r="FH149" s="873"/>
      <c r="FI149" s="873"/>
      <c r="FJ149" s="873"/>
      <c r="FK149" s="873"/>
      <c r="FL149" s="873"/>
      <c r="FM149" s="873"/>
      <c r="FN149" s="873"/>
      <c r="FO149" s="873"/>
      <c r="FP149" s="873"/>
      <c r="FQ149" s="873"/>
      <c r="FR149" s="873"/>
      <c r="FS149" s="873"/>
      <c r="FT149" s="873"/>
      <c r="FU149" s="873"/>
      <c r="FV149" s="873"/>
      <c r="FW149" s="873"/>
      <c r="FX149" s="873"/>
      <c r="FY149" s="873"/>
      <c r="FZ149" s="873"/>
      <c r="GA149" s="873"/>
      <c r="GB149" s="873"/>
      <c r="GC149" s="873"/>
      <c r="GD149" s="873"/>
      <c r="GE149" s="873"/>
      <c r="GF149" s="873"/>
      <c r="GG149" s="873"/>
      <c r="GH149" s="873"/>
      <c r="GI149" s="873"/>
      <c r="GJ149" s="873"/>
      <c r="GK149" s="873"/>
      <c r="GL149" s="873"/>
      <c r="GM149" s="873"/>
      <c r="GN149" s="873"/>
      <c r="GO149" s="873"/>
      <c r="GP149" s="873"/>
      <c r="GQ149" s="873"/>
      <c r="GR149" s="873"/>
      <c r="GS149" s="873"/>
      <c r="GT149" s="873"/>
      <c r="GU149" s="873"/>
      <c r="GV149" s="873"/>
      <c r="GW149" s="873"/>
      <c r="GX149" s="873"/>
      <c r="GY149" s="873"/>
      <c r="GZ149" s="873"/>
      <c r="HA149" s="873"/>
      <c r="HB149" s="873"/>
      <c r="HC149" s="873"/>
      <c r="HD149" s="873"/>
      <c r="HE149" s="873"/>
      <c r="HF149" s="873"/>
      <c r="HG149" s="873"/>
      <c r="HH149" s="873"/>
      <c r="HI149" s="873"/>
      <c r="HJ149" s="873"/>
      <c r="HK149" s="873"/>
      <c r="HL149" s="873"/>
      <c r="HM149" s="873"/>
      <c r="HN149" s="873"/>
      <c r="HO149" s="873"/>
      <c r="HP149" s="873"/>
      <c r="HQ149" s="873"/>
      <c r="HR149" s="873"/>
      <c r="HS149" s="873"/>
      <c r="HT149" s="873"/>
      <c r="HU149" s="873"/>
      <c r="HV149" s="873"/>
      <c r="HW149" s="873"/>
      <c r="HX149" s="873"/>
      <c r="HY149" s="873"/>
      <c r="HZ149" s="873"/>
      <c r="IA149" s="873"/>
      <c r="IB149" s="873"/>
      <c r="IC149" s="873"/>
      <c r="ID149" s="873"/>
      <c r="IE149" s="873"/>
      <c r="IF149" s="873"/>
      <c r="IG149" s="873"/>
      <c r="IH149" s="873"/>
      <c r="II149" s="873"/>
      <c r="IJ149" s="873"/>
      <c r="IK149" s="873"/>
      <c r="IL149" s="873"/>
      <c r="IM149" s="873"/>
      <c r="IN149" s="873"/>
      <c r="IO149" s="873"/>
      <c r="IP149" s="873"/>
      <c r="IQ149" s="873"/>
      <c r="IR149" s="873"/>
      <c r="IS149" s="873"/>
      <c r="IT149" s="873"/>
      <c r="IU149" s="873"/>
      <c r="IV149" s="873"/>
      <c r="IW149" s="873"/>
      <c r="IX149" s="873"/>
      <c r="IY149" s="873"/>
      <c r="IZ149" s="873"/>
      <c r="JA149" s="873"/>
      <c r="JB149" s="873"/>
      <c r="JC149" s="873"/>
      <c r="JD149" s="873"/>
      <c r="JE149" s="873"/>
      <c r="JF149" s="873"/>
      <c r="JG149" s="873"/>
      <c r="JH149" s="873"/>
      <c r="JI149" s="873"/>
      <c r="JJ149" s="873"/>
      <c r="JK149" s="873"/>
      <c r="JL149" s="873"/>
      <c r="JM149" s="873"/>
      <c r="JN149" s="873"/>
      <c r="JO149" s="873"/>
      <c r="JP149" s="873"/>
      <c r="JQ149" s="873"/>
      <c r="JR149" s="873"/>
      <c r="JS149" s="873"/>
      <c r="JT149" s="873"/>
      <c r="JU149" s="873"/>
    </row>
    <row r="150" spans="1:281">
      <c r="A150" s="672"/>
      <c r="B150" s="408"/>
      <c r="C150" s="873"/>
      <c r="D150" s="888"/>
      <c r="E150" s="671"/>
      <c r="F150" s="873"/>
      <c r="G150" s="873"/>
      <c r="H150" s="873"/>
      <c r="I150" s="873"/>
      <c r="J150" s="873"/>
      <c r="K150" s="873"/>
      <c r="L150" s="873"/>
      <c r="M150" s="873"/>
      <c r="N150" s="873"/>
      <c r="O150" s="873"/>
      <c r="P150" s="873"/>
      <c r="Q150" s="873"/>
      <c r="R150" s="873"/>
      <c r="S150" s="873"/>
      <c r="T150" s="873"/>
      <c r="U150" s="873"/>
      <c r="V150" s="873"/>
      <c r="W150" s="873"/>
      <c r="X150" s="873"/>
      <c r="Y150" s="873"/>
      <c r="Z150" s="873"/>
      <c r="AA150" s="394"/>
      <c r="AB150" s="873"/>
      <c r="AC150" s="394"/>
      <c r="AD150" s="873"/>
      <c r="AE150" s="873"/>
      <c r="AF150" s="873"/>
      <c r="AG150" s="873"/>
      <c r="AH150" s="873"/>
      <c r="AI150" s="873"/>
      <c r="AJ150" s="403"/>
      <c r="AK150" s="403"/>
      <c r="AL150" s="873"/>
      <c r="AM150" s="873"/>
      <c r="AN150" s="403"/>
      <c r="AO150" s="403"/>
      <c r="AP150" s="394"/>
      <c r="AQ150" s="394"/>
      <c r="AR150" s="394"/>
      <c r="AS150" s="394"/>
      <c r="AT150" s="394"/>
      <c r="AU150" s="873"/>
      <c r="AV150" s="873"/>
      <c r="AW150" s="873"/>
      <c r="AX150" s="873"/>
      <c r="AY150" s="873"/>
      <c r="AZ150" s="873"/>
      <c r="BA150" s="394"/>
      <c r="BB150" s="873"/>
      <c r="BC150" s="873"/>
      <c r="BD150" s="873"/>
      <c r="BE150" s="873"/>
      <c r="BF150" s="873"/>
      <c r="BG150" s="873"/>
      <c r="BH150" s="873"/>
      <c r="BI150" s="873"/>
      <c r="BJ150" s="873"/>
      <c r="BK150" s="873"/>
      <c r="BL150" s="873"/>
      <c r="BM150" s="873"/>
      <c r="BN150" s="873"/>
      <c r="BO150" s="873"/>
      <c r="BP150" s="873"/>
      <c r="BQ150" s="873"/>
      <c r="BR150" s="873"/>
      <c r="BS150" s="873"/>
      <c r="BT150" s="873"/>
      <c r="BU150" s="873"/>
      <c r="BV150" s="873"/>
      <c r="BW150" s="873"/>
      <c r="BX150" s="873"/>
      <c r="BY150" s="873"/>
      <c r="BZ150" s="873"/>
      <c r="CA150" s="873"/>
      <c r="CB150" s="873"/>
      <c r="CC150" s="873"/>
      <c r="CD150" s="873"/>
      <c r="CE150" s="873"/>
      <c r="CF150" s="873"/>
      <c r="CG150" s="873"/>
      <c r="CH150" s="873"/>
      <c r="CI150" s="873"/>
      <c r="CJ150" s="873"/>
      <c r="CK150" s="873"/>
      <c r="CL150" s="873"/>
      <c r="CM150" s="873"/>
      <c r="CN150" s="873"/>
      <c r="CO150" s="873"/>
      <c r="CP150" s="873"/>
      <c r="CQ150" s="873"/>
      <c r="CR150" s="873"/>
      <c r="CS150" s="873"/>
      <c r="CT150" s="873"/>
      <c r="CU150" s="873"/>
      <c r="CV150" s="873"/>
      <c r="CW150" s="873"/>
      <c r="CX150" s="873"/>
      <c r="CY150" s="873"/>
      <c r="CZ150" s="873"/>
      <c r="DA150" s="873"/>
      <c r="DB150" s="873"/>
      <c r="DC150" s="873"/>
      <c r="DD150" s="873"/>
      <c r="DE150" s="873"/>
      <c r="DF150" s="873"/>
      <c r="DG150" s="873"/>
      <c r="DH150" s="873"/>
      <c r="DI150" s="873"/>
      <c r="DJ150" s="873"/>
      <c r="DK150" s="873"/>
      <c r="DL150" s="873"/>
      <c r="DM150" s="873"/>
      <c r="DN150" s="873"/>
      <c r="DO150" s="873"/>
      <c r="DP150" s="873"/>
      <c r="DQ150" s="873"/>
      <c r="DR150" s="873"/>
      <c r="DS150" s="873"/>
      <c r="DT150" s="873"/>
      <c r="DU150" s="873"/>
      <c r="DV150" s="873"/>
      <c r="DW150" s="873"/>
      <c r="DX150" s="873"/>
      <c r="DY150" s="873"/>
      <c r="DZ150" s="873"/>
      <c r="EA150" s="873"/>
      <c r="EB150" s="873"/>
      <c r="EC150" s="873"/>
      <c r="ED150" s="873"/>
      <c r="EE150" s="873"/>
      <c r="EF150" s="873"/>
      <c r="EG150" s="873"/>
      <c r="EH150" s="873"/>
      <c r="EI150" s="873"/>
      <c r="EJ150" s="873"/>
      <c r="EK150" s="873"/>
      <c r="EL150" s="873"/>
      <c r="EM150" s="873"/>
      <c r="EN150" s="873"/>
      <c r="EO150" s="873"/>
      <c r="EP150" s="873"/>
      <c r="EQ150" s="873"/>
      <c r="ER150" s="873"/>
      <c r="ES150" s="873"/>
      <c r="ET150" s="873"/>
      <c r="EU150" s="873"/>
      <c r="EV150" s="873"/>
      <c r="EW150" s="873"/>
      <c r="EX150" s="873"/>
      <c r="EY150" s="873"/>
      <c r="EZ150" s="873"/>
      <c r="FA150" s="873"/>
      <c r="FB150" s="873"/>
      <c r="FC150" s="873"/>
      <c r="FD150" s="873"/>
      <c r="FE150" s="873"/>
      <c r="FF150" s="873"/>
      <c r="FG150" s="873"/>
      <c r="FH150" s="873"/>
      <c r="FI150" s="873"/>
      <c r="FJ150" s="873"/>
      <c r="FK150" s="873"/>
      <c r="FL150" s="873"/>
      <c r="FM150" s="873"/>
      <c r="FN150" s="873"/>
      <c r="FO150" s="873"/>
      <c r="FP150" s="873"/>
      <c r="FQ150" s="873"/>
      <c r="FR150" s="873"/>
      <c r="FS150" s="873"/>
      <c r="FT150" s="873"/>
      <c r="FU150" s="873"/>
      <c r="FV150" s="873"/>
      <c r="FW150" s="873"/>
      <c r="FX150" s="873"/>
      <c r="FY150" s="873"/>
      <c r="FZ150" s="873"/>
      <c r="GA150" s="873"/>
      <c r="GB150" s="873"/>
      <c r="GC150" s="873"/>
      <c r="GD150" s="873"/>
      <c r="GE150" s="873"/>
      <c r="GF150" s="873"/>
      <c r="GG150" s="873"/>
      <c r="GH150" s="873"/>
      <c r="GI150" s="873"/>
      <c r="GJ150" s="873"/>
      <c r="GK150" s="873"/>
      <c r="GL150" s="873"/>
      <c r="GM150" s="873"/>
      <c r="GN150" s="873"/>
      <c r="GO150" s="873"/>
      <c r="GP150" s="873"/>
      <c r="GQ150" s="873"/>
      <c r="GR150" s="873"/>
      <c r="GS150" s="873"/>
      <c r="GT150" s="873"/>
      <c r="GU150" s="873"/>
      <c r="GV150" s="873"/>
      <c r="GW150" s="873"/>
      <c r="GX150" s="873"/>
      <c r="GY150" s="873"/>
      <c r="GZ150" s="873"/>
      <c r="HA150" s="873"/>
      <c r="HB150" s="873"/>
      <c r="HC150" s="873"/>
      <c r="HD150" s="873"/>
      <c r="HE150" s="873"/>
      <c r="HF150" s="873"/>
      <c r="HG150" s="873"/>
      <c r="HH150" s="873"/>
      <c r="HI150" s="873"/>
      <c r="HJ150" s="873"/>
      <c r="HK150" s="873"/>
      <c r="HL150" s="873"/>
      <c r="HM150" s="873"/>
      <c r="HN150" s="873"/>
      <c r="HO150" s="873"/>
      <c r="HP150" s="873"/>
      <c r="HQ150" s="873"/>
      <c r="HR150" s="873"/>
      <c r="HS150" s="873"/>
      <c r="HT150" s="873"/>
      <c r="HU150" s="873"/>
      <c r="HV150" s="873"/>
      <c r="HW150" s="873"/>
      <c r="HX150" s="873"/>
      <c r="HY150" s="873"/>
      <c r="HZ150" s="873"/>
      <c r="IA150" s="873"/>
      <c r="IB150" s="873"/>
      <c r="IC150" s="873"/>
      <c r="ID150" s="873"/>
      <c r="IE150" s="873"/>
      <c r="IF150" s="873"/>
      <c r="IG150" s="873"/>
      <c r="IH150" s="873"/>
      <c r="II150" s="873"/>
      <c r="IJ150" s="873"/>
      <c r="IK150" s="873"/>
      <c r="IL150" s="873"/>
      <c r="IM150" s="873"/>
      <c r="IN150" s="873"/>
      <c r="IO150" s="873"/>
      <c r="IP150" s="873"/>
      <c r="IQ150" s="873"/>
      <c r="IR150" s="873"/>
      <c r="IS150" s="873"/>
      <c r="IT150" s="873"/>
      <c r="IU150" s="873"/>
      <c r="IV150" s="873"/>
      <c r="IW150" s="873"/>
      <c r="IX150" s="873"/>
      <c r="IY150" s="873"/>
      <c r="IZ150" s="873"/>
      <c r="JA150" s="873"/>
      <c r="JB150" s="873"/>
      <c r="JC150" s="873"/>
      <c r="JD150" s="873"/>
      <c r="JE150" s="873"/>
      <c r="JF150" s="873"/>
      <c r="JG150" s="873"/>
      <c r="JH150" s="873"/>
      <c r="JI150" s="873"/>
      <c r="JJ150" s="873"/>
      <c r="JK150" s="873"/>
      <c r="JL150" s="873"/>
      <c r="JM150" s="873"/>
      <c r="JN150" s="873"/>
      <c r="JO150" s="873"/>
      <c r="JP150" s="873"/>
      <c r="JQ150" s="873"/>
      <c r="JR150" s="873"/>
      <c r="JS150" s="873"/>
      <c r="JT150" s="873"/>
      <c r="JU150" s="873"/>
    </row>
    <row r="151" spans="1:281">
      <c r="A151" s="672"/>
      <c r="B151" s="408"/>
      <c r="C151" s="873"/>
      <c r="D151" s="888"/>
      <c r="E151" s="671"/>
      <c r="F151" s="873"/>
      <c r="G151" s="873"/>
      <c r="H151" s="873"/>
      <c r="I151" s="873"/>
      <c r="J151" s="873"/>
      <c r="K151" s="873"/>
      <c r="L151" s="873"/>
      <c r="M151" s="873"/>
      <c r="N151" s="873"/>
      <c r="O151" s="873"/>
      <c r="P151" s="873"/>
      <c r="Q151" s="873"/>
      <c r="R151" s="873"/>
      <c r="S151" s="873"/>
      <c r="T151" s="873"/>
      <c r="U151" s="873"/>
      <c r="V151" s="873"/>
      <c r="W151" s="873"/>
      <c r="X151" s="873"/>
      <c r="Y151" s="873"/>
      <c r="Z151" s="873"/>
      <c r="AA151" s="394"/>
      <c r="AB151" s="873"/>
      <c r="AC151" s="394"/>
      <c r="AD151" s="873"/>
      <c r="AE151" s="873"/>
      <c r="AF151" s="873"/>
      <c r="AG151" s="873"/>
      <c r="AH151" s="873"/>
      <c r="AI151" s="873"/>
      <c r="AJ151" s="403"/>
      <c r="AK151" s="403"/>
      <c r="AL151" s="873"/>
      <c r="AM151" s="873"/>
      <c r="AN151" s="403"/>
      <c r="AO151" s="403"/>
      <c r="AP151" s="394"/>
      <c r="AQ151" s="394"/>
      <c r="AR151" s="394"/>
      <c r="AS151" s="394"/>
      <c r="AT151" s="394"/>
      <c r="AU151" s="873"/>
      <c r="AV151" s="873"/>
      <c r="AW151" s="873"/>
      <c r="AX151" s="873"/>
      <c r="AY151" s="873"/>
      <c r="AZ151" s="873"/>
      <c r="BA151" s="394"/>
      <c r="BB151" s="873"/>
      <c r="BC151" s="873"/>
      <c r="BD151" s="873"/>
      <c r="BE151" s="873"/>
      <c r="BF151" s="873"/>
      <c r="BG151" s="873"/>
      <c r="BH151" s="873"/>
      <c r="BI151" s="873"/>
      <c r="BJ151" s="873"/>
      <c r="BK151" s="873"/>
      <c r="BL151" s="873"/>
      <c r="BM151" s="873"/>
      <c r="BN151" s="873"/>
      <c r="BO151" s="873"/>
      <c r="BP151" s="873"/>
      <c r="BQ151" s="873"/>
      <c r="BR151" s="873"/>
      <c r="BS151" s="873"/>
      <c r="BT151" s="873"/>
      <c r="BU151" s="873"/>
      <c r="BV151" s="873"/>
      <c r="BW151" s="873"/>
      <c r="BX151" s="873"/>
      <c r="BY151" s="873"/>
      <c r="BZ151" s="873"/>
      <c r="CA151" s="873"/>
      <c r="CB151" s="873"/>
      <c r="CC151" s="873"/>
      <c r="CD151" s="873"/>
      <c r="CE151" s="873"/>
      <c r="CF151" s="873"/>
      <c r="CG151" s="873"/>
      <c r="CH151" s="873"/>
      <c r="CI151" s="873"/>
      <c r="CJ151" s="873"/>
      <c r="CK151" s="873"/>
      <c r="CL151" s="873"/>
      <c r="CM151" s="873"/>
      <c r="CN151" s="873"/>
      <c r="CO151" s="873"/>
      <c r="CP151" s="873"/>
      <c r="CQ151" s="873"/>
      <c r="CR151" s="873"/>
      <c r="CS151" s="873"/>
      <c r="CT151" s="873"/>
      <c r="CU151" s="873"/>
      <c r="CV151" s="873"/>
      <c r="CW151" s="873"/>
      <c r="CX151" s="873"/>
      <c r="CY151" s="873"/>
      <c r="CZ151" s="873"/>
      <c r="DA151" s="873"/>
      <c r="DB151" s="873"/>
      <c r="DC151" s="873"/>
      <c r="DD151" s="873"/>
      <c r="DE151" s="873"/>
      <c r="DF151" s="873"/>
      <c r="DG151" s="873"/>
      <c r="DH151" s="873"/>
      <c r="DI151" s="873"/>
      <c r="DJ151" s="873"/>
      <c r="DK151" s="873"/>
      <c r="DL151" s="873"/>
      <c r="DM151" s="873"/>
      <c r="DN151" s="873"/>
      <c r="DO151" s="873"/>
      <c r="DP151" s="873"/>
      <c r="DQ151" s="873"/>
      <c r="DR151" s="873"/>
      <c r="DS151" s="873"/>
      <c r="DT151" s="873"/>
      <c r="DU151" s="873"/>
      <c r="DV151" s="873"/>
      <c r="DW151" s="873"/>
      <c r="DX151" s="873"/>
      <c r="DY151" s="873"/>
      <c r="DZ151" s="873"/>
      <c r="EA151" s="873"/>
      <c r="EB151" s="873"/>
      <c r="EC151" s="873"/>
      <c r="ED151" s="873"/>
      <c r="EE151" s="873"/>
      <c r="EF151" s="873"/>
      <c r="EG151" s="873"/>
      <c r="EH151" s="873"/>
      <c r="EI151" s="873"/>
      <c r="EJ151" s="873"/>
      <c r="EK151" s="873"/>
      <c r="EL151" s="873"/>
      <c r="EM151" s="873"/>
      <c r="EN151" s="873"/>
      <c r="EO151" s="873"/>
      <c r="EP151" s="873"/>
      <c r="EQ151" s="873"/>
      <c r="ER151" s="873"/>
      <c r="ES151" s="873"/>
      <c r="ET151" s="873"/>
      <c r="EU151" s="873"/>
      <c r="EV151" s="873"/>
      <c r="EW151" s="873"/>
      <c r="EX151" s="873"/>
      <c r="EY151" s="873"/>
      <c r="EZ151" s="873"/>
      <c r="FA151" s="873"/>
      <c r="FB151" s="873"/>
      <c r="FC151" s="873"/>
      <c r="FD151" s="873"/>
      <c r="FE151" s="873"/>
      <c r="FF151" s="873"/>
      <c r="FG151" s="873"/>
      <c r="FH151" s="873"/>
      <c r="FI151" s="873"/>
      <c r="FJ151" s="873"/>
      <c r="FK151" s="873"/>
      <c r="FL151" s="873"/>
      <c r="FM151" s="873"/>
      <c r="FN151" s="873"/>
      <c r="FO151" s="873"/>
      <c r="FP151" s="873"/>
      <c r="FQ151" s="873"/>
      <c r="FR151" s="873"/>
      <c r="FS151" s="873"/>
      <c r="FT151" s="873"/>
      <c r="FU151" s="873"/>
      <c r="FV151" s="873"/>
      <c r="FW151" s="873"/>
      <c r="FX151" s="873"/>
      <c r="FY151" s="873"/>
      <c r="FZ151" s="873"/>
      <c r="GA151" s="873"/>
      <c r="GB151" s="873"/>
      <c r="GC151" s="873"/>
      <c r="GD151" s="873"/>
      <c r="GE151" s="873"/>
      <c r="GF151" s="873"/>
      <c r="GG151" s="873"/>
      <c r="GH151" s="873"/>
      <c r="GI151" s="873"/>
      <c r="GJ151" s="873"/>
      <c r="GK151" s="873"/>
      <c r="GL151" s="873"/>
      <c r="GM151" s="873"/>
      <c r="GN151" s="873"/>
      <c r="GO151" s="873"/>
      <c r="GP151" s="873"/>
      <c r="GQ151" s="873"/>
      <c r="GR151" s="873"/>
      <c r="GS151" s="873"/>
      <c r="GT151" s="873"/>
      <c r="GU151" s="873"/>
      <c r="GV151" s="873"/>
      <c r="GW151" s="873"/>
      <c r="GX151" s="873"/>
      <c r="GY151" s="873"/>
      <c r="GZ151" s="873"/>
      <c r="HA151" s="873"/>
      <c r="HB151" s="873"/>
      <c r="HC151" s="873"/>
      <c r="HD151" s="873"/>
      <c r="HE151" s="873"/>
      <c r="HF151" s="873"/>
      <c r="HG151" s="873"/>
      <c r="HH151" s="873"/>
      <c r="HI151" s="873"/>
      <c r="HJ151" s="873"/>
      <c r="HK151" s="873"/>
      <c r="HL151" s="873"/>
      <c r="HM151" s="873"/>
      <c r="HN151" s="873"/>
      <c r="HO151" s="873"/>
      <c r="HP151" s="873"/>
      <c r="HQ151" s="873"/>
      <c r="HR151" s="873"/>
      <c r="HS151" s="873"/>
      <c r="HT151" s="873"/>
      <c r="HU151" s="873"/>
      <c r="HV151" s="873"/>
      <c r="HW151" s="873"/>
      <c r="HX151" s="873"/>
      <c r="HY151" s="873"/>
      <c r="HZ151" s="873"/>
      <c r="IA151" s="873"/>
      <c r="IB151" s="873"/>
      <c r="IC151" s="873"/>
      <c r="ID151" s="873"/>
      <c r="IE151" s="873"/>
      <c r="IF151" s="873"/>
      <c r="IG151" s="873"/>
      <c r="IH151" s="873"/>
      <c r="II151" s="873"/>
      <c r="IJ151" s="873"/>
      <c r="IK151" s="873"/>
      <c r="IL151" s="873"/>
      <c r="IM151" s="873"/>
      <c r="IN151" s="873"/>
      <c r="IO151" s="873"/>
      <c r="IP151" s="873"/>
      <c r="IQ151" s="873"/>
      <c r="IR151" s="873"/>
      <c r="IS151" s="873"/>
      <c r="IT151" s="873"/>
      <c r="IU151" s="873"/>
      <c r="IV151" s="873"/>
      <c r="IW151" s="873"/>
      <c r="IX151" s="873"/>
      <c r="IY151" s="873"/>
      <c r="IZ151" s="873"/>
      <c r="JA151" s="873"/>
      <c r="JB151" s="873"/>
      <c r="JC151" s="873"/>
      <c r="JD151" s="873"/>
      <c r="JE151" s="873"/>
      <c r="JF151" s="873"/>
      <c r="JG151" s="873"/>
      <c r="JH151" s="873"/>
      <c r="JI151" s="873"/>
      <c r="JJ151" s="873"/>
      <c r="JK151" s="873"/>
      <c r="JL151" s="873"/>
      <c r="JM151" s="873"/>
      <c r="JN151" s="873"/>
      <c r="JO151" s="873"/>
      <c r="JP151" s="873"/>
      <c r="JQ151" s="873"/>
      <c r="JR151" s="873"/>
      <c r="JS151" s="873"/>
      <c r="JT151" s="873"/>
      <c r="JU151" s="873"/>
    </row>
    <row r="152" spans="1:281">
      <c r="A152" s="672"/>
      <c r="B152" s="408"/>
      <c r="C152" s="873"/>
      <c r="D152" s="888"/>
      <c r="E152" s="671"/>
      <c r="F152" s="873"/>
      <c r="G152" s="873"/>
      <c r="H152" s="873"/>
      <c r="I152" s="873"/>
      <c r="J152" s="873"/>
      <c r="K152" s="873"/>
      <c r="L152" s="873"/>
      <c r="M152" s="873"/>
      <c r="N152" s="873"/>
      <c r="O152" s="873"/>
      <c r="P152" s="873"/>
      <c r="Q152" s="873"/>
      <c r="R152" s="873"/>
      <c r="S152" s="873"/>
      <c r="T152" s="873"/>
      <c r="U152" s="873"/>
      <c r="V152" s="873"/>
      <c r="W152" s="873"/>
      <c r="X152" s="873"/>
      <c r="Y152" s="873"/>
      <c r="Z152" s="873"/>
      <c r="AA152" s="394"/>
      <c r="AB152" s="873"/>
      <c r="AC152" s="394"/>
      <c r="AD152" s="873"/>
      <c r="AE152" s="873"/>
      <c r="AF152" s="873"/>
      <c r="AG152" s="873"/>
      <c r="AH152" s="873"/>
      <c r="AI152" s="873"/>
      <c r="AJ152" s="403"/>
      <c r="AK152" s="403"/>
      <c r="AL152" s="873"/>
      <c r="AM152" s="873"/>
      <c r="AN152" s="403"/>
      <c r="AO152" s="403"/>
      <c r="AP152" s="394"/>
      <c r="AQ152" s="394"/>
      <c r="AR152" s="394"/>
      <c r="AS152" s="394"/>
      <c r="AT152" s="394"/>
      <c r="AU152" s="873"/>
      <c r="AV152" s="873"/>
      <c r="AW152" s="873"/>
      <c r="AX152" s="873"/>
      <c r="AY152" s="873"/>
      <c r="AZ152" s="873"/>
      <c r="BA152" s="394"/>
      <c r="BB152" s="873"/>
      <c r="BC152" s="873"/>
      <c r="BD152" s="873"/>
      <c r="BE152" s="873"/>
      <c r="BF152" s="873"/>
      <c r="BG152" s="873"/>
      <c r="BH152" s="873"/>
      <c r="BI152" s="873"/>
      <c r="BJ152" s="873"/>
      <c r="BK152" s="873"/>
      <c r="BL152" s="873"/>
      <c r="BM152" s="873"/>
      <c r="BN152" s="873"/>
      <c r="BO152" s="873"/>
      <c r="BP152" s="873"/>
      <c r="BQ152" s="873"/>
      <c r="BR152" s="873"/>
      <c r="BS152" s="873"/>
      <c r="BT152" s="873"/>
      <c r="BU152" s="873"/>
      <c r="BV152" s="873"/>
      <c r="BW152" s="873"/>
      <c r="BX152" s="873"/>
      <c r="BY152" s="873"/>
      <c r="BZ152" s="873"/>
      <c r="CA152" s="873"/>
      <c r="CB152" s="873"/>
      <c r="CC152" s="873"/>
      <c r="CD152" s="873"/>
      <c r="CE152" s="873"/>
      <c r="CF152" s="873"/>
      <c r="CG152" s="873"/>
      <c r="CH152" s="873"/>
      <c r="CI152" s="873"/>
      <c r="CJ152" s="873"/>
      <c r="CK152" s="873"/>
      <c r="CL152" s="873"/>
      <c r="CM152" s="873"/>
      <c r="CN152" s="873"/>
      <c r="CO152" s="873"/>
      <c r="CP152" s="873"/>
      <c r="CQ152" s="873"/>
      <c r="CR152" s="873"/>
      <c r="CS152" s="873"/>
      <c r="CT152" s="873"/>
      <c r="CU152" s="873"/>
      <c r="CV152" s="873"/>
      <c r="CW152" s="873"/>
      <c r="CX152" s="873"/>
      <c r="CY152" s="873"/>
      <c r="CZ152" s="873"/>
      <c r="DA152" s="873"/>
      <c r="DB152" s="873"/>
      <c r="DC152" s="873"/>
      <c r="DD152" s="873"/>
      <c r="DE152" s="873"/>
      <c r="DF152" s="873"/>
      <c r="DG152" s="873"/>
      <c r="DH152" s="873"/>
      <c r="DI152" s="873"/>
      <c r="DJ152" s="873"/>
      <c r="DK152" s="873"/>
      <c r="DL152" s="873"/>
      <c r="DM152" s="873"/>
      <c r="DN152" s="873"/>
      <c r="DO152" s="873"/>
      <c r="DP152" s="873"/>
      <c r="DQ152" s="873"/>
      <c r="DR152" s="873"/>
      <c r="DS152" s="873"/>
      <c r="DT152" s="873"/>
      <c r="DU152" s="873"/>
      <c r="DV152" s="873"/>
      <c r="DW152" s="873"/>
      <c r="DX152" s="873"/>
      <c r="DY152" s="873"/>
      <c r="DZ152" s="873"/>
      <c r="EA152" s="873"/>
      <c r="EB152" s="873"/>
      <c r="EC152" s="873"/>
      <c r="ED152" s="873"/>
      <c r="EE152" s="873"/>
      <c r="EF152" s="873"/>
      <c r="EG152" s="873"/>
      <c r="EH152" s="873"/>
      <c r="EI152" s="873"/>
      <c r="EJ152" s="873"/>
      <c r="EK152" s="873"/>
      <c r="EL152" s="873"/>
      <c r="EM152" s="873"/>
      <c r="EN152" s="873"/>
      <c r="EO152" s="873"/>
      <c r="EP152" s="873"/>
      <c r="EQ152" s="873"/>
      <c r="ER152" s="873"/>
      <c r="ES152" s="873"/>
      <c r="ET152" s="873"/>
      <c r="EU152" s="873"/>
      <c r="EV152" s="873"/>
      <c r="EW152" s="873"/>
      <c r="EX152" s="873"/>
      <c r="EY152" s="873"/>
      <c r="EZ152" s="873"/>
      <c r="FA152" s="873"/>
      <c r="FB152" s="873"/>
      <c r="FC152" s="873"/>
      <c r="FD152" s="873"/>
      <c r="FE152" s="873"/>
      <c r="FF152" s="873"/>
      <c r="FG152" s="873"/>
      <c r="FH152" s="873"/>
      <c r="FI152" s="873"/>
      <c r="FJ152" s="873"/>
      <c r="FK152" s="873"/>
      <c r="FL152" s="873"/>
      <c r="FM152" s="873"/>
      <c r="FN152" s="873"/>
      <c r="FO152" s="873"/>
      <c r="FP152" s="873"/>
      <c r="FQ152" s="873"/>
      <c r="FR152" s="873"/>
      <c r="FS152" s="873"/>
      <c r="FT152" s="873"/>
      <c r="FU152" s="873"/>
      <c r="FV152" s="873"/>
      <c r="FW152" s="873"/>
      <c r="FX152" s="873"/>
      <c r="FY152" s="873"/>
      <c r="FZ152" s="873"/>
      <c r="GA152" s="873"/>
      <c r="GB152" s="873"/>
      <c r="GC152" s="873"/>
      <c r="GD152" s="873"/>
      <c r="GE152" s="873"/>
      <c r="GF152" s="873"/>
      <c r="GG152" s="873"/>
      <c r="GH152" s="873"/>
      <c r="GI152" s="873"/>
      <c r="GJ152" s="873"/>
      <c r="GK152" s="873"/>
      <c r="GL152" s="873"/>
      <c r="GM152" s="873"/>
      <c r="GN152" s="873"/>
      <c r="GO152" s="873"/>
      <c r="GP152" s="873"/>
      <c r="GQ152" s="873"/>
      <c r="GR152" s="873"/>
      <c r="GS152" s="873"/>
      <c r="GT152" s="873"/>
      <c r="GU152" s="873"/>
      <c r="GV152" s="873"/>
      <c r="GW152" s="873"/>
      <c r="GX152" s="873"/>
      <c r="GY152" s="873"/>
      <c r="GZ152" s="873"/>
      <c r="HA152" s="873"/>
      <c r="HB152" s="873"/>
      <c r="HC152" s="873"/>
      <c r="HD152" s="873"/>
      <c r="HE152" s="873"/>
      <c r="HF152" s="873"/>
      <c r="HG152" s="873"/>
      <c r="HH152" s="873"/>
      <c r="HI152" s="873"/>
      <c r="HJ152" s="873"/>
      <c r="HK152" s="873"/>
      <c r="HL152" s="873"/>
      <c r="HM152" s="873"/>
      <c r="HN152" s="873"/>
      <c r="HO152" s="873"/>
      <c r="HP152" s="873"/>
      <c r="HQ152" s="873"/>
      <c r="HR152" s="873"/>
      <c r="HS152" s="873"/>
      <c r="HT152" s="873"/>
      <c r="HU152" s="873"/>
      <c r="HV152" s="873"/>
      <c r="HW152" s="873"/>
      <c r="HX152" s="873"/>
      <c r="HY152" s="873"/>
      <c r="HZ152" s="873"/>
      <c r="IA152" s="873"/>
      <c r="IB152" s="873"/>
      <c r="IC152" s="873"/>
      <c r="ID152" s="873"/>
      <c r="IE152" s="873"/>
      <c r="IF152" s="873"/>
      <c r="IG152" s="873"/>
      <c r="IH152" s="873"/>
      <c r="II152" s="873"/>
      <c r="IJ152" s="873"/>
      <c r="IK152" s="873"/>
      <c r="IL152" s="873"/>
      <c r="IM152" s="873"/>
      <c r="IN152" s="873"/>
      <c r="IO152" s="873"/>
      <c r="IP152" s="873"/>
      <c r="IQ152" s="873"/>
      <c r="IR152" s="873"/>
      <c r="IS152" s="873"/>
      <c r="IT152" s="873"/>
      <c r="IU152" s="873"/>
      <c r="IV152" s="873"/>
      <c r="IW152" s="873"/>
      <c r="IX152" s="873"/>
      <c r="IY152" s="873"/>
      <c r="IZ152" s="873"/>
      <c r="JA152" s="873"/>
      <c r="JB152" s="873"/>
      <c r="JC152" s="873"/>
      <c r="JD152" s="873"/>
      <c r="JE152" s="873"/>
      <c r="JF152" s="873"/>
      <c r="JG152" s="873"/>
      <c r="JH152" s="873"/>
      <c r="JI152" s="873"/>
      <c r="JJ152" s="873"/>
      <c r="JK152" s="873"/>
      <c r="JL152" s="873"/>
      <c r="JM152" s="873"/>
      <c r="JN152" s="873"/>
      <c r="JO152" s="873"/>
      <c r="JP152" s="873"/>
      <c r="JQ152" s="873"/>
      <c r="JR152" s="873"/>
      <c r="JS152" s="873"/>
      <c r="JT152" s="873"/>
      <c r="JU152" s="873"/>
    </row>
    <row r="153" spans="1:281">
      <c r="A153" s="672"/>
      <c r="B153" s="408"/>
      <c r="C153" s="873"/>
      <c r="D153" s="888"/>
      <c r="E153" s="671"/>
      <c r="F153" s="873"/>
      <c r="G153" s="873"/>
      <c r="H153" s="873"/>
      <c r="I153" s="873"/>
      <c r="J153" s="873"/>
      <c r="K153" s="873"/>
      <c r="L153" s="873"/>
      <c r="M153" s="873"/>
      <c r="N153" s="873"/>
      <c r="O153" s="873"/>
      <c r="P153" s="873"/>
      <c r="Q153" s="873"/>
      <c r="R153" s="873"/>
      <c r="S153" s="873"/>
      <c r="T153" s="873"/>
      <c r="U153" s="873"/>
      <c r="V153" s="873"/>
      <c r="W153" s="873"/>
      <c r="X153" s="873"/>
      <c r="Y153" s="873"/>
      <c r="Z153" s="873"/>
      <c r="AA153" s="394"/>
      <c r="AB153" s="873"/>
      <c r="AC153" s="394"/>
      <c r="AD153" s="873"/>
      <c r="AE153" s="873"/>
      <c r="AF153" s="873"/>
      <c r="AG153" s="873"/>
      <c r="AH153" s="873"/>
      <c r="AI153" s="873"/>
      <c r="AJ153" s="403"/>
      <c r="AK153" s="403"/>
      <c r="AL153" s="873"/>
      <c r="AM153" s="873"/>
      <c r="AN153" s="403"/>
      <c r="AO153" s="403"/>
      <c r="AP153" s="394"/>
      <c r="AQ153" s="394"/>
      <c r="AR153" s="394"/>
      <c r="AS153" s="394"/>
      <c r="AT153" s="394"/>
      <c r="AU153" s="873"/>
      <c r="AV153" s="873"/>
      <c r="AW153" s="873"/>
      <c r="AX153" s="873"/>
      <c r="AY153" s="873"/>
      <c r="AZ153" s="873"/>
      <c r="BA153" s="394"/>
      <c r="BB153" s="873"/>
      <c r="BC153" s="873"/>
      <c r="BD153" s="873"/>
      <c r="BE153" s="873"/>
      <c r="BF153" s="873"/>
      <c r="BG153" s="873"/>
      <c r="BH153" s="873"/>
      <c r="BI153" s="873"/>
      <c r="BJ153" s="873"/>
      <c r="BK153" s="873"/>
      <c r="BL153" s="873"/>
      <c r="BM153" s="873"/>
      <c r="BN153" s="873"/>
      <c r="BO153" s="873"/>
      <c r="BP153" s="873"/>
      <c r="BQ153" s="873"/>
      <c r="BR153" s="873"/>
      <c r="BS153" s="873"/>
      <c r="BT153" s="873"/>
      <c r="BU153" s="873"/>
      <c r="BV153" s="873"/>
      <c r="BW153" s="873"/>
      <c r="BX153" s="873"/>
      <c r="BY153" s="873"/>
      <c r="BZ153" s="873"/>
      <c r="CA153" s="873"/>
      <c r="CB153" s="873"/>
      <c r="CC153" s="873"/>
      <c r="CD153" s="873"/>
      <c r="CE153" s="873"/>
      <c r="CF153" s="873"/>
      <c r="CG153" s="873"/>
      <c r="CH153" s="873"/>
      <c r="CI153" s="873"/>
      <c r="CJ153" s="873"/>
      <c r="CK153" s="873"/>
      <c r="CL153" s="873"/>
      <c r="CM153" s="873"/>
      <c r="CN153" s="873"/>
      <c r="CO153" s="873"/>
      <c r="CP153" s="873"/>
      <c r="CQ153" s="873"/>
      <c r="CR153" s="873"/>
      <c r="CS153" s="873"/>
      <c r="CT153" s="873"/>
      <c r="CU153" s="873"/>
      <c r="CV153" s="873"/>
      <c r="CW153" s="873"/>
      <c r="CX153" s="873"/>
      <c r="CY153" s="873"/>
      <c r="CZ153" s="873"/>
      <c r="DA153" s="873"/>
      <c r="DB153" s="873"/>
      <c r="DC153" s="873"/>
      <c r="DD153" s="873"/>
      <c r="DE153" s="873"/>
      <c r="DF153" s="873"/>
      <c r="DG153" s="873"/>
      <c r="DH153" s="873"/>
      <c r="DI153" s="873"/>
      <c r="DJ153" s="873"/>
      <c r="DK153" s="873"/>
      <c r="DL153" s="873"/>
      <c r="DM153" s="873"/>
      <c r="DN153" s="873"/>
      <c r="DO153" s="873"/>
      <c r="DP153" s="873"/>
      <c r="DQ153" s="873"/>
      <c r="DR153" s="873"/>
      <c r="DS153" s="873"/>
      <c r="DT153" s="873"/>
      <c r="DU153" s="873"/>
      <c r="DV153" s="873"/>
      <c r="DW153" s="873"/>
      <c r="DX153" s="873"/>
      <c r="DY153" s="873"/>
      <c r="DZ153" s="873"/>
      <c r="EA153" s="873"/>
      <c r="EB153" s="873"/>
      <c r="EC153" s="873"/>
      <c r="ED153" s="873"/>
      <c r="EE153" s="873"/>
      <c r="EF153" s="873"/>
      <c r="EG153" s="873"/>
      <c r="EH153" s="873"/>
      <c r="EI153" s="873"/>
      <c r="EJ153" s="873"/>
      <c r="EK153" s="873"/>
      <c r="EL153" s="873"/>
      <c r="EM153" s="873"/>
      <c r="EN153" s="873"/>
      <c r="EO153" s="873"/>
      <c r="EP153" s="873"/>
      <c r="EQ153" s="873"/>
      <c r="ER153" s="873"/>
      <c r="ES153" s="873"/>
      <c r="ET153" s="873"/>
      <c r="EU153" s="873"/>
      <c r="EV153" s="873"/>
      <c r="EW153" s="873"/>
      <c r="EX153" s="873"/>
      <c r="EY153" s="873"/>
      <c r="EZ153" s="873"/>
      <c r="FA153" s="873"/>
      <c r="FB153" s="873"/>
      <c r="FC153" s="873"/>
      <c r="FD153" s="873"/>
      <c r="FE153" s="873"/>
      <c r="FF153" s="873"/>
      <c r="FG153" s="873"/>
      <c r="FH153" s="873"/>
      <c r="FI153" s="873"/>
      <c r="FJ153" s="873"/>
      <c r="FK153" s="873"/>
      <c r="FL153" s="873"/>
      <c r="FM153" s="873"/>
      <c r="FN153" s="873"/>
      <c r="FO153" s="873"/>
      <c r="FP153" s="873"/>
      <c r="FQ153" s="873"/>
      <c r="FR153" s="873"/>
      <c r="FS153" s="873"/>
      <c r="FT153" s="873"/>
      <c r="FU153" s="873"/>
      <c r="FV153" s="873"/>
      <c r="FW153" s="873"/>
      <c r="FX153" s="873"/>
      <c r="FY153" s="873"/>
      <c r="FZ153" s="873"/>
      <c r="GA153" s="873"/>
      <c r="GB153" s="873"/>
      <c r="GC153" s="873"/>
      <c r="GD153" s="873"/>
      <c r="GE153" s="873"/>
      <c r="GF153" s="873"/>
      <c r="GG153" s="873"/>
      <c r="GH153" s="873"/>
      <c r="GI153" s="873"/>
      <c r="GJ153" s="873"/>
      <c r="GK153" s="873"/>
      <c r="GL153" s="873"/>
      <c r="GM153" s="873"/>
      <c r="GN153" s="873"/>
      <c r="GO153" s="873"/>
      <c r="GP153" s="873"/>
      <c r="GQ153" s="873"/>
      <c r="GR153" s="873"/>
      <c r="GS153" s="873"/>
      <c r="GT153" s="873"/>
      <c r="GU153" s="873"/>
      <c r="GV153" s="873"/>
      <c r="GW153" s="873"/>
      <c r="GX153" s="873"/>
      <c r="GY153" s="873"/>
      <c r="GZ153" s="873"/>
      <c r="HA153" s="873"/>
      <c r="HB153" s="873"/>
      <c r="HC153" s="873"/>
      <c r="HD153" s="873"/>
      <c r="HE153" s="873"/>
      <c r="HF153" s="873"/>
      <c r="HG153" s="873"/>
      <c r="HH153" s="873"/>
      <c r="HI153" s="873"/>
      <c r="HJ153" s="873"/>
      <c r="HK153" s="873"/>
      <c r="HL153" s="873"/>
      <c r="HM153" s="873"/>
      <c r="HN153" s="873"/>
      <c r="HO153" s="873"/>
      <c r="HP153" s="873"/>
      <c r="HQ153" s="873"/>
      <c r="HR153" s="873"/>
      <c r="HS153" s="873"/>
      <c r="HT153" s="873"/>
      <c r="HU153" s="873"/>
      <c r="HV153" s="873"/>
      <c r="HW153" s="873"/>
      <c r="HX153" s="873"/>
      <c r="HY153" s="873"/>
      <c r="HZ153" s="873"/>
      <c r="IA153" s="873"/>
      <c r="IB153" s="873"/>
      <c r="IC153" s="873"/>
      <c r="ID153" s="873"/>
      <c r="IE153" s="873"/>
      <c r="IF153" s="873"/>
      <c r="IG153" s="873"/>
      <c r="IH153" s="873"/>
      <c r="II153" s="873"/>
      <c r="IJ153" s="873"/>
      <c r="IK153" s="873"/>
      <c r="IL153" s="873"/>
      <c r="IM153" s="873"/>
      <c r="IN153" s="873"/>
      <c r="IO153" s="873"/>
      <c r="IP153" s="873"/>
      <c r="IQ153" s="873"/>
      <c r="IR153" s="873"/>
      <c r="IS153" s="873"/>
      <c r="IT153" s="873"/>
      <c r="IU153" s="873"/>
      <c r="IV153" s="873"/>
      <c r="IW153" s="873"/>
      <c r="IX153" s="873"/>
      <c r="IY153" s="873"/>
      <c r="IZ153" s="873"/>
      <c r="JA153" s="873"/>
      <c r="JB153" s="873"/>
      <c r="JC153" s="873"/>
      <c r="JD153" s="873"/>
      <c r="JE153" s="873"/>
      <c r="JF153" s="873"/>
      <c r="JG153" s="873"/>
      <c r="JH153" s="873"/>
      <c r="JI153" s="873"/>
      <c r="JJ153" s="873"/>
      <c r="JK153" s="873"/>
      <c r="JL153" s="873"/>
      <c r="JM153" s="873"/>
      <c r="JN153" s="873"/>
      <c r="JO153" s="873"/>
      <c r="JP153" s="873"/>
      <c r="JQ153" s="873"/>
      <c r="JR153" s="873"/>
      <c r="JS153" s="873"/>
      <c r="JT153" s="873"/>
      <c r="JU153" s="873"/>
    </row>
    <row r="154" spans="1:281">
      <c r="A154" s="672"/>
      <c r="B154" s="408"/>
      <c r="C154" s="873"/>
      <c r="D154" s="888"/>
      <c r="E154" s="671"/>
      <c r="F154" s="873"/>
      <c r="G154" s="873"/>
      <c r="H154" s="873"/>
      <c r="I154" s="873"/>
      <c r="J154" s="873"/>
      <c r="K154" s="873"/>
      <c r="L154" s="873"/>
      <c r="M154" s="873"/>
      <c r="N154" s="873"/>
      <c r="O154" s="873"/>
      <c r="P154" s="873"/>
      <c r="Q154" s="873"/>
      <c r="R154" s="873"/>
      <c r="S154" s="873"/>
      <c r="T154" s="873"/>
      <c r="U154" s="873"/>
      <c r="V154" s="873"/>
      <c r="W154" s="873"/>
      <c r="X154" s="873"/>
      <c r="Y154" s="873"/>
      <c r="Z154" s="873"/>
      <c r="AA154" s="394"/>
      <c r="AB154" s="873"/>
      <c r="AC154" s="394"/>
      <c r="AD154" s="873"/>
      <c r="AE154" s="873"/>
      <c r="AF154" s="873"/>
      <c r="AG154" s="873"/>
      <c r="AH154" s="873"/>
      <c r="AI154" s="873"/>
      <c r="AJ154" s="403"/>
      <c r="AK154" s="403"/>
      <c r="AL154" s="873"/>
      <c r="AM154" s="873"/>
      <c r="AN154" s="403"/>
      <c r="AO154" s="403"/>
      <c r="AP154" s="394"/>
      <c r="AQ154" s="394"/>
      <c r="AR154" s="394"/>
      <c r="AS154" s="394"/>
      <c r="AT154" s="394"/>
      <c r="AU154" s="873"/>
      <c r="AV154" s="873"/>
      <c r="AW154" s="873"/>
      <c r="AX154" s="873"/>
      <c r="AY154" s="873"/>
      <c r="AZ154" s="873"/>
      <c r="BA154" s="394"/>
      <c r="BB154" s="873"/>
      <c r="BC154" s="873"/>
      <c r="BD154" s="873"/>
      <c r="BE154" s="873"/>
      <c r="BF154" s="873"/>
      <c r="BG154" s="873"/>
      <c r="BH154" s="873"/>
      <c r="BI154" s="873"/>
      <c r="BJ154" s="873"/>
      <c r="BK154" s="873"/>
      <c r="BL154" s="873"/>
      <c r="BM154" s="873"/>
      <c r="BN154" s="873"/>
      <c r="BO154" s="873"/>
      <c r="BP154" s="873"/>
      <c r="BQ154" s="873"/>
      <c r="BR154" s="873"/>
      <c r="BS154" s="873"/>
      <c r="BT154" s="873"/>
      <c r="BU154" s="873"/>
      <c r="BV154" s="873"/>
      <c r="BW154" s="873"/>
      <c r="BX154" s="873"/>
      <c r="BY154" s="873"/>
      <c r="BZ154" s="873"/>
      <c r="CA154" s="873"/>
      <c r="CB154" s="873"/>
      <c r="CC154" s="873"/>
      <c r="CD154" s="873"/>
      <c r="CE154" s="873"/>
      <c r="CF154" s="873"/>
      <c r="CG154" s="873"/>
      <c r="CH154" s="873"/>
      <c r="CI154" s="873"/>
      <c r="CJ154" s="873"/>
      <c r="CK154" s="873"/>
      <c r="CL154" s="873"/>
      <c r="CM154" s="873"/>
      <c r="CN154" s="873"/>
      <c r="CO154" s="873"/>
      <c r="CP154" s="873"/>
      <c r="CQ154" s="873"/>
      <c r="CR154" s="873"/>
      <c r="CS154" s="873"/>
      <c r="CT154" s="873"/>
      <c r="CU154" s="873"/>
      <c r="CV154" s="873"/>
      <c r="CW154" s="873"/>
      <c r="CX154" s="873"/>
      <c r="CY154" s="873"/>
      <c r="CZ154" s="873"/>
      <c r="DA154" s="873"/>
      <c r="DB154" s="873"/>
      <c r="DC154" s="873"/>
      <c r="DD154" s="873"/>
      <c r="DE154" s="873"/>
      <c r="DF154" s="873"/>
      <c r="DG154" s="873"/>
      <c r="DH154" s="873"/>
      <c r="DI154" s="873"/>
      <c r="DJ154" s="873"/>
      <c r="DK154" s="873"/>
      <c r="DL154" s="873"/>
      <c r="DM154" s="873"/>
      <c r="DN154" s="873"/>
      <c r="DO154" s="873"/>
      <c r="DP154" s="873"/>
      <c r="DQ154" s="873"/>
      <c r="DR154" s="873"/>
      <c r="DS154" s="873"/>
      <c r="DT154" s="873"/>
      <c r="DU154" s="873"/>
      <c r="DV154" s="873"/>
      <c r="DW154" s="873"/>
      <c r="DX154" s="873"/>
      <c r="DY154" s="873"/>
      <c r="DZ154" s="873"/>
      <c r="EA154" s="873"/>
      <c r="EB154" s="873"/>
      <c r="EC154" s="873"/>
      <c r="ED154" s="873"/>
      <c r="EE154" s="873"/>
      <c r="EF154" s="873"/>
      <c r="EG154" s="873"/>
      <c r="EH154" s="873"/>
      <c r="EI154" s="873"/>
      <c r="EJ154" s="873"/>
      <c r="EK154" s="873"/>
      <c r="EL154" s="873"/>
      <c r="EM154" s="873"/>
      <c r="EN154" s="873"/>
      <c r="EO154" s="873"/>
      <c r="EP154" s="873"/>
      <c r="EQ154" s="873"/>
      <c r="ER154" s="873"/>
      <c r="ES154" s="873"/>
      <c r="ET154" s="873"/>
      <c r="EU154" s="873"/>
      <c r="EV154" s="873"/>
      <c r="EW154" s="873"/>
      <c r="EX154" s="873"/>
      <c r="EY154" s="873"/>
      <c r="EZ154" s="873"/>
      <c r="FA154" s="873"/>
      <c r="FB154" s="873"/>
      <c r="FC154" s="873"/>
      <c r="FD154" s="873"/>
      <c r="FE154" s="873"/>
      <c r="FF154" s="873"/>
      <c r="FG154" s="873"/>
      <c r="FH154" s="873"/>
      <c r="FI154" s="873"/>
      <c r="FJ154" s="873"/>
      <c r="FK154" s="873"/>
      <c r="FL154" s="873"/>
      <c r="FM154" s="873"/>
      <c r="FN154" s="873"/>
      <c r="FO154" s="873"/>
      <c r="FP154" s="873"/>
      <c r="FQ154" s="873"/>
      <c r="FR154" s="873"/>
      <c r="FS154" s="873"/>
      <c r="FT154" s="873"/>
      <c r="FU154" s="873"/>
      <c r="FV154" s="873"/>
      <c r="FW154" s="873"/>
      <c r="FX154" s="873"/>
      <c r="FY154" s="873"/>
      <c r="FZ154" s="873"/>
      <c r="GA154" s="873"/>
      <c r="GB154" s="873"/>
      <c r="GC154" s="873"/>
      <c r="GD154" s="873"/>
      <c r="GE154" s="873"/>
      <c r="GF154" s="873"/>
      <c r="GG154" s="873"/>
      <c r="GH154" s="873"/>
      <c r="GI154" s="873"/>
      <c r="GJ154" s="873"/>
      <c r="GK154" s="873"/>
      <c r="GL154" s="873"/>
      <c r="GM154" s="873"/>
      <c r="GN154" s="873"/>
      <c r="GO154" s="873"/>
      <c r="GP154" s="873"/>
      <c r="GQ154" s="873"/>
      <c r="GR154" s="873"/>
      <c r="GS154" s="873"/>
      <c r="GT154" s="873"/>
      <c r="GU154" s="873"/>
      <c r="GV154" s="873"/>
      <c r="GW154" s="873"/>
      <c r="GX154" s="873"/>
      <c r="GY154" s="873"/>
      <c r="GZ154" s="873"/>
      <c r="HA154" s="873"/>
      <c r="HB154" s="873"/>
      <c r="HC154" s="873"/>
      <c r="HD154" s="873"/>
      <c r="HE154" s="873"/>
      <c r="HF154" s="873"/>
      <c r="HG154" s="873"/>
      <c r="HH154" s="873"/>
      <c r="HI154" s="873"/>
      <c r="HJ154" s="873"/>
      <c r="HK154" s="873"/>
      <c r="HL154" s="873"/>
      <c r="HM154" s="873"/>
      <c r="HN154" s="873"/>
      <c r="HO154" s="873"/>
      <c r="HP154" s="873"/>
      <c r="HQ154" s="873"/>
      <c r="HR154" s="873"/>
      <c r="HS154" s="873"/>
      <c r="HT154" s="873"/>
      <c r="HU154" s="873"/>
      <c r="HV154" s="873"/>
      <c r="HW154" s="873"/>
      <c r="HX154" s="873"/>
      <c r="HY154" s="873"/>
      <c r="HZ154" s="873"/>
      <c r="IA154" s="873"/>
      <c r="IB154" s="873"/>
      <c r="IC154" s="873"/>
      <c r="ID154" s="873"/>
      <c r="IE154" s="873"/>
      <c r="IF154" s="873"/>
      <c r="IG154" s="873"/>
      <c r="IH154" s="873"/>
      <c r="II154" s="873"/>
      <c r="IJ154" s="873"/>
      <c r="IK154" s="873"/>
      <c r="IL154" s="873"/>
      <c r="IM154" s="873"/>
      <c r="IN154" s="873"/>
      <c r="IO154" s="873"/>
      <c r="IP154" s="873"/>
      <c r="IQ154" s="873"/>
      <c r="IR154" s="873"/>
      <c r="IS154" s="873"/>
      <c r="IT154" s="873"/>
      <c r="IU154" s="873"/>
      <c r="IV154" s="873"/>
      <c r="IW154" s="873"/>
      <c r="IX154" s="873"/>
      <c r="IY154" s="873"/>
      <c r="IZ154" s="873"/>
      <c r="JA154" s="873"/>
      <c r="JB154" s="873"/>
      <c r="JC154" s="873"/>
      <c r="JD154" s="873"/>
      <c r="JE154" s="873"/>
      <c r="JF154" s="873"/>
      <c r="JG154" s="873"/>
      <c r="JH154" s="873"/>
      <c r="JI154" s="873"/>
      <c r="JJ154" s="873"/>
      <c r="JK154" s="873"/>
      <c r="JL154" s="873"/>
      <c r="JM154" s="873"/>
      <c r="JN154" s="873"/>
      <c r="JO154" s="873"/>
      <c r="JP154" s="873"/>
      <c r="JQ154" s="873"/>
      <c r="JR154" s="873"/>
      <c r="JS154" s="873"/>
      <c r="JT154" s="873"/>
      <c r="JU154" s="873"/>
    </row>
    <row r="155" spans="1:281">
      <c r="A155" s="672"/>
      <c r="B155" s="408"/>
      <c r="C155" s="873"/>
      <c r="D155" s="888"/>
      <c r="E155" s="671"/>
      <c r="F155" s="873"/>
      <c r="G155" s="873"/>
      <c r="H155" s="873"/>
      <c r="I155" s="873"/>
      <c r="J155" s="873"/>
      <c r="K155" s="873"/>
      <c r="L155" s="873"/>
      <c r="M155" s="873"/>
      <c r="N155" s="873"/>
      <c r="O155" s="873"/>
      <c r="P155" s="873"/>
      <c r="Q155" s="873"/>
      <c r="R155" s="873"/>
      <c r="S155" s="873"/>
      <c r="T155" s="873"/>
      <c r="U155" s="873"/>
      <c r="V155" s="873"/>
      <c r="W155" s="873"/>
      <c r="X155" s="873"/>
      <c r="Y155" s="873"/>
      <c r="Z155" s="873"/>
      <c r="AA155" s="394"/>
      <c r="AB155" s="873"/>
      <c r="AC155" s="394"/>
      <c r="AD155" s="873"/>
      <c r="AE155" s="873"/>
      <c r="AF155" s="873"/>
      <c r="AG155" s="873"/>
      <c r="AH155" s="873"/>
      <c r="AI155" s="873"/>
      <c r="AJ155" s="403"/>
      <c r="AK155" s="403"/>
      <c r="AL155" s="873"/>
      <c r="AM155" s="873"/>
      <c r="AN155" s="403"/>
      <c r="AO155" s="403"/>
      <c r="AP155" s="394"/>
      <c r="AQ155" s="394"/>
      <c r="AR155" s="394"/>
      <c r="AS155" s="394"/>
      <c r="AT155" s="394"/>
      <c r="AU155" s="873"/>
      <c r="AV155" s="873"/>
      <c r="AW155" s="873"/>
      <c r="AX155" s="873"/>
      <c r="AY155" s="873"/>
      <c r="AZ155" s="873"/>
      <c r="BA155" s="394"/>
      <c r="BB155" s="873"/>
      <c r="BC155" s="873"/>
      <c r="BD155" s="873"/>
      <c r="BE155" s="873"/>
      <c r="BF155" s="873"/>
      <c r="BG155" s="873"/>
      <c r="BH155" s="873"/>
      <c r="BI155" s="873"/>
      <c r="BJ155" s="873"/>
      <c r="BK155" s="873"/>
      <c r="BL155" s="873"/>
      <c r="BM155" s="873"/>
      <c r="BN155" s="873"/>
      <c r="BO155" s="873"/>
      <c r="BP155" s="873"/>
      <c r="BQ155" s="873"/>
      <c r="BR155" s="873"/>
      <c r="BS155" s="873"/>
      <c r="BT155" s="873"/>
      <c r="BU155" s="873"/>
      <c r="BV155" s="873"/>
      <c r="BW155" s="873"/>
      <c r="BX155" s="873"/>
      <c r="BY155" s="873"/>
      <c r="BZ155" s="873"/>
      <c r="CA155" s="873"/>
      <c r="CB155" s="873"/>
      <c r="CC155" s="873"/>
      <c r="CD155" s="873"/>
      <c r="CE155" s="873"/>
      <c r="CF155" s="873"/>
      <c r="CG155" s="873"/>
      <c r="CH155" s="873"/>
      <c r="CI155" s="873"/>
      <c r="CJ155" s="873"/>
      <c r="CK155" s="873"/>
      <c r="CL155" s="873"/>
      <c r="CM155" s="873"/>
      <c r="CN155" s="873"/>
      <c r="CO155" s="873"/>
      <c r="CP155" s="873"/>
      <c r="CQ155" s="873"/>
      <c r="CR155" s="873"/>
      <c r="CS155" s="873"/>
      <c r="CT155" s="873"/>
      <c r="CU155" s="873"/>
      <c r="CV155" s="873"/>
      <c r="CW155" s="873"/>
      <c r="CX155" s="873"/>
      <c r="CY155" s="873"/>
      <c r="CZ155" s="873"/>
      <c r="DA155" s="873"/>
      <c r="DB155" s="873"/>
      <c r="DC155" s="873"/>
      <c r="DD155" s="873"/>
      <c r="DE155" s="873"/>
      <c r="DF155" s="873"/>
      <c r="DG155" s="873"/>
      <c r="DH155" s="873"/>
      <c r="DI155" s="873"/>
      <c r="DJ155" s="873"/>
      <c r="DK155" s="873"/>
      <c r="DL155" s="873"/>
      <c r="DM155" s="873"/>
      <c r="DN155" s="873"/>
      <c r="DO155" s="873"/>
      <c r="DP155" s="873"/>
      <c r="DQ155" s="873"/>
      <c r="DR155" s="873"/>
      <c r="DS155" s="873"/>
      <c r="DT155" s="873"/>
      <c r="DU155" s="873"/>
      <c r="DV155" s="873"/>
      <c r="DW155" s="873"/>
      <c r="DX155" s="873"/>
      <c r="DY155" s="873"/>
      <c r="DZ155" s="873"/>
      <c r="EA155" s="873"/>
      <c r="EB155" s="873"/>
      <c r="EC155" s="873"/>
      <c r="ED155" s="873"/>
      <c r="EE155" s="873"/>
      <c r="EF155" s="873"/>
      <c r="EG155" s="873"/>
      <c r="EH155" s="873"/>
      <c r="EI155" s="873"/>
      <c r="EJ155" s="873"/>
      <c r="EK155" s="873"/>
      <c r="EL155" s="873"/>
      <c r="EM155" s="873"/>
      <c r="EN155" s="873"/>
      <c r="EO155" s="873"/>
      <c r="EP155" s="873"/>
      <c r="EQ155" s="873"/>
      <c r="ER155" s="873"/>
      <c r="ES155" s="873"/>
      <c r="ET155" s="873"/>
      <c r="EU155" s="873"/>
      <c r="EV155" s="873"/>
      <c r="EW155" s="873"/>
      <c r="EX155" s="873"/>
      <c r="EY155" s="873"/>
      <c r="EZ155" s="873"/>
      <c r="FA155" s="873"/>
      <c r="FB155" s="873"/>
      <c r="FC155" s="873"/>
      <c r="FD155" s="873"/>
      <c r="FE155" s="873"/>
      <c r="FF155" s="873"/>
      <c r="FG155" s="873"/>
      <c r="FH155" s="873"/>
      <c r="FI155" s="873"/>
      <c r="FJ155" s="873"/>
      <c r="FK155" s="873"/>
      <c r="FL155" s="873"/>
      <c r="FM155" s="873"/>
      <c r="FN155" s="873"/>
      <c r="FO155" s="873"/>
      <c r="FP155" s="873"/>
      <c r="FQ155" s="873"/>
      <c r="FR155" s="873"/>
      <c r="FS155" s="873"/>
      <c r="FT155" s="873"/>
      <c r="FU155" s="873"/>
      <c r="FV155" s="873"/>
      <c r="FW155" s="873"/>
      <c r="FX155" s="873"/>
      <c r="FY155" s="873"/>
      <c r="FZ155" s="873"/>
      <c r="GA155" s="873"/>
      <c r="GB155" s="873"/>
      <c r="GC155" s="873"/>
      <c r="GD155" s="873"/>
      <c r="GE155" s="873"/>
      <c r="GF155" s="873"/>
      <c r="GG155" s="873"/>
      <c r="GH155" s="873"/>
      <c r="GI155" s="873"/>
      <c r="GJ155" s="873"/>
      <c r="GK155" s="873"/>
      <c r="GL155" s="873"/>
      <c r="GM155" s="873"/>
      <c r="GN155" s="873"/>
      <c r="GO155" s="873"/>
      <c r="GP155" s="873"/>
      <c r="GQ155" s="873"/>
      <c r="GR155" s="873"/>
      <c r="GS155" s="873"/>
      <c r="GT155" s="873"/>
      <c r="GU155" s="873"/>
      <c r="GV155" s="873"/>
      <c r="GW155" s="873"/>
      <c r="GX155" s="873"/>
      <c r="GY155" s="873"/>
      <c r="GZ155" s="873"/>
      <c r="HA155" s="873"/>
      <c r="HB155" s="873"/>
      <c r="HC155" s="873"/>
      <c r="HD155" s="873"/>
      <c r="HE155" s="873"/>
      <c r="HF155" s="873"/>
      <c r="HG155" s="873"/>
      <c r="HH155" s="873"/>
      <c r="HI155" s="873"/>
      <c r="HJ155" s="873"/>
      <c r="HK155" s="873"/>
      <c r="HL155" s="873"/>
      <c r="HM155" s="873"/>
      <c r="HN155" s="873"/>
      <c r="HO155" s="873"/>
      <c r="HP155" s="873"/>
      <c r="HQ155" s="873"/>
      <c r="HR155" s="873"/>
      <c r="HS155" s="873"/>
      <c r="HT155" s="873"/>
      <c r="HU155" s="873"/>
      <c r="HV155" s="873"/>
      <c r="HW155" s="873"/>
      <c r="HX155" s="873"/>
      <c r="HY155" s="873"/>
      <c r="HZ155" s="873"/>
      <c r="IA155" s="873"/>
      <c r="IB155" s="873"/>
      <c r="IC155" s="873"/>
      <c r="ID155" s="873"/>
      <c r="IE155" s="873"/>
      <c r="IF155" s="873"/>
      <c r="IG155" s="873"/>
      <c r="IH155" s="873"/>
      <c r="II155" s="873"/>
      <c r="IJ155" s="873"/>
      <c r="IK155" s="873"/>
      <c r="IL155" s="873"/>
      <c r="IM155" s="873"/>
      <c r="IN155" s="873"/>
      <c r="IO155" s="873"/>
      <c r="IP155" s="873"/>
      <c r="IQ155" s="873"/>
      <c r="IR155" s="873"/>
      <c r="IS155" s="873"/>
      <c r="IT155" s="873"/>
      <c r="IU155" s="873"/>
      <c r="IV155" s="873"/>
      <c r="IW155" s="873"/>
      <c r="IX155" s="873"/>
      <c r="IY155" s="873"/>
      <c r="IZ155" s="873"/>
      <c r="JA155" s="873"/>
      <c r="JB155" s="873"/>
      <c r="JC155" s="873"/>
      <c r="JD155" s="873"/>
      <c r="JE155" s="873"/>
      <c r="JF155" s="873"/>
      <c r="JG155" s="873"/>
      <c r="JH155" s="873"/>
      <c r="JI155" s="873"/>
      <c r="JJ155" s="873"/>
      <c r="JK155" s="873"/>
      <c r="JL155" s="873"/>
      <c r="JM155" s="873"/>
      <c r="JN155" s="873"/>
      <c r="JO155" s="873"/>
      <c r="JP155" s="873"/>
      <c r="JQ155" s="873"/>
      <c r="JR155" s="873"/>
      <c r="JS155" s="873"/>
      <c r="JT155" s="873"/>
      <c r="JU155" s="873"/>
    </row>
    <row r="156" spans="1:281">
      <c r="A156" s="672"/>
      <c r="B156" s="408"/>
      <c r="C156" s="873"/>
      <c r="D156" s="888"/>
      <c r="E156" s="671"/>
      <c r="F156" s="873"/>
      <c r="G156" s="873"/>
      <c r="H156" s="873"/>
      <c r="I156" s="873"/>
      <c r="J156" s="873"/>
      <c r="K156" s="873"/>
      <c r="L156" s="873"/>
      <c r="M156" s="873"/>
      <c r="N156" s="873"/>
      <c r="O156" s="873"/>
      <c r="P156" s="873"/>
      <c r="Q156" s="873"/>
      <c r="R156" s="873"/>
      <c r="S156" s="873"/>
      <c r="T156" s="873"/>
      <c r="U156" s="873"/>
      <c r="V156" s="873"/>
      <c r="W156" s="873"/>
      <c r="X156" s="873"/>
      <c r="Y156" s="873"/>
      <c r="Z156" s="873"/>
      <c r="AA156" s="394"/>
      <c r="AB156" s="873"/>
      <c r="AC156" s="394"/>
      <c r="AD156" s="873"/>
      <c r="AE156" s="873"/>
      <c r="AF156" s="873"/>
      <c r="AG156" s="873"/>
      <c r="AH156" s="873"/>
      <c r="AI156" s="873"/>
      <c r="AJ156" s="403"/>
      <c r="AK156" s="403"/>
      <c r="AL156" s="873"/>
      <c r="AM156" s="873"/>
      <c r="AN156" s="403"/>
      <c r="AO156" s="403"/>
      <c r="AP156" s="394"/>
      <c r="AQ156" s="394"/>
      <c r="AR156" s="394"/>
      <c r="AS156" s="394"/>
      <c r="AT156" s="394"/>
      <c r="AU156" s="873"/>
      <c r="AV156" s="873"/>
      <c r="AW156" s="873"/>
      <c r="AX156" s="873"/>
      <c r="AY156" s="873"/>
      <c r="AZ156" s="873"/>
      <c r="BA156" s="394"/>
      <c r="BB156" s="873"/>
      <c r="BC156" s="873"/>
      <c r="BD156" s="873"/>
      <c r="BE156" s="873"/>
      <c r="BF156" s="873"/>
      <c r="BG156" s="873"/>
      <c r="BH156" s="873"/>
      <c r="BI156" s="873"/>
      <c r="BJ156" s="873"/>
      <c r="BK156" s="873"/>
      <c r="BL156" s="873"/>
      <c r="BM156" s="873"/>
      <c r="BN156" s="873"/>
      <c r="BO156" s="873"/>
      <c r="BP156" s="873"/>
      <c r="BQ156" s="873"/>
      <c r="BR156" s="873"/>
      <c r="BS156" s="873"/>
      <c r="BT156" s="873"/>
      <c r="BU156" s="873"/>
      <c r="BV156" s="873"/>
      <c r="BW156" s="873"/>
      <c r="BX156" s="873"/>
      <c r="BY156" s="873"/>
      <c r="BZ156" s="873"/>
      <c r="CA156" s="873"/>
      <c r="CB156" s="873"/>
      <c r="CC156" s="873"/>
      <c r="CD156" s="873"/>
      <c r="CE156" s="873"/>
      <c r="CF156" s="873"/>
      <c r="CG156" s="873"/>
      <c r="CH156" s="873"/>
      <c r="CI156" s="873"/>
      <c r="CJ156" s="873"/>
      <c r="CK156" s="873"/>
      <c r="CL156" s="873"/>
      <c r="CM156" s="873"/>
      <c r="CN156" s="873"/>
      <c r="CO156" s="873"/>
      <c r="CP156" s="873"/>
      <c r="CQ156" s="873"/>
      <c r="CR156" s="873"/>
      <c r="CS156" s="873"/>
      <c r="CT156" s="873"/>
      <c r="CU156" s="873"/>
      <c r="CV156" s="873"/>
      <c r="CW156" s="873"/>
      <c r="CX156" s="873"/>
      <c r="CY156" s="873"/>
      <c r="CZ156" s="873"/>
      <c r="DA156" s="873"/>
      <c r="DB156" s="873"/>
      <c r="DC156" s="873"/>
      <c r="DD156" s="873"/>
      <c r="DE156" s="873"/>
      <c r="DF156" s="873"/>
      <c r="DG156" s="873"/>
      <c r="DH156" s="873"/>
      <c r="DI156" s="873"/>
      <c r="DJ156" s="873"/>
      <c r="DK156" s="873"/>
      <c r="DL156" s="873"/>
      <c r="DM156" s="873"/>
      <c r="DN156" s="873"/>
      <c r="DO156" s="873"/>
      <c r="DP156" s="873"/>
      <c r="DQ156" s="873"/>
      <c r="DR156" s="873"/>
      <c r="DS156" s="873"/>
      <c r="DT156" s="873"/>
      <c r="DU156" s="873"/>
      <c r="DV156" s="873"/>
      <c r="DW156" s="873"/>
      <c r="DX156" s="873"/>
      <c r="DY156" s="873"/>
      <c r="DZ156" s="873"/>
      <c r="EA156" s="873"/>
      <c r="EB156" s="873"/>
      <c r="EC156" s="873"/>
      <c r="ED156" s="873"/>
      <c r="EE156" s="873"/>
      <c r="EF156" s="873"/>
      <c r="EG156" s="873"/>
      <c r="EH156" s="873"/>
      <c r="EI156" s="873"/>
      <c r="EJ156" s="873"/>
      <c r="EK156" s="873"/>
      <c r="EL156" s="873"/>
      <c r="EM156" s="873"/>
      <c r="EN156" s="873"/>
      <c r="EO156" s="873"/>
      <c r="EP156" s="873"/>
      <c r="EQ156" s="873"/>
      <c r="ER156" s="873"/>
      <c r="ES156" s="873"/>
      <c r="ET156" s="873"/>
      <c r="EU156" s="873"/>
      <c r="EV156" s="873"/>
      <c r="EW156" s="873"/>
      <c r="EX156" s="873"/>
      <c r="EY156" s="873"/>
      <c r="EZ156" s="873"/>
      <c r="FA156" s="873"/>
      <c r="FB156" s="873"/>
      <c r="FC156" s="873"/>
      <c r="FD156" s="873"/>
      <c r="FE156" s="873"/>
      <c r="FF156" s="873"/>
      <c r="FG156" s="873"/>
      <c r="FH156" s="873"/>
      <c r="FI156" s="873"/>
      <c r="FJ156" s="873"/>
      <c r="FK156" s="873"/>
      <c r="FL156" s="873"/>
      <c r="FM156" s="873"/>
      <c r="FN156" s="873"/>
      <c r="FO156" s="873"/>
      <c r="FP156" s="873"/>
      <c r="FQ156" s="873"/>
      <c r="FR156" s="873"/>
      <c r="FS156" s="873"/>
      <c r="FT156" s="873"/>
      <c r="FU156" s="873"/>
      <c r="FV156" s="873"/>
      <c r="FW156" s="873"/>
      <c r="FX156" s="873"/>
      <c r="FY156" s="873"/>
      <c r="FZ156" s="873"/>
      <c r="GA156" s="873"/>
      <c r="GB156" s="873"/>
      <c r="GC156" s="873"/>
      <c r="GD156" s="873"/>
      <c r="GE156" s="873"/>
      <c r="GF156" s="873"/>
      <c r="GG156" s="873"/>
      <c r="GH156" s="873"/>
      <c r="GI156" s="873"/>
      <c r="GJ156" s="873"/>
      <c r="GK156" s="873"/>
      <c r="GL156" s="873"/>
      <c r="GM156" s="873"/>
      <c r="GN156" s="873"/>
      <c r="GO156" s="873"/>
      <c r="GP156" s="873"/>
      <c r="GQ156" s="873"/>
      <c r="GR156" s="873"/>
      <c r="GS156" s="873"/>
      <c r="GT156" s="873"/>
      <c r="GU156" s="873"/>
      <c r="GV156" s="873"/>
      <c r="GW156" s="873"/>
      <c r="GX156" s="873"/>
      <c r="GY156" s="873"/>
      <c r="GZ156" s="873"/>
      <c r="HA156" s="873"/>
      <c r="HB156" s="873"/>
      <c r="HC156" s="873"/>
      <c r="HD156" s="873"/>
      <c r="HE156" s="873"/>
      <c r="HF156" s="873"/>
      <c r="HG156" s="873"/>
      <c r="HH156" s="873"/>
      <c r="HI156" s="873"/>
      <c r="HJ156" s="873"/>
      <c r="HK156" s="873"/>
      <c r="HL156" s="873"/>
      <c r="HM156" s="873"/>
      <c r="HN156" s="873"/>
      <c r="HO156" s="873"/>
      <c r="HP156" s="873"/>
      <c r="HQ156" s="873"/>
      <c r="HR156" s="873"/>
      <c r="HS156" s="873"/>
      <c r="HT156" s="873"/>
      <c r="HU156" s="873"/>
      <c r="HV156" s="873"/>
      <c r="HW156" s="873"/>
      <c r="HX156" s="873"/>
      <c r="HY156" s="873"/>
      <c r="HZ156" s="873"/>
      <c r="IA156" s="873"/>
      <c r="IB156" s="873"/>
      <c r="IC156" s="873"/>
      <c r="ID156" s="873"/>
      <c r="IE156" s="873"/>
      <c r="IF156" s="873"/>
      <c r="IG156" s="873"/>
      <c r="IH156" s="873"/>
      <c r="II156" s="873"/>
      <c r="IJ156" s="873"/>
      <c r="IK156" s="873"/>
      <c r="IL156" s="873"/>
      <c r="IM156" s="873"/>
      <c r="IN156" s="873"/>
      <c r="IO156" s="873"/>
      <c r="IP156" s="873"/>
      <c r="IQ156" s="873"/>
      <c r="IR156" s="873"/>
      <c r="IS156" s="873"/>
      <c r="IT156" s="873"/>
      <c r="IU156" s="873"/>
      <c r="IV156" s="873"/>
      <c r="IW156" s="873"/>
      <c r="IX156" s="873"/>
      <c r="IY156" s="873"/>
      <c r="IZ156" s="873"/>
      <c r="JA156" s="873"/>
      <c r="JB156" s="873"/>
      <c r="JC156" s="873"/>
      <c r="JD156" s="873"/>
      <c r="JE156" s="873"/>
      <c r="JF156" s="873"/>
      <c r="JG156" s="873"/>
      <c r="JH156" s="873"/>
      <c r="JI156" s="873"/>
      <c r="JJ156" s="873"/>
      <c r="JK156" s="873"/>
      <c r="JL156" s="873"/>
      <c r="JM156" s="873"/>
      <c r="JN156" s="873"/>
      <c r="JO156" s="873"/>
      <c r="JP156" s="873"/>
      <c r="JQ156" s="873"/>
      <c r="JR156" s="873"/>
      <c r="JS156" s="873"/>
      <c r="JT156" s="873"/>
      <c r="JU156" s="873"/>
    </row>
    <row r="157" spans="1:281">
      <c r="A157" s="672"/>
      <c r="B157" s="408"/>
      <c r="C157" s="873"/>
      <c r="D157" s="888"/>
      <c r="E157" s="671"/>
      <c r="F157" s="873"/>
      <c r="G157" s="873"/>
      <c r="H157" s="873"/>
      <c r="I157" s="873"/>
      <c r="J157" s="873"/>
      <c r="K157" s="873"/>
      <c r="L157" s="873"/>
      <c r="M157" s="873"/>
      <c r="N157" s="873"/>
      <c r="O157" s="873"/>
      <c r="P157" s="873"/>
      <c r="Q157" s="873"/>
      <c r="R157" s="873"/>
      <c r="S157" s="873"/>
      <c r="T157" s="873"/>
      <c r="U157" s="873"/>
      <c r="V157" s="873"/>
      <c r="W157" s="873"/>
      <c r="X157" s="873"/>
      <c r="Y157" s="873"/>
      <c r="Z157" s="873"/>
      <c r="AA157" s="394"/>
      <c r="AB157" s="873"/>
      <c r="AC157" s="394"/>
      <c r="AD157" s="873"/>
      <c r="AE157" s="873"/>
      <c r="AF157" s="873"/>
      <c r="AG157" s="873"/>
      <c r="AH157" s="873"/>
      <c r="AI157" s="873"/>
      <c r="AJ157" s="403"/>
      <c r="AK157" s="403"/>
      <c r="AL157" s="873"/>
      <c r="AM157" s="873"/>
      <c r="AN157" s="403"/>
      <c r="AO157" s="403"/>
      <c r="AP157" s="394"/>
      <c r="AQ157" s="394"/>
      <c r="AR157" s="394"/>
      <c r="AS157" s="394"/>
      <c r="AT157" s="394"/>
      <c r="AU157" s="873"/>
      <c r="AV157" s="873"/>
      <c r="AW157" s="873"/>
      <c r="AX157" s="873"/>
      <c r="AY157" s="873"/>
      <c r="AZ157" s="873"/>
      <c r="BA157" s="394"/>
      <c r="BB157" s="873"/>
      <c r="BC157" s="873"/>
      <c r="BD157" s="873"/>
      <c r="BE157" s="873"/>
      <c r="BF157" s="873"/>
      <c r="BG157" s="873"/>
      <c r="BH157" s="873"/>
      <c r="BI157" s="873"/>
      <c r="BJ157" s="873"/>
      <c r="BK157" s="873"/>
      <c r="BL157" s="873"/>
      <c r="BM157" s="873"/>
      <c r="BN157" s="873"/>
      <c r="BO157" s="873"/>
      <c r="BP157" s="873"/>
      <c r="BQ157" s="873"/>
      <c r="BR157" s="873"/>
      <c r="BS157" s="873"/>
      <c r="BT157" s="873"/>
      <c r="BU157" s="873"/>
      <c r="BV157" s="873"/>
      <c r="BW157" s="873"/>
      <c r="BX157" s="873"/>
      <c r="BY157" s="873"/>
      <c r="BZ157" s="873"/>
      <c r="CA157" s="873"/>
      <c r="CB157" s="873"/>
      <c r="CC157" s="873"/>
      <c r="CD157" s="873"/>
      <c r="CE157" s="873"/>
      <c r="CF157" s="873"/>
      <c r="CG157" s="873"/>
      <c r="CH157" s="873"/>
      <c r="CI157" s="873"/>
      <c r="CJ157" s="873"/>
      <c r="CK157" s="873"/>
      <c r="CL157" s="873"/>
      <c r="CM157" s="873"/>
      <c r="CN157" s="873"/>
      <c r="CO157" s="873"/>
      <c r="CP157" s="873"/>
      <c r="CQ157" s="873"/>
      <c r="CR157" s="873"/>
      <c r="CS157" s="873"/>
      <c r="CT157" s="873"/>
      <c r="CU157" s="873"/>
      <c r="CV157" s="873"/>
      <c r="CW157" s="873"/>
      <c r="CX157" s="873"/>
      <c r="CY157" s="873"/>
      <c r="CZ157" s="873"/>
      <c r="DA157" s="873"/>
      <c r="DB157" s="873"/>
      <c r="DC157" s="873"/>
      <c r="DD157" s="873"/>
      <c r="DE157" s="873"/>
      <c r="DF157" s="873"/>
      <c r="DG157" s="873"/>
      <c r="DH157" s="873"/>
      <c r="DI157" s="873"/>
      <c r="DJ157" s="873"/>
      <c r="DK157" s="873"/>
      <c r="DL157" s="873"/>
      <c r="DM157" s="873"/>
      <c r="DN157" s="873"/>
      <c r="DO157" s="873"/>
      <c r="DP157" s="873"/>
      <c r="DQ157" s="873"/>
      <c r="DR157" s="873"/>
      <c r="DS157" s="873"/>
      <c r="DT157" s="873"/>
      <c r="DU157" s="873"/>
      <c r="DV157" s="873"/>
      <c r="DW157" s="873"/>
      <c r="DX157" s="873"/>
      <c r="DY157" s="873"/>
      <c r="DZ157" s="873"/>
      <c r="EA157" s="873"/>
      <c r="EB157" s="873"/>
      <c r="EC157" s="873"/>
      <c r="ED157" s="873"/>
      <c r="EE157" s="873"/>
      <c r="EF157" s="873"/>
      <c r="EG157" s="873"/>
      <c r="EH157" s="873"/>
      <c r="EI157" s="873"/>
      <c r="EJ157" s="873"/>
      <c r="EK157" s="873"/>
      <c r="EL157" s="873"/>
      <c r="EM157" s="873"/>
      <c r="EN157" s="873"/>
      <c r="EO157" s="873"/>
      <c r="EP157" s="873"/>
      <c r="EQ157" s="873"/>
      <c r="ER157" s="873"/>
      <c r="ES157" s="873"/>
      <c r="ET157" s="873"/>
      <c r="EU157" s="873"/>
      <c r="EV157" s="873"/>
      <c r="EW157" s="873"/>
      <c r="EX157" s="873"/>
      <c r="EY157" s="873"/>
      <c r="EZ157" s="873"/>
      <c r="FA157" s="873"/>
      <c r="FB157" s="873"/>
      <c r="FC157" s="873"/>
      <c r="FD157" s="873"/>
      <c r="FE157" s="873"/>
      <c r="FF157" s="873"/>
      <c r="FG157" s="873"/>
      <c r="FH157" s="873"/>
      <c r="FI157" s="873"/>
      <c r="FJ157" s="873"/>
      <c r="FK157" s="873"/>
      <c r="FL157" s="873"/>
      <c r="FM157" s="873"/>
      <c r="FN157" s="873"/>
      <c r="FO157" s="873"/>
      <c r="FP157" s="873"/>
      <c r="FQ157" s="873"/>
      <c r="FR157" s="873"/>
      <c r="FS157" s="873"/>
      <c r="FT157" s="873"/>
      <c r="FU157" s="873"/>
      <c r="FV157" s="873"/>
      <c r="FW157" s="873"/>
      <c r="FX157" s="873"/>
      <c r="FY157" s="873"/>
      <c r="FZ157" s="873"/>
      <c r="GA157" s="873"/>
      <c r="GB157" s="873"/>
      <c r="GC157" s="873"/>
      <c r="GD157" s="873"/>
      <c r="GE157" s="873"/>
      <c r="GF157" s="873"/>
      <c r="GG157" s="873"/>
      <c r="GH157" s="873"/>
      <c r="GI157" s="873"/>
      <c r="GJ157" s="873"/>
      <c r="GK157" s="873"/>
      <c r="GL157" s="873"/>
      <c r="GM157" s="873"/>
      <c r="GN157" s="873"/>
      <c r="GO157" s="873"/>
      <c r="GP157" s="873"/>
      <c r="GQ157" s="873"/>
      <c r="GR157" s="873"/>
      <c r="GS157" s="873"/>
      <c r="GT157" s="873"/>
      <c r="GU157" s="873"/>
      <c r="GV157" s="873"/>
      <c r="GW157" s="873"/>
      <c r="GX157" s="873"/>
      <c r="GY157" s="873"/>
      <c r="GZ157" s="873"/>
      <c r="HA157" s="873"/>
      <c r="HB157" s="873"/>
      <c r="HC157" s="873"/>
      <c r="HD157" s="873"/>
      <c r="HE157" s="873"/>
      <c r="HF157" s="873"/>
      <c r="HG157" s="873"/>
      <c r="HH157" s="873"/>
      <c r="HI157" s="873"/>
      <c r="HJ157" s="873"/>
      <c r="HK157" s="873"/>
      <c r="HL157" s="873"/>
      <c r="HM157" s="873"/>
      <c r="HN157" s="873"/>
      <c r="HO157" s="873"/>
      <c r="HP157" s="873"/>
      <c r="HQ157" s="873"/>
      <c r="HR157" s="873"/>
      <c r="HS157" s="873"/>
      <c r="HT157" s="873"/>
      <c r="HU157" s="873"/>
      <c r="HV157" s="873"/>
      <c r="HW157" s="873"/>
      <c r="HX157" s="873"/>
      <c r="HY157" s="873"/>
      <c r="HZ157" s="873"/>
      <c r="IA157" s="873"/>
      <c r="IB157" s="873"/>
      <c r="IC157" s="873"/>
      <c r="ID157" s="873"/>
      <c r="IE157" s="873"/>
      <c r="IF157" s="873"/>
      <c r="IG157" s="873"/>
      <c r="IH157" s="873"/>
      <c r="II157" s="873"/>
      <c r="IJ157" s="873"/>
      <c r="IK157" s="873"/>
      <c r="IL157" s="873"/>
      <c r="IM157" s="873"/>
      <c r="IN157" s="873"/>
      <c r="IO157" s="873"/>
      <c r="IP157" s="873"/>
      <c r="IQ157" s="873"/>
      <c r="IR157" s="873"/>
      <c r="IS157" s="873"/>
      <c r="IT157" s="873"/>
      <c r="IU157" s="873"/>
      <c r="IV157" s="873"/>
      <c r="IW157" s="873"/>
      <c r="IX157" s="873"/>
      <c r="IY157" s="873"/>
      <c r="IZ157" s="873"/>
      <c r="JA157" s="873"/>
      <c r="JB157" s="873"/>
      <c r="JC157" s="873"/>
      <c r="JD157" s="873"/>
      <c r="JE157" s="873"/>
      <c r="JF157" s="873"/>
      <c r="JG157" s="873"/>
      <c r="JH157" s="873"/>
      <c r="JI157" s="873"/>
      <c r="JJ157" s="873"/>
      <c r="JK157" s="873"/>
      <c r="JL157" s="873"/>
      <c r="JM157" s="873"/>
      <c r="JN157" s="873"/>
      <c r="JO157" s="873"/>
      <c r="JP157" s="873"/>
      <c r="JQ157" s="873"/>
      <c r="JR157" s="873"/>
      <c r="JS157" s="873"/>
      <c r="JT157" s="873"/>
      <c r="JU157" s="873"/>
    </row>
    <row r="158" spans="1:281">
      <c r="A158" s="672"/>
      <c r="B158" s="408"/>
      <c r="C158" s="873"/>
      <c r="D158" s="888"/>
      <c r="E158" s="671"/>
      <c r="F158" s="873"/>
      <c r="G158" s="873"/>
      <c r="H158" s="873"/>
      <c r="I158" s="873"/>
      <c r="J158" s="873"/>
      <c r="K158" s="873"/>
      <c r="L158" s="873"/>
      <c r="M158" s="873"/>
      <c r="N158" s="873"/>
      <c r="O158" s="873"/>
      <c r="P158" s="873"/>
      <c r="Q158" s="873"/>
      <c r="R158" s="873"/>
      <c r="S158" s="873"/>
      <c r="T158" s="873"/>
      <c r="U158" s="873"/>
      <c r="V158" s="873"/>
      <c r="W158" s="873"/>
      <c r="X158" s="873"/>
      <c r="Y158" s="873"/>
      <c r="Z158" s="873"/>
      <c r="AA158" s="394"/>
      <c r="AB158" s="873"/>
      <c r="AC158" s="394"/>
      <c r="AD158" s="873"/>
      <c r="AE158" s="873"/>
      <c r="AF158" s="873"/>
      <c r="AG158" s="873"/>
      <c r="AH158" s="873"/>
      <c r="AI158" s="873"/>
      <c r="AJ158" s="403"/>
      <c r="AK158" s="403"/>
      <c r="AL158" s="873"/>
      <c r="AM158" s="873"/>
      <c r="AN158" s="403"/>
      <c r="AO158" s="403"/>
      <c r="AP158" s="394"/>
      <c r="AQ158" s="394"/>
      <c r="AR158" s="394"/>
      <c r="AS158" s="394"/>
      <c r="AT158" s="394"/>
      <c r="AU158" s="873"/>
      <c r="AV158" s="873"/>
      <c r="AW158" s="873"/>
      <c r="AX158" s="873"/>
      <c r="AY158" s="873"/>
      <c r="AZ158" s="873"/>
      <c r="BA158" s="394"/>
      <c r="BB158" s="873"/>
      <c r="BC158" s="873"/>
      <c r="BD158" s="873"/>
      <c r="BE158" s="873"/>
      <c r="BF158" s="873"/>
      <c r="BG158" s="873"/>
      <c r="BH158" s="873"/>
      <c r="BI158" s="873"/>
      <c r="BJ158" s="873"/>
      <c r="BK158" s="873"/>
      <c r="BL158" s="873"/>
      <c r="BM158" s="873"/>
      <c r="BN158" s="873"/>
      <c r="BO158" s="873"/>
      <c r="BP158" s="873"/>
      <c r="BQ158" s="873"/>
      <c r="BR158" s="873"/>
      <c r="BS158" s="873"/>
      <c r="BT158" s="873"/>
      <c r="BU158" s="873"/>
      <c r="BV158" s="873"/>
      <c r="BW158" s="873"/>
      <c r="BX158" s="873"/>
      <c r="BY158" s="873"/>
      <c r="BZ158" s="873"/>
      <c r="CA158" s="873"/>
      <c r="CB158" s="873"/>
      <c r="CC158" s="873"/>
      <c r="CD158" s="873"/>
      <c r="CE158" s="873"/>
      <c r="CF158" s="873"/>
      <c r="CG158" s="873"/>
      <c r="CH158" s="873"/>
      <c r="CI158" s="873"/>
      <c r="CJ158" s="873"/>
      <c r="CK158" s="873"/>
      <c r="CL158" s="873"/>
      <c r="CM158" s="873"/>
      <c r="CN158" s="873"/>
      <c r="CO158" s="873"/>
      <c r="CP158" s="873"/>
      <c r="CQ158" s="873"/>
      <c r="CR158" s="873"/>
      <c r="CS158" s="873"/>
      <c r="CT158" s="873"/>
      <c r="CU158" s="873"/>
      <c r="CV158" s="873"/>
      <c r="CW158" s="873"/>
      <c r="CX158" s="873"/>
      <c r="CY158" s="873"/>
      <c r="CZ158" s="873"/>
      <c r="DA158" s="873"/>
      <c r="DB158" s="873"/>
      <c r="DC158" s="873"/>
      <c r="DD158" s="873"/>
      <c r="DE158" s="873"/>
      <c r="DF158" s="873"/>
      <c r="DG158" s="873"/>
      <c r="DH158" s="873"/>
      <c r="DI158" s="873"/>
      <c r="DJ158" s="873"/>
      <c r="DK158" s="873"/>
      <c r="DL158" s="873"/>
      <c r="DM158" s="873"/>
      <c r="DN158" s="873"/>
      <c r="DO158" s="873"/>
      <c r="DP158" s="873"/>
      <c r="DQ158" s="873"/>
      <c r="DR158" s="873"/>
      <c r="DS158" s="873"/>
      <c r="DT158" s="873"/>
      <c r="DU158" s="873"/>
      <c r="DV158" s="873"/>
      <c r="DW158" s="873"/>
      <c r="DX158" s="873"/>
      <c r="DY158" s="873"/>
      <c r="DZ158" s="873"/>
      <c r="EA158" s="873"/>
      <c r="EB158" s="873"/>
      <c r="EC158" s="873"/>
      <c r="ED158" s="873"/>
      <c r="EE158" s="873"/>
      <c r="EF158" s="873"/>
      <c r="EG158" s="873"/>
      <c r="EH158" s="873"/>
      <c r="EI158" s="873"/>
      <c r="EJ158" s="873"/>
      <c r="EK158" s="873"/>
      <c r="EL158" s="873"/>
      <c r="EM158" s="873"/>
      <c r="EN158" s="873"/>
      <c r="EO158" s="873"/>
      <c r="EP158" s="873"/>
      <c r="EQ158" s="873"/>
      <c r="ER158" s="873"/>
      <c r="ES158" s="873"/>
      <c r="ET158" s="873"/>
      <c r="EU158" s="873"/>
      <c r="EV158" s="873"/>
      <c r="EW158" s="873"/>
      <c r="EX158" s="873"/>
      <c r="EY158" s="873"/>
      <c r="EZ158" s="873"/>
      <c r="FA158" s="873"/>
      <c r="FB158" s="873"/>
      <c r="FC158" s="873"/>
      <c r="FD158" s="873"/>
      <c r="FE158" s="873"/>
      <c r="FF158" s="873"/>
      <c r="FG158" s="873"/>
      <c r="FH158" s="873"/>
      <c r="FI158" s="873"/>
      <c r="FJ158" s="873"/>
      <c r="FK158" s="873"/>
      <c r="FL158" s="873"/>
      <c r="FM158" s="873"/>
      <c r="FN158" s="873"/>
      <c r="FO158" s="873"/>
      <c r="FP158" s="873"/>
      <c r="FQ158" s="873"/>
      <c r="FR158" s="873"/>
      <c r="FS158" s="873"/>
      <c r="FT158" s="873"/>
      <c r="FU158" s="873"/>
      <c r="FV158" s="873"/>
      <c r="FW158" s="873"/>
      <c r="FX158" s="873"/>
      <c r="FY158" s="873"/>
      <c r="FZ158" s="873"/>
      <c r="GA158" s="873"/>
      <c r="GB158" s="873"/>
      <c r="GC158" s="873"/>
      <c r="GD158" s="873"/>
      <c r="GE158" s="873"/>
      <c r="GF158" s="873"/>
      <c r="GG158" s="873"/>
      <c r="GH158" s="873"/>
      <c r="GI158" s="873"/>
      <c r="GJ158" s="873"/>
      <c r="GK158" s="873"/>
      <c r="GL158" s="873"/>
      <c r="GM158" s="873"/>
      <c r="GN158" s="873"/>
      <c r="GO158" s="873"/>
      <c r="GP158" s="873"/>
      <c r="GQ158" s="873"/>
      <c r="GR158" s="873"/>
      <c r="GS158" s="873"/>
      <c r="GT158" s="873"/>
      <c r="GU158" s="873"/>
      <c r="GV158" s="873"/>
      <c r="GW158" s="873"/>
      <c r="GX158" s="873"/>
      <c r="GY158" s="873"/>
      <c r="GZ158" s="873"/>
      <c r="HA158" s="873"/>
      <c r="HB158" s="873"/>
      <c r="HC158" s="873"/>
      <c r="HD158" s="873"/>
      <c r="HE158" s="873"/>
      <c r="HF158" s="873"/>
      <c r="HG158" s="873"/>
      <c r="HH158" s="873"/>
      <c r="HI158" s="873"/>
      <c r="HJ158" s="873"/>
      <c r="HK158" s="873"/>
      <c r="HL158" s="873"/>
      <c r="HM158" s="873"/>
      <c r="HN158" s="873"/>
      <c r="HO158" s="873"/>
      <c r="HP158" s="873"/>
      <c r="HQ158" s="873"/>
      <c r="HR158" s="873"/>
      <c r="HS158" s="873"/>
      <c r="HT158" s="873"/>
      <c r="HU158" s="873"/>
      <c r="HV158" s="873"/>
      <c r="HW158" s="873"/>
      <c r="HX158" s="873"/>
      <c r="HY158" s="873"/>
      <c r="HZ158" s="873"/>
      <c r="IA158" s="873"/>
      <c r="IB158" s="873"/>
      <c r="IC158" s="873"/>
      <c r="ID158" s="873"/>
      <c r="IE158" s="873"/>
      <c r="IF158" s="873"/>
      <c r="IG158" s="873"/>
      <c r="IH158" s="873"/>
      <c r="II158" s="873"/>
      <c r="IJ158" s="873"/>
      <c r="IK158" s="873"/>
      <c r="IL158" s="873"/>
      <c r="IM158" s="873"/>
      <c r="IN158" s="873"/>
      <c r="IO158" s="873"/>
      <c r="IP158" s="873"/>
      <c r="IQ158" s="873"/>
      <c r="IR158" s="873"/>
      <c r="IS158" s="873"/>
      <c r="IT158" s="873"/>
      <c r="IU158" s="873"/>
      <c r="IV158" s="873"/>
      <c r="IW158" s="873"/>
      <c r="IX158" s="873"/>
      <c r="IY158" s="873"/>
      <c r="IZ158" s="873"/>
      <c r="JA158" s="873"/>
      <c r="JB158" s="873"/>
      <c r="JC158" s="873"/>
      <c r="JD158" s="873"/>
      <c r="JE158" s="873"/>
      <c r="JF158" s="873"/>
      <c r="JG158" s="873"/>
      <c r="JH158" s="873"/>
      <c r="JI158" s="873"/>
      <c r="JJ158" s="873"/>
      <c r="JK158" s="873"/>
      <c r="JL158" s="873"/>
      <c r="JM158" s="873"/>
      <c r="JN158" s="873"/>
      <c r="JO158" s="873"/>
      <c r="JP158" s="873"/>
      <c r="JQ158" s="873"/>
      <c r="JR158" s="873"/>
      <c r="JS158" s="873"/>
      <c r="JT158" s="873"/>
      <c r="JU158" s="873"/>
    </row>
    <row r="159" spans="1:281">
      <c r="A159" s="672"/>
      <c r="B159" s="408"/>
      <c r="C159" s="873"/>
      <c r="D159" s="888"/>
      <c r="E159" s="671"/>
      <c r="F159" s="873"/>
      <c r="G159" s="873"/>
      <c r="H159" s="873"/>
      <c r="I159" s="873"/>
      <c r="J159" s="873"/>
      <c r="K159" s="873"/>
      <c r="L159" s="873"/>
      <c r="M159" s="873"/>
      <c r="N159" s="873"/>
      <c r="O159" s="873"/>
      <c r="P159" s="873"/>
      <c r="Q159" s="873"/>
      <c r="R159" s="873"/>
      <c r="S159" s="873"/>
      <c r="T159" s="873"/>
      <c r="U159" s="873"/>
      <c r="V159" s="873"/>
      <c r="W159" s="873"/>
      <c r="X159" s="873"/>
      <c r="Y159" s="873"/>
      <c r="Z159" s="873"/>
      <c r="AA159" s="394"/>
      <c r="AB159" s="873"/>
      <c r="AC159" s="394"/>
      <c r="AD159" s="873"/>
      <c r="AE159" s="873"/>
      <c r="AF159" s="873"/>
      <c r="AG159" s="873"/>
      <c r="AH159" s="873"/>
      <c r="AI159" s="873"/>
      <c r="AJ159" s="403"/>
      <c r="AK159" s="403"/>
      <c r="AL159" s="873"/>
      <c r="AM159" s="873"/>
      <c r="AN159" s="403"/>
      <c r="AO159" s="403"/>
      <c r="AP159" s="394"/>
      <c r="AQ159" s="394"/>
      <c r="AR159" s="394"/>
      <c r="AS159" s="394"/>
      <c r="AT159" s="394"/>
      <c r="AU159" s="873"/>
      <c r="AV159" s="873"/>
      <c r="AW159" s="873"/>
      <c r="AX159" s="873"/>
      <c r="AY159" s="873"/>
      <c r="AZ159" s="873"/>
      <c r="BA159" s="394"/>
      <c r="BB159" s="873"/>
      <c r="BC159" s="873"/>
      <c r="BD159" s="873"/>
      <c r="BE159" s="873"/>
      <c r="BF159" s="873"/>
      <c r="BG159" s="873"/>
      <c r="BH159" s="873"/>
      <c r="BI159" s="873"/>
      <c r="BJ159" s="873"/>
      <c r="BK159" s="873"/>
      <c r="BL159" s="873"/>
      <c r="BM159" s="873"/>
      <c r="BN159" s="873"/>
      <c r="BO159" s="873"/>
      <c r="BP159" s="873"/>
      <c r="BQ159" s="873"/>
      <c r="BR159" s="873"/>
      <c r="BS159" s="873"/>
      <c r="BT159" s="873"/>
      <c r="BU159" s="873"/>
      <c r="BV159" s="873"/>
      <c r="BW159" s="873"/>
      <c r="BX159" s="873"/>
      <c r="BY159" s="873"/>
      <c r="BZ159" s="873"/>
      <c r="CA159" s="873"/>
      <c r="CB159" s="873"/>
      <c r="CC159" s="873"/>
      <c r="CD159" s="873"/>
      <c r="CE159" s="873"/>
      <c r="CF159" s="873"/>
      <c r="CG159" s="873"/>
      <c r="CH159" s="873"/>
      <c r="CI159" s="873"/>
      <c r="CJ159" s="873"/>
      <c r="CK159" s="873"/>
      <c r="CL159" s="873"/>
      <c r="CM159" s="873"/>
      <c r="CN159" s="873"/>
      <c r="CO159" s="873"/>
      <c r="CP159" s="873"/>
      <c r="CQ159" s="873"/>
      <c r="CR159" s="873"/>
      <c r="CS159" s="873"/>
      <c r="CT159" s="873"/>
      <c r="CU159" s="873"/>
      <c r="CV159" s="873"/>
      <c r="CW159" s="873"/>
      <c r="CX159" s="873"/>
      <c r="CY159" s="873"/>
      <c r="CZ159" s="873"/>
      <c r="DA159" s="873"/>
      <c r="DB159" s="873"/>
      <c r="DC159" s="873"/>
      <c r="DD159" s="873"/>
      <c r="DE159" s="873"/>
      <c r="DF159" s="873"/>
      <c r="DG159" s="873"/>
      <c r="DH159" s="873"/>
      <c r="DI159" s="873"/>
      <c r="DJ159" s="873"/>
      <c r="DK159" s="873"/>
      <c r="DL159" s="873"/>
      <c r="DM159" s="873"/>
      <c r="DN159" s="873"/>
      <c r="DO159" s="873"/>
      <c r="DP159" s="873"/>
      <c r="DQ159" s="873"/>
      <c r="DR159" s="873"/>
      <c r="DS159" s="873"/>
      <c r="DT159" s="873"/>
      <c r="DU159" s="873"/>
      <c r="DV159" s="873"/>
      <c r="DW159" s="873"/>
      <c r="DX159" s="873"/>
      <c r="DY159" s="873"/>
      <c r="DZ159" s="873"/>
      <c r="EA159" s="873"/>
      <c r="EB159" s="873"/>
      <c r="EC159" s="873"/>
      <c r="ED159" s="873"/>
      <c r="EE159" s="873"/>
      <c r="EF159" s="873"/>
      <c r="EG159" s="873"/>
      <c r="EH159" s="873"/>
      <c r="EI159" s="873"/>
      <c r="EJ159" s="873"/>
      <c r="EK159" s="873"/>
      <c r="EL159" s="873"/>
      <c r="EM159" s="873"/>
      <c r="EN159" s="873"/>
      <c r="EO159" s="873"/>
      <c r="EP159" s="873"/>
      <c r="EQ159" s="873"/>
      <c r="ER159" s="873"/>
      <c r="ES159" s="873"/>
      <c r="ET159" s="873"/>
      <c r="EU159" s="873"/>
      <c r="EV159" s="873"/>
      <c r="EW159" s="873"/>
      <c r="EX159" s="873"/>
      <c r="EY159" s="873"/>
      <c r="EZ159" s="873"/>
      <c r="FA159" s="873"/>
      <c r="FB159" s="873"/>
      <c r="FC159" s="873"/>
      <c r="FD159" s="873"/>
      <c r="FE159" s="873"/>
      <c r="FF159" s="873"/>
      <c r="FG159" s="873"/>
      <c r="FH159" s="873"/>
      <c r="FI159" s="873"/>
      <c r="FJ159" s="873"/>
      <c r="FK159" s="873"/>
      <c r="FL159" s="873"/>
      <c r="FM159" s="873"/>
      <c r="FN159" s="873"/>
      <c r="FO159" s="873"/>
      <c r="FP159" s="873"/>
      <c r="FQ159" s="873"/>
      <c r="FR159" s="873"/>
      <c r="FS159" s="873"/>
      <c r="FT159" s="873"/>
      <c r="FU159" s="873"/>
      <c r="FV159" s="873"/>
      <c r="FW159" s="873"/>
      <c r="FX159" s="873"/>
      <c r="FY159" s="873"/>
      <c r="FZ159" s="873"/>
      <c r="GA159" s="873"/>
      <c r="GB159" s="873"/>
      <c r="GC159" s="873"/>
      <c r="GD159" s="873"/>
      <c r="GE159" s="873"/>
      <c r="GF159" s="873"/>
      <c r="GG159" s="873"/>
      <c r="GH159" s="873"/>
      <c r="GI159" s="873"/>
      <c r="GJ159" s="873"/>
      <c r="GK159" s="873"/>
      <c r="GL159" s="873"/>
      <c r="GM159" s="873"/>
      <c r="GN159" s="873"/>
      <c r="GO159" s="873"/>
      <c r="GP159" s="873"/>
      <c r="GQ159" s="873"/>
      <c r="GR159" s="873"/>
      <c r="GS159" s="873"/>
      <c r="GT159" s="873"/>
      <c r="GU159" s="873"/>
      <c r="GV159" s="873"/>
      <c r="GW159" s="873"/>
      <c r="GX159" s="873"/>
      <c r="GY159" s="873"/>
      <c r="GZ159" s="873"/>
      <c r="HA159" s="873"/>
      <c r="HB159" s="873"/>
      <c r="HC159" s="873"/>
      <c r="HD159" s="873"/>
      <c r="HE159" s="873"/>
      <c r="HF159" s="873"/>
      <c r="HG159" s="873"/>
      <c r="HH159" s="873"/>
      <c r="HI159" s="873"/>
      <c r="HJ159" s="873"/>
      <c r="HK159" s="873"/>
      <c r="HL159" s="873"/>
      <c r="HM159" s="873"/>
      <c r="HN159" s="873"/>
      <c r="HO159" s="873"/>
      <c r="HP159" s="873"/>
      <c r="HQ159" s="873"/>
      <c r="HR159" s="873"/>
      <c r="HS159" s="873"/>
      <c r="HT159" s="873"/>
      <c r="HU159" s="873"/>
      <c r="HV159" s="873"/>
      <c r="HW159" s="873"/>
      <c r="HX159" s="873"/>
      <c r="HY159" s="873"/>
      <c r="HZ159" s="873"/>
      <c r="IA159" s="873"/>
      <c r="IB159" s="873"/>
      <c r="IC159" s="873"/>
      <c r="ID159" s="873"/>
      <c r="IE159" s="873"/>
      <c r="IF159" s="873"/>
      <c r="IG159" s="873"/>
      <c r="IH159" s="873"/>
      <c r="II159" s="873"/>
      <c r="IJ159" s="873"/>
      <c r="IK159" s="873"/>
      <c r="IL159" s="873"/>
      <c r="IM159" s="873"/>
      <c r="IN159" s="873"/>
      <c r="IO159" s="873"/>
      <c r="IP159" s="873"/>
      <c r="IQ159" s="873"/>
      <c r="IR159" s="873"/>
      <c r="IS159" s="873"/>
      <c r="IT159" s="873"/>
      <c r="IU159" s="873"/>
      <c r="IV159" s="873"/>
      <c r="IW159" s="873"/>
      <c r="IX159" s="873"/>
      <c r="IY159" s="873"/>
      <c r="IZ159" s="873"/>
      <c r="JA159" s="873"/>
      <c r="JB159" s="873"/>
      <c r="JC159" s="873"/>
      <c r="JD159" s="873"/>
      <c r="JE159" s="873"/>
      <c r="JF159" s="873"/>
      <c r="JG159" s="873"/>
      <c r="JH159" s="873"/>
      <c r="JI159" s="873"/>
      <c r="JJ159" s="873"/>
      <c r="JK159" s="873"/>
      <c r="JL159" s="873"/>
      <c r="JM159" s="873"/>
      <c r="JN159" s="873"/>
      <c r="JO159" s="873"/>
      <c r="JP159" s="873"/>
      <c r="JQ159" s="873"/>
      <c r="JR159" s="873"/>
      <c r="JS159" s="873"/>
      <c r="JT159" s="873"/>
      <c r="JU159" s="873"/>
    </row>
    <row r="160" spans="1:281">
      <c r="A160" s="672"/>
      <c r="B160" s="408"/>
      <c r="C160" s="873"/>
      <c r="D160" s="888"/>
      <c r="E160" s="671"/>
      <c r="F160" s="873"/>
      <c r="G160" s="873"/>
      <c r="H160" s="873"/>
      <c r="I160" s="873"/>
      <c r="J160" s="873"/>
      <c r="K160" s="873"/>
      <c r="L160" s="873"/>
      <c r="M160" s="873"/>
      <c r="N160" s="873"/>
      <c r="O160" s="873"/>
      <c r="P160" s="873"/>
      <c r="Q160" s="873"/>
      <c r="R160" s="873"/>
      <c r="S160" s="873"/>
      <c r="T160" s="873"/>
      <c r="U160" s="873"/>
      <c r="V160" s="873"/>
      <c r="W160" s="873"/>
      <c r="X160" s="873"/>
      <c r="Y160" s="873"/>
      <c r="Z160" s="873"/>
      <c r="AA160" s="394"/>
      <c r="AB160" s="873"/>
      <c r="AC160" s="394"/>
      <c r="AD160" s="873"/>
      <c r="AE160" s="873"/>
      <c r="AF160" s="873"/>
      <c r="AG160" s="873"/>
      <c r="AH160" s="873"/>
      <c r="AI160" s="873"/>
      <c r="AJ160" s="403"/>
      <c r="AK160" s="403"/>
      <c r="AL160" s="873"/>
      <c r="AM160" s="873"/>
      <c r="AN160" s="403"/>
      <c r="AO160" s="403"/>
      <c r="AP160" s="394"/>
      <c r="AQ160" s="394"/>
      <c r="AR160" s="394"/>
      <c r="AS160" s="394"/>
      <c r="AT160" s="394"/>
      <c r="AU160" s="873"/>
      <c r="AV160" s="873"/>
      <c r="AW160" s="873"/>
      <c r="AX160" s="873"/>
      <c r="AY160" s="873"/>
      <c r="AZ160" s="873"/>
      <c r="BA160" s="394"/>
      <c r="BB160" s="873"/>
      <c r="BC160" s="873"/>
      <c r="BD160" s="873"/>
      <c r="BE160" s="873"/>
      <c r="BF160" s="873"/>
      <c r="BG160" s="873"/>
      <c r="BH160" s="873"/>
      <c r="BI160" s="873"/>
      <c r="BJ160" s="873"/>
      <c r="BK160" s="873"/>
      <c r="BL160" s="873"/>
      <c r="BM160" s="873"/>
      <c r="BN160" s="873"/>
      <c r="BO160" s="873"/>
      <c r="BP160" s="873"/>
      <c r="BQ160" s="873"/>
      <c r="BR160" s="873"/>
      <c r="BS160" s="873"/>
      <c r="BT160" s="873"/>
      <c r="BU160" s="873"/>
      <c r="BV160" s="873"/>
      <c r="BW160" s="873"/>
      <c r="BX160" s="873"/>
      <c r="BY160" s="873"/>
      <c r="BZ160" s="873"/>
      <c r="CA160" s="873"/>
      <c r="CB160" s="873"/>
      <c r="CC160" s="873"/>
      <c r="CD160" s="873"/>
      <c r="CE160" s="873"/>
      <c r="CF160" s="873"/>
      <c r="CG160" s="873"/>
      <c r="CH160" s="873"/>
      <c r="CI160" s="873"/>
      <c r="CJ160" s="873"/>
      <c r="CK160" s="873"/>
      <c r="CL160" s="873"/>
      <c r="CM160" s="873"/>
      <c r="CN160" s="873"/>
      <c r="CO160" s="873"/>
      <c r="CP160" s="873"/>
      <c r="CQ160" s="873"/>
      <c r="CR160" s="873"/>
      <c r="CS160" s="873"/>
      <c r="CT160" s="873"/>
      <c r="CU160" s="873"/>
      <c r="CV160" s="873"/>
      <c r="CW160" s="873"/>
      <c r="CX160" s="873"/>
      <c r="CY160" s="873"/>
      <c r="CZ160" s="873"/>
      <c r="DA160" s="873"/>
      <c r="DB160" s="873"/>
      <c r="DC160" s="873"/>
      <c r="DD160" s="873"/>
      <c r="DE160" s="873"/>
      <c r="DF160" s="873"/>
      <c r="DG160" s="873"/>
      <c r="DH160" s="873"/>
      <c r="DI160" s="873"/>
      <c r="DJ160" s="873"/>
      <c r="DK160" s="873"/>
      <c r="DL160" s="873"/>
      <c r="DM160" s="873"/>
      <c r="DN160" s="873"/>
      <c r="DO160" s="873"/>
      <c r="DP160" s="873"/>
      <c r="DQ160" s="873"/>
      <c r="DR160" s="873"/>
      <c r="DS160" s="873"/>
      <c r="DT160" s="873"/>
      <c r="DU160" s="873"/>
      <c r="DV160" s="873"/>
      <c r="DW160" s="873"/>
      <c r="DX160" s="873"/>
      <c r="DY160" s="873"/>
      <c r="DZ160" s="873"/>
      <c r="EA160" s="873"/>
      <c r="EB160" s="873"/>
      <c r="EC160" s="873"/>
      <c r="ED160" s="873"/>
      <c r="EE160" s="873"/>
      <c r="EF160" s="873"/>
      <c r="EG160" s="873"/>
      <c r="EH160" s="873"/>
      <c r="EI160" s="873"/>
      <c r="EJ160" s="873"/>
      <c r="EK160" s="873"/>
      <c r="EL160" s="873"/>
      <c r="EM160" s="873"/>
      <c r="EN160" s="873"/>
      <c r="EO160" s="873"/>
      <c r="EP160" s="873"/>
      <c r="EQ160" s="873"/>
      <c r="ER160" s="873"/>
      <c r="ES160" s="873"/>
      <c r="ET160" s="873"/>
      <c r="EU160" s="873"/>
      <c r="EV160" s="873"/>
      <c r="EW160" s="873"/>
      <c r="EX160" s="873"/>
      <c r="EY160" s="873"/>
      <c r="EZ160" s="873"/>
      <c r="FA160" s="873"/>
      <c r="FB160" s="873"/>
      <c r="FC160" s="873"/>
      <c r="FD160" s="873"/>
      <c r="FE160" s="873"/>
      <c r="FF160" s="873"/>
      <c r="FG160" s="873"/>
      <c r="FH160" s="873"/>
      <c r="FI160" s="873"/>
      <c r="FJ160" s="873"/>
      <c r="FK160" s="873"/>
      <c r="FL160" s="873"/>
      <c r="FM160" s="873"/>
      <c r="FN160" s="873"/>
      <c r="FO160" s="873"/>
      <c r="FP160" s="873"/>
      <c r="FQ160" s="873"/>
      <c r="FR160" s="873"/>
      <c r="FS160" s="873"/>
      <c r="FT160" s="873"/>
      <c r="FU160" s="873"/>
      <c r="FV160" s="873"/>
      <c r="FW160" s="873"/>
      <c r="FX160" s="873"/>
      <c r="FY160" s="873"/>
      <c r="FZ160" s="873"/>
      <c r="GA160" s="873"/>
      <c r="GB160" s="873"/>
      <c r="GC160" s="873"/>
      <c r="GD160" s="873"/>
      <c r="GE160" s="873"/>
      <c r="GF160" s="873"/>
      <c r="GG160" s="873"/>
      <c r="GH160" s="873"/>
      <c r="GI160" s="873"/>
      <c r="GJ160" s="873"/>
      <c r="GK160" s="873"/>
      <c r="GL160" s="873"/>
      <c r="GM160" s="873"/>
      <c r="GN160" s="873"/>
      <c r="GO160" s="873"/>
      <c r="GP160" s="873"/>
      <c r="GQ160" s="873"/>
      <c r="GR160" s="873"/>
      <c r="GS160" s="873"/>
      <c r="GT160" s="873"/>
      <c r="GU160" s="873"/>
      <c r="GV160" s="873"/>
      <c r="GW160" s="873"/>
      <c r="GX160" s="873"/>
      <c r="GY160" s="873"/>
      <c r="GZ160" s="873"/>
      <c r="HA160" s="873"/>
      <c r="HB160" s="873"/>
      <c r="HC160" s="873"/>
      <c r="HD160" s="873"/>
      <c r="HE160" s="873"/>
      <c r="HF160" s="873"/>
      <c r="HG160" s="873"/>
      <c r="HH160" s="873"/>
      <c r="HI160" s="873"/>
      <c r="HJ160" s="873"/>
      <c r="HK160" s="873"/>
      <c r="HL160" s="873"/>
      <c r="HM160" s="873"/>
      <c r="HN160" s="873"/>
      <c r="HO160" s="873"/>
      <c r="HP160" s="873"/>
      <c r="HQ160" s="873"/>
      <c r="HR160" s="873"/>
      <c r="HS160" s="873"/>
      <c r="HT160" s="873"/>
      <c r="HU160" s="873"/>
      <c r="HV160" s="873"/>
      <c r="HW160" s="873"/>
      <c r="HX160" s="873"/>
      <c r="HY160" s="873"/>
      <c r="HZ160" s="873"/>
      <c r="IA160" s="873"/>
      <c r="IB160" s="873"/>
      <c r="IC160" s="873"/>
      <c r="ID160" s="873"/>
      <c r="IE160" s="873"/>
      <c r="IF160" s="873"/>
      <c r="IG160" s="873"/>
      <c r="IH160" s="873"/>
      <c r="II160" s="873"/>
      <c r="IJ160" s="873"/>
      <c r="IK160" s="873"/>
      <c r="IL160" s="873"/>
      <c r="IM160" s="873"/>
      <c r="IN160" s="873"/>
      <c r="IO160" s="873"/>
      <c r="IP160" s="873"/>
      <c r="IQ160" s="873"/>
      <c r="IR160" s="873"/>
      <c r="IS160" s="873"/>
      <c r="IT160" s="873"/>
      <c r="IU160" s="873"/>
      <c r="IV160" s="873"/>
      <c r="IW160" s="873"/>
      <c r="IX160" s="873"/>
      <c r="IY160" s="873"/>
      <c r="IZ160" s="873"/>
      <c r="JA160" s="873"/>
      <c r="JB160" s="873"/>
      <c r="JC160" s="873"/>
      <c r="JD160" s="873"/>
      <c r="JE160" s="873"/>
      <c r="JF160" s="873"/>
      <c r="JG160" s="873"/>
      <c r="JH160" s="873"/>
      <c r="JI160" s="873"/>
      <c r="JJ160" s="873"/>
      <c r="JK160" s="873"/>
      <c r="JL160" s="873"/>
      <c r="JM160" s="873"/>
      <c r="JN160" s="873"/>
      <c r="JO160" s="873"/>
      <c r="JP160" s="873"/>
      <c r="JQ160" s="873"/>
      <c r="JR160" s="873"/>
      <c r="JS160" s="873"/>
      <c r="JT160" s="873"/>
      <c r="JU160" s="873"/>
    </row>
    <row r="161" spans="1:281">
      <c r="A161" s="672"/>
      <c r="B161" s="408"/>
      <c r="C161" s="873"/>
      <c r="D161" s="888"/>
      <c r="E161" s="671"/>
      <c r="F161" s="873"/>
      <c r="G161" s="873"/>
      <c r="H161" s="873"/>
      <c r="I161" s="873"/>
      <c r="J161" s="873"/>
      <c r="K161" s="873"/>
      <c r="L161" s="873"/>
      <c r="M161" s="873"/>
      <c r="N161" s="873"/>
      <c r="O161" s="873"/>
      <c r="P161" s="873"/>
      <c r="Q161" s="873"/>
      <c r="R161" s="873"/>
      <c r="S161" s="873"/>
      <c r="T161" s="873"/>
      <c r="U161" s="873"/>
      <c r="V161" s="873"/>
      <c r="W161" s="873"/>
      <c r="X161" s="873"/>
      <c r="Y161" s="873"/>
      <c r="Z161" s="873"/>
      <c r="AA161" s="394"/>
      <c r="AB161" s="873"/>
      <c r="AC161" s="394"/>
      <c r="AD161" s="873"/>
      <c r="AE161" s="873"/>
      <c r="AF161" s="873"/>
      <c r="AG161" s="873"/>
      <c r="AH161" s="873"/>
      <c r="AI161" s="873"/>
      <c r="AJ161" s="403"/>
      <c r="AK161" s="403"/>
      <c r="AL161" s="873"/>
      <c r="AM161" s="873"/>
      <c r="AN161" s="403"/>
      <c r="AO161" s="403"/>
      <c r="AP161" s="394"/>
      <c r="AQ161" s="394"/>
      <c r="AR161" s="394"/>
      <c r="AS161" s="394"/>
      <c r="AT161" s="394"/>
      <c r="AU161" s="873"/>
      <c r="AV161" s="873"/>
      <c r="AW161" s="873"/>
      <c r="AX161" s="873"/>
      <c r="AY161" s="873"/>
      <c r="AZ161" s="873"/>
      <c r="BA161" s="394"/>
      <c r="BB161" s="873"/>
      <c r="BC161" s="873"/>
      <c r="BD161" s="873"/>
      <c r="BE161" s="873"/>
      <c r="BF161" s="873"/>
      <c r="BG161" s="873"/>
      <c r="BH161" s="873"/>
      <c r="BI161" s="873"/>
      <c r="BJ161" s="873"/>
      <c r="BK161" s="873"/>
      <c r="BL161" s="873"/>
      <c r="BM161" s="873"/>
      <c r="BN161" s="873"/>
      <c r="BO161" s="873"/>
      <c r="BP161" s="873"/>
      <c r="BQ161" s="873"/>
      <c r="BR161" s="873"/>
      <c r="BS161" s="873"/>
      <c r="BT161" s="873"/>
      <c r="BU161" s="873"/>
      <c r="BV161" s="873"/>
      <c r="BW161" s="873"/>
      <c r="BX161" s="873"/>
      <c r="BY161" s="873"/>
      <c r="BZ161" s="873"/>
      <c r="CA161" s="873"/>
      <c r="CB161" s="873"/>
      <c r="CC161" s="873"/>
      <c r="CD161" s="873"/>
      <c r="CE161" s="873"/>
      <c r="CF161" s="873"/>
      <c r="CG161" s="873"/>
      <c r="CH161" s="873"/>
      <c r="CI161" s="873"/>
      <c r="CJ161" s="873"/>
      <c r="CK161" s="873"/>
      <c r="CL161" s="873"/>
      <c r="CM161" s="873"/>
      <c r="CN161" s="873"/>
      <c r="CO161" s="873"/>
      <c r="CP161" s="873"/>
      <c r="CQ161" s="873"/>
      <c r="CR161" s="873"/>
      <c r="CS161" s="873"/>
      <c r="CT161" s="873"/>
      <c r="CU161" s="873"/>
      <c r="CV161" s="873"/>
      <c r="CW161" s="873"/>
      <c r="CX161" s="873"/>
      <c r="CY161" s="873"/>
      <c r="CZ161" s="873"/>
      <c r="DA161" s="873"/>
      <c r="DB161" s="873"/>
      <c r="DC161" s="873"/>
      <c r="DD161" s="873"/>
      <c r="DE161" s="873"/>
      <c r="DF161" s="873"/>
      <c r="DG161" s="873"/>
      <c r="DH161" s="873"/>
      <c r="DI161" s="873"/>
      <c r="DJ161" s="873"/>
      <c r="DK161" s="873"/>
      <c r="DL161" s="873"/>
      <c r="DM161" s="873"/>
      <c r="DN161" s="873"/>
      <c r="DO161" s="873"/>
      <c r="DP161" s="873"/>
      <c r="DQ161" s="873"/>
      <c r="DR161" s="873"/>
      <c r="DS161" s="873"/>
      <c r="DT161" s="873"/>
      <c r="DU161" s="873"/>
      <c r="DV161" s="873"/>
      <c r="DW161" s="873"/>
      <c r="DX161" s="873"/>
      <c r="DY161" s="873"/>
      <c r="DZ161" s="873"/>
      <c r="EA161" s="873"/>
      <c r="EB161" s="873"/>
      <c r="EC161" s="873"/>
      <c r="ED161" s="873"/>
      <c r="EE161" s="873"/>
      <c r="EF161" s="873"/>
      <c r="EG161" s="873"/>
      <c r="EH161" s="873"/>
      <c r="EI161" s="873"/>
      <c r="EJ161" s="873"/>
      <c r="EK161" s="873"/>
      <c r="EL161" s="873"/>
      <c r="EM161" s="873"/>
      <c r="EN161" s="873"/>
      <c r="EO161" s="873"/>
      <c r="EP161" s="873"/>
      <c r="EQ161" s="873"/>
      <c r="ER161" s="873"/>
      <c r="ES161" s="873"/>
      <c r="ET161" s="873"/>
      <c r="EU161" s="873"/>
      <c r="EV161" s="873"/>
      <c r="EW161" s="873"/>
      <c r="EX161" s="873"/>
      <c r="EY161" s="873"/>
      <c r="EZ161" s="873"/>
      <c r="FA161" s="873"/>
      <c r="FB161" s="873"/>
      <c r="FC161" s="873"/>
      <c r="FD161" s="873"/>
      <c r="FE161" s="873"/>
      <c r="FF161" s="873"/>
      <c r="FG161" s="873"/>
      <c r="FH161" s="873"/>
      <c r="FI161" s="873"/>
      <c r="FJ161" s="873"/>
      <c r="FK161" s="873"/>
      <c r="FL161" s="873"/>
      <c r="FM161" s="873"/>
      <c r="FN161" s="873"/>
      <c r="FO161" s="873"/>
      <c r="FP161" s="873"/>
      <c r="FQ161" s="873"/>
      <c r="FR161" s="873"/>
      <c r="FS161" s="873"/>
      <c r="FT161" s="873"/>
      <c r="FU161" s="873"/>
      <c r="FV161" s="873"/>
      <c r="FW161" s="873"/>
      <c r="FX161" s="873"/>
      <c r="FY161" s="873"/>
      <c r="FZ161" s="873"/>
      <c r="GA161" s="873"/>
      <c r="GB161" s="873"/>
      <c r="GC161" s="873"/>
      <c r="GD161" s="873"/>
      <c r="GE161" s="873"/>
      <c r="GF161" s="873"/>
      <c r="GG161" s="873"/>
      <c r="GH161" s="873"/>
      <c r="GI161" s="873"/>
      <c r="GJ161" s="873"/>
      <c r="GK161" s="873"/>
      <c r="GL161" s="873"/>
      <c r="GM161" s="873"/>
      <c r="GN161" s="873"/>
      <c r="GO161" s="873"/>
      <c r="GP161" s="873"/>
      <c r="GQ161" s="873"/>
      <c r="GR161" s="873"/>
      <c r="GS161" s="873"/>
      <c r="GT161" s="873"/>
      <c r="GU161" s="873"/>
      <c r="GV161" s="873"/>
      <c r="GW161" s="873"/>
      <c r="GX161" s="873"/>
      <c r="GY161" s="873"/>
      <c r="GZ161" s="873"/>
      <c r="HA161" s="873"/>
      <c r="HB161" s="873"/>
      <c r="HC161" s="873"/>
      <c r="HD161" s="873"/>
      <c r="HE161" s="873"/>
      <c r="HF161" s="873"/>
      <c r="HG161" s="873"/>
      <c r="HH161" s="873"/>
      <c r="HI161" s="873"/>
      <c r="HJ161" s="873"/>
      <c r="HK161" s="873"/>
      <c r="HL161" s="873"/>
      <c r="HM161" s="873"/>
      <c r="HN161" s="873"/>
      <c r="HO161" s="873"/>
      <c r="HP161" s="873"/>
      <c r="HQ161" s="873"/>
      <c r="HR161" s="873"/>
      <c r="HS161" s="873"/>
      <c r="HT161" s="873"/>
      <c r="HU161" s="873"/>
      <c r="HV161" s="873"/>
      <c r="HW161" s="873"/>
      <c r="HX161" s="873"/>
      <c r="HY161" s="873"/>
      <c r="HZ161" s="873"/>
      <c r="IA161" s="873"/>
      <c r="IB161" s="873"/>
      <c r="IC161" s="873"/>
      <c r="ID161" s="873"/>
      <c r="IE161" s="873"/>
      <c r="IF161" s="873"/>
      <c r="IG161" s="873"/>
      <c r="IH161" s="873"/>
      <c r="II161" s="873"/>
      <c r="IJ161" s="873"/>
      <c r="IK161" s="873"/>
      <c r="IL161" s="873"/>
      <c r="IM161" s="873"/>
      <c r="IN161" s="873"/>
      <c r="IO161" s="873"/>
      <c r="IP161" s="873"/>
      <c r="IQ161" s="873"/>
      <c r="IR161" s="873"/>
      <c r="IS161" s="873"/>
      <c r="IT161" s="873"/>
      <c r="IU161" s="873"/>
      <c r="IV161" s="873"/>
      <c r="IW161" s="873"/>
      <c r="IX161" s="873"/>
      <c r="IY161" s="873"/>
      <c r="IZ161" s="873"/>
      <c r="JA161" s="873"/>
      <c r="JB161" s="873"/>
      <c r="JC161" s="873"/>
      <c r="JD161" s="873"/>
      <c r="JE161" s="873"/>
      <c r="JF161" s="873"/>
      <c r="JG161" s="873"/>
      <c r="JH161" s="873"/>
      <c r="JI161" s="873"/>
      <c r="JJ161" s="873"/>
      <c r="JK161" s="873"/>
      <c r="JL161" s="873"/>
      <c r="JM161" s="873"/>
      <c r="JN161" s="873"/>
      <c r="JO161" s="873"/>
      <c r="JP161" s="873"/>
      <c r="JQ161" s="873"/>
      <c r="JR161" s="873"/>
      <c r="JS161" s="873"/>
      <c r="JT161" s="873"/>
      <c r="JU161" s="873"/>
    </row>
    <row r="162" spans="1:281">
      <c r="A162" s="672"/>
      <c r="B162" s="408"/>
      <c r="C162" s="873"/>
      <c r="D162" s="888"/>
      <c r="E162" s="671"/>
      <c r="F162" s="873"/>
      <c r="G162" s="873"/>
      <c r="H162" s="873"/>
      <c r="I162" s="873"/>
      <c r="J162" s="873"/>
      <c r="K162" s="873"/>
      <c r="L162" s="873"/>
      <c r="M162" s="873"/>
      <c r="N162" s="873"/>
      <c r="O162" s="873"/>
      <c r="P162" s="873"/>
      <c r="Q162" s="873"/>
      <c r="R162" s="873"/>
      <c r="S162" s="873"/>
      <c r="T162" s="873"/>
      <c r="U162" s="873"/>
      <c r="V162" s="873"/>
      <c r="W162" s="873"/>
      <c r="X162" s="873"/>
      <c r="Y162" s="873"/>
      <c r="Z162" s="873"/>
      <c r="AA162" s="394"/>
      <c r="AB162" s="873"/>
      <c r="AC162" s="394"/>
      <c r="AD162" s="873"/>
      <c r="AE162" s="873"/>
      <c r="AF162" s="873"/>
      <c r="AG162" s="873"/>
      <c r="AH162" s="873"/>
      <c r="AI162" s="873"/>
      <c r="AJ162" s="403"/>
      <c r="AK162" s="403"/>
      <c r="AL162" s="873"/>
      <c r="AM162" s="873"/>
      <c r="AN162" s="403"/>
      <c r="AO162" s="403"/>
      <c r="AP162" s="394"/>
      <c r="AQ162" s="394"/>
      <c r="AR162" s="394"/>
      <c r="AS162" s="394"/>
      <c r="AT162" s="394"/>
      <c r="AU162" s="873"/>
      <c r="AV162" s="873"/>
      <c r="AW162" s="873"/>
      <c r="AX162" s="873"/>
      <c r="AY162" s="873"/>
      <c r="AZ162" s="873"/>
      <c r="BA162" s="394"/>
      <c r="BB162" s="873"/>
      <c r="BC162" s="873"/>
      <c r="BD162" s="873"/>
      <c r="BE162" s="873"/>
      <c r="BF162" s="873"/>
      <c r="BG162" s="873"/>
      <c r="BH162" s="873"/>
      <c r="BI162" s="873"/>
      <c r="BJ162" s="873"/>
      <c r="BK162" s="873"/>
      <c r="BL162" s="873"/>
      <c r="BM162" s="873"/>
      <c r="BN162" s="873"/>
      <c r="BO162" s="873"/>
      <c r="BP162" s="873"/>
      <c r="BQ162" s="873"/>
      <c r="BR162" s="873"/>
      <c r="BS162" s="873"/>
      <c r="BT162" s="873"/>
      <c r="BU162" s="873"/>
      <c r="BV162" s="873"/>
      <c r="BW162" s="873"/>
      <c r="BX162" s="873"/>
      <c r="BY162" s="873"/>
      <c r="BZ162" s="873"/>
      <c r="CA162" s="873"/>
      <c r="CB162" s="873"/>
      <c r="CC162" s="873"/>
      <c r="CD162" s="873"/>
      <c r="CE162" s="873"/>
      <c r="CF162" s="873"/>
      <c r="CG162" s="873"/>
      <c r="CH162" s="873"/>
      <c r="CI162" s="873"/>
      <c r="CJ162" s="873"/>
      <c r="CK162" s="873"/>
      <c r="CL162" s="873"/>
      <c r="CM162" s="873"/>
      <c r="CN162" s="873"/>
      <c r="CO162" s="873"/>
      <c r="CP162" s="873"/>
      <c r="CQ162" s="873"/>
      <c r="CR162" s="873"/>
      <c r="CS162" s="873"/>
      <c r="CT162" s="873"/>
      <c r="CU162" s="873"/>
      <c r="CV162" s="873"/>
      <c r="CW162" s="873"/>
      <c r="CX162" s="873"/>
      <c r="CY162" s="873"/>
      <c r="CZ162" s="873"/>
      <c r="DA162" s="873"/>
      <c r="DB162" s="873"/>
      <c r="DC162" s="873"/>
      <c r="DD162" s="873"/>
      <c r="DE162" s="873"/>
      <c r="DF162" s="873"/>
      <c r="DG162" s="873"/>
      <c r="DH162" s="873"/>
      <c r="DI162" s="873"/>
      <c r="DJ162" s="873"/>
      <c r="DK162" s="873"/>
      <c r="DL162" s="873"/>
      <c r="DM162" s="873"/>
      <c r="DN162" s="873"/>
      <c r="DO162" s="873"/>
      <c r="DP162" s="873"/>
      <c r="DQ162" s="873"/>
      <c r="DR162" s="873"/>
      <c r="DS162" s="873"/>
      <c r="DT162" s="873"/>
      <c r="DU162" s="873"/>
      <c r="DV162" s="873"/>
      <c r="DW162" s="873"/>
      <c r="DX162" s="873"/>
      <c r="DY162" s="873"/>
      <c r="DZ162" s="873"/>
      <c r="EA162" s="873"/>
      <c r="EB162" s="873"/>
      <c r="EC162" s="873"/>
      <c r="ED162" s="873"/>
      <c r="EE162" s="873"/>
      <c r="EF162" s="873"/>
      <c r="EG162" s="873"/>
      <c r="EH162" s="873"/>
      <c r="EI162" s="873"/>
      <c r="EJ162" s="873"/>
      <c r="EK162" s="873"/>
      <c r="EL162" s="873"/>
      <c r="EM162" s="873"/>
      <c r="EN162" s="873"/>
      <c r="EO162" s="873"/>
      <c r="EP162" s="873"/>
      <c r="EQ162" s="873"/>
      <c r="ER162" s="873"/>
      <c r="ES162" s="873"/>
      <c r="ET162" s="873"/>
      <c r="EU162" s="873"/>
      <c r="EV162" s="873"/>
      <c r="EW162" s="873"/>
      <c r="EX162" s="873"/>
      <c r="EY162" s="873"/>
      <c r="EZ162" s="873"/>
      <c r="FA162" s="873"/>
      <c r="FB162" s="873"/>
      <c r="FC162" s="873"/>
      <c r="FD162" s="873"/>
      <c r="FE162" s="873"/>
      <c r="FF162" s="873"/>
      <c r="FG162" s="873"/>
      <c r="FH162" s="873"/>
      <c r="FI162" s="873"/>
      <c r="FJ162" s="873"/>
      <c r="FK162" s="873"/>
      <c r="FL162" s="873"/>
      <c r="FM162" s="873"/>
      <c r="FN162" s="873"/>
      <c r="FO162" s="873"/>
      <c r="FP162" s="873"/>
      <c r="FQ162" s="873"/>
      <c r="FR162" s="873"/>
      <c r="FS162" s="873"/>
      <c r="FT162" s="873"/>
      <c r="FU162" s="873"/>
      <c r="FV162" s="873"/>
      <c r="FW162" s="873"/>
      <c r="FX162" s="873"/>
      <c r="FY162" s="873"/>
      <c r="FZ162" s="873"/>
      <c r="GA162" s="873"/>
      <c r="GB162" s="873"/>
      <c r="GC162" s="873"/>
      <c r="GD162" s="873"/>
      <c r="GE162" s="873"/>
      <c r="GF162" s="873"/>
      <c r="GG162" s="873"/>
      <c r="GH162" s="873"/>
      <c r="GI162" s="873"/>
      <c r="GJ162" s="873"/>
      <c r="GK162" s="873"/>
      <c r="GL162" s="873"/>
      <c r="GM162" s="873"/>
      <c r="GN162" s="873"/>
      <c r="GO162" s="873"/>
      <c r="GP162" s="873"/>
      <c r="GQ162" s="873"/>
      <c r="GR162" s="873"/>
      <c r="GS162" s="873"/>
      <c r="GT162" s="873"/>
      <c r="GU162" s="873"/>
      <c r="GV162" s="873"/>
      <c r="GW162" s="873"/>
      <c r="GX162" s="873"/>
      <c r="GY162" s="873"/>
      <c r="GZ162" s="873"/>
      <c r="HA162" s="873"/>
      <c r="HB162" s="873"/>
      <c r="HC162" s="873"/>
      <c r="HD162" s="873"/>
      <c r="HE162" s="873"/>
      <c r="HF162" s="873"/>
      <c r="HG162" s="873"/>
      <c r="HH162" s="873"/>
      <c r="HI162" s="873"/>
      <c r="HJ162" s="873"/>
      <c r="HK162" s="873"/>
      <c r="HL162" s="873"/>
      <c r="HM162" s="873"/>
      <c r="HN162" s="873"/>
      <c r="HO162" s="873"/>
      <c r="HP162" s="873"/>
      <c r="HQ162" s="873"/>
      <c r="HR162" s="873"/>
      <c r="HS162" s="873"/>
      <c r="HT162" s="873"/>
      <c r="HU162" s="873"/>
      <c r="HV162" s="873"/>
      <c r="HW162" s="873"/>
      <c r="HX162" s="873"/>
      <c r="HY162" s="873"/>
      <c r="HZ162" s="873"/>
      <c r="IA162" s="873"/>
      <c r="IB162" s="873"/>
      <c r="IC162" s="873"/>
      <c r="ID162" s="873"/>
      <c r="IE162" s="873"/>
      <c r="IF162" s="873"/>
      <c r="IG162" s="873"/>
      <c r="IH162" s="873"/>
      <c r="II162" s="873"/>
      <c r="IJ162" s="873"/>
      <c r="IK162" s="873"/>
      <c r="IL162" s="873"/>
      <c r="IM162" s="873"/>
      <c r="IN162" s="873"/>
      <c r="IO162" s="873"/>
      <c r="IP162" s="873"/>
      <c r="IQ162" s="873"/>
      <c r="IR162" s="873"/>
      <c r="IS162" s="873"/>
      <c r="IT162" s="873"/>
      <c r="IU162" s="873"/>
      <c r="IV162" s="873"/>
      <c r="IW162" s="873"/>
      <c r="IX162" s="873"/>
      <c r="IY162" s="873"/>
      <c r="IZ162" s="873"/>
      <c r="JA162" s="873"/>
      <c r="JB162" s="873"/>
      <c r="JC162" s="873"/>
      <c r="JD162" s="873"/>
      <c r="JE162" s="873"/>
      <c r="JF162" s="873"/>
      <c r="JG162" s="873"/>
      <c r="JH162" s="873"/>
      <c r="JI162" s="873"/>
      <c r="JJ162" s="873"/>
      <c r="JK162" s="873"/>
      <c r="JL162" s="873"/>
      <c r="JM162" s="873"/>
      <c r="JN162" s="873"/>
      <c r="JO162" s="873"/>
      <c r="JP162" s="873"/>
      <c r="JQ162" s="873"/>
      <c r="JR162" s="873"/>
      <c r="JS162" s="873"/>
      <c r="JT162" s="873"/>
      <c r="JU162" s="873"/>
    </row>
  </sheetData>
  <pageMargins left="0.7" right="0.7" top="0.75" bottom="0.75" header="0.3" footer="0.3"/>
  <customProperties>
    <customPr name="OrphanNamesChecke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ransitionEvaluation="1" codeName="Sheet3"/>
  <dimension ref="A1:USM316"/>
  <sheetViews>
    <sheetView showGridLines="0" defaultGridColor="0" colorId="22" zoomScale="70" zoomScaleNormal="70" zoomScaleSheetLayoutView="55" workbookViewId="0">
      <pane xSplit="5" ySplit="7" topLeftCell="F286" activePane="bottomRight" state="frozen"/>
      <selection activeCell="B159" sqref="B159"/>
      <selection pane="topRight" activeCell="B159" sqref="B159"/>
      <selection pane="bottomLeft" activeCell="B159" sqref="B159"/>
      <selection pane="bottomRight" activeCell="GL34" sqref="GL34"/>
    </sheetView>
  </sheetViews>
  <sheetFormatPr defaultColWidth="11.81640625" defaultRowHeight="15.6"/>
  <cols>
    <col min="1" max="1" width="3.453125" style="1005" customWidth="1"/>
    <col min="2" max="2" width="3.81640625" style="1005" customWidth="1"/>
    <col min="3" max="3" width="3.08984375" style="1005" customWidth="1"/>
    <col min="4" max="4" width="21.36328125" style="1005" customWidth="1"/>
    <col min="5" max="5" width="60.1796875" style="1005" customWidth="1"/>
    <col min="6" max="6" width="19.54296875" style="1536" customWidth="1" collapsed="1"/>
    <col min="7" max="7" width="7.90625" style="1535" customWidth="1" collapsed="1"/>
    <col min="8" max="8" width="19.54296875" style="1536" customWidth="1" collapsed="1"/>
    <col min="9" max="9" width="7.90625" style="1347" customWidth="1" collapsed="1"/>
    <col min="10" max="10" width="19.54296875" style="1536" customWidth="1" collapsed="1"/>
    <col min="11" max="11" width="7.90625" style="1535" customWidth="1" collapsed="1"/>
    <col min="12" max="12" width="19.54296875" style="1536" customWidth="1" collapsed="1"/>
    <col min="13" max="13" width="7.90625" style="1535" customWidth="1" collapsed="1"/>
    <col min="14" max="14" width="19.54296875" style="1536" customWidth="1" collapsed="1"/>
    <col min="15" max="15" width="7.90625" style="1535" customWidth="1" collapsed="1"/>
    <col min="16" max="16" width="19.54296875" style="1536" customWidth="1" collapsed="1"/>
    <col min="17" max="17" width="7.81640625" style="1535" customWidth="1" collapsed="1"/>
    <col min="18" max="18" width="19.54296875" style="1406" customWidth="1" collapsed="1"/>
    <col min="19" max="19" width="7.90625" style="1356" customWidth="1" collapsed="1"/>
    <col min="20" max="20" width="19.54296875" style="1536" customWidth="1" collapsed="1"/>
    <col min="21" max="21" width="7.90625" style="1535" customWidth="1" collapsed="1"/>
    <col min="22" max="22" width="19.54296875" style="1536" customWidth="1" collapsed="1"/>
    <col min="23" max="23" width="7.90625" style="1535" customWidth="1" collapsed="1"/>
    <col min="24" max="24" width="19.54296875" style="1536" customWidth="1" collapsed="1"/>
    <col min="25" max="25" width="7.90625" style="1535" customWidth="1" collapsed="1"/>
    <col min="26" max="26" width="19.54296875" style="1536" customWidth="1" collapsed="1"/>
    <col min="27" max="27" width="7.90625" style="1535" customWidth="1" collapsed="1"/>
    <col min="28" max="28" width="19.54296875" style="1536" customWidth="1" collapsed="1"/>
    <col min="29" max="29" width="7.90625" style="1535" customWidth="1" collapsed="1"/>
    <col min="30" max="30" width="19.54296875" style="1536" customWidth="1" collapsed="1"/>
    <col min="31" max="31" width="7.90625" style="1535" customWidth="1" collapsed="1"/>
    <col min="32" max="32" width="19.54296875" style="1536" customWidth="1" collapsed="1"/>
    <col min="33" max="33" width="7.90625" style="1535" customWidth="1" collapsed="1"/>
    <col min="34" max="34" width="19.54296875" style="1536" customWidth="1" collapsed="1"/>
    <col min="35" max="35" width="7.90625" style="1535" customWidth="1" collapsed="1"/>
    <col min="36" max="36" width="19.54296875" style="1536" customWidth="1" collapsed="1"/>
    <col min="37" max="37" width="7.90625" style="1535" customWidth="1" collapsed="1"/>
    <col min="38" max="38" width="19.54296875" style="1536" customWidth="1" collapsed="1"/>
    <col min="39" max="39" width="7.90625" style="1535" customWidth="1" collapsed="1"/>
    <col min="40" max="40" width="19.54296875" style="1536" customWidth="1" collapsed="1"/>
    <col min="41" max="41" width="7.90625" style="1535" customWidth="1" collapsed="1"/>
    <col min="42" max="42" width="19.54296875" style="1536" customWidth="1" collapsed="1"/>
    <col min="43" max="43" width="7.90625" style="1535" customWidth="1" collapsed="1"/>
    <col min="44" max="44" width="19.54296875" style="1536" customWidth="1" collapsed="1"/>
    <col min="45" max="45" width="7.90625" style="1535" customWidth="1" collapsed="1"/>
    <col min="46" max="46" width="19.54296875" style="1536" customWidth="1" collapsed="1"/>
    <col min="47" max="47" width="7.81640625" style="1535" customWidth="1" collapsed="1"/>
    <col min="48" max="48" width="19.54296875" style="1536" customWidth="1" collapsed="1"/>
    <col min="49" max="49" width="7.81640625" style="1535" customWidth="1" collapsed="1"/>
    <col min="50" max="50" width="19.54296875" style="1536" customWidth="1" collapsed="1"/>
    <col min="51" max="51" width="7.90625" style="1535" customWidth="1" collapsed="1"/>
    <col min="52" max="52" width="19.54296875" style="1536" customWidth="1" collapsed="1"/>
    <col min="53" max="53" width="7.90625" style="1535" customWidth="1" collapsed="1"/>
    <col min="54" max="54" width="19.54296875" style="1536" customWidth="1" collapsed="1"/>
    <col min="55" max="55" width="7.90625" style="1535" customWidth="1" collapsed="1"/>
    <col min="56" max="56" width="19.54296875" style="1536" customWidth="1" collapsed="1"/>
    <col min="57" max="57" width="7.90625" style="1535" customWidth="1" collapsed="1"/>
    <col min="58" max="58" width="19.54296875" style="1536" customWidth="1" collapsed="1"/>
    <col min="59" max="59" width="7.90625" style="1535" customWidth="1" collapsed="1"/>
    <col min="60" max="60" width="19.54296875" style="1536" customWidth="1" collapsed="1"/>
    <col min="61" max="61" width="7.90625" style="1535" customWidth="1" collapsed="1"/>
    <col min="62" max="62" width="19.54296875" style="1536" customWidth="1" collapsed="1"/>
    <col min="63" max="63" width="7.81640625" style="1535" customWidth="1" collapsed="1"/>
    <col min="64" max="64" width="19.54296875" style="1536" customWidth="1" collapsed="1"/>
    <col min="65" max="65" width="7.81640625" style="1535" customWidth="1" collapsed="1"/>
    <col min="66" max="66" width="19.54296875" style="1536" customWidth="1" collapsed="1"/>
    <col min="67" max="67" width="7.90625" style="1535" customWidth="1" collapsed="1"/>
    <col min="68" max="68" width="19.54296875" style="1536" customWidth="1" collapsed="1"/>
    <col min="69" max="69" width="7.90625" style="1535" customWidth="1" collapsed="1"/>
    <col min="70" max="70" width="19.54296875" style="1536" customWidth="1" collapsed="1"/>
    <col min="71" max="71" width="7.90625" style="1535" customWidth="1" collapsed="1"/>
    <col min="72" max="72" width="19.54296875" style="1536" customWidth="1" collapsed="1"/>
    <col min="73" max="73" width="7.90625" style="1535" customWidth="1" collapsed="1"/>
    <col min="74" max="74" width="19.54296875" style="1536" customWidth="1" collapsed="1"/>
    <col min="75" max="75" width="7.90625" style="1535" customWidth="1" collapsed="1"/>
    <col min="76" max="76" width="19.54296875" style="1536" customWidth="1" collapsed="1"/>
    <col min="77" max="77" width="7.90625" style="1535" customWidth="1" collapsed="1"/>
    <col min="78" max="78" width="19.54296875" style="1536" customWidth="1" collapsed="1"/>
    <col min="79" max="79" width="7.90625" style="1535" customWidth="1" collapsed="1"/>
    <col min="80" max="80" width="19.54296875" style="1536" customWidth="1" collapsed="1"/>
    <col min="81" max="81" width="7.90625" style="1535" customWidth="1" collapsed="1"/>
    <col min="82" max="82" width="19.54296875" style="1536" customWidth="1" collapsed="1"/>
    <col min="83" max="83" width="7.90625" style="1535" customWidth="1" collapsed="1"/>
    <col min="84" max="84" width="19.54296875" style="1536" customWidth="1" collapsed="1"/>
    <col min="85" max="85" width="7.90625" style="1535" customWidth="1" collapsed="1"/>
    <col min="86" max="86" width="19.54296875" style="1536" customWidth="1" collapsed="1"/>
    <col min="87" max="87" width="7.90625" style="1535" customWidth="1" collapsed="1"/>
    <col min="88" max="88" width="19.54296875" style="1536" customWidth="1" collapsed="1"/>
    <col min="89" max="89" width="7.90625" style="1535" customWidth="1" collapsed="1"/>
    <col min="90" max="90" width="19.54296875" style="1536" customWidth="1" collapsed="1"/>
    <col min="91" max="91" width="7.90625" style="1535" customWidth="1" collapsed="1"/>
    <col min="92" max="92" width="19.54296875" style="1536" customWidth="1" collapsed="1"/>
    <col min="93" max="93" width="7.90625" style="1535" customWidth="1" collapsed="1"/>
    <col min="94" max="94" width="19.54296875" style="1536" customWidth="1" collapsed="1"/>
    <col min="95" max="95" width="7.90625" style="1535" customWidth="1" collapsed="1"/>
    <col min="96" max="96" width="19.54296875" style="1536" customWidth="1" collapsed="1"/>
    <col min="97" max="97" width="7.90625" style="1535" customWidth="1" collapsed="1"/>
    <col min="98" max="98" width="19.54296875" style="1536" customWidth="1" collapsed="1"/>
    <col min="99" max="99" width="7.90625" style="1535" customWidth="1" collapsed="1"/>
    <col min="100" max="100" width="19.54296875" style="1536" customWidth="1" collapsed="1"/>
    <col min="101" max="101" width="7.90625" style="1535" customWidth="1" collapsed="1"/>
    <col min="102" max="102" width="19.54296875" style="1536" customWidth="1" collapsed="1"/>
    <col min="103" max="103" width="7.90625" style="1535" customWidth="1" collapsed="1"/>
    <col min="104" max="104" width="19.54296875" style="1536" customWidth="1" collapsed="1"/>
    <col min="105" max="105" width="7.90625" style="1535" customWidth="1" collapsed="1"/>
    <col min="106" max="106" width="19.54296875" style="1536" customWidth="1" collapsed="1"/>
    <col min="107" max="107" width="7.90625" style="1535" customWidth="1" collapsed="1"/>
    <col min="108" max="108" width="19.54296875" style="1536" customWidth="1" collapsed="1"/>
    <col min="109" max="109" width="7.90625" style="1535" customWidth="1" collapsed="1"/>
    <col min="110" max="110" width="19.54296875" style="1536" customWidth="1" collapsed="1"/>
    <col min="111" max="111" width="7.90625" style="1535" customWidth="1" collapsed="1"/>
    <col min="112" max="112" width="19.54296875" style="1536" customWidth="1" collapsed="1"/>
    <col min="113" max="113" width="7.90625" style="1535" customWidth="1" collapsed="1"/>
    <col min="114" max="114" width="19.54296875" style="1536" customWidth="1" collapsed="1"/>
    <col min="115" max="115" width="7.90625" style="1535" customWidth="1" collapsed="1"/>
    <col min="116" max="116" width="19.54296875" style="1536" customWidth="1" collapsed="1"/>
    <col min="117" max="117" width="7.90625" style="1535" customWidth="1" collapsed="1"/>
    <col min="118" max="118" width="19.54296875" style="1536" customWidth="1" collapsed="1"/>
    <col min="119" max="119" width="7.90625" style="1535" customWidth="1" collapsed="1"/>
    <col min="120" max="120" width="19.54296875" style="1536" customWidth="1" collapsed="1"/>
    <col min="121" max="121" width="7.90625" style="1535" customWidth="1" collapsed="1"/>
    <col min="122" max="122" width="19.54296875" style="1536" customWidth="1" collapsed="1"/>
    <col min="123" max="123" width="7.90625" style="1535" customWidth="1" collapsed="1"/>
    <col min="124" max="124" width="19.54296875" style="1536" customWidth="1" collapsed="1"/>
    <col min="125" max="125" width="7.90625" style="1535" customWidth="1" collapsed="1"/>
    <col min="126" max="126" width="19.54296875" style="1536" customWidth="1" collapsed="1"/>
    <col min="127" max="127" width="7.90625" style="1535" customWidth="1" collapsed="1"/>
    <col min="128" max="128" width="19.54296875" style="1536" customWidth="1" collapsed="1"/>
    <col min="129" max="129" width="7.90625" style="1535" customWidth="1" collapsed="1"/>
    <col min="130" max="130" width="19.54296875" style="1536" customWidth="1" collapsed="1"/>
    <col min="131" max="131" width="7.90625" style="1535" customWidth="1" collapsed="1"/>
    <col min="132" max="132" width="19.54296875" style="1536" customWidth="1" collapsed="1"/>
    <col min="133" max="133" width="7.90625" style="1535" customWidth="1" collapsed="1"/>
    <col min="134" max="134" width="19.54296875" style="1536" customWidth="1" collapsed="1"/>
    <col min="135" max="135" width="7.90625" style="1535" customWidth="1" collapsed="1"/>
    <col min="136" max="136" width="19.54296875" style="1536" customWidth="1" collapsed="1"/>
    <col min="137" max="137" width="7.90625" style="1535" customWidth="1" collapsed="1"/>
    <col min="138" max="138" width="19.54296875" style="1536" customWidth="1" collapsed="1"/>
    <col min="139" max="139" width="7.90625" style="1535" customWidth="1" collapsed="1"/>
    <col min="140" max="140" width="19.54296875" style="1536" customWidth="1" collapsed="1"/>
    <col min="141" max="141" width="7.90625" style="1535" customWidth="1" collapsed="1"/>
    <col min="142" max="142" width="19.54296875" style="1536" customWidth="1" collapsed="1"/>
    <col min="143" max="143" width="7.90625" style="1535" customWidth="1" collapsed="1"/>
    <col min="144" max="144" width="19.54296875" style="1536" customWidth="1" collapsed="1"/>
    <col min="145" max="145" width="7.90625" style="1535" customWidth="1" collapsed="1"/>
    <col min="146" max="146" width="19.54296875" style="1536" customWidth="1" collapsed="1"/>
    <col min="147" max="147" width="7.90625" style="1535" customWidth="1" collapsed="1"/>
    <col min="148" max="148" width="19.54296875" style="1536" customWidth="1" collapsed="1"/>
    <col min="149" max="149" width="7.90625" style="1535" customWidth="1" collapsed="1"/>
    <col min="150" max="150" width="19.54296875" style="1536" customWidth="1" collapsed="1"/>
    <col min="151" max="151" width="7.81640625" style="1535" customWidth="1" collapsed="1"/>
    <col min="152" max="152" width="19.54296875" style="1536" customWidth="1" collapsed="1"/>
    <col min="153" max="153" width="7.90625" style="1535" customWidth="1" collapsed="1"/>
    <col min="154" max="154" width="19.453125" style="1536" customWidth="1" collapsed="1"/>
    <col min="155" max="155" width="7.90625" style="1535" customWidth="1" collapsed="1"/>
    <col min="156" max="156" width="19.54296875" style="1536" customWidth="1" collapsed="1"/>
    <col min="157" max="157" width="7.90625" style="1535" customWidth="1" collapsed="1"/>
    <col min="158" max="158" width="19.54296875" style="1536" customWidth="1" collapsed="1"/>
    <col min="159" max="159" width="7.90625" style="1535" customWidth="1" collapsed="1"/>
    <col min="160" max="160" width="19.54296875" style="1536" customWidth="1" collapsed="1"/>
    <col min="161" max="161" width="7.90625" style="1535" customWidth="1" collapsed="1"/>
    <col min="162" max="162" width="19.54296875" style="1536" customWidth="1" collapsed="1"/>
    <col min="163" max="163" width="7.90625" style="1535" customWidth="1" collapsed="1"/>
    <col min="164" max="164" width="19.54296875" style="1536" customWidth="1" collapsed="1"/>
    <col min="165" max="165" width="7.90625" style="1535" customWidth="1" collapsed="1"/>
    <col min="166" max="166" width="19.54296875" style="1536" customWidth="1" collapsed="1"/>
    <col min="167" max="167" width="7.90625" style="1535" customWidth="1" collapsed="1"/>
    <col min="168" max="168" width="19.54296875" style="1536" customWidth="1" collapsed="1"/>
    <col min="169" max="169" width="7.90625" style="1535" customWidth="1" collapsed="1"/>
    <col min="170" max="170" width="19.54296875" style="1536" customWidth="1" collapsed="1"/>
    <col min="171" max="171" width="7.90625" style="1535" customWidth="1" collapsed="1"/>
    <col min="172" max="172" width="19.54296875" style="1536" customWidth="1" collapsed="1"/>
    <col min="173" max="173" width="7.90625" style="1535" customWidth="1" collapsed="1"/>
    <col min="174" max="174" width="19.54296875" style="1536" customWidth="1" collapsed="1"/>
    <col min="175" max="175" width="7.90625" style="1535" customWidth="1" collapsed="1"/>
    <col min="176" max="176" width="19.54296875" style="1536" customWidth="1" collapsed="1"/>
    <col min="177" max="177" width="7.90625" style="1535" customWidth="1" collapsed="1"/>
    <col min="178" max="178" width="19.54296875" style="1536" customWidth="1" collapsed="1"/>
    <col min="179" max="179" width="7.90625" style="1535" customWidth="1" collapsed="1"/>
    <col min="180" max="180" width="19.54296875" style="1536" customWidth="1" collapsed="1"/>
    <col min="181" max="181" width="7.90625" style="1535" customWidth="1" collapsed="1"/>
    <col min="182" max="182" width="19.54296875" style="1536" customWidth="1" collapsed="1"/>
    <col min="183" max="183" width="7.90625" style="1535" customWidth="1" collapsed="1"/>
    <col min="184" max="184" width="19.54296875" style="1536" customWidth="1" collapsed="1"/>
    <col min="185" max="185" width="7.90625" style="1535" customWidth="1" collapsed="1"/>
    <col min="186" max="186" width="19.54296875" style="1536" customWidth="1" collapsed="1"/>
    <col min="187" max="187" width="7.90625" style="1535" customWidth="1" collapsed="1"/>
    <col min="188" max="188" width="19.54296875" style="1536" customWidth="1" collapsed="1"/>
    <col min="189" max="189" width="7.90625" style="1535" customWidth="1" collapsed="1"/>
    <col min="190" max="190" width="19.54296875" style="1536" customWidth="1" collapsed="1"/>
    <col min="191" max="191" width="7.81640625" style="1535" customWidth="1" collapsed="1"/>
    <col min="192" max="192" width="19.54296875" style="1536" customWidth="1" collapsed="1"/>
    <col min="193" max="193" width="7.90625" style="1535" customWidth="1" collapsed="1"/>
    <col min="194" max="194" width="19.54296875" style="1536" customWidth="1" collapsed="1"/>
    <col min="195" max="195" width="7.90625" style="1535" customWidth="1" collapsed="1"/>
    <col min="196" max="196" width="19.54296875" style="1536" customWidth="1" collapsed="1"/>
    <col min="197" max="197" width="7.90625" style="1535" customWidth="1" collapsed="1"/>
    <col min="198" max="198" width="20.54296875" style="1536" customWidth="1" collapsed="1"/>
    <col min="199" max="199" width="7.90625" style="1535" customWidth="1" collapsed="1"/>
    <col min="200" max="200" width="19.54296875" style="1536" customWidth="1" collapsed="1"/>
    <col min="201" max="201" width="7.90625" style="1535" customWidth="1" collapsed="1"/>
    <col min="202" max="202" width="19.54296875" style="1536" customWidth="1" collapsed="1"/>
    <col min="203" max="203" width="7.81640625" style="1535" customWidth="1" collapsed="1"/>
    <col min="204" max="204" width="19.54296875" style="1536" customWidth="1" collapsed="1"/>
    <col min="205" max="205" width="7.90625" style="1535" customWidth="1" collapsed="1"/>
    <col min="206" max="206" width="19.54296875" style="1536" customWidth="1" collapsed="1"/>
    <col min="207" max="207" width="7.90625" style="1535" customWidth="1" collapsed="1"/>
    <col min="208" max="208" width="19.54296875" style="1536" customWidth="1" collapsed="1"/>
    <col min="209" max="209" width="7.90625" style="1535" customWidth="1" collapsed="1"/>
    <col min="210" max="210" width="19.54296875" style="1536" customWidth="1" collapsed="1"/>
    <col min="211" max="211" width="7.90625" style="1535" customWidth="1" collapsed="1"/>
    <col min="212" max="212" width="19.54296875" style="1536" customWidth="1" collapsed="1"/>
    <col min="213" max="213" width="7.90625" style="1535" customWidth="1" collapsed="1"/>
    <col min="214" max="214" width="19.54296875" style="1536" customWidth="1" collapsed="1"/>
    <col min="215" max="215" width="7.90625" style="1535" customWidth="1" collapsed="1"/>
    <col min="216" max="216" width="19.54296875" style="1536" customWidth="1" collapsed="1"/>
    <col min="217" max="217" width="7.90625" style="1535" customWidth="1" collapsed="1"/>
    <col min="218" max="218" width="19.54296875" style="1536" customWidth="1" collapsed="1"/>
    <col min="219" max="219" width="7.90625" style="1535" customWidth="1" collapsed="1"/>
    <col min="220" max="220" width="19.54296875" style="1536" customWidth="1" collapsed="1"/>
    <col min="221" max="221" width="7.81640625" style="1535" customWidth="1" collapsed="1"/>
    <col min="222" max="222" width="19.54296875" style="1536" customWidth="1" collapsed="1"/>
    <col min="223" max="223" width="7.81640625" style="1535" customWidth="1" collapsed="1"/>
    <col min="224" max="224" width="19.453125" style="1536" customWidth="1" collapsed="1"/>
    <col min="225" max="225" width="7.90625" style="1535" customWidth="1" collapsed="1"/>
    <col min="226" max="226" width="19.54296875" style="1536" customWidth="1" collapsed="1"/>
    <col min="227" max="227" width="7.90625" style="1535" customWidth="1" collapsed="1"/>
    <col min="228" max="228" width="19.54296875" style="1536" customWidth="1" collapsed="1"/>
    <col min="229" max="229" width="7.81640625" style="1535" customWidth="1" collapsed="1"/>
    <col min="230" max="230" width="19.54296875" style="1536" customWidth="1" collapsed="1"/>
    <col min="231" max="231" width="7.90625" style="1535" customWidth="1" collapsed="1"/>
    <col min="232" max="232" width="19.54296875" style="1536" customWidth="1" collapsed="1"/>
    <col min="233" max="233" width="7.90625" style="1535" customWidth="1" collapsed="1"/>
    <col min="234" max="234" width="19.54296875" style="1536" customWidth="1" collapsed="1"/>
    <col min="235" max="235" width="7.90625" style="1535" customWidth="1" collapsed="1"/>
    <col min="236" max="236" width="19.54296875" style="1536" customWidth="1" collapsed="1"/>
    <col min="237" max="237" width="7.90625" style="1535" customWidth="1" collapsed="1"/>
    <col min="238" max="238" width="19.54296875" style="1536" customWidth="1" collapsed="1"/>
    <col min="239" max="239" width="7.90625" style="1535" customWidth="1" collapsed="1"/>
    <col min="240" max="240" width="19.453125" style="1536" customWidth="1" collapsed="1"/>
    <col min="241" max="241" width="7.81640625" style="1535" customWidth="1" collapsed="1"/>
    <col min="242" max="16384" width="11.81640625" style="1005"/>
  </cols>
  <sheetData>
    <row r="1" spans="1:14703" s="1004" customFormat="1" ht="33.75" customHeight="1" thickBot="1">
      <c r="A1" s="1139"/>
      <c r="B1" s="1140" t="s">
        <v>1835</v>
      </c>
      <c r="C1" s="1141"/>
      <c r="D1" s="1141"/>
      <c r="E1" s="1141"/>
      <c r="F1" s="1930"/>
      <c r="G1" s="1356"/>
      <c r="H1" s="1423"/>
      <c r="I1" s="1356"/>
      <c r="J1" s="1423"/>
      <c r="K1" s="1356"/>
      <c r="L1" s="1423"/>
      <c r="M1" s="1356"/>
      <c r="N1" s="1423"/>
      <c r="O1" s="1356"/>
      <c r="P1" s="1423"/>
      <c r="Q1" s="1356"/>
      <c r="R1" s="1423"/>
      <c r="S1" s="1356"/>
      <c r="T1" s="1423"/>
      <c r="U1" s="1356"/>
      <c r="V1" s="1423"/>
      <c r="W1" s="1356"/>
      <c r="X1" s="1423"/>
      <c r="Y1" s="1356"/>
      <c r="Z1" s="1423"/>
      <c r="AA1" s="1356"/>
      <c r="AB1" s="1423"/>
      <c r="AC1" s="1356"/>
      <c r="AD1" s="1423"/>
      <c r="AE1" s="1356"/>
      <c r="AF1" s="1423"/>
      <c r="AG1" s="1356"/>
      <c r="AH1" s="1423"/>
      <c r="AI1" s="1356"/>
      <c r="AJ1" s="1423"/>
      <c r="AK1" s="1356"/>
      <c r="AL1" s="1423"/>
      <c r="AM1" s="1356"/>
      <c r="AN1" s="1423"/>
      <c r="AO1" s="1356"/>
      <c r="AP1" s="1423"/>
      <c r="AQ1" s="1356"/>
      <c r="AR1" s="1423"/>
      <c r="AS1" s="1356"/>
      <c r="AT1" s="1423"/>
      <c r="AU1" s="1356"/>
      <c r="AV1" s="1423"/>
      <c r="AW1" s="1356"/>
      <c r="AX1" s="1423"/>
      <c r="AY1" s="1356"/>
      <c r="AZ1" s="1423"/>
      <c r="BA1" s="1356"/>
      <c r="BB1" s="1423"/>
      <c r="BC1" s="1356"/>
      <c r="BD1" s="1423"/>
      <c r="BE1" s="1356"/>
      <c r="BF1" s="1423"/>
      <c r="BG1" s="1356"/>
      <c r="BH1" s="1423"/>
      <c r="BI1" s="1356"/>
      <c r="BJ1" s="1423"/>
      <c r="BK1" s="1356"/>
      <c r="BL1" s="1423"/>
      <c r="BM1" s="1356"/>
      <c r="BN1" s="1423"/>
      <c r="BO1" s="1356"/>
      <c r="BP1" s="1423"/>
      <c r="BQ1" s="1356"/>
      <c r="BR1" s="1423"/>
      <c r="BS1" s="1356"/>
      <c r="BT1" s="1423"/>
      <c r="BU1" s="1356"/>
      <c r="BV1" s="1423"/>
      <c r="BW1" s="1356"/>
      <c r="BX1" s="1423"/>
      <c r="BY1" s="1356"/>
      <c r="BZ1" s="1423"/>
      <c r="CA1" s="1356"/>
      <c r="CB1" s="1423"/>
      <c r="CC1" s="1356"/>
      <c r="CD1" s="1423"/>
      <c r="CE1" s="1356"/>
      <c r="CF1" s="1423"/>
      <c r="CG1" s="1356"/>
      <c r="CH1" s="1423"/>
      <c r="CI1" s="1356"/>
      <c r="CJ1" s="1423"/>
      <c r="CK1" s="1356"/>
      <c r="CL1" s="1423"/>
      <c r="CM1" s="1356"/>
      <c r="CN1" s="1423"/>
      <c r="CO1" s="1356"/>
      <c r="CP1" s="1423"/>
      <c r="CQ1" s="1356"/>
      <c r="CR1" s="1423"/>
      <c r="CS1" s="1356"/>
      <c r="CT1" s="1423"/>
      <c r="CU1" s="1356"/>
      <c r="CV1" s="1423"/>
      <c r="CW1" s="1356"/>
      <c r="CX1" s="1423"/>
      <c r="CY1" s="1356"/>
      <c r="CZ1" s="1423"/>
      <c r="DA1" s="1356"/>
      <c r="DB1" s="1423"/>
      <c r="DC1" s="1356"/>
      <c r="DD1" s="1423"/>
      <c r="DE1" s="1356"/>
      <c r="DF1" s="1423"/>
      <c r="DG1" s="1356"/>
      <c r="DH1" s="1423"/>
      <c r="DI1" s="1356"/>
      <c r="DJ1" s="1423"/>
      <c r="DK1" s="1356"/>
      <c r="DL1" s="1423"/>
      <c r="DM1" s="1356"/>
      <c r="DN1" s="1423"/>
      <c r="DO1" s="1356"/>
      <c r="DP1" s="1423"/>
      <c r="DQ1" s="1356"/>
      <c r="DR1" s="1423"/>
      <c r="DS1" s="1356"/>
      <c r="DT1" s="1423"/>
      <c r="DU1" s="1356"/>
      <c r="DV1" s="1423"/>
      <c r="DW1" s="1356"/>
      <c r="DX1" s="1423"/>
      <c r="DY1" s="1356"/>
      <c r="DZ1" s="1423"/>
      <c r="EA1" s="1356"/>
      <c r="EB1" s="1423"/>
      <c r="EC1" s="1356"/>
      <c r="ED1" s="1423"/>
      <c r="EE1" s="1356"/>
      <c r="EF1" s="1423"/>
      <c r="EG1" s="1356"/>
      <c r="EH1" s="1423"/>
      <c r="EI1" s="1356"/>
      <c r="EJ1" s="1423"/>
      <c r="EK1" s="1356"/>
      <c r="EL1" s="1423"/>
      <c r="EM1" s="1356"/>
      <c r="EN1" s="1423"/>
      <c r="EO1" s="1356"/>
      <c r="EP1" s="1423"/>
      <c r="EQ1" s="1356"/>
      <c r="ER1" s="1423"/>
      <c r="ES1" s="1356"/>
      <c r="ET1" s="1423"/>
      <c r="EU1" s="1356"/>
      <c r="EV1" s="1423"/>
      <c r="EW1" s="1356"/>
      <c r="EX1" s="1423"/>
      <c r="EY1" s="1356"/>
      <c r="EZ1" s="1423"/>
      <c r="FA1" s="1356"/>
      <c r="FB1" s="1423"/>
      <c r="FC1" s="1356"/>
      <c r="FD1" s="1423"/>
      <c r="FE1" s="1356"/>
      <c r="FF1" s="1423"/>
      <c r="FG1" s="1356"/>
      <c r="FH1" s="1423"/>
      <c r="FI1" s="1356"/>
      <c r="FJ1" s="1423"/>
      <c r="FK1" s="1356"/>
      <c r="FL1" s="1423"/>
      <c r="FM1" s="1356"/>
      <c r="FN1" s="1423"/>
      <c r="FO1" s="1356"/>
      <c r="FP1" s="1423"/>
      <c r="FQ1" s="1356"/>
      <c r="FR1" s="1423"/>
      <c r="FS1" s="1356"/>
      <c r="FT1" s="1423"/>
      <c r="FU1" s="1356"/>
      <c r="FV1" s="1423"/>
      <c r="FW1" s="1356"/>
      <c r="FX1" s="1423"/>
      <c r="FY1" s="1356"/>
      <c r="FZ1" s="1423"/>
      <c r="GA1" s="1356"/>
      <c r="GB1" s="1423"/>
      <c r="GC1" s="1356"/>
      <c r="GD1" s="1423"/>
      <c r="GE1" s="1356"/>
      <c r="GF1" s="1423"/>
      <c r="GG1" s="1356"/>
      <c r="GH1" s="1423"/>
      <c r="GI1" s="1356"/>
      <c r="GJ1" s="1423"/>
      <c r="GK1" s="1356"/>
      <c r="GL1" s="1423"/>
      <c r="GM1" s="1356"/>
      <c r="GN1" s="1423"/>
      <c r="GO1" s="1356"/>
      <c r="GP1" s="1423"/>
      <c r="GQ1" s="1356"/>
      <c r="GR1" s="1423"/>
      <c r="GS1" s="1356"/>
      <c r="GT1" s="1423"/>
      <c r="GU1" s="1356"/>
      <c r="GV1" s="1423"/>
      <c r="GW1" s="1356"/>
      <c r="GX1" s="1423"/>
      <c r="GY1" s="1356"/>
      <c r="GZ1" s="1423"/>
      <c r="HA1" s="1356"/>
      <c r="HB1" s="1423"/>
      <c r="HC1" s="1356"/>
      <c r="HD1" s="1423"/>
      <c r="HE1" s="1356"/>
      <c r="HF1" s="1423"/>
      <c r="HG1" s="1356"/>
      <c r="HH1" s="1423"/>
      <c r="HI1" s="1356"/>
      <c r="HJ1" s="1423"/>
      <c r="HK1" s="1356"/>
      <c r="HL1" s="1423"/>
      <c r="HM1" s="1356"/>
      <c r="HN1" s="1423"/>
      <c r="HO1" s="1356"/>
      <c r="HP1" s="1423"/>
      <c r="HQ1" s="1356"/>
      <c r="HR1" s="1423"/>
      <c r="HS1" s="1356"/>
      <c r="HT1" s="1423"/>
      <c r="HU1" s="1535"/>
      <c r="HV1" s="1423"/>
      <c r="HW1" s="1535"/>
      <c r="HX1" s="1423"/>
      <c r="HY1" s="1535"/>
      <c r="HZ1" s="1423"/>
      <c r="IA1" s="1535"/>
      <c r="IB1" s="1423"/>
      <c r="IC1" s="1356"/>
      <c r="ID1" s="1423"/>
      <c r="IE1" s="1535"/>
      <c r="IF1" s="998"/>
      <c r="IG1" s="1535"/>
      <c r="IH1" s="996"/>
      <c r="II1" s="996"/>
      <c r="IJ1" s="996"/>
      <c r="IK1" s="996"/>
      <c r="IL1" s="996"/>
      <c r="IM1" s="996"/>
      <c r="IN1" s="996"/>
      <c r="IO1" s="998"/>
      <c r="IP1" s="998"/>
      <c r="IQ1" s="998"/>
      <c r="IR1" s="998"/>
      <c r="IS1" s="998"/>
      <c r="IT1" s="998"/>
      <c r="IU1" s="998"/>
      <c r="IV1" s="996"/>
      <c r="IW1" s="996"/>
      <c r="IX1" s="996"/>
      <c r="IY1" s="996"/>
      <c r="IZ1" s="996"/>
      <c r="JA1" s="996"/>
      <c r="JB1" s="996"/>
      <c r="JC1" s="996"/>
      <c r="JD1" s="996"/>
      <c r="JE1" s="996"/>
      <c r="JF1" s="996"/>
      <c r="JG1" s="996"/>
      <c r="JH1" s="996"/>
      <c r="JI1" s="996"/>
      <c r="JJ1" s="996"/>
      <c r="JK1" s="996"/>
      <c r="JL1" s="996"/>
      <c r="JM1" s="996"/>
      <c r="JN1" s="996"/>
      <c r="JO1" s="996"/>
      <c r="JP1" s="996"/>
      <c r="JQ1" s="996"/>
      <c r="JR1" s="996"/>
      <c r="JS1" s="996"/>
      <c r="JT1" s="996"/>
      <c r="JU1" s="996"/>
      <c r="JV1" s="996"/>
      <c r="JW1" s="1003"/>
      <c r="JX1" s="996"/>
      <c r="JY1" s="996"/>
      <c r="JZ1" s="996"/>
      <c r="KA1" s="996"/>
      <c r="KB1" s="996"/>
      <c r="KC1" s="996"/>
      <c r="KD1" s="996"/>
      <c r="KE1" s="996"/>
      <c r="KF1" s="996"/>
      <c r="KG1" s="996"/>
      <c r="KH1" s="996"/>
      <c r="KI1" s="996"/>
      <c r="KJ1" s="996"/>
      <c r="KK1" s="996"/>
      <c r="KL1" s="996"/>
      <c r="KM1" s="996"/>
      <c r="KN1" s="998"/>
      <c r="KO1" s="998"/>
      <c r="KP1" s="998"/>
      <c r="KQ1" s="998"/>
      <c r="KR1" s="998"/>
      <c r="KS1" s="998"/>
      <c r="KT1" s="998"/>
      <c r="KU1" s="998"/>
      <c r="KV1" s="998"/>
      <c r="KW1" s="996"/>
      <c r="KX1" s="996"/>
      <c r="KY1" s="996"/>
      <c r="KZ1" s="996"/>
      <c r="LA1" s="996"/>
      <c r="LB1" s="996"/>
      <c r="LC1" s="996"/>
      <c r="LD1" s="996"/>
      <c r="LE1" s="996"/>
      <c r="LF1" s="998"/>
      <c r="LG1" s="998"/>
      <c r="LH1" s="998"/>
      <c r="LI1" s="998"/>
      <c r="LJ1" s="998"/>
      <c r="LK1" s="998"/>
      <c r="LL1" s="998"/>
      <c r="LM1" s="998"/>
      <c r="LN1" s="998"/>
      <c r="LO1" s="999"/>
      <c r="LP1" s="1000"/>
      <c r="LQ1" s="1001"/>
      <c r="LR1" s="1000"/>
      <c r="LS1" s="1001"/>
      <c r="LT1" s="1000"/>
      <c r="LU1" s="1000"/>
      <c r="LV1" s="1000"/>
      <c r="LW1" s="1000"/>
      <c r="LX1" s="1000"/>
      <c r="LY1" s="1000"/>
      <c r="LZ1" s="1000"/>
      <c r="MA1" s="1000"/>
      <c r="MB1" s="1000"/>
      <c r="MC1" s="1000"/>
      <c r="MD1" s="1000"/>
      <c r="ME1" s="1000"/>
      <c r="MF1" s="998"/>
      <c r="MG1" s="998"/>
      <c r="MH1" s="998"/>
      <c r="MI1" s="998"/>
      <c r="MJ1" s="998"/>
      <c r="MK1" s="998"/>
      <c r="ML1" s="998"/>
      <c r="MM1" s="996"/>
      <c r="MN1" s="996"/>
      <c r="MO1" s="996"/>
      <c r="MP1" s="996"/>
      <c r="MQ1" s="996"/>
      <c r="MR1" s="996"/>
      <c r="MS1" s="996"/>
      <c r="MT1" s="996"/>
      <c r="MU1" s="996"/>
      <c r="MV1" s="996"/>
      <c r="MW1" s="996"/>
      <c r="MX1" s="996"/>
      <c r="MY1" s="996"/>
      <c r="MZ1" s="996"/>
      <c r="NA1" s="996"/>
      <c r="NB1" s="996"/>
      <c r="NC1" s="996"/>
      <c r="ND1" s="996"/>
      <c r="NE1" s="996"/>
      <c r="NF1" s="996"/>
      <c r="NG1" s="996"/>
      <c r="NH1" s="996"/>
      <c r="NI1" s="996"/>
      <c r="NJ1" s="996"/>
      <c r="NK1" s="996"/>
      <c r="NL1" s="996"/>
      <c r="NM1" s="996"/>
      <c r="NN1" s="996"/>
      <c r="NO1" s="996"/>
      <c r="NP1" s="996"/>
      <c r="NQ1" s="996"/>
      <c r="NR1" s="996"/>
      <c r="NS1" s="996"/>
      <c r="NT1" s="996"/>
      <c r="NU1" s="996"/>
      <c r="NV1" s="996"/>
      <c r="NW1" s="996"/>
      <c r="NX1" s="996"/>
      <c r="NY1" s="996"/>
      <c r="NZ1" s="995"/>
      <c r="OA1" s="995"/>
      <c r="OB1" s="996"/>
      <c r="OC1" s="997"/>
      <c r="OD1" s="1002"/>
      <c r="OE1" s="996"/>
      <c r="OF1" s="996"/>
      <c r="OG1" s="996"/>
      <c r="OH1" s="996"/>
      <c r="OI1" s="996"/>
      <c r="OJ1" s="996"/>
      <c r="OK1" s="996"/>
      <c r="OL1" s="996"/>
      <c r="OM1" s="996"/>
      <c r="ON1" s="996"/>
      <c r="OO1" s="996"/>
      <c r="OP1" s="996"/>
      <c r="OQ1" s="996"/>
      <c r="OR1" s="996"/>
      <c r="OS1" s="996"/>
      <c r="OT1" s="996"/>
      <c r="OU1" s="996"/>
      <c r="OV1" s="996"/>
      <c r="OW1" s="996"/>
      <c r="OX1" s="996"/>
      <c r="OY1" s="996"/>
      <c r="OZ1" s="1003"/>
      <c r="PA1" s="996"/>
      <c r="PB1" s="1003"/>
      <c r="PC1" s="996"/>
      <c r="PD1" s="996"/>
      <c r="PE1" s="996"/>
      <c r="PF1" s="996"/>
      <c r="PG1" s="996"/>
      <c r="PH1" s="996"/>
      <c r="PI1" s="996"/>
      <c r="PJ1" s="996"/>
      <c r="PK1" s="996"/>
      <c r="PL1" s="996"/>
      <c r="PM1" s="996"/>
      <c r="PN1" s="996"/>
      <c r="PO1" s="1003"/>
      <c r="PP1" s="1003"/>
      <c r="PQ1" s="1003"/>
      <c r="PR1" s="1003"/>
      <c r="PS1" s="1003"/>
      <c r="PT1" s="996"/>
      <c r="PU1" s="996"/>
      <c r="PV1" s="996"/>
      <c r="PW1" s="996"/>
      <c r="PX1" s="996"/>
      <c r="PY1" s="996"/>
      <c r="PZ1" s="1003"/>
      <c r="QA1" s="996"/>
      <c r="QB1" s="996"/>
      <c r="QC1" s="996"/>
      <c r="QD1" s="996"/>
      <c r="QE1" s="996"/>
      <c r="QF1" s="996"/>
      <c r="QG1" s="996"/>
      <c r="QH1" s="996"/>
      <c r="QI1" s="996"/>
      <c r="QJ1" s="996"/>
      <c r="QK1" s="996"/>
      <c r="QL1" s="996"/>
      <c r="QM1" s="996"/>
      <c r="QN1" s="996"/>
      <c r="QO1" s="996"/>
      <c r="QP1" s="996"/>
      <c r="QQ1" s="996"/>
      <c r="QR1" s="996"/>
      <c r="QS1" s="998"/>
      <c r="QT1" s="998"/>
      <c r="QU1" s="998"/>
      <c r="QV1" s="998"/>
      <c r="QW1" s="998"/>
      <c r="QX1" s="998"/>
      <c r="QY1" s="998"/>
      <c r="QZ1" s="998"/>
      <c r="RA1" s="998"/>
      <c r="RB1" s="998"/>
      <c r="RC1" s="998"/>
      <c r="RD1" s="996"/>
      <c r="RE1" s="996"/>
      <c r="RF1" s="996"/>
      <c r="RG1" s="996"/>
      <c r="RH1" s="996"/>
      <c r="RI1" s="996"/>
      <c r="RJ1" s="996"/>
      <c r="RK1" s="998"/>
      <c r="RL1" s="998"/>
      <c r="RM1" s="998"/>
      <c r="RN1" s="998"/>
      <c r="RO1" s="998"/>
      <c r="RP1" s="998"/>
      <c r="RQ1" s="998"/>
      <c r="RR1" s="996"/>
      <c r="RS1" s="996"/>
      <c r="RT1" s="996"/>
      <c r="RU1" s="996"/>
      <c r="RV1" s="996"/>
      <c r="RW1" s="996"/>
      <c r="RX1" s="996"/>
      <c r="RY1" s="996"/>
      <c r="RZ1" s="996"/>
      <c r="SA1" s="996"/>
      <c r="SB1" s="996"/>
      <c r="SC1" s="996"/>
      <c r="SD1" s="996"/>
      <c r="SE1" s="996"/>
      <c r="SF1" s="996"/>
      <c r="SG1" s="996"/>
      <c r="SH1" s="996"/>
      <c r="SI1" s="996"/>
      <c r="SJ1" s="996"/>
      <c r="SK1" s="996"/>
      <c r="SL1" s="996"/>
      <c r="SM1" s="996"/>
      <c r="SN1" s="996"/>
      <c r="SO1" s="996"/>
      <c r="SP1" s="996"/>
      <c r="SQ1" s="996"/>
      <c r="SR1" s="996"/>
      <c r="SS1" s="1003"/>
      <c r="ST1" s="996"/>
      <c r="SU1" s="996"/>
      <c r="SV1" s="996"/>
      <c r="SW1" s="996"/>
      <c r="SX1" s="996"/>
      <c r="SY1" s="996"/>
      <c r="SZ1" s="996"/>
      <c r="TA1" s="996"/>
      <c r="TB1" s="996"/>
      <c r="TC1" s="996"/>
      <c r="TD1" s="996"/>
      <c r="TE1" s="996"/>
      <c r="TF1" s="996"/>
      <c r="TG1" s="996"/>
      <c r="TH1" s="996"/>
      <c r="TI1" s="996"/>
      <c r="TJ1" s="998"/>
      <c r="TK1" s="998"/>
      <c r="TL1" s="998"/>
      <c r="TM1" s="998"/>
      <c r="TN1" s="998"/>
      <c r="TO1" s="998"/>
      <c r="TP1" s="998"/>
      <c r="TQ1" s="998"/>
      <c r="TR1" s="998"/>
      <c r="TS1" s="996"/>
      <c r="TT1" s="996"/>
      <c r="TU1" s="996"/>
      <c r="TV1" s="996"/>
      <c r="TW1" s="996"/>
      <c r="TX1" s="996"/>
      <c r="TY1" s="996"/>
      <c r="TZ1" s="996"/>
      <c r="UA1" s="996"/>
      <c r="UB1" s="998"/>
      <c r="UC1" s="998"/>
      <c r="UD1" s="998"/>
      <c r="UE1" s="998"/>
      <c r="UF1" s="998"/>
      <c r="UG1" s="998"/>
      <c r="UH1" s="998"/>
      <c r="UI1" s="998"/>
      <c r="UJ1" s="998"/>
      <c r="UK1" s="999"/>
      <c r="UL1" s="1000"/>
      <c r="UM1" s="1001"/>
      <c r="UN1" s="1000"/>
      <c r="UO1" s="1001"/>
      <c r="UP1" s="1000"/>
      <c r="UQ1" s="1000"/>
      <c r="UR1" s="1000"/>
      <c r="US1" s="1000"/>
      <c r="UT1" s="1000"/>
      <c r="UU1" s="1000"/>
      <c r="UV1" s="1000"/>
      <c r="UW1" s="1000"/>
      <c r="UX1" s="1000"/>
      <c r="UY1" s="1000"/>
      <c r="UZ1" s="1000"/>
      <c r="VA1" s="1000"/>
      <c r="VB1" s="998"/>
      <c r="VC1" s="998"/>
      <c r="VD1" s="998"/>
      <c r="VE1" s="998"/>
      <c r="VF1" s="998"/>
      <c r="VG1" s="998"/>
      <c r="VH1" s="998"/>
      <c r="VI1" s="996"/>
      <c r="VJ1" s="996"/>
      <c r="VK1" s="996"/>
      <c r="VL1" s="996"/>
      <c r="VM1" s="996"/>
      <c r="VN1" s="996"/>
      <c r="VO1" s="996"/>
      <c r="VP1" s="996"/>
      <c r="VQ1" s="996"/>
      <c r="VR1" s="996"/>
      <c r="VS1" s="996"/>
      <c r="VT1" s="996"/>
      <c r="VU1" s="996"/>
      <c r="VV1" s="996"/>
      <c r="VW1" s="996"/>
      <c r="VX1" s="996"/>
      <c r="VY1" s="996"/>
      <c r="VZ1" s="996"/>
      <c r="WA1" s="996"/>
      <c r="WB1" s="996"/>
      <c r="WC1" s="996"/>
      <c r="WD1" s="996"/>
      <c r="WE1" s="996"/>
      <c r="WF1" s="996"/>
      <c r="WG1" s="996"/>
      <c r="WH1" s="996"/>
      <c r="WI1" s="996"/>
      <c r="WJ1" s="996"/>
      <c r="WK1" s="996"/>
      <c r="WL1" s="996"/>
      <c r="WM1" s="996"/>
      <c r="WN1" s="996"/>
      <c r="WO1" s="996"/>
      <c r="WP1" s="996"/>
      <c r="WQ1" s="996"/>
      <c r="WR1" s="996"/>
      <c r="WS1" s="996"/>
      <c r="WT1" s="996"/>
      <c r="WU1" s="996"/>
      <c r="WV1" s="995"/>
      <c r="WW1" s="995"/>
      <c r="WX1" s="996"/>
      <c r="WY1" s="997"/>
      <c r="WZ1" s="1002"/>
      <c r="XA1" s="996"/>
      <c r="XB1" s="996"/>
      <c r="XC1" s="996"/>
      <c r="XD1" s="996"/>
      <c r="XE1" s="996"/>
      <c r="XF1" s="996"/>
      <c r="XG1" s="996"/>
      <c r="XH1" s="996"/>
      <c r="XI1" s="996"/>
      <c r="XJ1" s="996"/>
      <c r="XK1" s="996"/>
      <c r="XL1" s="996"/>
      <c r="XM1" s="996"/>
      <c r="XN1" s="996"/>
      <c r="XO1" s="996"/>
      <c r="XP1" s="996"/>
      <c r="XQ1" s="996"/>
      <c r="XR1" s="996"/>
      <c r="XS1" s="996"/>
      <c r="XT1" s="996"/>
      <c r="XU1" s="996"/>
      <c r="XV1" s="1003"/>
      <c r="XW1" s="996"/>
      <c r="XX1" s="1003"/>
      <c r="XY1" s="996"/>
      <c r="XZ1" s="996"/>
      <c r="YA1" s="996"/>
      <c r="YB1" s="996"/>
      <c r="YC1" s="996"/>
      <c r="YD1" s="996"/>
      <c r="YE1" s="996"/>
      <c r="YF1" s="996"/>
      <c r="YG1" s="996"/>
      <c r="YH1" s="996"/>
      <c r="YI1" s="996"/>
      <c r="YJ1" s="996"/>
      <c r="YK1" s="1003"/>
      <c r="YL1" s="1003"/>
      <c r="YM1" s="1003"/>
      <c r="YN1" s="1003"/>
      <c r="YO1" s="1003"/>
      <c r="YP1" s="996"/>
      <c r="YQ1" s="996"/>
      <c r="YR1" s="996"/>
      <c r="YS1" s="996"/>
      <c r="YT1" s="996"/>
      <c r="YU1" s="996"/>
      <c r="YV1" s="1003"/>
      <c r="YW1" s="996"/>
      <c r="YX1" s="996"/>
      <c r="YY1" s="996"/>
      <c r="YZ1" s="996"/>
      <c r="ZA1" s="996"/>
      <c r="ZB1" s="996"/>
      <c r="ZC1" s="996"/>
      <c r="ZD1" s="996"/>
      <c r="ZE1" s="996"/>
      <c r="ZF1" s="996"/>
      <c r="ZG1" s="996"/>
      <c r="ZH1" s="996"/>
      <c r="ZI1" s="996"/>
      <c r="ZJ1" s="996"/>
      <c r="ZK1" s="996"/>
      <c r="ZL1" s="996"/>
      <c r="ZM1" s="996"/>
      <c r="ZN1" s="996"/>
      <c r="ZO1" s="998"/>
      <c r="ZP1" s="998"/>
      <c r="ZQ1" s="998"/>
      <c r="ZR1" s="998"/>
      <c r="ZS1" s="998"/>
      <c r="ZT1" s="998"/>
      <c r="ZU1" s="998"/>
      <c r="ZV1" s="998"/>
      <c r="ZW1" s="998"/>
      <c r="ZX1" s="998"/>
      <c r="ZY1" s="998"/>
      <c r="ZZ1" s="996"/>
      <c r="AAA1" s="996"/>
      <c r="AAB1" s="996"/>
      <c r="AAC1" s="996"/>
      <c r="AAD1" s="996"/>
      <c r="AAE1" s="996"/>
      <c r="AAF1" s="996"/>
      <c r="AAG1" s="998"/>
      <c r="AAH1" s="998"/>
      <c r="AAI1" s="998"/>
      <c r="AAJ1" s="998"/>
      <c r="AAK1" s="998"/>
      <c r="AAL1" s="998"/>
      <c r="AAM1" s="998"/>
      <c r="AAN1" s="996"/>
      <c r="AAO1" s="996"/>
      <c r="AAP1" s="996"/>
      <c r="AAQ1" s="996"/>
      <c r="AAR1" s="996"/>
      <c r="AAS1" s="996"/>
      <c r="AAT1" s="996"/>
      <c r="AAU1" s="996"/>
      <c r="AAV1" s="996"/>
      <c r="AAW1" s="996"/>
      <c r="AAX1" s="996"/>
      <c r="AAY1" s="996"/>
      <c r="AAZ1" s="996"/>
      <c r="ABA1" s="996"/>
      <c r="ABB1" s="996"/>
      <c r="ABC1" s="996"/>
      <c r="ABD1" s="996"/>
      <c r="ABE1" s="996"/>
      <c r="ABF1" s="996"/>
      <c r="ABG1" s="996"/>
      <c r="ABH1" s="996"/>
      <c r="ABI1" s="996"/>
      <c r="ABJ1" s="996"/>
      <c r="ABK1" s="996"/>
      <c r="ABL1" s="996"/>
      <c r="ABM1" s="996"/>
      <c r="ABN1" s="996"/>
      <c r="ABO1" s="1003"/>
      <c r="ABP1" s="996"/>
      <c r="ABQ1" s="996"/>
      <c r="ABR1" s="996"/>
      <c r="ABS1" s="996"/>
      <c r="ABT1" s="996"/>
      <c r="ABU1" s="996"/>
      <c r="ABV1" s="996"/>
      <c r="ABW1" s="996"/>
      <c r="ABX1" s="996"/>
      <c r="ABY1" s="996"/>
      <c r="ABZ1" s="996"/>
      <c r="ACA1" s="996"/>
      <c r="ACB1" s="996"/>
      <c r="ACC1" s="996"/>
      <c r="ACD1" s="996"/>
      <c r="ACE1" s="996"/>
      <c r="ACF1" s="998"/>
      <c r="ACG1" s="998"/>
      <c r="ACH1" s="998"/>
      <c r="ACI1" s="998"/>
      <c r="ACJ1" s="998"/>
      <c r="ACK1" s="998"/>
      <c r="ACL1" s="998"/>
      <c r="ACM1" s="998"/>
      <c r="ACN1" s="998"/>
      <c r="ACO1" s="996"/>
      <c r="ACP1" s="996"/>
      <c r="ACQ1" s="996"/>
      <c r="ACR1" s="996"/>
      <c r="ACS1" s="996"/>
      <c r="ACT1" s="996"/>
      <c r="ACU1" s="996"/>
      <c r="ACV1" s="996"/>
      <c r="ACW1" s="996"/>
      <c r="ACX1" s="998"/>
      <c r="ACY1" s="998"/>
      <c r="ACZ1" s="998"/>
      <c r="ADA1" s="998"/>
      <c r="ADB1" s="998"/>
      <c r="ADC1" s="998"/>
      <c r="ADD1" s="998"/>
      <c r="ADE1" s="998"/>
      <c r="ADF1" s="998"/>
      <c r="ADG1" s="999"/>
      <c r="ADH1" s="1000"/>
      <c r="ADI1" s="1001"/>
      <c r="ADJ1" s="1000"/>
      <c r="ADK1" s="1001"/>
      <c r="ADL1" s="1000"/>
      <c r="ADM1" s="1000"/>
      <c r="ADN1" s="1000"/>
      <c r="ADO1" s="1000"/>
      <c r="ADP1" s="1000"/>
      <c r="ADQ1" s="1000"/>
      <c r="ADR1" s="1000"/>
      <c r="ADS1" s="1000"/>
      <c r="ADT1" s="1000"/>
      <c r="ADU1" s="1000"/>
      <c r="ADV1" s="1000"/>
      <c r="ADW1" s="1000"/>
      <c r="ADX1" s="998"/>
      <c r="ADY1" s="998"/>
      <c r="ADZ1" s="998"/>
      <c r="AEA1" s="998"/>
      <c r="AEB1" s="998"/>
      <c r="AEC1" s="998"/>
      <c r="AED1" s="998"/>
      <c r="AEE1" s="996"/>
      <c r="AEF1" s="996"/>
      <c r="AEG1" s="996"/>
      <c r="AEH1" s="996"/>
      <c r="AEI1" s="996"/>
      <c r="AEJ1" s="996"/>
      <c r="AEK1" s="996"/>
      <c r="AEL1" s="996"/>
      <c r="AEM1" s="996"/>
      <c r="AEN1" s="996"/>
      <c r="AEO1" s="996"/>
      <c r="AEP1" s="996"/>
      <c r="AEQ1" s="996"/>
      <c r="AER1" s="996"/>
      <c r="AES1" s="996"/>
      <c r="AET1" s="996"/>
      <c r="AEU1" s="996"/>
      <c r="AEV1" s="996"/>
      <c r="AEW1" s="996"/>
      <c r="AEX1" s="996"/>
      <c r="AEY1" s="996"/>
      <c r="AEZ1" s="996"/>
      <c r="AFA1" s="996"/>
      <c r="AFB1" s="996"/>
      <c r="AFC1" s="996"/>
      <c r="AFD1" s="996"/>
      <c r="AFE1" s="996"/>
      <c r="AFF1" s="996"/>
      <c r="AFG1" s="996"/>
      <c r="AFH1" s="996"/>
      <c r="AFI1" s="996"/>
      <c r="AFJ1" s="996"/>
      <c r="AFK1" s="996"/>
      <c r="AFL1" s="996"/>
      <c r="AFM1" s="996"/>
      <c r="AFN1" s="996"/>
      <c r="AFO1" s="996"/>
      <c r="AFP1" s="996"/>
      <c r="AFQ1" s="996"/>
      <c r="AFR1" s="995"/>
      <c r="AFS1" s="995"/>
      <c r="AFT1" s="996"/>
      <c r="AFU1" s="997"/>
      <c r="AFV1" s="1002"/>
      <c r="AFW1" s="996"/>
      <c r="AFX1" s="996"/>
      <c r="AFY1" s="996"/>
      <c r="AFZ1" s="996"/>
      <c r="AGA1" s="996"/>
      <c r="AGB1" s="996"/>
      <c r="AGC1" s="996"/>
      <c r="AGD1" s="996"/>
      <c r="AGE1" s="996"/>
      <c r="AGF1" s="996"/>
      <c r="AGG1" s="996"/>
      <c r="AGH1" s="996"/>
      <c r="AGI1" s="996"/>
      <c r="AGJ1" s="996"/>
      <c r="AGK1" s="996"/>
      <c r="AGL1" s="996"/>
      <c r="AGM1" s="996"/>
      <c r="AGN1" s="996"/>
      <c r="AGO1" s="996"/>
      <c r="AGP1" s="996"/>
      <c r="AGQ1" s="996"/>
      <c r="AGR1" s="1003"/>
      <c r="AGS1" s="996"/>
      <c r="AGT1" s="1003"/>
      <c r="AGU1" s="996"/>
      <c r="AGV1" s="996"/>
      <c r="AGW1" s="996"/>
      <c r="AGX1" s="996"/>
      <c r="AGY1" s="996"/>
      <c r="AGZ1" s="996"/>
      <c r="AHA1" s="996"/>
      <c r="AHB1" s="996"/>
      <c r="AHC1" s="996"/>
      <c r="AHD1" s="996"/>
      <c r="AHE1" s="996"/>
      <c r="AHF1" s="996"/>
      <c r="AHG1" s="1003"/>
      <c r="AHH1" s="1003"/>
      <c r="AHI1" s="1003"/>
      <c r="AHJ1" s="1003"/>
      <c r="AHK1" s="1003"/>
      <c r="AHL1" s="996"/>
      <c r="AHM1" s="996"/>
      <c r="AHN1" s="996"/>
      <c r="AHO1" s="996"/>
      <c r="AHP1" s="996"/>
      <c r="AHQ1" s="996"/>
      <c r="AHR1" s="1003"/>
      <c r="AHS1" s="996"/>
      <c r="AHT1" s="996"/>
      <c r="AHU1" s="996"/>
      <c r="AHV1" s="996"/>
      <c r="AHW1" s="996"/>
      <c r="AHX1" s="996"/>
      <c r="AHY1" s="996"/>
      <c r="AHZ1" s="996"/>
      <c r="AIA1" s="996"/>
      <c r="AIB1" s="996"/>
      <c r="AIC1" s="996"/>
      <c r="AID1" s="996"/>
      <c r="AIE1" s="996"/>
      <c r="AIF1" s="996"/>
      <c r="AIG1" s="996"/>
      <c r="AIH1" s="996"/>
      <c r="AII1" s="996"/>
      <c r="AIJ1" s="996"/>
      <c r="AIK1" s="998"/>
      <c r="AIL1" s="998"/>
      <c r="AIM1" s="998"/>
      <c r="AIN1" s="998"/>
      <c r="AIO1" s="998"/>
      <c r="AIP1" s="998"/>
      <c r="AIQ1" s="998"/>
      <c r="AIR1" s="998"/>
      <c r="AIS1" s="998"/>
      <c r="AIT1" s="998"/>
      <c r="AIU1" s="998"/>
      <c r="AIV1" s="996"/>
      <c r="AIW1" s="996"/>
      <c r="AIX1" s="996"/>
      <c r="AIY1" s="996"/>
      <c r="AIZ1" s="996"/>
      <c r="AJA1" s="996"/>
      <c r="AJB1" s="996"/>
      <c r="AJC1" s="998"/>
      <c r="AJD1" s="998"/>
      <c r="AJE1" s="998"/>
      <c r="AJF1" s="998"/>
      <c r="AJG1" s="998"/>
      <c r="AJH1" s="998"/>
      <c r="AJI1" s="998"/>
      <c r="AJJ1" s="996"/>
      <c r="AJK1" s="996"/>
      <c r="AJL1" s="996"/>
      <c r="AJM1" s="996"/>
      <c r="AJN1" s="996"/>
      <c r="AJO1" s="996"/>
      <c r="AJP1" s="996"/>
      <c r="AJQ1" s="996"/>
      <c r="AJR1" s="996"/>
      <c r="AJS1" s="996"/>
      <c r="AJT1" s="996"/>
      <c r="AJU1" s="996"/>
      <c r="AJV1" s="996"/>
      <c r="AJW1" s="996"/>
      <c r="AJX1" s="996"/>
      <c r="AJY1" s="996"/>
      <c r="AJZ1" s="996"/>
      <c r="AKA1" s="996"/>
      <c r="AKB1" s="996"/>
      <c r="AKC1" s="996"/>
      <c r="AKD1" s="996"/>
      <c r="AKE1" s="996"/>
      <c r="AKF1" s="996"/>
      <c r="AKG1" s="996"/>
      <c r="AKH1" s="996"/>
      <c r="AKI1" s="996"/>
      <c r="AKJ1" s="996"/>
      <c r="AKK1" s="1003"/>
      <c r="AKL1" s="996"/>
      <c r="AKM1" s="996"/>
      <c r="AKN1" s="996"/>
      <c r="AKO1" s="996"/>
      <c r="AKP1" s="996"/>
      <c r="AKQ1" s="996"/>
      <c r="AKR1" s="996"/>
      <c r="AKS1" s="996"/>
      <c r="AKT1" s="996"/>
      <c r="AKU1" s="996"/>
      <c r="AKV1" s="996"/>
      <c r="AKW1" s="996"/>
      <c r="AKX1" s="996"/>
      <c r="AKY1" s="996"/>
      <c r="AKZ1" s="996"/>
      <c r="ALA1" s="996"/>
      <c r="ALB1" s="998"/>
      <c r="ALC1" s="998"/>
      <c r="ALD1" s="998"/>
      <c r="ALE1" s="998"/>
      <c r="ALF1" s="998"/>
      <c r="ALG1" s="998"/>
      <c r="ALH1" s="998"/>
      <c r="ALI1" s="998"/>
      <c r="ALJ1" s="998"/>
      <c r="ALK1" s="996"/>
      <c r="ALL1" s="996"/>
      <c r="ALM1" s="996"/>
      <c r="ALN1" s="996"/>
      <c r="ALO1" s="996"/>
      <c r="ALP1" s="996"/>
      <c r="ALQ1" s="996"/>
      <c r="ALR1" s="996"/>
      <c r="ALS1" s="996"/>
      <c r="ALT1" s="998"/>
      <c r="ALU1" s="998"/>
      <c r="ALV1" s="998"/>
      <c r="ALW1" s="998"/>
      <c r="ALX1" s="998"/>
      <c r="ALY1" s="998"/>
      <c r="ALZ1" s="998"/>
      <c r="AMA1" s="998"/>
      <c r="AMB1" s="998"/>
      <c r="AMC1" s="999"/>
      <c r="AMD1" s="1000"/>
      <c r="AME1" s="1001"/>
      <c r="AMF1" s="1000"/>
      <c r="AMG1" s="1001"/>
      <c r="AMH1" s="1000"/>
      <c r="AMI1" s="1000"/>
      <c r="AMJ1" s="1000"/>
      <c r="AMK1" s="1000"/>
      <c r="AML1" s="1000"/>
      <c r="AMM1" s="1000"/>
      <c r="AMN1" s="1000"/>
      <c r="AMO1" s="1000"/>
      <c r="AMP1" s="1000"/>
      <c r="AMQ1" s="1000"/>
      <c r="AMR1" s="1000"/>
      <c r="AMS1" s="1000"/>
      <c r="AMT1" s="998"/>
      <c r="AMU1" s="998"/>
      <c r="AMV1" s="998"/>
      <c r="AMW1" s="998"/>
      <c r="AMX1" s="998"/>
      <c r="AMY1" s="998"/>
      <c r="AMZ1" s="998"/>
      <c r="ANA1" s="996"/>
      <c r="ANB1" s="996"/>
      <c r="ANC1" s="996"/>
      <c r="AND1" s="996"/>
      <c r="ANE1" s="996"/>
      <c r="ANF1" s="996"/>
      <c r="ANG1" s="996"/>
      <c r="ANH1" s="996"/>
      <c r="ANI1" s="996"/>
      <c r="ANJ1" s="996"/>
      <c r="ANK1" s="996"/>
      <c r="ANL1" s="996"/>
      <c r="ANM1" s="996"/>
      <c r="ANN1" s="996"/>
      <c r="ANO1" s="996"/>
      <c r="ANP1" s="996"/>
      <c r="ANQ1" s="996"/>
      <c r="ANR1" s="996"/>
      <c r="ANS1" s="996"/>
      <c r="ANT1" s="996"/>
      <c r="ANU1" s="996"/>
      <c r="ANV1" s="996"/>
      <c r="ANW1" s="996"/>
      <c r="ANX1" s="996"/>
      <c r="ANY1" s="996"/>
      <c r="ANZ1" s="996"/>
      <c r="AOA1" s="996"/>
      <c r="AOB1" s="996"/>
      <c r="AOC1" s="996"/>
      <c r="AOD1" s="996"/>
      <c r="AOE1" s="996"/>
      <c r="AOF1" s="996"/>
      <c r="AOG1" s="996"/>
      <c r="AOH1" s="996"/>
      <c r="AOI1" s="996"/>
      <c r="AOJ1" s="996"/>
      <c r="AOK1" s="996"/>
      <c r="AOL1" s="996"/>
      <c r="AOM1" s="996"/>
      <c r="AON1" s="995"/>
      <c r="AOO1" s="995"/>
      <c r="AOP1" s="996"/>
      <c r="AOQ1" s="997"/>
      <c r="AOR1" s="1002"/>
      <c r="AOS1" s="996"/>
      <c r="AOT1" s="996"/>
      <c r="AOU1" s="996"/>
      <c r="AOV1" s="996"/>
      <c r="AOW1" s="996"/>
      <c r="AOX1" s="996"/>
      <c r="AOY1" s="996"/>
      <c r="AOZ1" s="996"/>
      <c r="APA1" s="996"/>
      <c r="APB1" s="996"/>
      <c r="APC1" s="996"/>
      <c r="APD1" s="996"/>
      <c r="APE1" s="996"/>
      <c r="APF1" s="996"/>
      <c r="APG1" s="996"/>
      <c r="APH1" s="996"/>
      <c r="API1" s="996"/>
      <c r="APJ1" s="996"/>
      <c r="APK1" s="996"/>
      <c r="APL1" s="996"/>
      <c r="APM1" s="996"/>
      <c r="APN1" s="1003"/>
      <c r="APO1" s="996"/>
      <c r="APP1" s="1003"/>
      <c r="APQ1" s="996"/>
      <c r="APR1" s="996"/>
      <c r="APS1" s="996"/>
      <c r="APT1" s="996"/>
      <c r="APU1" s="996"/>
      <c r="APV1" s="996"/>
      <c r="APW1" s="996"/>
      <c r="APX1" s="996"/>
      <c r="APY1" s="996"/>
      <c r="APZ1" s="996"/>
      <c r="AQA1" s="996"/>
      <c r="AQB1" s="996"/>
      <c r="AQC1" s="1003"/>
      <c r="AQD1" s="1003"/>
      <c r="AQE1" s="1003"/>
      <c r="AQF1" s="1003"/>
      <c r="AQG1" s="1003"/>
      <c r="AQH1" s="996"/>
      <c r="AQI1" s="996"/>
      <c r="AQJ1" s="996"/>
      <c r="AQK1" s="996"/>
      <c r="AQL1" s="996"/>
      <c r="AQM1" s="996"/>
      <c r="AQN1" s="1003"/>
      <c r="AQO1" s="996"/>
      <c r="AQP1" s="996"/>
      <c r="AQQ1" s="996"/>
      <c r="AQR1" s="996"/>
      <c r="AQS1" s="996"/>
      <c r="AQT1" s="996"/>
      <c r="AQU1" s="996"/>
      <c r="AQV1" s="996"/>
      <c r="AQW1" s="996"/>
      <c r="AQX1" s="996"/>
      <c r="AQY1" s="996"/>
      <c r="AQZ1" s="996"/>
      <c r="ARA1" s="996"/>
      <c r="ARB1" s="996"/>
      <c r="ARC1" s="996"/>
      <c r="ARD1" s="996"/>
      <c r="ARE1" s="996"/>
      <c r="ARF1" s="996"/>
      <c r="ARG1" s="998"/>
      <c r="ARH1" s="998"/>
      <c r="ARI1" s="998"/>
      <c r="ARJ1" s="998"/>
      <c r="ARK1" s="998"/>
      <c r="ARL1" s="998"/>
      <c r="ARM1" s="998"/>
      <c r="ARN1" s="998"/>
      <c r="ARO1" s="998"/>
      <c r="ARP1" s="998"/>
      <c r="ARQ1" s="998"/>
      <c r="ARR1" s="996"/>
      <c r="ARS1" s="996"/>
      <c r="ART1" s="996"/>
      <c r="ARU1" s="996"/>
      <c r="ARV1" s="996"/>
      <c r="ARW1" s="996"/>
      <c r="ARX1" s="996"/>
      <c r="ARY1" s="998"/>
      <c r="ARZ1" s="998"/>
      <c r="ASA1" s="998"/>
      <c r="ASB1" s="998"/>
      <c r="ASC1" s="998"/>
      <c r="ASD1" s="998"/>
      <c r="ASE1" s="998"/>
      <c r="ASF1" s="996"/>
      <c r="ASG1" s="996"/>
      <c r="ASH1" s="996"/>
      <c r="ASI1" s="996"/>
      <c r="ASJ1" s="996"/>
      <c r="ASK1" s="996"/>
      <c r="ASL1" s="996"/>
      <c r="ASM1" s="996"/>
      <c r="ASN1" s="996"/>
      <c r="ASO1" s="996"/>
      <c r="ASP1" s="996"/>
      <c r="ASQ1" s="996"/>
      <c r="ASR1" s="996"/>
      <c r="ASS1" s="996"/>
      <c r="AST1" s="996"/>
      <c r="ASU1" s="996"/>
      <c r="ASV1" s="996"/>
      <c r="ASW1" s="996"/>
      <c r="ASX1" s="996"/>
      <c r="ASY1" s="996"/>
      <c r="ASZ1" s="996"/>
      <c r="ATA1" s="996"/>
      <c r="ATB1" s="996"/>
      <c r="ATC1" s="996"/>
      <c r="ATD1" s="996"/>
      <c r="ATE1" s="996"/>
      <c r="ATF1" s="996"/>
      <c r="ATG1" s="1003"/>
      <c r="ATH1" s="996"/>
      <c r="ATI1" s="996"/>
      <c r="ATJ1" s="996"/>
      <c r="ATK1" s="996"/>
      <c r="ATL1" s="996"/>
      <c r="ATM1" s="996"/>
      <c r="ATN1" s="996"/>
      <c r="ATO1" s="996"/>
      <c r="ATP1" s="996"/>
      <c r="ATQ1" s="996"/>
      <c r="ATR1" s="996"/>
      <c r="ATS1" s="996"/>
      <c r="ATT1" s="996"/>
      <c r="ATU1" s="996"/>
      <c r="ATV1" s="996"/>
      <c r="ATW1" s="996"/>
      <c r="ATX1" s="998"/>
      <c r="ATY1" s="998"/>
      <c r="ATZ1" s="998"/>
      <c r="AUA1" s="998"/>
      <c r="AUB1" s="998"/>
      <c r="AUC1" s="998"/>
      <c r="AUD1" s="998"/>
      <c r="AUE1" s="998"/>
      <c r="AUF1" s="998"/>
      <c r="AUG1" s="996"/>
      <c r="AUH1" s="996"/>
      <c r="AUI1" s="996"/>
      <c r="AUJ1" s="996"/>
      <c r="AUK1" s="996"/>
      <c r="AUL1" s="996"/>
      <c r="AUM1" s="996"/>
      <c r="AUN1" s="996"/>
      <c r="AUO1" s="996"/>
      <c r="AUP1" s="998"/>
      <c r="AUQ1" s="998"/>
      <c r="AUR1" s="998"/>
      <c r="AUS1" s="998"/>
      <c r="AUT1" s="998"/>
      <c r="AUU1" s="998"/>
      <c r="AUV1" s="998"/>
      <c r="AUW1" s="998"/>
      <c r="AUX1" s="998"/>
      <c r="AUY1" s="999"/>
      <c r="AUZ1" s="1000"/>
      <c r="AVA1" s="1001"/>
      <c r="AVB1" s="1000"/>
      <c r="AVC1" s="1001"/>
      <c r="AVD1" s="1000"/>
      <c r="AVE1" s="1000"/>
      <c r="AVF1" s="1000"/>
      <c r="AVG1" s="1000"/>
      <c r="AVH1" s="1000"/>
      <c r="AVI1" s="1000"/>
      <c r="AVJ1" s="1000"/>
      <c r="AVK1" s="1000"/>
      <c r="AVL1" s="1000"/>
      <c r="AVM1" s="1000"/>
      <c r="AVN1" s="1000"/>
      <c r="AVO1" s="1000"/>
      <c r="AVP1" s="998"/>
      <c r="AVQ1" s="998"/>
      <c r="AVR1" s="998"/>
      <c r="AVS1" s="998"/>
      <c r="AVT1" s="998"/>
      <c r="AVU1" s="998"/>
      <c r="AVV1" s="998"/>
      <c r="AVW1" s="996"/>
      <c r="AVX1" s="996"/>
      <c r="AVY1" s="996"/>
      <c r="AVZ1" s="996"/>
      <c r="AWA1" s="996"/>
      <c r="AWB1" s="996"/>
      <c r="AWC1" s="996"/>
      <c r="AWD1" s="996"/>
      <c r="AWE1" s="996"/>
      <c r="AWF1" s="996"/>
      <c r="AWG1" s="996"/>
      <c r="AWH1" s="996"/>
      <c r="AWI1" s="996"/>
      <c r="AWJ1" s="996"/>
      <c r="AWK1" s="996"/>
      <c r="AWL1" s="996"/>
      <c r="AWM1" s="996"/>
      <c r="AWN1" s="996"/>
      <c r="AWO1" s="996"/>
      <c r="AWP1" s="996"/>
      <c r="AWQ1" s="996"/>
      <c r="AWR1" s="996"/>
      <c r="AWS1" s="996"/>
      <c r="AWT1" s="996"/>
      <c r="AWU1" s="996"/>
      <c r="AWV1" s="996"/>
      <c r="AWW1" s="996"/>
      <c r="AWX1" s="996"/>
      <c r="AWY1" s="996"/>
      <c r="AWZ1" s="996"/>
      <c r="AXA1" s="996"/>
      <c r="AXB1" s="996"/>
      <c r="AXC1" s="996"/>
      <c r="AXD1" s="996"/>
      <c r="AXE1" s="996"/>
      <c r="AXF1" s="996"/>
      <c r="AXG1" s="996"/>
      <c r="AXH1" s="996"/>
      <c r="AXI1" s="996"/>
      <c r="AXJ1" s="995"/>
      <c r="AXK1" s="995"/>
      <c r="AXL1" s="996"/>
      <c r="AXM1" s="997"/>
      <c r="AXN1" s="1002"/>
      <c r="AXO1" s="996"/>
      <c r="AXP1" s="996"/>
      <c r="AXQ1" s="996"/>
      <c r="AXR1" s="996"/>
      <c r="AXS1" s="996"/>
      <c r="AXT1" s="996"/>
      <c r="AXU1" s="996"/>
      <c r="AXV1" s="996"/>
      <c r="AXW1" s="996"/>
      <c r="AXX1" s="996"/>
      <c r="AXY1" s="996"/>
      <c r="AXZ1" s="996"/>
      <c r="AYA1" s="996"/>
      <c r="AYB1" s="996"/>
      <c r="AYC1" s="996"/>
      <c r="AYD1" s="996"/>
      <c r="AYE1" s="996"/>
      <c r="AYF1" s="996"/>
      <c r="AYG1" s="996"/>
      <c r="AYH1" s="996"/>
      <c r="AYI1" s="996"/>
      <c r="AYJ1" s="1003"/>
      <c r="AYK1" s="996"/>
      <c r="AYL1" s="1003"/>
      <c r="AYM1" s="996"/>
      <c r="AYN1" s="996"/>
      <c r="AYO1" s="996"/>
      <c r="AYP1" s="996"/>
      <c r="AYQ1" s="996"/>
      <c r="AYR1" s="996"/>
      <c r="AYS1" s="996"/>
      <c r="AYT1" s="996"/>
      <c r="AYU1" s="996"/>
      <c r="AYV1" s="996"/>
      <c r="AYW1" s="996"/>
      <c r="AYX1" s="996"/>
      <c r="AYY1" s="1003"/>
      <c r="AYZ1" s="1003"/>
      <c r="AZA1" s="1003"/>
      <c r="AZB1" s="1003"/>
      <c r="AZC1" s="1003"/>
      <c r="AZD1" s="996"/>
      <c r="AZE1" s="996"/>
      <c r="AZF1" s="996"/>
      <c r="AZG1" s="996"/>
      <c r="AZH1" s="996"/>
      <c r="AZI1" s="996"/>
      <c r="AZJ1" s="1003"/>
      <c r="AZK1" s="996"/>
      <c r="AZL1" s="996"/>
      <c r="AZM1" s="996"/>
      <c r="AZN1" s="996"/>
      <c r="AZO1" s="996"/>
      <c r="AZP1" s="996"/>
      <c r="AZQ1" s="996"/>
      <c r="AZR1" s="996"/>
      <c r="AZS1" s="996"/>
      <c r="AZT1" s="996"/>
      <c r="AZU1" s="996"/>
      <c r="AZV1" s="996"/>
      <c r="AZW1" s="996"/>
      <c r="AZX1" s="996"/>
      <c r="AZY1" s="996"/>
      <c r="AZZ1" s="996"/>
      <c r="BAA1" s="996"/>
      <c r="BAB1" s="996"/>
      <c r="BAC1" s="998"/>
      <c r="BAD1" s="998"/>
      <c r="BAE1" s="998"/>
      <c r="BAF1" s="998"/>
      <c r="BAG1" s="998"/>
      <c r="BAH1" s="998"/>
      <c r="BAI1" s="998"/>
      <c r="BAJ1" s="998"/>
      <c r="BAK1" s="998"/>
      <c r="BAL1" s="998"/>
      <c r="BAM1" s="998"/>
      <c r="BAN1" s="996"/>
      <c r="BAO1" s="996"/>
      <c r="BAP1" s="996"/>
      <c r="BAQ1" s="996"/>
      <c r="BAR1" s="996"/>
      <c r="BAS1" s="996"/>
      <c r="BAT1" s="996"/>
      <c r="BAU1" s="998"/>
      <c r="BAV1" s="998"/>
      <c r="BAW1" s="998"/>
      <c r="BAX1" s="998"/>
      <c r="BAY1" s="998"/>
      <c r="BAZ1" s="998"/>
      <c r="BBA1" s="998"/>
      <c r="BBB1" s="996"/>
      <c r="BBC1" s="996"/>
      <c r="BBD1" s="996"/>
      <c r="BBE1" s="996"/>
      <c r="BBF1" s="996"/>
      <c r="BBG1" s="996"/>
      <c r="BBH1" s="996"/>
      <c r="BBI1" s="996"/>
      <c r="BBJ1" s="996"/>
      <c r="BBK1" s="996"/>
      <c r="BBL1" s="996"/>
      <c r="BBM1" s="996"/>
      <c r="BBN1" s="996"/>
      <c r="BBO1" s="996"/>
      <c r="BBP1" s="996"/>
      <c r="BBQ1" s="996"/>
      <c r="BBR1" s="996"/>
      <c r="BBS1" s="996"/>
      <c r="BBT1" s="996"/>
      <c r="BBU1" s="996"/>
      <c r="BBV1" s="996"/>
      <c r="BBW1" s="996"/>
      <c r="BBX1" s="996"/>
      <c r="BBY1" s="996"/>
      <c r="BBZ1" s="996"/>
      <c r="BCA1" s="996"/>
      <c r="BCB1" s="996"/>
      <c r="BCC1" s="1003"/>
      <c r="BCD1" s="996"/>
      <c r="BCE1" s="996"/>
      <c r="BCF1" s="996"/>
      <c r="BCG1" s="996"/>
      <c r="BCH1" s="996"/>
      <c r="BCI1" s="996"/>
      <c r="BCJ1" s="996"/>
      <c r="BCK1" s="996"/>
      <c r="BCL1" s="996"/>
      <c r="BCM1" s="996"/>
      <c r="BCN1" s="996"/>
      <c r="BCO1" s="996"/>
      <c r="BCP1" s="996"/>
      <c r="BCQ1" s="996"/>
      <c r="BCR1" s="996"/>
      <c r="BCS1" s="996"/>
      <c r="BCT1" s="998"/>
      <c r="BCU1" s="998"/>
      <c r="BCV1" s="998"/>
      <c r="BCW1" s="998"/>
      <c r="BCX1" s="998"/>
      <c r="BCY1" s="998"/>
      <c r="BCZ1" s="998"/>
      <c r="BDA1" s="998"/>
      <c r="BDB1" s="998"/>
      <c r="BDC1" s="996"/>
      <c r="BDD1" s="996"/>
      <c r="BDE1" s="996"/>
      <c r="BDF1" s="996"/>
      <c r="BDG1" s="996"/>
      <c r="BDH1" s="996"/>
      <c r="BDI1" s="996"/>
      <c r="BDJ1" s="996"/>
      <c r="BDK1" s="996"/>
      <c r="BDL1" s="998"/>
      <c r="BDM1" s="998"/>
      <c r="BDN1" s="998"/>
      <c r="BDO1" s="998"/>
      <c r="BDP1" s="998"/>
      <c r="BDQ1" s="998"/>
      <c r="BDR1" s="998"/>
      <c r="BDS1" s="998"/>
      <c r="BDT1" s="998"/>
      <c r="BDU1" s="999"/>
      <c r="BDV1" s="1000"/>
      <c r="BDW1" s="1001"/>
      <c r="BDX1" s="1000"/>
      <c r="BDY1" s="1001"/>
      <c r="BDZ1" s="1000"/>
      <c r="BEA1" s="1000"/>
      <c r="BEB1" s="1000"/>
      <c r="BEC1" s="1000"/>
      <c r="BED1" s="1000"/>
      <c r="BEE1" s="1000"/>
      <c r="BEF1" s="1000"/>
      <c r="BEG1" s="1000"/>
      <c r="BEH1" s="1000"/>
      <c r="BEI1" s="1000"/>
      <c r="BEJ1" s="1000"/>
      <c r="BEK1" s="1000"/>
      <c r="BEL1" s="998"/>
      <c r="BEM1" s="998"/>
      <c r="BEN1" s="998"/>
      <c r="BEO1" s="998"/>
      <c r="BEP1" s="998"/>
      <c r="BEQ1" s="998"/>
      <c r="BER1" s="998"/>
      <c r="BES1" s="996"/>
      <c r="BET1" s="996"/>
      <c r="BEU1" s="996"/>
      <c r="BEV1" s="996"/>
      <c r="BEW1" s="996"/>
      <c r="BEX1" s="996"/>
      <c r="BEY1" s="996"/>
      <c r="BEZ1" s="996"/>
      <c r="BFA1" s="996"/>
      <c r="BFB1" s="996"/>
      <c r="BFC1" s="996"/>
      <c r="BFD1" s="996"/>
      <c r="BFE1" s="996"/>
      <c r="BFF1" s="996"/>
      <c r="BFG1" s="996"/>
      <c r="BFH1" s="996"/>
      <c r="BFI1" s="996"/>
      <c r="BFJ1" s="996"/>
      <c r="BFK1" s="996"/>
      <c r="BFL1" s="996"/>
      <c r="BFM1" s="996"/>
      <c r="BFN1" s="996"/>
      <c r="BFO1" s="996"/>
      <c r="BFP1" s="996"/>
      <c r="BFQ1" s="996"/>
      <c r="BFR1" s="996"/>
      <c r="BFS1" s="996"/>
      <c r="BFT1" s="996"/>
      <c r="BFU1" s="996"/>
      <c r="BFV1" s="996"/>
      <c r="BFW1" s="996"/>
      <c r="BFX1" s="996"/>
      <c r="BFY1" s="996"/>
      <c r="BFZ1" s="996"/>
      <c r="BGA1" s="996"/>
      <c r="BGB1" s="996"/>
      <c r="BGC1" s="996"/>
      <c r="BGD1" s="996"/>
      <c r="BGE1" s="996"/>
      <c r="BGF1" s="995"/>
      <c r="BGG1" s="995"/>
      <c r="BGH1" s="996"/>
      <c r="BGI1" s="997"/>
      <c r="BGJ1" s="1002"/>
      <c r="BGK1" s="996"/>
      <c r="BGL1" s="996"/>
      <c r="BGM1" s="996"/>
      <c r="BGN1" s="996"/>
      <c r="BGO1" s="996"/>
      <c r="BGP1" s="996"/>
      <c r="BGQ1" s="996"/>
      <c r="BGR1" s="996"/>
      <c r="BGS1" s="996"/>
      <c r="BGT1" s="996"/>
      <c r="BGU1" s="996"/>
      <c r="BGV1" s="996"/>
      <c r="BGW1" s="996"/>
      <c r="BGX1" s="996"/>
      <c r="BGY1" s="996"/>
      <c r="BGZ1" s="996"/>
      <c r="BHA1" s="996"/>
      <c r="BHB1" s="996"/>
      <c r="BHC1" s="996"/>
      <c r="BHD1" s="996"/>
      <c r="BHE1" s="996"/>
      <c r="BHF1" s="1003"/>
      <c r="BHG1" s="996"/>
      <c r="BHH1" s="1003"/>
      <c r="BHI1" s="996"/>
      <c r="BHJ1" s="996"/>
      <c r="BHK1" s="996"/>
      <c r="BHL1" s="996"/>
      <c r="BHM1" s="996"/>
      <c r="BHN1" s="996"/>
      <c r="BHO1" s="996"/>
      <c r="BHP1" s="996"/>
      <c r="BHQ1" s="996"/>
      <c r="BHR1" s="996"/>
      <c r="BHS1" s="996"/>
      <c r="BHT1" s="996"/>
      <c r="BHU1" s="1003"/>
      <c r="BHV1" s="1003"/>
      <c r="BHW1" s="1003"/>
      <c r="BHX1" s="1003"/>
      <c r="BHY1" s="1003"/>
      <c r="BHZ1" s="996"/>
      <c r="BIA1" s="996"/>
      <c r="BIB1" s="996"/>
      <c r="BIC1" s="996"/>
      <c r="BID1" s="996"/>
      <c r="BIE1" s="996"/>
      <c r="BIF1" s="1003"/>
      <c r="BIG1" s="996"/>
      <c r="BIH1" s="996"/>
      <c r="BII1" s="996"/>
      <c r="BIJ1" s="996"/>
      <c r="BIK1" s="996"/>
      <c r="BIL1" s="996"/>
      <c r="BIM1" s="996"/>
      <c r="BIN1" s="996"/>
      <c r="BIO1" s="996"/>
      <c r="BIP1" s="996"/>
      <c r="BIQ1" s="996"/>
      <c r="BIR1" s="996"/>
      <c r="BIS1" s="996"/>
      <c r="BIT1" s="996"/>
      <c r="BIU1" s="996"/>
      <c r="BIV1" s="996"/>
      <c r="BIW1" s="996"/>
      <c r="BIX1" s="996"/>
      <c r="BIY1" s="998"/>
      <c r="BIZ1" s="998"/>
      <c r="BJA1" s="998"/>
      <c r="BJB1" s="998"/>
      <c r="BJC1" s="998"/>
      <c r="BJD1" s="998"/>
      <c r="BJE1" s="998"/>
      <c r="BJF1" s="998"/>
      <c r="BJG1" s="998"/>
      <c r="BJH1" s="998"/>
      <c r="BJI1" s="998"/>
      <c r="BJJ1" s="996"/>
      <c r="BJK1" s="996"/>
      <c r="BJL1" s="996"/>
      <c r="BJM1" s="996"/>
      <c r="BJN1" s="996"/>
      <c r="BJO1" s="996"/>
      <c r="BJP1" s="996"/>
      <c r="BJQ1" s="998"/>
      <c r="BJR1" s="998"/>
      <c r="BJS1" s="998"/>
      <c r="BJT1" s="998"/>
      <c r="BJU1" s="998"/>
      <c r="BJV1" s="998"/>
      <c r="BJW1" s="998"/>
      <c r="BJX1" s="996"/>
      <c r="BJY1" s="996"/>
      <c r="BJZ1" s="996"/>
      <c r="BKA1" s="996"/>
      <c r="BKB1" s="996"/>
      <c r="BKC1" s="996"/>
      <c r="BKD1" s="996"/>
      <c r="BKE1" s="996"/>
      <c r="BKF1" s="996"/>
      <c r="BKG1" s="996"/>
      <c r="BKH1" s="996"/>
      <c r="BKI1" s="996"/>
      <c r="BKJ1" s="996"/>
      <c r="BKK1" s="996"/>
      <c r="BKL1" s="996"/>
      <c r="BKM1" s="996"/>
      <c r="BKN1" s="996"/>
      <c r="BKO1" s="996"/>
      <c r="BKP1" s="996"/>
      <c r="BKQ1" s="996"/>
      <c r="BKR1" s="996"/>
      <c r="BKS1" s="996"/>
      <c r="BKT1" s="996"/>
      <c r="BKU1" s="996"/>
      <c r="BKV1" s="996"/>
      <c r="BKW1" s="996"/>
      <c r="BKX1" s="996"/>
      <c r="BKY1" s="1003"/>
      <c r="BKZ1" s="996"/>
      <c r="BLA1" s="996"/>
      <c r="BLB1" s="996"/>
      <c r="BLC1" s="996"/>
      <c r="BLD1" s="996"/>
      <c r="BLE1" s="996"/>
      <c r="BLF1" s="996"/>
      <c r="BLG1" s="996"/>
      <c r="BLH1" s="996"/>
      <c r="BLI1" s="996"/>
      <c r="BLJ1" s="996"/>
      <c r="BLK1" s="996"/>
      <c r="BLL1" s="996"/>
      <c r="BLM1" s="996"/>
      <c r="BLN1" s="996"/>
      <c r="BLO1" s="996"/>
      <c r="BLP1" s="998"/>
      <c r="BLQ1" s="998"/>
      <c r="BLR1" s="998"/>
      <c r="BLS1" s="998"/>
      <c r="BLT1" s="998"/>
      <c r="BLU1" s="998"/>
      <c r="BLV1" s="998"/>
      <c r="BLW1" s="998"/>
      <c r="BLX1" s="998"/>
      <c r="BLY1" s="996"/>
      <c r="BLZ1" s="996"/>
      <c r="BMA1" s="996"/>
      <c r="BMB1" s="996"/>
      <c r="BMC1" s="996"/>
      <c r="BMD1" s="996"/>
      <c r="BME1" s="996"/>
      <c r="BMF1" s="996"/>
      <c r="BMG1" s="996"/>
      <c r="BMH1" s="998"/>
      <c r="BMI1" s="998"/>
      <c r="BMJ1" s="998"/>
      <c r="BMK1" s="998"/>
      <c r="BML1" s="998"/>
      <c r="BMM1" s="998"/>
      <c r="BMN1" s="998"/>
      <c r="BMO1" s="998"/>
      <c r="BMP1" s="998"/>
      <c r="BMQ1" s="999"/>
      <c r="BMR1" s="1000"/>
      <c r="BMS1" s="1001"/>
      <c r="BMT1" s="1000"/>
      <c r="BMU1" s="1001"/>
      <c r="BMV1" s="1000"/>
      <c r="BMW1" s="1000"/>
      <c r="BMX1" s="1000"/>
      <c r="BMY1" s="1000"/>
      <c r="BMZ1" s="1000"/>
      <c r="BNA1" s="1000"/>
      <c r="BNB1" s="1000"/>
      <c r="BNC1" s="1000"/>
      <c r="BND1" s="1000"/>
      <c r="BNE1" s="1000"/>
      <c r="BNF1" s="1000"/>
      <c r="BNG1" s="1000"/>
      <c r="BNH1" s="998"/>
      <c r="BNI1" s="998"/>
      <c r="BNJ1" s="998"/>
      <c r="BNK1" s="998"/>
      <c r="BNL1" s="998"/>
      <c r="BNM1" s="998"/>
      <c r="BNN1" s="998"/>
      <c r="BNO1" s="996"/>
      <c r="BNP1" s="996"/>
      <c r="BNQ1" s="996"/>
      <c r="BNR1" s="996"/>
      <c r="BNS1" s="996"/>
      <c r="BNT1" s="996"/>
      <c r="BNU1" s="996"/>
      <c r="BNV1" s="996"/>
      <c r="BNW1" s="996"/>
      <c r="BNX1" s="996"/>
      <c r="BNY1" s="996"/>
      <c r="BNZ1" s="996"/>
      <c r="BOA1" s="996"/>
      <c r="BOB1" s="996"/>
      <c r="BOC1" s="996"/>
      <c r="BOD1" s="996"/>
      <c r="BOE1" s="996"/>
      <c r="BOF1" s="996"/>
      <c r="BOG1" s="996"/>
      <c r="BOH1" s="996"/>
      <c r="BOI1" s="996"/>
      <c r="BOJ1" s="996"/>
      <c r="BOK1" s="996"/>
      <c r="BOL1" s="996"/>
      <c r="BOM1" s="996"/>
      <c r="BON1" s="996"/>
      <c r="BOO1" s="996"/>
      <c r="BOP1" s="996"/>
      <c r="BOQ1" s="996"/>
      <c r="BOR1" s="996"/>
      <c r="BOS1" s="996"/>
      <c r="BOT1" s="996"/>
      <c r="BOU1" s="996"/>
      <c r="BOV1" s="996"/>
      <c r="BOW1" s="996"/>
      <c r="BOX1" s="996"/>
      <c r="BOY1" s="996"/>
      <c r="BOZ1" s="996"/>
      <c r="BPA1" s="996"/>
      <c r="BPB1" s="995"/>
      <c r="BPC1" s="995"/>
      <c r="BPD1" s="996"/>
      <c r="BPE1" s="997"/>
      <c r="BPF1" s="1002"/>
      <c r="BPG1" s="996"/>
      <c r="BPH1" s="996"/>
      <c r="BPI1" s="996"/>
      <c r="BPJ1" s="996"/>
      <c r="BPK1" s="996"/>
      <c r="BPL1" s="996"/>
      <c r="BPM1" s="996"/>
      <c r="BPN1" s="996"/>
      <c r="BPO1" s="996"/>
      <c r="BPP1" s="996"/>
      <c r="BPQ1" s="996"/>
      <c r="BPR1" s="996"/>
      <c r="BPS1" s="996"/>
      <c r="BPT1" s="996"/>
      <c r="BPU1" s="996"/>
      <c r="BPV1" s="996"/>
      <c r="BPW1" s="996"/>
      <c r="BPX1" s="996"/>
      <c r="BPY1" s="996"/>
      <c r="BPZ1" s="996"/>
      <c r="BQA1" s="996"/>
      <c r="BQB1" s="1003"/>
      <c r="BQC1" s="996"/>
      <c r="BQD1" s="1003"/>
      <c r="BQE1" s="996"/>
      <c r="BQF1" s="996"/>
      <c r="BQG1" s="996"/>
      <c r="BQH1" s="996"/>
      <c r="BQI1" s="996"/>
      <c r="BQJ1" s="996"/>
      <c r="BQK1" s="996"/>
      <c r="BQL1" s="996"/>
      <c r="BQM1" s="996"/>
      <c r="BQN1" s="996"/>
      <c r="BQO1" s="996"/>
      <c r="BQP1" s="996"/>
      <c r="BQQ1" s="1003"/>
      <c r="BQR1" s="1003"/>
      <c r="BQS1" s="1003"/>
      <c r="BQT1" s="1003"/>
      <c r="BQU1" s="1003"/>
      <c r="BQV1" s="996"/>
      <c r="BQW1" s="996"/>
      <c r="BQX1" s="996"/>
      <c r="BQY1" s="996"/>
      <c r="BQZ1" s="996"/>
      <c r="BRA1" s="996"/>
      <c r="BRB1" s="1003"/>
      <c r="BRC1" s="996"/>
      <c r="BRD1" s="996"/>
      <c r="BRE1" s="996"/>
      <c r="BRF1" s="996"/>
      <c r="BRG1" s="996"/>
      <c r="BRH1" s="996"/>
      <c r="BRI1" s="996"/>
      <c r="BRJ1" s="996"/>
      <c r="BRK1" s="996"/>
      <c r="BRL1" s="996"/>
      <c r="BRM1" s="996"/>
      <c r="BRN1" s="996"/>
      <c r="BRO1" s="996"/>
      <c r="BRP1" s="996"/>
      <c r="BRQ1" s="996"/>
      <c r="BRR1" s="996"/>
      <c r="BRS1" s="996"/>
      <c r="BRT1" s="996"/>
      <c r="BRU1" s="998"/>
      <c r="BRV1" s="998"/>
      <c r="BRW1" s="998"/>
      <c r="BRX1" s="998"/>
      <c r="BRY1" s="998"/>
      <c r="BRZ1" s="998"/>
      <c r="BSA1" s="998"/>
      <c r="BSB1" s="998"/>
      <c r="BSC1" s="998"/>
      <c r="BSD1" s="998"/>
      <c r="BSE1" s="998"/>
      <c r="BSF1" s="996"/>
      <c r="BSG1" s="996"/>
      <c r="BSH1" s="996"/>
      <c r="BSI1" s="996"/>
      <c r="BSJ1" s="996"/>
      <c r="BSK1" s="996"/>
      <c r="BSL1" s="996"/>
      <c r="BSM1" s="998"/>
      <c r="BSN1" s="998"/>
      <c r="BSO1" s="998"/>
      <c r="BSP1" s="998"/>
      <c r="BSQ1" s="998"/>
      <c r="BSR1" s="998"/>
      <c r="BSS1" s="998"/>
      <c r="BST1" s="996"/>
      <c r="BSU1" s="996"/>
      <c r="BSV1" s="996"/>
      <c r="BSW1" s="996"/>
      <c r="BSX1" s="996"/>
      <c r="BSY1" s="996"/>
      <c r="BSZ1" s="996"/>
      <c r="BTA1" s="996"/>
      <c r="BTB1" s="996"/>
      <c r="BTC1" s="996"/>
      <c r="BTD1" s="996"/>
      <c r="BTE1" s="996"/>
      <c r="BTF1" s="996"/>
      <c r="BTG1" s="996"/>
      <c r="BTH1" s="996"/>
      <c r="BTI1" s="996"/>
      <c r="BTJ1" s="996"/>
      <c r="BTK1" s="996"/>
      <c r="BTL1" s="996"/>
      <c r="BTM1" s="996"/>
      <c r="BTN1" s="996"/>
      <c r="BTO1" s="996"/>
      <c r="BTP1" s="996"/>
      <c r="BTQ1" s="996"/>
      <c r="BTR1" s="996"/>
      <c r="BTS1" s="996"/>
      <c r="BTT1" s="996"/>
      <c r="BTU1" s="1003"/>
      <c r="BTV1" s="996"/>
      <c r="BTW1" s="996"/>
      <c r="BTX1" s="996"/>
      <c r="BTY1" s="996"/>
      <c r="BTZ1" s="996"/>
      <c r="BUA1" s="996"/>
      <c r="BUB1" s="996"/>
      <c r="BUC1" s="996"/>
      <c r="BUD1" s="996"/>
      <c r="BUE1" s="996"/>
      <c r="BUF1" s="996"/>
      <c r="BUG1" s="996"/>
      <c r="BUH1" s="996"/>
      <c r="BUI1" s="996"/>
      <c r="BUJ1" s="996"/>
      <c r="BUK1" s="996"/>
      <c r="BUL1" s="998"/>
      <c r="BUM1" s="998"/>
      <c r="BUN1" s="998"/>
      <c r="BUO1" s="998"/>
      <c r="BUP1" s="998"/>
      <c r="BUQ1" s="998"/>
      <c r="BUR1" s="998"/>
      <c r="BUS1" s="998"/>
      <c r="BUT1" s="998"/>
      <c r="BUU1" s="996"/>
      <c r="BUV1" s="996"/>
      <c r="BUW1" s="996"/>
      <c r="BUX1" s="996"/>
      <c r="BUY1" s="996"/>
      <c r="BUZ1" s="996"/>
      <c r="BVA1" s="996"/>
      <c r="BVB1" s="996"/>
      <c r="BVC1" s="996"/>
      <c r="BVD1" s="998"/>
      <c r="BVE1" s="998"/>
      <c r="BVF1" s="998"/>
      <c r="BVG1" s="998"/>
      <c r="BVH1" s="998"/>
      <c r="BVI1" s="998"/>
      <c r="BVJ1" s="998"/>
      <c r="BVK1" s="998"/>
      <c r="BVL1" s="998"/>
      <c r="BVM1" s="999"/>
      <c r="BVN1" s="1000"/>
      <c r="BVO1" s="1001"/>
      <c r="BVP1" s="1000"/>
      <c r="BVQ1" s="1001"/>
      <c r="BVR1" s="1000"/>
      <c r="BVS1" s="1000"/>
      <c r="BVT1" s="1000"/>
      <c r="BVU1" s="1000"/>
      <c r="BVV1" s="1000"/>
      <c r="BVW1" s="1000"/>
      <c r="BVX1" s="1000"/>
      <c r="BVY1" s="1000"/>
      <c r="BVZ1" s="1000"/>
      <c r="BWA1" s="1000"/>
      <c r="BWB1" s="1000"/>
      <c r="BWC1" s="1000"/>
      <c r="BWD1" s="998"/>
      <c r="BWE1" s="998"/>
      <c r="BWF1" s="998"/>
      <c r="BWG1" s="998"/>
      <c r="BWH1" s="998"/>
      <c r="BWI1" s="998"/>
      <c r="BWJ1" s="998"/>
      <c r="BWK1" s="996"/>
      <c r="BWL1" s="996"/>
      <c r="BWM1" s="996"/>
      <c r="BWN1" s="996"/>
      <c r="BWO1" s="996"/>
      <c r="BWP1" s="996"/>
      <c r="BWQ1" s="996"/>
      <c r="BWR1" s="996"/>
      <c r="BWS1" s="996"/>
      <c r="BWT1" s="996"/>
      <c r="BWU1" s="996"/>
      <c r="BWV1" s="996"/>
      <c r="BWW1" s="996"/>
      <c r="BWX1" s="996"/>
      <c r="BWY1" s="996"/>
      <c r="BWZ1" s="996"/>
      <c r="BXA1" s="996"/>
      <c r="BXB1" s="996"/>
      <c r="BXC1" s="996"/>
      <c r="BXD1" s="996"/>
      <c r="BXE1" s="996"/>
      <c r="BXF1" s="996"/>
      <c r="BXG1" s="996"/>
      <c r="BXH1" s="996"/>
      <c r="BXI1" s="996"/>
      <c r="BXJ1" s="996"/>
      <c r="BXK1" s="996"/>
      <c r="BXL1" s="996"/>
      <c r="BXM1" s="996"/>
      <c r="BXN1" s="996"/>
      <c r="BXO1" s="996"/>
      <c r="BXP1" s="996"/>
      <c r="BXQ1" s="996"/>
      <c r="BXR1" s="996"/>
      <c r="BXS1" s="996"/>
      <c r="BXT1" s="996"/>
      <c r="BXU1" s="996"/>
      <c r="BXV1" s="996"/>
      <c r="BXW1" s="996"/>
      <c r="BXX1" s="995"/>
      <c r="BXY1" s="995"/>
      <c r="BXZ1" s="996"/>
      <c r="BYA1" s="997"/>
      <c r="BYB1" s="1002"/>
      <c r="BYC1" s="996"/>
      <c r="BYD1" s="996"/>
      <c r="BYE1" s="996"/>
      <c r="BYF1" s="996"/>
      <c r="BYG1" s="996"/>
      <c r="BYH1" s="996"/>
      <c r="BYI1" s="996"/>
      <c r="BYJ1" s="996"/>
      <c r="BYK1" s="996"/>
      <c r="BYL1" s="996"/>
      <c r="BYM1" s="996"/>
      <c r="BYN1" s="996"/>
      <c r="BYO1" s="996"/>
      <c r="BYP1" s="996"/>
      <c r="BYQ1" s="996"/>
      <c r="BYR1" s="996"/>
      <c r="BYS1" s="996"/>
      <c r="BYT1" s="996"/>
      <c r="BYU1" s="996"/>
      <c r="BYV1" s="996"/>
      <c r="BYW1" s="996"/>
      <c r="BYX1" s="1003"/>
      <c r="BYY1" s="996"/>
      <c r="BYZ1" s="1003"/>
      <c r="BZA1" s="996"/>
      <c r="BZB1" s="996"/>
      <c r="BZC1" s="996"/>
      <c r="BZD1" s="996"/>
      <c r="BZE1" s="996"/>
      <c r="BZF1" s="996"/>
      <c r="BZG1" s="996"/>
      <c r="BZH1" s="996"/>
      <c r="BZI1" s="996"/>
      <c r="BZJ1" s="996"/>
      <c r="BZK1" s="996"/>
      <c r="BZL1" s="996"/>
      <c r="BZM1" s="1003"/>
      <c r="BZN1" s="1003"/>
      <c r="BZO1" s="1003"/>
      <c r="BZP1" s="1003"/>
      <c r="BZQ1" s="1003"/>
      <c r="BZR1" s="996"/>
      <c r="BZS1" s="996"/>
      <c r="BZT1" s="996"/>
      <c r="BZU1" s="996"/>
      <c r="BZV1" s="996"/>
      <c r="BZW1" s="996"/>
      <c r="BZX1" s="1003"/>
      <c r="BZY1" s="996"/>
      <c r="BZZ1" s="996"/>
      <c r="CAA1" s="996"/>
      <c r="CAB1" s="996"/>
      <c r="CAC1" s="996"/>
      <c r="CAD1" s="996"/>
      <c r="CAE1" s="996"/>
      <c r="CAF1" s="996"/>
      <c r="CAG1" s="996"/>
      <c r="CAH1" s="996"/>
      <c r="CAI1" s="996"/>
      <c r="CAJ1" s="996"/>
      <c r="CAK1" s="996"/>
      <c r="CAL1" s="996"/>
      <c r="CAM1" s="996"/>
      <c r="CAN1" s="996"/>
      <c r="CAO1" s="996"/>
      <c r="CAP1" s="996"/>
      <c r="CAQ1" s="998"/>
      <c r="CAR1" s="998"/>
      <c r="CAS1" s="998"/>
      <c r="CAT1" s="998"/>
      <c r="CAU1" s="998"/>
      <c r="CAV1" s="998"/>
      <c r="CAW1" s="998"/>
      <c r="CAX1" s="998"/>
      <c r="CAY1" s="998"/>
      <c r="CAZ1" s="998"/>
      <c r="CBA1" s="998"/>
      <c r="CBB1" s="996"/>
      <c r="CBC1" s="996"/>
      <c r="CBD1" s="996"/>
      <c r="CBE1" s="996"/>
      <c r="CBF1" s="996"/>
      <c r="CBG1" s="996"/>
      <c r="CBH1" s="996"/>
      <c r="CBI1" s="998"/>
      <c r="CBJ1" s="998"/>
      <c r="CBK1" s="998"/>
      <c r="CBL1" s="998"/>
      <c r="CBM1" s="998"/>
      <c r="CBN1" s="998"/>
      <c r="CBO1" s="998"/>
      <c r="CBP1" s="996"/>
      <c r="CBQ1" s="996"/>
      <c r="CBR1" s="996"/>
      <c r="CBS1" s="996"/>
      <c r="CBT1" s="996"/>
      <c r="CBU1" s="996"/>
      <c r="CBV1" s="996"/>
      <c r="CBW1" s="996"/>
      <c r="CBX1" s="996"/>
      <c r="CBY1" s="996"/>
      <c r="CBZ1" s="996"/>
      <c r="CCA1" s="996"/>
      <c r="CCB1" s="996"/>
      <c r="CCC1" s="996"/>
      <c r="CCD1" s="996"/>
      <c r="CCE1" s="996"/>
      <c r="CCF1" s="996"/>
      <c r="CCG1" s="996"/>
      <c r="CCH1" s="996"/>
      <c r="CCI1" s="996"/>
      <c r="CCJ1" s="996"/>
      <c r="CCK1" s="996"/>
      <c r="CCL1" s="996"/>
      <c r="CCM1" s="996"/>
      <c r="CCN1" s="996"/>
      <c r="CCO1" s="996"/>
      <c r="CCP1" s="996"/>
      <c r="CCQ1" s="1003"/>
      <c r="CCR1" s="996"/>
      <c r="CCS1" s="996"/>
      <c r="CCT1" s="996"/>
      <c r="CCU1" s="996"/>
      <c r="CCV1" s="996"/>
      <c r="CCW1" s="996"/>
      <c r="CCX1" s="996"/>
      <c r="CCY1" s="996"/>
      <c r="CCZ1" s="996"/>
      <c r="CDA1" s="996"/>
      <c r="CDB1" s="996"/>
      <c r="CDC1" s="996"/>
      <c r="CDD1" s="996"/>
      <c r="CDE1" s="996"/>
      <c r="CDF1" s="996"/>
      <c r="CDG1" s="996"/>
      <c r="CDH1" s="998"/>
      <c r="CDI1" s="998"/>
      <c r="CDJ1" s="998"/>
      <c r="CDK1" s="998"/>
      <c r="CDL1" s="998"/>
      <c r="CDM1" s="998"/>
      <c r="CDN1" s="998"/>
      <c r="CDO1" s="998"/>
      <c r="CDP1" s="998"/>
      <c r="CDQ1" s="996"/>
      <c r="CDR1" s="996"/>
      <c r="CDS1" s="996"/>
      <c r="CDT1" s="996"/>
      <c r="CDU1" s="996"/>
      <c r="CDV1" s="996"/>
      <c r="CDW1" s="996"/>
      <c r="CDX1" s="996"/>
      <c r="CDY1" s="996"/>
      <c r="CDZ1" s="998"/>
      <c r="CEA1" s="998"/>
      <c r="CEB1" s="998"/>
      <c r="CEC1" s="998"/>
      <c r="CED1" s="998"/>
      <c r="CEE1" s="998"/>
      <c r="CEF1" s="998"/>
      <c r="CEG1" s="998"/>
      <c r="CEH1" s="998"/>
      <c r="CEI1" s="999"/>
      <c r="CEJ1" s="1000"/>
      <c r="CEK1" s="1001"/>
      <c r="CEL1" s="1000"/>
      <c r="CEM1" s="1001"/>
      <c r="CEN1" s="1000"/>
      <c r="CEO1" s="1000"/>
      <c r="CEP1" s="1000"/>
      <c r="CEQ1" s="1000"/>
      <c r="CER1" s="1000"/>
      <c r="CES1" s="1000"/>
      <c r="CET1" s="1000"/>
      <c r="CEU1" s="1000"/>
      <c r="CEV1" s="1000"/>
      <c r="CEW1" s="1000"/>
      <c r="CEX1" s="1000"/>
      <c r="CEY1" s="1000"/>
      <c r="CEZ1" s="998"/>
      <c r="CFA1" s="998"/>
      <c r="CFB1" s="998"/>
      <c r="CFC1" s="998"/>
      <c r="CFD1" s="998"/>
      <c r="CFE1" s="998"/>
      <c r="CFF1" s="998"/>
      <c r="CFG1" s="996"/>
      <c r="CFH1" s="996"/>
      <c r="CFI1" s="996"/>
      <c r="CFJ1" s="996"/>
      <c r="CFK1" s="996"/>
      <c r="CFL1" s="996"/>
      <c r="CFM1" s="996"/>
      <c r="CFN1" s="996"/>
      <c r="CFO1" s="996"/>
      <c r="CFP1" s="996"/>
      <c r="CFQ1" s="996"/>
      <c r="CFR1" s="996"/>
      <c r="CFS1" s="996"/>
      <c r="CFT1" s="996"/>
      <c r="CFU1" s="996"/>
      <c r="CFV1" s="996"/>
      <c r="CFW1" s="996"/>
      <c r="CFX1" s="996"/>
      <c r="CFY1" s="996"/>
      <c r="CFZ1" s="996"/>
      <c r="CGA1" s="996"/>
      <c r="CGB1" s="996"/>
      <c r="CGC1" s="996"/>
      <c r="CGD1" s="996"/>
      <c r="CGE1" s="996"/>
      <c r="CGF1" s="996"/>
      <c r="CGG1" s="996"/>
      <c r="CGH1" s="996"/>
      <c r="CGI1" s="996"/>
      <c r="CGJ1" s="996"/>
      <c r="CGK1" s="996"/>
      <c r="CGL1" s="996"/>
      <c r="CGM1" s="996"/>
      <c r="CGN1" s="996"/>
      <c r="CGO1" s="996"/>
      <c r="CGP1" s="996"/>
      <c r="CGQ1" s="996"/>
      <c r="CGR1" s="996"/>
      <c r="CGS1" s="996"/>
      <c r="CGT1" s="995"/>
      <c r="CGU1" s="995"/>
      <c r="CGV1" s="996"/>
      <c r="CGW1" s="997"/>
      <c r="CGX1" s="1002"/>
      <c r="CGY1" s="996"/>
      <c r="CGZ1" s="996"/>
      <c r="CHA1" s="996"/>
      <c r="CHB1" s="996"/>
      <c r="CHC1" s="996"/>
      <c r="CHD1" s="996"/>
      <c r="CHE1" s="996"/>
      <c r="CHF1" s="996"/>
      <c r="CHG1" s="996"/>
      <c r="CHH1" s="996"/>
      <c r="CHI1" s="996"/>
      <c r="CHJ1" s="996"/>
      <c r="CHK1" s="996"/>
      <c r="CHL1" s="996"/>
      <c r="CHM1" s="996"/>
      <c r="CHN1" s="996"/>
      <c r="CHO1" s="996"/>
      <c r="CHP1" s="996"/>
      <c r="CHQ1" s="996"/>
      <c r="CHR1" s="996"/>
      <c r="CHS1" s="996"/>
      <c r="CHT1" s="1003"/>
      <c r="CHU1" s="996"/>
      <c r="CHV1" s="1003"/>
      <c r="CHW1" s="996"/>
      <c r="CHX1" s="996"/>
      <c r="CHY1" s="996"/>
      <c r="CHZ1" s="996"/>
      <c r="CIA1" s="996"/>
      <c r="CIB1" s="996"/>
      <c r="CIC1" s="996"/>
      <c r="CID1" s="996"/>
      <c r="CIE1" s="996"/>
      <c r="CIF1" s="996"/>
      <c r="CIG1" s="996"/>
      <c r="CIH1" s="996"/>
      <c r="CII1" s="1003"/>
      <c r="CIJ1" s="1003"/>
      <c r="CIK1" s="1003"/>
      <c r="CIL1" s="1003"/>
      <c r="CIM1" s="1003"/>
      <c r="CIN1" s="996"/>
      <c r="CIO1" s="996"/>
      <c r="CIP1" s="996"/>
      <c r="CIQ1" s="996"/>
      <c r="CIR1" s="996"/>
      <c r="CIS1" s="996"/>
      <c r="CIT1" s="1003"/>
      <c r="CIU1" s="996"/>
      <c r="CIV1" s="996"/>
      <c r="CIW1" s="996"/>
      <c r="CIX1" s="996"/>
      <c r="CIY1" s="996"/>
      <c r="CIZ1" s="996"/>
      <c r="CJA1" s="996"/>
      <c r="CJB1" s="996"/>
      <c r="CJC1" s="996"/>
      <c r="CJD1" s="996"/>
      <c r="CJE1" s="996"/>
      <c r="CJF1" s="996"/>
      <c r="CJG1" s="996"/>
      <c r="CJH1" s="996"/>
      <c r="CJI1" s="996"/>
      <c r="CJJ1" s="996"/>
      <c r="CJK1" s="996"/>
      <c r="CJL1" s="996"/>
      <c r="CJM1" s="998"/>
      <c r="CJN1" s="998"/>
      <c r="CJO1" s="998"/>
      <c r="CJP1" s="998"/>
      <c r="CJQ1" s="998"/>
      <c r="CJR1" s="998"/>
      <c r="CJS1" s="998"/>
      <c r="CJT1" s="998"/>
      <c r="CJU1" s="998"/>
      <c r="CJV1" s="998"/>
      <c r="CJW1" s="998"/>
      <c r="CJX1" s="996"/>
      <c r="CJY1" s="996"/>
      <c r="CJZ1" s="996"/>
      <c r="CKA1" s="996"/>
      <c r="CKB1" s="996"/>
      <c r="CKC1" s="996"/>
      <c r="CKD1" s="996"/>
      <c r="CKE1" s="998"/>
      <c r="CKF1" s="998"/>
      <c r="CKG1" s="998"/>
      <c r="CKH1" s="998"/>
      <c r="CKI1" s="998"/>
      <c r="CKJ1" s="998"/>
      <c r="CKK1" s="998"/>
      <c r="CKL1" s="996"/>
      <c r="CKM1" s="996"/>
      <c r="CKN1" s="996"/>
      <c r="CKO1" s="996"/>
      <c r="CKP1" s="996"/>
      <c r="CKQ1" s="996"/>
      <c r="CKR1" s="996"/>
      <c r="CKS1" s="996"/>
      <c r="CKT1" s="996"/>
      <c r="CKU1" s="996"/>
      <c r="CKV1" s="996"/>
      <c r="CKW1" s="996"/>
      <c r="CKX1" s="996"/>
      <c r="CKY1" s="996"/>
      <c r="CKZ1" s="996"/>
      <c r="CLA1" s="996"/>
      <c r="CLB1" s="996"/>
      <c r="CLC1" s="996"/>
      <c r="CLD1" s="996"/>
      <c r="CLE1" s="996"/>
      <c r="CLF1" s="996"/>
      <c r="CLG1" s="996"/>
      <c r="CLH1" s="996"/>
      <c r="CLI1" s="996"/>
      <c r="CLJ1" s="996"/>
      <c r="CLK1" s="996"/>
      <c r="CLL1" s="996"/>
      <c r="CLM1" s="1003"/>
      <c r="CLN1" s="996"/>
      <c r="CLO1" s="996"/>
      <c r="CLP1" s="996"/>
      <c r="CLQ1" s="996"/>
      <c r="CLR1" s="996"/>
      <c r="CLS1" s="996"/>
      <c r="CLT1" s="996"/>
      <c r="CLU1" s="996"/>
      <c r="CLV1" s="996"/>
      <c r="CLW1" s="996"/>
      <c r="CLX1" s="996"/>
      <c r="CLY1" s="996"/>
      <c r="CLZ1" s="996"/>
      <c r="CMA1" s="996"/>
      <c r="CMB1" s="996"/>
      <c r="CMC1" s="996"/>
      <c r="CMD1" s="998"/>
      <c r="CME1" s="998"/>
      <c r="CMF1" s="998"/>
      <c r="CMG1" s="998"/>
      <c r="CMH1" s="998"/>
      <c r="CMI1" s="998"/>
      <c r="CMJ1" s="998"/>
      <c r="CMK1" s="998"/>
      <c r="CML1" s="998"/>
      <c r="CMM1" s="996"/>
      <c r="CMN1" s="996"/>
      <c r="CMO1" s="996"/>
      <c r="CMP1" s="996"/>
      <c r="CMQ1" s="996"/>
      <c r="CMR1" s="996"/>
      <c r="CMS1" s="996"/>
      <c r="CMT1" s="996"/>
      <c r="CMU1" s="996"/>
      <c r="CMV1" s="998"/>
      <c r="CMW1" s="998"/>
      <c r="CMX1" s="998"/>
      <c r="CMY1" s="998"/>
      <c r="CMZ1" s="998"/>
      <c r="CNA1" s="998"/>
      <c r="CNB1" s="998"/>
      <c r="CNC1" s="998"/>
      <c r="CND1" s="998"/>
      <c r="CNE1" s="999"/>
      <c r="CNF1" s="1000"/>
      <c r="CNG1" s="1001"/>
      <c r="CNH1" s="1000"/>
      <c r="CNI1" s="1001"/>
      <c r="CNJ1" s="1000"/>
      <c r="CNK1" s="1000"/>
      <c r="CNL1" s="1000"/>
      <c r="CNM1" s="1000"/>
      <c r="CNN1" s="1000"/>
      <c r="CNO1" s="1000"/>
      <c r="CNP1" s="1000"/>
      <c r="CNQ1" s="1000"/>
      <c r="CNR1" s="1000"/>
      <c r="CNS1" s="1000"/>
      <c r="CNT1" s="1000"/>
      <c r="CNU1" s="1000"/>
      <c r="CNV1" s="998"/>
      <c r="CNW1" s="998"/>
      <c r="CNX1" s="998"/>
      <c r="CNY1" s="998"/>
      <c r="CNZ1" s="998"/>
      <c r="COA1" s="998"/>
      <c r="COB1" s="998"/>
      <c r="COC1" s="996"/>
      <c r="COD1" s="996"/>
      <c r="COE1" s="996"/>
      <c r="COF1" s="996"/>
      <c r="COG1" s="996"/>
      <c r="COH1" s="996"/>
      <c r="COI1" s="996"/>
      <c r="COJ1" s="996"/>
      <c r="COK1" s="996"/>
      <c r="COL1" s="996"/>
      <c r="COM1" s="996"/>
      <c r="CON1" s="996"/>
      <c r="COO1" s="996"/>
      <c r="COP1" s="996"/>
      <c r="COQ1" s="996"/>
      <c r="COR1" s="996"/>
      <c r="COS1" s="996"/>
      <c r="COT1" s="996"/>
      <c r="COU1" s="996"/>
      <c r="COV1" s="996"/>
      <c r="COW1" s="996"/>
      <c r="COX1" s="996"/>
      <c r="COY1" s="996"/>
      <c r="COZ1" s="996"/>
      <c r="CPA1" s="996"/>
      <c r="CPB1" s="996"/>
      <c r="CPC1" s="996"/>
      <c r="CPD1" s="996"/>
      <c r="CPE1" s="996"/>
      <c r="CPF1" s="996"/>
      <c r="CPG1" s="996"/>
      <c r="CPH1" s="996"/>
      <c r="CPI1" s="996"/>
      <c r="CPJ1" s="996"/>
      <c r="CPK1" s="996"/>
      <c r="CPL1" s="996"/>
      <c r="CPM1" s="996"/>
      <c r="CPN1" s="996"/>
      <c r="CPO1" s="996"/>
      <c r="CPP1" s="995"/>
      <c r="CPQ1" s="995"/>
      <c r="CPR1" s="996"/>
      <c r="CPS1" s="997"/>
      <c r="CPT1" s="1002"/>
      <c r="CPU1" s="996"/>
      <c r="CPV1" s="996"/>
      <c r="CPW1" s="996"/>
      <c r="CPX1" s="996"/>
      <c r="CPY1" s="996"/>
      <c r="CPZ1" s="996"/>
      <c r="CQA1" s="996"/>
      <c r="CQB1" s="996"/>
      <c r="CQC1" s="996"/>
      <c r="CQD1" s="996"/>
      <c r="CQE1" s="996"/>
      <c r="CQF1" s="996"/>
      <c r="CQG1" s="996"/>
      <c r="CQH1" s="996"/>
      <c r="CQI1" s="996"/>
      <c r="CQJ1" s="996"/>
      <c r="CQK1" s="996"/>
      <c r="CQL1" s="996"/>
      <c r="CQM1" s="996"/>
      <c r="CQN1" s="996"/>
      <c r="CQO1" s="996"/>
      <c r="CQP1" s="1003"/>
      <c r="CQQ1" s="996"/>
      <c r="CQR1" s="1003"/>
      <c r="CQS1" s="996"/>
      <c r="CQT1" s="996"/>
      <c r="CQU1" s="996"/>
      <c r="CQV1" s="996"/>
      <c r="CQW1" s="996"/>
      <c r="CQX1" s="996"/>
      <c r="CQY1" s="996"/>
      <c r="CQZ1" s="996"/>
      <c r="CRA1" s="996"/>
      <c r="CRB1" s="996"/>
      <c r="CRC1" s="996"/>
      <c r="CRD1" s="996"/>
      <c r="CRE1" s="1003"/>
      <c r="CRF1" s="1003"/>
      <c r="CRG1" s="1003"/>
      <c r="CRH1" s="1003"/>
      <c r="CRI1" s="1003"/>
      <c r="CRJ1" s="996"/>
      <c r="CRK1" s="996"/>
      <c r="CRL1" s="996"/>
      <c r="CRM1" s="996"/>
      <c r="CRN1" s="996"/>
      <c r="CRO1" s="996"/>
      <c r="CRP1" s="1003"/>
      <c r="CRQ1" s="996"/>
      <c r="CRR1" s="996"/>
      <c r="CRS1" s="996"/>
      <c r="CRT1" s="996"/>
      <c r="CRU1" s="996"/>
      <c r="CRV1" s="996"/>
      <c r="CRW1" s="996"/>
      <c r="CRX1" s="996"/>
      <c r="CRY1" s="996"/>
      <c r="CRZ1" s="996"/>
      <c r="CSA1" s="996"/>
      <c r="CSB1" s="996"/>
      <c r="CSC1" s="996"/>
      <c r="CSD1" s="996"/>
      <c r="CSE1" s="996"/>
      <c r="CSF1" s="996"/>
      <c r="CSG1" s="996"/>
      <c r="CSH1" s="996"/>
      <c r="CSI1" s="998"/>
      <c r="CSJ1" s="998"/>
      <c r="CSK1" s="998"/>
      <c r="CSL1" s="998"/>
      <c r="CSM1" s="998"/>
      <c r="CSN1" s="998"/>
      <c r="CSO1" s="998"/>
      <c r="CSP1" s="998"/>
      <c r="CSQ1" s="998"/>
      <c r="CSR1" s="998"/>
      <c r="CSS1" s="998"/>
      <c r="CST1" s="996"/>
      <c r="CSU1" s="996"/>
      <c r="CSV1" s="996"/>
      <c r="CSW1" s="996"/>
      <c r="CSX1" s="996"/>
      <c r="CSY1" s="996"/>
      <c r="CSZ1" s="996"/>
      <c r="CTA1" s="998"/>
      <c r="CTB1" s="998"/>
      <c r="CTC1" s="998"/>
      <c r="CTD1" s="998"/>
      <c r="CTE1" s="998"/>
      <c r="CTF1" s="998"/>
      <c r="CTG1" s="998"/>
      <c r="CTH1" s="996"/>
      <c r="CTI1" s="996"/>
      <c r="CTJ1" s="996"/>
      <c r="CTK1" s="996"/>
      <c r="CTL1" s="996"/>
      <c r="CTM1" s="996"/>
      <c r="CTN1" s="996"/>
      <c r="CTO1" s="996"/>
      <c r="CTP1" s="996"/>
      <c r="CTQ1" s="996"/>
      <c r="CTR1" s="996"/>
      <c r="CTS1" s="996"/>
      <c r="CTT1" s="996"/>
      <c r="CTU1" s="996"/>
      <c r="CTV1" s="996"/>
      <c r="CTW1" s="996"/>
      <c r="CTX1" s="996"/>
      <c r="CTY1" s="996"/>
      <c r="CTZ1" s="996"/>
      <c r="CUA1" s="996"/>
      <c r="CUB1" s="996"/>
      <c r="CUC1" s="996"/>
      <c r="CUD1" s="996"/>
      <c r="CUE1" s="996"/>
      <c r="CUF1" s="996"/>
      <c r="CUG1" s="996"/>
      <c r="CUH1" s="996"/>
      <c r="CUI1" s="1003"/>
      <c r="CUJ1" s="996"/>
      <c r="CUK1" s="996"/>
      <c r="CUL1" s="996"/>
      <c r="CUM1" s="996"/>
      <c r="CUN1" s="996"/>
      <c r="CUO1" s="996"/>
      <c r="CUP1" s="996"/>
      <c r="CUQ1" s="996"/>
      <c r="CUR1" s="996"/>
      <c r="CUS1" s="996"/>
      <c r="CUT1" s="996"/>
      <c r="CUU1" s="996"/>
      <c r="CUV1" s="996"/>
      <c r="CUW1" s="996"/>
      <c r="CUX1" s="996"/>
      <c r="CUY1" s="996"/>
      <c r="CUZ1" s="998"/>
      <c r="CVA1" s="998"/>
      <c r="CVB1" s="998"/>
      <c r="CVC1" s="998"/>
      <c r="CVD1" s="998"/>
      <c r="CVE1" s="998"/>
      <c r="CVF1" s="998"/>
      <c r="CVG1" s="998"/>
      <c r="CVH1" s="998"/>
      <c r="CVI1" s="996"/>
      <c r="CVJ1" s="996"/>
      <c r="CVK1" s="996"/>
      <c r="CVL1" s="996"/>
      <c r="CVM1" s="996"/>
      <c r="CVN1" s="996"/>
      <c r="CVO1" s="996"/>
      <c r="CVP1" s="996"/>
      <c r="CVQ1" s="996"/>
      <c r="CVR1" s="998"/>
      <c r="CVS1" s="998"/>
      <c r="CVT1" s="998"/>
      <c r="CVU1" s="998"/>
      <c r="CVV1" s="998"/>
      <c r="CVW1" s="998"/>
      <c r="CVX1" s="998"/>
      <c r="CVY1" s="998"/>
      <c r="CVZ1" s="998"/>
      <c r="CWA1" s="999"/>
      <c r="CWB1" s="1000"/>
      <c r="CWC1" s="1001"/>
      <c r="CWD1" s="1000"/>
      <c r="CWE1" s="1001"/>
      <c r="CWF1" s="1000"/>
      <c r="CWG1" s="1000"/>
      <c r="CWH1" s="1000"/>
      <c r="CWI1" s="1000"/>
      <c r="CWJ1" s="1000"/>
      <c r="CWK1" s="1000"/>
      <c r="CWL1" s="1000"/>
      <c r="CWM1" s="1000"/>
      <c r="CWN1" s="1000"/>
      <c r="CWO1" s="1000"/>
      <c r="CWP1" s="1000"/>
      <c r="CWQ1" s="1000"/>
      <c r="CWR1" s="998"/>
      <c r="CWS1" s="998"/>
      <c r="CWT1" s="998"/>
      <c r="CWU1" s="998"/>
      <c r="CWV1" s="998"/>
      <c r="CWW1" s="998"/>
      <c r="CWX1" s="998"/>
      <c r="CWY1" s="996"/>
      <c r="CWZ1" s="996"/>
      <c r="CXA1" s="996"/>
      <c r="CXB1" s="996"/>
      <c r="CXC1" s="996"/>
      <c r="CXD1" s="996"/>
      <c r="CXE1" s="996"/>
      <c r="CXF1" s="996"/>
      <c r="CXG1" s="996"/>
      <c r="CXH1" s="996"/>
      <c r="CXI1" s="996"/>
      <c r="CXJ1" s="996"/>
      <c r="CXK1" s="996"/>
      <c r="CXL1" s="996"/>
      <c r="CXM1" s="996"/>
      <c r="CXN1" s="996"/>
      <c r="CXO1" s="996"/>
      <c r="CXP1" s="996"/>
      <c r="CXQ1" s="996"/>
      <c r="CXR1" s="996"/>
      <c r="CXS1" s="996"/>
      <c r="CXT1" s="996"/>
      <c r="CXU1" s="996"/>
      <c r="CXV1" s="996"/>
      <c r="CXW1" s="996"/>
      <c r="CXX1" s="996"/>
      <c r="CXY1" s="996"/>
      <c r="CXZ1" s="996"/>
      <c r="CYA1" s="996"/>
      <c r="CYB1" s="996"/>
      <c r="CYC1" s="996"/>
      <c r="CYD1" s="996"/>
      <c r="CYE1" s="996"/>
      <c r="CYF1" s="996"/>
      <c r="CYG1" s="996"/>
      <c r="CYH1" s="996"/>
      <c r="CYI1" s="996"/>
      <c r="CYJ1" s="996"/>
      <c r="CYK1" s="996"/>
      <c r="CYL1" s="995"/>
      <c r="CYM1" s="995"/>
      <c r="CYN1" s="996"/>
      <c r="CYO1" s="997"/>
      <c r="CYP1" s="1002"/>
      <c r="CYQ1" s="996"/>
      <c r="CYR1" s="996"/>
      <c r="CYS1" s="996"/>
      <c r="CYT1" s="996"/>
      <c r="CYU1" s="996"/>
      <c r="CYV1" s="996"/>
      <c r="CYW1" s="996"/>
      <c r="CYX1" s="996"/>
      <c r="CYY1" s="996"/>
      <c r="CYZ1" s="996"/>
      <c r="CZA1" s="996"/>
      <c r="CZB1" s="996"/>
      <c r="CZC1" s="996"/>
      <c r="CZD1" s="996"/>
      <c r="CZE1" s="996"/>
      <c r="CZF1" s="996"/>
      <c r="CZG1" s="996"/>
      <c r="CZH1" s="996"/>
      <c r="CZI1" s="996"/>
      <c r="CZJ1" s="996"/>
      <c r="CZK1" s="996"/>
      <c r="CZL1" s="1003"/>
      <c r="CZM1" s="996"/>
      <c r="CZN1" s="1003"/>
      <c r="CZO1" s="996"/>
      <c r="CZP1" s="996"/>
      <c r="CZQ1" s="996"/>
      <c r="CZR1" s="996"/>
      <c r="CZS1" s="996"/>
      <c r="CZT1" s="996"/>
      <c r="CZU1" s="996"/>
      <c r="CZV1" s="996"/>
      <c r="CZW1" s="996"/>
      <c r="CZX1" s="996"/>
      <c r="CZY1" s="996"/>
      <c r="CZZ1" s="996"/>
      <c r="DAA1" s="1003"/>
      <c r="DAB1" s="1003"/>
      <c r="DAC1" s="1003"/>
      <c r="DAD1" s="1003"/>
      <c r="DAE1" s="1003"/>
      <c r="DAF1" s="996"/>
      <c r="DAG1" s="996"/>
      <c r="DAH1" s="996"/>
      <c r="DAI1" s="996"/>
      <c r="DAJ1" s="996"/>
      <c r="DAK1" s="996"/>
      <c r="DAL1" s="1003"/>
      <c r="DAM1" s="996"/>
      <c r="DAN1" s="996"/>
      <c r="DAO1" s="996"/>
      <c r="DAP1" s="996"/>
      <c r="DAQ1" s="996"/>
      <c r="DAR1" s="996"/>
      <c r="DAS1" s="996"/>
      <c r="DAT1" s="996"/>
      <c r="DAU1" s="996"/>
      <c r="DAV1" s="996"/>
      <c r="DAW1" s="996"/>
      <c r="DAX1" s="996"/>
      <c r="DAY1" s="996"/>
      <c r="DAZ1" s="996"/>
      <c r="DBA1" s="996"/>
      <c r="DBB1" s="996"/>
      <c r="DBC1" s="996"/>
      <c r="DBD1" s="996"/>
      <c r="DBE1" s="998"/>
      <c r="DBF1" s="998"/>
      <c r="DBG1" s="998"/>
      <c r="DBH1" s="998"/>
      <c r="DBI1" s="998"/>
      <c r="DBJ1" s="998"/>
      <c r="DBK1" s="998"/>
      <c r="DBL1" s="998"/>
      <c r="DBM1" s="998"/>
      <c r="DBN1" s="998"/>
      <c r="DBO1" s="998"/>
      <c r="DBP1" s="996"/>
      <c r="DBQ1" s="996"/>
      <c r="DBR1" s="996"/>
      <c r="DBS1" s="996"/>
      <c r="DBT1" s="996"/>
      <c r="DBU1" s="996"/>
      <c r="DBV1" s="996"/>
      <c r="DBW1" s="998"/>
      <c r="DBX1" s="998"/>
      <c r="DBY1" s="998"/>
      <c r="DBZ1" s="998"/>
      <c r="DCA1" s="998"/>
      <c r="DCB1" s="998"/>
      <c r="DCC1" s="998"/>
      <c r="DCD1" s="996"/>
      <c r="DCE1" s="996"/>
      <c r="DCF1" s="996"/>
      <c r="DCG1" s="996"/>
      <c r="DCH1" s="996"/>
      <c r="DCI1" s="996"/>
      <c r="DCJ1" s="996"/>
      <c r="DCK1" s="996"/>
      <c r="DCL1" s="996"/>
      <c r="DCM1" s="996"/>
      <c r="DCN1" s="996"/>
      <c r="DCO1" s="996"/>
      <c r="DCP1" s="996"/>
      <c r="DCQ1" s="996"/>
      <c r="DCR1" s="996"/>
      <c r="DCS1" s="996"/>
      <c r="DCT1" s="996"/>
      <c r="DCU1" s="996"/>
      <c r="DCV1" s="996"/>
      <c r="DCW1" s="996"/>
      <c r="DCX1" s="996"/>
      <c r="DCY1" s="996"/>
      <c r="DCZ1" s="996"/>
      <c r="DDA1" s="996"/>
      <c r="DDB1" s="996"/>
      <c r="DDC1" s="996"/>
      <c r="DDD1" s="996"/>
      <c r="DDE1" s="1003"/>
      <c r="DDF1" s="996"/>
      <c r="DDG1" s="996"/>
      <c r="DDH1" s="996"/>
      <c r="DDI1" s="996"/>
      <c r="DDJ1" s="996"/>
      <c r="DDK1" s="996"/>
      <c r="DDL1" s="996"/>
      <c r="DDM1" s="996"/>
      <c r="DDN1" s="996"/>
      <c r="DDO1" s="996"/>
      <c r="DDP1" s="996"/>
      <c r="DDQ1" s="996"/>
      <c r="DDR1" s="996"/>
      <c r="DDS1" s="996"/>
      <c r="DDT1" s="996"/>
      <c r="DDU1" s="996"/>
      <c r="DDV1" s="998"/>
      <c r="DDW1" s="998"/>
      <c r="DDX1" s="998"/>
      <c r="DDY1" s="998"/>
      <c r="DDZ1" s="998"/>
      <c r="DEA1" s="998"/>
      <c r="DEB1" s="998"/>
      <c r="DEC1" s="998"/>
      <c r="DED1" s="998"/>
      <c r="DEE1" s="996"/>
      <c r="DEF1" s="996"/>
      <c r="DEG1" s="996"/>
      <c r="DEH1" s="996"/>
      <c r="DEI1" s="996"/>
      <c r="DEJ1" s="996"/>
      <c r="DEK1" s="996"/>
      <c r="DEL1" s="996"/>
      <c r="DEM1" s="996"/>
      <c r="DEN1" s="998"/>
      <c r="DEO1" s="998"/>
      <c r="DEP1" s="998"/>
      <c r="DEQ1" s="998"/>
      <c r="DER1" s="998"/>
      <c r="DES1" s="998"/>
      <c r="DET1" s="998"/>
      <c r="DEU1" s="998"/>
      <c r="DEV1" s="998"/>
      <c r="DEW1" s="999"/>
      <c r="DEX1" s="1000"/>
      <c r="DEY1" s="1001"/>
      <c r="DEZ1" s="1000"/>
      <c r="DFA1" s="1001"/>
      <c r="DFB1" s="1000"/>
      <c r="DFC1" s="1000"/>
      <c r="DFD1" s="1000"/>
      <c r="DFE1" s="1000"/>
      <c r="DFF1" s="1000"/>
      <c r="DFG1" s="1000"/>
      <c r="DFH1" s="1000"/>
      <c r="DFI1" s="1000"/>
      <c r="DFJ1" s="1000"/>
      <c r="DFK1" s="1000"/>
      <c r="DFL1" s="1000"/>
      <c r="DFM1" s="1000"/>
      <c r="DFN1" s="998"/>
      <c r="DFO1" s="998"/>
      <c r="DFP1" s="998"/>
      <c r="DFQ1" s="998"/>
      <c r="DFR1" s="998"/>
      <c r="DFS1" s="998"/>
      <c r="DFT1" s="998"/>
      <c r="DFU1" s="996"/>
      <c r="DFV1" s="996"/>
      <c r="DFW1" s="996"/>
      <c r="DFX1" s="996"/>
      <c r="DFY1" s="996"/>
      <c r="DFZ1" s="996"/>
      <c r="DGA1" s="996"/>
      <c r="DGB1" s="996"/>
      <c r="DGC1" s="996"/>
      <c r="DGD1" s="996"/>
      <c r="DGE1" s="996"/>
      <c r="DGF1" s="996"/>
      <c r="DGG1" s="996"/>
      <c r="DGH1" s="996"/>
      <c r="DGI1" s="996"/>
      <c r="DGJ1" s="996"/>
      <c r="DGK1" s="996"/>
      <c r="DGL1" s="996"/>
      <c r="DGM1" s="996"/>
      <c r="DGN1" s="996"/>
      <c r="DGO1" s="996"/>
      <c r="DGP1" s="996"/>
      <c r="DGQ1" s="996"/>
      <c r="DGR1" s="996"/>
      <c r="DGS1" s="996"/>
      <c r="DGT1" s="996"/>
      <c r="DGU1" s="996"/>
      <c r="DGV1" s="996"/>
      <c r="DGW1" s="996"/>
      <c r="DGX1" s="996"/>
      <c r="DGY1" s="996"/>
      <c r="DGZ1" s="996"/>
      <c r="DHA1" s="996"/>
      <c r="DHB1" s="996"/>
      <c r="DHC1" s="996"/>
      <c r="DHD1" s="996"/>
      <c r="DHE1" s="996"/>
      <c r="DHF1" s="996"/>
      <c r="DHG1" s="996"/>
      <c r="DHH1" s="995"/>
      <c r="DHI1" s="995"/>
      <c r="DHJ1" s="996"/>
      <c r="DHK1" s="997"/>
      <c r="DHL1" s="1002"/>
      <c r="DHM1" s="996"/>
      <c r="DHN1" s="996"/>
      <c r="DHO1" s="996"/>
      <c r="DHP1" s="996"/>
      <c r="DHQ1" s="996"/>
      <c r="DHR1" s="996"/>
      <c r="DHS1" s="996"/>
      <c r="DHT1" s="996"/>
      <c r="DHU1" s="996"/>
      <c r="DHV1" s="996"/>
      <c r="DHW1" s="996"/>
      <c r="DHX1" s="996"/>
      <c r="DHY1" s="996"/>
      <c r="DHZ1" s="996"/>
      <c r="DIA1" s="996"/>
      <c r="DIB1" s="996"/>
      <c r="DIC1" s="996"/>
      <c r="DID1" s="996"/>
      <c r="DIE1" s="996"/>
      <c r="DIF1" s="996"/>
      <c r="DIG1" s="996"/>
      <c r="DIH1" s="1003"/>
      <c r="DII1" s="996"/>
      <c r="DIJ1" s="1003"/>
      <c r="DIK1" s="996"/>
      <c r="DIL1" s="996"/>
      <c r="DIM1" s="996"/>
      <c r="DIN1" s="996"/>
      <c r="DIO1" s="996"/>
      <c r="DIP1" s="996"/>
      <c r="DIQ1" s="996"/>
      <c r="DIR1" s="996"/>
      <c r="DIS1" s="996"/>
      <c r="DIT1" s="996"/>
      <c r="DIU1" s="996"/>
      <c r="DIV1" s="996"/>
      <c r="DIW1" s="1003"/>
      <c r="DIX1" s="1003"/>
      <c r="DIY1" s="1003"/>
      <c r="DIZ1" s="1003"/>
      <c r="DJA1" s="1003"/>
      <c r="DJB1" s="996"/>
      <c r="DJC1" s="996"/>
      <c r="DJD1" s="996"/>
      <c r="DJE1" s="996"/>
      <c r="DJF1" s="996"/>
      <c r="DJG1" s="996"/>
      <c r="DJH1" s="1003"/>
      <c r="DJI1" s="996"/>
      <c r="DJJ1" s="996"/>
      <c r="DJK1" s="996"/>
      <c r="DJL1" s="996"/>
      <c r="DJM1" s="996"/>
      <c r="DJN1" s="996"/>
      <c r="DJO1" s="996"/>
      <c r="DJP1" s="996"/>
      <c r="DJQ1" s="996"/>
      <c r="DJR1" s="996"/>
      <c r="DJS1" s="996"/>
      <c r="DJT1" s="996"/>
      <c r="DJU1" s="996"/>
      <c r="DJV1" s="996"/>
      <c r="DJW1" s="996"/>
      <c r="DJX1" s="996"/>
      <c r="DJY1" s="996"/>
      <c r="DJZ1" s="996"/>
      <c r="DKA1" s="998"/>
      <c r="DKB1" s="998"/>
      <c r="DKC1" s="998"/>
      <c r="DKD1" s="998"/>
      <c r="DKE1" s="998"/>
      <c r="DKF1" s="998"/>
      <c r="DKG1" s="998"/>
      <c r="DKH1" s="998"/>
      <c r="DKI1" s="998"/>
      <c r="DKJ1" s="998"/>
      <c r="DKK1" s="998"/>
      <c r="DKL1" s="996"/>
      <c r="DKM1" s="996"/>
      <c r="DKN1" s="996"/>
      <c r="DKO1" s="996"/>
      <c r="DKP1" s="996"/>
      <c r="DKQ1" s="996"/>
      <c r="DKR1" s="996"/>
      <c r="DKS1" s="998"/>
      <c r="DKT1" s="998"/>
      <c r="DKU1" s="998"/>
      <c r="DKV1" s="998"/>
      <c r="DKW1" s="998"/>
      <c r="DKX1" s="998"/>
      <c r="DKY1" s="998"/>
      <c r="DKZ1" s="996"/>
      <c r="DLA1" s="996"/>
      <c r="DLB1" s="996"/>
      <c r="DLC1" s="996"/>
      <c r="DLD1" s="996"/>
      <c r="DLE1" s="996"/>
      <c r="DLF1" s="996"/>
      <c r="DLG1" s="996"/>
      <c r="DLH1" s="996"/>
      <c r="DLI1" s="996"/>
      <c r="DLJ1" s="996"/>
      <c r="DLK1" s="996"/>
      <c r="DLL1" s="996"/>
      <c r="DLM1" s="996"/>
      <c r="DLN1" s="996"/>
      <c r="DLO1" s="996"/>
      <c r="DLP1" s="996"/>
      <c r="DLQ1" s="996"/>
      <c r="DLR1" s="996"/>
      <c r="DLS1" s="996"/>
      <c r="DLT1" s="996"/>
      <c r="DLU1" s="996"/>
      <c r="DLV1" s="996"/>
      <c r="DLW1" s="996"/>
      <c r="DLX1" s="996"/>
      <c r="DLY1" s="996"/>
      <c r="DLZ1" s="996"/>
      <c r="DMA1" s="1003"/>
      <c r="DMB1" s="996"/>
      <c r="DMC1" s="996"/>
      <c r="DMD1" s="996"/>
      <c r="DME1" s="996"/>
      <c r="DMF1" s="996"/>
      <c r="DMG1" s="996"/>
      <c r="DMH1" s="996"/>
      <c r="DMI1" s="996"/>
      <c r="DMJ1" s="996"/>
      <c r="DMK1" s="996"/>
      <c r="DML1" s="996"/>
      <c r="DMM1" s="996"/>
      <c r="DMN1" s="996"/>
      <c r="DMO1" s="996"/>
      <c r="DMP1" s="996"/>
      <c r="DMQ1" s="996"/>
      <c r="DMR1" s="998"/>
      <c r="DMS1" s="998"/>
      <c r="DMT1" s="998"/>
      <c r="DMU1" s="998"/>
      <c r="DMV1" s="998"/>
      <c r="DMW1" s="998"/>
      <c r="DMX1" s="998"/>
      <c r="DMY1" s="998"/>
      <c r="DMZ1" s="998"/>
      <c r="DNA1" s="996"/>
      <c r="DNB1" s="996"/>
      <c r="DNC1" s="996"/>
      <c r="DND1" s="996"/>
      <c r="DNE1" s="996"/>
      <c r="DNF1" s="996"/>
      <c r="DNG1" s="996"/>
      <c r="DNH1" s="996"/>
      <c r="DNI1" s="996"/>
      <c r="DNJ1" s="998"/>
      <c r="DNK1" s="998"/>
      <c r="DNL1" s="998"/>
      <c r="DNM1" s="998"/>
      <c r="DNN1" s="998"/>
      <c r="DNO1" s="998"/>
      <c r="DNP1" s="998"/>
      <c r="DNQ1" s="998"/>
      <c r="DNR1" s="998"/>
      <c r="DNS1" s="999"/>
      <c r="DNT1" s="1000"/>
      <c r="DNU1" s="1001"/>
      <c r="DNV1" s="1000"/>
      <c r="DNW1" s="1001"/>
      <c r="DNX1" s="1000"/>
      <c r="DNY1" s="1000"/>
      <c r="DNZ1" s="1000"/>
      <c r="DOA1" s="1000"/>
      <c r="DOB1" s="1000"/>
      <c r="DOC1" s="1000"/>
      <c r="DOD1" s="1000"/>
      <c r="DOE1" s="1000"/>
      <c r="DOF1" s="1000"/>
      <c r="DOG1" s="1000"/>
      <c r="DOH1" s="1000"/>
      <c r="DOI1" s="1000"/>
      <c r="DOJ1" s="998"/>
      <c r="DOK1" s="998"/>
      <c r="DOL1" s="998"/>
      <c r="DOM1" s="998"/>
      <c r="DON1" s="998"/>
      <c r="DOO1" s="998"/>
      <c r="DOP1" s="998"/>
      <c r="DOQ1" s="996"/>
      <c r="DOR1" s="996"/>
      <c r="DOS1" s="996"/>
      <c r="DOT1" s="996"/>
      <c r="DOU1" s="996"/>
      <c r="DOV1" s="996"/>
      <c r="DOW1" s="996"/>
      <c r="DOX1" s="996"/>
      <c r="DOY1" s="996"/>
      <c r="DOZ1" s="996"/>
      <c r="DPA1" s="996"/>
      <c r="DPB1" s="996"/>
      <c r="DPC1" s="996"/>
      <c r="DPD1" s="996"/>
      <c r="DPE1" s="996"/>
      <c r="DPF1" s="996"/>
      <c r="DPG1" s="996"/>
      <c r="DPH1" s="996"/>
      <c r="DPI1" s="996"/>
      <c r="DPJ1" s="996"/>
      <c r="DPK1" s="996"/>
      <c r="DPL1" s="996"/>
      <c r="DPM1" s="996"/>
      <c r="DPN1" s="996"/>
      <c r="DPO1" s="996"/>
      <c r="DPP1" s="996"/>
      <c r="DPQ1" s="996"/>
      <c r="DPR1" s="996"/>
      <c r="DPS1" s="996"/>
      <c r="DPT1" s="996"/>
      <c r="DPU1" s="996"/>
      <c r="DPV1" s="996"/>
      <c r="DPW1" s="996"/>
      <c r="DPX1" s="996"/>
      <c r="DPY1" s="996"/>
      <c r="DPZ1" s="996"/>
      <c r="DQA1" s="996"/>
      <c r="DQB1" s="996"/>
      <c r="DQC1" s="996"/>
      <c r="DQD1" s="995"/>
      <c r="DQE1" s="995"/>
      <c r="DQF1" s="996"/>
      <c r="DQG1" s="997"/>
      <c r="DQH1" s="1002"/>
      <c r="DQI1" s="996"/>
      <c r="DQJ1" s="996"/>
      <c r="DQK1" s="996"/>
      <c r="DQL1" s="996"/>
      <c r="DQM1" s="996"/>
      <c r="DQN1" s="996"/>
      <c r="DQO1" s="996"/>
      <c r="DQP1" s="996"/>
      <c r="DQQ1" s="996"/>
      <c r="DQR1" s="996"/>
      <c r="DQS1" s="996"/>
      <c r="DQT1" s="996"/>
      <c r="DQU1" s="996"/>
      <c r="DQV1" s="996"/>
      <c r="DQW1" s="996"/>
      <c r="DQX1" s="996"/>
      <c r="DQY1" s="996"/>
      <c r="DQZ1" s="996"/>
      <c r="DRA1" s="996"/>
      <c r="DRB1" s="996"/>
      <c r="DRC1" s="996"/>
      <c r="DRD1" s="1003"/>
      <c r="DRE1" s="996"/>
      <c r="DRF1" s="1003"/>
      <c r="DRG1" s="996"/>
      <c r="DRH1" s="996"/>
      <c r="DRI1" s="996"/>
      <c r="DRJ1" s="996"/>
      <c r="DRK1" s="996"/>
      <c r="DRL1" s="996"/>
      <c r="DRM1" s="996"/>
      <c r="DRN1" s="996"/>
      <c r="DRO1" s="996"/>
      <c r="DRP1" s="996"/>
      <c r="DRQ1" s="996"/>
      <c r="DRR1" s="996"/>
      <c r="DRS1" s="1003"/>
      <c r="DRT1" s="1003"/>
      <c r="DRU1" s="1003"/>
      <c r="DRV1" s="1003"/>
      <c r="DRW1" s="1003"/>
      <c r="DRX1" s="996"/>
      <c r="DRY1" s="996"/>
      <c r="DRZ1" s="996"/>
      <c r="DSA1" s="996"/>
      <c r="DSB1" s="996"/>
      <c r="DSC1" s="996"/>
      <c r="DSD1" s="1003"/>
      <c r="DSE1" s="996"/>
      <c r="DSF1" s="996"/>
      <c r="DSG1" s="996"/>
      <c r="DSH1" s="996"/>
      <c r="DSI1" s="996"/>
      <c r="DSJ1" s="996"/>
      <c r="DSK1" s="996"/>
      <c r="DSL1" s="996"/>
      <c r="DSM1" s="996"/>
      <c r="DSN1" s="996"/>
      <c r="DSO1" s="996"/>
      <c r="DSP1" s="996"/>
      <c r="DSQ1" s="996"/>
      <c r="DSR1" s="996"/>
      <c r="DSS1" s="996"/>
      <c r="DST1" s="996"/>
      <c r="DSU1" s="996"/>
      <c r="DSV1" s="996"/>
      <c r="DSW1" s="998"/>
      <c r="DSX1" s="998"/>
      <c r="DSY1" s="998"/>
      <c r="DSZ1" s="998"/>
      <c r="DTA1" s="998"/>
      <c r="DTB1" s="998"/>
      <c r="DTC1" s="998"/>
      <c r="DTD1" s="998"/>
      <c r="DTE1" s="998"/>
      <c r="DTF1" s="998"/>
      <c r="DTG1" s="998"/>
      <c r="DTH1" s="996"/>
      <c r="DTI1" s="996"/>
      <c r="DTJ1" s="996"/>
      <c r="DTK1" s="996"/>
      <c r="DTL1" s="996"/>
      <c r="DTM1" s="996"/>
      <c r="DTN1" s="996"/>
      <c r="DTO1" s="998"/>
      <c r="DTP1" s="998"/>
      <c r="DTQ1" s="998"/>
      <c r="DTR1" s="998"/>
      <c r="DTS1" s="998"/>
      <c r="DTT1" s="998"/>
      <c r="DTU1" s="998"/>
      <c r="DTV1" s="996"/>
      <c r="DTW1" s="996"/>
      <c r="DTX1" s="996"/>
      <c r="DTY1" s="996"/>
      <c r="DTZ1" s="996"/>
      <c r="DUA1" s="996"/>
      <c r="DUB1" s="996"/>
      <c r="DUC1" s="996"/>
      <c r="DUD1" s="996"/>
      <c r="DUE1" s="996"/>
      <c r="DUF1" s="996"/>
      <c r="DUG1" s="996"/>
      <c r="DUH1" s="996"/>
      <c r="DUI1" s="996"/>
      <c r="DUJ1" s="996"/>
      <c r="DUK1" s="996"/>
      <c r="DUL1" s="996"/>
      <c r="DUM1" s="996"/>
      <c r="DUN1" s="996"/>
      <c r="DUO1" s="996"/>
      <c r="DUP1" s="996"/>
      <c r="DUQ1" s="996"/>
      <c r="DUR1" s="996"/>
      <c r="DUS1" s="996"/>
      <c r="DUT1" s="996"/>
      <c r="DUU1" s="996"/>
      <c r="DUV1" s="996"/>
      <c r="DUW1" s="1003"/>
      <c r="DUX1" s="996"/>
      <c r="DUY1" s="996"/>
      <c r="DUZ1" s="996"/>
      <c r="DVA1" s="996"/>
      <c r="DVB1" s="996"/>
      <c r="DVC1" s="996"/>
      <c r="DVD1" s="996"/>
      <c r="DVE1" s="996"/>
      <c r="DVF1" s="996"/>
      <c r="DVG1" s="996"/>
      <c r="DVH1" s="996"/>
      <c r="DVI1" s="996"/>
      <c r="DVJ1" s="996"/>
      <c r="DVK1" s="996"/>
      <c r="DVL1" s="996"/>
      <c r="DVM1" s="996"/>
      <c r="DVN1" s="998"/>
      <c r="DVO1" s="998"/>
      <c r="DVP1" s="998"/>
      <c r="DVQ1" s="998"/>
      <c r="DVR1" s="998"/>
      <c r="DVS1" s="998"/>
      <c r="DVT1" s="998"/>
      <c r="DVU1" s="998"/>
      <c r="DVV1" s="998"/>
      <c r="DVW1" s="996"/>
      <c r="DVX1" s="996"/>
      <c r="DVY1" s="996"/>
      <c r="DVZ1" s="996"/>
      <c r="DWA1" s="996"/>
      <c r="DWB1" s="996"/>
      <c r="DWC1" s="996"/>
      <c r="DWD1" s="996"/>
      <c r="DWE1" s="996"/>
      <c r="DWF1" s="998"/>
      <c r="DWG1" s="998"/>
      <c r="DWH1" s="998"/>
      <c r="DWI1" s="998"/>
      <c r="DWJ1" s="998"/>
      <c r="DWK1" s="998"/>
      <c r="DWL1" s="998"/>
      <c r="DWM1" s="998"/>
      <c r="DWN1" s="998"/>
      <c r="DWO1" s="999"/>
      <c r="DWP1" s="1000"/>
      <c r="DWQ1" s="1001"/>
      <c r="DWR1" s="1000"/>
      <c r="DWS1" s="1001"/>
      <c r="DWT1" s="1000"/>
      <c r="DWU1" s="1000"/>
      <c r="DWV1" s="1000"/>
      <c r="DWW1" s="1000"/>
      <c r="DWX1" s="1000"/>
      <c r="DWY1" s="1000"/>
      <c r="DWZ1" s="1000"/>
      <c r="DXA1" s="1000"/>
      <c r="DXB1" s="1000"/>
      <c r="DXC1" s="1000"/>
      <c r="DXD1" s="1000"/>
      <c r="DXE1" s="1000"/>
      <c r="DXF1" s="998"/>
      <c r="DXG1" s="998"/>
      <c r="DXH1" s="998"/>
      <c r="DXI1" s="998"/>
      <c r="DXJ1" s="998"/>
      <c r="DXK1" s="998"/>
      <c r="DXL1" s="998"/>
      <c r="DXM1" s="996"/>
      <c r="DXN1" s="996"/>
      <c r="DXO1" s="996"/>
      <c r="DXP1" s="996"/>
      <c r="DXQ1" s="996"/>
      <c r="DXR1" s="996"/>
      <c r="DXS1" s="996"/>
      <c r="DXT1" s="996"/>
      <c r="DXU1" s="996"/>
      <c r="DXV1" s="996"/>
      <c r="DXW1" s="996"/>
      <c r="DXX1" s="996"/>
      <c r="DXY1" s="996"/>
      <c r="DXZ1" s="996"/>
      <c r="DYA1" s="996"/>
      <c r="DYB1" s="996"/>
      <c r="DYC1" s="996"/>
      <c r="DYD1" s="996"/>
      <c r="DYE1" s="996"/>
      <c r="DYF1" s="996"/>
      <c r="DYG1" s="996"/>
      <c r="DYH1" s="996"/>
      <c r="DYI1" s="996"/>
      <c r="DYJ1" s="996"/>
      <c r="DYK1" s="996"/>
      <c r="DYL1" s="996"/>
      <c r="DYM1" s="996"/>
      <c r="DYN1" s="996"/>
      <c r="DYO1" s="996"/>
      <c r="DYP1" s="996"/>
      <c r="DYQ1" s="996"/>
      <c r="DYR1" s="996"/>
      <c r="DYS1" s="996"/>
      <c r="DYT1" s="996"/>
      <c r="DYU1" s="996"/>
      <c r="DYV1" s="996"/>
      <c r="DYW1" s="996"/>
      <c r="DYX1" s="996"/>
      <c r="DYY1" s="996"/>
      <c r="DYZ1" s="995"/>
      <c r="DZA1" s="995"/>
      <c r="DZB1" s="996"/>
      <c r="DZC1" s="997"/>
      <c r="DZD1" s="1002"/>
      <c r="DZE1" s="996"/>
      <c r="DZF1" s="996"/>
      <c r="DZG1" s="996"/>
      <c r="DZH1" s="996"/>
      <c r="DZI1" s="996"/>
      <c r="DZJ1" s="996"/>
      <c r="DZK1" s="996"/>
      <c r="DZL1" s="996"/>
      <c r="DZM1" s="996"/>
      <c r="DZN1" s="996"/>
      <c r="DZO1" s="996"/>
      <c r="DZP1" s="996"/>
      <c r="DZQ1" s="996"/>
      <c r="DZR1" s="996"/>
      <c r="DZS1" s="996"/>
      <c r="DZT1" s="996"/>
      <c r="DZU1" s="996"/>
      <c r="DZV1" s="996"/>
      <c r="DZW1" s="996"/>
      <c r="DZX1" s="996"/>
      <c r="DZY1" s="996"/>
      <c r="DZZ1" s="1003"/>
      <c r="EAA1" s="996"/>
      <c r="EAB1" s="1003"/>
      <c r="EAC1" s="996"/>
      <c r="EAD1" s="996"/>
      <c r="EAE1" s="996"/>
      <c r="EAF1" s="996"/>
      <c r="EAG1" s="996"/>
      <c r="EAH1" s="996"/>
      <c r="EAI1" s="996"/>
      <c r="EAJ1" s="996"/>
      <c r="EAK1" s="996"/>
      <c r="EAL1" s="996"/>
      <c r="EAM1" s="996"/>
      <c r="EAN1" s="996"/>
      <c r="EAO1" s="1003"/>
      <c r="EAP1" s="1003"/>
      <c r="EAQ1" s="1003"/>
      <c r="EAR1" s="1003"/>
      <c r="EAS1" s="1003"/>
      <c r="EAT1" s="996"/>
      <c r="EAU1" s="996"/>
      <c r="EAV1" s="996"/>
      <c r="EAW1" s="996"/>
      <c r="EAX1" s="996"/>
      <c r="EAY1" s="996"/>
      <c r="EAZ1" s="1003"/>
      <c r="EBA1" s="996"/>
      <c r="EBB1" s="996"/>
      <c r="EBC1" s="996"/>
      <c r="EBD1" s="996"/>
      <c r="EBE1" s="996"/>
      <c r="EBF1" s="996"/>
      <c r="EBG1" s="996"/>
      <c r="EBH1" s="996"/>
      <c r="EBI1" s="996"/>
      <c r="EBJ1" s="996"/>
      <c r="EBK1" s="996"/>
      <c r="EBL1" s="996"/>
      <c r="EBM1" s="996"/>
      <c r="EBN1" s="996"/>
      <c r="EBO1" s="996"/>
      <c r="EBP1" s="996"/>
      <c r="EBQ1" s="996"/>
      <c r="EBR1" s="996"/>
      <c r="EBS1" s="998"/>
      <c r="EBT1" s="998"/>
      <c r="EBU1" s="998"/>
      <c r="EBV1" s="998"/>
      <c r="EBW1" s="998"/>
      <c r="EBX1" s="998"/>
      <c r="EBY1" s="998"/>
      <c r="EBZ1" s="998"/>
      <c r="ECA1" s="998"/>
      <c r="ECB1" s="998"/>
      <c r="ECC1" s="998"/>
      <c r="ECD1" s="996"/>
      <c r="ECE1" s="996"/>
      <c r="ECF1" s="996"/>
      <c r="ECG1" s="996"/>
      <c r="ECH1" s="996"/>
      <c r="ECI1" s="996"/>
      <c r="ECJ1" s="996"/>
      <c r="ECK1" s="998"/>
      <c r="ECL1" s="998"/>
      <c r="ECM1" s="998"/>
      <c r="ECN1" s="998"/>
      <c r="ECO1" s="998"/>
      <c r="ECP1" s="998"/>
      <c r="ECQ1" s="998"/>
      <c r="ECR1" s="996"/>
      <c r="ECS1" s="996"/>
      <c r="ECT1" s="996"/>
      <c r="ECU1" s="996"/>
      <c r="ECV1" s="996"/>
      <c r="ECW1" s="996"/>
      <c r="ECX1" s="996"/>
      <c r="ECY1" s="996"/>
      <c r="ECZ1" s="996"/>
      <c r="EDA1" s="996"/>
      <c r="EDB1" s="996"/>
      <c r="EDC1" s="996"/>
      <c r="EDD1" s="996"/>
      <c r="EDE1" s="996"/>
      <c r="EDF1" s="996"/>
      <c r="EDG1" s="996"/>
      <c r="EDH1" s="996"/>
      <c r="EDI1" s="996"/>
      <c r="EDJ1" s="996"/>
      <c r="EDK1" s="996"/>
      <c r="EDL1" s="996"/>
      <c r="EDM1" s="996"/>
      <c r="EDN1" s="996"/>
      <c r="EDO1" s="996"/>
      <c r="EDP1" s="996"/>
      <c r="EDQ1" s="996"/>
      <c r="EDR1" s="996"/>
      <c r="EDS1" s="1003"/>
      <c r="EDT1" s="996"/>
      <c r="EDU1" s="996"/>
      <c r="EDV1" s="996"/>
      <c r="EDW1" s="996"/>
      <c r="EDX1" s="996"/>
      <c r="EDY1" s="996"/>
      <c r="EDZ1" s="996"/>
      <c r="EEA1" s="996"/>
      <c r="EEB1" s="996"/>
      <c r="EEC1" s="996"/>
      <c r="EED1" s="996"/>
      <c r="EEE1" s="996"/>
      <c r="EEF1" s="996"/>
      <c r="EEG1" s="996"/>
      <c r="EEH1" s="996"/>
      <c r="EEI1" s="996"/>
      <c r="EEJ1" s="998"/>
      <c r="EEK1" s="998"/>
      <c r="EEL1" s="998"/>
      <c r="EEM1" s="998"/>
      <c r="EEN1" s="998"/>
      <c r="EEO1" s="998"/>
      <c r="EEP1" s="998"/>
      <c r="EEQ1" s="998"/>
      <c r="EER1" s="998"/>
      <c r="EES1" s="996"/>
      <c r="EET1" s="996"/>
      <c r="EEU1" s="996"/>
      <c r="EEV1" s="996"/>
      <c r="EEW1" s="996"/>
      <c r="EEX1" s="996"/>
      <c r="EEY1" s="996"/>
      <c r="EEZ1" s="996"/>
      <c r="EFA1" s="996"/>
      <c r="EFB1" s="998"/>
      <c r="EFC1" s="998"/>
      <c r="EFD1" s="998"/>
      <c r="EFE1" s="998"/>
      <c r="EFF1" s="998"/>
      <c r="EFG1" s="998"/>
      <c r="EFH1" s="998"/>
      <c r="EFI1" s="998"/>
      <c r="EFJ1" s="998"/>
      <c r="EFK1" s="999"/>
      <c r="EFL1" s="1000"/>
      <c r="EFM1" s="1001"/>
      <c r="EFN1" s="1000"/>
      <c r="EFO1" s="1001"/>
      <c r="EFP1" s="1000"/>
      <c r="EFQ1" s="1000"/>
      <c r="EFR1" s="1000"/>
      <c r="EFS1" s="1000"/>
      <c r="EFT1" s="1000"/>
      <c r="EFU1" s="1000"/>
      <c r="EFV1" s="1000"/>
      <c r="EFW1" s="1000"/>
      <c r="EFX1" s="1000"/>
      <c r="EFY1" s="1000"/>
      <c r="EFZ1" s="1000"/>
      <c r="EGA1" s="1000"/>
      <c r="EGB1" s="998"/>
      <c r="EGC1" s="998"/>
      <c r="EGD1" s="998"/>
      <c r="EGE1" s="998"/>
      <c r="EGF1" s="998"/>
      <c r="EGG1" s="998"/>
      <c r="EGH1" s="998"/>
      <c r="EGI1" s="996"/>
      <c r="EGJ1" s="996"/>
      <c r="EGK1" s="996"/>
      <c r="EGL1" s="996"/>
      <c r="EGM1" s="996"/>
      <c r="EGN1" s="996"/>
      <c r="EGO1" s="996"/>
      <c r="EGP1" s="996"/>
      <c r="EGQ1" s="996"/>
      <c r="EGR1" s="996"/>
      <c r="EGS1" s="996"/>
      <c r="EGT1" s="996"/>
      <c r="EGU1" s="996"/>
      <c r="EGV1" s="996"/>
      <c r="EGW1" s="996"/>
      <c r="EGX1" s="996"/>
      <c r="EGY1" s="996"/>
      <c r="EGZ1" s="996"/>
      <c r="EHA1" s="996"/>
      <c r="EHB1" s="996"/>
      <c r="EHC1" s="996"/>
      <c r="EHD1" s="996"/>
      <c r="EHE1" s="996"/>
      <c r="EHF1" s="996"/>
      <c r="EHG1" s="996"/>
      <c r="EHH1" s="996"/>
      <c r="EHI1" s="996"/>
      <c r="EHJ1" s="996"/>
      <c r="EHK1" s="996"/>
      <c r="EHL1" s="996"/>
      <c r="EHM1" s="996"/>
      <c r="EHN1" s="996"/>
      <c r="EHO1" s="996"/>
      <c r="EHP1" s="996"/>
      <c r="EHQ1" s="996"/>
      <c r="EHR1" s="996"/>
      <c r="EHS1" s="996"/>
      <c r="EHT1" s="996"/>
      <c r="EHU1" s="996"/>
      <c r="EHV1" s="995"/>
      <c r="EHW1" s="995"/>
      <c r="EHX1" s="996"/>
      <c r="EHY1" s="997"/>
      <c r="EHZ1" s="1002"/>
      <c r="EIA1" s="996"/>
      <c r="EIB1" s="996"/>
      <c r="EIC1" s="996"/>
      <c r="EID1" s="996"/>
      <c r="EIE1" s="996"/>
      <c r="EIF1" s="996"/>
      <c r="EIG1" s="996"/>
      <c r="EIH1" s="996"/>
      <c r="EII1" s="996"/>
      <c r="EIJ1" s="996"/>
      <c r="EIK1" s="996"/>
      <c r="EIL1" s="996"/>
      <c r="EIM1" s="996"/>
      <c r="EIN1" s="996"/>
      <c r="EIO1" s="996"/>
      <c r="EIP1" s="996"/>
      <c r="EIQ1" s="996"/>
      <c r="EIR1" s="996"/>
      <c r="EIS1" s="996"/>
      <c r="EIT1" s="996"/>
      <c r="EIU1" s="996"/>
      <c r="EIV1" s="1003"/>
      <c r="EIW1" s="996"/>
      <c r="EIX1" s="1003"/>
      <c r="EIY1" s="996"/>
      <c r="EIZ1" s="996"/>
      <c r="EJA1" s="996"/>
      <c r="EJB1" s="996"/>
      <c r="EJC1" s="996"/>
      <c r="EJD1" s="996"/>
      <c r="EJE1" s="996"/>
      <c r="EJF1" s="996"/>
      <c r="EJG1" s="996"/>
      <c r="EJH1" s="996"/>
      <c r="EJI1" s="996"/>
      <c r="EJJ1" s="996"/>
      <c r="EJK1" s="1003"/>
      <c r="EJL1" s="1003"/>
      <c r="EJM1" s="1003"/>
      <c r="EJN1" s="1003"/>
      <c r="EJO1" s="1003"/>
      <c r="EJP1" s="996"/>
      <c r="EJQ1" s="996"/>
      <c r="EJR1" s="996"/>
      <c r="EJS1" s="996"/>
      <c r="EJT1" s="996"/>
      <c r="EJU1" s="996"/>
      <c r="EJV1" s="1003"/>
      <c r="EJW1" s="996"/>
      <c r="EJX1" s="996"/>
      <c r="EJY1" s="996"/>
      <c r="EJZ1" s="996"/>
      <c r="EKA1" s="996"/>
      <c r="EKB1" s="996"/>
      <c r="EKC1" s="996"/>
      <c r="EKD1" s="996"/>
      <c r="EKE1" s="996"/>
      <c r="EKF1" s="996"/>
      <c r="EKG1" s="996"/>
      <c r="EKH1" s="996"/>
      <c r="EKI1" s="996"/>
      <c r="EKJ1" s="996"/>
      <c r="EKK1" s="996"/>
      <c r="EKL1" s="996"/>
      <c r="EKM1" s="996"/>
      <c r="EKN1" s="996"/>
      <c r="EKO1" s="998"/>
      <c r="EKP1" s="998"/>
      <c r="EKQ1" s="998"/>
      <c r="EKR1" s="998"/>
      <c r="EKS1" s="998"/>
      <c r="EKT1" s="998"/>
      <c r="EKU1" s="998"/>
      <c r="EKV1" s="998"/>
      <c r="EKW1" s="998"/>
      <c r="EKX1" s="998"/>
      <c r="EKY1" s="998"/>
      <c r="EKZ1" s="996"/>
      <c r="ELA1" s="996"/>
      <c r="ELB1" s="996"/>
      <c r="ELC1" s="996"/>
      <c r="ELD1" s="996"/>
      <c r="ELE1" s="996"/>
      <c r="ELF1" s="996"/>
      <c r="ELG1" s="998"/>
      <c r="ELH1" s="998"/>
      <c r="ELI1" s="998"/>
      <c r="ELJ1" s="998"/>
      <c r="ELK1" s="998"/>
      <c r="ELL1" s="998"/>
      <c r="ELM1" s="998"/>
      <c r="ELN1" s="996"/>
      <c r="ELO1" s="996"/>
      <c r="ELP1" s="996"/>
      <c r="ELQ1" s="996"/>
      <c r="ELR1" s="996"/>
      <c r="ELS1" s="996"/>
      <c r="ELT1" s="996"/>
      <c r="ELU1" s="996"/>
      <c r="ELV1" s="996"/>
      <c r="ELW1" s="996"/>
      <c r="ELX1" s="996"/>
      <c r="ELY1" s="996"/>
      <c r="ELZ1" s="996"/>
      <c r="EMA1" s="996"/>
      <c r="EMB1" s="996"/>
      <c r="EMC1" s="996"/>
      <c r="EMD1" s="996"/>
      <c r="EME1" s="996"/>
      <c r="EMF1" s="996"/>
      <c r="EMG1" s="996"/>
      <c r="EMH1" s="996"/>
      <c r="EMI1" s="996"/>
      <c r="EMJ1" s="996"/>
      <c r="EMK1" s="996"/>
      <c r="EML1" s="996"/>
      <c r="EMM1" s="996"/>
      <c r="EMN1" s="996"/>
      <c r="EMO1" s="1003"/>
      <c r="EMP1" s="996"/>
      <c r="EMQ1" s="996"/>
      <c r="EMR1" s="996"/>
      <c r="EMS1" s="996"/>
      <c r="EMT1" s="996"/>
      <c r="EMU1" s="996"/>
      <c r="EMV1" s="996"/>
      <c r="EMW1" s="996"/>
      <c r="EMX1" s="996"/>
      <c r="EMY1" s="996"/>
      <c r="EMZ1" s="996"/>
      <c r="ENA1" s="996"/>
      <c r="ENB1" s="996"/>
      <c r="ENC1" s="996"/>
      <c r="END1" s="996"/>
      <c r="ENE1" s="996"/>
      <c r="ENF1" s="998"/>
      <c r="ENG1" s="998"/>
      <c r="ENH1" s="998"/>
      <c r="ENI1" s="998"/>
      <c r="ENJ1" s="998"/>
      <c r="ENK1" s="998"/>
      <c r="ENL1" s="998"/>
      <c r="ENM1" s="998"/>
      <c r="ENN1" s="998"/>
      <c r="ENO1" s="996"/>
      <c r="ENP1" s="996"/>
      <c r="ENQ1" s="996"/>
      <c r="ENR1" s="996"/>
      <c r="ENS1" s="996"/>
      <c r="ENT1" s="996"/>
      <c r="ENU1" s="996"/>
      <c r="ENV1" s="996"/>
      <c r="ENW1" s="996"/>
      <c r="ENX1" s="998"/>
      <c r="ENY1" s="998"/>
      <c r="ENZ1" s="998"/>
      <c r="EOA1" s="998"/>
      <c r="EOB1" s="998"/>
      <c r="EOC1" s="998"/>
      <c r="EOD1" s="998"/>
      <c r="EOE1" s="998"/>
      <c r="EOF1" s="998"/>
      <c r="EOG1" s="999"/>
      <c r="EOH1" s="1000"/>
      <c r="EOI1" s="1001"/>
      <c r="EOJ1" s="1000"/>
      <c r="EOK1" s="1001"/>
      <c r="EOL1" s="1000"/>
      <c r="EOM1" s="1000"/>
      <c r="EON1" s="1000"/>
      <c r="EOO1" s="1000"/>
      <c r="EOP1" s="1000"/>
      <c r="EOQ1" s="1000"/>
      <c r="EOR1" s="1000"/>
      <c r="EOS1" s="1000"/>
      <c r="EOT1" s="1000"/>
      <c r="EOU1" s="1000"/>
      <c r="EOV1" s="1000"/>
      <c r="EOW1" s="1000"/>
      <c r="EOX1" s="998"/>
      <c r="EOY1" s="998"/>
      <c r="EOZ1" s="998"/>
      <c r="EPA1" s="998"/>
      <c r="EPB1" s="998"/>
      <c r="EPC1" s="998"/>
      <c r="EPD1" s="998"/>
      <c r="EPE1" s="996"/>
      <c r="EPF1" s="996"/>
      <c r="EPG1" s="996"/>
      <c r="EPH1" s="996"/>
      <c r="EPI1" s="996"/>
      <c r="EPJ1" s="996"/>
      <c r="EPK1" s="996"/>
      <c r="EPL1" s="996"/>
      <c r="EPM1" s="996"/>
      <c r="EPN1" s="996"/>
      <c r="EPO1" s="996"/>
      <c r="EPP1" s="996"/>
      <c r="EPQ1" s="996"/>
      <c r="EPR1" s="996"/>
      <c r="EPS1" s="996"/>
      <c r="EPT1" s="996"/>
      <c r="EPU1" s="996"/>
      <c r="EPV1" s="996"/>
      <c r="EPW1" s="996"/>
      <c r="EPX1" s="996"/>
      <c r="EPY1" s="996"/>
      <c r="EPZ1" s="996"/>
      <c r="EQA1" s="996"/>
      <c r="EQB1" s="996"/>
      <c r="EQC1" s="996"/>
      <c r="EQD1" s="996"/>
      <c r="EQE1" s="996"/>
      <c r="EQF1" s="996"/>
      <c r="EQG1" s="996"/>
      <c r="EQH1" s="996"/>
      <c r="EQI1" s="996"/>
      <c r="EQJ1" s="996"/>
      <c r="EQK1" s="996"/>
      <c r="EQL1" s="996"/>
      <c r="EQM1" s="996"/>
      <c r="EQN1" s="996"/>
      <c r="EQO1" s="996"/>
      <c r="EQP1" s="996"/>
      <c r="EQQ1" s="996"/>
      <c r="EQR1" s="995"/>
      <c r="EQS1" s="995"/>
      <c r="EQT1" s="996"/>
      <c r="EQU1" s="997"/>
      <c r="EQV1" s="1002"/>
      <c r="EQW1" s="996"/>
      <c r="EQX1" s="996"/>
      <c r="EQY1" s="996"/>
      <c r="EQZ1" s="996"/>
      <c r="ERA1" s="996"/>
      <c r="ERB1" s="996"/>
      <c r="ERC1" s="996"/>
      <c r="ERD1" s="996"/>
      <c r="ERE1" s="996"/>
      <c r="ERF1" s="996"/>
      <c r="ERG1" s="996"/>
      <c r="ERH1" s="996"/>
      <c r="ERI1" s="996"/>
      <c r="ERJ1" s="996"/>
      <c r="ERK1" s="996"/>
      <c r="ERL1" s="996"/>
      <c r="ERM1" s="996"/>
      <c r="ERN1" s="996"/>
      <c r="ERO1" s="996"/>
      <c r="ERP1" s="996"/>
      <c r="ERQ1" s="996"/>
      <c r="ERR1" s="1003"/>
      <c r="ERS1" s="996"/>
      <c r="ERT1" s="1003"/>
      <c r="ERU1" s="996"/>
      <c r="ERV1" s="996"/>
      <c r="ERW1" s="996"/>
      <c r="ERX1" s="996"/>
      <c r="ERY1" s="996"/>
      <c r="ERZ1" s="996"/>
      <c r="ESA1" s="996"/>
      <c r="ESB1" s="996"/>
      <c r="ESC1" s="996"/>
      <c r="ESD1" s="996"/>
      <c r="ESE1" s="996"/>
      <c r="ESF1" s="996"/>
      <c r="ESG1" s="1003"/>
      <c r="ESH1" s="1003"/>
      <c r="ESI1" s="1003"/>
      <c r="ESJ1" s="1003"/>
      <c r="ESK1" s="1003"/>
      <c r="ESL1" s="996"/>
      <c r="ESM1" s="996"/>
      <c r="ESN1" s="996"/>
      <c r="ESO1" s="996"/>
      <c r="ESP1" s="996"/>
      <c r="ESQ1" s="996"/>
      <c r="ESR1" s="1003"/>
      <c r="ESS1" s="996"/>
      <c r="EST1" s="996"/>
      <c r="ESU1" s="996"/>
      <c r="ESV1" s="996"/>
      <c r="ESW1" s="996"/>
      <c r="ESX1" s="996"/>
      <c r="ESY1" s="996"/>
      <c r="ESZ1" s="996"/>
      <c r="ETA1" s="996"/>
      <c r="ETB1" s="996"/>
      <c r="ETC1" s="996"/>
      <c r="ETD1" s="996"/>
      <c r="ETE1" s="996"/>
      <c r="ETF1" s="996"/>
      <c r="ETG1" s="996"/>
      <c r="ETH1" s="996"/>
      <c r="ETI1" s="996"/>
      <c r="ETJ1" s="996"/>
      <c r="ETK1" s="998"/>
      <c r="ETL1" s="998"/>
      <c r="ETM1" s="998"/>
      <c r="ETN1" s="998"/>
      <c r="ETO1" s="998"/>
      <c r="ETP1" s="998"/>
      <c r="ETQ1" s="998"/>
      <c r="ETR1" s="998"/>
      <c r="ETS1" s="998"/>
      <c r="ETT1" s="998"/>
      <c r="ETU1" s="998"/>
      <c r="ETV1" s="996"/>
      <c r="ETW1" s="996"/>
      <c r="ETX1" s="996"/>
      <c r="ETY1" s="996"/>
      <c r="ETZ1" s="996"/>
      <c r="EUA1" s="996"/>
      <c r="EUB1" s="996"/>
      <c r="EUC1" s="998"/>
      <c r="EUD1" s="998"/>
      <c r="EUE1" s="998"/>
      <c r="EUF1" s="998"/>
      <c r="EUG1" s="998"/>
      <c r="EUH1" s="998"/>
      <c r="EUI1" s="998"/>
      <c r="EUJ1" s="996"/>
      <c r="EUK1" s="996"/>
      <c r="EUL1" s="996"/>
      <c r="EUM1" s="996"/>
      <c r="EUN1" s="996"/>
      <c r="EUO1" s="996"/>
      <c r="EUP1" s="996"/>
      <c r="EUQ1" s="996"/>
      <c r="EUR1" s="996"/>
      <c r="EUS1" s="996"/>
      <c r="EUT1" s="996"/>
      <c r="EUU1" s="996"/>
      <c r="EUV1" s="996"/>
      <c r="EUW1" s="996"/>
      <c r="EUX1" s="996"/>
      <c r="EUY1" s="996"/>
      <c r="EUZ1" s="996"/>
      <c r="EVA1" s="996"/>
      <c r="EVB1" s="996"/>
      <c r="EVC1" s="996"/>
      <c r="EVD1" s="996"/>
      <c r="EVE1" s="996"/>
      <c r="EVF1" s="996"/>
      <c r="EVG1" s="996"/>
      <c r="EVH1" s="996"/>
      <c r="EVI1" s="996"/>
      <c r="EVJ1" s="996"/>
      <c r="EVK1" s="1003"/>
      <c r="EVL1" s="996"/>
      <c r="EVM1" s="996"/>
      <c r="EVN1" s="996"/>
      <c r="EVO1" s="996"/>
      <c r="EVP1" s="996"/>
      <c r="EVQ1" s="996"/>
      <c r="EVR1" s="996"/>
      <c r="EVS1" s="996"/>
      <c r="EVT1" s="996"/>
      <c r="EVU1" s="996"/>
      <c r="EVV1" s="996"/>
      <c r="EVW1" s="996"/>
      <c r="EVX1" s="996"/>
      <c r="EVY1" s="996"/>
      <c r="EVZ1" s="996"/>
      <c r="EWA1" s="996"/>
      <c r="EWB1" s="998"/>
      <c r="EWC1" s="998"/>
      <c r="EWD1" s="998"/>
      <c r="EWE1" s="998"/>
      <c r="EWF1" s="998"/>
      <c r="EWG1" s="998"/>
      <c r="EWH1" s="998"/>
      <c r="EWI1" s="998"/>
      <c r="EWJ1" s="998"/>
      <c r="EWK1" s="996"/>
      <c r="EWL1" s="996"/>
      <c r="EWM1" s="996"/>
      <c r="EWN1" s="996"/>
      <c r="EWO1" s="996"/>
      <c r="EWP1" s="996"/>
      <c r="EWQ1" s="996"/>
      <c r="EWR1" s="996"/>
      <c r="EWS1" s="996"/>
      <c r="EWT1" s="998"/>
      <c r="EWU1" s="998"/>
      <c r="EWV1" s="998"/>
      <c r="EWW1" s="998"/>
      <c r="EWX1" s="998"/>
      <c r="EWY1" s="998"/>
      <c r="EWZ1" s="998"/>
      <c r="EXA1" s="998"/>
      <c r="EXB1" s="998"/>
      <c r="EXC1" s="999"/>
      <c r="EXD1" s="1000"/>
      <c r="EXE1" s="1001"/>
      <c r="EXF1" s="1000"/>
      <c r="EXG1" s="1001"/>
      <c r="EXH1" s="1000"/>
      <c r="EXI1" s="1000"/>
      <c r="EXJ1" s="1000"/>
      <c r="EXK1" s="1000"/>
      <c r="EXL1" s="1000"/>
      <c r="EXM1" s="1000"/>
      <c r="EXN1" s="1000"/>
      <c r="EXO1" s="1000"/>
      <c r="EXP1" s="1000"/>
      <c r="EXQ1" s="1000"/>
      <c r="EXR1" s="1000"/>
      <c r="EXS1" s="1000"/>
      <c r="EXT1" s="998"/>
      <c r="EXU1" s="998"/>
      <c r="EXV1" s="998"/>
      <c r="EXW1" s="998"/>
      <c r="EXX1" s="998"/>
      <c r="EXY1" s="998"/>
      <c r="EXZ1" s="998"/>
      <c r="EYA1" s="996"/>
      <c r="EYB1" s="996"/>
      <c r="EYC1" s="996"/>
      <c r="EYD1" s="996"/>
      <c r="EYE1" s="996"/>
      <c r="EYF1" s="996"/>
      <c r="EYG1" s="996"/>
      <c r="EYH1" s="996"/>
      <c r="EYI1" s="996"/>
      <c r="EYJ1" s="996"/>
      <c r="EYK1" s="996"/>
      <c r="EYL1" s="996"/>
      <c r="EYM1" s="996"/>
      <c r="EYN1" s="996"/>
      <c r="EYO1" s="996"/>
      <c r="EYP1" s="996"/>
      <c r="EYQ1" s="996"/>
      <c r="EYR1" s="996"/>
      <c r="EYS1" s="996"/>
      <c r="EYT1" s="996"/>
      <c r="EYU1" s="996"/>
      <c r="EYV1" s="996"/>
      <c r="EYW1" s="996"/>
      <c r="EYX1" s="996"/>
      <c r="EYY1" s="996"/>
      <c r="EYZ1" s="996"/>
      <c r="EZA1" s="996"/>
      <c r="EZB1" s="996"/>
      <c r="EZC1" s="996"/>
      <c r="EZD1" s="996"/>
      <c r="EZE1" s="996"/>
      <c r="EZF1" s="996"/>
      <c r="EZG1" s="996"/>
      <c r="EZH1" s="996"/>
      <c r="EZI1" s="996"/>
      <c r="EZJ1" s="996"/>
      <c r="EZK1" s="996"/>
      <c r="EZL1" s="996"/>
      <c r="EZM1" s="996"/>
      <c r="EZN1" s="995"/>
      <c r="EZO1" s="995"/>
      <c r="EZP1" s="996"/>
      <c r="EZQ1" s="997"/>
      <c r="EZR1" s="1002"/>
      <c r="EZS1" s="996"/>
      <c r="EZT1" s="996"/>
      <c r="EZU1" s="996"/>
      <c r="EZV1" s="996"/>
      <c r="EZW1" s="996"/>
      <c r="EZX1" s="996"/>
      <c r="EZY1" s="996"/>
      <c r="EZZ1" s="996"/>
      <c r="FAA1" s="996"/>
      <c r="FAB1" s="996"/>
      <c r="FAC1" s="996"/>
      <c r="FAD1" s="996"/>
      <c r="FAE1" s="996"/>
      <c r="FAF1" s="996"/>
      <c r="FAG1" s="996"/>
      <c r="FAH1" s="996"/>
      <c r="FAI1" s="996"/>
      <c r="FAJ1" s="996"/>
      <c r="FAK1" s="996"/>
      <c r="FAL1" s="996"/>
      <c r="FAM1" s="996"/>
      <c r="FAN1" s="1003"/>
      <c r="FAO1" s="996"/>
      <c r="FAP1" s="1003"/>
      <c r="FAQ1" s="996"/>
      <c r="FAR1" s="996"/>
      <c r="FAS1" s="996"/>
      <c r="FAT1" s="996"/>
      <c r="FAU1" s="996"/>
      <c r="FAV1" s="996"/>
      <c r="FAW1" s="996"/>
      <c r="FAX1" s="996"/>
      <c r="FAY1" s="996"/>
      <c r="FAZ1" s="996"/>
      <c r="FBA1" s="996"/>
      <c r="FBB1" s="996"/>
      <c r="FBC1" s="1003"/>
      <c r="FBD1" s="1003"/>
      <c r="FBE1" s="1003"/>
      <c r="FBF1" s="1003"/>
      <c r="FBG1" s="1003"/>
      <c r="FBH1" s="996"/>
      <c r="FBI1" s="996"/>
      <c r="FBJ1" s="996"/>
      <c r="FBK1" s="996"/>
      <c r="FBL1" s="996"/>
      <c r="FBM1" s="996"/>
      <c r="FBN1" s="1003"/>
      <c r="FBO1" s="996"/>
      <c r="FBP1" s="996"/>
      <c r="FBQ1" s="996"/>
      <c r="FBR1" s="996"/>
      <c r="FBS1" s="996"/>
      <c r="FBT1" s="996"/>
      <c r="FBU1" s="996"/>
      <c r="FBV1" s="996"/>
      <c r="FBW1" s="996"/>
      <c r="FBX1" s="996"/>
      <c r="FBY1" s="996"/>
      <c r="FBZ1" s="996"/>
      <c r="FCA1" s="996"/>
      <c r="FCB1" s="996"/>
      <c r="FCC1" s="996"/>
      <c r="FCD1" s="996"/>
      <c r="FCE1" s="996"/>
      <c r="FCF1" s="996"/>
      <c r="FCG1" s="998"/>
      <c r="FCH1" s="998"/>
      <c r="FCI1" s="998"/>
      <c r="FCJ1" s="998"/>
      <c r="FCK1" s="998"/>
      <c r="FCL1" s="998"/>
      <c r="FCM1" s="998"/>
      <c r="FCN1" s="998"/>
      <c r="FCO1" s="998"/>
      <c r="FCP1" s="998"/>
      <c r="FCQ1" s="998"/>
      <c r="FCR1" s="996"/>
      <c r="FCS1" s="996"/>
      <c r="FCT1" s="996"/>
      <c r="FCU1" s="996"/>
      <c r="FCV1" s="996"/>
      <c r="FCW1" s="996"/>
      <c r="FCX1" s="996"/>
      <c r="FCY1" s="998"/>
      <c r="FCZ1" s="998"/>
      <c r="FDA1" s="998"/>
      <c r="FDB1" s="998"/>
      <c r="FDC1" s="998"/>
      <c r="FDD1" s="998"/>
      <c r="FDE1" s="998"/>
      <c r="FDF1" s="996"/>
      <c r="FDG1" s="996"/>
      <c r="FDH1" s="996"/>
      <c r="FDI1" s="996"/>
      <c r="FDJ1" s="996"/>
      <c r="FDK1" s="996"/>
      <c r="FDL1" s="996"/>
      <c r="FDM1" s="996"/>
      <c r="FDN1" s="996"/>
      <c r="FDO1" s="996"/>
      <c r="FDP1" s="996"/>
      <c r="FDQ1" s="996"/>
      <c r="FDR1" s="996"/>
      <c r="FDS1" s="996"/>
      <c r="FDT1" s="996"/>
      <c r="FDU1" s="996"/>
      <c r="FDV1" s="996"/>
      <c r="FDW1" s="996"/>
      <c r="FDX1" s="996"/>
      <c r="FDY1" s="996"/>
      <c r="FDZ1" s="996"/>
      <c r="FEA1" s="996"/>
      <c r="FEB1" s="996"/>
      <c r="FEC1" s="996"/>
      <c r="FED1" s="996"/>
      <c r="FEE1" s="996"/>
      <c r="FEF1" s="996"/>
      <c r="FEG1" s="1003"/>
      <c r="FEH1" s="996"/>
      <c r="FEI1" s="996"/>
      <c r="FEJ1" s="996"/>
      <c r="FEK1" s="996"/>
      <c r="FEL1" s="996"/>
      <c r="FEM1" s="996"/>
      <c r="FEN1" s="996"/>
      <c r="FEO1" s="996"/>
      <c r="FEP1" s="996"/>
      <c r="FEQ1" s="996"/>
      <c r="FER1" s="996"/>
      <c r="FES1" s="996"/>
      <c r="FET1" s="996"/>
      <c r="FEU1" s="996"/>
      <c r="FEV1" s="996"/>
      <c r="FEW1" s="996"/>
      <c r="FEX1" s="998"/>
      <c r="FEY1" s="998"/>
      <c r="FEZ1" s="998"/>
      <c r="FFA1" s="998"/>
      <c r="FFB1" s="998"/>
      <c r="FFC1" s="998"/>
      <c r="FFD1" s="998"/>
      <c r="FFE1" s="998"/>
      <c r="FFF1" s="998"/>
      <c r="FFG1" s="996"/>
      <c r="FFH1" s="996"/>
      <c r="FFI1" s="996"/>
      <c r="FFJ1" s="996"/>
      <c r="FFK1" s="996"/>
      <c r="FFL1" s="996"/>
      <c r="FFM1" s="996"/>
      <c r="FFN1" s="996"/>
      <c r="FFO1" s="996"/>
      <c r="FFP1" s="998"/>
      <c r="FFQ1" s="998"/>
      <c r="FFR1" s="998"/>
      <c r="FFS1" s="998"/>
      <c r="FFT1" s="998"/>
      <c r="FFU1" s="998"/>
      <c r="FFV1" s="998"/>
      <c r="FFW1" s="998"/>
      <c r="FFX1" s="998"/>
      <c r="FFY1" s="999"/>
      <c r="FFZ1" s="1000"/>
      <c r="FGA1" s="1001"/>
      <c r="FGB1" s="1000"/>
      <c r="FGC1" s="1001"/>
      <c r="FGD1" s="1000"/>
      <c r="FGE1" s="1000"/>
      <c r="FGF1" s="1000"/>
      <c r="FGG1" s="1000"/>
      <c r="FGH1" s="1000"/>
      <c r="FGI1" s="1000"/>
      <c r="FGJ1" s="1000"/>
      <c r="FGK1" s="1000"/>
      <c r="FGL1" s="1000"/>
      <c r="FGM1" s="1000"/>
      <c r="FGN1" s="1000"/>
      <c r="FGO1" s="1000"/>
      <c r="FGP1" s="998"/>
      <c r="FGQ1" s="998"/>
      <c r="FGR1" s="998"/>
      <c r="FGS1" s="998"/>
      <c r="FGT1" s="998"/>
      <c r="FGU1" s="998"/>
      <c r="FGV1" s="998"/>
      <c r="FGW1" s="996"/>
      <c r="FGX1" s="996"/>
      <c r="FGY1" s="996"/>
      <c r="FGZ1" s="996"/>
      <c r="FHA1" s="996"/>
      <c r="FHB1" s="996"/>
      <c r="FHC1" s="996"/>
      <c r="FHD1" s="996"/>
      <c r="FHE1" s="996"/>
      <c r="FHF1" s="996"/>
      <c r="FHG1" s="996"/>
      <c r="FHH1" s="996"/>
      <c r="FHI1" s="996"/>
      <c r="FHJ1" s="996"/>
      <c r="FHK1" s="996"/>
      <c r="FHL1" s="996"/>
      <c r="FHM1" s="996"/>
      <c r="FHN1" s="996"/>
      <c r="FHO1" s="996"/>
      <c r="FHP1" s="996"/>
      <c r="FHQ1" s="996"/>
      <c r="FHR1" s="996"/>
      <c r="FHS1" s="996"/>
      <c r="FHT1" s="996"/>
      <c r="FHU1" s="996"/>
      <c r="FHV1" s="996"/>
      <c r="FHW1" s="996"/>
      <c r="FHX1" s="996"/>
      <c r="FHY1" s="996"/>
      <c r="FHZ1" s="996"/>
      <c r="FIA1" s="996"/>
      <c r="FIB1" s="996"/>
      <c r="FIC1" s="996"/>
      <c r="FID1" s="996"/>
      <c r="FIE1" s="996"/>
      <c r="FIF1" s="996"/>
      <c r="FIG1" s="996"/>
      <c r="FIH1" s="996"/>
      <c r="FII1" s="996"/>
      <c r="FIJ1" s="995"/>
      <c r="FIK1" s="995"/>
      <c r="FIL1" s="996"/>
      <c r="FIM1" s="997"/>
      <c r="FIN1" s="1002"/>
      <c r="FIO1" s="996"/>
      <c r="FIP1" s="996"/>
      <c r="FIQ1" s="996"/>
      <c r="FIR1" s="996"/>
      <c r="FIS1" s="996"/>
      <c r="FIT1" s="996"/>
      <c r="FIU1" s="996"/>
      <c r="FIV1" s="996"/>
      <c r="FIW1" s="996"/>
      <c r="FIX1" s="996"/>
      <c r="FIY1" s="996"/>
      <c r="FIZ1" s="996"/>
      <c r="FJA1" s="996"/>
      <c r="FJB1" s="996"/>
      <c r="FJC1" s="996"/>
      <c r="FJD1" s="996"/>
      <c r="FJE1" s="996"/>
      <c r="FJF1" s="996"/>
      <c r="FJG1" s="996"/>
      <c r="FJH1" s="996"/>
      <c r="FJI1" s="996"/>
      <c r="FJJ1" s="1003"/>
      <c r="FJK1" s="996"/>
      <c r="FJL1" s="1003"/>
      <c r="FJM1" s="996"/>
      <c r="FJN1" s="996"/>
      <c r="FJO1" s="996"/>
      <c r="FJP1" s="996"/>
      <c r="FJQ1" s="996"/>
      <c r="FJR1" s="996"/>
      <c r="FJS1" s="996"/>
      <c r="FJT1" s="996"/>
      <c r="FJU1" s="996"/>
      <c r="FJV1" s="996"/>
      <c r="FJW1" s="996"/>
      <c r="FJX1" s="996"/>
      <c r="FJY1" s="1003"/>
      <c r="FJZ1" s="1003"/>
      <c r="FKA1" s="1003"/>
      <c r="FKB1" s="1003"/>
      <c r="FKC1" s="1003"/>
      <c r="FKD1" s="996"/>
      <c r="FKE1" s="996"/>
      <c r="FKF1" s="996"/>
      <c r="FKG1" s="996"/>
      <c r="FKH1" s="996"/>
      <c r="FKI1" s="996"/>
      <c r="FKJ1" s="1003"/>
      <c r="FKK1" s="996"/>
      <c r="FKL1" s="996"/>
      <c r="FKM1" s="996"/>
      <c r="FKN1" s="996"/>
      <c r="FKO1" s="996"/>
      <c r="FKP1" s="996"/>
      <c r="FKQ1" s="996"/>
      <c r="FKR1" s="996"/>
      <c r="FKS1" s="996"/>
      <c r="FKT1" s="996"/>
      <c r="FKU1" s="996"/>
      <c r="FKV1" s="996"/>
      <c r="FKW1" s="996"/>
      <c r="FKX1" s="996"/>
      <c r="FKY1" s="996"/>
      <c r="FKZ1" s="996"/>
      <c r="FLA1" s="996"/>
      <c r="FLB1" s="996"/>
      <c r="FLC1" s="998"/>
      <c r="FLD1" s="998"/>
      <c r="FLE1" s="998"/>
      <c r="FLF1" s="998"/>
      <c r="FLG1" s="998"/>
      <c r="FLH1" s="998"/>
      <c r="FLI1" s="998"/>
      <c r="FLJ1" s="998"/>
      <c r="FLK1" s="998"/>
      <c r="FLL1" s="998"/>
      <c r="FLM1" s="998"/>
      <c r="FLN1" s="996"/>
      <c r="FLO1" s="996"/>
      <c r="FLP1" s="996"/>
      <c r="FLQ1" s="996"/>
      <c r="FLR1" s="996"/>
      <c r="FLS1" s="996"/>
      <c r="FLT1" s="996"/>
      <c r="FLU1" s="998"/>
      <c r="FLV1" s="998"/>
      <c r="FLW1" s="998"/>
      <c r="FLX1" s="998"/>
      <c r="FLY1" s="998"/>
      <c r="FLZ1" s="998"/>
      <c r="FMA1" s="998"/>
      <c r="FMB1" s="996"/>
      <c r="FMC1" s="996"/>
      <c r="FMD1" s="996"/>
      <c r="FME1" s="996"/>
      <c r="FMF1" s="996"/>
      <c r="FMG1" s="996"/>
      <c r="FMH1" s="996"/>
      <c r="FMI1" s="996"/>
      <c r="FMJ1" s="996"/>
      <c r="FMK1" s="996"/>
      <c r="FML1" s="996"/>
      <c r="FMM1" s="996"/>
      <c r="FMN1" s="996"/>
      <c r="FMO1" s="996"/>
      <c r="FMP1" s="996"/>
      <c r="FMQ1" s="996"/>
      <c r="FMR1" s="996"/>
      <c r="FMS1" s="996"/>
      <c r="FMT1" s="996"/>
      <c r="FMU1" s="996"/>
      <c r="FMV1" s="996"/>
      <c r="FMW1" s="996"/>
      <c r="FMX1" s="996"/>
      <c r="FMY1" s="996"/>
      <c r="FMZ1" s="996"/>
      <c r="FNA1" s="996"/>
      <c r="FNB1" s="996"/>
      <c r="FNC1" s="1003"/>
      <c r="FND1" s="996"/>
      <c r="FNE1" s="996"/>
      <c r="FNF1" s="996"/>
      <c r="FNG1" s="996"/>
      <c r="FNH1" s="996"/>
      <c r="FNI1" s="996"/>
      <c r="FNJ1" s="996"/>
      <c r="FNK1" s="996"/>
      <c r="FNL1" s="996"/>
      <c r="FNM1" s="996"/>
      <c r="FNN1" s="996"/>
      <c r="FNO1" s="996"/>
      <c r="FNP1" s="996"/>
      <c r="FNQ1" s="996"/>
      <c r="FNR1" s="996"/>
      <c r="FNS1" s="996"/>
      <c r="FNT1" s="998"/>
      <c r="FNU1" s="998"/>
      <c r="FNV1" s="998"/>
      <c r="FNW1" s="998"/>
      <c r="FNX1" s="998"/>
      <c r="FNY1" s="998"/>
      <c r="FNZ1" s="998"/>
      <c r="FOA1" s="998"/>
      <c r="FOB1" s="998"/>
      <c r="FOC1" s="996"/>
      <c r="FOD1" s="996"/>
      <c r="FOE1" s="996"/>
      <c r="FOF1" s="996"/>
      <c r="FOG1" s="996"/>
      <c r="FOH1" s="996"/>
      <c r="FOI1" s="996"/>
      <c r="FOJ1" s="996"/>
      <c r="FOK1" s="996"/>
      <c r="FOL1" s="998"/>
      <c r="FOM1" s="998"/>
      <c r="FON1" s="998"/>
      <c r="FOO1" s="998"/>
      <c r="FOP1" s="998"/>
      <c r="FOQ1" s="998"/>
      <c r="FOR1" s="998"/>
      <c r="FOS1" s="998"/>
      <c r="FOT1" s="998"/>
      <c r="FOU1" s="999"/>
      <c r="FOV1" s="1000"/>
      <c r="FOW1" s="1001"/>
      <c r="FOX1" s="1000"/>
      <c r="FOY1" s="1001"/>
      <c r="FOZ1" s="1000"/>
      <c r="FPA1" s="1000"/>
      <c r="FPB1" s="1000"/>
      <c r="FPC1" s="1000"/>
      <c r="FPD1" s="1000"/>
      <c r="FPE1" s="1000"/>
      <c r="FPF1" s="1000"/>
      <c r="FPG1" s="1000"/>
      <c r="FPH1" s="1000"/>
      <c r="FPI1" s="1000"/>
      <c r="FPJ1" s="1000"/>
      <c r="FPK1" s="1000"/>
      <c r="FPL1" s="998"/>
      <c r="FPM1" s="998"/>
      <c r="FPN1" s="998"/>
      <c r="FPO1" s="998"/>
      <c r="FPP1" s="998"/>
      <c r="FPQ1" s="998"/>
      <c r="FPR1" s="998"/>
      <c r="FPS1" s="996"/>
      <c r="FPT1" s="996"/>
      <c r="FPU1" s="996"/>
      <c r="FPV1" s="996"/>
      <c r="FPW1" s="996"/>
      <c r="FPX1" s="996"/>
      <c r="FPY1" s="996"/>
      <c r="FPZ1" s="996"/>
      <c r="FQA1" s="996"/>
      <c r="FQB1" s="996"/>
      <c r="FQC1" s="996"/>
      <c r="FQD1" s="996"/>
      <c r="FQE1" s="996"/>
      <c r="FQF1" s="996"/>
      <c r="FQG1" s="996"/>
      <c r="FQH1" s="996"/>
      <c r="FQI1" s="996"/>
      <c r="FQJ1" s="996"/>
      <c r="FQK1" s="996"/>
      <c r="FQL1" s="996"/>
      <c r="FQM1" s="996"/>
      <c r="FQN1" s="996"/>
      <c r="FQO1" s="996"/>
      <c r="FQP1" s="996"/>
      <c r="FQQ1" s="996"/>
      <c r="FQR1" s="996"/>
      <c r="FQS1" s="996"/>
      <c r="FQT1" s="996"/>
      <c r="FQU1" s="996"/>
      <c r="FQV1" s="996"/>
      <c r="FQW1" s="996"/>
      <c r="FQX1" s="996"/>
      <c r="FQY1" s="996"/>
      <c r="FQZ1" s="996"/>
      <c r="FRA1" s="996"/>
      <c r="FRB1" s="996"/>
      <c r="FRC1" s="996"/>
      <c r="FRD1" s="996"/>
      <c r="FRE1" s="996"/>
      <c r="FRF1" s="995"/>
      <c r="FRG1" s="995"/>
      <c r="FRH1" s="996"/>
      <c r="FRI1" s="997"/>
      <c r="FRJ1" s="1002"/>
      <c r="FRK1" s="996"/>
      <c r="FRL1" s="996"/>
      <c r="FRM1" s="996"/>
      <c r="FRN1" s="996"/>
      <c r="FRO1" s="996"/>
      <c r="FRP1" s="996"/>
      <c r="FRQ1" s="996"/>
      <c r="FRR1" s="996"/>
      <c r="FRS1" s="996"/>
      <c r="FRT1" s="996"/>
      <c r="FRU1" s="996"/>
      <c r="FRV1" s="996"/>
      <c r="FRW1" s="996"/>
      <c r="FRX1" s="996"/>
      <c r="FRY1" s="996"/>
      <c r="FRZ1" s="996"/>
      <c r="FSA1" s="996"/>
      <c r="FSB1" s="996"/>
      <c r="FSC1" s="996"/>
      <c r="FSD1" s="996"/>
      <c r="FSE1" s="996"/>
      <c r="FSF1" s="1003"/>
      <c r="FSG1" s="996"/>
      <c r="FSH1" s="1003"/>
      <c r="FSI1" s="996"/>
      <c r="FSJ1" s="996"/>
      <c r="FSK1" s="996"/>
      <c r="FSL1" s="996"/>
      <c r="FSM1" s="996"/>
      <c r="FSN1" s="996"/>
      <c r="FSO1" s="996"/>
      <c r="FSP1" s="996"/>
      <c r="FSQ1" s="996"/>
      <c r="FSR1" s="996"/>
      <c r="FSS1" s="996"/>
      <c r="FST1" s="996"/>
      <c r="FSU1" s="1003"/>
      <c r="FSV1" s="1003"/>
      <c r="FSW1" s="1003"/>
      <c r="FSX1" s="1003"/>
      <c r="FSY1" s="1003"/>
      <c r="FSZ1" s="996"/>
      <c r="FTA1" s="996"/>
      <c r="FTB1" s="996"/>
      <c r="FTC1" s="996"/>
      <c r="FTD1" s="996"/>
      <c r="FTE1" s="996"/>
      <c r="FTF1" s="1003"/>
      <c r="FTG1" s="996"/>
      <c r="FTH1" s="996"/>
      <c r="FTI1" s="996"/>
      <c r="FTJ1" s="996"/>
      <c r="FTK1" s="996"/>
      <c r="FTL1" s="996"/>
      <c r="FTM1" s="996"/>
      <c r="FTN1" s="996"/>
      <c r="FTO1" s="996"/>
      <c r="FTP1" s="996"/>
      <c r="FTQ1" s="996"/>
      <c r="FTR1" s="996"/>
      <c r="FTS1" s="996"/>
      <c r="FTT1" s="996"/>
      <c r="FTU1" s="996"/>
      <c r="FTV1" s="996"/>
      <c r="FTW1" s="996"/>
      <c r="FTX1" s="996"/>
      <c r="FTY1" s="998"/>
      <c r="FTZ1" s="998"/>
      <c r="FUA1" s="998"/>
      <c r="FUB1" s="998"/>
      <c r="FUC1" s="998"/>
      <c r="FUD1" s="998"/>
      <c r="FUE1" s="998"/>
      <c r="FUF1" s="998"/>
      <c r="FUG1" s="998"/>
      <c r="FUH1" s="998"/>
      <c r="FUI1" s="998"/>
      <c r="FUJ1" s="996"/>
      <c r="FUK1" s="996"/>
      <c r="FUL1" s="996"/>
      <c r="FUM1" s="996"/>
      <c r="FUN1" s="996"/>
      <c r="FUO1" s="996"/>
      <c r="FUP1" s="996"/>
      <c r="FUQ1" s="998"/>
      <c r="FUR1" s="998"/>
      <c r="FUS1" s="998"/>
      <c r="FUT1" s="998"/>
      <c r="FUU1" s="998"/>
      <c r="FUV1" s="998"/>
      <c r="FUW1" s="998"/>
      <c r="FUX1" s="996"/>
      <c r="FUY1" s="996"/>
      <c r="FUZ1" s="996"/>
      <c r="FVA1" s="996"/>
      <c r="FVB1" s="996"/>
      <c r="FVC1" s="996"/>
      <c r="FVD1" s="996"/>
      <c r="FVE1" s="996"/>
      <c r="FVF1" s="996"/>
      <c r="FVG1" s="996"/>
      <c r="FVH1" s="996"/>
      <c r="FVI1" s="996"/>
      <c r="FVJ1" s="996"/>
      <c r="FVK1" s="996"/>
      <c r="FVL1" s="996"/>
      <c r="FVM1" s="996"/>
      <c r="FVN1" s="996"/>
      <c r="FVO1" s="996"/>
      <c r="FVP1" s="996"/>
      <c r="FVQ1" s="996"/>
      <c r="FVR1" s="996"/>
      <c r="FVS1" s="996"/>
      <c r="FVT1" s="996"/>
      <c r="FVU1" s="996"/>
      <c r="FVV1" s="996"/>
      <c r="FVW1" s="996"/>
      <c r="FVX1" s="996"/>
      <c r="FVY1" s="1003"/>
      <c r="FVZ1" s="996"/>
      <c r="FWA1" s="996"/>
      <c r="FWB1" s="996"/>
      <c r="FWC1" s="996"/>
      <c r="FWD1" s="996"/>
      <c r="FWE1" s="996"/>
      <c r="FWF1" s="996"/>
      <c r="FWG1" s="996"/>
      <c r="FWH1" s="996"/>
      <c r="FWI1" s="996"/>
      <c r="FWJ1" s="996"/>
      <c r="FWK1" s="996"/>
      <c r="FWL1" s="996"/>
      <c r="FWM1" s="996"/>
      <c r="FWN1" s="996"/>
      <c r="FWO1" s="996"/>
      <c r="FWP1" s="998"/>
      <c r="FWQ1" s="998"/>
      <c r="FWR1" s="998"/>
      <c r="FWS1" s="998"/>
      <c r="FWT1" s="998"/>
      <c r="FWU1" s="998"/>
      <c r="FWV1" s="998"/>
      <c r="FWW1" s="998"/>
      <c r="FWX1" s="998"/>
      <c r="FWY1" s="996"/>
      <c r="FWZ1" s="996"/>
      <c r="FXA1" s="996"/>
      <c r="FXB1" s="996"/>
      <c r="FXC1" s="996"/>
      <c r="FXD1" s="996"/>
      <c r="FXE1" s="996"/>
      <c r="FXF1" s="996"/>
      <c r="FXG1" s="996"/>
      <c r="FXH1" s="998"/>
      <c r="FXI1" s="998"/>
      <c r="FXJ1" s="998"/>
      <c r="FXK1" s="998"/>
      <c r="FXL1" s="998"/>
      <c r="FXM1" s="998"/>
      <c r="FXN1" s="998"/>
      <c r="FXO1" s="998"/>
      <c r="FXP1" s="998"/>
      <c r="FXQ1" s="999"/>
      <c r="FXR1" s="1000"/>
      <c r="FXS1" s="1001"/>
      <c r="FXT1" s="1000"/>
      <c r="FXU1" s="1001"/>
      <c r="FXV1" s="1000"/>
      <c r="FXW1" s="1000"/>
      <c r="FXX1" s="1000"/>
      <c r="FXY1" s="1000"/>
      <c r="FXZ1" s="1000"/>
      <c r="FYA1" s="1000"/>
      <c r="FYB1" s="1000"/>
      <c r="FYC1" s="1000"/>
      <c r="FYD1" s="1000"/>
      <c r="FYE1" s="1000"/>
      <c r="FYF1" s="1000"/>
      <c r="FYG1" s="1000"/>
      <c r="FYH1" s="998"/>
      <c r="FYI1" s="998"/>
      <c r="FYJ1" s="998"/>
      <c r="FYK1" s="998"/>
      <c r="FYL1" s="998"/>
      <c r="FYM1" s="998"/>
      <c r="FYN1" s="998"/>
      <c r="FYO1" s="996"/>
      <c r="FYP1" s="996"/>
      <c r="FYQ1" s="996"/>
      <c r="FYR1" s="996"/>
      <c r="FYS1" s="996"/>
      <c r="FYT1" s="996"/>
      <c r="FYU1" s="996"/>
      <c r="FYV1" s="996"/>
      <c r="FYW1" s="996"/>
      <c r="FYX1" s="996"/>
      <c r="FYY1" s="996"/>
      <c r="FYZ1" s="996"/>
      <c r="FZA1" s="996"/>
      <c r="FZB1" s="996"/>
      <c r="FZC1" s="996"/>
      <c r="FZD1" s="996"/>
      <c r="FZE1" s="996"/>
      <c r="FZF1" s="996"/>
      <c r="FZG1" s="996"/>
      <c r="FZH1" s="996"/>
      <c r="FZI1" s="996"/>
      <c r="FZJ1" s="996"/>
      <c r="FZK1" s="996"/>
      <c r="FZL1" s="996"/>
      <c r="FZM1" s="996"/>
      <c r="FZN1" s="996"/>
      <c r="FZO1" s="996"/>
      <c r="FZP1" s="996"/>
      <c r="FZQ1" s="996"/>
      <c r="FZR1" s="996"/>
      <c r="FZS1" s="996"/>
      <c r="FZT1" s="996"/>
      <c r="FZU1" s="996"/>
      <c r="FZV1" s="996"/>
      <c r="FZW1" s="996"/>
      <c r="FZX1" s="996"/>
      <c r="FZY1" s="996"/>
      <c r="FZZ1" s="996"/>
      <c r="GAA1" s="996"/>
      <c r="GAB1" s="995"/>
      <c r="GAC1" s="995"/>
      <c r="GAD1" s="996"/>
      <c r="GAE1" s="997"/>
      <c r="GAF1" s="1002"/>
      <c r="GAG1" s="996"/>
      <c r="GAH1" s="996"/>
      <c r="GAI1" s="996"/>
      <c r="GAJ1" s="996"/>
      <c r="GAK1" s="996"/>
      <c r="GAL1" s="996"/>
      <c r="GAM1" s="996"/>
      <c r="GAN1" s="996"/>
      <c r="GAO1" s="996"/>
      <c r="GAP1" s="996"/>
      <c r="GAQ1" s="996"/>
      <c r="GAR1" s="996"/>
      <c r="GAS1" s="996"/>
      <c r="GAT1" s="996"/>
      <c r="GAU1" s="996"/>
      <c r="GAV1" s="996"/>
      <c r="GAW1" s="996"/>
      <c r="GAX1" s="996"/>
      <c r="GAY1" s="996"/>
      <c r="GAZ1" s="996"/>
      <c r="GBA1" s="996"/>
      <c r="GBB1" s="1003"/>
      <c r="GBC1" s="996"/>
      <c r="GBD1" s="1003"/>
      <c r="GBE1" s="996"/>
      <c r="GBF1" s="996"/>
      <c r="GBG1" s="996"/>
      <c r="GBH1" s="996"/>
      <c r="GBI1" s="996"/>
      <c r="GBJ1" s="996"/>
      <c r="GBK1" s="996"/>
      <c r="GBL1" s="996"/>
      <c r="GBM1" s="996"/>
      <c r="GBN1" s="996"/>
      <c r="GBO1" s="996"/>
      <c r="GBP1" s="996"/>
      <c r="GBQ1" s="1003"/>
      <c r="GBR1" s="1003"/>
      <c r="GBS1" s="1003"/>
      <c r="GBT1" s="1003"/>
      <c r="GBU1" s="1003"/>
      <c r="GBV1" s="996"/>
      <c r="GBW1" s="996"/>
      <c r="GBX1" s="996"/>
      <c r="GBY1" s="996"/>
      <c r="GBZ1" s="996"/>
      <c r="GCA1" s="996"/>
      <c r="GCB1" s="1003"/>
      <c r="GCC1" s="996"/>
      <c r="GCD1" s="996"/>
      <c r="GCE1" s="996"/>
      <c r="GCF1" s="996"/>
      <c r="GCG1" s="996"/>
      <c r="GCH1" s="996"/>
      <c r="GCI1" s="996"/>
      <c r="GCJ1" s="996"/>
      <c r="GCK1" s="996"/>
      <c r="GCL1" s="996"/>
      <c r="GCM1" s="996"/>
      <c r="GCN1" s="996"/>
      <c r="GCO1" s="996"/>
      <c r="GCP1" s="996"/>
      <c r="GCQ1" s="996"/>
      <c r="GCR1" s="996"/>
      <c r="GCS1" s="996"/>
      <c r="GCT1" s="996"/>
      <c r="GCU1" s="998"/>
      <c r="GCV1" s="998"/>
      <c r="GCW1" s="998"/>
      <c r="GCX1" s="998"/>
      <c r="GCY1" s="998"/>
      <c r="GCZ1" s="998"/>
      <c r="GDA1" s="998"/>
      <c r="GDB1" s="998"/>
      <c r="GDC1" s="998"/>
      <c r="GDD1" s="998"/>
      <c r="GDE1" s="998"/>
      <c r="GDF1" s="996"/>
      <c r="GDG1" s="996"/>
      <c r="GDH1" s="996"/>
      <c r="GDI1" s="996"/>
      <c r="GDJ1" s="996"/>
      <c r="GDK1" s="996"/>
      <c r="GDL1" s="996"/>
      <c r="GDM1" s="998"/>
      <c r="GDN1" s="998"/>
      <c r="GDO1" s="998"/>
      <c r="GDP1" s="998"/>
      <c r="GDQ1" s="998"/>
      <c r="GDR1" s="998"/>
      <c r="GDS1" s="998"/>
      <c r="GDT1" s="996"/>
      <c r="GDU1" s="996"/>
      <c r="GDV1" s="996"/>
      <c r="GDW1" s="996"/>
      <c r="GDX1" s="996"/>
      <c r="GDY1" s="996"/>
      <c r="GDZ1" s="996"/>
      <c r="GEA1" s="996"/>
      <c r="GEB1" s="996"/>
      <c r="GEC1" s="996"/>
      <c r="GED1" s="996"/>
      <c r="GEE1" s="996"/>
      <c r="GEF1" s="996"/>
      <c r="GEG1" s="996"/>
      <c r="GEH1" s="996"/>
      <c r="GEI1" s="996"/>
      <c r="GEJ1" s="996"/>
      <c r="GEK1" s="996"/>
      <c r="GEL1" s="996"/>
      <c r="GEM1" s="996"/>
      <c r="GEN1" s="996"/>
      <c r="GEO1" s="996"/>
      <c r="GEP1" s="996"/>
      <c r="GEQ1" s="996"/>
      <c r="GER1" s="996"/>
      <c r="GES1" s="996"/>
      <c r="GET1" s="996"/>
      <c r="GEU1" s="1003"/>
      <c r="GEV1" s="996"/>
      <c r="GEW1" s="996"/>
      <c r="GEX1" s="996"/>
      <c r="GEY1" s="996"/>
      <c r="GEZ1" s="996"/>
      <c r="GFA1" s="996"/>
      <c r="GFB1" s="996"/>
      <c r="GFC1" s="996"/>
      <c r="GFD1" s="996"/>
      <c r="GFE1" s="996"/>
      <c r="GFF1" s="996"/>
      <c r="GFG1" s="996"/>
      <c r="GFH1" s="996"/>
      <c r="GFI1" s="996"/>
      <c r="GFJ1" s="996"/>
      <c r="GFK1" s="996"/>
      <c r="GFL1" s="998"/>
      <c r="GFM1" s="998"/>
      <c r="GFN1" s="998"/>
      <c r="GFO1" s="998"/>
      <c r="GFP1" s="998"/>
      <c r="GFQ1" s="998"/>
      <c r="GFR1" s="998"/>
      <c r="GFS1" s="998"/>
      <c r="GFT1" s="998"/>
      <c r="GFU1" s="996"/>
      <c r="GFV1" s="996"/>
      <c r="GFW1" s="996"/>
      <c r="GFX1" s="996"/>
      <c r="GFY1" s="996"/>
      <c r="GFZ1" s="996"/>
      <c r="GGA1" s="996"/>
      <c r="GGB1" s="996"/>
      <c r="GGC1" s="996"/>
      <c r="GGD1" s="998"/>
      <c r="GGE1" s="998"/>
      <c r="GGF1" s="998"/>
      <c r="GGG1" s="998"/>
      <c r="GGH1" s="998"/>
      <c r="GGI1" s="998"/>
      <c r="GGJ1" s="998"/>
      <c r="GGK1" s="998"/>
      <c r="GGL1" s="998"/>
      <c r="GGM1" s="999"/>
      <c r="GGN1" s="1000"/>
      <c r="GGO1" s="1001"/>
      <c r="GGP1" s="1000"/>
      <c r="GGQ1" s="1001"/>
      <c r="GGR1" s="1000"/>
      <c r="GGS1" s="1000"/>
      <c r="GGT1" s="1000"/>
      <c r="GGU1" s="1000"/>
      <c r="GGV1" s="1000"/>
      <c r="GGW1" s="1000"/>
      <c r="GGX1" s="1000"/>
      <c r="GGY1" s="1000"/>
      <c r="GGZ1" s="1000"/>
      <c r="GHA1" s="1000"/>
      <c r="GHB1" s="1000"/>
      <c r="GHC1" s="1000"/>
      <c r="GHD1" s="998"/>
      <c r="GHE1" s="998"/>
      <c r="GHF1" s="998"/>
      <c r="GHG1" s="998"/>
      <c r="GHH1" s="998"/>
      <c r="GHI1" s="998"/>
      <c r="GHJ1" s="998"/>
      <c r="GHK1" s="996"/>
      <c r="GHL1" s="996"/>
      <c r="GHM1" s="996"/>
      <c r="GHN1" s="996"/>
      <c r="GHO1" s="996"/>
      <c r="GHP1" s="996"/>
      <c r="GHQ1" s="996"/>
      <c r="GHR1" s="996"/>
      <c r="GHS1" s="996"/>
      <c r="GHT1" s="996"/>
      <c r="GHU1" s="996"/>
      <c r="GHV1" s="996"/>
      <c r="GHW1" s="996"/>
      <c r="GHX1" s="996"/>
      <c r="GHY1" s="996"/>
      <c r="GHZ1" s="996"/>
      <c r="GIA1" s="996"/>
      <c r="GIB1" s="996"/>
      <c r="GIC1" s="996"/>
      <c r="GID1" s="996"/>
      <c r="GIE1" s="996"/>
      <c r="GIF1" s="996"/>
      <c r="GIG1" s="996"/>
      <c r="GIH1" s="996"/>
      <c r="GII1" s="996"/>
      <c r="GIJ1" s="996"/>
      <c r="GIK1" s="996"/>
      <c r="GIL1" s="996"/>
      <c r="GIM1" s="996"/>
      <c r="GIN1" s="996"/>
      <c r="GIO1" s="996"/>
      <c r="GIP1" s="996"/>
      <c r="GIQ1" s="996"/>
      <c r="GIR1" s="996"/>
      <c r="GIS1" s="996"/>
      <c r="GIT1" s="996"/>
      <c r="GIU1" s="996"/>
      <c r="GIV1" s="996"/>
      <c r="GIW1" s="996"/>
      <c r="GIX1" s="995"/>
      <c r="GIY1" s="995"/>
      <c r="GIZ1" s="996"/>
      <c r="GJA1" s="997"/>
      <c r="GJB1" s="1002"/>
      <c r="GJC1" s="996"/>
      <c r="GJD1" s="996"/>
      <c r="GJE1" s="996"/>
      <c r="GJF1" s="996"/>
      <c r="GJG1" s="996"/>
      <c r="GJH1" s="996"/>
      <c r="GJI1" s="996"/>
      <c r="GJJ1" s="996"/>
      <c r="GJK1" s="996"/>
      <c r="GJL1" s="996"/>
      <c r="GJM1" s="996"/>
      <c r="GJN1" s="996"/>
      <c r="GJO1" s="996"/>
      <c r="GJP1" s="996"/>
      <c r="GJQ1" s="996"/>
      <c r="GJR1" s="996"/>
      <c r="GJS1" s="996"/>
      <c r="GJT1" s="996"/>
      <c r="GJU1" s="996"/>
      <c r="GJV1" s="996"/>
      <c r="GJW1" s="996"/>
      <c r="GJX1" s="1003"/>
      <c r="GJY1" s="996"/>
      <c r="GJZ1" s="1003"/>
      <c r="GKA1" s="996"/>
      <c r="GKB1" s="996"/>
      <c r="GKC1" s="996"/>
      <c r="GKD1" s="996"/>
      <c r="GKE1" s="996"/>
      <c r="GKF1" s="996"/>
      <c r="GKG1" s="996"/>
      <c r="GKH1" s="996"/>
      <c r="GKI1" s="996"/>
      <c r="GKJ1" s="996"/>
      <c r="GKK1" s="996"/>
      <c r="GKL1" s="996"/>
      <c r="GKM1" s="1003"/>
      <c r="GKN1" s="1003"/>
      <c r="GKO1" s="1003"/>
      <c r="GKP1" s="1003"/>
      <c r="GKQ1" s="1003"/>
      <c r="GKR1" s="996"/>
      <c r="GKS1" s="996"/>
      <c r="GKT1" s="996"/>
      <c r="GKU1" s="996"/>
      <c r="GKV1" s="996"/>
      <c r="GKW1" s="996"/>
      <c r="GKX1" s="1003"/>
      <c r="GKY1" s="996"/>
      <c r="GKZ1" s="996"/>
      <c r="GLA1" s="996"/>
      <c r="GLB1" s="996"/>
      <c r="GLC1" s="996"/>
      <c r="GLD1" s="996"/>
      <c r="GLE1" s="996"/>
      <c r="GLF1" s="996"/>
      <c r="GLG1" s="996"/>
      <c r="GLH1" s="996"/>
      <c r="GLI1" s="996"/>
      <c r="GLJ1" s="996"/>
      <c r="GLK1" s="996"/>
      <c r="GLL1" s="996"/>
      <c r="GLM1" s="996"/>
      <c r="GLN1" s="996"/>
      <c r="GLO1" s="996"/>
      <c r="GLP1" s="996"/>
      <c r="GLQ1" s="998"/>
      <c r="GLR1" s="998"/>
      <c r="GLS1" s="998"/>
      <c r="GLT1" s="998"/>
      <c r="GLU1" s="998"/>
      <c r="GLV1" s="998"/>
      <c r="GLW1" s="998"/>
      <c r="GLX1" s="998"/>
      <c r="GLY1" s="998"/>
      <c r="GLZ1" s="998"/>
      <c r="GMA1" s="998"/>
      <c r="GMB1" s="996"/>
      <c r="GMC1" s="996"/>
      <c r="GMD1" s="996"/>
      <c r="GME1" s="996"/>
      <c r="GMF1" s="996"/>
      <c r="GMG1" s="996"/>
      <c r="GMH1" s="996"/>
      <c r="GMI1" s="998"/>
      <c r="GMJ1" s="998"/>
      <c r="GMK1" s="998"/>
      <c r="GML1" s="998"/>
      <c r="GMM1" s="998"/>
      <c r="GMN1" s="998"/>
      <c r="GMO1" s="998"/>
      <c r="GMP1" s="996"/>
      <c r="GMQ1" s="996"/>
      <c r="GMR1" s="996"/>
      <c r="GMS1" s="996"/>
      <c r="GMT1" s="996"/>
      <c r="GMU1" s="996"/>
      <c r="GMV1" s="996"/>
      <c r="GMW1" s="996"/>
      <c r="GMX1" s="996"/>
      <c r="GMY1" s="996"/>
      <c r="GMZ1" s="996"/>
      <c r="GNA1" s="996"/>
      <c r="GNB1" s="996"/>
      <c r="GNC1" s="996"/>
      <c r="GND1" s="996"/>
      <c r="GNE1" s="996"/>
      <c r="GNF1" s="996"/>
      <c r="GNG1" s="996"/>
      <c r="GNH1" s="996"/>
      <c r="GNI1" s="996"/>
      <c r="GNJ1" s="996"/>
      <c r="GNK1" s="996"/>
      <c r="GNL1" s="996"/>
      <c r="GNM1" s="996"/>
      <c r="GNN1" s="996"/>
      <c r="GNO1" s="996"/>
      <c r="GNP1" s="996"/>
      <c r="GNQ1" s="1003"/>
      <c r="GNR1" s="996"/>
      <c r="GNS1" s="996"/>
      <c r="GNT1" s="996"/>
      <c r="GNU1" s="996"/>
      <c r="GNV1" s="996"/>
      <c r="GNW1" s="996"/>
      <c r="GNX1" s="996"/>
      <c r="GNY1" s="996"/>
      <c r="GNZ1" s="996"/>
      <c r="GOA1" s="996"/>
      <c r="GOB1" s="996"/>
      <c r="GOC1" s="996"/>
      <c r="GOD1" s="996"/>
      <c r="GOE1" s="996"/>
      <c r="GOF1" s="996"/>
      <c r="GOG1" s="996"/>
      <c r="GOH1" s="998"/>
      <c r="GOI1" s="998"/>
      <c r="GOJ1" s="998"/>
      <c r="GOK1" s="998"/>
      <c r="GOL1" s="998"/>
      <c r="GOM1" s="998"/>
      <c r="GON1" s="998"/>
      <c r="GOO1" s="998"/>
      <c r="GOP1" s="998"/>
      <c r="GOQ1" s="996"/>
      <c r="GOR1" s="996"/>
      <c r="GOS1" s="996"/>
      <c r="GOT1" s="996"/>
      <c r="GOU1" s="996"/>
      <c r="GOV1" s="996"/>
      <c r="GOW1" s="996"/>
      <c r="GOX1" s="996"/>
      <c r="GOY1" s="996"/>
      <c r="GOZ1" s="998"/>
      <c r="GPA1" s="998"/>
      <c r="GPB1" s="998"/>
      <c r="GPC1" s="998"/>
      <c r="GPD1" s="998"/>
      <c r="GPE1" s="998"/>
      <c r="GPF1" s="998"/>
      <c r="GPG1" s="998"/>
      <c r="GPH1" s="998"/>
      <c r="GPI1" s="999"/>
      <c r="GPJ1" s="1000"/>
      <c r="GPK1" s="1001"/>
      <c r="GPL1" s="1000"/>
      <c r="GPM1" s="1001"/>
      <c r="GPN1" s="1000"/>
      <c r="GPO1" s="1000"/>
      <c r="GPP1" s="1000"/>
      <c r="GPQ1" s="1000"/>
      <c r="GPR1" s="1000"/>
      <c r="GPS1" s="1000"/>
      <c r="GPT1" s="1000"/>
      <c r="GPU1" s="1000"/>
      <c r="GPV1" s="1000"/>
      <c r="GPW1" s="1000"/>
      <c r="GPX1" s="1000"/>
      <c r="GPY1" s="1000"/>
      <c r="GPZ1" s="998"/>
      <c r="GQA1" s="998"/>
      <c r="GQB1" s="998"/>
      <c r="GQC1" s="998"/>
      <c r="GQD1" s="998"/>
      <c r="GQE1" s="998"/>
      <c r="GQF1" s="998"/>
      <c r="GQG1" s="996"/>
      <c r="GQH1" s="996"/>
      <c r="GQI1" s="996"/>
      <c r="GQJ1" s="996"/>
      <c r="GQK1" s="996"/>
      <c r="GQL1" s="996"/>
      <c r="GQM1" s="996"/>
      <c r="GQN1" s="996"/>
      <c r="GQO1" s="996"/>
      <c r="GQP1" s="996"/>
      <c r="GQQ1" s="996"/>
      <c r="GQR1" s="996"/>
      <c r="GQS1" s="996"/>
      <c r="GQT1" s="996"/>
      <c r="GQU1" s="996"/>
      <c r="GQV1" s="996"/>
      <c r="GQW1" s="996"/>
      <c r="GQX1" s="996"/>
      <c r="GQY1" s="996"/>
      <c r="GQZ1" s="996"/>
      <c r="GRA1" s="996"/>
      <c r="GRB1" s="996"/>
      <c r="GRC1" s="996"/>
      <c r="GRD1" s="996"/>
      <c r="GRE1" s="996"/>
      <c r="GRF1" s="996"/>
      <c r="GRG1" s="996"/>
      <c r="GRH1" s="996"/>
      <c r="GRI1" s="996"/>
      <c r="GRJ1" s="996"/>
      <c r="GRK1" s="996"/>
      <c r="GRL1" s="996"/>
      <c r="GRM1" s="996"/>
      <c r="GRN1" s="996"/>
      <c r="GRO1" s="996"/>
      <c r="GRP1" s="996"/>
      <c r="GRQ1" s="996"/>
      <c r="GRR1" s="996"/>
      <c r="GRS1" s="996"/>
      <c r="GRT1" s="995"/>
      <c r="GRU1" s="995"/>
      <c r="GRV1" s="996"/>
      <c r="GRW1" s="997"/>
      <c r="GRX1" s="1002"/>
      <c r="GRY1" s="996"/>
      <c r="GRZ1" s="996"/>
      <c r="GSA1" s="996"/>
      <c r="GSB1" s="996"/>
      <c r="GSC1" s="996"/>
      <c r="GSD1" s="996"/>
      <c r="GSE1" s="996"/>
      <c r="GSF1" s="996"/>
      <c r="GSG1" s="996"/>
      <c r="GSH1" s="996"/>
      <c r="GSI1" s="996"/>
      <c r="GSJ1" s="996"/>
      <c r="GSK1" s="996"/>
      <c r="GSL1" s="996"/>
      <c r="GSM1" s="996"/>
      <c r="GSN1" s="996"/>
      <c r="GSO1" s="996"/>
      <c r="GSP1" s="996"/>
      <c r="GSQ1" s="996"/>
      <c r="GSR1" s="996"/>
      <c r="GSS1" s="996"/>
      <c r="GST1" s="1003"/>
      <c r="GSU1" s="996"/>
      <c r="GSV1" s="1003"/>
      <c r="GSW1" s="996"/>
      <c r="GSX1" s="996"/>
      <c r="GSY1" s="996"/>
      <c r="GSZ1" s="996"/>
      <c r="GTA1" s="996"/>
      <c r="GTB1" s="996"/>
      <c r="GTC1" s="996"/>
      <c r="GTD1" s="996"/>
      <c r="GTE1" s="996"/>
      <c r="GTF1" s="996"/>
      <c r="GTG1" s="996"/>
      <c r="GTH1" s="996"/>
      <c r="GTI1" s="1003"/>
      <c r="GTJ1" s="1003"/>
      <c r="GTK1" s="1003"/>
      <c r="GTL1" s="1003"/>
      <c r="GTM1" s="1003"/>
      <c r="GTN1" s="996"/>
      <c r="GTO1" s="996"/>
      <c r="GTP1" s="996"/>
      <c r="GTQ1" s="996"/>
      <c r="GTR1" s="996"/>
      <c r="GTS1" s="996"/>
      <c r="GTT1" s="1003"/>
      <c r="GTU1" s="996"/>
      <c r="GTV1" s="996"/>
      <c r="GTW1" s="996"/>
      <c r="GTX1" s="996"/>
      <c r="GTY1" s="996"/>
      <c r="GTZ1" s="996"/>
      <c r="GUA1" s="996"/>
      <c r="GUB1" s="996"/>
      <c r="GUC1" s="996"/>
      <c r="GUD1" s="996"/>
      <c r="GUE1" s="996"/>
      <c r="GUF1" s="996"/>
      <c r="GUG1" s="996"/>
      <c r="GUH1" s="996"/>
      <c r="GUI1" s="996"/>
      <c r="GUJ1" s="996"/>
      <c r="GUK1" s="996"/>
      <c r="GUL1" s="996"/>
      <c r="GUM1" s="998"/>
      <c r="GUN1" s="998"/>
      <c r="GUO1" s="998"/>
      <c r="GUP1" s="998"/>
      <c r="GUQ1" s="998"/>
      <c r="GUR1" s="998"/>
      <c r="GUS1" s="998"/>
      <c r="GUT1" s="998"/>
      <c r="GUU1" s="998"/>
      <c r="GUV1" s="998"/>
      <c r="GUW1" s="998"/>
      <c r="GUX1" s="996"/>
      <c r="GUY1" s="996"/>
      <c r="GUZ1" s="996"/>
      <c r="GVA1" s="996"/>
      <c r="GVB1" s="996"/>
      <c r="GVC1" s="996"/>
      <c r="GVD1" s="996"/>
      <c r="GVE1" s="998"/>
      <c r="GVF1" s="998"/>
      <c r="GVG1" s="998"/>
      <c r="GVH1" s="998"/>
      <c r="GVI1" s="998"/>
      <c r="GVJ1" s="998"/>
      <c r="GVK1" s="998"/>
      <c r="GVL1" s="996"/>
      <c r="GVM1" s="996"/>
      <c r="GVN1" s="996"/>
      <c r="GVO1" s="996"/>
      <c r="GVP1" s="996"/>
      <c r="GVQ1" s="996"/>
      <c r="GVR1" s="996"/>
      <c r="GVS1" s="996"/>
      <c r="GVT1" s="996"/>
      <c r="GVU1" s="996"/>
      <c r="GVV1" s="996"/>
      <c r="GVW1" s="996"/>
      <c r="GVX1" s="996"/>
      <c r="GVY1" s="996"/>
      <c r="GVZ1" s="996"/>
      <c r="GWA1" s="996"/>
      <c r="GWB1" s="996"/>
      <c r="GWC1" s="996"/>
      <c r="GWD1" s="996"/>
      <c r="GWE1" s="996"/>
      <c r="GWF1" s="996"/>
      <c r="GWG1" s="996"/>
      <c r="GWH1" s="996"/>
      <c r="GWI1" s="996"/>
      <c r="GWJ1" s="996"/>
      <c r="GWK1" s="996"/>
      <c r="GWL1" s="996"/>
      <c r="GWM1" s="1003"/>
      <c r="GWN1" s="996"/>
      <c r="GWO1" s="996"/>
      <c r="GWP1" s="996"/>
      <c r="GWQ1" s="996"/>
      <c r="GWR1" s="996"/>
      <c r="GWS1" s="996"/>
      <c r="GWT1" s="996"/>
      <c r="GWU1" s="996"/>
      <c r="GWV1" s="996"/>
      <c r="GWW1" s="996"/>
      <c r="GWX1" s="996"/>
      <c r="GWY1" s="996"/>
      <c r="GWZ1" s="996"/>
      <c r="GXA1" s="996"/>
      <c r="GXB1" s="996"/>
      <c r="GXC1" s="996"/>
      <c r="GXD1" s="998"/>
      <c r="GXE1" s="998"/>
      <c r="GXF1" s="998"/>
      <c r="GXG1" s="998"/>
      <c r="GXH1" s="998"/>
      <c r="GXI1" s="998"/>
      <c r="GXJ1" s="998"/>
      <c r="GXK1" s="998"/>
      <c r="GXL1" s="998"/>
      <c r="GXM1" s="996"/>
      <c r="GXN1" s="996"/>
      <c r="GXO1" s="996"/>
      <c r="GXP1" s="996"/>
      <c r="GXQ1" s="996"/>
      <c r="GXR1" s="996"/>
      <c r="GXS1" s="996"/>
      <c r="GXT1" s="996"/>
      <c r="GXU1" s="996"/>
      <c r="GXV1" s="998"/>
      <c r="GXW1" s="998"/>
      <c r="GXX1" s="998"/>
      <c r="GXY1" s="998"/>
      <c r="GXZ1" s="998"/>
      <c r="GYA1" s="998"/>
      <c r="GYB1" s="998"/>
      <c r="GYC1" s="998"/>
      <c r="GYD1" s="998"/>
      <c r="GYE1" s="999"/>
      <c r="GYF1" s="1000"/>
      <c r="GYG1" s="1001"/>
      <c r="GYH1" s="1000"/>
      <c r="GYI1" s="1001"/>
      <c r="GYJ1" s="1000"/>
      <c r="GYK1" s="1000"/>
      <c r="GYL1" s="1000"/>
      <c r="GYM1" s="1000"/>
      <c r="GYN1" s="1000"/>
      <c r="GYO1" s="1000"/>
      <c r="GYP1" s="1000"/>
      <c r="GYQ1" s="1000"/>
      <c r="GYR1" s="1000"/>
      <c r="GYS1" s="1000"/>
      <c r="GYT1" s="1000"/>
      <c r="GYU1" s="1000"/>
      <c r="GYV1" s="998"/>
      <c r="GYW1" s="998"/>
      <c r="GYX1" s="998"/>
      <c r="GYY1" s="998"/>
      <c r="GYZ1" s="998"/>
      <c r="GZA1" s="998"/>
      <c r="GZB1" s="998"/>
      <c r="GZC1" s="996"/>
      <c r="GZD1" s="996"/>
      <c r="GZE1" s="996"/>
      <c r="GZF1" s="996"/>
      <c r="GZG1" s="996"/>
      <c r="GZH1" s="996"/>
      <c r="GZI1" s="996"/>
      <c r="GZJ1" s="996"/>
      <c r="GZK1" s="996"/>
      <c r="GZL1" s="996"/>
      <c r="GZM1" s="996"/>
      <c r="GZN1" s="996"/>
      <c r="GZO1" s="996"/>
      <c r="GZP1" s="996"/>
      <c r="GZQ1" s="996"/>
      <c r="GZR1" s="996"/>
      <c r="GZS1" s="996"/>
      <c r="GZT1" s="996"/>
      <c r="GZU1" s="996"/>
      <c r="GZV1" s="996"/>
      <c r="GZW1" s="996"/>
      <c r="GZX1" s="996"/>
      <c r="GZY1" s="996"/>
      <c r="GZZ1" s="996"/>
      <c r="HAA1" s="996"/>
      <c r="HAB1" s="996"/>
      <c r="HAC1" s="996"/>
      <c r="HAD1" s="996"/>
      <c r="HAE1" s="996"/>
      <c r="HAF1" s="996"/>
      <c r="HAG1" s="996"/>
      <c r="HAH1" s="996"/>
      <c r="HAI1" s="996"/>
      <c r="HAJ1" s="996"/>
      <c r="HAK1" s="996"/>
      <c r="HAL1" s="996"/>
      <c r="HAM1" s="996"/>
      <c r="HAN1" s="996"/>
      <c r="HAO1" s="996"/>
      <c r="HAP1" s="995"/>
      <c r="HAQ1" s="995"/>
      <c r="HAR1" s="996"/>
      <c r="HAS1" s="997"/>
      <c r="HAT1" s="1002"/>
      <c r="HAU1" s="996"/>
      <c r="HAV1" s="996"/>
      <c r="HAW1" s="996"/>
      <c r="HAX1" s="996"/>
      <c r="HAY1" s="996"/>
      <c r="HAZ1" s="996"/>
      <c r="HBA1" s="996"/>
      <c r="HBB1" s="996"/>
      <c r="HBC1" s="996"/>
      <c r="HBD1" s="996"/>
      <c r="HBE1" s="996"/>
      <c r="HBF1" s="996"/>
      <c r="HBG1" s="996"/>
      <c r="HBH1" s="996"/>
      <c r="HBI1" s="996"/>
      <c r="HBJ1" s="996"/>
      <c r="HBK1" s="996"/>
      <c r="HBL1" s="996"/>
      <c r="HBM1" s="996"/>
      <c r="HBN1" s="996"/>
      <c r="HBO1" s="996"/>
      <c r="HBP1" s="1003"/>
      <c r="HBQ1" s="996"/>
      <c r="HBR1" s="1003"/>
      <c r="HBS1" s="996"/>
      <c r="HBT1" s="996"/>
      <c r="HBU1" s="996"/>
      <c r="HBV1" s="996"/>
      <c r="HBW1" s="996"/>
      <c r="HBX1" s="996"/>
      <c r="HBY1" s="996"/>
      <c r="HBZ1" s="996"/>
      <c r="HCA1" s="996"/>
      <c r="HCB1" s="996"/>
      <c r="HCC1" s="996"/>
      <c r="HCD1" s="996"/>
      <c r="HCE1" s="1003"/>
      <c r="HCF1" s="1003"/>
      <c r="HCG1" s="1003"/>
      <c r="HCH1" s="1003"/>
      <c r="HCI1" s="1003"/>
      <c r="HCJ1" s="996"/>
      <c r="HCK1" s="996"/>
      <c r="HCL1" s="996"/>
      <c r="HCM1" s="996"/>
      <c r="HCN1" s="996"/>
      <c r="HCO1" s="996"/>
      <c r="HCP1" s="1003"/>
      <c r="HCQ1" s="996"/>
      <c r="HCR1" s="996"/>
      <c r="HCS1" s="996"/>
      <c r="HCT1" s="996"/>
      <c r="HCU1" s="996"/>
      <c r="HCV1" s="996"/>
      <c r="HCW1" s="996"/>
      <c r="HCX1" s="996"/>
      <c r="HCY1" s="996"/>
      <c r="HCZ1" s="996"/>
      <c r="HDA1" s="996"/>
      <c r="HDB1" s="996"/>
      <c r="HDC1" s="996"/>
      <c r="HDD1" s="996"/>
      <c r="HDE1" s="996"/>
      <c r="HDF1" s="996"/>
      <c r="HDG1" s="996"/>
      <c r="HDH1" s="996"/>
      <c r="HDI1" s="998"/>
      <c r="HDJ1" s="998"/>
      <c r="HDK1" s="998"/>
      <c r="HDL1" s="998"/>
      <c r="HDM1" s="998"/>
      <c r="HDN1" s="998"/>
      <c r="HDO1" s="998"/>
      <c r="HDP1" s="998"/>
      <c r="HDQ1" s="998"/>
      <c r="HDR1" s="998"/>
      <c r="HDS1" s="998"/>
      <c r="HDT1" s="996"/>
      <c r="HDU1" s="996"/>
      <c r="HDV1" s="996"/>
      <c r="HDW1" s="996"/>
      <c r="HDX1" s="996"/>
      <c r="HDY1" s="996"/>
      <c r="HDZ1" s="996"/>
      <c r="HEA1" s="998"/>
      <c r="HEB1" s="998"/>
      <c r="HEC1" s="998"/>
      <c r="HED1" s="998"/>
      <c r="HEE1" s="998"/>
      <c r="HEF1" s="998"/>
      <c r="HEG1" s="998"/>
      <c r="HEH1" s="996"/>
      <c r="HEI1" s="996"/>
      <c r="HEJ1" s="996"/>
      <c r="HEK1" s="996"/>
      <c r="HEL1" s="996"/>
      <c r="HEM1" s="996"/>
      <c r="HEN1" s="996"/>
      <c r="HEO1" s="996"/>
      <c r="HEP1" s="996"/>
      <c r="HEQ1" s="996"/>
      <c r="HER1" s="996"/>
      <c r="HES1" s="996"/>
      <c r="HET1" s="996"/>
      <c r="HEU1" s="996"/>
      <c r="HEV1" s="996"/>
      <c r="HEW1" s="996"/>
      <c r="HEX1" s="996"/>
      <c r="HEY1" s="996"/>
      <c r="HEZ1" s="996"/>
      <c r="HFA1" s="996"/>
      <c r="HFB1" s="996"/>
      <c r="HFC1" s="996"/>
      <c r="HFD1" s="996"/>
      <c r="HFE1" s="996"/>
      <c r="HFF1" s="996"/>
      <c r="HFG1" s="996"/>
      <c r="HFH1" s="996"/>
      <c r="HFI1" s="1003"/>
      <c r="HFJ1" s="996"/>
      <c r="HFK1" s="996"/>
      <c r="HFL1" s="996"/>
      <c r="HFM1" s="996"/>
      <c r="HFN1" s="996"/>
      <c r="HFO1" s="996"/>
      <c r="HFP1" s="996"/>
      <c r="HFQ1" s="996"/>
      <c r="HFR1" s="996"/>
      <c r="HFS1" s="996"/>
      <c r="HFT1" s="996"/>
      <c r="HFU1" s="996"/>
      <c r="HFV1" s="996"/>
      <c r="HFW1" s="996"/>
      <c r="HFX1" s="996"/>
      <c r="HFY1" s="996"/>
      <c r="HFZ1" s="998"/>
      <c r="HGA1" s="998"/>
      <c r="HGB1" s="998"/>
      <c r="HGC1" s="998"/>
      <c r="HGD1" s="998"/>
      <c r="HGE1" s="998"/>
      <c r="HGF1" s="998"/>
      <c r="HGG1" s="998"/>
      <c r="HGH1" s="998"/>
      <c r="HGI1" s="996"/>
      <c r="HGJ1" s="996"/>
      <c r="HGK1" s="996"/>
      <c r="HGL1" s="996"/>
      <c r="HGM1" s="996"/>
      <c r="HGN1" s="996"/>
      <c r="HGO1" s="996"/>
      <c r="HGP1" s="996"/>
      <c r="HGQ1" s="996"/>
      <c r="HGR1" s="998"/>
      <c r="HGS1" s="998"/>
      <c r="HGT1" s="998"/>
      <c r="HGU1" s="998"/>
      <c r="HGV1" s="998"/>
      <c r="HGW1" s="998"/>
      <c r="HGX1" s="998"/>
      <c r="HGY1" s="998"/>
      <c r="HGZ1" s="998"/>
      <c r="HHA1" s="999"/>
      <c r="HHB1" s="1000"/>
      <c r="HHC1" s="1001"/>
      <c r="HHD1" s="1000"/>
      <c r="HHE1" s="1001"/>
      <c r="HHF1" s="1000"/>
      <c r="HHG1" s="1000"/>
      <c r="HHH1" s="1000"/>
      <c r="HHI1" s="1000"/>
      <c r="HHJ1" s="1000"/>
      <c r="HHK1" s="1000"/>
      <c r="HHL1" s="1000"/>
      <c r="HHM1" s="1000"/>
      <c r="HHN1" s="1000"/>
      <c r="HHO1" s="1000"/>
      <c r="HHP1" s="1000"/>
      <c r="HHQ1" s="1000"/>
      <c r="HHR1" s="998"/>
      <c r="HHS1" s="998"/>
      <c r="HHT1" s="998"/>
      <c r="HHU1" s="998"/>
      <c r="HHV1" s="998"/>
      <c r="HHW1" s="998"/>
      <c r="HHX1" s="998"/>
      <c r="HHY1" s="996"/>
      <c r="HHZ1" s="996"/>
      <c r="HIA1" s="996"/>
      <c r="HIB1" s="996"/>
      <c r="HIC1" s="996"/>
      <c r="HID1" s="996"/>
      <c r="HIE1" s="996"/>
      <c r="HIF1" s="996"/>
      <c r="HIG1" s="996"/>
      <c r="HIH1" s="996"/>
      <c r="HII1" s="996"/>
      <c r="HIJ1" s="996"/>
      <c r="HIK1" s="996"/>
      <c r="HIL1" s="996"/>
      <c r="HIM1" s="996"/>
      <c r="HIN1" s="996"/>
      <c r="HIO1" s="996"/>
      <c r="HIP1" s="996"/>
      <c r="HIQ1" s="996"/>
      <c r="HIR1" s="996"/>
      <c r="HIS1" s="996"/>
      <c r="HIT1" s="996"/>
      <c r="HIU1" s="996"/>
      <c r="HIV1" s="996"/>
      <c r="HIW1" s="996"/>
      <c r="HIX1" s="996"/>
      <c r="HIY1" s="996"/>
      <c r="HIZ1" s="996"/>
      <c r="HJA1" s="996"/>
      <c r="HJB1" s="996"/>
      <c r="HJC1" s="996"/>
      <c r="HJD1" s="996"/>
      <c r="HJE1" s="996"/>
      <c r="HJF1" s="996"/>
      <c r="HJG1" s="996"/>
      <c r="HJH1" s="996"/>
      <c r="HJI1" s="996"/>
      <c r="HJJ1" s="996"/>
      <c r="HJK1" s="996"/>
      <c r="HJL1" s="995"/>
      <c r="HJM1" s="995"/>
      <c r="HJN1" s="996"/>
      <c r="HJO1" s="997"/>
      <c r="HJP1" s="1002"/>
      <c r="HJQ1" s="996"/>
      <c r="HJR1" s="996"/>
      <c r="HJS1" s="996"/>
      <c r="HJT1" s="996"/>
      <c r="HJU1" s="996"/>
      <c r="HJV1" s="996"/>
      <c r="HJW1" s="996"/>
      <c r="HJX1" s="996"/>
      <c r="HJY1" s="996"/>
      <c r="HJZ1" s="996"/>
      <c r="HKA1" s="996"/>
      <c r="HKB1" s="996"/>
      <c r="HKC1" s="996"/>
      <c r="HKD1" s="996"/>
      <c r="HKE1" s="996"/>
      <c r="HKF1" s="996"/>
      <c r="HKG1" s="996"/>
      <c r="HKH1" s="996"/>
      <c r="HKI1" s="996"/>
      <c r="HKJ1" s="996"/>
      <c r="HKK1" s="996"/>
      <c r="HKL1" s="1003"/>
      <c r="HKM1" s="996"/>
      <c r="HKN1" s="1003"/>
      <c r="HKO1" s="996"/>
      <c r="HKP1" s="996"/>
      <c r="HKQ1" s="996"/>
      <c r="HKR1" s="996"/>
      <c r="HKS1" s="996"/>
      <c r="HKT1" s="996"/>
      <c r="HKU1" s="996"/>
      <c r="HKV1" s="996"/>
      <c r="HKW1" s="996"/>
      <c r="HKX1" s="996"/>
      <c r="HKY1" s="996"/>
      <c r="HKZ1" s="996"/>
      <c r="HLA1" s="1003"/>
      <c r="HLB1" s="1003"/>
      <c r="HLC1" s="1003"/>
      <c r="HLD1" s="1003"/>
      <c r="HLE1" s="1003"/>
      <c r="HLF1" s="996"/>
      <c r="HLG1" s="996"/>
      <c r="HLH1" s="996"/>
      <c r="HLI1" s="996"/>
      <c r="HLJ1" s="996"/>
      <c r="HLK1" s="996"/>
      <c r="HLL1" s="1003"/>
      <c r="HLM1" s="996"/>
      <c r="HLN1" s="996"/>
      <c r="HLO1" s="996"/>
      <c r="HLP1" s="996"/>
      <c r="HLQ1" s="996"/>
      <c r="HLR1" s="996"/>
      <c r="HLS1" s="996"/>
      <c r="HLT1" s="996"/>
      <c r="HLU1" s="996"/>
      <c r="HLV1" s="996"/>
      <c r="HLW1" s="996"/>
      <c r="HLX1" s="996"/>
      <c r="HLY1" s="996"/>
      <c r="HLZ1" s="996"/>
      <c r="HMA1" s="996"/>
      <c r="HMB1" s="996"/>
      <c r="HMC1" s="996"/>
      <c r="HMD1" s="996"/>
      <c r="HME1" s="998"/>
      <c r="HMF1" s="998"/>
      <c r="HMG1" s="998"/>
      <c r="HMH1" s="998"/>
      <c r="HMI1" s="998"/>
      <c r="HMJ1" s="998"/>
      <c r="HMK1" s="998"/>
      <c r="HML1" s="998"/>
      <c r="HMM1" s="998"/>
      <c r="HMN1" s="998"/>
      <c r="HMO1" s="998"/>
      <c r="HMP1" s="996"/>
      <c r="HMQ1" s="996"/>
      <c r="HMR1" s="996"/>
      <c r="HMS1" s="996"/>
      <c r="HMT1" s="996"/>
      <c r="HMU1" s="996"/>
      <c r="HMV1" s="996"/>
      <c r="HMW1" s="998"/>
      <c r="HMX1" s="998"/>
      <c r="HMY1" s="998"/>
      <c r="HMZ1" s="998"/>
      <c r="HNA1" s="998"/>
      <c r="HNB1" s="998"/>
      <c r="HNC1" s="998"/>
      <c r="HND1" s="996"/>
      <c r="HNE1" s="996"/>
      <c r="HNF1" s="996"/>
      <c r="HNG1" s="996"/>
      <c r="HNH1" s="996"/>
      <c r="HNI1" s="996"/>
      <c r="HNJ1" s="996"/>
      <c r="HNK1" s="996"/>
      <c r="HNL1" s="996"/>
      <c r="HNM1" s="996"/>
      <c r="HNN1" s="996"/>
      <c r="HNO1" s="996"/>
      <c r="HNP1" s="996"/>
      <c r="HNQ1" s="996"/>
      <c r="HNR1" s="996"/>
      <c r="HNS1" s="996"/>
      <c r="HNT1" s="996"/>
      <c r="HNU1" s="996"/>
      <c r="HNV1" s="996"/>
      <c r="HNW1" s="996"/>
      <c r="HNX1" s="996"/>
      <c r="HNY1" s="996"/>
      <c r="HNZ1" s="996"/>
      <c r="HOA1" s="996"/>
      <c r="HOB1" s="996"/>
      <c r="HOC1" s="996"/>
      <c r="HOD1" s="996"/>
      <c r="HOE1" s="1003"/>
      <c r="HOF1" s="996"/>
      <c r="HOG1" s="996"/>
      <c r="HOH1" s="996"/>
      <c r="HOI1" s="996"/>
      <c r="HOJ1" s="996"/>
      <c r="HOK1" s="996"/>
      <c r="HOL1" s="996"/>
      <c r="HOM1" s="996"/>
      <c r="HON1" s="996"/>
      <c r="HOO1" s="996"/>
      <c r="HOP1" s="996"/>
      <c r="HOQ1" s="996"/>
      <c r="HOR1" s="996"/>
      <c r="HOS1" s="996"/>
      <c r="HOT1" s="996"/>
      <c r="HOU1" s="996"/>
      <c r="HOV1" s="998"/>
      <c r="HOW1" s="998"/>
      <c r="HOX1" s="998"/>
      <c r="HOY1" s="998"/>
      <c r="HOZ1" s="998"/>
      <c r="HPA1" s="998"/>
      <c r="HPB1" s="998"/>
      <c r="HPC1" s="998"/>
      <c r="HPD1" s="998"/>
      <c r="HPE1" s="996"/>
      <c r="HPF1" s="996"/>
      <c r="HPG1" s="996"/>
      <c r="HPH1" s="996"/>
      <c r="HPI1" s="996"/>
      <c r="HPJ1" s="996"/>
      <c r="HPK1" s="996"/>
      <c r="HPL1" s="996"/>
      <c r="HPM1" s="996"/>
      <c r="HPN1" s="998"/>
      <c r="HPO1" s="998"/>
      <c r="HPP1" s="998"/>
      <c r="HPQ1" s="998"/>
      <c r="HPR1" s="998"/>
      <c r="HPS1" s="998"/>
      <c r="HPT1" s="998"/>
      <c r="HPU1" s="998"/>
      <c r="HPV1" s="998"/>
      <c r="HPW1" s="999"/>
      <c r="HPX1" s="1000"/>
      <c r="HPY1" s="1001"/>
      <c r="HPZ1" s="1000"/>
      <c r="HQA1" s="1001"/>
      <c r="HQB1" s="1000"/>
      <c r="HQC1" s="1000"/>
      <c r="HQD1" s="1000"/>
      <c r="HQE1" s="1000"/>
      <c r="HQF1" s="1000"/>
      <c r="HQG1" s="1000"/>
      <c r="HQH1" s="1000"/>
      <c r="HQI1" s="1000"/>
      <c r="HQJ1" s="1000"/>
      <c r="HQK1" s="1000"/>
      <c r="HQL1" s="1000"/>
      <c r="HQM1" s="1000"/>
      <c r="HQN1" s="998"/>
      <c r="HQO1" s="998"/>
      <c r="HQP1" s="998"/>
      <c r="HQQ1" s="998"/>
      <c r="HQR1" s="998"/>
      <c r="HQS1" s="998"/>
      <c r="HQT1" s="998"/>
      <c r="HQU1" s="996"/>
      <c r="HQV1" s="996"/>
      <c r="HQW1" s="996"/>
      <c r="HQX1" s="996"/>
      <c r="HQY1" s="996"/>
      <c r="HQZ1" s="996"/>
      <c r="HRA1" s="996"/>
      <c r="HRB1" s="996"/>
      <c r="HRC1" s="996"/>
      <c r="HRD1" s="996"/>
      <c r="HRE1" s="996"/>
      <c r="HRF1" s="996"/>
      <c r="HRG1" s="996"/>
      <c r="HRH1" s="996"/>
      <c r="HRI1" s="996"/>
      <c r="HRJ1" s="996"/>
      <c r="HRK1" s="996"/>
      <c r="HRL1" s="996"/>
      <c r="HRM1" s="996"/>
      <c r="HRN1" s="996"/>
      <c r="HRO1" s="996"/>
      <c r="HRP1" s="996"/>
      <c r="HRQ1" s="996"/>
      <c r="HRR1" s="996"/>
      <c r="HRS1" s="996"/>
      <c r="HRT1" s="996"/>
      <c r="HRU1" s="996"/>
      <c r="HRV1" s="996"/>
      <c r="HRW1" s="996"/>
      <c r="HRX1" s="996"/>
      <c r="HRY1" s="996"/>
      <c r="HRZ1" s="996"/>
      <c r="HSA1" s="996"/>
      <c r="HSB1" s="996"/>
      <c r="HSC1" s="996"/>
      <c r="HSD1" s="996"/>
      <c r="HSE1" s="996"/>
      <c r="HSF1" s="996"/>
      <c r="HSG1" s="996"/>
      <c r="HSH1" s="995"/>
      <c r="HSI1" s="995"/>
      <c r="HSJ1" s="996"/>
      <c r="HSK1" s="997"/>
      <c r="HSL1" s="1002"/>
      <c r="HSM1" s="996"/>
      <c r="HSN1" s="996"/>
      <c r="HSO1" s="996"/>
      <c r="HSP1" s="996"/>
      <c r="HSQ1" s="996"/>
      <c r="HSR1" s="996"/>
      <c r="HSS1" s="996"/>
      <c r="HST1" s="996"/>
      <c r="HSU1" s="996"/>
      <c r="HSV1" s="996"/>
      <c r="HSW1" s="996"/>
      <c r="HSX1" s="996"/>
      <c r="HSY1" s="996"/>
      <c r="HSZ1" s="996"/>
      <c r="HTA1" s="996"/>
      <c r="HTB1" s="996"/>
      <c r="HTC1" s="996"/>
      <c r="HTD1" s="996"/>
      <c r="HTE1" s="996"/>
      <c r="HTF1" s="996"/>
      <c r="HTG1" s="996"/>
      <c r="HTH1" s="1003"/>
      <c r="HTI1" s="996"/>
      <c r="HTJ1" s="1003"/>
      <c r="HTK1" s="996"/>
      <c r="HTL1" s="996"/>
      <c r="HTM1" s="996"/>
      <c r="HTN1" s="996"/>
      <c r="HTO1" s="996"/>
      <c r="HTP1" s="996"/>
      <c r="HTQ1" s="996"/>
      <c r="HTR1" s="996"/>
      <c r="HTS1" s="996"/>
      <c r="HTT1" s="996"/>
      <c r="HTU1" s="996"/>
      <c r="HTV1" s="996"/>
      <c r="HTW1" s="1003"/>
      <c r="HTX1" s="1003"/>
      <c r="HTY1" s="1003"/>
      <c r="HTZ1" s="1003"/>
      <c r="HUA1" s="1003"/>
      <c r="HUB1" s="996"/>
      <c r="HUC1" s="996"/>
      <c r="HUD1" s="996"/>
      <c r="HUE1" s="996"/>
      <c r="HUF1" s="996"/>
      <c r="HUG1" s="996"/>
      <c r="HUH1" s="1003"/>
      <c r="HUI1" s="996"/>
      <c r="HUJ1" s="996"/>
      <c r="HUK1" s="996"/>
      <c r="HUL1" s="996"/>
      <c r="HUM1" s="996"/>
      <c r="HUN1" s="996"/>
      <c r="HUO1" s="996"/>
      <c r="HUP1" s="996"/>
      <c r="HUQ1" s="996"/>
      <c r="HUR1" s="996"/>
      <c r="HUS1" s="996"/>
      <c r="HUT1" s="996"/>
      <c r="HUU1" s="996"/>
      <c r="HUV1" s="996"/>
      <c r="HUW1" s="996"/>
      <c r="HUX1" s="996"/>
      <c r="HUY1" s="996"/>
      <c r="HUZ1" s="996"/>
      <c r="HVA1" s="998"/>
      <c r="HVB1" s="998"/>
      <c r="HVC1" s="998"/>
      <c r="HVD1" s="998"/>
      <c r="HVE1" s="998"/>
      <c r="HVF1" s="998"/>
      <c r="HVG1" s="998"/>
      <c r="HVH1" s="998"/>
      <c r="HVI1" s="998"/>
      <c r="HVJ1" s="998"/>
      <c r="HVK1" s="998"/>
      <c r="HVL1" s="996"/>
      <c r="HVM1" s="996"/>
      <c r="HVN1" s="996"/>
      <c r="HVO1" s="996"/>
      <c r="HVP1" s="996"/>
      <c r="HVQ1" s="996"/>
      <c r="HVR1" s="996"/>
      <c r="HVS1" s="998"/>
      <c r="HVT1" s="998"/>
      <c r="HVU1" s="998"/>
      <c r="HVV1" s="998"/>
      <c r="HVW1" s="998"/>
      <c r="HVX1" s="998"/>
      <c r="HVY1" s="998"/>
      <c r="HVZ1" s="996"/>
      <c r="HWA1" s="996"/>
      <c r="HWB1" s="996"/>
      <c r="HWC1" s="996"/>
      <c r="HWD1" s="996"/>
      <c r="HWE1" s="996"/>
      <c r="HWF1" s="996"/>
      <c r="HWG1" s="996"/>
      <c r="HWH1" s="996"/>
      <c r="HWI1" s="996"/>
      <c r="HWJ1" s="996"/>
      <c r="HWK1" s="996"/>
      <c r="HWL1" s="996"/>
      <c r="HWM1" s="996"/>
      <c r="HWN1" s="996"/>
      <c r="HWO1" s="996"/>
      <c r="HWP1" s="996"/>
      <c r="HWQ1" s="996"/>
      <c r="HWR1" s="996"/>
      <c r="HWS1" s="996"/>
      <c r="HWT1" s="996"/>
      <c r="HWU1" s="996"/>
      <c r="HWV1" s="996"/>
      <c r="HWW1" s="996"/>
      <c r="HWX1" s="996"/>
      <c r="HWY1" s="996"/>
      <c r="HWZ1" s="996"/>
      <c r="HXA1" s="1003"/>
      <c r="HXB1" s="996"/>
      <c r="HXC1" s="996"/>
      <c r="HXD1" s="996"/>
      <c r="HXE1" s="996"/>
      <c r="HXF1" s="996"/>
      <c r="HXG1" s="996"/>
      <c r="HXH1" s="996"/>
      <c r="HXI1" s="996"/>
      <c r="HXJ1" s="996"/>
      <c r="HXK1" s="996"/>
      <c r="HXL1" s="996"/>
      <c r="HXM1" s="996"/>
      <c r="HXN1" s="996"/>
      <c r="HXO1" s="996"/>
      <c r="HXP1" s="996"/>
      <c r="HXQ1" s="996"/>
      <c r="HXR1" s="998"/>
      <c r="HXS1" s="998"/>
      <c r="HXT1" s="998"/>
      <c r="HXU1" s="998"/>
      <c r="HXV1" s="998"/>
      <c r="HXW1" s="998"/>
      <c r="HXX1" s="998"/>
      <c r="HXY1" s="998"/>
      <c r="HXZ1" s="998"/>
      <c r="HYA1" s="996"/>
      <c r="HYB1" s="996"/>
      <c r="HYC1" s="996"/>
      <c r="HYD1" s="996"/>
      <c r="HYE1" s="996"/>
      <c r="HYF1" s="996"/>
      <c r="HYG1" s="996"/>
      <c r="HYH1" s="996"/>
      <c r="HYI1" s="996"/>
      <c r="HYJ1" s="998"/>
      <c r="HYK1" s="998"/>
      <c r="HYL1" s="998"/>
      <c r="HYM1" s="998"/>
      <c r="HYN1" s="998"/>
      <c r="HYO1" s="998"/>
      <c r="HYP1" s="998"/>
      <c r="HYQ1" s="998"/>
      <c r="HYR1" s="998"/>
      <c r="HYS1" s="999"/>
      <c r="HYT1" s="1000"/>
      <c r="HYU1" s="1001"/>
      <c r="HYV1" s="1000"/>
      <c r="HYW1" s="1001"/>
      <c r="HYX1" s="1000"/>
      <c r="HYY1" s="1000"/>
      <c r="HYZ1" s="1000"/>
      <c r="HZA1" s="1000"/>
      <c r="HZB1" s="1000"/>
      <c r="HZC1" s="1000"/>
      <c r="HZD1" s="1000"/>
      <c r="HZE1" s="1000"/>
      <c r="HZF1" s="1000"/>
      <c r="HZG1" s="1000"/>
      <c r="HZH1" s="1000"/>
      <c r="HZI1" s="1000"/>
      <c r="HZJ1" s="998"/>
      <c r="HZK1" s="998"/>
      <c r="HZL1" s="998"/>
      <c r="HZM1" s="998"/>
      <c r="HZN1" s="998"/>
      <c r="HZO1" s="998"/>
      <c r="HZP1" s="998"/>
      <c r="HZQ1" s="996"/>
      <c r="HZR1" s="996"/>
      <c r="HZS1" s="996"/>
      <c r="HZT1" s="996"/>
      <c r="HZU1" s="996"/>
      <c r="HZV1" s="996"/>
      <c r="HZW1" s="996"/>
      <c r="HZX1" s="996"/>
      <c r="HZY1" s="996"/>
      <c r="HZZ1" s="996"/>
      <c r="IAA1" s="996"/>
      <c r="IAB1" s="996"/>
      <c r="IAC1" s="996"/>
      <c r="IAD1" s="996"/>
      <c r="IAE1" s="996"/>
      <c r="IAF1" s="996"/>
      <c r="IAG1" s="996"/>
      <c r="IAH1" s="996"/>
      <c r="IAI1" s="996"/>
      <c r="IAJ1" s="996"/>
      <c r="IAK1" s="996"/>
      <c r="IAL1" s="996"/>
      <c r="IAM1" s="996"/>
      <c r="IAN1" s="996"/>
      <c r="IAO1" s="996"/>
      <c r="IAP1" s="996"/>
      <c r="IAQ1" s="996"/>
      <c r="IAR1" s="996"/>
      <c r="IAS1" s="996"/>
      <c r="IAT1" s="996"/>
      <c r="IAU1" s="996"/>
      <c r="IAV1" s="996"/>
      <c r="IAW1" s="996"/>
      <c r="IAX1" s="996"/>
      <c r="IAY1" s="996"/>
      <c r="IAZ1" s="996"/>
      <c r="IBA1" s="996"/>
      <c r="IBB1" s="996"/>
      <c r="IBC1" s="996"/>
      <c r="IBD1" s="995"/>
      <c r="IBE1" s="995"/>
      <c r="IBF1" s="996"/>
      <c r="IBG1" s="997"/>
      <c r="IBH1" s="1002"/>
      <c r="IBI1" s="996"/>
      <c r="IBJ1" s="996"/>
      <c r="IBK1" s="996"/>
      <c r="IBL1" s="996"/>
      <c r="IBM1" s="996"/>
      <c r="IBN1" s="996"/>
      <c r="IBO1" s="996"/>
      <c r="IBP1" s="996"/>
      <c r="IBQ1" s="996"/>
      <c r="IBR1" s="996"/>
      <c r="IBS1" s="996"/>
      <c r="IBT1" s="996"/>
      <c r="IBU1" s="996"/>
      <c r="IBV1" s="996"/>
      <c r="IBW1" s="996"/>
      <c r="IBX1" s="996"/>
      <c r="IBY1" s="996"/>
      <c r="IBZ1" s="996"/>
      <c r="ICA1" s="996"/>
      <c r="ICB1" s="996"/>
      <c r="ICC1" s="996"/>
      <c r="ICD1" s="1003"/>
      <c r="ICE1" s="996"/>
      <c r="ICF1" s="1003"/>
      <c r="ICG1" s="996"/>
      <c r="ICH1" s="996"/>
      <c r="ICI1" s="996"/>
      <c r="ICJ1" s="996"/>
      <c r="ICK1" s="996"/>
      <c r="ICL1" s="996"/>
      <c r="ICM1" s="996"/>
      <c r="ICN1" s="996"/>
      <c r="ICO1" s="996"/>
      <c r="ICP1" s="996"/>
      <c r="ICQ1" s="996"/>
      <c r="ICR1" s="996"/>
      <c r="ICS1" s="1003"/>
      <c r="ICT1" s="1003"/>
      <c r="ICU1" s="1003"/>
      <c r="ICV1" s="1003"/>
      <c r="ICW1" s="1003"/>
      <c r="ICX1" s="996"/>
      <c r="ICY1" s="996"/>
      <c r="ICZ1" s="996"/>
      <c r="IDA1" s="996"/>
      <c r="IDB1" s="996"/>
      <c r="IDC1" s="996"/>
      <c r="IDD1" s="1003"/>
      <c r="IDE1" s="996"/>
      <c r="IDF1" s="996"/>
      <c r="IDG1" s="996"/>
      <c r="IDH1" s="996"/>
      <c r="IDI1" s="996"/>
      <c r="IDJ1" s="996"/>
      <c r="IDK1" s="996"/>
      <c r="IDL1" s="996"/>
      <c r="IDM1" s="996"/>
      <c r="IDN1" s="996"/>
      <c r="IDO1" s="996"/>
      <c r="IDP1" s="996"/>
      <c r="IDQ1" s="996"/>
      <c r="IDR1" s="996"/>
      <c r="IDS1" s="996"/>
      <c r="IDT1" s="996"/>
      <c r="IDU1" s="996"/>
      <c r="IDV1" s="996"/>
      <c r="IDW1" s="998"/>
      <c r="IDX1" s="998"/>
      <c r="IDY1" s="998"/>
      <c r="IDZ1" s="998"/>
      <c r="IEA1" s="998"/>
      <c r="IEB1" s="998"/>
      <c r="IEC1" s="998"/>
      <c r="IED1" s="998"/>
      <c r="IEE1" s="998"/>
      <c r="IEF1" s="998"/>
      <c r="IEG1" s="998"/>
      <c r="IEH1" s="996"/>
      <c r="IEI1" s="996"/>
      <c r="IEJ1" s="996"/>
      <c r="IEK1" s="996"/>
      <c r="IEL1" s="996"/>
      <c r="IEM1" s="996"/>
      <c r="IEN1" s="996"/>
      <c r="IEO1" s="998"/>
      <c r="IEP1" s="998"/>
      <c r="IEQ1" s="998"/>
      <c r="IER1" s="998"/>
      <c r="IES1" s="998"/>
      <c r="IET1" s="998"/>
      <c r="IEU1" s="998"/>
      <c r="IEV1" s="996"/>
      <c r="IEW1" s="996"/>
      <c r="IEX1" s="996"/>
      <c r="IEY1" s="996"/>
      <c r="IEZ1" s="996"/>
      <c r="IFA1" s="996"/>
      <c r="IFB1" s="996"/>
      <c r="IFC1" s="996"/>
      <c r="IFD1" s="996"/>
      <c r="IFE1" s="996"/>
      <c r="IFF1" s="996"/>
      <c r="IFG1" s="996"/>
      <c r="IFH1" s="996"/>
      <c r="IFI1" s="996"/>
      <c r="IFJ1" s="996"/>
      <c r="IFK1" s="996"/>
      <c r="IFL1" s="996"/>
      <c r="IFM1" s="996"/>
      <c r="IFN1" s="996"/>
      <c r="IFO1" s="996"/>
      <c r="IFP1" s="996"/>
      <c r="IFQ1" s="996"/>
      <c r="IFR1" s="996"/>
      <c r="IFS1" s="996"/>
      <c r="IFT1" s="996"/>
      <c r="IFU1" s="996"/>
      <c r="IFV1" s="996"/>
      <c r="IFW1" s="1003"/>
      <c r="IFX1" s="996"/>
      <c r="IFY1" s="996"/>
      <c r="IFZ1" s="996"/>
      <c r="IGA1" s="996"/>
      <c r="IGB1" s="996"/>
      <c r="IGC1" s="996"/>
      <c r="IGD1" s="996"/>
      <c r="IGE1" s="996"/>
      <c r="IGF1" s="996"/>
      <c r="IGG1" s="996"/>
      <c r="IGH1" s="996"/>
      <c r="IGI1" s="996"/>
      <c r="IGJ1" s="996"/>
      <c r="IGK1" s="996"/>
      <c r="IGL1" s="996"/>
      <c r="IGM1" s="996"/>
      <c r="IGN1" s="998"/>
      <c r="IGO1" s="998"/>
      <c r="IGP1" s="998"/>
      <c r="IGQ1" s="998"/>
      <c r="IGR1" s="998"/>
      <c r="IGS1" s="998"/>
      <c r="IGT1" s="998"/>
      <c r="IGU1" s="998"/>
      <c r="IGV1" s="998"/>
      <c r="IGW1" s="996"/>
      <c r="IGX1" s="996"/>
      <c r="IGY1" s="996"/>
      <c r="IGZ1" s="996"/>
      <c r="IHA1" s="996"/>
      <c r="IHB1" s="996"/>
      <c r="IHC1" s="996"/>
      <c r="IHD1" s="996"/>
      <c r="IHE1" s="996"/>
      <c r="IHF1" s="998"/>
      <c r="IHG1" s="998"/>
      <c r="IHH1" s="998"/>
      <c r="IHI1" s="998"/>
      <c r="IHJ1" s="998"/>
      <c r="IHK1" s="998"/>
      <c r="IHL1" s="998"/>
      <c r="IHM1" s="998"/>
      <c r="IHN1" s="998"/>
      <c r="IHO1" s="999"/>
      <c r="IHP1" s="1000"/>
      <c r="IHQ1" s="1001"/>
      <c r="IHR1" s="1000"/>
      <c r="IHS1" s="1001"/>
      <c r="IHT1" s="1000"/>
      <c r="IHU1" s="1000"/>
      <c r="IHV1" s="1000"/>
      <c r="IHW1" s="1000"/>
      <c r="IHX1" s="1000"/>
      <c r="IHY1" s="1000"/>
      <c r="IHZ1" s="1000"/>
      <c r="IIA1" s="1000"/>
      <c r="IIB1" s="1000"/>
      <c r="IIC1" s="1000"/>
      <c r="IID1" s="1000"/>
      <c r="IIE1" s="1000"/>
      <c r="IIF1" s="998"/>
      <c r="IIG1" s="998"/>
      <c r="IIH1" s="998"/>
      <c r="III1" s="998"/>
      <c r="IIJ1" s="998"/>
      <c r="IIK1" s="998"/>
      <c r="IIL1" s="998"/>
      <c r="IIM1" s="996"/>
      <c r="IIN1" s="996"/>
      <c r="IIO1" s="996"/>
      <c r="IIP1" s="996"/>
      <c r="IIQ1" s="996"/>
      <c r="IIR1" s="996"/>
      <c r="IIS1" s="996"/>
      <c r="IIT1" s="996"/>
      <c r="IIU1" s="996"/>
      <c r="IIV1" s="996"/>
      <c r="IIW1" s="996"/>
      <c r="IIX1" s="996"/>
      <c r="IIY1" s="996"/>
      <c r="IIZ1" s="996"/>
      <c r="IJA1" s="996"/>
      <c r="IJB1" s="996"/>
      <c r="IJC1" s="996"/>
      <c r="IJD1" s="996"/>
      <c r="IJE1" s="996"/>
      <c r="IJF1" s="996"/>
      <c r="IJG1" s="996"/>
      <c r="IJH1" s="996"/>
      <c r="IJI1" s="996"/>
      <c r="IJJ1" s="996"/>
      <c r="IJK1" s="996"/>
      <c r="IJL1" s="996"/>
      <c r="IJM1" s="996"/>
      <c r="IJN1" s="996"/>
      <c r="IJO1" s="996"/>
      <c r="IJP1" s="996"/>
      <c r="IJQ1" s="996"/>
      <c r="IJR1" s="996"/>
      <c r="IJS1" s="996"/>
      <c r="IJT1" s="996"/>
      <c r="IJU1" s="996"/>
      <c r="IJV1" s="996"/>
      <c r="IJW1" s="996"/>
      <c r="IJX1" s="996"/>
      <c r="IJY1" s="996"/>
      <c r="IJZ1" s="995"/>
      <c r="IKA1" s="995"/>
      <c r="IKB1" s="996"/>
      <c r="IKC1" s="997"/>
      <c r="IKD1" s="1002"/>
      <c r="IKE1" s="996"/>
      <c r="IKF1" s="996"/>
      <c r="IKG1" s="996"/>
      <c r="IKH1" s="996"/>
      <c r="IKI1" s="996"/>
      <c r="IKJ1" s="996"/>
      <c r="IKK1" s="996"/>
      <c r="IKL1" s="996"/>
      <c r="IKM1" s="996"/>
      <c r="IKN1" s="996"/>
      <c r="IKO1" s="996"/>
      <c r="IKP1" s="996"/>
      <c r="IKQ1" s="996"/>
      <c r="IKR1" s="996"/>
      <c r="IKS1" s="996"/>
      <c r="IKT1" s="996"/>
      <c r="IKU1" s="996"/>
      <c r="IKV1" s="996"/>
      <c r="IKW1" s="996"/>
      <c r="IKX1" s="996"/>
      <c r="IKY1" s="996"/>
      <c r="IKZ1" s="1003"/>
      <c r="ILA1" s="996"/>
      <c r="ILB1" s="1003"/>
      <c r="ILC1" s="996"/>
      <c r="ILD1" s="996"/>
      <c r="ILE1" s="996"/>
      <c r="ILF1" s="996"/>
      <c r="ILG1" s="996"/>
      <c r="ILH1" s="996"/>
      <c r="ILI1" s="996"/>
      <c r="ILJ1" s="996"/>
      <c r="ILK1" s="996"/>
      <c r="ILL1" s="996"/>
      <c r="ILM1" s="996"/>
      <c r="ILN1" s="996"/>
      <c r="ILO1" s="1003"/>
      <c r="ILP1" s="1003"/>
      <c r="ILQ1" s="1003"/>
      <c r="ILR1" s="1003"/>
      <c r="ILS1" s="1003"/>
      <c r="ILT1" s="996"/>
      <c r="ILU1" s="996"/>
      <c r="ILV1" s="996"/>
      <c r="ILW1" s="996"/>
      <c r="ILX1" s="996"/>
      <c r="ILY1" s="996"/>
      <c r="ILZ1" s="1003"/>
      <c r="IMA1" s="996"/>
      <c r="IMB1" s="996"/>
      <c r="IMC1" s="996"/>
      <c r="IMD1" s="996"/>
      <c r="IME1" s="996"/>
      <c r="IMF1" s="996"/>
      <c r="IMG1" s="996"/>
      <c r="IMH1" s="996"/>
      <c r="IMI1" s="996"/>
      <c r="IMJ1" s="996"/>
      <c r="IMK1" s="996"/>
      <c r="IML1" s="996"/>
      <c r="IMM1" s="996"/>
      <c r="IMN1" s="996"/>
      <c r="IMO1" s="996"/>
      <c r="IMP1" s="996"/>
      <c r="IMQ1" s="996"/>
      <c r="IMR1" s="996"/>
      <c r="IMS1" s="998"/>
      <c r="IMT1" s="998"/>
      <c r="IMU1" s="998"/>
      <c r="IMV1" s="998"/>
      <c r="IMW1" s="998"/>
      <c r="IMX1" s="998"/>
      <c r="IMY1" s="998"/>
      <c r="IMZ1" s="998"/>
      <c r="INA1" s="998"/>
      <c r="INB1" s="998"/>
      <c r="INC1" s="998"/>
      <c r="IND1" s="996"/>
      <c r="INE1" s="996"/>
      <c r="INF1" s="996"/>
      <c r="ING1" s="996"/>
      <c r="INH1" s="996"/>
      <c r="INI1" s="996"/>
      <c r="INJ1" s="996"/>
      <c r="INK1" s="998"/>
      <c r="INL1" s="998"/>
      <c r="INM1" s="998"/>
      <c r="INN1" s="998"/>
      <c r="INO1" s="998"/>
      <c r="INP1" s="998"/>
      <c r="INQ1" s="998"/>
      <c r="INR1" s="996"/>
      <c r="INS1" s="996"/>
      <c r="INT1" s="996"/>
      <c r="INU1" s="996"/>
      <c r="INV1" s="996"/>
      <c r="INW1" s="996"/>
      <c r="INX1" s="996"/>
      <c r="INY1" s="996"/>
      <c r="INZ1" s="996"/>
      <c r="IOA1" s="996"/>
      <c r="IOB1" s="996"/>
      <c r="IOC1" s="996"/>
      <c r="IOD1" s="996"/>
      <c r="IOE1" s="996"/>
      <c r="IOF1" s="996"/>
      <c r="IOG1" s="996"/>
      <c r="IOH1" s="996"/>
      <c r="IOI1" s="996"/>
      <c r="IOJ1" s="996"/>
      <c r="IOK1" s="996"/>
      <c r="IOL1" s="996"/>
      <c r="IOM1" s="996"/>
      <c r="ION1" s="996"/>
      <c r="IOO1" s="996"/>
      <c r="IOP1" s="996"/>
      <c r="IOQ1" s="996"/>
      <c r="IOR1" s="996"/>
      <c r="IOS1" s="1003"/>
      <c r="IOT1" s="996"/>
      <c r="IOU1" s="996"/>
      <c r="IOV1" s="996"/>
      <c r="IOW1" s="996"/>
      <c r="IOX1" s="996"/>
      <c r="IOY1" s="996"/>
      <c r="IOZ1" s="996"/>
      <c r="IPA1" s="996"/>
      <c r="IPB1" s="996"/>
      <c r="IPC1" s="996"/>
      <c r="IPD1" s="996"/>
      <c r="IPE1" s="996"/>
      <c r="IPF1" s="996"/>
      <c r="IPG1" s="996"/>
      <c r="IPH1" s="996"/>
      <c r="IPI1" s="996"/>
      <c r="IPJ1" s="998"/>
      <c r="IPK1" s="998"/>
      <c r="IPL1" s="998"/>
      <c r="IPM1" s="998"/>
      <c r="IPN1" s="998"/>
      <c r="IPO1" s="998"/>
      <c r="IPP1" s="998"/>
      <c r="IPQ1" s="998"/>
      <c r="IPR1" s="998"/>
      <c r="IPS1" s="996"/>
      <c r="IPT1" s="996"/>
      <c r="IPU1" s="996"/>
      <c r="IPV1" s="996"/>
      <c r="IPW1" s="996"/>
      <c r="IPX1" s="996"/>
      <c r="IPY1" s="996"/>
      <c r="IPZ1" s="996"/>
      <c r="IQA1" s="996"/>
      <c r="IQB1" s="998"/>
      <c r="IQC1" s="998"/>
      <c r="IQD1" s="998"/>
      <c r="IQE1" s="998"/>
      <c r="IQF1" s="998"/>
      <c r="IQG1" s="998"/>
      <c r="IQH1" s="998"/>
      <c r="IQI1" s="998"/>
      <c r="IQJ1" s="998"/>
      <c r="IQK1" s="999"/>
      <c r="IQL1" s="1000"/>
      <c r="IQM1" s="1001"/>
      <c r="IQN1" s="1000"/>
      <c r="IQO1" s="1001"/>
      <c r="IQP1" s="1000"/>
      <c r="IQQ1" s="1000"/>
      <c r="IQR1" s="1000"/>
      <c r="IQS1" s="1000"/>
      <c r="IQT1" s="1000"/>
      <c r="IQU1" s="1000"/>
      <c r="IQV1" s="1000"/>
      <c r="IQW1" s="1000"/>
      <c r="IQX1" s="1000"/>
      <c r="IQY1" s="1000"/>
      <c r="IQZ1" s="1000"/>
      <c r="IRA1" s="1000"/>
      <c r="IRB1" s="998"/>
      <c r="IRC1" s="998"/>
      <c r="IRD1" s="998"/>
      <c r="IRE1" s="998"/>
      <c r="IRF1" s="998"/>
      <c r="IRG1" s="998"/>
      <c r="IRH1" s="998"/>
      <c r="IRI1" s="996"/>
      <c r="IRJ1" s="996"/>
      <c r="IRK1" s="996"/>
      <c r="IRL1" s="996"/>
      <c r="IRM1" s="996"/>
      <c r="IRN1" s="996"/>
      <c r="IRO1" s="996"/>
      <c r="IRP1" s="996"/>
      <c r="IRQ1" s="996"/>
      <c r="IRR1" s="996"/>
      <c r="IRS1" s="996"/>
      <c r="IRT1" s="996"/>
      <c r="IRU1" s="996"/>
      <c r="IRV1" s="996"/>
      <c r="IRW1" s="996"/>
      <c r="IRX1" s="996"/>
      <c r="IRY1" s="996"/>
      <c r="IRZ1" s="996"/>
      <c r="ISA1" s="996"/>
      <c r="ISB1" s="996"/>
      <c r="ISC1" s="996"/>
      <c r="ISD1" s="996"/>
      <c r="ISE1" s="996"/>
      <c r="ISF1" s="996"/>
      <c r="ISG1" s="996"/>
      <c r="ISH1" s="996"/>
      <c r="ISI1" s="996"/>
      <c r="ISJ1" s="996"/>
      <c r="ISK1" s="996"/>
      <c r="ISL1" s="996"/>
      <c r="ISM1" s="996"/>
      <c r="ISN1" s="996"/>
      <c r="ISO1" s="996"/>
      <c r="ISP1" s="996"/>
      <c r="ISQ1" s="996"/>
      <c r="ISR1" s="996"/>
      <c r="ISS1" s="996"/>
      <c r="IST1" s="996"/>
      <c r="ISU1" s="996"/>
      <c r="ISV1" s="995"/>
      <c r="ISW1" s="995"/>
      <c r="ISX1" s="996"/>
      <c r="ISY1" s="997"/>
      <c r="ISZ1" s="1002"/>
      <c r="ITA1" s="996"/>
      <c r="ITB1" s="996"/>
      <c r="ITC1" s="996"/>
      <c r="ITD1" s="996"/>
      <c r="ITE1" s="996"/>
      <c r="ITF1" s="996"/>
      <c r="ITG1" s="996"/>
      <c r="ITH1" s="996"/>
      <c r="ITI1" s="996"/>
      <c r="ITJ1" s="996"/>
      <c r="ITK1" s="996"/>
      <c r="ITL1" s="996"/>
      <c r="ITM1" s="996"/>
      <c r="ITN1" s="996"/>
      <c r="ITO1" s="996"/>
      <c r="ITP1" s="996"/>
      <c r="ITQ1" s="996"/>
      <c r="ITR1" s="996"/>
      <c r="ITS1" s="996"/>
      <c r="ITT1" s="996"/>
      <c r="ITU1" s="996"/>
      <c r="ITV1" s="1003"/>
      <c r="ITW1" s="996"/>
      <c r="ITX1" s="1003"/>
      <c r="ITY1" s="996"/>
      <c r="ITZ1" s="996"/>
      <c r="IUA1" s="996"/>
      <c r="IUB1" s="996"/>
      <c r="IUC1" s="996"/>
      <c r="IUD1" s="996"/>
      <c r="IUE1" s="996"/>
      <c r="IUF1" s="996"/>
      <c r="IUG1" s="996"/>
      <c r="IUH1" s="996"/>
      <c r="IUI1" s="996"/>
      <c r="IUJ1" s="996"/>
      <c r="IUK1" s="1003"/>
      <c r="IUL1" s="1003"/>
      <c r="IUM1" s="1003"/>
      <c r="IUN1" s="1003"/>
      <c r="IUO1" s="1003"/>
      <c r="IUP1" s="996"/>
      <c r="IUQ1" s="996"/>
      <c r="IUR1" s="996"/>
      <c r="IUS1" s="996"/>
      <c r="IUT1" s="996"/>
      <c r="IUU1" s="996"/>
      <c r="IUV1" s="1003"/>
      <c r="IUW1" s="996"/>
      <c r="IUX1" s="996"/>
      <c r="IUY1" s="996"/>
      <c r="IUZ1" s="996"/>
      <c r="IVA1" s="996"/>
      <c r="IVB1" s="996"/>
      <c r="IVC1" s="996"/>
      <c r="IVD1" s="996"/>
      <c r="IVE1" s="996"/>
      <c r="IVF1" s="996"/>
      <c r="IVG1" s="996"/>
      <c r="IVH1" s="996"/>
      <c r="IVI1" s="996"/>
      <c r="IVJ1" s="996"/>
      <c r="IVK1" s="996"/>
      <c r="IVL1" s="996"/>
      <c r="IVM1" s="996"/>
      <c r="IVN1" s="996"/>
      <c r="IVO1" s="998"/>
      <c r="IVP1" s="998"/>
      <c r="IVQ1" s="998"/>
      <c r="IVR1" s="998"/>
      <c r="IVS1" s="998"/>
      <c r="IVT1" s="998"/>
      <c r="IVU1" s="998"/>
      <c r="IVV1" s="998"/>
      <c r="IVW1" s="998"/>
      <c r="IVX1" s="998"/>
      <c r="IVY1" s="998"/>
      <c r="IVZ1" s="996"/>
      <c r="IWA1" s="996"/>
      <c r="IWB1" s="996"/>
      <c r="IWC1" s="996"/>
      <c r="IWD1" s="996"/>
      <c r="IWE1" s="996"/>
      <c r="IWF1" s="996"/>
      <c r="IWG1" s="998"/>
      <c r="IWH1" s="998"/>
      <c r="IWI1" s="998"/>
      <c r="IWJ1" s="998"/>
      <c r="IWK1" s="998"/>
      <c r="IWL1" s="998"/>
      <c r="IWM1" s="998"/>
      <c r="IWN1" s="996"/>
      <c r="IWO1" s="996"/>
      <c r="IWP1" s="996"/>
      <c r="IWQ1" s="996"/>
      <c r="IWR1" s="996"/>
      <c r="IWS1" s="996"/>
      <c r="IWT1" s="996"/>
      <c r="IWU1" s="996"/>
      <c r="IWV1" s="996"/>
      <c r="IWW1" s="996"/>
      <c r="IWX1" s="996"/>
      <c r="IWY1" s="996"/>
      <c r="IWZ1" s="996"/>
      <c r="IXA1" s="996"/>
      <c r="IXB1" s="996"/>
      <c r="IXC1" s="996"/>
      <c r="IXD1" s="996"/>
      <c r="IXE1" s="996"/>
      <c r="IXF1" s="996"/>
      <c r="IXG1" s="996"/>
      <c r="IXH1" s="996"/>
      <c r="IXI1" s="996"/>
      <c r="IXJ1" s="996"/>
      <c r="IXK1" s="996"/>
      <c r="IXL1" s="996"/>
      <c r="IXM1" s="996"/>
      <c r="IXN1" s="996"/>
      <c r="IXO1" s="1003"/>
      <c r="IXP1" s="996"/>
      <c r="IXQ1" s="996"/>
      <c r="IXR1" s="996"/>
      <c r="IXS1" s="996"/>
      <c r="IXT1" s="996"/>
      <c r="IXU1" s="996"/>
      <c r="IXV1" s="996"/>
      <c r="IXW1" s="996"/>
      <c r="IXX1" s="996"/>
      <c r="IXY1" s="996"/>
      <c r="IXZ1" s="996"/>
      <c r="IYA1" s="996"/>
      <c r="IYB1" s="996"/>
      <c r="IYC1" s="996"/>
      <c r="IYD1" s="996"/>
      <c r="IYE1" s="996"/>
      <c r="IYF1" s="998"/>
      <c r="IYG1" s="998"/>
      <c r="IYH1" s="998"/>
      <c r="IYI1" s="998"/>
      <c r="IYJ1" s="998"/>
      <c r="IYK1" s="998"/>
      <c r="IYL1" s="998"/>
      <c r="IYM1" s="998"/>
      <c r="IYN1" s="998"/>
      <c r="IYO1" s="996"/>
      <c r="IYP1" s="996"/>
      <c r="IYQ1" s="996"/>
      <c r="IYR1" s="996"/>
      <c r="IYS1" s="996"/>
      <c r="IYT1" s="996"/>
      <c r="IYU1" s="996"/>
      <c r="IYV1" s="996"/>
      <c r="IYW1" s="996"/>
      <c r="IYX1" s="998"/>
      <c r="IYY1" s="998"/>
      <c r="IYZ1" s="998"/>
      <c r="IZA1" s="998"/>
      <c r="IZB1" s="998"/>
      <c r="IZC1" s="998"/>
      <c r="IZD1" s="998"/>
      <c r="IZE1" s="998"/>
      <c r="IZF1" s="998"/>
      <c r="IZG1" s="999"/>
      <c r="IZH1" s="1000"/>
      <c r="IZI1" s="1001"/>
      <c r="IZJ1" s="1000"/>
      <c r="IZK1" s="1001"/>
      <c r="IZL1" s="1000"/>
      <c r="IZM1" s="1000"/>
      <c r="IZN1" s="1000"/>
      <c r="IZO1" s="1000"/>
      <c r="IZP1" s="1000"/>
      <c r="IZQ1" s="1000"/>
      <c r="IZR1" s="1000"/>
      <c r="IZS1" s="1000"/>
      <c r="IZT1" s="1000"/>
      <c r="IZU1" s="1000"/>
      <c r="IZV1" s="1000"/>
      <c r="IZW1" s="1000"/>
      <c r="IZX1" s="998"/>
      <c r="IZY1" s="998"/>
      <c r="IZZ1" s="998"/>
      <c r="JAA1" s="998"/>
      <c r="JAB1" s="998"/>
      <c r="JAC1" s="998"/>
      <c r="JAD1" s="998"/>
      <c r="JAE1" s="996"/>
      <c r="JAF1" s="996"/>
      <c r="JAG1" s="996"/>
      <c r="JAH1" s="996"/>
      <c r="JAI1" s="996"/>
      <c r="JAJ1" s="996"/>
      <c r="JAK1" s="996"/>
      <c r="JAL1" s="996"/>
      <c r="JAM1" s="996"/>
      <c r="JAN1" s="996"/>
      <c r="JAO1" s="996"/>
      <c r="JAP1" s="996"/>
      <c r="JAQ1" s="996"/>
      <c r="JAR1" s="996"/>
      <c r="JAS1" s="996"/>
      <c r="JAT1" s="996"/>
      <c r="JAU1" s="996"/>
      <c r="JAV1" s="996"/>
      <c r="JAW1" s="996"/>
      <c r="JAX1" s="996"/>
      <c r="JAY1" s="996"/>
      <c r="JAZ1" s="996"/>
      <c r="JBA1" s="996"/>
      <c r="JBB1" s="996"/>
      <c r="JBC1" s="996"/>
      <c r="JBD1" s="996"/>
      <c r="JBE1" s="996"/>
      <c r="JBF1" s="996"/>
      <c r="JBG1" s="996"/>
      <c r="JBH1" s="996"/>
      <c r="JBI1" s="996"/>
      <c r="JBJ1" s="996"/>
      <c r="JBK1" s="996"/>
      <c r="JBL1" s="996"/>
      <c r="JBM1" s="996"/>
      <c r="JBN1" s="996"/>
      <c r="JBO1" s="996"/>
      <c r="JBP1" s="996"/>
      <c r="JBQ1" s="996"/>
      <c r="JBR1" s="995"/>
      <c r="JBS1" s="995"/>
      <c r="JBT1" s="996"/>
      <c r="JBU1" s="997"/>
      <c r="JBV1" s="1002"/>
      <c r="JBW1" s="996"/>
      <c r="JBX1" s="996"/>
      <c r="JBY1" s="996"/>
      <c r="JBZ1" s="996"/>
      <c r="JCA1" s="996"/>
      <c r="JCB1" s="996"/>
      <c r="JCC1" s="996"/>
      <c r="JCD1" s="996"/>
      <c r="JCE1" s="996"/>
      <c r="JCF1" s="996"/>
      <c r="JCG1" s="996"/>
      <c r="JCH1" s="996"/>
      <c r="JCI1" s="996"/>
      <c r="JCJ1" s="996"/>
      <c r="JCK1" s="996"/>
      <c r="JCL1" s="996"/>
      <c r="JCM1" s="996"/>
      <c r="JCN1" s="996"/>
      <c r="JCO1" s="996"/>
      <c r="JCP1" s="996"/>
      <c r="JCQ1" s="996"/>
      <c r="JCR1" s="1003"/>
      <c r="JCS1" s="996"/>
      <c r="JCT1" s="1003"/>
      <c r="JCU1" s="996"/>
      <c r="JCV1" s="996"/>
      <c r="JCW1" s="996"/>
      <c r="JCX1" s="996"/>
      <c r="JCY1" s="996"/>
      <c r="JCZ1" s="996"/>
      <c r="JDA1" s="996"/>
      <c r="JDB1" s="996"/>
      <c r="JDC1" s="996"/>
      <c r="JDD1" s="996"/>
      <c r="JDE1" s="996"/>
      <c r="JDF1" s="996"/>
      <c r="JDG1" s="1003"/>
      <c r="JDH1" s="1003"/>
      <c r="JDI1" s="1003"/>
      <c r="JDJ1" s="1003"/>
      <c r="JDK1" s="1003"/>
      <c r="JDL1" s="996"/>
      <c r="JDM1" s="996"/>
      <c r="JDN1" s="996"/>
      <c r="JDO1" s="996"/>
      <c r="JDP1" s="996"/>
      <c r="JDQ1" s="996"/>
      <c r="JDR1" s="1003"/>
      <c r="JDS1" s="996"/>
      <c r="JDT1" s="996"/>
      <c r="JDU1" s="996"/>
      <c r="JDV1" s="996"/>
      <c r="JDW1" s="996"/>
      <c r="JDX1" s="996"/>
      <c r="JDY1" s="996"/>
      <c r="JDZ1" s="996"/>
      <c r="JEA1" s="996"/>
      <c r="JEB1" s="996"/>
      <c r="JEC1" s="996"/>
      <c r="JED1" s="996"/>
      <c r="JEE1" s="996"/>
      <c r="JEF1" s="996"/>
      <c r="JEG1" s="996"/>
      <c r="JEH1" s="996"/>
      <c r="JEI1" s="996"/>
      <c r="JEJ1" s="996"/>
      <c r="JEK1" s="998"/>
      <c r="JEL1" s="998"/>
      <c r="JEM1" s="998"/>
      <c r="JEN1" s="998"/>
      <c r="JEO1" s="998"/>
      <c r="JEP1" s="998"/>
      <c r="JEQ1" s="998"/>
      <c r="JER1" s="998"/>
      <c r="JES1" s="998"/>
      <c r="JET1" s="998"/>
      <c r="JEU1" s="998"/>
      <c r="JEV1" s="996"/>
      <c r="JEW1" s="996"/>
      <c r="JEX1" s="996"/>
      <c r="JEY1" s="996"/>
      <c r="JEZ1" s="996"/>
      <c r="JFA1" s="996"/>
      <c r="JFB1" s="996"/>
      <c r="JFC1" s="998"/>
      <c r="JFD1" s="998"/>
      <c r="JFE1" s="998"/>
      <c r="JFF1" s="998"/>
      <c r="JFG1" s="998"/>
      <c r="JFH1" s="998"/>
      <c r="JFI1" s="998"/>
      <c r="JFJ1" s="996"/>
      <c r="JFK1" s="996"/>
      <c r="JFL1" s="996"/>
      <c r="JFM1" s="996"/>
      <c r="JFN1" s="996"/>
      <c r="JFO1" s="996"/>
      <c r="JFP1" s="996"/>
      <c r="JFQ1" s="996"/>
      <c r="JFR1" s="996"/>
      <c r="JFS1" s="996"/>
      <c r="JFT1" s="996"/>
      <c r="JFU1" s="996"/>
      <c r="JFV1" s="996"/>
      <c r="JFW1" s="996"/>
      <c r="JFX1" s="996"/>
      <c r="JFY1" s="996"/>
      <c r="JFZ1" s="996"/>
      <c r="JGA1" s="996"/>
      <c r="JGB1" s="996"/>
      <c r="JGC1" s="996"/>
      <c r="JGD1" s="996"/>
      <c r="JGE1" s="996"/>
      <c r="JGF1" s="996"/>
      <c r="JGG1" s="996"/>
      <c r="JGH1" s="996"/>
      <c r="JGI1" s="996"/>
      <c r="JGJ1" s="996"/>
      <c r="JGK1" s="1003"/>
      <c r="JGL1" s="996"/>
      <c r="JGM1" s="996"/>
      <c r="JGN1" s="996"/>
      <c r="JGO1" s="996"/>
      <c r="JGP1" s="996"/>
      <c r="JGQ1" s="996"/>
      <c r="JGR1" s="996"/>
      <c r="JGS1" s="996"/>
      <c r="JGT1" s="996"/>
      <c r="JGU1" s="996"/>
      <c r="JGV1" s="996"/>
      <c r="JGW1" s="996"/>
      <c r="JGX1" s="996"/>
      <c r="JGY1" s="996"/>
      <c r="JGZ1" s="996"/>
      <c r="JHA1" s="996"/>
      <c r="JHB1" s="998"/>
      <c r="JHC1" s="998"/>
      <c r="JHD1" s="998"/>
      <c r="JHE1" s="998"/>
      <c r="JHF1" s="998"/>
      <c r="JHG1" s="998"/>
      <c r="JHH1" s="998"/>
      <c r="JHI1" s="998"/>
      <c r="JHJ1" s="998"/>
      <c r="JHK1" s="996"/>
      <c r="JHL1" s="996"/>
      <c r="JHM1" s="996"/>
      <c r="JHN1" s="996"/>
      <c r="JHO1" s="996"/>
      <c r="JHP1" s="996"/>
      <c r="JHQ1" s="996"/>
      <c r="JHR1" s="996"/>
      <c r="JHS1" s="996"/>
      <c r="JHT1" s="998"/>
      <c r="JHU1" s="998"/>
      <c r="JHV1" s="998"/>
      <c r="JHW1" s="998"/>
      <c r="JHX1" s="998"/>
      <c r="JHY1" s="998"/>
      <c r="JHZ1" s="998"/>
      <c r="JIA1" s="998"/>
      <c r="JIB1" s="998"/>
      <c r="JIC1" s="999"/>
      <c r="JID1" s="1000"/>
      <c r="JIE1" s="1001"/>
      <c r="JIF1" s="1000"/>
      <c r="JIG1" s="1001"/>
      <c r="JIH1" s="1000"/>
      <c r="JII1" s="1000"/>
      <c r="JIJ1" s="1000"/>
      <c r="JIK1" s="1000"/>
      <c r="JIL1" s="1000"/>
      <c r="JIM1" s="1000"/>
      <c r="JIN1" s="1000"/>
      <c r="JIO1" s="1000"/>
      <c r="JIP1" s="1000"/>
      <c r="JIQ1" s="1000"/>
      <c r="JIR1" s="1000"/>
      <c r="JIS1" s="1000"/>
      <c r="JIT1" s="998"/>
      <c r="JIU1" s="998"/>
      <c r="JIV1" s="998"/>
      <c r="JIW1" s="998"/>
      <c r="JIX1" s="998"/>
      <c r="JIY1" s="998"/>
      <c r="JIZ1" s="998"/>
      <c r="JJA1" s="996"/>
      <c r="JJB1" s="996"/>
      <c r="JJC1" s="996"/>
      <c r="JJD1" s="996"/>
      <c r="JJE1" s="996"/>
      <c r="JJF1" s="996"/>
      <c r="JJG1" s="996"/>
      <c r="JJH1" s="996"/>
      <c r="JJI1" s="996"/>
      <c r="JJJ1" s="996"/>
      <c r="JJK1" s="996"/>
      <c r="JJL1" s="996"/>
      <c r="JJM1" s="996"/>
      <c r="JJN1" s="996"/>
      <c r="JJO1" s="996"/>
      <c r="JJP1" s="996"/>
      <c r="JJQ1" s="996"/>
      <c r="JJR1" s="996"/>
      <c r="JJS1" s="996"/>
      <c r="JJT1" s="996"/>
      <c r="JJU1" s="996"/>
      <c r="JJV1" s="996"/>
      <c r="JJW1" s="996"/>
      <c r="JJX1" s="996"/>
      <c r="JJY1" s="996"/>
      <c r="JJZ1" s="996"/>
      <c r="JKA1" s="996"/>
      <c r="JKB1" s="996"/>
      <c r="JKC1" s="996"/>
      <c r="JKD1" s="996"/>
      <c r="JKE1" s="996"/>
      <c r="JKF1" s="996"/>
      <c r="JKG1" s="996"/>
      <c r="JKH1" s="996"/>
      <c r="JKI1" s="996"/>
      <c r="JKJ1" s="996"/>
      <c r="JKK1" s="996"/>
      <c r="JKL1" s="996"/>
      <c r="JKM1" s="996"/>
      <c r="JKN1" s="995"/>
      <c r="JKO1" s="995"/>
      <c r="JKP1" s="996"/>
      <c r="JKQ1" s="997"/>
      <c r="JKR1" s="1002"/>
      <c r="JKS1" s="996"/>
      <c r="JKT1" s="996"/>
      <c r="JKU1" s="996"/>
      <c r="JKV1" s="996"/>
      <c r="JKW1" s="996"/>
      <c r="JKX1" s="996"/>
      <c r="JKY1" s="996"/>
      <c r="JKZ1" s="996"/>
      <c r="JLA1" s="996"/>
      <c r="JLB1" s="996"/>
      <c r="JLC1" s="996"/>
      <c r="JLD1" s="996"/>
      <c r="JLE1" s="996"/>
      <c r="JLF1" s="996"/>
      <c r="JLG1" s="996"/>
      <c r="JLH1" s="996"/>
      <c r="JLI1" s="996"/>
      <c r="JLJ1" s="996"/>
      <c r="JLK1" s="996"/>
      <c r="JLL1" s="996"/>
      <c r="JLM1" s="996"/>
      <c r="JLN1" s="1003"/>
      <c r="JLO1" s="996"/>
      <c r="JLP1" s="1003"/>
      <c r="JLQ1" s="996"/>
      <c r="JLR1" s="996"/>
      <c r="JLS1" s="996"/>
      <c r="JLT1" s="996"/>
      <c r="JLU1" s="996"/>
      <c r="JLV1" s="996"/>
      <c r="JLW1" s="996"/>
      <c r="JLX1" s="996"/>
      <c r="JLY1" s="996"/>
      <c r="JLZ1" s="996"/>
      <c r="JMA1" s="996"/>
      <c r="JMB1" s="996"/>
      <c r="JMC1" s="1003"/>
      <c r="JMD1" s="1003"/>
      <c r="JME1" s="1003"/>
      <c r="JMF1" s="1003"/>
      <c r="JMG1" s="1003"/>
      <c r="JMH1" s="996"/>
      <c r="JMI1" s="996"/>
      <c r="JMJ1" s="996"/>
      <c r="JMK1" s="996"/>
      <c r="JML1" s="996"/>
      <c r="JMM1" s="996"/>
      <c r="JMN1" s="1003"/>
      <c r="JMO1" s="996"/>
      <c r="JMP1" s="996"/>
      <c r="JMQ1" s="996"/>
      <c r="JMR1" s="996"/>
      <c r="JMS1" s="996"/>
      <c r="JMT1" s="996"/>
      <c r="JMU1" s="996"/>
      <c r="JMV1" s="996"/>
      <c r="JMW1" s="996"/>
      <c r="JMX1" s="996"/>
      <c r="JMY1" s="996"/>
      <c r="JMZ1" s="996"/>
      <c r="JNA1" s="996"/>
      <c r="JNB1" s="996"/>
      <c r="JNC1" s="996"/>
      <c r="JND1" s="996"/>
      <c r="JNE1" s="996"/>
      <c r="JNF1" s="996"/>
      <c r="JNG1" s="998"/>
      <c r="JNH1" s="998"/>
      <c r="JNI1" s="998"/>
      <c r="JNJ1" s="998"/>
      <c r="JNK1" s="998"/>
      <c r="JNL1" s="998"/>
      <c r="JNM1" s="998"/>
      <c r="JNN1" s="998"/>
      <c r="JNO1" s="998"/>
      <c r="JNP1" s="998"/>
      <c r="JNQ1" s="998"/>
      <c r="JNR1" s="996"/>
      <c r="JNS1" s="996"/>
      <c r="JNT1" s="996"/>
      <c r="JNU1" s="996"/>
      <c r="JNV1" s="996"/>
      <c r="JNW1" s="996"/>
      <c r="JNX1" s="996"/>
      <c r="JNY1" s="998"/>
      <c r="JNZ1" s="998"/>
      <c r="JOA1" s="998"/>
      <c r="JOB1" s="998"/>
      <c r="JOC1" s="998"/>
      <c r="JOD1" s="998"/>
      <c r="JOE1" s="998"/>
      <c r="JOF1" s="996"/>
      <c r="JOG1" s="996"/>
      <c r="JOH1" s="996"/>
      <c r="JOI1" s="996"/>
      <c r="JOJ1" s="996"/>
      <c r="JOK1" s="996"/>
      <c r="JOL1" s="996"/>
      <c r="JOM1" s="996"/>
      <c r="JON1" s="996"/>
      <c r="JOO1" s="996"/>
      <c r="JOP1" s="996"/>
      <c r="JOQ1" s="996"/>
      <c r="JOR1" s="996"/>
      <c r="JOS1" s="996"/>
      <c r="JOT1" s="996"/>
      <c r="JOU1" s="996"/>
      <c r="JOV1" s="996"/>
      <c r="JOW1" s="996"/>
      <c r="JOX1" s="996"/>
      <c r="JOY1" s="996"/>
      <c r="JOZ1" s="996"/>
      <c r="JPA1" s="996"/>
      <c r="JPB1" s="996"/>
      <c r="JPC1" s="996"/>
      <c r="JPD1" s="996"/>
      <c r="JPE1" s="996"/>
      <c r="JPF1" s="996"/>
      <c r="JPG1" s="1003"/>
      <c r="JPH1" s="996"/>
      <c r="JPI1" s="996"/>
      <c r="JPJ1" s="996"/>
      <c r="JPK1" s="996"/>
      <c r="JPL1" s="996"/>
      <c r="JPM1" s="996"/>
      <c r="JPN1" s="996"/>
      <c r="JPO1" s="996"/>
      <c r="JPP1" s="996"/>
      <c r="JPQ1" s="996"/>
      <c r="JPR1" s="996"/>
      <c r="JPS1" s="996"/>
      <c r="JPT1" s="996"/>
      <c r="JPU1" s="996"/>
      <c r="JPV1" s="996"/>
      <c r="JPW1" s="996"/>
      <c r="JPX1" s="998"/>
      <c r="JPY1" s="998"/>
      <c r="JPZ1" s="998"/>
      <c r="JQA1" s="998"/>
      <c r="JQB1" s="998"/>
      <c r="JQC1" s="998"/>
      <c r="JQD1" s="998"/>
      <c r="JQE1" s="998"/>
      <c r="JQF1" s="998"/>
      <c r="JQG1" s="996"/>
      <c r="JQH1" s="996"/>
      <c r="JQI1" s="996"/>
      <c r="JQJ1" s="996"/>
      <c r="JQK1" s="996"/>
      <c r="JQL1" s="996"/>
      <c r="JQM1" s="996"/>
      <c r="JQN1" s="996"/>
      <c r="JQO1" s="996"/>
      <c r="JQP1" s="998"/>
      <c r="JQQ1" s="998"/>
      <c r="JQR1" s="998"/>
      <c r="JQS1" s="998"/>
      <c r="JQT1" s="998"/>
      <c r="JQU1" s="998"/>
      <c r="JQV1" s="998"/>
      <c r="JQW1" s="998"/>
      <c r="JQX1" s="998"/>
      <c r="JQY1" s="999"/>
      <c r="JQZ1" s="1000"/>
      <c r="JRA1" s="1001"/>
      <c r="JRB1" s="1000"/>
      <c r="JRC1" s="1001"/>
      <c r="JRD1" s="1000"/>
      <c r="JRE1" s="1000"/>
      <c r="JRF1" s="1000"/>
      <c r="JRG1" s="1000"/>
      <c r="JRH1" s="1000"/>
      <c r="JRI1" s="1000"/>
      <c r="JRJ1" s="1000"/>
      <c r="JRK1" s="1000"/>
      <c r="JRL1" s="1000"/>
      <c r="JRM1" s="1000"/>
      <c r="JRN1" s="1000"/>
      <c r="JRO1" s="1000"/>
      <c r="JRP1" s="998"/>
      <c r="JRQ1" s="998"/>
      <c r="JRR1" s="998"/>
      <c r="JRS1" s="998"/>
      <c r="JRT1" s="998"/>
      <c r="JRU1" s="998"/>
      <c r="JRV1" s="998"/>
      <c r="JRW1" s="996"/>
      <c r="JRX1" s="996"/>
      <c r="JRY1" s="996"/>
      <c r="JRZ1" s="996"/>
      <c r="JSA1" s="996"/>
      <c r="JSB1" s="996"/>
      <c r="JSC1" s="996"/>
      <c r="JSD1" s="996"/>
      <c r="JSE1" s="996"/>
      <c r="JSF1" s="996"/>
      <c r="JSG1" s="996"/>
      <c r="JSH1" s="996"/>
      <c r="JSI1" s="996"/>
      <c r="JSJ1" s="996"/>
      <c r="JSK1" s="996"/>
      <c r="JSL1" s="996"/>
      <c r="JSM1" s="996"/>
      <c r="JSN1" s="996"/>
      <c r="JSO1" s="996"/>
      <c r="JSP1" s="996"/>
      <c r="JSQ1" s="996"/>
      <c r="JSR1" s="996"/>
      <c r="JSS1" s="996"/>
      <c r="JST1" s="996"/>
      <c r="JSU1" s="996"/>
      <c r="JSV1" s="996"/>
      <c r="JSW1" s="996"/>
      <c r="JSX1" s="996"/>
      <c r="JSY1" s="996"/>
      <c r="JSZ1" s="996"/>
      <c r="JTA1" s="996"/>
      <c r="JTB1" s="996"/>
      <c r="JTC1" s="996"/>
      <c r="JTD1" s="996"/>
      <c r="JTE1" s="996"/>
      <c r="JTF1" s="996"/>
      <c r="JTG1" s="996"/>
      <c r="JTH1" s="996"/>
      <c r="JTI1" s="996"/>
      <c r="JTJ1" s="995"/>
      <c r="JTK1" s="995"/>
      <c r="JTL1" s="996"/>
      <c r="JTM1" s="997"/>
      <c r="JTN1" s="1002"/>
      <c r="JTO1" s="996"/>
      <c r="JTP1" s="996"/>
      <c r="JTQ1" s="996"/>
      <c r="JTR1" s="996"/>
      <c r="JTS1" s="996"/>
      <c r="JTT1" s="996"/>
      <c r="JTU1" s="996"/>
      <c r="JTV1" s="996"/>
      <c r="JTW1" s="996"/>
      <c r="JTX1" s="996"/>
      <c r="JTY1" s="996"/>
      <c r="JTZ1" s="996"/>
      <c r="JUA1" s="996"/>
      <c r="JUB1" s="996"/>
      <c r="JUC1" s="996"/>
      <c r="JUD1" s="996"/>
      <c r="JUE1" s="996"/>
      <c r="JUF1" s="996"/>
      <c r="JUG1" s="996"/>
      <c r="JUH1" s="996"/>
      <c r="JUI1" s="996"/>
      <c r="JUJ1" s="1003"/>
      <c r="JUK1" s="996"/>
      <c r="JUL1" s="1003"/>
      <c r="JUM1" s="996"/>
      <c r="JUN1" s="996"/>
      <c r="JUO1" s="996"/>
      <c r="JUP1" s="996"/>
      <c r="JUQ1" s="996"/>
      <c r="JUR1" s="996"/>
      <c r="JUS1" s="996"/>
      <c r="JUT1" s="996"/>
      <c r="JUU1" s="996"/>
      <c r="JUV1" s="996"/>
      <c r="JUW1" s="996"/>
      <c r="JUX1" s="996"/>
      <c r="JUY1" s="1003"/>
      <c r="JUZ1" s="1003"/>
      <c r="JVA1" s="1003"/>
      <c r="JVB1" s="1003"/>
      <c r="JVC1" s="1003"/>
      <c r="JVD1" s="996"/>
      <c r="JVE1" s="996"/>
      <c r="JVF1" s="996"/>
      <c r="JVG1" s="996"/>
      <c r="JVH1" s="996"/>
      <c r="JVI1" s="996"/>
      <c r="JVJ1" s="1003"/>
      <c r="JVK1" s="996"/>
      <c r="JVL1" s="996"/>
      <c r="JVM1" s="996"/>
      <c r="JVN1" s="996"/>
      <c r="JVO1" s="996"/>
      <c r="JVP1" s="996"/>
      <c r="JVQ1" s="996"/>
      <c r="JVR1" s="996"/>
      <c r="JVS1" s="996"/>
      <c r="JVT1" s="996"/>
      <c r="JVU1" s="996"/>
      <c r="JVV1" s="996"/>
      <c r="JVW1" s="996"/>
      <c r="JVX1" s="996"/>
      <c r="JVY1" s="996"/>
      <c r="JVZ1" s="996"/>
      <c r="JWA1" s="996"/>
      <c r="JWB1" s="996"/>
      <c r="JWC1" s="998"/>
      <c r="JWD1" s="998"/>
      <c r="JWE1" s="998"/>
      <c r="JWF1" s="998"/>
      <c r="JWG1" s="998"/>
      <c r="JWH1" s="998"/>
      <c r="JWI1" s="998"/>
      <c r="JWJ1" s="998"/>
      <c r="JWK1" s="998"/>
      <c r="JWL1" s="998"/>
      <c r="JWM1" s="998"/>
      <c r="JWN1" s="996"/>
      <c r="JWO1" s="996"/>
      <c r="JWP1" s="996"/>
      <c r="JWQ1" s="996"/>
      <c r="JWR1" s="996"/>
      <c r="JWS1" s="996"/>
      <c r="JWT1" s="996"/>
      <c r="JWU1" s="998"/>
      <c r="JWV1" s="998"/>
      <c r="JWW1" s="998"/>
      <c r="JWX1" s="998"/>
      <c r="JWY1" s="998"/>
      <c r="JWZ1" s="998"/>
      <c r="JXA1" s="998"/>
      <c r="JXB1" s="996"/>
      <c r="JXC1" s="996"/>
      <c r="JXD1" s="996"/>
      <c r="JXE1" s="996"/>
      <c r="JXF1" s="996"/>
      <c r="JXG1" s="996"/>
      <c r="JXH1" s="996"/>
      <c r="JXI1" s="996"/>
      <c r="JXJ1" s="996"/>
      <c r="JXK1" s="996"/>
      <c r="JXL1" s="996"/>
      <c r="JXM1" s="996"/>
      <c r="JXN1" s="996"/>
      <c r="JXO1" s="996"/>
      <c r="JXP1" s="996"/>
      <c r="JXQ1" s="996"/>
      <c r="JXR1" s="996"/>
      <c r="JXS1" s="996"/>
      <c r="JXT1" s="996"/>
      <c r="JXU1" s="996"/>
      <c r="JXV1" s="996"/>
      <c r="JXW1" s="996"/>
      <c r="JXX1" s="996"/>
      <c r="JXY1" s="996"/>
      <c r="JXZ1" s="996"/>
      <c r="JYA1" s="996"/>
      <c r="JYB1" s="996"/>
      <c r="JYC1" s="1003"/>
      <c r="JYD1" s="996"/>
      <c r="JYE1" s="996"/>
      <c r="JYF1" s="996"/>
      <c r="JYG1" s="996"/>
      <c r="JYH1" s="996"/>
      <c r="JYI1" s="996"/>
      <c r="JYJ1" s="996"/>
      <c r="JYK1" s="996"/>
      <c r="JYL1" s="996"/>
      <c r="JYM1" s="996"/>
      <c r="JYN1" s="996"/>
      <c r="JYO1" s="996"/>
      <c r="JYP1" s="996"/>
      <c r="JYQ1" s="996"/>
      <c r="JYR1" s="996"/>
      <c r="JYS1" s="996"/>
      <c r="JYT1" s="998"/>
      <c r="JYU1" s="998"/>
      <c r="JYV1" s="998"/>
      <c r="JYW1" s="998"/>
      <c r="JYX1" s="998"/>
      <c r="JYY1" s="998"/>
      <c r="JYZ1" s="998"/>
      <c r="JZA1" s="998"/>
      <c r="JZB1" s="998"/>
      <c r="JZC1" s="996"/>
      <c r="JZD1" s="996"/>
      <c r="JZE1" s="996"/>
      <c r="JZF1" s="996"/>
      <c r="JZG1" s="996"/>
      <c r="JZH1" s="996"/>
      <c r="JZI1" s="996"/>
      <c r="JZJ1" s="996"/>
      <c r="JZK1" s="996"/>
      <c r="JZL1" s="998"/>
      <c r="JZM1" s="998"/>
      <c r="JZN1" s="998"/>
      <c r="JZO1" s="998"/>
      <c r="JZP1" s="998"/>
      <c r="JZQ1" s="998"/>
      <c r="JZR1" s="998"/>
      <c r="JZS1" s="998"/>
      <c r="JZT1" s="998"/>
      <c r="JZU1" s="999"/>
      <c r="JZV1" s="1000"/>
      <c r="JZW1" s="1001"/>
      <c r="JZX1" s="1000"/>
      <c r="JZY1" s="1001"/>
      <c r="JZZ1" s="1000"/>
      <c r="KAA1" s="1000"/>
      <c r="KAB1" s="1000"/>
      <c r="KAC1" s="1000"/>
      <c r="KAD1" s="1000"/>
      <c r="KAE1" s="1000"/>
      <c r="KAF1" s="1000"/>
      <c r="KAG1" s="1000"/>
      <c r="KAH1" s="1000"/>
      <c r="KAI1" s="1000"/>
      <c r="KAJ1" s="1000"/>
      <c r="KAK1" s="1000"/>
      <c r="KAL1" s="998"/>
      <c r="KAM1" s="998"/>
      <c r="KAN1" s="998"/>
      <c r="KAO1" s="998"/>
      <c r="KAP1" s="998"/>
      <c r="KAQ1" s="998"/>
      <c r="KAR1" s="998"/>
      <c r="KAS1" s="996"/>
      <c r="KAT1" s="996"/>
      <c r="KAU1" s="996"/>
      <c r="KAV1" s="996"/>
      <c r="KAW1" s="996"/>
      <c r="KAX1" s="996"/>
      <c r="KAY1" s="996"/>
      <c r="KAZ1" s="996"/>
      <c r="KBA1" s="996"/>
      <c r="KBB1" s="996"/>
      <c r="KBC1" s="996"/>
      <c r="KBD1" s="996"/>
      <c r="KBE1" s="996"/>
      <c r="KBF1" s="996"/>
      <c r="KBG1" s="996"/>
      <c r="KBH1" s="996"/>
      <c r="KBI1" s="996"/>
      <c r="KBJ1" s="996"/>
      <c r="KBK1" s="996"/>
      <c r="KBL1" s="996"/>
      <c r="KBM1" s="996"/>
      <c r="KBN1" s="996"/>
      <c r="KBO1" s="996"/>
      <c r="KBP1" s="996"/>
      <c r="KBQ1" s="996"/>
      <c r="KBR1" s="996"/>
      <c r="KBS1" s="996"/>
      <c r="KBT1" s="996"/>
      <c r="KBU1" s="996"/>
      <c r="KBV1" s="996"/>
      <c r="KBW1" s="996"/>
      <c r="KBX1" s="996"/>
      <c r="KBY1" s="996"/>
      <c r="KBZ1" s="996"/>
      <c r="KCA1" s="996"/>
      <c r="KCB1" s="996"/>
      <c r="KCC1" s="996"/>
      <c r="KCD1" s="996"/>
      <c r="KCE1" s="996"/>
      <c r="KCF1" s="995"/>
      <c r="KCG1" s="995"/>
      <c r="KCH1" s="996"/>
      <c r="KCI1" s="997"/>
      <c r="KCJ1" s="1002"/>
      <c r="KCK1" s="996"/>
      <c r="KCL1" s="996"/>
      <c r="KCM1" s="996"/>
      <c r="KCN1" s="996"/>
      <c r="KCO1" s="996"/>
      <c r="KCP1" s="996"/>
      <c r="KCQ1" s="996"/>
      <c r="KCR1" s="996"/>
      <c r="KCS1" s="996"/>
      <c r="KCT1" s="996"/>
      <c r="KCU1" s="996"/>
      <c r="KCV1" s="996"/>
      <c r="KCW1" s="996"/>
      <c r="KCX1" s="996"/>
      <c r="KCY1" s="996"/>
      <c r="KCZ1" s="996"/>
      <c r="KDA1" s="996"/>
      <c r="KDB1" s="996"/>
      <c r="KDC1" s="996"/>
      <c r="KDD1" s="996"/>
      <c r="KDE1" s="996"/>
      <c r="KDF1" s="1003"/>
      <c r="KDG1" s="996"/>
      <c r="KDH1" s="1003"/>
      <c r="KDI1" s="996"/>
      <c r="KDJ1" s="996"/>
      <c r="KDK1" s="996"/>
      <c r="KDL1" s="996"/>
      <c r="KDM1" s="996"/>
      <c r="KDN1" s="996"/>
      <c r="KDO1" s="996"/>
      <c r="KDP1" s="996"/>
      <c r="KDQ1" s="996"/>
      <c r="KDR1" s="996"/>
      <c r="KDS1" s="996"/>
      <c r="KDT1" s="996"/>
      <c r="KDU1" s="1003"/>
      <c r="KDV1" s="1003"/>
      <c r="KDW1" s="1003"/>
      <c r="KDX1" s="1003"/>
      <c r="KDY1" s="1003"/>
      <c r="KDZ1" s="996"/>
      <c r="KEA1" s="996"/>
      <c r="KEB1" s="996"/>
      <c r="KEC1" s="996"/>
      <c r="KED1" s="996"/>
      <c r="KEE1" s="996"/>
      <c r="KEF1" s="1003"/>
      <c r="KEG1" s="996"/>
      <c r="KEH1" s="996"/>
      <c r="KEI1" s="996"/>
      <c r="KEJ1" s="996"/>
      <c r="KEK1" s="996"/>
      <c r="KEL1" s="996"/>
      <c r="KEM1" s="996"/>
      <c r="KEN1" s="996"/>
      <c r="KEO1" s="996"/>
      <c r="KEP1" s="996"/>
      <c r="KEQ1" s="996"/>
      <c r="KER1" s="996"/>
      <c r="KES1" s="996"/>
      <c r="KET1" s="996"/>
      <c r="KEU1" s="996"/>
      <c r="KEV1" s="996"/>
      <c r="KEW1" s="996"/>
      <c r="KEX1" s="996"/>
      <c r="KEY1" s="998"/>
      <c r="KEZ1" s="998"/>
      <c r="KFA1" s="998"/>
      <c r="KFB1" s="998"/>
      <c r="KFC1" s="998"/>
      <c r="KFD1" s="998"/>
      <c r="KFE1" s="998"/>
      <c r="KFF1" s="998"/>
      <c r="KFG1" s="998"/>
      <c r="KFH1" s="998"/>
      <c r="KFI1" s="998"/>
      <c r="KFJ1" s="996"/>
      <c r="KFK1" s="996"/>
      <c r="KFL1" s="996"/>
      <c r="KFM1" s="996"/>
      <c r="KFN1" s="996"/>
      <c r="KFO1" s="996"/>
      <c r="KFP1" s="996"/>
      <c r="KFQ1" s="998"/>
      <c r="KFR1" s="998"/>
      <c r="KFS1" s="998"/>
      <c r="KFT1" s="998"/>
      <c r="KFU1" s="998"/>
      <c r="KFV1" s="998"/>
      <c r="KFW1" s="998"/>
      <c r="KFX1" s="996"/>
      <c r="KFY1" s="996"/>
      <c r="KFZ1" s="996"/>
      <c r="KGA1" s="996"/>
      <c r="KGB1" s="996"/>
      <c r="KGC1" s="996"/>
      <c r="KGD1" s="996"/>
      <c r="KGE1" s="996"/>
      <c r="KGF1" s="996"/>
      <c r="KGG1" s="996"/>
      <c r="KGH1" s="996"/>
      <c r="KGI1" s="996"/>
      <c r="KGJ1" s="996"/>
      <c r="KGK1" s="996"/>
      <c r="KGL1" s="996"/>
      <c r="KGM1" s="996"/>
      <c r="KGN1" s="996"/>
      <c r="KGO1" s="996"/>
      <c r="KGP1" s="996"/>
      <c r="KGQ1" s="996"/>
      <c r="KGR1" s="996"/>
      <c r="KGS1" s="996"/>
      <c r="KGT1" s="996"/>
      <c r="KGU1" s="996"/>
      <c r="KGV1" s="996"/>
      <c r="KGW1" s="996"/>
      <c r="KGX1" s="996"/>
      <c r="KGY1" s="1003"/>
      <c r="KGZ1" s="996"/>
      <c r="KHA1" s="996"/>
      <c r="KHB1" s="996"/>
      <c r="KHC1" s="996"/>
      <c r="KHD1" s="996"/>
      <c r="KHE1" s="996"/>
      <c r="KHF1" s="996"/>
      <c r="KHG1" s="996"/>
      <c r="KHH1" s="996"/>
      <c r="KHI1" s="996"/>
      <c r="KHJ1" s="996"/>
      <c r="KHK1" s="996"/>
      <c r="KHL1" s="996"/>
      <c r="KHM1" s="996"/>
      <c r="KHN1" s="996"/>
      <c r="KHO1" s="996"/>
      <c r="KHP1" s="998"/>
      <c r="KHQ1" s="998"/>
      <c r="KHR1" s="998"/>
      <c r="KHS1" s="998"/>
      <c r="KHT1" s="998"/>
      <c r="KHU1" s="998"/>
      <c r="KHV1" s="998"/>
      <c r="KHW1" s="998"/>
      <c r="KHX1" s="998"/>
      <c r="KHY1" s="996"/>
      <c r="KHZ1" s="996"/>
      <c r="KIA1" s="996"/>
      <c r="KIB1" s="996"/>
      <c r="KIC1" s="996"/>
      <c r="KID1" s="996"/>
      <c r="KIE1" s="996"/>
      <c r="KIF1" s="996"/>
      <c r="KIG1" s="996"/>
      <c r="KIH1" s="998"/>
      <c r="KII1" s="998"/>
      <c r="KIJ1" s="998"/>
      <c r="KIK1" s="998"/>
      <c r="KIL1" s="998"/>
      <c r="KIM1" s="998"/>
      <c r="KIN1" s="998"/>
      <c r="KIO1" s="998"/>
      <c r="KIP1" s="998"/>
      <c r="KIQ1" s="999"/>
      <c r="KIR1" s="1000"/>
      <c r="KIS1" s="1001"/>
      <c r="KIT1" s="1000"/>
      <c r="KIU1" s="1001"/>
      <c r="KIV1" s="1000"/>
      <c r="KIW1" s="1000"/>
      <c r="KIX1" s="1000"/>
      <c r="KIY1" s="1000"/>
      <c r="KIZ1" s="1000"/>
      <c r="KJA1" s="1000"/>
      <c r="KJB1" s="1000"/>
      <c r="KJC1" s="1000"/>
      <c r="KJD1" s="1000"/>
      <c r="KJE1" s="1000"/>
      <c r="KJF1" s="1000"/>
      <c r="KJG1" s="1000"/>
      <c r="KJH1" s="998"/>
      <c r="KJI1" s="998"/>
      <c r="KJJ1" s="998"/>
      <c r="KJK1" s="998"/>
      <c r="KJL1" s="998"/>
      <c r="KJM1" s="998"/>
      <c r="KJN1" s="998"/>
      <c r="KJO1" s="996"/>
      <c r="KJP1" s="996"/>
      <c r="KJQ1" s="996"/>
      <c r="KJR1" s="996"/>
      <c r="KJS1" s="996"/>
      <c r="KJT1" s="996"/>
      <c r="KJU1" s="996"/>
      <c r="KJV1" s="996"/>
      <c r="KJW1" s="996"/>
      <c r="KJX1" s="996"/>
      <c r="KJY1" s="996"/>
      <c r="KJZ1" s="996"/>
      <c r="KKA1" s="996"/>
      <c r="KKB1" s="996"/>
      <c r="KKC1" s="996"/>
      <c r="KKD1" s="996"/>
      <c r="KKE1" s="996"/>
      <c r="KKF1" s="996"/>
      <c r="KKG1" s="996"/>
      <c r="KKH1" s="996"/>
      <c r="KKI1" s="996"/>
      <c r="KKJ1" s="996"/>
      <c r="KKK1" s="996"/>
      <c r="KKL1" s="996"/>
      <c r="KKM1" s="996"/>
      <c r="KKN1" s="996"/>
      <c r="KKO1" s="996"/>
      <c r="KKP1" s="996"/>
      <c r="KKQ1" s="996"/>
      <c r="KKR1" s="996"/>
      <c r="KKS1" s="996"/>
      <c r="KKT1" s="996"/>
      <c r="KKU1" s="996"/>
      <c r="KKV1" s="996"/>
      <c r="KKW1" s="996"/>
      <c r="KKX1" s="996"/>
      <c r="KKY1" s="996"/>
      <c r="KKZ1" s="996"/>
      <c r="KLA1" s="996"/>
      <c r="KLB1" s="995"/>
      <c r="KLC1" s="995"/>
      <c r="KLD1" s="996"/>
      <c r="KLE1" s="997"/>
      <c r="KLF1" s="1002"/>
      <c r="KLG1" s="996"/>
      <c r="KLH1" s="996"/>
      <c r="KLI1" s="996"/>
      <c r="KLJ1" s="996"/>
      <c r="KLK1" s="996"/>
      <c r="KLL1" s="996"/>
      <c r="KLM1" s="996"/>
      <c r="KLN1" s="996"/>
      <c r="KLO1" s="996"/>
      <c r="KLP1" s="996"/>
      <c r="KLQ1" s="996"/>
      <c r="KLR1" s="996"/>
      <c r="KLS1" s="996"/>
      <c r="KLT1" s="996"/>
      <c r="KLU1" s="996"/>
      <c r="KLV1" s="996"/>
      <c r="KLW1" s="996"/>
      <c r="KLX1" s="996"/>
      <c r="KLY1" s="996"/>
      <c r="KLZ1" s="996"/>
      <c r="KMA1" s="996"/>
      <c r="KMB1" s="1003"/>
      <c r="KMC1" s="996"/>
      <c r="KMD1" s="1003"/>
      <c r="KME1" s="996"/>
      <c r="KMF1" s="996"/>
      <c r="KMG1" s="996"/>
      <c r="KMH1" s="996"/>
      <c r="KMI1" s="996"/>
      <c r="KMJ1" s="996"/>
      <c r="KMK1" s="996"/>
      <c r="KML1" s="996"/>
      <c r="KMM1" s="996"/>
      <c r="KMN1" s="996"/>
      <c r="KMO1" s="996"/>
      <c r="KMP1" s="996"/>
      <c r="KMQ1" s="1003"/>
      <c r="KMR1" s="1003"/>
      <c r="KMS1" s="1003"/>
      <c r="KMT1" s="1003"/>
      <c r="KMU1" s="1003"/>
      <c r="KMV1" s="996"/>
      <c r="KMW1" s="996"/>
      <c r="KMX1" s="996"/>
      <c r="KMY1" s="996"/>
      <c r="KMZ1" s="996"/>
      <c r="KNA1" s="996"/>
      <c r="KNB1" s="1003"/>
      <c r="KNC1" s="996"/>
      <c r="KND1" s="996"/>
      <c r="KNE1" s="996"/>
      <c r="KNF1" s="996"/>
      <c r="KNG1" s="996"/>
      <c r="KNH1" s="996"/>
      <c r="KNI1" s="996"/>
      <c r="KNJ1" s="996"/>
      <c r="KNK1" s="996"/>
      <c r="KNL1" s="996"/>
      <c r="KNM1" s="996"/>
      <c r="KNN1" s="996"/>
      <c r="KNO1" s="996"/>
      <c r="KNP1" s="996"/>
      <c r="KNQ1" s="996"/>
      <c r="KNR1" s="996"/>
      <c r="KNS1" s="996"/>
      <c r="KNT1" s="996"/>
      <c r="KNU1" s="998"/>
      <c r="KNV1" s="998"/>
      <c r="KNW1" s="998"/>
      <c r="KNX1" s="998"/>
      <c r="KNY1" s="998"/>
      <c r="KNZ1" s="998"/>
      <c r="KOA1" s="998"/>
      <c r="KOB1" s="998"/>
      <c r="KOC1" s="998"/>
      <c r="KOD1" s="998"/>
      <c r="KOE1" s="998"/>
      <c r="KOF1" s="996"/>
      <c r="KOG1" s="996"/>
      <c r="KOH1" s="996"/>
      <c r="KOI1" s="996"/>
      <c r="KOJ1" s="996"/>
      <c r="KOK1" s="996"/>
      <c r="KOL1" s="996"/>
      <c r="KOM1" s="998"/>
      <c r="KON1" s="998"/>
      <c r="KOO1" s="998"/>
      <c r="KOP1" s="998"/>
      <c r="KOQ1" s="998"/>
      <c r="KOR1" s="998"/>
      <c r="KOS1" s="998"/>
      <c r="KOT1" s="996"/>
      <c r="KOU1" s="996"/>
      <c r="KOV1" s="996"/>
      <c r="KOW1" s="996"/>
      <c r="KOX1" s="996"/>
      <c r="KOY1" s="996"/>
      <c r="KOZ1" s="996"/>
      <c r="KPA1" s="996"/>
      <c r="KPB1" s="996"/>
      <c r="KPC1" s="996"/>
      <c r="KPD1" s="996"/>
      <c r="KPE1" s="996"/>
      <c r="KPF1" s="996"/>
      <c r="KPG1" s="996"/>
      <c r="KPH1" s="996"/>
      <c r="KPI1" s="996"/>
      <c r="KPJ1" s="996"/>
      <c r="KPK1" s="996"/>
      <c r="KPL1" s="996"/>
      <c r="KPM1" s="996"/>
      <c r="KPN1" s="996"/>
      <c r="KPO1" s="996"/>
      <c r="KPP1" s="996"/>
      <c r="KPQ1" s="996"/>
      <c r="KPR1" s="996"/>
      <c r="KPS1" s="996"/>
      <c r="KPT1" s="996"/>
      <c r="KPU1" s="1003"/>
      <c r="KPV1" s="996"/>
      <c r="KPW1" s="996"/>
      <c r="KPX1" s="996"/>
      <c r="KPY1" s="996"/>
      <c r="KPZ1" s="996"/>
      <c r="KQA1" s="996"/>
      <c r="KQB1" s="996"/>
      <c r="KQC1" s="996"/>
      <c r="KQD1" s="996"/>
      <c r="KQE1" s="996"/>
      <c r="KQF1" s="996"/>
      <c r="KQG1" s="996"/>
      <c r="KQH1" s="996"/>
      <c r="KQI1" s="996"/>
      <c r="KQJ1" s="996"/>
      <c r="KQK1" s="996"/>
      <c r="KQL1" s="998"/>
      <c r="KQM1" s="998"/>
      <c r="KQN1" s="998"/>
      <c r="KQO1" s="998"/>
      <c r="KQP1" s="998"/>
      <c r="KQQ1" s="998"/>
      <c r="KQR1" s="998"/>
      <c r="KQS1" s="998"/>
      <c r="KQT1" s="998"/>
      <c r="KQU1" s="996"/>
      <c r="KQV1" s="996"/>
      <c r="KQW1" s="996"/>
      <c r="KQX1" s="996"/>
      <c r="KQY1" s="996"/>
      <c r="KQZ1" s="996"/>
      <c r="KRA1" s="996"/>
      <c r="KRB1" s="996"/>
      <c r="KRC1" s="996"/>
      <c r="KRD1" s="998"/>
      <c r="KRE1" s="998"/>
      <c r="KRF1" s="998"/>
      <c r="KRG1" s="998"/>
      <c r="KRH1" s="998"/>
      <c r="KRI1" s="998"/>
      <c r="KRJ1" s="998"/>
      <c r="KRK1" s="998"/>
      <c r="KRL1" s="998"/>
      <c r="KRM1" s="999"/>
      <c r="KRN1" s="1000"/>
      <c r="KRO1" s="1001"/>
      <c r="KRP1" s="1000"/>
      <c r="KRQ1" s="1001"/>
      <c r="KRR1" s="1000"/>
      <c r="KRS1" s="1000"/>
      <c r="KRT1" s="1000"/>
      <c r="KRU1" s="1000"/>
      <c r="KRV1" s="1000"/>
      <c r="KRW1" s="1000"/>
      <c r="KRX1" s="1000"/>
      <c r="KRY1" s="1000"/>
      <c r="KRZ1" s="1000"/>
      <c r="KSA1" s="1000"/>
      <c r="KSB1" s="1000"/>
      <c r="KSC1" s="1000"/>
      <c r="KSD1" s="998"/>
      <c r="KSE1" s="998"/>
      <c r="KSF1" s="998"/>
      <c r="KSG1" s="998"/>
      <c r="KSH1" s="998"/>
      <c r="KSI1" s="998"/>
      <c r="KSJ1" s="998"/>
      <c r="KSK1" s="996"/>
      <c r="KSL1" s="996"/>
      <c r="KSM1" s="996"/>
      <c r="KSN1" s="996"/>
      <c r="KSO1" s="996"/>
      <c r="KSP1" s="996"/>
      <c r="KSQ1" s="996"/>
      <c r="KSR1" s="996"/>
      <c r="KSS1" s="996"/>
      <c r="KST1" s="996"/>
      <c r="KSU1" s="996"/>
      <c r="KSV1" s="996"/>
      <c r="KSW1" s="996"/>
      <c r="KSX1" s="996"/>
      <c r="KSY1" s="996"/>
      <c r="KSZ1" s="996"/>
      <c r="KTA1" s="996"/>
      <c r="KTB1" s="996"/>
      <c r="KTC1" s="996"/>
      <c r="KTD1" s="996"/>
      <c r="KTE1" s="996"/>
      <c r="KTF1" s="996"/>
      <c r="KTG1" s="996"/>
      <c r="KTH1" s="996"/>
      <c r="KTI1" s="996"/>
      <c r="KTJ1" s="996"/>
      <c r="KTK1" s="996"/>
      <c r="KTL1" s="996"/>
      <c r="KTM1" s="996"/>
      <c r="KTN1" s="996"/>
      <c r="KTO1" s="996"/>
      <c r="KTP1" s="996"/>
      <c r="KTQ1" s="996"/>
      <c r="KTR1" s="996"/>
      <c r="KTS1" s="996"/>
      <c r="KTT1" s="996"/>
      <c r="KTU1" s="996"/>
      <c r="KTV1" s="996"/>
      <c r="KTW1" s="996"/>
      <c r="KTX1" s="995"/>
      <c r="KTY1" s="995"/>
      <c r="KTZ1" s="996"/>
      <c r="KUA1" s="997"/>
      <c r="KUB1" s="1002"/>
      <c r="KUC1" s="996"/>
      <c r="KUD1" s="996"/>
      <c r="KUE1" s="996"/>
      <c r="KUF1" s="996"/>
      <c r="KUG1" s="996"/>
      <c r="KUH1" s="996"/>
      <c r="KUI1" s="996"/>
      <c r="KUJ1" s="996"/>
      <c r="KUK1" s="996"/>
      <c r="KUL1" s="996"/>
      <c r="KUM1" s="996"/>
      <c r="KUN1" s="996"/>
      <c r="KUO1" s="996"/>
      <c r="KUP1" s="996"/>
      <c r="KUQ1" s="996"/>
      <c r="KUR1" s="996"/>
      <c r="KUS1" s="996"/>
      <c r="KUT1" s="996"/>
      <c r="KUU1" s="996"/>
      <c r="KUV1" s="996"/>
      <c r="KUW1" s="996"/>
      <c r="KUX1" s="1003"/>
      <c r="KUY1" s="996"/>
      <c r="KUZ1" s="1003"/>
      <c r="KVA1" s="996"/>
      <c r="KVB1" s="996"/>
      <c r="KVC1" s="996"/>
      <c r="KVD1" s="996"/>
      <c r="KVE1" s="996"/>
      <c r="KVF1" s="996"/>
      <c r="KVG1" s="996"/>
      <c r="KVH1" s="996"/>
      <c r="KVI1" s="996"/>
      <c r="KVJ1" s="996"/>
      <c r="KVK1" s="996"/>
      <c r="KVL1" s="996"/>
      <c r="KVM1" s="1003"/>
      <c r="KVN1" s="1003"/>
      <c r="KVO1" s="1003"/>
      <c r="KVP1" s="1003"/>
      <c r="KVQ1" s="1003"/>
      <c r="KVR1" s="996"/>
      <c r="KVS1" s="996"/>
      <c r="KVT1" s="996"/>
      <c r="KVU1" s="996"/>
      <c r="KVV1" s="996"/>
      <c r="KVW1" s="996"/>
      <c r="KVX1" s="1003"/>
      <c r="KVY1" s="996"/>
      <c r="KVZ1" s="996"/>
      <c r="KWA1" s="996"/>
      <c r="KWB1" s="996"/>
      <c r="KWC1" s="996"/>
      <c r="KWD1" s="996"/>
      <c r="KWE1" s="996"/>
      <c r="KWF1" s="996"/>
      <c r="KWG1" s="996"/>
      <c r="KWH1" s="996"/>
      <c r="KWI1" s="996"/>
      <c r="KWJ1" s="996"/>
      <c r="KWK1" s="996"/>
      <c r="KWL1" s="996"/>
      <c r="KWM1" s="996"/>
      <c r="KWN1" s="996"/>
      <c r="KWO1" s="996"/>
      <c r="KWP1" s="996"/>
      <c r="KWQ1" s="998"/>
      <c r="KWR1" s="998"/>
      <c r="KWS1" s="998"/>
      <c r="KWT1" s="998"/>
      <c r="KWU1" s="998"/>
      <c r="KWV1" s="998"/>
      <c r="KWW1" s="998"/>
      <c r="KWX1" s="998"/>
      <c r="KWY1" s="998"/>
      <c r="KWZ1" s="998"/>
      <c r="KXA1" s="998"/>
      <c r="KXB1" s="996"/>
      <c r="KXC1" s="996"/>
      <c r="KXD1" s="996"/>
      <c r="KXE1" s="996"/>
      <c r="KXF1" s="996"/>
      <c r="KXG1" s="996"/>
      <c r="KXH1" s="996"/>
      <c r="KXI1" s="998"/>
      <c r="KXJ1" s="998"/>
      <c r="KXK1" s="998"/>
      <c r="KXL1" s="998"/>
      <c r="KXM1" s="998"/>
      <c r="KXN1" s="998"/>
      <c r="KXO1" s="998"/>
      <c r="KXP1" s="996"/>
      <c r="KXQ1" s="996"/>
      <c r="KXR1" s="996"/>
      <c r="KXS1" s="996"/>
      <c r="KXT1" s="996"/>
      <c r="KXU1" s="996"/>
      <c r="KXV1" s="996"/>
      <c r="KXW1" s="996"/>
      <c r="KXX1" s="996"/>
      <c r="KXY1" s="996"/>
      <c r="KXZ1" s="996"/>
      <c r="KYA1" s="996"/>
      <c r="KYB1" s="996"/>
      <c r="KYC1" s="996"/>
      <c r="KYD1" s="996"/>
      <c r="KYE1" s="996"/>
      <c r="KYF1" s="996"/>
      <c r="KYG1" s="996"/>
      <c r="KYH1" s="996"/>
      <c r="KYI1" s="996"/>
      <c r="KYJ1" s="996"/>
      <c r="KYK1" s="996"/>
      <c r="KYL1" s="996"/>
      <c r="KYM1" s="996"/>
      <c r="KYN1" s="996"/>
      <c r="KYO1" s="996"/>
      <c r="KYP1" s="996"/>
      <c r="KYQ1" s="1003"/>
      <c r="KYR1" s="996"/>
      <c r="KYS1" s="996"/>
      <c r="KYT1" s="996"/>
      <c r="KYU1" s="996"/>
      <c r="KYV1" s="996"/>
      <c r="KYW1" s="996"/>
      <c r="KYX1" s="996"/>
      <c r="KYY1" s="996"/>
      <c r="KYZ1" s="996"/>
      <c r="KZA1" s="996"/>
      <c r="KZB1" s="996"/>
      <c r="KZC1" s="996"/>
      <c r="KZD1" s="996"/>
      <c r="KZE1" s="996"/>
      <c r="KZF1" s="996"/>
      <c r="KZG1" s="996"/>
      <c r="KZH1" s="998"/>
      <c r="KZI1" s="998"/>
      <c r="KZJ1" s="998"/>
      <c r="KZK1" s="998"/>
      <c r="KZL1" s="998"/>
      <c r="KZM1" s="998"/>
      <c r="KZN1" s="998"/>
      <c r="KZO1" s="998"/>
      <c r="KZP1" s="998"/>
      <c r="KZQ1" s="996"/>
      <c r="KZR1" s="996"/>
      <c r="KZS1" s="996"/>
      <c r="KZT1" s="996"/>
      <c r="KZU1" s="996"/>
      <c r="KZV1" s="996"/>
      <c r="KZW1" s="996"/>
      <c r="KZX1" s="996"/>
      <c r="KZY1" s="996"/>
      <c r="KZZ1" s="998"/>
      <c r="LAA1" s="998"/>
      <c r="LAB1" s="998"/>
      <c r="LAC1" s="998"/>
      <c r="LAD1" s="998"/>
      <c r="LAE1" s="998"/>
      <c r="LAF1" s="998"/>
      <c r="LAG1" s="998"/>
      <c r="LAH1" s="998"/>
      <c r="LAI1" s="999"/>
      <c r="LAJ1" s="1000"/>
      <c r="LAK1" s="1001"/>
      <c r="LAL1" s="1000"/>
      <c r="LAM1" s="1001"/>
      <c r="LAN1" s="1000"/>
      <c r="LAO1" s="1000"/>
      <c r="LAP1" s="1000"/>
      <c r="LAQ1" s="1000"/>
      <c r="LAR1" s="1000"/>
      <c r="LAS1" s="1000"/>
      <c r="LAT1" s="1000"/>
      <c r="LAU1" s="1000"/>
      <c r="LAV1" s="1000"/>
      <c r="LAW1" s="1000"/>
      <c r="LAX1" s="1000"/>
      <c r="LAY1" s="1000"/>
      <c r="LAZ1" s="998"/>
      <c r="LBA1" s="998"/>
      <c r="LBB1" s="998"/>
      <c r="LBC1" s="998"/>
      <c r="LBD1" s="998"/>
      <c r="LBE1" s="998"/>
      <c r="LBF1" s="998"/>
      <c r="LBG1" s="996"/>
      <c r="LBH1" s="996"/>
      <c r="LBI1" s="996"/>
      <c r="LBJ1" s="996"/>
      <c r="LBK1" s="996"/>
      <c r="LBL1" s="996"/>
      <c r="LBM1" s="996"/>
      <c r="LBN1" s="996"/>
      <c r="LBO1" s="996"/>
      <c r="LBP1" s="996"/>
      <c r="LBQ1" s="996"/>
      <c r="LBR1" s="996"/>
      <c r="LBS1" s="996"/>
      <c r="LBT1" s="996"/>
      <c r="LBU1" s="996"/>
      <c r="LBV1" s="996"/>
      <c r="LBW1" s="996"/>
      <c r="LBX1" s="996"/>
      <c r="LBY1" s="996"/>
      <c r="LBZ1" s="996"/>
      <c r="LCA1" s="996"/>
      <c r="LCB1" s="996"/>
      <c r="LCC1" s="996"/>
      <c r="LCD1" s="996"/>
      <c r="LCE1" s="996"/>
      <c r="LCF1" s="996"/>
      <c r="LCG1" s="996"/>
      <c r="LCH1" s="996"/>
      <c r="LCI1" s="996"/>
      <c r="LCJ1" s="996"/>
      <c r="LCK1" s="996"/>
      <c r="LCL1" s="996"/>
      <c r="LCM1" s="996"/>
      <c r="LCN1" s="996"/>
      <c r="LCO1" s="996"/>
      <c r="LCP1" s="996"/>
      <c r="LCQ1" s="996"/>
      <c r="LCR1" s="996"/>
      <c r="LCS1" s="996"/>
      <c r="LCT1" s="995"/>
      <c r="LCU1" s="995"/>
      <c r="LCV1" s="996"/>
      <c r="LCW1" s="997"/>
      <c r="LCX1" s="1002"/>
      <c r="LCY1" s="996"/>
      <c r="LCZ1" s="996"/>
      <c r="LDA1" s="996"/>
      <c r="LDB1" s="996"/>
      <c r="LDC1" s="996"/>
      <c r="LDD1" s="996"/>
      <c r="LDE1" s="996"/>
      <c r="LDF1" s="996"/>
      <c r="LDG1" s="996"/>
      <c r="LDH1" s="996"/>
      <c r="LDI1" s="996"/>
      <c r="LDJ1" s="996"/>
      <c r="LDK1" s="996"/>
      <c r="LDL1" s="996"/>
      <c r="LDM1" s="996"/>
      <c r="LDN1" s="996"/>
      <c r="LDO1" s="996"/>
      <c r="LDP1" s="996"/>
      <c r="LDQ1" s="996"/>
      <c r="LDR1" s="996"/>
      <c r="LDS1" s="996"/>
      <c r="LDT1" s="1003"/>
      <c r="LDU1" s="996"/>
      <c r="LDV1" s="1003"/>
      <c r="LDW1" s="996"/>
      <c r="LDX1" s="996"/>
      <c r="LDY1" s="996"/>
      <c r="LDZ1" s="996"/>
      <c r="LEA1" s="996"/>
      <c r="LEB1" s="996"/>
      <c r="LEC1" s="996"/>
      <c r="LED1" s="996"/>
      <c r="LEE1" s="996"/>
      <c r="LEF1" s="996"/>
      <c r="LEG1" s="996"/>
      <c r="LEH1" s="996"/>
      <c r="LEI1" s="1003"/>
      <c r="LEJ1" s="1003"/>
      <c r="LEK1" s="1003"/>
      <c r="LEL1" s="1003"/>
      <c r="LEM1" s="1003"/>
      <c r="LEN1" s="996"/>
      <c r="LEO1" s="996"/>
      <c r="LEP1" s="996"/>
      <c r="LEQ1" s="996"/>
      <c r="LER1" s="996"/>
      <c r="LES1" s="996"/>
      <c r="LET1" s="1003"/>
      <c r="LEU1" s="996"/>
      <c r="LEV1" s="996"/>
      <c r="LEW1" s="996"/>
      <c r="LEX1" s="996"/>
      <c r="LEY1" s="996"/>
      <c r="LEZ1" s="996"/>
      <c r="LFA1" s="996"/>
      <c r="LFB1" s="996"/>
      <c r="LFC1" s="996"/>
      <c r="LFD1" s="996"/>
      <c r="LFE1" s="996"/>
      <c r="LFF1" s="996"/>
      <c r="LFG1" s="996"/>
      <c r="LFH1" s="996"/>
      <c r="LFI1" s="996"/>
      <c r="LFJ1" s="996"/>
      <c r="LFK1" s="996"/>
      <c r="LFL1" s="996"/>
      <c r="LFM1" s="998"/>
      <c r="LFN1" s="998"/>
      <c r="LFO1" s="998"/>
      <c r="LFP1" s="998"/>
      <c r="LFQ1" s="998"/>
      <c r="LFR1" s="998"/>
      <c r="LFS1" s="998"/>
      <c r="LFT1" s="998"/>
      <c r="LFU1" s="998"/>
      <c r="LFV1" s="998"/>
      <c r="LFW1" s="998"/>
      <c r="LFX1" s="996"/>
      <c r="LFY1" s="996"/>
      <c r="LFZ1" s="996"/>
      <c r="LGA1" s="996"/>
      <c r="LGB1" s="996"/>
      <c r="LGC1" s="996"/>
      <c r="LGD1" s="996"/>
      <c r="LGE1" s="998"/>
      <c r="LGF1" s="998"/>
      <c r="LGG1" s="998"/>
      <c r="LGH1" s="998"/>
      <c r="LGI1" s="998"/>
      <c r="LGJ1" s="998"/>
      <c r="LGK1" s="998"/>
      <c r="LGL1" s="996"/>
      <c r="LGM1" s="996"/>
      <c r="LGN1" s="996"/>
      <c r="LGO1" s="996"/>
      <c r="LGP1" s="996"/>
      <c r="LGQ1" s="996"/>
      <c r="LGR1" s="996"/>
      <c r="LGS1" s="996"/>
      <c r="LGT1" s="996"/>
      <c r="LGU1" s="996"/>
      <c r="LGV1" s="996"/>
      <c r="LGW1" s="996"/>
      <c r="LGX1" s="996"/>
      <c r="LGY1" s="996"/>
      <c r="LGZ1" s="996"/>
      <c r="LHA1" s="996"/>
      <c r="LHB1" s="996"/>
      <c r="LHC1" s="996"/>
      <c r="LHD1" s="996"/>
      <c r="LHE1" s="996"/>
      <c r="LHF1" s="996"/>
      <c r="LHG1" s="996"/>
      <c r="LHH1" s="996"/>
      <c r="LHI1" s="996"/>
      <c r="LHJ1" s="996"/>
      <c r="LHK1" s="996"/>
      <c r="LHL1" s="996"/>
      <c r="LHM1" s="1003"/>
      <c r="LHN1" s="996"/>
      <c r="LHO1" s="996"/>
      <c r="LHP1" s="996"/>
      <c r="LHQ1" s="996"/>
      <c r="LHR1" s="996"/>
      <c r="LHS1" s="996"/>
      <c r="LHT1" s="996"/>
      <c r="LHU1" s="996"/>
      <c r="LHV1" s="996"/>
      <c r="LHW1" s="996"/>
      <c r="LHX1" s="996"/>
      <c r="LHY1" s="996"/>
      <c r="LHZ1" s="996"/>
      <c r="LIA1" s="996"/>
      <c r="LIB1" s="996"/>
      <c r="LIC1" s="996"/>
      <c r="LID1" s="998"/>
      <c r="LIE1" s="998"/>
      <c r="LIF1" s="998"/>
      <c r="LIG1" s="998"/>
      <c r="LIH1" s="998"/>
      <c r="LII1" s="998"/>
      <c r="LIJ1" s="998"/>
      <c r="LIK1" s="998"/>
      <c r="LIL1" s="998"/>
      <c r="LIM1" s="996"/>
      <c r="LIN1" s="996"/>
      <c r="LIO1" s="996"/>
      <c r="LIP1" s="996"/>
      <c r="LIQ1" s="996"/>
      <c r="LIR1" s="996"/>
      <c r="LIS1" s="996"/>
      <c r="LIT1" s="996"/>
      <c r="LIU1" s="996"/>
      <c r="LIV1" s="998"/>
      <c r="LIW1" s="998"/>
      <c r="LIX1" s="998"/>
      <c r="LIY1" s="998"/>
      <c r="LIZ1" s="998"/>
      <c r="LJA1" s="998"/>
      <c r="LJB1" s="998"/>
      <c r="LJC1" s="998"/>
      <c r="LJD1" s="998"/>
      <c r="LJE1" s="999"/>
      <c r="LJF1" s="1000"/>
      <c r="LJG1" s="1001"/>
      <c r="LJH1" s="1000"/>
      <c r="LJI1" s="1001"/>
      <c r="LJJ1" s="1000"/>
      <c r="LJK1" s="1000"/>
      <c r="LJL1" s="1000"/>
      <c r="LJM1" s="1000"/>
      <c r="LJN1" s="1000"/>
      <c r="LJO1" s="1000"/>
      <c r="LJP1" s="1000"/>
      <c r="LJQ1" s="1000"/>
      <c r="LJR1" s="1000"/>
      <c r="LJS1" s="1000"/>
      <c r="LJT1" s="1000"/>
      <c r="LJU1" s="1000"/>
      <c r="LJV1" s="998"/>
      <c r="LJW1" s="998"/>
      <c r="LJX1" s="998"/>
      <c r="LJY1" s="998"/>
      <c r="LJZ1" s="998"/>
      <c r="LKA1" s="998"/>
      <c r="LKB1" s="998"/>
      <c r="LKC1" s="996"/>
      <c r="LKD1" s="996"/>
      <c r="LKE1" s="996"/>
      <c r="LKF1" s="996"/>
      <c r="LKG1" s="996"/>
      <c r="LKH1" s="996"/>
      <c r="LKI1" s="996"/>
      <c r="LKJ1" s="996"/>
      <c r="LKK1" s="996"/>
      <c r="LKL1" s="996"/>
      <c r="LKM1" s="996"/>
      <c r="LKN1" s="996"/>
      <c r="LKO1" s="996"/>
      <c r="LKP1" s="996"/>
      <c r="LKQ1" s="996"/>
      <c r="LKR1" s="996"/>
      <c r="LKS1" s="996"/>
      <c r="LKT1" s="996"/>
      <c r="LKU1" s="996"/>
      <c r="LKV1" s="996"/>
      <c r="LKW1" s="996"/>
      <c r="LKX1" s="996"/>
      <c r="LKY1" s="996"/>
      <c r="LKZ1" s="996"/>
      <c r="LLA1" s="996"/>
      <c r="LLB1" s="996"/>
      <c r="LLC1" s="996"/>
      <c r="LLD1" s="996"/>
      <c r="LLE1" s="996"/>
      <c r="LLF1" s="996"/>
      <c r="LLG1" s="996"/>
      <c r="LLH1" s="996"/>
      <c r="LLI1" s="996"/>
      <c r="LLJ1" s="996"/>
      <c r="LLK1" s="996"/>
      <c r="LLL1" s="996"/>
      <c r="LLM1" s="996"/>
      <c r="LLN1" s="996"/>
      <c r="LLO1" s="996"/>
      <c r="LLP1" s="995"/>
      <c r="LLQ1" s="995"/>
      <c r="LLR1" s="996"/>
      <c r="LLS1" s="997"/>
      <c r="LLT1" s="1002"/>
      <c r="LLU1" s="996"/>
      <c r="LLV1" s="996"/>
      <c r="LLW1" s="996"/>
      <c r="LLX1" s="996"/>
      <c r="LLY1" s="996"/>
      <c r="LLZ1" s="996"/>
      <c r="LMA1" s="996"/>
      <c r="LMB1" s="996"/>
      <c r="LMC1" s="996"/>
      <c r="LMD1" s="996"/>
      <c r="LME1" s="996"/>
      <c r="LMF1" s="996"/>
      <c r="LMG1" s="996"/>
      <c r="LMH1" s="996"/>
      <c r="LMI1" s="996"/>
      <c r="LMJ1" s="996"/>
      <c r="LMK1" s="996"/>
      <c r="LML1" s="996"/>
      <c r="LMM1" s="996"/>
      <c r="LMN1" s="996"/>
      <c r="LMO1" s="996"/>
      <c r="LMP1" s="1003"/>
      <c r="LMQ1" s="996"/>
      <c r="LMR1" s="1003"/>
      <c r="LMS1" s="996"/>
      <c r="LMT1" s="996"/>
      <c r="LMU1" s="996"/>
      <c r="LMV1" s="996"/>
      <c r="LMW1" s="996"/>
      <c r="LMX1" s="996"/>
      <c r="LMY1" s="996"/>
      <c r="LMZ1" s="996"/>
      <c r="LNA1" s="996"/>
      <c r="LNB1" s="996"/>
      <c r="LNC1" s="996"/>
      <c r="LND1" s="996"/>
      <c r="LNE1" s="1003"/>
      <c r="LNF1" s="1003"/>
      <c r="LNG1" s="1003"/>
      <c r="LNH1" s="1003"/>
      <c r="LNI1" s="1003"/>
      <c r="LNJ1" s="996"/>
      <c r="LNK1" s="996"/>
      <c r="LNL1" s="996"/>
      <c r="LNM1" s="996"/>
      <c r="LNN1" s="996"/>
      <c r="LNO1" s="996"/>
      <c r="LNP1" s="1003"/>
      <c r="LNQ1" s="996"/>
      <c r="LNR1" s="996"/>
      <c r="LNS1" s="996"/>
      <c r="LNT1" s="996"/>
      <c r="LNU1" s="996"/>
      <c r="LNV1" s="996"/>
      <c r="LNW1" s="996"/>
      <c r="LNX1" s="996"/>
      <c r="LNY1" s="996"/>
      <c r="LNZ1" s="996"/>
      <c r="LOA1" s="996"/>
      <c r="LOB1" s="996"/>
      <c r="LOC1" s="996"/>
      <c r="LOD1" s="996"/>
      <c r="LOE1" s="996"/>
      <c r="LOF1" s="996"/>
      <c r="LOG1" s="996"/>
      <c r="LOH1" s="996"/>
      <c r="LOI1" s="998"/>
      <c r="LOJ1" s="998"/>
      <c r="LOK1" s="998"/>
      <c r="LOL1" s="998"/>
      <c r="LOM1" s="998"/>
      <c r="LON1" s="998"/>
      <c r="LOO1" s="998"/>
      <c r="LOP1" s="998"/>
      <c r="LOQ1" s="998"/>
      <c r="LOR1" s="998"/>
      <c r="LOS1" s="998"/>
      <c r="LOT1" s="996"/>
      <c r="LOU1" s="996"/>
      <c r="LOV1" s="996"/>
      <c r="LOW1" s="996"/>
      <c r="LOX1" s="996"/>
      <c r="LOY1" s="996"/>
      <c r="LOZ1" s="996"/>
      <c r="LPA1" s="998"/>
      <c r="LPB1" s="998"/>
      <c r="LPC1" s="998"/>
      <c r="LPD1" s="998"/>
      <c r="LPE1" s="998"/>
      <c r="LPF1" s="998"/>
      <c r="LPG1" s="998"/>
      <c r="LPH1" s="996"/>
      <c r="LPI1" s="996"/>
      <c r="LPJ1" s="996"/>
      <c r="LPK1" s="996"/>
      <c r="LPL1" s="996"/>
      <c r="LPM1" s="996"/>
      <c r="LPN1" s="996"/>
      <c r="LPO1" s="996"/>
      <c r="LPP1" s="996"/>
      <c r="LPQ1" s="996"/>
      <c r="LPR1" s="996"/>
      <c r="LPS1" s="996"/>
      <c r="LPT1" s="996"/>
      <c r="LPU1" s="996"/>
      <c r="LPV1" s="996"/>
      <c r="LPW1" s="996"/>
      <c r="LPX1" s="996"/>
      <c r="LPY1" s="996"/>
      <c r="LPZ1" s="996"/>
      <c r="LQA1" s="996"/>
      <c r="LQB1" s="996"/>
      <c r="LQC1" s="996"/>
      <c r="LQD1" s="996"/>
      <c r="LQE1" s="996"/>
      <c r="LQF1" s="996"/>
      <c r="LQG1" s="996"/>
      <c r="LQH1" s="996"/>
      <c r="LQI1" s="1003"/>
      <c r="LQJ1" s="996"/>
      <c r="LQK1" s="996"/>
      <c r="LQL1" s="996"/>
      <c r="LQM1" s="996"/>
      <c r="LQN1" s="996"/>
      <c r="LQO1" s="996"/>
      <c r="LQP1" s="996"/>
      <c r="LQQ1" s="996"/>
      <c r="LQR1" s="996"/>
      <c r="LQS1" s="996"/>
      <c r="LQT1" s="996"/>
      <c r="LQU1" s="996"/>
      <c r="LQV1" s="996"/>
      <c r="LQW1" s="996"/>
      <c r="LQX1" s="996"/>
      <c r="LQY1" s="996"/>
      <c r="LQZ1" s="998"/>
      <c r="LRA1" s="998"/>
      <c r="LRB1" s="998"/>
      <c r="LRC1" s="998"/>
      <c r="LRD1" s="998"/>
      <c r="LRE1" s="998"/>
      <c r="LRF1" s="998"/>
      <c r="LRG1" s="998"/>
      <c r="LRH1" s="998"/>
      <c r="LRI1" s="996"/>
      <c r="LRJ1" s="996"/>
      <c r="LRK1" s="996"/>
      <c r="LRL1" s="996"/>
      <c r="LRM1" s="996"/>
      <c r="LRN1" s="996"/>
      <c r="LRO1" s="996"/>
      <c r="LRP1" s="996"/>
      <c r="LRQ1" s="996"/>
      <c r="LRR1" s="998"/>
      <c r="LRS1" s="998"/>
      <c r="LRT1" s="998"/>
      <c r="LRU1" s="998"/>
      <c r="LRV1" s="998"/>
      <c r="LRW1" s="998"/>
      <c r="LRX1" s="998"/>
      <c r="LRY1" s="998"/>
      <c r="LRZ1" s="998"/>
      <c r="LSA1" s="999"/>
      <c r="LSB1" s="1000"/>
      <c r="LSC1" s="1001"/>
      <c r="LSD1" s="1000"/>
      <c r="LSE1" s="1001"/>
      <c r="LSF1" s="1000"/>
      <c r="LSG1" s="1000"/>
      <c r="LSH1" s="1000"/>
      <c r="LSI1" s="1000"/>
      <c r="LSJ1" s="1000"/>
      <c r="LSK1" s="1000"/>
      <c r="LSL1" s="1000"/>
      <c r="LSM1" s="1000"/>
      <c r="LSN1" s="1000"/>
      <c r="LSO1" s="1000"/>
      <c r="LSP1" s="1000"/>
      <c r="LSQ1" s="1000"/>
      <c r="LSR1" s="998"/>
      <c r="LSS1" s="998"/>
      <c r="LST1" s="998"/>
      <c r="LSU1" s="998"/>
      <c r="LSV1" s="998"/>
      <c r="LSW1" s="998"/>
      <c r="LSX1" s="998"/>
      <c r="LSY1" s="996"/>
      <c r="LSZ1" s="996"/>
      <c r="LTA1" s="996"/>
      <c r="LTB1" s="996"/>
      <c r="LTC1" s="996"/>
      <c r="LTD1" s="996"/>
      <c r="LTE1" s="996"/>
      <c r="LTF1" s="996"/>
      <c r="LTG1" s="996"/>
      <c r="LTH1" s="996"/>
      <c r="LTI1" s="996"/>
      <c r="LTJ1" s="996"/>
      <c r="LTK1" s="996"/>
      <c r="LTL1" s="996"/>
      <c r="LTM1" s="996"/>
      <c r="LTN1" s="996"/>
      <c r="LTO1" s="996"/>
      <c r="LTP1" s="996"/>
      <c r="LTQ1" s="996"/>
      <c r="LTR1" s="996"/>
      <c r="LTS1" s="996"/>
      <c r="LTT1" s="996"/>
      <c r="LTU1" s="996"/>
      <c r="LTV1" s="996"/>
      <c r="LTW1" s="996"/>
      <c r="LTX1" s="996"/>
      <c r="LTY1" s="996"/>
      <c r="LTZ1" s="996"/>
      <c r="LUA1" s="996"/>
      <c r="LUB1" s="996"/>
      <c r="LUC1" s="996"/>
      <c r="LUD1" s="996"/>
      <c r="LUE1" s="996"/>
      <c r="LUF1" s="996"/>
      <c r="LUG1" s="996"/>
      <c r="LUH1" s="996"/>
      <c r="LUI1" s="996"/>
      <c r="LUJ1" s="996"/>
      <c r="LUK1" s="996"/>
      <c r="LUL1" s="995"/>
      <c r="LUM1" s="995"/>
      <c r="LUN1" s="996"/>
      <c r="LUO1" s="997"/>
      <c r="LUP1" s="1002"/>
      <c r="LUQ1" s="996"/>
      <c r="LUR1" s="996"/>
      <c r="LUS1" s="996"/>
      <c r="LUT1" s="996"/>
      <c r="LUU1" s="996"/>
      <c r="LUV1" s="996"/>
      <c r="LUW1" s="996"/>
      <c r="LUX1" s="996"/>
      <c r="LUY1" s="996"/>
      <c r="LUZ1" s="996"/>
      <c r="LVA1" s="996"/>
      <c r="LVB1" s="996"/>
      <c r="LVC1" s="996"/>
      <c r="LVD1" s="996"/>
      <c r="LVE1" s="996"/>
      <c r="LVF1" s="996"/>
      <c r="LVG1" s="996"/>
      <c r="LVH1" s="996"/>
      <c r="LVI1" s="996"/>
      <c r="LVJ1" s="996"/>
      <c r="LVK1" s="996"/>
      <c r="LVL1" s="1003"/>
      <c r="LVM1" s="996"/>
      <c r="LVN1" s="1003"/>
      <c r="LVO1" s="996"/>
      <c r="LVP1" s="996"/>
      <c r="LVQ1" s="996"/>
      <c r="LVR1" s="996"/>
      <c r="LVS1" s="996"/>
      <c r="LVT1" s="996"/>
      <c r="LVU1" s="996"/>
      <c r="LVV1" s="996"/>
      <c r="LVW1" s="996"/>
      <c r="LVX1" s="996"/>
      <c r="LVY1" s="996"/>
      <c r="LVZ1" s="996"/>
      <c r="LWA1" s="1003"/>
      <c r="LWB1" s="1003"/>
      <c r="LWC1" s="1003"/>
      <c r="LWD1" s="1003"/>
      <c r="LWE1" s="1003"/>
      <c r="LWF1" s="996"/>
      <c r="LWG1" s="996"/>
      <c r="LWH1" s="996"/>
      <c r="LWI1" s="996"/>
      <c r="LWJ1" s="996"/>
      <c r="LWK1" s="996"/>
      <c r="LWL1" s="1003"/>
      <c r="LWM1" s="996"/>
      <c r="LWN1" s="996"/>
      <c r="LWO1" s="996"/>
      <c r="LWP1" s="996"/>
      <c r="LWQ1" s="996"/>
      <c r="LWR1" s="996"/>
      <c r="LWS1" s="996"/>
      <c r="LWT1" s="996"/>
      <c r="LWU1" s="996"/>
      <c r="LWV1" s="996"/>
      <c r="LWW1" s="996"/>
      <c r="LWX1" s="996"/>
      <c r="LWY1" s="996"/>
      <c r="LWZ1" s="996"/>
      <c r="LXA1" s="996"/>
      <c r="LXB1" s="996"/>
      <c r="LXC1" s="996"/>
      <c r="LXD1" s="996"/>
      <c r="LXE1" s="998"/>
      <c r="LXF1" s="998"/>
      <c r="LXG1" s="998"/>
      <c r="LXH1" s="998"/>
      <c r="LXI1" s="998"/>
      <c r="LXJ1" s="998"/>
      <c r="LXK1" s="998"/>
      <c r="LXL1" s="998"/>
      <c r="LXM1" s="998"/>
      <c r="LXN1" s="998"/>
      <c r="LXO1" s="998"/>
      <c r="LXP1" s="996"/>
      <c r="LXQ1" s="996"/>
      <c r="LXR1" s="996"/>
      <c r="LXS1" s="996"/>
      <c r="LXT1" s="996"/>
      <c r="LXU1" s="996"/>
      <c r="LXV1" s="996"/>
      <c r="LXW1" s="998"/>
      <c r="LXX1" s="998"/>
      <c r="LXY1" s="998"/>
      <c r="LXZ1" s="998"/>
      <c r="LYA1" s="998"/>
      <c r="LYB1" s="998"/>
      <c r="LYC1" s="998"/>
      <c r="LYD1" s="996"/>
      <c r="LYE1" s="996"/>
      <c r="LYF1" s="996"/>
      <c r="LYG1" s="996"/>
      <c r="LYH1" s="996"/>
      <c r="LYI1" s="996"/>
      <c r="LYJ1" s="996"/>
      <c r="LYK1" s="996"/>
      <c r="LYL1" s="996"/>
      <c r="LYM1" s="996"/>
      <c r="LYN1" s="996"/>
      <c r="LYO1" s="996"/>
      <c r="LYP1" s="996"/>
      <c r="LYQ1" s="996"/>
      <c r="LYR1" s="996"/>
      <c r="LYS1" s="996"/>
      <c r="LYT1" s="996"/>
      <c r="LYU1" s="996"/>
      <c r="LYV1" s="996"/>
      <c r="LYW1" s="996"/>
      <c r="LYX1" s="996"/>
      <c r="LYY1" s="996"/>
      <c r="LYZ1" s="996"/>
      <c r="LZA1" s="996"/>
      <c r="LZB1" s="996"/>
      <c r="LZC1" s="996"/>
      <c r="LZD1" s="996"/>
      <c r="LZE1" s="1003"/>
      <c r="LZF1" s="996"/>
      <c r="LZG1" s="996"/>
      <c r="LZH1" s="996"/>
      <c r="LZI1" s="996"/>
      <c r="LZJ1" s="996"/>
      <c r="LZK1" s="996"/>
      <c r="LZL1" s="996"/>
      <c r="LZM1" s="996"/>
      <c r="LZN1" s="996"/>
      <c r="LZO1" s="996"/>
      <c r="LZP1" s="996"/>
      <c r="LZQ1" s="996"/>
      <c r="LZR1" s="996"/>
      <c r="LZS1" s="996"/>
      <c r="LZT1" s="996"/>
      <c r="LZU1" s="996"/>
      <c r="LZV1" s="998"/>
      <c r="LZW1" s="998"/>
      <c r="LZX1" s="998"/>
      <c r="LZY1" s="998"/>
      <c r="LZZ1" s="998"/>
      <c r="MAA1" s="998"/>
      <c r="MAB1" s="998"/>
      <c r="MAC1" s="998"/>
      <c r="MAD1" s="998"/>
      <c r="MAE1" s="996"/>
      <c r="MAF1" s="996"/>
      <c r="MAG1" s="996"/>
      <c r="MAH1" s="996"/>
      <c r="MAI1" s="996"/>
      <c r="MAJ1" s="996"/>
      <c r="MAK1" s="996"/>
      <c r="MAL1" s="996"/>
      <c r="MAM1" s="996"/>
      <c r="MAN1" s="998"/>
      <c r="MAO1" s="998"/>
      <c r="MAP1" s="998"/>
      <c r="MAQ1" s="998"/>
      <c r="MAR1" s="998"/>
      <c r="MAS1" s="998"/>
      <c r="MAT1" s="998"/>
      <c r="MAU1" s="998"/>
      <c r="MAV1" s="998"/>
      <c r="MAW1" s="999"/>
      <c r="MAX1" s="1000"/>
      <c r="MAY1" s="1001"/>
      <c r="MAZ1" s="1000"/>
      <c r="MBA1" s="1001"/>
      <c r="MBB1" s="1000"/>
      <c r="MBC1" s="1000"/>
      <c r="MBD1" s="1000"/>
      <c r="MBE1" s="1000"/>
      <c r="MBF1" s="1000"/>
      <c r="MBG1" s="1000"/>
      <c r="MBH1" s="1000"/>
      <c r="MBI1" s="1000"/>
      <c r="MBJ1" s="1000"/>
      <c r="MBK1" s="1000"/>
      <c r="MBL1" s="1000"/>
      <c r="MBM1" s="1000"/>
      <c r="MBN1" s="998"/>
      <c r="MBO1" s="998"/>
      <c r="MBP1" s="998"/>
      <c r="MBQ1" s="998"/>
      <c r="MBR1" s="998"/>
      <c r="MBS1" s="998"/>
      <c r="MBT1" s="998"/>
      <c r="MBU1" s="996"/>
      <c r="MBV1" s="996"/>
      <c r="MBW1" s="996"/>
      <c r="MBX1" s="996"/>
      <c r="MBY1" s="996"/>
      <c r="MBZ1" s="996"/>
      <c r="MCA1" s="996"/>
      <c r="MCB1" s="996"/>
      <c r="MCC1" s="996"/>
      <c r="MCD1" s="996"/>
      <c r="MCE1" s="996"/>
      <c r="MCF1" s="996"/>
      <c r="MCG1" s="996"/>
      <c r="MCH1" s="996"/>
      <c r="MCI1" s="996"/>
      <c r="MCJ1" s="996"/>
      <c r="MCK1" s="996"/>
      <c r="MCL1" s="996"/>
      <c r="MCM1" s="996"/>
      <c r="MCN1" s="996"/>
      <c r="MCO1" s="996"/>
      <c r="MCP1" s="996"/>
      <c r="MCQ1" s="996"/>
      <c r="MCR1" s="996"/>
      <c r="MCS1" s="996"/>
      <c r="MCT1" s="996"/>
      <c r="MCU1" s="996"/>
      <c r="MCV1" s="996"/>
      <c r="MCW1" s="996"/>
      <c r="MCX1" s="996"/>
      <c r="MCY1" s="996"/>
      <c r="MCZ1" s="996"/>
      <c r="MDA1" s="996"/>
      <c r="MDB1" s="996"/>
      <c r="MDC1" s="996"/>
      <c r="MDD1" s="996"/>
      <c r="MDE1" s="996"/>
      <c r="MDF1" s="996"/>
      <c r="MDG1" s="996"/>
      <c r="MDH1" s="995"/>
      <c r="MDI1" s="995"/>
      <c r="MDJ1" s="996"/>
      <c r="MDK1" s="997"/>
      <c r="MDL1" s="1002"/>
      <c r="MDM1" s="996"/>
      <c r="MDN1" s="996"/>
      <c r="MDO1" s="996"/>
      <c r="MDP1" s="996"/>
      <c r="MDQ1" s="996"/>
      <c r="MDR1" s="996"/>
      <c r="MDS1" s="996"/>
      <c r="MDT1" s="996"/>
      <c r="MDU1" s="996"/>
      <c r="MDV1" s="996"/>
      <c r="MDW1" s="996"/>
      <c r="MDX1" s="996"/>
      <c r="MDY1" s="996"/>
      <c r="MDZ1" s="996"/>
      <c r="MEA1" s="996"/>
      <c r="MEB1" s="996"/>
      <c r="MEC1" s="996"/>
      <c r="MED1" s="996"/>
      <c r="MEE1" s="996"/>
      <c r="MEF1" s="996"/>
      <c r="MEG1" s="996"/>
      <c r="MEH1" s="1003"/>
      <c r="MEI1" s="996"/>
      <c r="MEJ1" s="1003"/>
      <c r="MEK1" s="996"/>
      <c r="MEL1" s="996"/>
      <c r="MEM1" s="996"/>
      <c r="MEN1" s="996"/>
      <c r="MEO1" s="996"/>
      <c r="MEP1" s="996"/>
      <c r="MEQ1" s="996"/>
      <c r="MER1" s="996"/>
      <c r="MES1" s="996"/>
      <c r="MET1" s="996"/>
      <c r="MEU1" s="996"/>
      <c r="MEV1" s="996"/>
      <c r="MEW1" s="1003"/>
      <c r="MEX1" s="1003"/>
      <c r="MEY1" s="1003"/>
      <c r="MEZ1" s="1003"/>
      <c r="MFA1" s="1003"/>
      <c r="MFB1" s="996"/>
      <c r="MFC1" s="996"/>
      <c r="MFD1" s="996"/>
      <c r="MFE1" s="996"/>
      <c r="MFF1" s="996"/>
      <c r="MFG1" s="996"/>
      <c r="MFH1" s="1003"/>
      <c r="MFI1" s="996"/>
      <c r="MFJ1" s="996"/>
      <c r="MFK1" s="996"/>
      <c r="MFL1" s="996"/>
      <c r="MFM1" s="996"/>
      <c r="MFN1" s="996"/>
      <c r="MFO1" s="996"/>
      <c r="MFP1" s="996"/>
      <c r="MFQ1" s="996"/>
      <c r="MFR1" s="996"/>
      <c r="MFS1" s="996"/>
      <c r="MFT1" s="996"/>
      <c r="MFU1" s="996"/>
      <c r="MFV1" s="996"/>
      <c r="MFW1" s="996"/>
      <c r="MFX1" s="996"/>
      <c r="MFY1" s="996"/>
      <c r="MFZ1" s="996"/>
      <c r="MGA1" s="998"/>
      <c r="MGB1" s="998"/>
      <c r="MGC1" s="998"/>
      <c r="MGD1" s="998"/>
      <c r="MGE1" s="998"/>
      <c r="MGF1" s="998"/>
      <c r="MGG1" s="998"/>
      <c r="MGH1" s="998"/>
      <c r="MGI1" s="998"/>
      <c r="MGJ1" s="998"/>
      <c r="MGK1" s="998"/>
      <c r="MGL1" s="996"/>
      <c r="MGM1" s="996"/>
      <c r="MGN1" s="996"/>
      <c r="MGO1" s="996"/>
      <c r="MGP1" s="996"/>
      <c r="MGQ1" s="996"/>
      <c r="MGR1" s="996"/>
      <c r="MGS1" s="998"/>
      <c r="MGT1" s="998"/>
      <c r="MGU1" s="998"/>
      <c r="MGV1" s="998"/>
      <c r="MGW1" s="998"/>
      <c r="MGX1" s="998"/>
      <c r="MGY1" s="998"/>
      <c r="MGZ1" s="996"/>
      <c r="MHA1" s="996"/>
      <c r="MHB1" s="996"/>
      <c r="MHC1" s="996"/>
      <c r="MHD1" s="996"/>
      <c r="MHE1" s="996"/>
      <c r="MHF1" s="996"/>
      <c r="MHG1" s="996"/>
      <c r="MHH1" s="996"/>
      <c r="MHI1" s="996"/>
      <c r="MHJ1" s="996"/>
      <c r="MHK1" s="996"/>
      <c r="MHL1" s="996"/>
      <c r="MHM1" s="996"/>
      <c r="MHN1" s="996"/>
      <c r="MHO1" s="996"/>
      <c r="MHP1" s="996"/>
      <c r="MHQ1" s="996"/>
      <c r="MHR1" s="996"/>
      <c r="MHS1" s="996"/>
      <c r="MHT1" s="996"/>
      <c r="MHU1" s="996"/>
      <c r="MHV1" s="996"/>
      <c r="MHW1" s="996"/>
      <c r="MHX1" s="996"/>
      <c r="MHY1" s="996"/>
      <c r="MHZ1" s="996"/>
      <c r="MIA1" s="1003"/>
      <c r="MIB1" s="996"/>
      <c r="MIC1" s="996"/>
      <c r="MID1" s="996"/>
      <c r="MIE1" s="996"/>
      <c r="MIF1" s="996"/>
      <c r="MIG1" s="996"/>
      <c r="MIH1" s="996"/>
      <c r="MII1" s="996"/>
      <c r="MIJ1" s="996"/>
      <c r="MIK1" s="996"/>
      <c r="MIL1" s="996"/>
      <c r="MIM1" s="996"/>
      <c r="MIN1" s="996"/>
      <c r="MIO1" s="996"/>
      <c r="MIP1" s="996"/>
      <c r="MIQ1" s="996"/>
      <c r="MIR1" s="998"/>
      <c r="MIS1" s="998"/>
      <c r="MIT1" s="998"/>
      <c r="MIU1" s="998"/>
      <c r="MIV1" s="998"/>
      <c r="MIW1" s="998"/>
      <c r="MIX1" s="998"/>
      <c r="MIY1" s="998"/>
      <c r="MIZ1" s="998"/>
      <c r="MJA1" s="996"/>
      <c r="MJB1" s="996"/>
      <c r="MJC1" s="996"/>
      <c r="MJD1" s="996"/>
      <c r="MJE1" s="996"/>
      <c r="MJF1" s="996"/>
      <c r="MJG1" s="996"/>
      <c r="MJH1" s="996"/>
      <c r="MJI1" s="996"/>
      <c r="MJJ1" s="998"/>
      <c r="MJK1" s="998"/>
      <c r="MJL1" s="998"/>
      <c r="MJM1" s="998"/>
      <c r="MJN1" s="998"/>
      <c r="MJO1" s="998"/>
      <c r="MJP1" s="998"/>
      <c r="MJQ1" s="998"/>
      <c r="MJR1" s="998"/>
      <c r="MJS1" s="999"/>
      <c r="MJT1" s="1000"/>
      <c r="MJU1" s="1001"/>
      <c r="MJV1" s="1000"/>
      <c r="MJW1" s="1001"/>
      <c r="MJX1" s="1000"/>
      <c r="MJY1" s="1000"/>
      <c r="MJZ1" s="1000"/>
      <c r="MKA1" s="1000"/>
      <c r="MKB1" s="1000"/>
      <c r="MKC1" s="1000"/>
      <c r="MKD1" s="1000"/>
      <c r="MKE1" s="1000"/>
      <c r="MKF1" s="1000"/>
      <c r="MKG1" s="1000"/>
      <c r="MKH1" s="1000"/>
      <c r="MKI1" s="1000"/>
      <c r="MKJ1" s="998"/>
      <c r="MKK1" s="998"/>
      <c r="MKL1" s="998"/>
      <c r="MKM1" s="998"/>
      <c r="MKN1" s="998"/>
      <c r="MKO1" s="998"/>
      <c r="MKP1" s="998"/>
      <c r="MKQ1" s="996"/>
      <c r="MKR1" s="996"/>
      <c r="MKS1" s="996"/>
      <c r="MKT1" s="996"/>
      <c r="MKU1" s="996"/>
      <c r="MKV1" s="996"/>
      <c r="MKW1" s="996"/>
      <c r="MKX1" s="996"/>
      <c r="MKY1" s="996"/>
      <c r="MKZ1" s="996"/>
      <c r="MLA1" s="996"/>
      <c r="MLB1" s="996"/>
      <c r="MLC1" s="996"/>
      <c r="MLD1" s="996"/>
      <c r="MLE1" s="996"/>
      <c r="MLF1" s="996"/>
      <c r="MLG1" s="996"/>
      <c r="MLH1" s="996"/>
      <c r="MLI1" s="996"/>
      <c r="MLJ1" s="996"/>
      <c r="MLK1" s="996"/>
      <c r="MLL1" s="996"/>
      <c r="MLM1" s="996"/>
      <c r="MLN1" s="996"/>
      <c r="MLO1" s="996"/>
      <c r="MLP1" s="996"/>
      <c r="MLQ1" s="996"/>
      <c r="MLR1" s="996"/>
      <c r="MLS1" s="996"/>
      <c r="MLT1" s="996"/>
      <c r="MLU1" s="996"/>
      <c r="MLV1" s="996"/>
      <c r="MLW1" s="996"/>
      <c r="MLX1" s="996"/>
      <c r="MLY1" s="996"/>
      <c r="MLZ1" s="996"/>
      <c r="MMA1" s="996"/>
      <c r="MMB1" s="996"/>
      <c r="MMC1" s="996"/>
      <c r="MMD1" s="995"/>
      <c r="MME1" s="995"/>
      <c r="MMF1" s="996"/>
      <c r="MMG1" s="997"/>
      <c r="MMH1" s="1002"/>
      <c r="MMI1" s="996"/>
      <c r="MMJ1" s="996"/>
      <c r="MMK1" s="996"/>
      <c r="MML1" s="996"/>
      <c r="MMM1" s="996"/>
      <c r="MMN1" s="996"/>
      <c r="MMO1" s="996"/>
      <c r="MMP1" s="996"/>
      <c r="MMQ1" s="996"/>
      <c r="MMR1" s="996"/>
      <c r="MMS1" s="996"/>
      <c r="MMT1" s="996"/>
      <c r="MMU1" s="996"/>
      <c r="MMV1" s="996"/>
      <c r="MMW1" s="996"/>
      <c r="MMX1" s="996"/>
      <c r="MMY1" s="996"/>
      <c r="MMZ1" s="996"/>
      <c r="MNA1" s="996"/>
      <c r="MNB1" s="996"/>
      <c r="MNC1" s="996"/>
      <c r="MND1" s="1003"/>
      <c r="MNE1" s="996"/>
      <c r="MNF1" s="1003"/>
      <c r="MNG1" s="996"/>
      <c r="MNH1" s="996"/>
      <c r="MNI1" s="996"/>
      <c r="MNJ1" s="996"/>
      <c r="MNK1" s="996"/>
      <c r="MNL1" s="996"/>
      <c r="MNM1" s="996"/>
      <c r="MNN1" s="996"/>
      <c r="MNO1" s="996"/>
      <c r="MNP1" s="996"/>
      <c r="MNQ1" s="996"/>
      <c r="MNR1" s="996"/>
      <c r="MNS1" s="1003"/>
      <c r="MNT1" s="1003"/>
      <c r="MNU1" s="1003"/>
      <c r="MNV1" s="1003"/>
      <c r="MNW1" s="1003"/>
      <c r="MNX1" s="996"/>
      <c r="MNY1" s="996"/>
      <c r="MNZ1" s="996"/>
      <c r="MOA1" s="996"/>
      <c r="MOB1" s="996"/>
      <c r="MOC1" s="996"/>
      <c r="MOD1" s="1003"/>
      <c r="MOE1" s="996"/>
      <c r="MOF1" s="996"/>
      <c r="MOG1" s="996"/>
      <c r="MOH1" s="996"/>
      <c r="MOI1" s="996"/>
      <c r="MOJ1" s="996"/>
      <c r="MOK1" s="996"/>
      <c r="MOL1" s="996"/>
      <c r="MOM1" s="996"/>
      <c r="MON1" s="996"/>
      <c r="MOO1" s="996"/>
      <c r="MOP1" s="996"/>
      <c r="MOQ1" s="996"/>
      <c r="MOR1" s="996"/>
      <c r="MOS1" s="996"/>
      <c r="MOT1" s="996"/>
      <c r="MOU1" s="996"/>
      <c r="MOV1" s="996"/>
      <c r="MOW1" s="998"/>
      <c r="MOX1" s="998"/>
      <c r="MOY1" s="998"/>
      <c r="MOZ1" s="998"/>
      <c r="MPA1" s="998"/>
      <c r="MPB1" s="998"/>
      <c r="MPC1" s="998"/>
      <c r="MPD1" s="998"/>
      <c r="MPE1" s="998"/>
      <c r="MPF1" s="998"/>
      <c r="MPG1" s="998"/>
      <c r="MPH1" s="996"/>
      <c r="MPI1" s="996"/>
      <c r="MPJ1" s="996"/>
      <c r="MPK1" s="996"/>
      <c r="MPL1" s="996"/>
      <c r="MPM1" s="996"/>
      <c r="MPN1" s="996"/>
      <c r="MPO1" s="998"/>
      <c r="MPP1" s="998"/>
      <c r="MPQ1" s="998"/>
      <c r="MPR1" s="998"/>
      <c r="MPS1" s="998"/>
      <c r="MPT1" s="998"/>
      <c r="MPU1" s="998"/>
      <c r="MPV1" s="996"/>
      <c r="MPW1" s="996"/>
      <c r="MPX1" s="996"/>
      <c r="MPY1" s="996"/>
      <c r="MPZ1" s="996"/>
      <c r="MQA1" s="996"/>
      <c r="MQB1" s="996"/>
      <c r="MQC1" s="996"/>
      <c r="MQD1" s="996"/>
      <c r="MQE1" s="996"/>
      <c r="MQF1" s="996"/>
      <c r="MQG1" s="996"/>
      <c r="MQH1" s="996"/>
      <c r="MQI1" s="996"/>
      <c r="MQJ1" s="996"/>
      <c r="MQK1" s="996"/>
      <c r="MQL1" s="996"/>
      <c r="MQM1" s="996"/>
      <c r="MQN1" s="996"/>
      <c r="MQO1" s="996"/>
      <c r="MQP1" s="996"/>
      <c r="MQQ1" s="996"/>
      <c r="MQR1" s="996"/>
      <c r="MQS1" s="996"/>
      <c r="MQT1" s="996"/>
      <c r="MQU1" s="996"/>
      <c r="MQV1" s="996"/>
      <c r="MQW1" s="1003"/>
      <c r="MQX1" s="996"/>
      <c r="MQY1" s="996"/>
      <c r="MQZ1" s="996"/>
      <c r="MRA1" s="996"/>
      <c r="MRB1" s="996"/>
      <c r="MRC1" s="996"/>
      <c r="MRD1" s="996"/>
      <c r="MRE1" s="996"/>
      <c r="MRF1" s="996"/>
      <c r="MRG1" s="996"/>
      <c r="MRH1" s="996"/>
      <c r="MRI1" s="996"/>
      <c r="MRJ1" s="996"/>
      <c r="MRK1" s="996"/>
      <c r="MRL1" s="996"/>
      <c r="MRM1" s="996"/>
      <c r="MRN1" s="998"/>
      <c r="MRO1" s="998"/>
      <c r="MRP1" s="998"/>
      <c r="MRQ1" s="998"/>
      <c r="MRR1" s="998"/>
      <c r="MRS1" s="998"/>
      <c r="MRT1" s="998"/>
      <c r="MRU1" s="998"/>
      <c r="MRV1" s="998"/>
      <c r="MRW1" s="996"/>
      <c r="MRX1" s="996"/>
      <c r="MRY1" s="996"/>
      <c r="MRZ1" s="996"/>
      <c r="MSA1" s="996"/>
      <c r="MSB1" s="996"/>
      <c r="MSC1" s="996"/>
      <c r="MSD1" s="996"/>
      <c r="MSE1" s="996"/>
      <c r="MSF1" s="998"/>
      <c r="MSG1" s="998"/>
      <c r="MSH1" s="998"/>
      <c r="MSI1" s="998"/>
      <c r="MSJ1" s="998"/>
      <c r="MSK1" s="998"/>
      <c r="MSL1" s="998"/>
      <c r="MSM1" s="998"/>
      <c r="MSN1" s="998"/>
      <c r="MSO1" s="999"/>
      <c r="MSP1" s="1000"/>
      <c r="MSQ1" s="1001"/>
      <c r="MSR1" s="1000"/>
      <c r="MSS1" s="1001"/>
      <c r="MST1" s="1000"/>
      <c r="MSU1" s="1000"/>
      <c r="MSV1" s="1000"/>
      <c r="MSW1" s="1000"/>
      <c r="MSX1" s="1000"/>
      <c r="MSY1" s="1000"/>
      <c r="MSZ1" s="1000"/>
      <c r="MTA1" s="1000"/>
      <c r="MTB1" s="1000"/>
      <c r="MTC1" s="1000"/>
      <c r="MTD1" s="1000"/>
      <c r="MTE1" s="1000"/>
      <c r="MTF1" s="998"/>
      <c r="MTG1" s="998"/>
      <c r="MTH1" s="998"/>
      <c r="MTI1" s="998"/>
      <c r="MTJ1" s="998"/>
      <c r="MTK1" s="998"/>
      <c r="MTL1" s="998"/>
      <c r="MTM1" s="996"/>
      <c r="MTN1" s="996"/>
      <c r="MTO1" s="996"/>
      <c r="MTP1" s="996"/>
      <c r="MTQ1" s="996"/>
      <c r="MTR1" s="996"/>
      <c r="MTS1" s="996"/>
      <c r="MTT1" s="996"/>
      <c r="MTU1" s="996"/>
      <c r="MTV1" s="996"/>
      <c r="MTW1" s="996"/>
      <c r="MTX1" s="996"/>
      <c r="MTY1" s="996"/>
      <c r="MTZ1" s="996"/>
      <c r="MUA1" s="996"/>
      <c r="MUB1" s="996"/>
      <c r="MUC1" s="996"/>
      <c r="MUD1" s="996"/>
      <c r="MUE1" s="996"/>
      <c r="MUF1" s="996"/>
      <c r="MUG1" s="996"/>
      <c r="MUH1" s="996"/>
      <c r="MUI1" s="996"/>
      <c r="MUJ1" s="996"/>
      <c r="MUK1" s="996"/>
      <c r="MUL1" s="996"/>
      <c r="MUM1" s="996"/>
      <c r="MUN1" s="996"/>
      <c r="MUO1" s="996"/>
      <c r="MUP1" s="996"/>
      <c r="MUQ1" s="996"/>
      <c r="MUR1" s="996"/>
      <c r="MUS1" s="996"/>
      <c r="MUT1" s="996"/>
      <c r="MUU1" s="996"/>
      <c r="MUV1" s="996"/>
      <c r="MUW1" s="996"/>
      <c r="MUX1" s="996"/>
      <c r="MUY1" s="996"/>
      <c r="MUZ1" s="995"/>
      <c r="MVA1" s="995"/>
      <c r="MVB1" s="996"/>
      <c r="MVC1" s="997"/>
      <c r="MVD1" s="1002"/>
      <c r="MVE1" s="996"/>
      <c r="MVF1" s="996"/>
      <c r="MVG1" s="996"/>
      <c r="MVH1" s="996"/>
      <c r="MVI1" s="996"/>
      <c r="MVJ1" s="996"/>
      <c r="MVK1" s="996"/>
      <c r="MVL1" s="996"/>
      <c r="MVM1" s="996"/>
      <c r="MVN1" s="996"/>
      <c r="MVO1" s="996"/>
      <c r="MVP1" s="996"/>
      <c r="MVQ1" s="996"/>
      <c r="MVR1" s="996"/>
      <c r="MVS1" s="996"/>
      <c r="MVT1" s="996"/>
      <c r="MVU1" s="996"/>
      <c r="MVV1" s="996"/>
      <c r="MVW1" s="996"/>
      <c r="MVX1" s="996"/>
      <c r="MVY1" s="996"/>
      <c r="MVZ1" s="1003"/>
      <c r="MWA1" s="996"/>
      <c r="MWB1" s="1003"/>
      <c r="MWC1" s="996"/>
      <c r="MWD1" s="996"/>
      <c r="MWE1" s="996"/>
      <c r="MWF1" s="996"/>
      <c r="MWG1" s="996"/>
      <c r="MWH1" s="996"/>
      <c r="MWI1" s="996"/>
      <c r="MWJ1" s="996"/>
      <c r="MWK1" s="996"/>
      <c r="MWL1" s="996"/>
      <c r="MWM1" s="996"/>
      <c r="MWN1" s="996"/>
      <c r="MWO1" s="1003"/>
      <c r="MWP1" s="1003"/>
      <c r="MWQ1" s="1003"/>
      <c r="MWR1" s="1003"/>
      <c r="MWS1" s="1003"/>
      <c r="MWT1" s="996"/>
      <c r="MWU1" s="996"/>
      <c r="MWV1" s="996"/>
      <c r="MWW1" s="996"/>
      <c r="MWX1" s="996"/>
      <c r="MWY1" s="996"/>
      <c r="MWZ1" s="1003"/>
      <c r="MXA1" s="996"/>
      <c r="MXB1" s="996"/>
      <c r="MXC1" s="996"/>
      <c r="MXD1" s="996"/>
      <c r="MXE1" s="996"/>
      <c r="MXF1" s="996"/>
      <c r="MXG1" s="996"/>
      <c r="MXH1" s="996"/>
      <c r="MXI1" s="996"/>
      <c r="MXJ1" s="996"/>
      <c r="MXK1" s="996"/>
      <c r="MXL1" s="996"/>
      <c r="MXM1" s="996"/>
      <c r="MXN1" s="996"/>
      <c r="MXO1" s="996"/>
      <c r="MXP1" s="996"/>
      <c r="MXQ1" s="996"/>
      <c r="MXR1" s="996"/>
      <c r="MXS1" s="998"/>
      <c r="MXT1" s="998"/>
      <c r="MXU1" s="998"/>
      <c r="MXV1" s="998"/>
      <c r="MXW1" s="998"/>
      <c r="MXX1" s="998"/>
      <c r="MXY1" s="998"/>
      <c r="MXZ1" s="998"/>
      <c r="MYA1" s="998"/>
      <c r="MYB1" s="998"/>
      <c r="MYC1" s="998"/>
      <c r="MYD1" s="996"/>
      <c r="MYE1" s="996"/>
      <c r="MYF1" s="996"/>
      <c r="MYG1" s="996"/>
      <c r="MYH1" s="996"/>
      <c r="MYI1" s="996"/>
      <c r="MYJ1" s="996"/>
      <c r="MYK1" s="998"/>
      <c r="MYL1" s="998"/>
      <c r="MYM1" s="998"/>
      <c r="MYN1" s="998"/>
      <c r="MYO1" s="998"/>
      <c r="MYP1" s="998"/>
      <c r="MYQ1" s="998"/>
      <c r="MYR1" s="996"/>
      <c r="MYS1" s="996"/>
      <c r="MYT1" s="996"/>
      <c r="MYU1" s="996"/>
      <c r="MYV1" s="996"/>
      <c r="MYW1" s="996"/>
      <c r="MYX1" s="996"/>
      <c r="MYY1" s="996"/>
      <c r="MYZ1" s="996"/>
      <c r="MZA1" s="996"/>
      <c r="MZB1" s="996"/>
      <c r="MZC1" s="996"/>
      <c r="MZD1" s="996"/>
      <c r="MZE1" s="996"/>
      <c r="MZF1" s="996"/>
      <c r="MZG1" s="996"/>
      <c r="MZH1" s="996"/>
      <c r="MZI1" s="996"/>
      <c r="MZJ1" s="996"/>
      <c r="MZK1" s="996"/>
      <c r="MZL1" s="996"/>
      <c r="MZM1" s="996"/>
      <c r="MZN1" s="996"/>
      <c r="MZO1" s="996"/>
      <c r="MZP1" s="996"/>
      <c r="MZQ1" s="996"/>
      <c r="MZR1" s="996"/>
      <c r="MZS1" s="1003"/>
      <c r="MZT1" s="996"/>
      <c r="MZU1" s="996"/>
      <c r="MZV1" s="996"/>
      <c r="MZW1" s="996"/>
      <c r="MZX1" s="996"/>
      <c r="MZY1" s="996"/>
      <c r="MZZ1" s="996"/>
      <c r="NAA1" s="996"/>
      <c r="NAB1" s="996"/>
      <c r="NAC1" s="996"/>
      <c r="NAD1" s="996"/>
      <c r="NAE1" s="996"/>
      <c r="NAF1" s="996"/>
      <c r="NAG1" s="996"/>
      <c r="NAH1" s="996"/>
      <c r="NAI1" s="996"/>
      <c r="NAJ1" s="998"/>
      <c r="NAK1" s="998"/>
      <c r="NAL1" s="998"/>
      <c r="NAM1" s="998"/>
      <c r="NAN1" s="998"/>
      <c r="NAO1" s="998"/>
      <c r="NAP1" s="998"/>
      <c r="NAQ1" s="998"/>
      <c r="NAR1" s="998"/>
      <c r="NAS1" s="996"/>
      <c r="NAT1" s="996"/>
      <c r="NAU1" s="996"/>
      <c r="NAV1" s="996"/>
      <c r="NAW1" s="996"/>
      <c r="NAX1" s="996"/>
      <c r="NAY1" s="996"/>
      <c r="NAZ1" s="996"/>
      <c r="NBA1" s="996"/>
      <c r="NBB1" s="998"/>
      <c r="NBC1" s="998"/>
      <c r="NBD1" s="998"/>
      <c r="NBE1" s="998"/>
      <c r="NBF1" s="998"/>
      <c r="NBG1" s="998"/>
      <c r="NBH1" s="998"/>
      <c r="NBI1" s="998"/>
      <c r="NBJ1" s="998"/>
      <c r="NBK1" s="999"/>
      <c r="NBL1" s="1000"/>
      <c r="NBM1" s="1001"/>
      <c r="NBN1" s="1000"/>
      <c r="NBO1" s="1001"/>
      <c r="NBP1" s="1000"/>
      <c r="NBQ1" s="1000"/>
      <c r="NBR1" s="1000"/>
      <c r="NBS1" s="1000"/>
      <c r="NBT1" s="1000"/>
      <c r="NBU1" s="1000"/>
      <c r="NBV1" s="1000"/>
      <c r="NBW1" s="1000"/>
      <c r="NBX1" s="1000"/>
      <c r="NBY1" s="1000"/>
      <c r="NBZ1" s="1000"/>
      <c r="NCA1" s="1000"/>
      <c r="NCB1" s="998"/>
      <c r="NCC1" s="998"/>
      <c r="NCD1" s="998"/>
      <c r="NCE1" s="998"/>
      <c r="NCF1" s="998"/>
      <c r="NCG1" s="998"/>
      <c r="NCH1" s="998"/>
      <c r="NCI1" s="996"/>
      <c r="NCJ1" s="996"/>
      <c r="NCK1" s="996"/>
      <c r="NCL1" s="996"/>
      <c r="NCM1" s="996"/>
      <c r="NCN1" s="996"/>
      <c r="NCO1" s="996"/>
      <c r="NCP1" s="996"/>
      <c r="NCQ1" s="996"/>
      <c r="NCR1" s="996"/>
      <c r="NCS1" s="996"/>
      <c r="NCT1" s="996"/>
      <c r="NCU1" s="996"/>
      <c r="NCV1" s="996"/>
      <c r="NCW1" s="996"/>
      <c r="NCX1" s="996"/>
      <c r="NCY1" s="996"/>
      <c r="NCZ1" s="996"/>
      <c r="NDA1" s="996"/>
      <c r="NDB1" s="996"/>
      <c r="NDC1" s="996"/>
      <c r="NDD1" s="996"/>
      <c r="NDE1" s="996"/>
      <c r="NDF1" s="996"/>
      <c r="NDG1" s="996"/>
      <c r="NDH1" s="996"/>
      <c r="NDI1" s="996"/>
      <c r="NDJ1" s="996"/>
      <c r="NDK1" s="996"/>
      <c r="NDL1" s="996"/>
      <c r="NDM1" s="996"/>
      <c r="NDN1" s="996"/>
      <c r="NDO1" s="996"/>
      <c r="NDP1" s="996"/>
      <c r="NDQ1" s="996"/>
      <c r="NDR1" s="996"/>
      <c r="NDS1" s="996"/>
      <c r="NDT1" s="996"/>
      <c r="NDU1" s="996"/>
      <c r="NDV1" s="995"/>
      <c r="NDW1" s="995"/>
      <c r="NDX1" s="996"/>
      <c r="NDY1" s="997"/>
      <c r="NDZ1" s="1002"/>
      <c r="NEA1" s="996"/>
      <c r="NEB1" s="996"/>
      <c r="NEC1" s="996"/>
      <c r="NED1" s="996"/>
      <c r="NEE1" s="996"/>
      <c r="NEF1" s="996"/>
      <c r="NEG1" s="996"/>
      <c r="NEH1" s="996"/>
      <c r="NEI1" s="996"/>
      <c r="NEJ1" s="996"/>
      <c r="NEK1" s="996"/>
      <c r="NEL1" s="996"/>
      <c r="NEM1" s="996"/>
      <c r="NEN1" s="996"/>
      <c r="NEO1" s="996"/>
      <c r="NEP1" s="996"/>
      <c r="NEQ1" s="996"/>
      <c r="NER1" s="996"/>
      <c r="NES1" s="996"/>
      <c r="NET1" s="996"/>
      <c r="NEU1" s="996"/>
      <c r="NEV1" s="1003"/>
      <c r="NEW1" s="996"/>
      <c r="NEX1" s="1003"/>
      <c r="NEY1" s="996"/>
      <c r="NEZ1" s="996"/>
      <c r="NFA1" s="996"/>
      <c r="NFB1" s="996"/>
      <c r="NFC1" s="996"/>
      <c r="NFD1" s="996"/>
      <c r="NFE1" s="996"/>
      <c r="NFF1" s="996"/>
      <c r="NFG1" s="996"/>
      <c r="NFH1" s="996"/>
      <c r="NFI1" s="996"/>
      <c r="NFJ1" s="996"/>
      <c r="NFK1" s="1003"/>
      <c r="NFL1" s="1003"/>
      <c r="NFM1" s="1003"/>
      <c r="NFN1" s="1003"/>
      <c r="NFO1" s="1003"/>
      <c r="NFP1" s="996"/>
      <c r="NFQ1" s="996"/>
      <c r="NFR1" s="996"/>
      <c r="NFS1" s="996"/>
      <c r="NFT1" s="996"/>
      <c r="NFU1" s="996"/>
      <c r="NFV1" s="1003"/>
      <c r="NFW1" s="996"/>
      <c r="NFX1" s="996"/>
      <c r="NFY1" s="996"/>
      <c r="NFZ1" s="996"/>
      <c r="NGA1" s="996"/>
      <c r="NGB1" s="996"/>
      <c r="NGC1" s="996"/>
      <c r="NGD1" s="996"/>
      <c r="NGE1" s="996"/>
      <c r="NGF1" s="996"/>
      <c r="NGG1" s="996"/>
      <c r="NGH1" s="996"/>
      <c r="NGI1" s="996"/>
      <c r="NGJ1" s="996"/>
      <c r="NGK1" s="996"/>
      <c r="NGL1" s="996"/>
      <c r="NGM1" s="996"/>
      <c r="NGN1" s="996"/>
      <c r="NGO1" s="998"/>
      <c r="NGP1" s="998"/>
      <c r="NGQ1" s="998"/>
      <c r="NGR1" s="998"/>
      <c r="NGS1" s="998"/>
      <c r="NGT1" s="998"/>
      <c r="NGU1" s="998"/>
      <c r="NGV1" s="998"/>
      <c r="NGW1" s="998"/>
      <c r="NGX1" s="998"/>
      <c r="NGY1" s="998"/>
      <c r="NGZ1" s="996"/>
      <c r="NHA1" s="996"/>
      <c r="NHB1" s="996"/>
      <c r="NHC1" s="996"/>
      <c r="NHD1" s="996"/>
      <c r="NHE1" s="996"/>
      <c r="NHF1" s="996"/>
      <c r="NHG1" s="998"/>
      <c r="NHH1" s="998"/>
      <c r="NHI1" s="998"/>
      <c r="NHJ1" s="998"/>
      <c r="NHK1" s="998"/>
      <c r="NHL1" s="998"/>
      <c r="NHM1" s="998"/>
      <c r="NHN1" s="996"/>
      <c r="NHO1" s="996"/>
      <c r="NHP1" s="996"/>
      <c r="NHQ1" s="996"/>
      <c r="NHR1" s="996"/>
      <c r="NHS1" s="996"/>
      <c r="NHT1" s="996"/>
      <c r="NHU1" s="996"/>
      <c r="NHV1" s="996"/>
      <c r="NHW1" s="996"/>
      <c r="NHX1" s="996"/>
      <c r="NHY1" s="996"/>
      <c r="NHZ1" s="996"/>
      <c r="NIA1" s="996"/>
      <c r="NIB1" s="996"/>
      <c r="NIC1" s="996"/>
      <c r="NID1" s="996"/>
      <c r="NIE1" s="996"/>
      <c r="NIF1" s="996"/>
      <c r="NIG1" s="996"/>
      <c r="NIH1" s="996"/>
      <c r="NII1" s="996"/>
      <c r="NIJ1" s="996"/>
      <c r="NIK1" s="996"/>
      <c r="NIL1" s="996"/>
      <c r="NIM1" s="996"/>
      <c r="NIN1" s="996"/>
      <c r="NIO1" s="1003"/>
      <c r="NIP1" s="996"/>
      <c r="NIQ1" s="996"/>
      <c r="NIR1" s="996"/>
      <c r="NIS1" s="996"/>
      <c r="NIT1" s="996"/>
      <c r="NIU1" s="996"/>
      <c r="NIV1" s="996"/>
      <c r="NIW1" s="996"/>
      <c r="NIX1" s="996"/>
      <c r="NIY1" s="996"/>
      <c r="NIZ1" s="996"/>
      <c r="NJA1" s="996"/>
      <c r="NJB1" s="996"/>
      <c r="NJC1" s="996"/>
      <c r="NJD1" s="996"/>
      <c r="NJE1" s="996"/>
      <c r="NJF1" s="998"/>
      <c r="NJG1" s="998"/>
      <c r="NJH1" s="998"/>
      <c r="NJI1" s="998"/>
      <c r="NJJ1" s="998"/>
      <c r="NJK1" s="998"/>
      <c r="NJL1" s="998"/>
      <c r="NJM1" s="998"/>
      <c r="NJN1" s="998"/>
      <c r="NJO1" s="996"/>
      <c r="NJP1" s="996"/>
      <c r="NJQ1" s="996"/>
      <c r="NJR1" s="996"/>
      <c r="NJS1" s="996"/>
      <c r="NJT1" s="996"/>
      <c r="NJU1" s="996"/>
      <c r="NJV1" s="996"/>
      <c r="NJW1" s="996"/>
      <c r="NJX1" s="998"/>
      <c r="NJY1" s="998"/>
      <c r="NJZ1" s="998"/>
      <c r="NKA1" s="998"/>
      <c r="NKB1" s="998"/>
      <c r="NKC1" s="998"/>
      <c r="NKD1" s="998"/>
      <c r="NKE1" s="998"/>
      <c r="NKF1" s="998"/>
      <c r="NKG1" s="999"/>
      <c r="NKH1" s="1000"/>
      <c r="NKI1" s="1001"/>
      <c r="NKJ1" s="1000"/>
      <c r="NKK1" s="1001"/>
      <c r="NKL1" s="1000"/>
      <c r="NKM1" s="1000"/>
      <c r="NKN1" s="1000"/>
      <c r="NKO1" s="1000"/>
      <c r="NKP1" s="1000"/>
      <c r="NKQ1" s="1000"/>
      <c r="NKR1" s="1000"/>
      <c r="NKS1" s="1000"/>
      <c r="NKT1" s="1000"/>
      <c r="NKU1" s="1000"/>
      <c r="NKV1" s="1000"/>
      <c r="NKW1" s="1000"/>
      <c r="NKX1" s="998"/>
      <c r="NKY1" s="998"/>
      <c r="NKZ1" s="998"/>
      <c r="NLA1" s="998"/>
      <c r="NLB1" s="998"/>
      <c r="NLC1" s="998"/>
      <c r="NLD1" s="998"/>
      <c r="NLE1" s="996"/>
      <c r="NLF1" s="996"/>
      <c r="NLG1" s="996"/>
      <c r="NLH1" s="996"/>
      <c r="NLI1" s="996"/>
      <c r="NLJ1" s="996"/>
      <c r="NLK1" s="996"/>
      <c r="NLL1" s="996"/>
      <c r="NLM1" s="996"/>
      <c r="NLN1" s="996"/>
      <c r="NLO1" s="996"/>
      <c r="NLP1" s="996"/>
      <c r="NLQ1" s="996"/>
      <c r="NLR1" s="996"/>
      <c r="NLS1" s="996"/>
      <c r="NLT1" s="996"/>
      <c r="NLU1" s="996"/>
      <c r="NLV1" s="996"/>
      <c r="NLW1" s="996"/>
      <c r="NLX1" s="996"/>
      <c r="NLY1" s="996"/>
      <c r="NLZ1" s="996"/>
      <c r="NMA1" s="996"/>
      <c r="NMB1" s="996"/>
      <c r="NMC1" s="996"/>
      <c r="NMD1" s="996"/>
      <c r="NME1" s="996"/>
      <c r="NMF1" s="996"/>
      <c r="NMG1" s="996"/>
      <c r="NMH1" s="996"/>
      <c r="NMI1" s="996"/>
      <c r="NMJ1" s="996"/>
      <c r="NMK1" s="996"/>
      <c r="NML1" s="996"/>
      <c r="NMM1" s="996"/>
      <c r="NMN1" s="996"/>
      <c r="NMO1" s="996"/>
      <c r="NMP1" s="996"/>
      <c r="NMQ1" s="996"/>
      <c r="NMR1" s="995"/>
      <c r="NMS1" s="995"/>
      <c r="NMT1" s="996"/>
      <c r="NMU1" s="997"/>
      <c r="NMV1" s="1002"/>
      <c r="NMW1" s="996"/>
      <c r="NMX1" s="996"/>
      <c r="NMY1" s="996"/>
      <c r="NMZ1" s="996"/>
      <c r="NNA1" s="996"/>
      <c r="NNB1" s="996"/>
      <c r="NNC1" s="996"/>
      <c r="NND1" s="996"/>
      <c r="NNE1" s="996"/>
      <c r="NNF1" s="996"/>
      <c r="NNG1" s="996"/>
      <c r="NNH1" s="996"/>
      <c r="NNI1" s="996"/>
      <c r="NNJ1" s="996"/>
      <c r="NNK1" s="996"/>
      <c r="NNL1" s="996"/>
      <c r="NNM1" s="996"/>
      <c r="NNN1" s="996"/>
      <c r="NNO1" s="996"/>
      <c r="NNP1" s="996"/>
      <c r="NNQ1" s="996"/>
      <c r="NNR1" s="1003"/>
      <c r="NNS1" s="996"/>
      <c r="NNT1" s="1003"/>
      <c r="NNU1" s="996"/>
      <c r="NNV1" s="996"/>
      <c r="NNW1" s="996"/>
      <c r="NNX1" s="996"/>
      <c r="NNY1" s="996"/>
      <c r="NNZ1" s="996"/>
      <c r="NOA1" s="996"/>
      <c r="NOB1" s="996"/>
      <c r="NOC1" s="996"/>
      <c r="NOD1" s="996"/>
      <c r="NOE1" s="996"/>
      <c r="NOF1" s="996"/>
      <c r="NOG1" s="1003"/>
      <c r="NOH1" s="1003"/>
      <c r="NOI1" s="1003"/>
      <c r="NOJ1" s="1003"/>
      <c r="NOK1" s="1003"/>
      <c r="NOL1" s="996"/>
      <c r="NOM1" s="996"/>
      <c r="NON1" s="996"/>
      <c r="NOO1" s="996"/>
      <c r="NOP1" s="996"/>
      <c r="NOQ1" s="996"/>
      <c r="NOR1" s="1003"/>
      <c r="NOS1" s="996"/>
      <c r="NOT1" s="996"/>
      <c r="NOU1" s="996"/>
      <c r="NOV1" s="996"/>
      <c r="NOW1" s="996"/>
      <c r="NOX1" s="996"/>
      <c r="NOY1" s="996"/>
      <c r="NOZ1" s="996"/>
      <c r="NPA1" s="996"/>
      <c r="NPB1" s="996"/>
      <c r="NPC1" s="996"/>
      <c r="NPD1" s="996"/>
      <c r="NPE1" s="996"/>
      <c r="NPF1" s="996"/>
      <c r="NPG1" s="996"/>
      <c r="NPH1" s="996"/>
      <c r="NPI1" s="996"/>
      <c r="NPJ1" s="996"/>
      <c r="NPK1" s="998"/>
      <c r="NPL1" s="998"/>
      <c r="NPM1" s="998"/>
      <c r="NPN1" s="998"/>
      <c r="NPO1" s="998"/>
      <c r="NPP1" s="998"/>
      <c r="NPQ1" s="998"/>
      <c r="NPR1" s="998"/>
      <c r="NPS1" s="998"/>
      <c r="NPT1" s="998"/>
      <c r="NPU1" s="998"/>
      <c r="NPV1" s="996"/>
      <c r="NPW1" s="996"/>
      <c r="NPX1" s="996"/>
      <c r="NPY1" s="996"/>
      <c r="NPZ1" s="996"/>
      <c r="NQA1" s="996"/>
      <c r="NQB1" s="996"/>
      <c r="NQC1" s="998"/>
      <c r="NQD1" s="998"/>
      <c r="NQE1" s="998"/>
      <c r="NQF1" s="998"/>
      <c r="NQG1" s="998"/>
      <c r="NQH1" s="998"/>
      <c r="NQI1" s="998"/>
      <c r="NQJ1" s="996"/>
      <c r="NQK1" s="996"/>
      <c r="NQL1" s="996"/>
      <c r="NQM1" s="996"/>
      <c r="NQN1" s="996"/>
      <c r="NQO1" s="996"/>
      <c r="NQP1" s="996"/>
      <c r="NQQ1" s="996"/>
      <c r="NQR1" s="996"/>
      <c r="NQS1" s="996"/>
      <c r="NQT1" s="996"/>
      <c r="NQU1" s="996"/>
      <c r="NQV1" s="996"/>
      <c r="NQW1" s="996"/>
      <c r="NQX1" s="996"/>
      <c r="NQY1" s="996"/>
      <c r="NQZ1" s="996"/>
      <c r="NRA1" s="996"/>
      <c r="NRB1" s="996"/>
      <c r="NRC1" s="996"/>
      <c r="NRD1" s="996"/>
      <c r="NRE1" s="996"/>
      <c r="NRF1" s="996"/>
      <c r="NRG1" s="996"/>
      <c r="NRH1" s="996"/>
      <c r="NRI1" s="996"/>
      <c r="NRJ1" s="996"/>
      <c r="NRK1" s="1003"/>
      <c r="NRL1" s="996"/>
      <c r="NRM1" s="996"/>
      <c r="NRN1" s="996"/>
      <c r="NRO1" s="996"/>
      <c r="NRP1" s="996"/>
      <c r="NRQ1" s="996"/>
      <c r="NRR1" s="996"/>
      <c r="NRS1" s="996"/>
      <c r="NRT1" s="996"/>
      <c r="NRU1" s="996"/>
      <c r="NRV1" s="996"/>
      <c r="NRW1" s="996"/>
      <c r="NRX1" s="996"/>
      <c r="NRY1" s="996"/>
      <c r="NRZ1" s="996"/>
      <c r="NSA1" s="996"/>
      <c r="NSB1" s="998"/>
      <c r="NSC1" s="998"/>
      <c r="NSD1" s="998"/>
      <c r="NSE1" s="998"/>
      <c r="NSF1" s="998"/>
      <c r="NSG1" s="998"/>
      <c r="NSH1" s="998"/>
      <c r="NSI1" s="998"/>
      <c r="NSJ1" s="998"/>
      <c r="NSK1" s="996"/>
      <c r="NSL1" s="996"/>
      <c r="NSM1" s="996"/>
      <c r="NSN1" s="996"/>
      <c r="NSO1" s="996"/>
      <c r="NSP1" s="996"/>
      <c r="NSQ1" s="996"/>
      <c r="NSR1" s="996"/>
      <c r="NSS1" s="996"/>
      <c r="NST1" s="998"/>
      <c r="NSU1" s="998"/>
      <c r="NSV1" s="998"/>
      <c r="NSW1" s="998"/>
      <c r="NSX1" s="998"/>
      <c r="NSY1" s="998"/>
      <c r="NSZ1" s="998"/>
      <c r="NTA1" s="998"/>
      <c r="NTB1" s="998"/>
      <c r="NTC1" s="999"/>
      <c r="NTD1" s="1000"/>
      <c r="NTE1" s="1001"/>
      <c r="NTF1" s="1000"/>
      <c r="NTG1" s="1001"/>
      <c r="NTH1" s="1000"/>
      <c r="NTI1" s="1000"/>
      <c r="NTJ1" s="1000"/>
      <c r="NTK1" s="1000"/>
      <c r="NTL1" s="1000"/>
      <c r="NTM1" s="1000"/>
      <c r="NTN1" s="1000"/>
      <c r="NTO1" s="1000"/>
      <c r="NTP1" s="1000"/>
      <c r="NTQ1" s="1000"/>
      <c r="NTR1" s="1000"/>
      <c r="NTS1" s="1000"/>
      <c r="NTT1" s="998"/>
      <c r="NTU1" s="998"/>
      <c r="NTV1" s="998"/>
      <c r="NTW1" s="998"/>
      <c r="NTX1" s="998"/>
      <c r="NTY1" s="998"/>
      <c r="NTZ1" s="998"/>
      <c r="NUA1" s="996"/>
      <c r="NUB1" s="996"/>
      <c r="NUC1" s="996"/>
      <c r="NUD1" s="996"/>
      <c r="NUE1" s="996"/>
      <c r="NUF1" s="996"/>
      <c r="NUG1" s="996"/>
      <c r="NUH1" s="996"/>
      <c r="NUI1" s="996"/>
      <c r="NUJ1" s="996"/>
      <c r="NUK1" s="996"/>
      <c r="NUL1" s="996"/>
      <c r="NUM1" s="996"/>
      <c r="NUN1" s="996"/>
      <c r="NUO1" s="996"/>
      <c r="NUP1" s="996"/>
      <c r="NUQ1" s="996"/>
      <c r="NUR1" s="996"/>
      <c r="NUS1" s="996"/>
      <c r="NUT1" s="996"/>
      <c r="NUU1" s="996"/>
      <c r="NUV1" s="996"/>
      <c r="NUW1" s="996"/>
      <c r="NUX1" s="996"/>
      <c r="NUY1" s="996"/>
      <c r="NUZ1" s="996"/>
      <c r="NVA1" s="996"/>
      <c r="NVB1" s="996"/>
      <c r="NVC1" s="996"/>
      <c r="NVD1" s="996"/>
      <c r="NVE1" s="996"/>
      <c r="NVF1" s="996"/>
      <c r="NVG1" s="996"/>
      <c r="NVH1" s="996"/>
      <c r="NVI1" s="996"/>
      <c r="NVJ1" s="996"/>
      <c r="NVK1" s="996"/>
      <c r="NVL1" s="996"/>
      <c r="NVM1" s="996"/>
      <c r="NVN1" s="995"/>
      <c r="NVO1" s="995"/>
      <c r="NVP1" s="996"/>
      <c r="NVQ1" s="997"/>
      <c r="NVR1" s="1002"/>
      <c r="NVS1" s="996"/>
      <c r="NVT1" s="996"/>
      <c r="NVU1" s="996"/>
      <c r="NVV1" s="996"/>
      <c r="NVW1" s="996"/>
      <c r="NVX1" s="996"/>
      <c r="NVY1" s="996"/>
      <c r="NVZ1" s="996"/>
      <c r="NWA1" s="996"/>
      <c r="NWB1" s="996"/>
      <c r="NWC1" s="996"/>
      <c r="NWD1" s="996"/>
      <c r="NWE1" s="996"/>
      <c r="NWF1" s="996"/>
      <c r="NWG1" s="996"/>
      <c r="NWH1" s="996"/>
      <c r="NWI1" s="996"/>
      <c r="NWJ1" s="996"/>
      <c r="NWK1" s="996"/>
      <c r="NWL1" s="996"/>
      <c r="NWM1" s="996"/>
      <c r="NWN1" s="1003"/>
      <c r="NWO1" s="996"/>
      <c r="NWP1" s="1003"/>
      <c r="NWQ1" s="996"/>
      <c r="NWR1" s="996"/>
      <c r="NWS1" s="996"/>
      <c r="NWT1" s="996"/>
      <c r="NWU1" s="996"/>
      <c r="NWV1" s="996"/>
      <c r="NWW1" s="996"/>
      <c r="NWX1" s="996"/>
      <c r="NWY1" s="996"/>
      <c r="NWZ1" s="996"/>
      <c r="NXA1" s="996"/>
      <c r="NXB1" s="996"/>
      <c r="NXC1" s="1003"/>
      <c r="NXD1" s="1003"/>
      <c r="NXE1" s="1003"/>
      <c r="NXF1" s="1003"/>
      <c r="NXG1" s="1003"/>
      <c r="NXH1" s="996"/>
      <c r="NXI1" s="996"/>
      <c r="NXJ1" s="996"/>
      <c r="NXK1" s="996"/>
      <c r="NXL1" s="996"/>
      <c r="NXM1" s="996"/>
      <c r="NXN1" s="1003"/>
      <c r="NXO1" s="996"/>
      <c r="NXP1" s="996"/>
      <c r="NXQ1" s="996"/>
      <c r="NXR1" s="996"/>
      <c r="NXS1" s="996"/>
      <c r="NXT1" s="996"/>
      <c r="NXU1" s="996"/>
      <c r="NXV1" s="996"/>
      <c r="NXW1" s="996"/>
      <c r="NXX1" s="996"/>
      <c r="NXY1" s="996"/>
      <c r="NXZ1" s="996"/>
      <c r="NYA1" s="996"/>
      <c r="NYB1" s="996"/>
      <c r="NYC1" s="996"/>
      <c r="NYD1" s="996"/>
      <c r="NYE1" s="996"/>
      <c r="NYF1" s="996"/>
      <c r="NYG1" s="998"/>
      <c r="NYH1" s="998"/>
      <c r="NYI1" s="998"/>
      <c r="NYJ1" s="998"/>
      <c r="NYK1" s="998"/>
      <c r="NYL1" s="998"/>
      <c r="NYM1" s="998"/>
      <c r="NYN1" s="998"/>
      <c r="NYO1" s="998"/>
      <c r="NYP1" s="998"/>
      <c r="NYQ1" s="998"/>
      <c r="NYR1" s="996"/>
      <c r="NYS1" s="996"/>
      <c r="NYT1" s="996"/>
      <c r="NYU1" s="996"/>
      <c r="NYV1" s="996"/>
      <c r="NYW1" s="996"/>
      <c r="NYX1" s="996"/>
      <c r="NYY1" s="998"/>
      <c r="NYZ1" s="998"/>
      <c r="NZA1" s="998"/>
      <c r="NZB1" s="998"/>
      <c r="NZC1" s="998"/>
      <c r="NZD1" s="998"/>
      <c r="NZE1" s="998"/>
      <c r="NZF1" s="996"/>
      <c r="NZG1" s="996"/>
      <c r="NZH1" s="996"/>
      <c r="NZI1" s="996"/>
      <c r="NZJ1" s="996"/>
      <c r="NZK1" s="996"/>
      <c r="NZL1" s="996"/>
      <c r="NZM1" s="996"/>
      <c r="NZN1" s="996"/>
      <c r="NZO1" s="996"/>
      <c r="NZP1" s="996"/>
      <c r="NZQ1" s="996"/>
      <c r="NZR1" s="996"/>
      <c r="NZS1" s="996"/>
      <c r="NZT1" s="996"/>
      <c r="NZU1" s="996"/>
      <c r="NZV1" s="996"/>
      <c r="NZW1" s="996"/>
      <c r="NZX1" s="996"/>
      <c r="NZY1" s="996"/>
      <c r="NZZ1" s="996"/>
      <c r="OAA1" s="996"/>
      <c r="OAB1" s="996"/>
      <c r="OAC1" s="996"/>
      <c r="OAD1" s="996"/>
      <c r="OAE1" s="996"/>
      <c r="OAF1" s="996"/>
      <c r="OAG1" s="1003"/>
      <c r="OAH1" s="996"/>
      <c r="OAI1" s="996"/>
      <c r="OAJ1" s="996"/>
      <c r="OAK1" s="996"/>
      <c r="OAL1" s="996"/>
      <c r="OAM1" s="996"/>
      <c r="OAN1" s="996"/>
      <c r="OAO1" s="996"/>
      <c r="OAP1" s="996"/>
      <c r="OAQ1" s="996"/>
      <c r="OAR1" s="996"/>
      <c r="OAS1" s="996"/>
      <c r="OAT1" s="996"/>
      <c r="OAU1" s="996"/>
      <c r="OAV1" s="996"/>
      <c r="OAW1" s="996"/>
      <c r="OAX1" s="998"/>
      <c r="OAY1" s="998"/>
      <c r="OAZ1" s="998"/>
      <c r="OBA1" s="998"/>
      <c r="OBB1" s="998"/>
      <c r="OBC1" s="998"/>
      <c r="OBD1" s="998"/>
      <c r="OBE1" s="998"/>
      <c r="OBF1" s="998"/>
      <c r="OBG1" s="996"/>
      <c r="OBH1" s="996"/>
      <c r="OBI1" s="996"/>
      <c r="OBJ1" s="996"/>
      <c r="OBK1" s="996"/>
      <c r="OBL1" s="996"/>
      <c r="OBM1" s="996"/>
      <c r="OBN1" s="996"/>
      <c r="OBO1" s="996"/>
      <c r="OBP1" s="998"/>
      <c r="OBQ1" s="998"/>
      <c r="OBR1" s="998"/>
      <c r="OBS1" s="998"/>
      <c r="OBT1" s="998"/>
      <c r="OBU1" s="998"/>
      <c r="OBV1" s="998"/>
      <c r="OBW1" s="998"/>
      <c r="OBX1" s="998"/>
      <c r="OBY1" s="999"/>
      <c r="OBZ1" s="1000"/>
      <c r="OCA1" s="1001"/>
      <c r="OCB1" s="1000"/>
      <c r="OCC1" s="1001"/>
      <c r="OCD1" s="1000"/>
      <c r="OCE1" s="1000"/>
      <c r="OCF1" s="1000"/>
      <c r="OCG1" s="1000"/>
      <c r="OCH1" s="1000"/>
      <c r="OCI1" s="1000"/>
      <c r="OCJ1" s="1000"/>
      <c r="OCK1" s="1000"/>
      <c r="OCL1" s="1000"/>
      <c r="OCM1" s="1000"/>
      <c r="OCN1" s="1000"/>
      <c r="OCO1" s="1000"/>
      <c r="OCP1" s="998"/>
      <c r="OCQ1" s="998"/>
      <c r="OCR1" s="998"/>
      <c r="OCS1" s="998"/>
      <c r="OCT1" s="998"/>
      <c r="OCU1" s="998"/>
      <c r="OCV1" s="998"/>
      <c r="OCW1" s="996"/>
      <c r="OCX1" s="996"/>
      <c r="OCY1" s="996"/>
      <c r="OCZ1" s="996"/>
      <c r="ODA1" s="996"/>
      <c r="ODB1" s="996"/>
      <c r="ODC1" s="996"/>
      <c r="ODD1" s="996"/>
      <c r="ODE1" s="996"/>
      <c r="ODF1" s="996"/>
      <c r="ODG1" s="996"/>
      <c r="ODH1" s="996"/>
      <c r="ODI1" s="996"/>
      <c r="ODJ1" s="996"/>
      <c r="ODK1" s="996"/>
      <c r="ODL1" s="996"/>
      <c r="ODM1" s="996"/>
      <c r="ODN1" s="996"/>
      <c r="ODO1" s="996"/>
      <c r="ODP1" s="996"/>
      <c r="ODQ1" s="996"/>
      <c r="ODR1" s="996"/>
      <c r="ODS1" s="996"/>
      <c r="ODT1" s="996"/>
      <c r="ODU1" s="996"/>
      <c r="ODV1" s="996"/>
      <c r="ODW1" s="996"/>
      <c r="ODX1" s="996"/>
      <c r="ODY1" s="996"/>
      <c r="ODZ1" s="996"/>
      <c r="OEA1" s="996"/>
      <c r="OEB1" s="996"/>
      <c r="OEC1" s="996"/>
      <c r="OED1" s="996"/>
      <c r="OEE1" s="996"/>
      <c r="OEF1" s="996"/>
      <c r="OEG1" s="996"/>
      <c r="OEH1" s="996"/>
      <c r="OEI1" s="996"/>
      <c r="OEJ1" s="995"/>
      <c r="OEK1" s="995"/>
      <c r="OEL1" s="996"/>
      <c r="OEM1" s="997"/>
      <c r="OEN1" s="1002"/>
      <c r="OEO1" s="996"/>
      <c r="OEP1" s="996"/>
      <c r="OEQ1" s="996"/>
      <c r="OER1" s="996"/>
      <c r="OES1" s="996"/>
      <c r="OET1" s="996"/>
      <c r="OEU1" s="996"/>
      <c r="OEV1" s="996"/>
      <c r="OEW1" s="996"/>
      <c r="OEX1" s="996"/>
      <c r="OEY1" s="996"/>
      <c r="OEZ1" s="996"/>
      <c r="OFA1" s="996"/>
      <c r="OFB1" s="996"/>
      <c r="OFC1" s="996"/>
      <c r="OFD1" s="996"/>
      <c r="OFE1" s="996"/>
      <c r="OFF1" s="996"/>
      <c r="OFG1" s="996"/>
      <c r="OFH1" s="996"/>
      <c r="OFI1" s="996"/>
      <c r="OFJ1" s="1003"/>
      <c r="OFK1" s="996"/>
      <c r="OFL1" s="1003"/>
      <c r="OFM1" s="996"/>
      <c r="OFN1" s="996"/>
      <c r="OFO1" s="996"/>
      <c r="OFP1" s="996"/>
      <c r="OFQ1" s="996"/>
      <c r="OFR1" s="996"/>
      <c r="OFS1" s="996"/>
      <c r="OFT1" s="996"/>
      <c r="OFU1" s="996"/>
      <c r="OFV1" s="996"/>
      <c r="OFW1" s="996"/>
      <c r="OFX1" s="996"/>
      <c r="OFY1" s="1003"/>
      <c r="OFZ1" s="1003"/>
      <c r="OGA1" s="1003"/>
      <c r="OGB1" s="1003"/>
      <c r="OGC1" s="1003"/>
      <c r="OGD1" s="996"/>
      <c r="OGE1" s="996"/>
      <c r="OGF1" s="996"/>
      <c r="OGG1" s="996"/>
      <c r="OGH1" s="996"/>
      <c r="OGI1" s="996"/>
      <c r="OGJ1" s="1003"/>
      <c r="OGK1" s="996"/>
      <c r="OGL1" s="996"/>
      <c r="OGM1" s="996"/>
      <c r="OGN1" s="996"/>
      <c r="OGO1" s="996"/>
      <c r="OGP1" s="996"/>
      <c r="OGQ1" s="996"/>
      <c r="OGR1" s="996"/>
      <c r="OGS1" s="996"/>
      <c r="OGT1" s="996"/>
      <c r="OGU1" s="996"/>
      <c r="OGV1" s="996"/>
      <c r="OGW1" s="996"/>
      <c r="OGX1" s="996"/>
      <c r="OGY1" s="996"/>
      <c r="OGZ1" s="996"/>
      <c r="OHA1" s="996"/>
      <c r="OHB1" s="996"/>
      <c r="OHC1" s="998"/>
      <c r="OHD1" s="998"/>
      <c r="OHE1" s="998"/>
      <c r="OHF1" s="998"/>
      <c r="OHG1" s="998"/>
      <c r="OHH1" s="998"/>
      <c r="OHI1" s="998"/>
      <c r="OHJ1" s="998"/>
      <c r="OHK1" s="998"/>
      <c r="OHL1" s="998"/>
      <c r="OHM1" s="998"/>
      <c r="OHN1" s="996"/>
      <c r="OHO1" s="996"/>
      <c r="OHP1" s="996"/>
      <c r="OHQ1" s="996"/>
      <c r="OHR1" s="996"/>
      <c r="OHS1" s="996"/>
      <c r="OHT1" s="996"/>
      <c r="OHU1" s="998"/>
      <c r="OHV1" s="998"/>
      <c r="OHW1" s="998"/>
      <c r="OHX1" s="998"/>
      <c r="OHY1" s="998"/>
      <c r="OHZ1" s="998"/>
      <c r="OIA1" s="998"/>
      <c r="OIB1" s="996"/>
      <c r="OIC1" s="996"/>
      <c r="OID1" s="996"/>
      <c r="OIE1" s="996"/>
      <c r="OIF1" s="996"/>
      <c r="OIG1" s="996"/>
      <c r="OIH1" s="996"/>
      <c r="OII1" s="996"/>
      <c r="OIJ1" s="996"/>
      <c r="OIK1" s="996"/>
      <c r="OIL1" s="996"/>
      <c r="OIM1" s="996"/>
      <c r="OIN1" s="996"/>
      <c r="OIO1" s="996"/>
      <c r="OIP1" s="996"/>
      <c r="OIQ1" s="996"/>
      <c r="OIR1" s="996"/>
      <c r="OIS1" s="996"/>
      <c r="OIT1" s="996"/>
      <c r="OIU1" s="996"/>
      <c r="OIV1" s="996"/>
      <c r="OIW1" s="996"/>
      <c r="OIX1" s="996"/>
      <c r="OIY1" s="996"/>
      <c r="OIZ1" s="996"/>
      <c r="OJA1" s="996"/>
      <c r="OJB1" s="996"/>
      <c r="OJC1" s="1003"/>
      <c r="OJD1" s="996"/>
      <c r="OJE1" s="996"/>
      <c r="OJF1" s="996"/>
      <c r="OJG1" s="996"/>
      <c r="OJH1" s="996"/>
      <c r="OJI1" s="996"/>
      <c r="OJJ1" s="996"/>
      <c r="OJK1" s="996"/>
      <c r="OJL1" s="996"/>
      <c r="OJM1" s="996"/>
      <c r="OJN1" s="996"/>
      <c r="OJO1" s="996"/>
      <c r="OJP1" s="996"/>
      <c r="OJQ1" s="996"/>
      <c r="OJR1" s="996"/>
      <c r="OJS1" s="996"/>
      <c r="OJT1" s="998"/>
      <c r="OJU1" s="998"/>
      <c r="OJV1" s="998"/>
      <c r="OJW1" s="998"/>
      <c r="OJX1" s="998"/>
      <c r="OJY1" s="998"/>
      <c r="OJZ1" s="998"/>
      <c r="OKA1" s="998"/>
      <c r="OKB1" s="998"/>
      <c r="OKC1" s="996"/>
      <c r="OKD1" s="996"/>
      <c r="OKE1" s="996"/>
      <c r="OKF1" s="996"/>
      <c r="OKG1" s="996"/>
      <c r="OKH1" s="996"/>
      <c r="OKI1" s="996"/>
      <c r="OKJ1" s="996"/>
      <c r="OKK1" s="996"/>
      <c r="OKL1" s="998"/>
      <c r="OKM1" s="998"/>
      <c r="OKN1" s="998"/>
      <c r="OKO1" s="998"/>
      <c r="OKP1" s="998"/>
      <c r="OKQ1" s="998"/>
      <c r="OKR1" s="998"/>
      <c r="OKS1" s="998"/>
      <c r="OKT1" s="998"/>
      <c r="OKU1" s="999"/>
      <c r="OKV1" s="1000"/>
      <c r="OKW1" s="1001"/>
      <c r="OKX1" s="1000"/>
      <c r="OKY1" s="1001"/>
      <c r="OKZ1" s="1000"/>
      <c r="OLA1" s="1000"/>
      <c r="OLB1" s="1000"/>
      <c r="OLC1" s="1000"/>
      <c r="OLD1" s="1000"/>
      <c r="OLE1" s="1000"/>
      <c r="OLF1" s="1000"/>
      <c r="OLG1" s="1000"/>
      <c r="OLH1" s="1000"/>
      <c r="OLI1" s="1000"/>
      <c r="OLJ1" s="1000"/>
      <c r="OLK1" s="1000"/>
      <c r="OLL1" s="998"/>
      <c r="OLM1" s="998"/>
      <c r="OLN1" s="998"/>
      <c r="OLO1" s="998"/>
      <c r="OLP1" s="998"/>
      <c r="OLQ1" s="998"/>
      <c r="OLR1" s="998"/>
      <c r="OLS1" s="996"/>
      <c r="OLT1" s="996"/>
      <c r="OLU1" s="996"/>
      <c r="OLV1" s="996"/>
      <c r="OLW1" s="996"/>
      <c r="OLX1" s="996"/>
      <c r="OLY1" s="996"/>
      <c r="OLZ1" s="996"/>
      <c r="OMA1" s="996"/>
      <c r="OMB1" s="996"/>
      <c r="OMC1" s="996"/>
      <c r="OMD1" s="996"/>
      <c r="OME1" s="996"/>
      <c r="OMF1" s="996"/>
      <c r="OMG1" s="996"/>
      <c r="OMH1" s="996"/>
      <c r="OMI1" s="996"/>
      <c r="OMJ1" s="996"/>
      <c r="OMK1" s="996"/>
      <c r="OML1" s="996"/>
      <c r="OMM1" s="996"/>
      <c r="OMN1" s="996"/>
      <c r="OMO1" s="996"/>
      <c r="OMP1" s="996"/>
      <c r="OMQ1" s="996"/>
      <c r="OMR1" s="996"/>
      <c r="OMS1" s="996"/>
      <c r="OMT1" s="996"/>
      <c r="OMU1" s="996"/>
      <c r="OMV1" s="996"/>
      <c r="OMW1" s="996"/>
      <c r="OMX1" s="996"/>
      <c r="OMY1" s="996"/>
      <c r="OMZ1" s="996"/>
      <c r="ONA1" s="996"/>
      <c r="ONB1" s="996"/>
      <c r="ONC1" s="996"/>
      <c r="OND1" s="996"/>
      <c r="ONE1" s="996"/>
      <c r="ONF1" s="995"/>
      <c r="ONG1" s="995"/>
      <c r="ONH1" s="996"/>
      <c r="ONI1" s="997"/>
      <c r="ONJ1" s="1002"/>
      <c r="ONK1" s="996"/>
      <c r="ONL1" s="996"/>
      <c r="ONM1" s="996"/>
      <c r="ONN1" s="996"/>
      <c r="ONO1" s="996"/>
      <c r="ONP1" s="996"/>
      <c r="ONQ1" s="996"/>
      <c r="ONR1" s="996"/>
      <c r="ONS1" s="996"/>
      <c r="ONT1" s="996"/>
      <c r="ONU1" s="996"/>
      <c r="ONV1" s="996"/>
      <c r="ONW1" s="996"/>
      <c r="ONX1" s="996"/>
      <c r="ONY1" s="996"/>
      <c r="ONZ1" s="996"/>
      <c r="OOA1" s="996"/>
      <c r="OOB1" s="996"/>
      <c r="OOC1" s="996"/>
      <c r="OOD1" s="996"/>
      <c r="OOE1" s="996"/>
      <c r="OOF1" s="1003"/>
      <c r="OOG1" s="996"/>
      <c r="OOH1" s="1003"/>
      <c r="OOI1" s="996"/>
      <c r="OOJ1" s="996"/>
      <c r="OOK1" s="996"/>
      <c r="OOL1" s="996"/>
      <c r="OOM1" s="996"/>
      <c r="OON1" s="996"/>
      <c r="OOO1" s="996"/>
      <c r="OOP1" s="996"/>
      <c r="OOQ1" s="996"/>
      <c r="OOR1" s="996"/>
      <c r="OOS1" s="996"/>
      <c r="OOT1" s="996"/>
      <c r="OOU1" s="1003"/>
      <c r="OOV1" s="1003"/>
      <c r="OOW1" s="1003"/>
      <c r="OOX1" s="1003"/>
      <c r="OOY1" s="1003"/>
      <c r="OOZ1" s="996"/>
      <c r="OPA1" s="996"/>
      <c r="OPB1" s="996"/>
      <c r="OPC1" s="996"/>
      <c r="OPD1" s="996"/>
      <c r="OPE1" s="996"/>
      <c r="OPF1" s="1003"/>
      <c r="OPG1" s="996"/>
      <c r="OPH1" s="996"/>
      <c r="OPI1" s="996"/>
      <c r="OPJ1" s="996"/>
      <c r="OPK1" s="996"/>
      <c r="OPL1" s="996"/>
      <c r="OPM1" s="996"/>
      <c r="OPN1" s="996"/>
      <c r="OPO1" s="996"/>
      <c r="OPP1" s="996"/>
      <c r="OPQ1" s="996"/>
      <c r="OPR1" s="996"/>
      <c r="OPS1" s="996"/>
      <c r="OPT1" s="996"/>
      <c r="OPU1" s="996"/>
      <c r="OPV1" s="996"/>
      <c r="OPW1" s="996"/>
      <c r="OPX1" s="996"/>
      <c r="OPY1" s="998"/>
      <c r="OPZ1" s="998"/>
      <c r="OQA1" s="998"/>
      <c r="OQB1" s="998"/>
      <c r="OQC1" s="998"/>
      <c r="OQD1" s="998"/>
      <c r="OQE1" s="998"/>
      <c r="OQF1" s="998"/>
      <c r="OQG1" s="998"/>
      <c r="OQH1" s="998"/>
      <c r="OQI1" s="998"/>
      <c r="OQJ1" s="996"/>
      <c r="OQK1" s="996"/>
      <c r="OQL1" s="996"/>
      <c r="OQM1" s="996"/>
      <c r="OQN1" s="996"/>
      <c r="OQO1" s="996"/>
      <c r="OQP1" s="996"/>
      <c r="OQQ1" s="998"/>
      <c r="OQR1" s="998"/>
      <c r="OQS1" s="998"/>
      <c r="OQT1" s="998"/>
      <c r="OQU1" s="998"/>
      <c r="OQV1" s="998"/>
      <c r="OQW1" s="998"/>
      <c r="OQX1" s="996"/>
      <c r="OQY1" s="996"/>
      <c r="OQZ1" s="996"/>
      <c r="ORA1" s="996"/>
      <c r="ORB1" s="996"/>
      <c r="ORC1" s="996"/>
      <c r="ORD1" s="996"/>
      <c r="ORE1" s="996"/>
      <c r="ORF1" s="996"/>
      <c r="ORG1" s="996"/>
      <c r="ORH1" s="996"/>
      <c r="ORI1" s="996"/>
      <c r="ORJ1" s="996"/>
      <c r="ORK1" s="996"/>
      <c r="ORL1" s="996"/>
      <c r="ORM1" s="996"/>
      <c r="ORN1" s="996"/>
      <c r="ORO1" s="996"/>
      <c r="ORP1" s="996"/>
      <c r="ORQ1" s="996"/>
      <c r="ORR1" s="996"/>
      <c r="ORS1" s="996"/>
      <c r="ORT1" s="996"/>
      <c r="ORU1" s="996"/>
      <c r="ORV1" s="996"/>
      <c r="ORW1" s="996"/>
      <c r="ORX1" s="996"/>
      <c r="ORY1" s="1003"/>
      <c r="ORZ1" s="996"/>
      <c r="OSA1" s="996"/>
      <c r="OSB1" s="996"/>
      <c r="OSC1" s="996"/>
      <c r="OSD1" s="996"/>
      <c r="OSE1" s="996"/>
      <c r="OSF1" s="996"/>
      <c r="OSG1" s="996"/>
      <c r="OSH1" s="996"/>
      <c r="OSI1" s="996"/>
      <c r="OSJ1" s="996"/>
      <c r="OSK1" s="996"/>
      <c r="OSL1" s="996"/>
      <c r="OSM1" s="996"/>
      <c r="OSN1" s="996"/>
      <c r="OSO1" s="996"/>
      <c r="OSP1" s="998"/>
      <c r="OSQ1" s="998"/>
      <c r="OSR1" s="998"/>
      <c r="OSS1" s="998"/>
      <c r="OST1" s="998"/>
      <c r="OSU1" s="998"/>
      <c r="OSV1" s="998"/>
      <c r="OSW1" s="998"/>
      <c r="OSX1" s="998"/>
      <c r="OSY1" s="996"/>
      <c r="OSZ1" s="996"/>
      <c r="OTA1" s="996"/>
      <c r="OTB1" s="996"/>
      <c r="OTC1" s="996"/>
      <c r="OTD1" s="996"/>
      <c r="OTE1" s="996"/>
      <c r="OTF1" s="996"/>
      <c r="OTG1" s="996"/>
      <c r="OTH1" s="998"/>
      <c r="OTI1" s="998"/>
      <c r="OTJ1" s="998"/>
      <c r="OTK1" s="998"/>
      <c r="OTL1" s="998"/>
      <c r="OTM1" s="998"/>
      <c r="OTN1" s="998"/>
      <c r="OTO1" s="998"/>
      <c r="OTP1" s="998"/>
      <c r="OTQ1" s="999"/>
      <c r="OTR1" s="1000"/>
      <c r="OTS1" s="1001"/>
      <c r="OTT1" s="1000"/>
      <c r="OTU1" s="1001"/>
      <c r="OTV1" s="1000"/>
      <c r="OTW1" s="1000"/>
      <c r="OTX1" s="1000"/>
      <c r="OTY1" s="1000"/>
      <c r="OTZ1" s="1000"/>
      <c r="OUA1" s="1000"/>
      <c r="OUB1" s="1000"/>
      <c r="OUC1" s="1000"/>
      <c r="OUD1" s="1000"/>
      <c r="OUE1" s="1000"/>
      <c r="OUF1" s="1000"/>
      <c r="OUG1" s="1000"/>
      <c r="OUH1" s="998"/>
      <c r="OUI1" s="998"/>
      <c r="OUJ1" s="998"/>
      <c r="OUK1" s="998"/>
      <c r="OUL1" s="998"/>
      <c r="OUM1" s="998"/>
      <c r="OUN1" s="998"/>
      <c r="OUO1" s="996"/>
      <c r="OUP1" s="996"/>
      <c r="OUQ1" s="996"/>
      <c r="OUR1" s="996"/>
      <c r="OUS1" s="996"/>
      <c r="OUT1" s="996"/>
      <c r="OUU1" s="996"/>
      <c r="OUV1" s="996"/>
      <c r="OUW1" s="996"/>
      <c r="OUX1" s="996"/>
      <c r="OUY1" s="996"/>
      <c r="OUZ1" s="996"/>
      <c r="OVA1" s="996"/>
      <c r="OVB1" s="996"/>
      <c r="OVC1" s="996"/>
      <c r="OVD1" s="996"/>
      <c r="OVE1" s="996"/>
      <c r="OVF1" s="996"/>
      <c r="OVG1" s="996"/>
      <c r="OVH1" s="996"/>
      <c r="OVI1" s="996"/>
      <c r="OVJ1" s="996"/>
      <c r="OVK1" s="996"/>
      <c r="OVL1" s="996"/>
      <c r="OVM1" s="996"/>
      <c r="OVN1" s="996"/>
      <c r="OVO1" s="996"/>
      <c r="OVP1" s="996"/>
      <c r="OVQ1" s="996"/>
      <c r="OVR1" s="996"/>
      <c r="OVS1" s="996"/>
      <c r="OVT1" s="996"/>
      <c r="OVU1" s="996"/>
      <c r="OVV1" s="996"/>
      <c r="OVW1" s="996"/>
      <c r="OVX1" s="996"/>
      <c r="OVY1" s="996"/>
      <c r="OVZ1" s="996"/>
      <c r="OWA1" s="996"/>
      <c r="OWB1" s="995"/>
      <c r="OWC1" s="995"/>
      <c r="OWD1" s="996"/>
      <c r="OWE1" s="997"/>
      <c r="OWF1" s="1002"/>
      <c r="OWG1" s="996"/>
      <c r="OWH1" s="996"/>
      <c r="OWI1" s="996"/>
      <c r="OWJ1" s="996"/>
      <c r="OWK1" s="996"/>
      <c r="OWL1" s="996"/>
      <c r="OWM1" s="996"/>
      <c r="OWN1" s="996"/>
      <c r="OWO1" s="996"/>
      <c r="OWP1" s="996"/>
      <c r="OWQ1" s="996"/>
      <c r="OWR1" s="996"/>
      <c r="OWS1" s="996"/>
      <c r="OWT1" s="996"/>
      <c r="OWU1" s="996"/>
      <c r="OWV1" s="996"/>
      <c r="OWW1" s="996"/>
      <c r="OWX1" s="996"/>
      <c r="OWY1" s="996"/>
      <c r="OWZ1" s="996"/>
      <c r="OXA1" s="996"/>
      <c r="OXB1" s="1003"/>
      <c r="OXC1" s="996"/>
      <c r="OXD1" s="1003"/>
      <c r="OXE1" s="996"/>
      <c r="OXF1" s="996"/>
      <c r="OXG1" s="996"/>
      <c r="OXH1" s="996"/>
      <c r="OXI1" s="996"/>
      <c r="OXJ1" s="996"/>
      <c r="OXK1" s="996"/>
      <c r="OXL1" s="996"/>
      <c r="OXM1" s="996"/>
      <c r="OXN1" s="996"/>
      <c r="OXO1" s="996"/>
      <c r="OXP1" s="996"/>
      <c r="OXQ1" s="1003"/>
      <c r="OXR1" s="1003"/>
      <c r="OXS1" s="1003"/>
      <c r="OXT1" s="1003"/>
      <c r="OXU1" s="1003"/>
      <c r="OXV1" s="996"/>
      <c r="OXW1" s="996"/>
      <c r="OXX1" s="996"/>
      <c r="OXY1" s="996"/>
      <c r="OXZ1" s="996"/>
      <c r="OYA1" s="996"/>
      <c r="OYB1" s="1003"/>
      <c r="OYC1" s="996"/>
      <c r="OYD1" s="996"/>
      <c r="OYE1" s="996"/>
      <c r="OYF1" s="996"/>
      <c r="OYG1" s="996"/>
      <c r="OYH1" s="996"/>
      <c r="OYI1" s="996"/>
      <c r="OYJ1" s="996"/>
      <c r="OYK1" s="996"/>
      <c r="OYL1" s="996"/>
      <c r="OYM1" s="996"/>
      <c r="OYN1" s="996"/>
      <c r="OYO1" s="996"/>
      <c r="OYP1" s="996"/>
      <c r="OYQ1" s="996"/>
      <c r="OYR1" s="996"/>
      <c r="OYS1" s="996"/>
      <c r="OYT1" s="996"/>
      <c r="OYU1" s="998"/>
      <c r="OYV1" s="998"/>
      <c r="OYW1" s="998"/>
      <c r="OYX1" s="998"/>
      <c r="OYY1" s="998"/>
      <c r="OYZ1" s="998"/>
      <c r="OZA1" s="998"/>
      <c r="OZB1" s="998"/>
      <c r="OZC1" s="998"/>
      <c r="OZD1" s="998"/>
      <c r="OZE1" s="998"/>
      <c r="OZF1" s="996"/>
      <c r="OZG1" s="996"/>
      <c r="OZH1" s="996"/>
      <c r="OZI1" s="996"/>
      <c r="OZJ1" s="996"/>
      <c r="OZK1" s="996"/>
      <c r="OZL1" s="996"/>
      <c r="OZM1" s="998"/>
      <c r="OZN1" s="998"/>
      <c r="OZO1" s="998"/>
      <c r="OZP1" s="998"/>
      <c r="OZQ1" s="998"/>
      <c r="OZR1" s="998"/>
      <c r="OZS1" s="998"/>
      <c r="OZT1" s="996"/>
      <c r="OZU1" s="996"/>
      <c r="OZV1" s="996"/>
      <c r="OZW1" s="996"/>
      <c r="OZX1" s="996"/>
      <c r="OZY1" s="996"/>
      <c r="OZZ1" s="996"/>
      <c r="PAA1" s="996"/>
      <c r="PAB1" s="996"/>
      <c r="PAC1" s="996"/>
      <c r="PAD1" s="996"/>
      <c r="PAE1" s="996"/>
      <c r="PAF1" s="996"/>
      <c r="PAG1" s="996"/>
      <c r="PAH1" s="996"/>
      <c r="PAI1" s="996"/>
      <c r="PAJ1" s="996"/>
      <c r="PAK1" s="996"/>
      <c r="PAL1" s="996"/>
      <c r="PAM1" s="996"/>
      <c r="PAN1" s="996"/>
      <c r="PAO1" s="996"/>
      <c r="PAP1" s="996"/>
      <c r="PAQ1" s="996"/>
      <c r="PAR1" s="996"/>
      <c r="PAS1" s="996"/>
      <c r="PAT1" s="996"/>
      <c r="PAU1" s="1003"/>
      <c r="PAV1" s="996"/>
      <c r="PAW1" s="996"/>
      <c r="PAX1" s="996"/>
      <c r="PAY1" s="996"/>
      <c r="PAZ1" s="996"/>
      <c r="PBA1" s="996"/>
      <c r="PBB1" s="996"/>
      <c r="PBC1" s="996"/>
      <c r="PBD1" s="996"/>
      <c r="PBE1" s="996"/>
      <c r="PBF1" s="996"/>
      <c r="PBG1" s="996"/>
      <c r="PBH1" s="996"/>
      <c r="PBI1" s="996"/>
      <c r="PBJ1" s="996"/>
      <c r="PBK1" s="996"/>
      <c r="PBL1" s="998"/>
      <c r="PBM1" s="998"/>
      <c r="PBN1" s="998"/>
      <c r="PBO1" s="998"/>
      <c r="PBP1" s="998"/>
      <c r="PBQ1" s="998"/>
      <c r="PBR1" s="998"/>
      <c r="PBS1" s="998"/>
      <c r="PBT1" s="998"/>
      <c r="PBU1" s="996"/>
      <c r="PBV1" s="996"/>
      <c r="PBW1" s="996"/>
      <c r="PBX1" s="996"/>
      <c r="PBY1" s="996"/>
      <c r="PBZ1" s="996"/>
      <c r="PCA1" s="996"/>
      <c r="PCB1" s="996"/>
      <c r="PCC1" s="996"/>
      <c r="PCD1" s="998"/>
      <c r="PCE1" s="998"/>
      <c r="PCF1" s="998"/>
      <c r="PCG1" s="998"/>
      <c r="PCH1" s="998"/>
      <c r="PCI1" s="998"/>
      <c r="PCJ1" s="998"/>
      <c r="PCK1" s="998"/>
      <c r="PCL1" s="998"/>
      <c r="PCM1" s="999"/>
      <c r="PCN1" s="1000"/>
      <c r="PCO1" s="1001"/>
      <c r="PCP1" s="1000"/>
      <c r="PCQ1" s="1001"/>
      <c r="PCR1" s="1000"/>
      <c r="PCS1" s="1000"/>
      <c r="PCT1" s="1000"/>
      <c r="PCU1" s="1000"/>
      <c r="PCV1" s="1000"/>
      <c r="PCW1" s="1000"/>
      <c r="PCX1" s="1000"/>
      <c r="PCY1" s="1000"/>
      <c r="PCZ1" s="1000"/>
      <c r="PDA1" s="1000"/>
      <c r="PDB1" s="1000"/>
      <c r="PDC1" s="1000"/>
      <c r="PDD1" s="998"/>
      <c r="PDE1" s="998"/>
      <c r="PDF1" s="998"/>
      <c r="PDG1" s="998"/>
      <c r="PDH1" s="998"/>
      <c r="PDI1" s="998"/>
      <c r="PDJ1" s="998"/>
      <c r="PDK1" s="996"/>
      <c r="PDL1" s="996"/>
      <c r="PDM1" s="996"/>
      <c r="PDN1" s="996"/>
      <c r="PDO1" s="996"/>
      <c r="PDP1" s="996"/>
      <c r="PDQ1" s="996"/>
      <c r="PDR1" s="996"/>
      <c r="PDS1" s="996"/>
      <c r="PDT1" s="996"/>
      <c r="PDU1" s="996"/>
      <c r="PDV1" s="996"/>
      <c r="PDW1" s="996"/>
      <c r="PDX1" s="996"/>
      <c r="PDY1" s="996"/>
      <c r="PDZ1" s="996"/>
      <c r="PEA1" s="996"/>
      <c r="PEB1" s="996"/>
      <c r="PEC1" s="996"/>
      <c r="PED1" s="996"/>
      <c r="PEE1" s="996"/>
      <c r="PEF1" s="996"/>
      <c r="PEG1" s="996"/>
      <c r="PEH1" s="996"/>
      <c r="PEI1" s="996"/>
      <c r="PEJ1" s="996"/>
      <c r="PEK1" s="996"/>
      <c r="PEL1" s="996"/>
      <c r="PEM1" s="996"/>
      <c r="PEN1" s="996"/>
      <c r="PEO1" s="996"/>
      <c r="PEP1" s="996"/>
      <c r="PEQ1" s="996"/>
      <c r="PER1" s="996"/>
      <c r="PES1" s="996"/>
      <c r="PET1" s="996"/>
      <c r="PEU1" s="996"/>
      <c r="PEV1" s="996"/>
      <c r="PEW1" s="996"/>
      <c r="PEX1" s="995"/>
      <c r="PEY1" s="995"/>
      <c r="PEZ1" s="996"/>
      <c r="PFA1" s="997"/>
      <c r="PFB1" s="1002"/>
      <c r="PFC1" s="996"/>
      <c r="PFD1" s="996"/>
      <c r="PFE1" s="996"/>
      <c r="PFF1" s="996"/>
      <c r="PFG1" s="996"/>
      <c r="PFH1" s="996"/>
      <c r="PFI1" s="996"/>
      <c r="PFJ1" s="996"/>
      <c r="PFK1" s="996"/>
      <c r="PFL1" s="996"/>
      <c r="PFM1" s="996"/>
      <c r="PFN1" s="996"/>
      <c r="PFO1" s="996"/>
      <c r="PFP1" s="996"/>
      <c r="PFQ1" s="996"/>
      <c r="PFR1" s="996"/>
      <c r="PFS1" s="996"/>
      <c r="PFT1" s="996"/>
      <c r="PFU1" s="996"/>
      <c r="PFV1" s="996"/>
      <c r="PFW1" s="996"/>
      <c r="PFX1" s="1003"/>
      <c r="PFY1" s="996"/>
      <c r="PFZ1" s="1003"/>
      <c r="PGA1" s="996"/>
      <c r="PGB1" s="996"/>
      <c r="PGC1" s="996"/>
      <c r="PGD1" s="996"/>
      <c r="PGE1" s="996"/>
      <c r="PGF1" s="996"/>
      <c r="PGG1" s="996"/>
      <c r="PGH1" s="996"/>
      <c r="PGI1" s="996"/>
      <c r="PGJ1" s="996"/>
      <c r="PGK1" s="996"/>
      <c r="PGL1" s="996"/>
      <c r="PGM1" s="1003"/>
      <c r="PGN1" s="1003"/>
      <c r="PGO1" s="1003"/>
      <c r="PGP1" s="1003"/>
      <c r="PGQ1" s="1003"/>
      <c r="PGR1" s="996"/>
      <c r="PGS1" s="996"/>
      <c r="PGT1" s="996"/>
      <c r="PGU1" s="996"/>
      <c r="PGV1" s="996"/>
      <c r="PGW1" s="996"/>
      <c r="PGX1" s="1003"/>
      <c r="PGY1" s="996"/>
      <c r="PGZ1" s="996"/>
      <c r="PHA1" s="996"/>
      <c r="PHB1" s="996"/>
      <c r="PHC1" s="996"/>
      <c r="PHD1" s="996"/>
      <c r="PHE1" s="996"/>
      <c r="PHF1" s="996"/>
      <c r="PHG1" s="996"/>
      <c r="PHH1" s="996"/>
      <c r="PHI1" s="996"/>
      <c r="PHJ1" s="996"/>
      <c r="PHK1" s="996"/>
      <c r="PHL1" s="996"/>
      <c r="PHM1" s="996"/>
      <c r="PHN1" s="996"/>
      <c r="PHO1" s="996"/>
      <c r="PHP1" s="996"/>
      <c r="PHQ1" s="998"/>
      <c r="PHR1" s="998"/>
      <c r="PHS1" s="998"/>
      <c r="PHT1" s="998"/>
      <c r="PHU1" s="998"/>
      <c r="PHV1" s="998"/>
      <c r="PHW1" s="998"/>
      <c r="PHX1" s="998"/>
      <c r="PHY1" s="998"/>
      <c r="PHZ1" s="998"/>
      <c r="PIA1" s="998"/>
      <c r="PIB1" s="996"/>
      <c r="PIC1" s="996"/>
      <c r="PID1" s="996"/>
      <c r="PIE1" s="996"/>
      <c r="PIF1" s="996"/>
      <c r="PIG1" s="996"/>
      <c r="PIH1" s="996"/>
      <c r="PII1" s="998"/>
      <c r="PIJ1" s="998"/>
      <c r="PIK1" s="998"/>
      <c r="PIL1" s="998"/>
      <c r="PIM1" s="998"/>
      <c r="PIN1" s="998"/>
      <c r="PIO1" s="998"/>
      <c r="PIP1" s="996"/>
      <c r="PIQ1" s="996"/>
      <c r="PIR1" s="996"/>
      <c r="PIS1" s="996"/>
      <c r="PIT1" s="996"/>
      <c r="PIU1" s="996"/>
      <c r="PIV1" s="996"/>
      <c r="PIW1" s="996"/>
      <c r="PIX1" s="996"/>
      <c r="PIY1" s="996"/>
      <c r="PIZ1" s="996"/>
      <c r="PJA1" s="996"/>
      <c r="PJB1" s="996"/>
      <c r="PJC1" s="996"/>
      <c r="PJD1" s="996"/>
      <c r="PJE1" s="996"/>
      <c r="PJF1" s="996"/>
      <c r="PJG1" s="996"/>
      <c r="PJH1" s="996"/>
      <c r="PJI1" s="996"/>
      <c r="PJJ1" s="996"/>
      <c r="PJK1" s="996"/>
      <c r="PJL1" s="996"/>
      <c r="PJM1" s="996"/>
      <c r="PJN1" s="996"/>
      <c r="PJO1" s="996"/>
      <c r="PJP1" s="996"/>
      <c r="PJQ1" s="1003"/>
      <c r="PJR1" s="996"/>
      <c r="PJS1" s="996"/>
      <c r="PJT1" s="996"/>
      <c r="PJU1" s="996"/>
      <c r="PJV1" s="996"/>
      <c r="PJW1" s="996"/>
      <c r="PJX1" s="996"/>
      <c r="PJY1" s="996"/>
      <c r="PJZ1" s="996"/>
      <c r="PKA1" s="996"/>
      <c r="PKB1" s="996"/>
      <c r="PKC1" s="996"/>
      <c r="PKD1" s="996"/>
      <c r="PKE1" s="996"/>
      <c r="PKF1" s="996"/>
      <c r="PKG1" s="996"/>
      <c r="PKH1" s="998"/>
      <c r="PKI1" s="998"/>
      <c r="PKJ1" s="998"/>
      <c r="PKK1" s="998"/>
      <c r="PKL1" s="998"/>
      <c r="PKM1" s="998"/>
      <c r="PKN1" s="998"/>
      <c r="PKO1" s="998"/>
      <c r="PKP1" s="998"/>
      <c r="PKQ1" s="996"/>
      <c r="PKR1" s="996"/>
      <c r="PKS1" s="996"/>
      <c r="PKT1" s="996"/>
      <c r="PKU1" s="996"/>
      <c r="PKV1" s="996"/>
      <c r="PKW1" s="996"/>
      <c r="PKX1" s="996"/>
      <c r="PKY1" s="996"/>
      <c r="PKZ1" s="998"/>
      <c r="PLA1" s="998"/>
      <c r="PLB1" s="998"/>
      <c r="PLC1" s="998"/>
      <c r="PLD1" s="998"/>
      <c r="PLE1" s="998"/>
      <c r="PLF1" s="998"/>
      <c r="PLG1" s="998"/>
      <c r="PLH1" s="998"/>
      <c r="PLI1" s="999"/>
      <c r="PLJ1" s="1000"/>
      <c r="PLK1" s="1001"/>
      <c r="PLL1" s="1000"/>
      <c r="PLM1" s="1001"/>
      <c r="PLN1" s="1000"/>
      <c r="PLO1" s="1000"/>
      <c r="PLP1" s="1000"/>
      <c r="PLQ1" s="1000"/>
      <c r="PLR1" s="1000"/>
      <c r="PLS1" s="1000"/>
      <c r="PLT1" s="1000"/>
      <c r="PLU1" s="1000"/>
      <c r="PLV1" s="1000"/>
      <c r="PLW1" s="1000"/>
      <c r="PLX1" s="1000"/>
      <c r="PLY1" s="1000"/>
      <c r="PLZ1" s="998"/>
      <c r="PMA1" s="998"/>
      <c r="PMB1" s="998"/>
      <c r="PMC1" s="998"/>
      <c r="PMD1" s="998"/>
      <c r="PME1" s="998"/>
      <c r="PMF1" s="998"/>
      <c r="PMG1" s="996"/>
      <c r="PMH1" s="996"/>
      <c r="PMI1" s="996"/>
      <c r="PMJ1" s="996"/>
      <c r="PMK1" s="996"/>
      <c r="PML1" s="996"/>
      <c r="PMM1" s="996"/>
      <c r="PMN1" s="996"/>
      <c r="PMO1" s="996"/>
      <c r="PMP1" s="996"/>
      <c r="PMQ1" s="996"/>
      <c r="PMR1" s="996"/>
      <c r="PMS1" s="996"/>
      <c r="PMT1" s="996"/>
      <c r="PMU1" s="996"/>
      <c r="PMV1" s="996"/>
      <c r="PMW1" s="996"/>
      <c r="PMX1" s="996"/>
      <c r="PMY1" s="996"/>
      <c r="PMZ1" s="996"/>
      <c r="PNA1" s="996"/>
      <c r="PNB1" s="996"/>
      <c r="PNC1" s="996"/>
      <c r="PND1" s="996"/>
      <c r="PNE1" s="996"/>
      <c r="PNF1" s="996"/>
      <c r="PNG1" s="996"/>
      <c r="PNH1" s="996"/>
      <c r="PNI1" s="996"/>
      <c r="PNJ1" s="996"/>
      <c r="PNK1" s="996"/>
      <c r="PNL1" s="996"/>
      <c r="PNM1" s="996"/>
      <c r="PNN1" s="996"/>
      <c r="PNO1" s="996"/>
      <c r="PNP1" s="996"/>
      <c r="PNQ1" s="996"/>
      <c r="PNR1" s="996"/>
      <c r="PNS1" s="996"/>
      <c r="PNT1" s="995"/>
      <c r="PNU1" s="995"/>
      <c r="PNV1" s="996"/>
      <c r="PNW1" s="997"/>
      <c r="PNX1" s="1002"/>
      <c r="PNY1" s="996"/>
      <c r="PNZ1" s="996"/>
      <c r="POA1" s="996"/>
      <c r="POB1" s="996"/>
      <c r="POC1" s="996"/>
      <c r="POD1" s="996"/>
      <c r="POE1" s="996"/>
      <c r="POF1" s="996"/>
      <c r="POG1" s="996"/>
      <c r="POH1" s="996"/>
      <c r="POI1" s="996"/>
      <c r="POJ1" s="996"/>
      <c r="POK1" s="996"/>
      <c r="POL1" s="996"/>
      <c r="POM1" s="996"/>
      <c r="PON1" s="996"/>
      <c r="POO1" s="996"/>
      <c r="POP1" s="996"/>
      <c r="POQ1" s="996"/>
      <c r="POR1" s="996"/>
      <c r="POS1" s="996"/>
      <c r="POT1" s="1003"/>
      <c r="POU1" s="996"/>
      <c r="POV1" s="1003"/>
      <c r="POW1" s="996"/>
      <c r="POX1" s="996"/>
      <c r="POY1" s="996"/>
      <c r="POZ1" s="996"/>
      <c r="PPA1" s="996"/>
      <c r="PPB1" s="996"/>
      <c r="PPC1" s="996"/>
      <c r="PPD1" s="996"/>
      <c r="PPE1" s="996"/>
      <c r="PPF1" s="996"/>
      <c r="PPG1" s="996"/>
      <c r="PPH1" s="996"/>
      <c r="PPI1" s="1003"/>
      <c r="PPJ1" s="1003"/>
      <c r="PPK1" s="1003"/>
      <c r="PPL1" s="1003"/>
      <c r="PPM1" s="1003"/>
      <c r="PPN1" s="996"/>
      <c r="PPO1" s="996"/>
      <c r="PPP1" s="996"/>
      <c r="PPQ1" s="996"/>
      <c r="PPR1" s="996"/>
      <c r="PPS1" s="996"/>
      <c r="PPT1" s="1003"/>
      <c r="PPU1" s="996"/>
      <c r="PPV1" s="996"/>
      <c r="PPW1" s="996"/>
      <c r="PPX1" s="996"/>
      <c r="PPY1" s="996"/>
      <c r="PPZ1" s="996"/>
      <c r="PQA1" s="996"/>
      <c r="PQB1" s="996"/>
      <c r="PQC1" s="996"/>
      <c r="PQD1" s="996"/>
      <c r="PQE1" s="996"/>
      <c r="PQF1" s="996"/>
      <c r="PQG1" s="996"/>
      <c r="PQH1" s="996"/>
      <c r="PQI1" s="996"/>
      <c r="PQJ1" s="996"/>
      <c r="PQK1" s="996"/>
      <c r="PQL1" s="996"/>
      <c r="PQM1" s="998"/>
      <c r="PQN1" s="998"/>
      <c r="PQO1" s="998"/>
      <c r="PQP1" s="998"/>
      <c r="PQQ1" s="998"/>
      <c r="PQR1" s="998"/>
      <c r="PQS1" s="998"/>
      <c r="PQT1" s="998"/>
      <c r="PQU1" s="998"/>
      <c r="PQV1" s="998"/>
      <c r="PQW1" s="998"/>
      <c r="PQX1" s="996"/>
      <c r="PQY1" s="996"/>
      <c r="PQZ1" s="996"/>
      <c r="PRA1" s="996"/>
      <c r="PRB1" s="996"/>
      <c r="PRC1" s="996"/>
      <c r="PRD1" s="996"/>
      <c r="PRE1" s="998"/>
      <c r="PRF1" s="998"/>
      <c r="PRG1" s="998"/>
      <c r="PRH1" s="998"/>
      <c r="PRI1" s="998"/>
      <c r="PRJ1" s="998"/>
      <c r="PRK1" s="998"/>
      <c r="PRL1" s="996"/>
      <c r="PRM1" s="996"/>
      <c r="PRN1" s="996"/>
      <c r="PRO1" s="996"/>
      <c r="PRP1" s="996"/>
      <c r="PRQ1" s="996"/>
      <c r="PRR1" s="996"/>
      <c r="PRS1" s="996"/>
      <c r="PRT1" s="996"/>
      <c r="PRU1" s="996"/>
      <c r="PRV1" s="996"/>
      <c r="PRW1" s="996"/>
      <c r="PRX1" s="996"/>
      <c r="PRY1" s="996"/>
      <c r="PRZ1" s="996"/>
      <c r="PSA1" s="996"/>
      <c r="PSB1" s="996"/>
      <c r="PSC1" s="996"/>
      <c r="PSD1" s="996"/>
      <c r="PSE1" s="996"/>
      <c r="PSF1" s="996"/>
      <c r="PSG1" s="996"/>
      <c r="PSH1" s="996"/>
      <c r="PSI1" s="996"/>
      <c r="PSJ1" s="996"/>
      <c r="PSK1" s="996"/>
      <c r="PSL1" s="996"/>
      <c r="PSM1" s="1003"/>
      <c r="PSN1" s="996"/>
      <c r="PSO1" s="996"/>
      <c r="PSP1" s="996"/>
      <c r="PSQ1" s="996"/>
      <c r="PSR1" s="996"/>
      <c r="PSS1" s="996"/>
      <c r="PST1" s="996"/>
      <c r="PSU1" s="996"/>
      <c r="PSV1" s="996"/>
      <c r="PSW1" s="996"/>
      <c r="PSX1" s="996"/>
      <c r="PSY1" s="996"/>
      <c r="PSZ1" s="996"/>
      <c r="PTA1" s="996"/>
      <c r="PTB1" s="996"/>
      <c r="PTC1" s="996"/>
      <c r="PTD1" s="998"/>
      <c r="PTE1" s="998"/>
      <c r="PTF1" s="998"/>
      <c r="PTG1" s="998"/>
      <c r="PTH1" s="998"/>
      <c r="PTI1" s="998"/>
      <c r="PTJ1" s="998"/>
      <c r="PTK1" s="998"/>
      <c r="PTL1" s="998"/>
      <c r="PTM1" s="996"/>
      <c r="PTN1" s="996"/>
      <c r="PTO1" s="996"/>
      <c r="PTP1" s="996"/>
      <c r="PTQ1" s="996"/>
      <c r="PTR1" s="996"/>
      <c r="PTS1" s="996"/>
      <c r="PTT1" s="996"/>
      <c r="PTU1" s="996"/>
      <c r="PTV1" s="998"/>
      <c r="PTW1" s="998"/>
      <c r="PTX1" s="998"/>
      <c r="PTY1" s="998"/>
      <c r="PTZ1" s="998"/>
      <c r="PUA1" s="998"/>
      <c r="PUB1" s="998"/>
      <c r="PUC1" s="998"/>
      <c r="PUD1" s="998"/>
      <c r="PUE1" s="999"/>
      <c r="PUF1" s="1000"/>
      <c r="PUG1" s="1001"/>
      <c r="PUH1" s="1000"/>
      <c r="PUI1" s="1001"/>
      <c r="PUJ1" s="1000"/>
      <c r="PUK1" s="1000"/>
      <c r="PUL1" s="1000"/>
      <c r="PUM1" s="1000"/>
      <c r="PUN1" s="1000"/>
      <c r="PUO1" s="1000"/>
      <c r="PUP1" s="1000"/>
      <c r="PUQ1" s="1000"/>
      <c r="PUR1" s="1000"/>
      <c r="PUS1" s="1000"/>
      <c r="PUT1" s="1000"/>
      <c r="PUU1" s="1000"/>
      <c r="PUV1" s="998"/>
      <c r="PUW1" s="998"/>
      <c r="PUX1" s="998"/>
      <c r="PUY1" s="998"/>
      <c r="PUZ1" s="998"/>
      <c r="PVA1" s="998"/>
      <c r="PVB1" s="998"/>
      <c r="PVC1" s="996"/>
      <c r="PVD1" s="996"/>
      <c r="PVE1" s="996"/>
      <c r="PVF1" s="996"/>
      <c r="PVG1" s="996"/>
      <c r="PVH1" s="996"/>
      <c r="PVI1" s="996"/>
      <c r="PVJ1" s="996"/>
      <c r="PVK1" s="996"/>
      <c r="PVL1" s="996"/>
      <c r="PVM1" s="996"/>
      <c r="PVN1" s="996"/>
      <c r="PVO1" s="996"/>
      <c r="PVP1" s="996"/>
      <c r="PVQ1" s="996"/>
      <c r="PVR1" s="996"/>
      <c r="PVS1" s="996"/>
      <c r="PVT1" s="996"/>
      <c r="PVU1" s="996"/>
      <c r="PVV1" s="996"/>
      <c r="PVW1" s="996"/>
      <c r="PVX1" s="996"/>
      <c r="PVY1" s="996"/>
      <c r="PVZ1" s="996"/>
      <c r="PWA1" s="996"/>
      <c r="PWB1" s="996"/>
      <c r="PWC1" s="996"/>
      <c r="PWD1" s="996"/>
      <c r="PWE1" s="996"/>
      <c r="PWF1" s="996"/>
      <c r="PWG1" s="996"/>
      <c r="PWH1" s="996"/>
      <c r="PWI1" s="996"/>
      <c r="PWJ1" s="996"/>
      <c r="PWK1" s="996"/>
      <c r="PWL1" s="996"/>
      <c r="PWM1" s="996"/>
      <c r="PWN1" s="996"/>
      <c r="PWO1" s="996"/>
      <c r="PWP1" s="995"/>
      <c r="PWQ1" s="995"/>
      <c r="PWR1" s="996"/>
      <c r="PWS1" s="997"/>
      <c r="PWT1" s="1002"/>
      <c r="PWU1" s="996"/>
      <c r="PWV1" s="996"/>
      <c r="PWW1" s="996"/>
      <c r="PWX1" s="996"/>
      <c r="PWY1" s="996"/>
      <c r="PWZ1" s="996"/>
      <c r="PXA1" s="996"/>
      <c r="PXB1" s="996"/>
      <c r="PXC1" s="996"/>
      <c r="PXD1" s="996"/>
      <c r="PXE1" s="996"/>
      <c r="PXF1" s="996"/>
      <c r="PXG1" s="996"/>
      <c r="PXH1" s="996"/>
      <c r="PXI1" s="996"/>
      <c r="PXJ1" s="996"/>
      <c r="PXK1" s="996"/>
      <c r="PXL1" s="996"/>
      <c r="PXM1" s="996"/>
      <c r="PXN1" s="996"/>
      <c r="PXO1" s="996"/>
      <c r="PXP1" s="1003"/>
      <c r="PXQ1" s="996"/>
      <c r="PXR1" s="1003"/>
      <c r="PXS1" s="996"/>
      <c r="PXT1" s="996"/>
      <c r="PXU1" s="996"/>
      <c r="PXV1" s="996"/>
      <c r="PXW1" s="996"/>
      <c r="PXX1" s="996"/>
      <c r="PXY1" s="996"/>
      <c r="PXZ1" s="996"/>
      <c r="PYA1" s="996"/>
      <c r="PYB1" s="996"/>
      <c r="PYC1" s="996"/>
      <c r="PYD1" s="996"/>
      <c r="PYE1" s="1003"/>
      <c r="PYF1" s="1003"/>
      <c r="PYG1" s="1003"/>
      <c r="PYH1" s="1003"/>
      <c r="PYI1" s="1003"/>
      <c r="PYJ1" s="996"/>
      <c r="PYK1" s="996"/>
      <c r="PYL1" s="996"/>
      <c r="PYM1" s="996"/>
      <c r="PYN1" s="996"/>
      <c r="PYO1" s="996"/>
      <c r="PYP1" s="1003"/>
      <c r="PYQ1" s="996"/>
      <c r="PYR1" s="996"/>
      <c r="PYS1" s="996"/>
      <c r="PYT1" s="996"/>
      <c r="PYU1" s="996"/>
      <c r="PYV1" s="996"/>
      <c r="PYW1" s="996"/>
      <c r="PYX1" s="996"/>
      <c r="PYY1" s="996"/>
      <c r="PYZ1" s="996"/>
      <c r="PZA1" s="996"/>
      <c r="PZB1" s="996"/>
      <c r="PZC1" s="996"/>
      <c r="PZD1" s="996"/>
      <c r="PZE1" s="996"/>
      <c r="PZF1" s="996"/>
      <c r="PZG1" s="996"/>
      <c r="PZH1" s="996"/>
      <c r="PZI1" s="998"/>
      <c r="PZJ1" s="998"/>
      <c r="PZK1" s="998"/>
      <c r="PZL1" s="998"/>
      <c r="PZM1" s="998"/>
      <c r="PZN1" s="998"/>
      <c r="PZO1" s="998"/>
      <c r="PZP1" s="998"/>
      <c r="PZQ1" s="998"/>
      <c r="PZR1" s="998"/>
      <c r="PZS1" s="998"/>
      <c r="PZT1" s="996"/>
      <c r="PZU1" s="996"/>
      <c r="PZV1" s="996"/>
      <c r="PZW1" s="996"/>
      <c r="PZX1" s="996"/>
      <c r="PZY1" s="996"/>
      <c r="PZZ1" s="996"/>
      <c r="QAA1" s="998"/>
      <c r="QAB1" s="998"/>
      <c r="QAC1" s="998"/>
      <c r="QAD1" s="998"/>
      <c r="QAE1" s="998"/>
      <c r="QAF1" s="998"/>
      <c r="QAG1" s="998"/>
      <c r="QAH1" s="996"/>
      <c r="QAI1" s="996"/>
      <c r="QAJ1" s="996"/>
      <c r="QAK1" s="996"/>
      <c r="QAL1" s="996"/>
      <c r="QAM1" s="996"/>
      <c r="QAN1" s="996"/>
      <c r="QAO1" s="996"/>
      <c r="QAP1" s="996"/>
      <c r="QAQ1" s="996"/>
      <c r="QAR1" s="996"/>
      <c r="QAS1" s="996"/>
      <c r="QAT1" s="996"/>
      <c r="QAU1" s="996"/>
      <c r="QAV1" s="996"/>
      <c r="QAW1" s="996"/>
      <c r="QAX1" s="996"/>
      <c r="QAY1" s="996"/>
      <c r="QAZ1" s="996"/>
      <c r="QBA1" s="996"/>
      <c r="QBB1" s="996"/>
      <c r="QBC1" s="996"/>
      <c r="QBD1" s="996"/>
      <c r="QBE1" s="996"/>
      <c r="QBF1" s="996"/>
      <c r="QBG1" s="996"/>
      <c r="QBH1" s="996"/>
      <c r="QBI1" s="1003"/>
      <c r="QBJ1" s="996"/>
      <c r="QBK1" s="996"/>
      <c r="QBL1" s="996"/>
      <c r="QBM1" s="996"/>
      <c r="QBN1" s="996"/>
      <c r="QBO1" s="996"/>
      <c r="QBP1" s="996"/>
      <c r="QBQ1" s="996"/>
      <c r="QBR1" s="996"/>
      <c r="QBS1" s="996"/>
      <c r="QBT1" s="996"/>
      <c r="QBU1" s="996"/>
      <c r="QBV1" s="996"/>
      <c r="QBW1" s="996"/>
      <c r="QBX1" s="996"/>
      <c r="QBY1" s="996"/>
      <c r="QBZ1" s="998"/>
      <c r="QCA1" s="998"/>
      <c r="QCB1" s="998"/>
      <c r="QCC1" s="998"/>
      <c r="QCD1" s="998"/>
      <c r="QCE1" s="998"/>
      <c r="QCF1" s="998"/>
      <c r="QCG1" s="998"/>
      <c r="QCH1" s="998"/>
      <c r="QCI1" s="996"/>
      <c r="QCJ1" s="996"/>
      <c r="QCK1" s="996"/>
      <c r="QCL1" s="996"/>
      <c r="QCM1" s="996"/>
      <c r="QCN1" s="996"/>
      <c r="QCO1" s="996"/>
      <c r="QCP1" s="996"/>
      <c r="QCQ1" s="996"/>
      <c r="QCR1" s="998"/>
      <c r="QCS1" s="998"/>
      <c r="QCT1" s="998"/>
      <c r="QCU1" s="998"/>
      <c r="QCV1" s="998"/>
      <c r="QCW1" s="998"/>
      <c r="QCX1" s="998"/>
      <c r="QCY1" s="998"/>
      <c r="QCZ1" s="998"/>
      <c r="QDA1" s="999"/>
      <c r="QDB1" s="1000"/>
      <c r="QDC1" s="1001"/>
      <c r="QDD1" s="1000"/>
      <c r="QDE1" s="1001"/>
      <c r="QDF1" s="1000"/>
      <c r="QDG1" s="1000"/>
      <c r="QDH1" s="1000"/>
      <c r="QDI1" s="1000"/>
      <c r="QDJ1" s="1000"/>
      <c r="QDK1" s="1000"/>
      <c r="QDL1" s="1000"/>
      <c r="QDM1" s="1000"/>
      <c r="QDN1" s="1000"/>
      <c r="QDO1" s="1000"/>
      <c r="QDP1" s="1000"/>
      <c r="QDQ1" s="1000"/>
      <c r="QDR1" s="998"/>
      <c r="QDS1" s="998"/>
      <c r="QDT1" s="998"/>
      <c r="QDU1" s="998"/>
      <c r="QDV1" s="998"/>
      <c r="QDW1" s="998"/>
      <c r="QDX1" s="998"/>
      <c r="QDY1" s="996"/>
      <c r="QDZ1" s="996"/>
      <c r="QEA1" s="996"/>
      <c r="QEB1" s="996"/>
      <c r="QEC1" s="996"/>
      <c r="QED1" s="996"/>
      <c r="QEE1" s="996"/>
      <c r="QEF1" s="996"/>
      <c r="QEG1" s="996"/>
      <c r="QEH1" s="996"/>
      <c r="QEI1" s="996"/>
      <c r="QEJ1" s="996"/>
      <c r="QEK1" s="996"/>
      <c r="QEL1" s="996"/>
      <c r="QEM1" s="996"/>
      <c r="QEN1" s="996"/>
      <c r="QEO1" s="996"/>
      <c r="QEP1" s="996"/>
      <c r="QEQ1" s="996"/>
      <c r="QER1" s="996"/>
      <c r="QES1" s="996"/>
      <c r="QET1" s="996"/>
      <c r="QEU1" s="996"/>
      <c r="QEV1" s="996"/>
      <c r="QEW1" s="996"/>
      <c r="QEX1" s="996"/>
      <c r="QEY1" s="996"/>
      <c r="QEZ1" s="996"/>
      <c r="QFA1" s="996"/>
      <c r="QFB1" s="996"/>
      <c r="QFC1" s="996"/>
      <c r="QFD1" s="996"/>
      <c r="QFE1" s="996"/>
      <c r="QFF1" s="996"/>
      <c r="QFG1" s="996"/>
      <c r="QFH1" s="996"/>
      <c r="QFI1" s="996"/>
      <c r="QFJ1" s="996"/>
      <c r="QFK1" s="996"/>
      <c r="QFL1" s="995"/>
      <c r="QFM1" s="995"/>
      <c r="QFN1" s="996"/>
      <c r="QFO1" s="997"/>
      <c r="QFP1" s="1002"/>
      <c r="QFQ1" s="996"/>
      <c r="QFR1" s="996"/>
      <c r="QFS1" s="996"/>
      <c r="QFT1" s="996"/>
      <c r="QFU1" s="996"/>
      <c r="QFV1" s="996"/>
      <c r="QFW1" s="996"/>
      <c r="QFX1" s="996"/>
      <c r="QFY1" s="996"/>
      <c r="QFZ1" s="996"/>
      <c r="QGA1" s="996"/>
      <c r="QGB1" s="996"/>
      <c r="QGC1" s="996"/>
      <c r="QGD1" s="996"/>
      <c r="QGE1" s="996"/>
      <c r="QGF1" s="996"/>
      <c r="QGG1" s="996"/>
      <c r="QGH1" s="996"/>
      <c r="QGI1" s="996"/>
      <c r="QGJ1" s="996"/>
      <c r="QGK1" s="996"/>
      <c r="QGL1" s="1003"/>
      <c r="QGM1" s="996"/>
      <c r="QGN1" s="1003"/>
      <c r="QGO1" s="996"/>
      <c r="QGP1" s="996"/>
      <c r="QGQ1" s="996"/>
      <c r="QGR1" s="996"/>
      <c r="QGS1" s="996"/>
      <c r="QGT1" s="996"/>
      <c r="QGU1" s="996"/>
      <c r="QGV1" s="996"/>
      <c r="QGW1" s="996"/>
      <c r="QGX1" s="996"/>
      <c r="QGY1" s="996"/>
      <c r="QGZ1" s="996"/>
      <c r="QHA1" s="1003"/>
      <c r="QHB1" s="1003"/>
      <c r="QHC1" s="1003"/>
      <c r="QHD1" s="1003"/>
      <c r="QHE1" s="1003"/>
      <c r="QHF1" s="996"/>
      <c r="QHG1" s="996"/>
      <c r="QHH1" s="996"/>
      <c r="QHI1" s="996"/>
      <c r="QHJ1" s="996"/>
      <c r="QHK1" s="996"/>
      <c r="QHL1" s="1003"/>
      <c r="QHM1" s="996"/>
      <c r="QHN1" s="996"/>
      <c r="QHO1" s="996"/>
      <c r="QHP1" s="996"/>
      <c r="QHQ1" s="996"/>
      <c r="QHR1" s="996"/>
      <c r="QHS1" s="996"/>
      <c r="QHT1" s="996"/>
      <c r="QHU1" s="996"/>
      <c r="QHV1" s="996"/>
      <c r="QHW1" s="996"/>
      <c r="QHX1" s="996"/>
      <c r="QHY1" s="996"/>
      <c r="QHZ1" s="996"/>
      <c r="QIA1" s="996"/>
      <c r="QIB1" s="996"/>
      <c r="QIC1" s="996"/>
      <c r="QID1" s="996"/>
      <c r="QIE1" s="998"/>
      <c r="QIF1" s="998"/>
      <c r="QIG1" s="998"/>
      <c r="QIH1" s="998"/>
      <c r="QII1" s="998"/>
      <c r="QIJ1" s="998"/>
      <c r="QIK1" s="998"/>
      <c r="QIL1" s="998"/>
      <c r="QIM1" s="998"/>
      <c r="QIN1" s="998"/>
      <c r="QIO1" s="998"/>
      <c r="QIP1" s="996"/>
      <c r="QIQ1" s="996"/>
      <c r="QIR1" s="996"/>
      <c r="QIS1" s="996"/>
      <c r="QIT1" s="996"/>
      <c r="QIU1" s="996"/>
      <c r="QIV1" s="996"/>
      <c r="QIW1" s="998"/>
      <c r="QIX1" s="998"/>
      <c r="QIY1" s="998"/>
      <c r="QIZ1" s="998"/>
      <c r="QJA1" s="998"/>
      <c r="QJB1" s="998"/>
      <c r="QJC1" s="998"/>
      <c r="QJD1" s="996"/>
      <c r="QJE1" s="996"/>
      <c r="QJF1" s="996"/>
      <c r="QJG1" s="996"/>
      <c r="QJH1" s="996"/>
      <c r="QJI1" s="996"/>
      <c r="QJJ1" s="996"/>
      <c r="QJK1" s="996"/>
      <c r="QJL1" s="996"/>
      <c r="QJM1" s="996"/>
      <c r="QJN1" s="996"/>
      <c r="QJO1" s="996"/>
      <c r="QJP1" s="996"/>
      <c r="QJQ1" s="996"/>
      <c r="QJR1" s="996"/>
      <c r="QJS1" s="996"/>
      <c r="QJT1" s="996"/>
      <c r="QJU1" s="996"/>
      <c r="QJV1" s="996"/>
      <c r="QJW1" s="996"/>
      <c r="QJX1" s="996"/>
      <c r="QJY1" s="996"/>
      <c r="QJZ1" s="996"/>
      <c r="QKA1" s="996"/>
      <c r="QKB1" s="996"/>
      <c r="QKC1" s="996"/>
      <c r="QKD1" s="996"/>
      <c r="QKE1" s="1003"/>
      <c r="QKF1" s="996"/>
      <c r="QKG1" s="996"/>
      <c r="QKH1" s="996"/>
      <c r="QKI1" s="996"/>
      <c r="QKJ1" s="996"/>
      <c r="QKK1" s="996"/>
      <c r="QKL1" s="996"/>
      <c r="QKM1" s="996"/>
      <c r="QKN1" s="996"/>
      <c r="QKO1" s="996"/>
      <c r="QKP1" s="996"/>
      <c r="QKQ1" s="996"/>
      <c r="QKR1" s="996"/>
      <c r="QKS1" s="996"/>
      <c r="QKT1" s="996"/>
      <c r="QKU1" s="996"/>
      <c r="QKV1" s="998"/>
      <c r="QKW1" s="998"/>
      <c r="QKX1" s="998"/>
      <c r="QKY1" s="998"/>
      <c r="QKZ1" s="998"/>
      <c r="QLA1" s="998"/>
      <c r="QLB1" s="998"/>
      <c r="QLC1" s="998"/>
      <c r="QLD1" s="998"/>
      <c r="QLE1" s="996"/>
      <c r="QLF1" s="996"/>
      <c r="QLG1" s="996"/>
      <c r="QLH1" s="996"/>
      <c r="QLI1" s="996"/>
      <c r="QLJ1" s="996"/>
      <c r="QLK1" s="996"/>
      <c r="QLL1" s="996"/>
      <c r="QLM1" s="996"/>
      <c r="QLN1" s="998"/>
      <c r="QLO1" s="998"/>
      <c r="QLP1" s="998"/>
      <c r="QLQ1" s="998"/>
      <c r="QLR1" s="998"/>
      <c r="QLS1" s="998"/>
      <c r="QLT1" s="998"/>
      <c r="QLU1" s="998"/>
      <c r="QLV1" s="998"/>
      <c r="QLW1" s="999"/>
      <c r="QLX1" s="1000"/>
      <c r="QLY1" s="1001"/>
      <c r="QLZ1" s="1000"/>
      <c r="QMA1" s="1001"/>
      <c r="QMB1" s="1000"/>
      <c r="QMC1" s="1000"/>
      <c r="QMD1" s="1000"/>
      <c r="QME1" s="1000"/>
      <c r="QMF1" s="1000"/>
      <c r="QMG1" s="1000"/>
      <c r="QMH1" s="1000"/>
      <c r="QMI1" s="1000"/>
      <c r="QMJ1" s="1000"/>
      <c r="QMK1" s="1000"/>
      <c r="QML1" s="1000"/>
      <c r="QMM1" s="1000"/>
      <c r="QMN1" s="998"/>
      <c r="QMO1" s="998"/>
      <c r="QMP1" s="998"/>
      <c r="QMQ1" s="998"/>
      <c r="QMR1" s="998"/>
      <c r="QMS1" s="998"/>
      <c r="QMT1" s="998"/>
      <c r="QMU1" s="996"/>
      <c r="QMV1" s="996"/>
      <c r="QMW1" s="996"/>
      <c r="QMX1" s="996"/>
      <c r="QMY1" s="996"/>
      <c r="QMZ1" s="996"/>
      <c r="QNA1" s="996"/>
      <c r="QNB1" s="996"/>
      <c r="QNC1" s="996"/>
      <c r="QND1" s="996"/>
      <c r="QNE1" s="996"/>
      <c r="QNF1" s="996"/>
      <c r="QNG1" s="996"/>
      <c r="QNH1" s="996"/>
      <c r="QNI1" s="996"/>
      <c r="QNJ1" s="996"/>
      <c r="QNK1" s="996"/>
      <c r="QNL1" s="996"/>
      <c r="QNM1" s="996"/>
      <c r="QNN1" s="996"/>
      <c r="QNO1" s="996"/>
      <c r="QNP1" s="996"/>
      <c r="QNQ1" s="996"/>
      <c r="QNR1" s="996"/>
      <c r="QNS1" s="996"/>
      <c r="QNT1" s="996"/>
      <c r="QNU1" s="996"/>
      <c r="QNV1" s="996"/>
      <c r="QNW1" s="996"/>
      <c r="QNX1" s="996"/>
      <c r="QNY1" s="996"/>
      <c r="QNZ1" s="996"/>
      <c r="QOA1" s="996"/>
      <c r="QOB1" s="996"/>
      <c r="QOC1" s="996"/>
      <c r="QOD1" s="996"/>
      <c r="QOE1" s="996"/>
      <c r="QOF1" s="996"/>
      <c r="QOG1" s="996"/>
      <c r="QOH1" s="995"/>
      <c r="QOI1" s="995"/>
      <c r="QOJ1" s="996"/>
      <c r="QOK1" s="997"/>
      <c r="QOL1" s="1002"/>
      <c r="QOM1" s="996"/>
      <c r="QON1" s="996"/>
      <c r="QOO1" s="996"/>
      <c r="QOP1" s="996"/>
      <c r="QOQ1" s="996"/>
      <c r="QOR1" s="996"/>
      <c r="QOS1" s="996"/>
      <c r="QOT1" s="996"/>
      <c r="QOU1" s="996"/>
      <c r="QOV1" s="996"/>
      <c r="QOW1" s="996"/>
      <c r="QOX1" s="996"/>
      <c r="QOY1" s="996"/>
      <c r="QOZ1" s="996"/>
      <c r="QPA1" s="996"/>
      <c r="QPB1" s="996"/>
      <c r="QPC1" s="996"/>
      <c r="QPD1" s="996"/>
      <c r="QPE1" s="996"/>
      <c r="QPF1" s="996"/>
      <c r="QPG1" s="996"/>
      <c r="QPH1" s="1003"/>
      <c r="QPI1" s="996"/>
      <c r="QPJ1" s="1003"/>
      <c r="QPK1" s="996"/>
      <c r="QPL1" s="996"/>
      <c r="QPM1" s="996"/>
      <c r="QPN1" s="996"/>
      <c r="QPO1" s="996"/>
      <c r="QPP1" s="996"/>
      <c r="QPQ1" s="996"/>
      <c r="QPR1" s="996"/>
      <c r="QPS1" s="996"/>
      <c r="QPT1" s="996"/>
      <c r="QPU1" s="996"/>
      <c r="QPV1" s="996"/>
      <c r="QPW1" s="1003"/>
      <c r="QPX1" s="1003"/>
      <c r="QPY1" s="1003"/>
      <c r="QPZ1" s="1003"/>
      <c r="QQA1" s="1003"/>
      <c r="QQB1" s="996"/>
      <c r="QQC1" s="996"/>
      <c r="QQD1" s="996"/>
      <c r="QQE1" s="996"/>
      <c r="QQF1" s="996"/>
      <c r="QQG1" s="996"/>
      <c r="QQH1" s="1003"/>
      <c r="QQI1" s="996"/>
      <c r="QQJ1" s="996"/>
      <c r="QQK1" s="996"/>
      <c r="QQL1" s="996"/>
      <c r="QQM1" s="996"/>
      <c r="QQN1" s="996"/>
      <c r="QQO1" s="996"/>
      <c r="QQP1" s="996"/>
      <c r="QQQ1" s="996"/>
      <c r="QQR1" s="996"/>
      <c r="QQS1" s="996"/>
      <c r="QQT1" s="996"/>
      <c r="QQU1" s="996"/>
      <c r="QQV1" s="996"/>
      <c r="QQW1" s="996"/>
      <c r="QQX1" s="996"/>
      <c r="QQY1" s="996"/>
      <c r="QQZ1" s="996"/>
      <c r="QRA1" s="998"/>
      <c r="QRB1" s="998"/>
      <c r="QRC1" s="998"/>
      <c r="QRD1" s="998"/>
      <c r="QRE1" s="998"/>
      <c r="QRF1" s="998"/>
      <c r="QRG1" s="998"/>
      <c r="QRH1" s="998"/>
      <c r="QRI1" s="998"/>
      <c r="QRJ1" s="998"/>
      <c r="QRK1" s="998"/>
      <c r="QRL1" s="996"/>
      <c r="QRM1" s="996"/>
      <c r="QRN1" s="996"/>
      <c r="QRO1" s="996"/>
      <c r="QRP1" s="996"/>
      <c r="QRQ1" s="996"/>
      <c r="QRR1" s="996"/>
      <c r="QRS1" s="998"/>
      <c r="QRT1" s="998"/>
      <c r="QRU1" s="998"/>
      <c r="QRV1" s="998"/>
      <c r="QRW1" s="998"/>
      <c r="QRX1" s="998"/>
      <c r="QRY1" s="998"/>
      <c r="QRZ1" s="996"/>
      <c r="QSA1" s="996"/>
      <c r="QSB1" s="996"/>
      <c r="QSC1" s="996"/>
      <c r="QSD1" s="996"/>
      <c r="QSE1" s="996"/>
      <c r="QSF1" s="996"/>
      <c r="QSG1" s="996"/>
      <c r="QSH1" s="996"/>
      <c r="QSI1" s="996"/>
      <c r="QSJ1" s="996"/>
      <c r="QSK1" s="996"/>
      <c r="QSL1" s="996"/>
      <c r="QSM1" s="996"/>
      <c r="QSN1" s="996"/>
      <c r="QSO1" s="996"/>
      <c r="QSP1" s="996"/>
      <c r="QSQ1" s="996"/>
      <c r="QSR1" s="996"/>
      <c r="QSS1" s="996"/>
      <c r="QST1" s="996"/>
      <c r="QSU1" s="996"/>
      <c r="QSV1" s="996"/>
      <c r="QSW1" s="996"/>
      <c r="QSX1" s="996"/>
      <c r="QSY1" s="996"/>
      <c r="QSZ1" s="996"/>
      <c r="QTA1" s="1003"/>
      <c r="QTB1" s="996"/>
      <c r="QTC1" s="996"/>
      <c r="QTD1" s="996"/>
      <c r="QTE1" s="996"/>
      <c r="QTF1" s="996"/>
      <c r="QTG1" s="996"/>
      <c r="QTH1" s="996"/>
      <c r="QTI1" s="996"/>
      <c r="QTJ1" s="996"/>
      <c r="QTK1" s="996"/>
      <c r="QTL1" s="996"/>
      <c r="QTM1" s="996"/>
      <c r="QTN1" s="996"/>
      <c r="QTO1" s="996"/>
      <c r="QTP1" s="996"/>
      <c r="QTQ1" s="996"/>
      <c r="QTR1" s="998"/>
      <c r="QTS1" s="998"/>
      <c r="QTT1" s="998"/>
      <c r="QTU1" s="998"/>
      <c r="QTV1" s="998"/>
      <c r="QTW1" s="998"/>
      <c r="QTX1" s="998"/>
      <c r="QTY1" s="998"/>
      <c r="QTZ1" s="998"/>
      <c r="QUA1" s="996"/>
      <c r="QUB1" s="996"/>
      <c r="QUC1" s="996"/>
      <c r="QUD1" s="996"/>
      <c r="QUE1" s="996"/>
      <c r="QUF1" s="996"/>
      <c r="QUG1" s="996"/>
      <c r="QUH1" s="996"/>
      <c r="QUI1" s="996"/>
      <c r="QUJ1" s="998"/>
      <c r="QUK1" s="998"/>
      <c r="QUL1" s="998"/>
      <c r="QUM1" s="998"/>
      <c r="QUN1" s="998"/>
      <c r="QUO1" s="998"/>
      <c r="QUP1" s="998"/>
      <c r="QUQ1" s="998"/>
      <c r="QUR1" s="998"/>
      <c r="QUS1" s="999"/>
      <c r="QUT1" s="1000"/>
      <c r="QUU1" s="1001"/>
      <c r="QUV1" s="1000"/>
      <c r="QUW1" s="1001"/>
      <c r="QUX1" s="1000"/>
      <c r="QUY1" s="1000"/>
      <c r="QUZ1" s="1000"/>
      <c r="QVA1" s="1000"/>
      <c r="QVB1" s="1000"/>
      <c r="QVC1" s="1000"/>
      <c r="QVD1" s="1000"/>
      <c r="QVE1" s="1000"/>
      <c r="QVF1" s="1000"/>
      <c r="QVG1" s="1000"/>
      <c r="QVH1" s="1000"/>
      <c r="QVI1" s="1000"/>
      <c r="QVJ1" s="998"/>
      <c r="QVK1" s="998"/>
      <c r="QVL1" s="998"/>
      <c r="QVM1" s="998"/>
      <c r="QVN1" s="998"/>
      <c r="QVO1" s="998"/>
      <c r="QVP1" s="998"/>
      <c r="QVQ1" s="996"/>
      <c r="QVR1" s="996"/>
      <c r="QVS1" s="996"/>
      <c r="QVT1" s="996"/>
      <c r="QVU1" s="996"/>
      <c r="QVV1" s="996"/>
      <c r="QVW1" s="996"/>
      <c r="QVX1" s="996"/>
      <c r="QVY1" s="996"/>
      <c r="QVZ1" s="996"/>
      <c r="QWA1" s="996"/>
      <c r="QWB1" s="996"/>
      <c r="QWC1" s="996"/>
      <c r="QWD1" s="996"/>
      <c r="QWE1" s="996"/>
      <c r="QWF1" s="996"/>
      <c r="QWG1" s="996"/>
      <c r="QWH1" s="996"/>
      <c r="QWI1" s="996"/>
      <c r="QWJ1" s="996"/>
      <c r="QWK1" s="996"/>
      <c r="QWL1" s="996"/>
      <c r="QWM1" s="996"/>
      <c r="QWN1" s="996"/>
      <c r="QWO1" s="996"/>
      <c r="QWP1" s="996"/>
      <c r="QWQ1" s="996"/>
      <c r="QWR1" s="996"/>
      <c r="QWS1" s="996"/>
      <c r="QWT1" s="996"/>
      <c r="QWU1" s="996"/>
      <c r="QWV1" s="996"/>
      <c r="QWW1" s="996"/>
      <c r="QWX1" s="996"/>
      <c r="QWY1" s="996"/>
      <c r="QWZ1" s="996"/>
      <c r="QXA1" s="996"/>
      <c r="QXB1" s="996"/>
      <c r="QXC1" s="996"/>
      <c r="QXD1" s="995"/>
      <c r="QXE1" s="995"/>
      <c r="QXF1" s="996"/>
      <c r="QXG1" s="997"/>
      <c r="QXH1" s="1002"/>
      <c r="QXI1" s="996"/>
      <c r="QXJ1" s="996"/>
      <c r="QXK1" s="996"/>
      <c r="QXL1" s="996"/>
      <c r="QXM1" s="996"/>
      <c r="QXN1" s="996"/>
      <c r="QXO1" s="996"/>
      <c r="QXP1" s="996"/>
      <c r="QXQ1" s="996"/>
      <c r="QXR1" s="996"/>
      <c r="QXS1" s="996"/>
      <c r="QXT1" s="996"/>
      <c r="QXU1" s="996"/>
      <c r="QXV1" s="996"/>
      <c r="QXW1" s="996"/>
      <c r="QXX1" s="996"/>
      <c r="QXY1" s="996"/>
      <c r="QXZ1" s="996"/>
      <c r="QYA1" s="996"/>
      <c r="QYB1" s="996"/>
      <c r="QYC1" s="996"/>
      <c r="QYD1" s="1003"/>
      <c r="QYE1" s="996"/>
      <c r="QYF1" s="1003"/>
      <c r="QYG1" s="996"/>
      <c r="QYH1" s="996"/>
      <c r="QYI1" s="996"/>
      <c r="QYJ1" s="996"/>
      <c r="QYK1" s="996"/>
      <c r="QYL1" s="996"/>
      <c r="QYM1" s="996"/>
      <c r="QYN1" s="996"/>
      <c r="QYO1" s="996"/>
      <c r="QYP1" s="996"/>
      <c r="QYQ1" s="996"/>
      <c r="QYR1" s="996"/>
      <c r="QYS1" s="1003"/>
      <c r="QYT1" s="1003"/>
      <c r="QYU1" s="1003"/>
      <c r="QYV1" s="1003"/>
      <c r="QYW1" s="1003"/>
      <c r="QYX1" s="996"/>
      <c r="QYY1" s="996"/>
      <c r="QYZ1" s="996"/>
      <c r="QZA1" s="996"/>
      <c r="QZB1" s="996"/>
      <c r="QZC1" s="996"/>
      <c r="QZD1" s="1003"/>
      <c r="QZE1" s="996"/>
      <c r="QZF1" s="996"/>
      <c r="QZG1" s="996"/>
      <c r="QZH1" s="996"/>
      <c r="QZI1" s="996"/>
      <c r="QZJ1" s="996"/>
      <c r="QZK1" s="996"/>
      <c r="QZL1" s="996"/>
      <c r="QZM1" s="996"/>
      <c r="QZN1" s="996"/>
      <c r="QZO1" s="996"/>
      <c r="QZP1" s="996"/>
      <c r="QZQ1" s="996"/>
      <c r="QZR1" s="996"/>
      <c r="QZS1" s="996"/>
      <c r="QZT1" s="996"/>
      <c r="QZU1" s="996"/>
      <c r="QZV1" s="996"/>
      <c r="QZW1" s="998"/>
      <c r="QZX1" s="998"/>
      <c r="QZY1" s="998"/>
      <c r="QZZ1" s="998"/>
      <c r="RAA1" s="998"/>
      <c r="RAB1" s="998"/>
      <c r="RAC1" s="998"/>
      <c r="RAD1" s="998"/>
      <c r="RAE1" s="998"/>
      <c r="RAF1" s="998"/>
      <c r="RAG1" s="998"/>
      <c r="RAH1" s="996"/>
      <c r="RAI1" s="996"/>
      <c r="RAJ1" s="996"/>
      <c r="RAK1" s="996"/>
      <c r="RAL1" s="996"/>
      <c r="RAM1" s="996"/>
      <c r="RAN1" s="996"/>
      <c r="RAO1" s="998"/>
      <c r="RAP1" s="998"/>
      <c r="RAQ1" s="998"/>
      <c r="RAR1" s="998"/>
      <c r="RAS1" s="998"/>
      <c r="RAT1" s="998"/>
      <c r="RAU1" s="998"/>
      <c r="RAV1" s="996"/>
      <c r="RAW1" s="996"/>
      <c r="RAX1" s="996"/>
      <c r="RAY1" s="996"/>
      <c r="RAZ1" s="996"/>
      <c r="RBA1" s="996"/>
      <c r="RBB1" s="996"/>
      <c r="RBC1" s="996"/>
      <c r="RBD1" s="996"/>
      <c r="RBE1" s="996"/>
      <c r="RBF1" s="996"/>
      <c r="RBG1" s="996"/>
      <c r="RBH1" s="996"/>
      <c r="RBI1" s="996"/>
      <c r="RBJ1" s="996"/>
      <c r="RBK1" s="996"/>
      <c r="RBL1" s="996"/>
      <c r="RBM1" s="996"/>
      <c r="RBN1" s="996"/>
      <c r="RBO1" s="996"/>
      <c r="RBP1" s="996"/>
      <c r="RBQ1" s="996"/>
      <c r="RBR1" s="996"/>
      <c r="RBS1" s="996"/>
      <c r="RBT1" s="996"/>
      <c r="RBU1" s="996"/>
      <c r="RBV1" s="996"/>
      <c r="RBW1" s="1003"/>
      <c r="RBX1" s="996"/>
      <c r="RBY1" s="996"/>
      <c r="RBZ1" s="996"/>
      <c r="RCA1" s="996"/>
      <c r="RCB1" s="996"/>
      <c r="RCC1" s="996"/>
      <c r="RCD1" s="996"/>
      <c r="RCE1" s="996"/>
      <c r="RCF1" s="996"/>
      <c r="RCG1" s="996"/>
      <c r="RCH1" s="996"/>
      <c r="RCI1" s="996"/>
      <c r="RCJ1" s="996"/>
      <c r="RCK1" s="996"/>
      <c r="RCL1" s="996"/>
      <c r="RCM1" s="996"/>
      <c r="RCN1" s="998"/>
      <c r="RCO1" s="998"/>
      <c r="RCP1" s="998"/>
      <c r="RCQ1" s="998"/>
      <c r="RCR1" s="998"/>
      <c r="RCS1" s="998"/>
      <c r="RCT1" s="998"/>
      <c r="RCU1" s="998"/>
      <c r="RCV1" s="998"/>
      <c r="RCW1" s="996"/>
      <c r="RCX1" s="996"/>
      <c r="RCY1" s="996"/>
      <c r="RCZ1" s="996"/>
      <c r="RDA1" s="996"/>
      <c r="RDB1" s="996"/>
      <c r="RDC1" s="996"/>
      <c r="RDD1" s="996"/>
      <c r="RDE1" s="996"/>
      <c r="RDF1" s="998"/>
      <c r="RDG1" s="998"/>
      <c r="RDH1" s="998"/>
      <c r="RDI1" s="998"/>
      <c r="RDJ1" s="998"/>
      <c r="RDK1" s="998"/>
      <c r="RDL1" s="998"/>
      <c r="RDM1" s="998"/>
      <c r="RDN1" s="998"/>
      <c r="RDO1" s="999"/>
      <c r="RDP1" s="1000"/>
      <c r="RDQ1" s="1001"/>
      <c r="RDR1" s="1000"/>
      <c r="RDS1" s="1001"/>
      <c r="RDT1" s="1000"/>
      <c r="RDU1" s="1000"/>
      <c r="RDV1" s="1000"/>
      <c r="RDW1" s="1000"/>
      <c r="RDX1" s="1000"/>
      <c r="RDY1" s="1000"/>
      <c r="RDZ1" s="1000"/>
      <c r="REA1" s="1000"/>
      <c r="REB1" s="1000"/>
      <c r="REC1" s="1000"/>
      <c r="RED1" s="1000"/>
      <c r="REE1" s="1000"/>
      <c r="REF1" s="998"/>
      <c r="REG1" s="998"/>
      <c r="REH1" s="998"/>
      <c r="REI1" s="998"/>
      <c r="REJ1" s="998"/>
      <c r="REK1" s="998"/>
      <c r="REL1" s="998"/>
      <c r="REM1" s="996"/>
      <c r="REN1" s="996"/>
      <c r="REO1" s="996"/>
      <c r="REP1" s="996"/>
      <c r="REQ1" s="996"/>
      <c r="RER1" s="996"/>
      <c r="RES1" s="996"/>
      <c r="RET1" s="996"/>
      <c r="REU1" s="996"/>
      <c r="REV1" s="996"/>
      <c r="REW1" s="996"/>
      <c r="REX1" s="996"/>
      <c r="REY1" s="996"/>
      <c r="REZ1" s="996"/>
      <c r="RFA1" s="996"/>
      <c r="RFB1" s="996"/>
      <c r="RFC1" s="996"/>
      <c r="RFD1" s="996"/>
      <c r="RFE1" s="996"/>
      <c r="RFF1" s="996"/>
      <c r="RFG1" s="996"/>
      <c r="RFH1" s="996"/>
      <c r="RFI1" s="996"/>
      <c r="RFJ1" s="996"/>
      <c r="RFK1" s="996"/>
      <c r="RFL1" s="996"/>
      <c r="RFM1" s="996"/>
      <c r="RFN1" s="996"/>
      <c r="RFO1" s="996"/>
      <c r="RFP1" s="996"/>
      <c r="RFQ1" s="996"/>
      <c r="RFR1" s="996"/>
      <c r="RFS1" s="996"/>
      <c r="RFT1" s="996"/>
      <c r="RFU1" s="996"/>
      <c r="RFV1" s="996"/>
      <c r="RFW1" s="996"/>
      <c r="RFX1" s="996"/>
      <c r="RFY1" s="996"/>
      <c r="RFZ1" s="995"/>
      <c r="RGA1" s="995"/>
      <c r="RGB1" s="996"/>
      <c r="RGC1" s="997"/>
      <c r="RGD1" s="1002"/>
      <c r="RGE1" s="996"/>
      <c r="RGF1" s="996"/>
      <c r="RGG1" s="996"/>
      <c r="RGH1" s="996"/>
      <c r="RGI1" s="996"/>
      <c r="RGJ1" s="996"/>
      <c r="RGK1" s="996"/>
      <c r="RGL1" s="996"/>
      <c r="RGM1" s="996"/>
      <c r="RGN1" s="996"/>
      <c r="RGO1" s="996"/>
      <c r="RGP1" s="996"/>
      <c r="RGQ1" s="996"/>
      <c r="RGR1" s="996"/>
      <c r="RGS1" s="996"/>
      <c r="RGT1" s="996"/>
      <c r="RGU1" s="996"/>
      <c r="RGV1" s="996"/>
      <c r="RGW1" s="996"/>
      <c r="RGX1" s="996"/>
      <c r="RGY1" s="996"/>
      <c r="RGZ1" s="1003"/>
      <c r="RHA1" s="996"/>
      <c r="RHB1" s="1003"/>
      <c r="RHC1" s="996"/>
      <c r="RHD1" s="996"/>
      <c r="RHE1" s="996"/>
      <c r="RHF1" s="996"/>
      <c r="RHG1" s="996"/>
      <c r="RHH1" s="996"/>
      <c r="RHI1" s="996"/>
      <c r="RHJ1" s="996"/>
      <c r="RHK1" s="996"/>
      <c r="RHL1" s="996"/>
      <c r="RHM1" s="996"/>
      <c r="RHN1" s="996"/>
      <c r="RHO1" s="1003"/>
      <c r="RHP1" s="1003"/>
      <c r="RHQ1" s="1003"/>
      <c r="RHR1" s="1003"/>
      <c r="RHS1" s="1003"/>
      <c r="RHT1" s="996"/>
      <c r="RHU1" s="996"/>
      <c r="RHV1" s="996"/>
      <c r="RHW1" s="996"/>
      <c r="RHX1" s="996"/>
      <c r="RHY1" s="996"/>
      <c r="RHZ1" s="1003"/>
      <c r="RIA1" s="996"/>
      <c r="RIB1" s="996"/>
      <c r="RIC1" s="996"/>
      <c r="RID1" s="996"/>
      <c r="RIE1" s="996"/>
      <c r="RIF1" s="996"/>
      <c r="RIG1" s="996"/>
      <c r="RIH1" s="996"/>
      <c r="RII1" s="996"/>
      <c r="RIJ1" s="996"/>
      <c r="RIK1" s="996"/>
      <c r="RIL1" s="996"/>
      <c r="RIM1" s="996"/>
      <c r="RIN1" s="996"/>
      <c r="RIO1" s="996"/>
      <c r="RIP1" s="996"/>
      <c r="RIQ1" s="996"/>
      <c r="RIR1" s="996"/>
      <c r="RIS1" s="998"/>
      <c r="RIT1" s="998"/>
      <c r="RIU1" s="998"/>
      <c r="RIV1" s="998"/>
      <c r="RIW1" s="998"/>
      <c r="RIX1" s="998"/>
      <c r="RIY1" s="998"/>
      <c r="RIZ1" s="998"/>
      <c r="RJA1" s="998"/>
      <c r="RJB1" s="998"/>
      <c r="RJC1" s="998"/>
      <c r="RJD1" s="996"/>
      <c r="RJE1" s="996"/>
      <c r="RJF1" s="996"/>
      <c r="RJG1" s="996"/>
      <c r="RJH1" s="996"/>
      <c r="RJI1" s="996"/>
      <c r="RJJ1" s="996"/>
      <c r="RJK1" s="998"/>
      <c r="RJL1" s="998"/>
      <c r="RJM1" s="998"/>
      <c r="RJN1" s="998"/>
      <c r="RJO1" s="998"/>
      <c r="RJP1" s="998"/>
      <c r="RJQ1" s="998"/>
      <c r="RJR1" s="996"/>
      <c r="RJS1" s="996"/>
      <c r="RJT1" s="996"/>
      <c r="RJU1" s="996"/>
      <c r="RJV1" s="996"/>
      <c r="RJW1" s="996"/>
      <c r="RJX1" s="996"/>
      <c r="RJY1" s="996"/>
      <c r="RJZ1" s="996"/>
      <c r="RKA1" s="996"/>
      <c r="RKB1" s="996"/>
      <c r="RKC1" s="996"/>
      <c r="RKD1" s="996"/>
      <c r="RKE1" s="996"/>
      <c r="RKF1" s="996"/>
      <c r="RKG1" s="996"/>
      <c r="RKH1" s="996"/>
      <c r="RKI1" s="996"/>
      <c r="RKJ1" s="996"/>
      <c r="RKK1" s="996"/>
      <c r="RKL1" s="996"/>
      <c r="RKM1" s="996"/>
      <c r="RKN1" s="996"/>
      <c r="RKO1" s="996"/>
      <c r="RKP1" s="996"/>
      <c r="RKQ1" s="996"/>
      <c r="RKR1" s="996"/>
      <c r="RKS1" s="1003"/>
      <c r="RKT1" s="996"/>
      <c r="RKU1" s="996"/>
      <c r="RKV1" s="996"/>
      <c r="RKW1" s="996"/>
      <c r="RKX1" s="996"/>
      <c r="RKY1" s="996"/>
      <c r="RKZ1" s="996"/>
      <c r="RLA1" s="996"/>
      <c r="RLB1" s="996"/>
      <c r="RLC1" s="996"/>
      <c r="RLD1" s="996"/>
      <c r="RLE1" s="996"/>
      <c r="RLF1" s="996"/>
      <c r="RLG1" s="996"/>
      <c r="RLH1" s="996"/>
      <c r="RLI1" s="996"/>
      <c r="RLJ1" s="998"/>
      <c r="RLK1" s="998"/>
      <c r="RLL1" s="998"/>
      <c r="RLM1" s="998"/>
      <c r="RLN1" s="998"/>
      <c r="RLO1" s="998"/>
      <c r="RLP1" s="998"/>
      <c r="RLQ1" s="998"/>
      <c r="RLR1" s="998"/>
      <c r="RLS1" s="996"/>
      <c r="RLT1" s="996"/>
      <c r="RLU1" s="996"/>
      <c r="RLV1" s="996"/>
      <c r="RLW1" s="996"/>
      <c r="RLX1" s="996"/>
      <c r="RLY1" s="996"/>
      <c r="RLZ1" s="996"/>
      <c r="RMA1" s="996"/>
      <c r="RMB1" s="998"/>
      <c r="RMC1" s="998"/>
      <c r="RMD1" s="998"/>
      <c r="RME1" s="998"/>
      <c r="RMF1" s="998"/>
      <c r="RMG1" s="998"/>
      <c r="RMH1" s="998"/>
      <c r="RMI1" s="998"/>
      <c r="RMJ1" s="998"/>
      <c r="RMK1" s="999"/>
      <c r="RML1" s="1000"/>
      <c r="RMM1" s="1001"/>
      <c r="RMN1" s="1000"/>
      <c r="RMO1" s="1001"/>
      <c r="RMP1" s="1000"/>
      <c r="RMQ1" s="1000"/>
      <c r="RMR1" s="1000"/>
      <c r="RMS1" s="1000"/>
      <c r="RMT1" s="1000"/>
      <c r="RMU1" s="1000"/>
      <c r="RMV1" s="1000"/>
      <c r="RMW1" s="1000"/>
      <c r="RMX1" s="1000"/>
      <c r="RMY1" s="1000"/>
      <c r="RMZ1" s="1000"/>
      <c r="RNA1" s="1000"/>
      <c r="RNB1" s="998"/>
      <c r="RNC1" s="998"/>
      <c r="RND1" s="998"/>
      <c r="RNE1" s="998"/>
      <c r="RNF1" s="998"/>
      <c r="RNG1" s="998"/>
      <c r="RNH1" s="998"/>
      <c r="RNI1" s="996"/>
      <c r="RNJ1" s="996"/>
      <c r="RNK1" s="996"/>
      <c r="RNL1" s="996"/>
      <c r="RNM1" s="996"/>
      <c r="RNN1" s="996"/>
      <c r="RNO1" s="996"/>
      <c r="RNP1" s="996"/>
      <c r="RNQ1" s="996"/>
      <c r="RNR1" s="996"/>
      <c r="RNS1" s="996"/>
      <c r="RNT1" s="996"/>
      <c r="RNU1" s="996"/>
      <c r="RNV1" s="996"/>
      <c r="RNW1" s="996"/>
      <c r="RNX1" s="996"/>
      <c r="RNY1" s="996"/>
      <c r="RNZ1" s="996"/>
      <c r="ROA1" s="996"/>
      <c r="ROB1" s="996"/>
      <c r="ROC1" s="996"/>
      <c r="ROD1" s="996"/>
      <c r="ROE1" s="996"/>
      <c r="ROF1" s="996"/>
      <c r="ROG1" s="996"/>
      <c r="ROH1" s="996"/>
      <c r="ROI1" s="996"/>
      <c r="ROJ1" s="996"/>
      <c r="ROK1" s="996"/>
      <c r="ROL1" s="996"/>
      <c r="ROM1" s="996"/>
      <c r="RON1" s="996"/>
      <c r="ROO1" s="996"/>
      <c r="ROP1" s="996"/>
      <c r="ROQ1" s="996"/>
      <c r="ROR1" s="996"/>
      <c r="ROS1" s="996"/>
      <c r="ROT1" s="996"/>
      <c r="ROU1" s="996"/>
      <c r="ROV1" s="995"/>
      <c r="ROW1" s="995"/>
      <c r="ROX1" s="996"/>
      <c r="ROY1" s="997"/>
      <c r="ROZ1" s="1002"/>
      <c r="RPA1" s="996"/>
      <c r="RPB1" s="996"/>
      <c r="RPC1" s="996"/>
      <c r="RPD1" s="996"/>
      <c r="RPE1" s="996"/>
      <c r="RPF1" s="996"/>
      <c r="RPG1" s="996"/>
      <c r="RPH1" s="996"/>
      <c r="RPI1" s="996"/>
      <c r="RPJ1" s="996"/>
      <c r="RPK1" s="996"/>
      <c r="RPL1" s="996"/>
      <c r="RPM1" s="996"/>
      <c r="RPN1" s="996"/>
      <c r="RPO1" s="996"/>
      <c r="RPP1" s="996"/>
      <c r="RPQ1" s="996"/>
      <c r="RPR1" s="996"/>
      <c r="RPS1" s="996"/>
      <c r="RPT1" s="996"/>
      <c r="RPU1" s="996"/>
      <c r="RPV1" s="1003"/>
      <c r="RPW1" s="996"/>
      <c r="RPX1" s="1003"/>
      <c r="RPY1" s="996"/>
      <c r="RPZ1" s="996"/>
      <c r="RQA1" s="996"/>
      <c r="RQB1" s="996"/>
      <c r="RQC1" s="996"/>
      <c r="RQD1" s="996"/>
      <c r="RQE1" s="996"/>
      <c r="RQF1" s="996"/>
      <c r="RQG1" s="996"/>
      <c r="RQH1" s="996"/>
      <c r="RQI1" s="996"/>
      <c r="RQJ1" s="996"/>
      <c r="RQK1" s="1003"/>
      <c r="RQL1" s="1003"/>
      <c r="RQM1" s="1003"/>
      <c r="RQN1" s="1003"/>
      <c r="RQO1" s="1003"/>
      <c r="RQP1" s="996"/>
      <c r="RQQ1" s="996"/>
      <c r="RQR1" s="996"/>
      <c r="RQS1" s="996"/>
      <c r="RQT1" s="996"/>
      <c r="RQU1" s="996"/>
      <c r="RQV1" s="1003"/>
      <c r="RQW1" s="996"/>
      <c r="RQX1" s="996"/>
      <c r="RQY1" s="996"/>
      <c r="RQZ1" s="996"/>
      <c r="RRA1" s="996"/>
      <c r="RRB1" s="996"/>
      <c r="RRC1" s="996"/>
      <c r="RRD1" s="996"/>
      <c r="RRE1" s="996"/>
      <c r="RRF1" s="996"/>
      <c r="RRG1" s="996"/>
      <c r="RRH1" s="996"/>
      <c r="RRI1" s="996"/>
      <c r="RRJ1" s="996"/>
      <c r="RRK1" s="996"/>
      <c r="RRL1" s="996"/>
      <c r="RRM1" s="996"/>
      <c r="RRN1" s="996"/>
      <c r="RRO1" s="998"/>
      <c r="RRP1" s="998"/>
      <c r="RRQ1" s="998"/>
      <c r="RRR1" s="998"/>
      <c r="RRS1" s="998"/>
      <c r="RRT1" s="998"/>
      <c r="RRU1" s="998"/>
      <c r="RRV1" s="998"/>
      <c r="RRW1" s="998"/>
      <c r="RRX1" s="998"/>
      <c r="RRY1" s="998"/>
      <c r="RRZ1" s="996"/>
      <c r="RSA1" s="996"/>
      <c r="RSB1" s="996"/>
      <c r="RSC1" s="996"/>
      <c r="RSD1" s="996"/>
      <c r="RSE1" s="996"/>
      <c r="RSF1" s="996"/>
      <c r="RSG1" s="998"/>
      <c r="RSH1" s="998"/>
      <c r="RSI1" s="998"/>
      <c r="RSJ1" s="998"/>
      <c r="RSK1" s="998"/>
      <c r="RSL1" s="998"/>
      <c r="RSM1" s="998"/>
      <c r="RSN1" s="996"/>
      <c r="RSO1" s="996"/>
      <c r="RSP1" s="996"/>
      <c r="RSQ1" s="996"/>
      <c r="RSR1" s="996"/>
      <c r="RSS1" s="996"/>
      <c r="RST1" s="996"/>
      <c r="RSU1" s="996"/>
      <c r="RSV1" s="996"/>
      <c r="RSW1" s="996"/>
      <c r="RSX1" s="996"/>
      <c r="RSY1" s="996"/>
      <c r="RSZ1" s="996"/>
      <c r="RTA1" s="996"/>
      <c r="RTB1" s="996"/>
      <c r="RTC1" s="996"/>
      <c r="RTD1" s="996"/>
      <c r="RTE1" s="996"/>
      <c r="RTF1" s="996"/>
      <c r="RTG1" s="996"/>
      <c r="RTH1" s="996"/>
      <c r="RTI1" s="996"/>
      <c r="RTJ1" s="996"/>
      <c r="RTK1" s="996"/>
      <c r="RTL1" s="996"/>
      <c r="RTM1" s="996"/>
      <c r="RTN1" s="996"/>
      <c r="RTO1" s="1003"/>
      <c r="RTP1" s="996"/>
      <c r="RTQ1" s="996"/>
      <c r="RTR1" s="996"/>
      <c r="RTS1" s="996"/>
      <c r="RTT1" s="996"/>
      <c r="RTU1" s="996"/>
      <c r="RTV1" s="996"/>
      <c r="RTW1" s="996"/>
      <c r="RTX1" s="996"/>
      <c r="RTY1" s="996"/>
      <c r="RTZ1" s="996"/>
      <c r="RUA1" s="996"/>
      <c r="RUB1" s="996"/>
      <c r="RUC1" s="996"/>
      <c r="RUD1" s="996"/>
      <c r="RUE1" s="996"/>
      <c r="RUF1" s="998"/>
      <c r="RUG1" s="998"/>
      <c r="RUH1" s="998"/>
      <c r="RUI1" s="998"/>
      <c r="RUJ1" s="998"/>
      <c r="RUK1" s="998"/>
      <c r="RUL1" s="998"/>
      <c r="RUM1" s="998"/>
      <c r="RUN1" s="998"/>
      <c r="RUO1" s="996"/>
      <c r="RUP1" s="996"/>
      <c r="RUQ1" s="996"/>
      <c r="RUR1" s="996"/>
      <c r="RUS1" s="996"/>
      <c r="RUT1" s="996"/>
      <c r="RUU1" s="996"/>
      <c r="RUV1" s="996"/>
      <c r="RUW1" s="996"/>
      <c r="RUX1" s="998"/>
      <c r="RUY1" s="998"/>
      <c r="RUZ1" s="998"/>
      <c r="RVA1" s="998"/>
      <c r="RVB1" s="998"/>
      <c r="RVC1" s="998"/>
      <c r="RVD1" s="998"/>
      <c r="RVE1" s="998"/>
      <c r="RVF1" s="998"/>
      <c r="RVG1" s="999"/>
      <c r="RVH1" s="1000"/>
      <c r="RVI1" s="1001"/>
      <c r="RVJ1" s="1000"/>
      <c r="RVK1" s="1001"/>
      <c r="RVL1" s="1000"/>
      <c r="RVM1" s="1000"/>
      <c r="RVN1" s="1000"/>
      <c r="RVO1" s="1000"/>
      <c r="RVP1" s="1000"/>
      <c r="RVQ1" s="1000"/>
      <c r="RVR1" s="1000"/>
      <c r="RVS1" s="1000"/>
      <c r="RVT1" s="1000"/>
      <c r="RVU1" s="1000"/>
      <c r="RVV1" s="1000"/>
      <c r="RVW1" s="1000"/>
      <c r="RVX1" s="998"/>
      <c r="RVY1" s="998"/>
      <c r="RVZ1" s="998"/>
      <c r="RWA1" s="998"/>
      <c r="RWB1" s="998"/>
      <c r="RWC1" s="998"/>
      <c r="RWD1" s="998"/>
      <c r="RWE1" s="996"/>
      <c r="RWF1" s="996"/>
      <c r="RWG1" s="996"/>
      <c r="RWH1" s="996"/>
      <c r="RWI1" s="996"/>
      <c r="RWJ1" s="996"/>
      <c r="RWK1" s="996"/>
      <c r="RWL1" s="996"/>
      <c r="RWM1" s="996"/>
      <c r="RWN1" s="996"/>
      <c r="RWO1" s="996"/>
      <c r="RWP1" s="996"/>
      <c r="RWQ1" s="996"/>
      <c r="RWR1" s="996"/>
      <c r="RWS1" s="996"/>
      <c r="RWT1" s="996"/>
      <c r="RWU1" s="996"/>
      <c r="RWV1" s="996"/>
      <c r="RWW1" s="996"/>
      <c r="RWX1" s="996"/>
      <c r="RWY1" s="996"/>
      <c r="RWZ1" s="996"/>
      <c r="RXA1" s="996"/>
      <c r="RXB1" s="996"/>
      <c r="RXC1" s="996"/>
      <c r="RXD1" s="996"/>
      <c r="RXE1" s="996"/>
      <c r="RXF1" s="996"/>
      <c r="RXG1" s="996"/>
      <c r="RXH1" s="996"/>
      <c r="RXI1" s="996"/>
      <c r="RXJ1" s="996"/>
      <c r="RXK1" s="996"/>
      <c r="RXL1" s="996"/>
      <c r="RXM1" s="996"/>
      <c r="RXN1" s="996"/>
      <c r="RXO1" s="996"/>
      <c r="RXP1" s="996"/>
      <c r="RXQ1" s="996"/>
      <c r="RXR1" s="995"/>
      <c r="RXS1" s="995"/>
      <c r="RXT1" s="996"/>
      <c r="RXU1" s="997"/>
      <c r="RXV1" s="1002"/>
      <c r="RXW1" s="996"/>
      <c r="RXX1" s="996"/>
      <c r="RXY1" s="996"/>
      <c r="RXZ1" s="996"/>
      <c r="RYA1" s="996"/>
      <c r="RYB1" s="996"/>
      <c r="RYC1" s="996"/>
      <c r="RYD1" s="996"/>
      <c r="RYE1" s="996"/>
      <c r="RYF1" s="996"/>
      <c r="RYG1" s="996"/>
      <c r="RYH1" s="996"/>
      <c r="RYI1" s="996"/>
      <c r="RYJ1" s="996"/>
      <c r="RYK1" s="996"/>
      <c r="RYL1" s="996"/>
      <c r="RYM1" s="996"/>
      <c r="RYN1" s="996"/>
      <c r="RYO1" s="996"/>
      <c r="RYP1" s="996"/>
      <c r="RYQ1" s="996"/>
      <c r="RYR1" s="1003"/>
      <c r="RYS1" s="996"/>
      <c r="RYT1" s="1003"/>
      <c r="RYU1" s="996"/>
      <c r="RYV1" s="996"/>
      <c r="RYW1" s="996"/>
      <c r="RYX1" s="996"/>
      <c r="RYY1" s="996"/>
      <c r="RYZ1" s="996"/>
      <c r="RZA1" s="996"/>
      <c r="RZB1" s="996"/>
      <c r="RZC1" s="996"/>
      <c r="RZD1" s="996"/>
      <c r="RZE1" s="996"/>
      <c r="RZF1" s="996"/>
      <c r="RZG1" s="1003"/>
      <c r="RZH1" s="1003"/>
      <c r="RZI1" s="1003"/>
      <c r="RZJ1" s="1003"/>
      <c r="RZK1" s="1003"/>
      <c r="RZL1" s="996"/>
      <c r="RZM1" s="996"/>
      <c r="RZN1" s="996"/>
      <c r="RZO1" s="996"/>
      <c r="RZP1" s="996"/>
      <c r="RZQ1" s="996"/>
      <c r="RZR1" s="1003"/>
      <c r="RZS1" s="996"/>
      <c r="RZT1" s="996"/>
      <c r="RZU1" s="996"/>
      <c r="RZV1" s="996"/>
      <c r="RZW1" s="996"/>
      <c r="RZX1" s="996"/>
      <c r="RZY1" s="996"/>
      <c r="RZZ1" s="996"/>
      <c r="SAA1" s="996"/>
      <c r="SAB1" s="996"/>
      <c r="SAC1" s="996"/>
      <c r="SAD1" s="996"/>
      <c r="SAE1" s="996"/>
      <c r="SAF1" s="996"/>
      <c r="SAG1" s="996"/>
      <c r="SAH1" s="996"/>
      <c r="SAI1" s="996"/>
      <c r="SAJ1" s="996"/>
      <c r="SAK1" s="998"/>
      <c r="SAL1" s="998"/>
      <c r="SAM1" s="998"/>
      <c r="SAN1" s="998"/>
      <c r="SAO1" s="998"/>
      <c r="SAP1" s="998"/>
      <c r="SAQ1" s="998"/>
      <c r="SAR1" s="998"/>
      <c r="SAS1" s="998"/>
      <c r="SAT1" s="998"/>
      <c r="SAU1" s="998"/>
      <c r="SAV1" s="996"/>
      <c r="SAW1" s="996"/>
      <c r="SAX1" s="996"/>
      <c r="SAY1" s="996"/>
      <c r="SAZ1" s="996"/>
      <c r="SBA1" s="996"/>
      <c r="SBB1" s="996"/>
      <c r="SBC1" s="998"/>
      <c r="SBD1" s="998"/>
      <c r="SBE1" s="998"/>
      <c r="SBF1" s="998"/>
      <c r="SBG1" s="998"/>
      <c r="SBH1" s="998"/>
      <c r="SBI1" s="998"/>
      <c r="SBJ1" s="996"/>
      <c r="SBK1" s="996"/>
      <c r="SBL1" s="996"/>
      <c r="SBM1" s="996"/>
      <c r="SBN1" s="996"/>
      <c r="SBO1" s="996"/>
      <c r="SBP1" s="996"/>
      <c r="SBQ1" s="996"/>
      <c r="SBR1" s="996"/>
      <c r="SBS1" s="996"/>
      <c r="SBT1" s="996"/>
      <c r="SBU1" s="996"/>
      <c r="SBV1" s="996"/>
      <c r="SBW1" s="996"/>
      <c r="SBX1" s="996"/>
      <c r="SBY1" s="996"/>
      <c r="SBZ1" s="996"/>
      <c r="SCA1" s="996"/>
      <c r="SCB1" s="996"/>
      <c r="SCC1" s="996"/>
      <c r="SCD1" s="996"/>
      <c r="SCE1" s="996"/>
      <c r="SCF1" s="996"/>
      <c r="SCG1" s="996"/>
      <c r="SCH1" s="996"/>
      <c r="SCI1" s="996"/>
      <c r="SCJ1" s="996"/>
      <c r="SCK1" s="1003"/>
      <c r="SCL1" s="996"/>
      <c r="SCM1" s="996"/>
      <c r="SCN1" s="996"/>
      <c r="SCO1" s="996"/>
      <c r="SCP1" s="996"/>
      <c r="SCQ1" s="996"/>
      <c r="SCR1" s="996"/>
      <c r="SCS1" s="996"/>
      <c r="SCT1" s="996"/>
      <c r="SCU1" s="996"/>
      <c r="SCV1" s="996"/>
      <c r="SCW1" s="996"/>
      <c r="SCX1" s="996"/>
      <c r="SCY1" s="996"/>
      <c r="SCZ1" s="996"/>
      <c r="SDA1" s="996"/>
      <c r="SDB1" s="998"/>
      <c r="SDC1" s="998"/>
      <c r="SDD1" s="998"/>
      <c r="SDE1" s="998"/>
      <c r="SDF1" s="998"/>
      <c r="SDG1" s="998"/>
      <c r="SDH1" s="998"/>
      <c r="SDI1" s="998"/>
      <c r="SDJ1" s="998"/>
      <c r="SDK1" s="996"/>
      <c r="SDL1" s="996"/>
      <c r="SDM1" s="996"/>
      <c r="SDN1" s="996"/>
      <c r="SDO1" s="996"/>
      <c r="SDP1" s="996"/>
      <c r="SDQ1" s="996"/>
      <c r="SDR1" s="996"/>
      <c r="SDS1" s="996"/>
      <c r="SDT1" s="998"/>
      <c r="SDU1" s="998"/>
      <c r="SDV1" s="998"/>
      <c r="SDW1" s="998"/>
      <c r="SDX1" s="998"/>
      <c r="SDY1" s="998"/>
      <c r="SDZ1" s="998"/>
      <c r="SEA1" s="998"/>
      <c r="SEB1" s="998"/>
      <c r="SEC1" s="999"/>
      <c r="SED1" s="1000"/>
      <c r="SEE1" s="1001"/>
      <c r="SEF1" s="1000"/>
      <c r="SEG1" s="1001"/>
      <c r="SEH1" s="1000"/>
      <c r="SEI1" s="1000"/>
      <c r="SEJ1" s="1000"/>
      <c r="SEK1" s="1000"/>
      <c r="SEL1" s="1000"/>
      <c r="SEM1" s="1000"/>
      <c r="SEN1" s="1000"/>
      <c r="SEO1" s="1000"/>
      <c r="SEP1" s="1000"/>
      <c r="SEQ1" s="1000"/>
      <c r="SER1" s="1000"/>
      <c r="SES1" s="1000"/>
      <c r="SET1" s="998"/>
      <c r="SEU1" s="998"/>
      <c r="SEV1" s="998"/>
      <c r="SEW1" s="998"/>
      <c r="SEX1" s="998"/>
      <c r="SEY1" s="998"/>
      <c r="SEZ1" s="998"/>
      <c r="SFA1" s="996"/>
      <c r="SFB1" s="996"/>
      <c r="SFC1" s="996"/>
      <c r="SFD1" s="996"/>
      <c r="SFE1" s="996"/>
      <c r="SFF1" s="996"/>
      <c r="SFG1" s="996"/>
      <c r="SFH1" s="996"/>
      <c r="SFI1" s="996"/>
      <c r="SFJ1" s="996"/>
      <c r="SFK1" s="996"/>
      <c r="SFL1" s="996"/>
      <c r="SFM1" s="996"/>
      <c r="SFN1" s="996"/>
      <c r="SFO1" s="996"/>
      <c r="SFP1" s="996"/>
      <c r="SFQ1" s="996"/>
      <c r="SFR1" s="996"/>
      <c r="SFS1" s="996"/>
      <c r="SFT1" s="996"/>
      <c r="SFU1" s="996"/>
      <c r="SFV1" s="996"/>
      <c r="SFW1" s="996"/>
      <c r="SFX1" s="996"/>
      <c r="SFY1" s="996"/>
      <c r="SFZ1" s="996"/>
      <c r="SGA1" s="996"/>
      <c r="SGB1" s="996"/>
      <c r="SGC1" s="996"/>
      <c r="SGD1" s="996"/>
      <c r="SGE1" s="996"/>
      <c r="SGF1" s="996"/>
      <c r="SGG1" s="996"/>
      <c r="SGH1" s="996"/>
      <c r="SGI1" s="996"/>
      <c r="SGJ1" s="996"/>
      <c r="SGK1" s="996"/>
      <c r="SGL1" s="996"/>
      <c r="SGM1" s="996"/>
      <c r="SGN1" s="995"/>
      <c r="SGO1" s="995"/>
      <c r="SGP1" s="996"/>
      <c r="SGQ1" s="997"/>
      <c r="SGR1" s="1002"/>
      <c r="SGS1" s="996"/>
      <c r="SGT1" s="996"/>
      <c r="SGU1" s="996"/>
      <c r="SGV1" s="996"/>
      <c r="SGW1" s="996"/>
      <c r="SGX1" s="996"/>
      <c r="SGY1" s="996"/>
      <c r="SGZ1" s="996"/>
      <c r="SHA1" s="996"/>
      <c r="SHB1" s="996"/>
      <c r="SHC1" s="996"/>
      <c r="SHD1" s="996"/>
      <c r="SHE1" s="996"/>
      <c r="SHF1" s="996"/>
      <c r="SHG1" s="996"/>
      <c r="SHH1" s="996"/>
      <c r="SHI1" s="996"/>
      <c r="SHJ1" s="996"/>
      <c r="SHK1" s="996"/>
      <c r="SHL1" s="996"/>
      <c r="SHM1" s="996"/>
      <c r="SHN1" s="1003"/>
      <c r="SHO1" s="996"/>
      <c r="SHP1" s="1003"/>
      <c r="SHQ1" s="996"/>
      <c r="SHR1" s="996"/>
      <c r="SHS1" s="996"/>
      <c r="SHT1" s="996"/>
      <c r="SHU1" s="996"/>
      <c r="SHV1" s="996"/>
      <c r="SHW1" s="996"/>
      <c r="SHX1" s="996"/>
      <c r="SHY1" s="996"/>
      <c r="SHZ1" s="996"/>
      <c r="SIA1" s="996"/>
      <c r="SIB1" s="996"/>
      <c r="SIC1" s="1003"/>
      <c r="SID1" s="1003"/>
      <c r="SIE1" s="1003"/>
      <c r="SIF1" s="1003"/>
      <c r="SIG1" s="1003"/>
      <c r="SIH1" s="996"/>
      <c r="SII1" s="996"/>
      <c r="SIJ1" s="996"/>
      <c r="SIK1" s="996"/>
      <c r="SIL1" s="996"/>
      <c r="SIM1" s="996"/>
      <c r="SIN1" s="1003"/>
      <c r="SIO1" s="996"/>
      <c r="SIP1" s="996"/>
      <c r="SIQ1" s="996"/>
      <c r="SIR1" s="996"/>
      <c r="SIS1" s="996"/>
      <c r="SIT1" s="996"/>
      <c r="SIU1" s="996"/>
      <c r="SIV1" s="996"/>
      <c r="SIW1" s="996"/>
      <c r="SIX1" s="996"/>
      <c r="SIY1" s="996"/>
      <c r="SIZ1" s="996"/>
      <c r="SJA1" s="996"/>
      <c r="SJB1" s="996"/>
      <c r="SJC1" s="996"/>
      <c r="SJD1" s="996"/>
      <c r="SJE1" s="996"/>
      <c r="SJF1" s="996"/>
      <c r="SJG1" s="998"/>
      <c r="SJH1" s="998"/>
      <c r="SJI1" s="998"/>
      <c r="SJJ1" s="998"/>
      <c r="SJK1" s="998"/>
      <c r="SJL1" s="998"/>
      <c r="SJM1" s="998"/>
      <c r="SJN1" s="998"/>
      <c r="SJO1" s="998"/>
      <c r="SJP1" s="998"/>
      <c r="SJQ1" s="998"/>
      <c r="SJR1" s="996"/>
      <c r="SJS1" s="996"/>
      <c r="SJT1" s="996"/>
      <c r="SJU1" s="996"/>
      <c r="SJV1" s="996"/>
      <c r="SJW1" s="996"/>
      <c r="SJX1" s="996"/>
      <c r="SJY1" s="998"/>
      <c r="SJZ1" s="998"/>
      <c r="SKA1" s="998"/>
      <c r="SKB1" s="998"/>
      <c r="SKC1" s="998"/>
      <c r="SKD1" s="998"/>
      <c r="SKE1" s="998"/>
      <c r="SKF1" s="996"/>
      <c r="SKG1" s="996"/>
      <c r="SKH1" s="996"/>
      <c r="SKI1" s="996"/>
      <c r="SKJ1" s="996"/>
      <c r="SKK1" s="996"/>
      <c r="SKL1" s="996"/>
      <c r="SKM1" s="996"/>
      <c r="SKN1" s="996"/>
      <c r="SKO1" s="996"/>
      <c r="SKP1" s="996"/>
      <c r="SKQ1" s="996"/>
      <c r="SKR1" s="996"/>
      <c r="SKS1" s="996"/>
      <c r="SKT1" s="996"/>
      <c r="SKU1" s="996"/>
      <c r="SKV1" s="996"/>
      <c r="SKW1" s="996"/>
      <c r="SKX1" s="996"/>
      <c r="SKY1" s="996"/>
      <c r="SKZ1" s="996"/>
      <c r="SLA1" s="996"/>
      <c r="SLB1" s="996"/>
      <c r="SLC1" s="996"/>
      <c r="SLD1" s="996"/>
      <c r="SLE1" s="996"/>
      <c r="SLF1" s="996"/>
      <c r="SLG1" s="1003"/>
      <c r="SLH1" s="996"/>
      <c r="SLI1" s="996"/>
      <c r="SLJ1" s="996"/>
      <c r="SLK1" s="996"/>
      <c r="SLL1" s="996"/>
      <c r="SLM1" s="996"/>
      <c r="SLN1" s="996"/>
      <c r="SLO1" s="996"/>
      <c r="SLP1" s="996"/>
      <c r="SLQ1" s="996"/>
      <c r="SLR1" s="996"/>
      <c r="SLS1" s="996"/>
      <c r="SLT1" s="996"/>
      <c r="SLU1" s="996"/>
      <c r="SLV1" s="996"/>
      <c r="SLW1" s="996"/>
      <c r="SLX1" s="998"/>
      <c r="SLY1" s="998"/>
      <c r="SLZ1" s="998"/>
      <c r="SMA1" s="998"/>
      <c r="SMB1" s="998"/>
      <c r="SMC1" s="998"/>
      <c r="SMD1" s="998"/>
      <c r="SME1" s="998"/>
      <c r="SMF1" s="998"/>
      <c r="SMG1" s="996"/>
      <c r="SMH1" s="996"/>
      <c r="SMI1" s="996"/>
      <c r="SMJ1" s="996"/>
      <c r="SMK1" s="996"/>
      <c r="SML1" s="996"/>
      <c r="SMM1" s="996"/>
      <c r="SMN1" s="996"/>
      <c r="SMO1" s="996"/>
      <c r="SMP1" s="998"/>
      <c r="SMQ1" s="998"/>
      <c r="SMR1" s="998"/>
      <c r="SMS1" s="998"/>
      <c r="SMT1" s="998"/>
      <c r="SMU1" s="998"/>
      <c r="SMV1" s="998"/>
      <c r="SMW1" s="998"/>
      <c r="SMX1" s="998"/>
      <c r="SMY1" s="999"/>
      <c r="SMZ1" s="1000"/>
      <c r="SNA1" s="1001"/>
      <c r="SNB1" s="1000"/>
      <c r="SNC1" s="1001"/>
      <c r="SND1" s="1000"/>
      <c r="SNE1" s="1000"/>
      <c r="SNF1" s="1000"/>
      <c r="SNG1" s="1000"/>
      <c r="SNH1" s="1000"/>
      <c r="SNI1" s="1000"/>
      <c r="SNJ1" s="1000"/>
      <c r="SNK1" s="1000"/>
      <c r="SNL1" s="1000"/>
      <c r="SNM1" s="1000"/>
      <c r="SNN1" s="1000"/>
      <c r="SNO1" s="1000"/>
      <c r="SNP1" s="998"/>
      <c r="SNQ1" s="998"/>
      <c r="SNR1" s="998"/>
      <c r="SNS1" s="998"/>
      <c r="SNT1" s="998"/>
      <c r="SNU1" s="998"/>
      <c r="SNV1" s="998"/>
      <c r="SNW1" s="996"/>
      <c r="SNX1" s="996"/>
      <c r="SNY1" s="996"/>
      <c r="SNZ1" s="996"/>
      <c r="SOA1" s="996"/>
      <c r="SOB1" s="996"/>
      <c r="SOC1" s="996"/>
      <c r="SOD1" s="996"/>
      <c r="SOE1" s="996"/>
      <c r="SOF1" s="996"/>
      <c r="SOG1" s="996"/>
      <c r="SOH1" s="996"/>
      <c r="SOI1" s="996"/>
      <c r="SOJ1" s="996"/>
      <c r="SOK1" s="996"/>
      <c r="SOL1" s="996"/>
      <c r="SOM1" s="996"/>
      <c r="SON1" s="996"/>
      <c r="SOO1" s="996"/>
      <c r="SOP1" s="996"/>
      <c r="SOQ1" s="996"/>
      <c r="SOR1" s="996"/>
      <c r="SOS1" s="996"/>
      <c r="SOT1" s="996"/>
      <c r="SOU1" s="996"/>
      <c r="SOV1" s="996"/>
      <c r="SOW1" s="996"/>
      <c r="SOX1" s="996"/>
      <c r="SOY1" s="996"/>
      <c r="SOZ1" s="996"/>
      <c r="SPA1" s="996"/>
      <c r="SPB1" s="996"/>
      <c r="SPC1" s="996"/>
      <c r="SPD1" s="996"/>
      <c r="SPE1" s="996"/>
      <c r="SPF1" s="996"/>
      <c r="SPG1" s="996"/>
      <c r="SPH1" s="996"/>
      <c r="SPI1" s="996"/>
      <c r="SPJ1" s="995"/>
      <c r="SPK1" s="995"/>
      <c r="SPL1" s="996"/>
      <c r="SPM1" s="997"/>
      <c r="SPN1" s="1002"/>
      <c r="SPO1" s="996"/>
      <c r="SPP1" s="996"/>
      <c r="SPQ1" s="996"/>
      <c r="SPR1" s="996"/>
      <c r="SPS1" s="996"/>
      <c r="SPT1" s="996"/>
      <c r="SPU1" s="996"/>
      <c r="SPV1" s="996"/>
      <c r="SPW1" s="996"/>
      <c r="SPX1" s="996"/>
      <c r="SPY1" s="996"/>
      <c r="SPZ1" s="996"/>
      <c r="SQA1" s="996"/>
      <c r="SQB1" s="996"/>
      <c r="SQC1" s="996"/>
      <c r="SQD1" s="996"/>
      <c r="SQE1" s="996"/>
      <c r="SQF1" s="996"/>
      <c r="SQG1" s="996"/>
      <c r="SQH1" s="996"/>
      <c r="SQI1" s="996"/>
      <c r="SQJ1" s="1003"/>
      <c r="SQK1" s="996"/>
      <c r="SQL1" s="1003"/>
      <c r="SQM1" s="996"/>
      <c r="SQN1" s="996"/>
      <c r="SQO1" s="996"/>
      <c r="SQP1" s="996"/>
      <c r="SQQ1" s="996"/>
      <c r="SQR1" s="996"/>
      <c r="SQS1" s="996"/>
      <c r="SQT1" s="996"/>
      <c r="SQU1" s="996"/>
      <c r="SQV1" s="996"/>
      <c r="SQW1" s="996"/>
      <c r="SQX1" s="996"/>
      <c r="SQY1" s="1003"/>
      <c r="SQZ1" s="1003"/>
      <c r="SRA1" s="1003"/>
      <c r="SRB1" s="1003"/>
      <c r="SRC1" s="1003"/>
      <c r="SRD1" s="996"/>
      <c r="SRE1" s="996"/>
      <c r="SRF1" s="996"/>
      <c r="SRG1" s="996"/>
      <c r="SRH1" s="996"/>
      <c r="SRI1" s="996"/>
      <c r="SRJ1" s="1003"/>
      <c r="SRK1" s="996"/>
      <c r="SRL1" s="996"/>
      <c r="SRM1" s="996"/>
      <c r="SRN1" s="996"/>
      <c r="SRO1" s="996"/>
      <c r="SRP1" s="996"/>
      <c r="SRQ1" s="996"/>
      <c r="SRR1" s="996"/>
      <c r="SRS1" s="996"/>
      <c r="SRT1" s="996"/>
      <c r="SRU1" s="996"/>
      <c r="SRV1" s="996"/>
      <c r="SRW1" s="996"/>
      <c r="SRX1" s="996"/>
      <c r="SRY1" s="996"/>
      <c r="SRZ1" s="996"/>
      <c r="SSA1" s="996"/>
      <c r="SSB1" s="996"/>
      <c r="SSC1" s="998"/>
      <c r="SSD1" s="998"/>
      <c r="SSE1" s="998"/>
      <c r="SSF1" s="998"/>
      <c r="SSG1" s="998"/>
      <c r="SSH1" s="998"/>
      <c r="SSI1" s="998"/>
      <c r="SSJ1" s="998"/>
      <c r="SSK1" s="998"/>
      <c r="SSL1" s="998"/>
      <c r="SSM1" s="998"/>
      <c r="SSN1" s="996"/>
      <c r="SSO1" s="996"/>
      <c r="SSP1" s="996"/>
      <c r="SSQ1" s="996"/>
      <c r="SSR1" s="996"/>
      <c r="SSS1" s="996"/>
      <c r="SST1" s="996"/>
      <c r="SSU1" s="998"/>
      <c r="SSV1" s="998"/>
      <c r="SSW1" s="998"/>
      <c r="SSX1" s="998"/>
      <c r="SSY1" s="998"/>
      <c r="SSZ1" s="998"/>
      <c r="STA1" s="998"/>
      <c r="STB1" s="996"/>
      <c r="STC1" s="996"/>
      <c r="STD1" s="996"/>
      <c r="STE1" s="996"/>
      <c r="STF1" s="996"/>
      <c r="STG1" s="996"/>
      <c r="STH1" s="996"/>
      <c r="STI1" s="996"/>
      <c r="STJ1" s="996"/>
      <c r="STK1" s="996"/>
      <c r="STL1" s="996"/>
      <c r="STM1" s="996"/>
      <c r="STN1" s="996"/>
      <c r="STO1" s="996"/>
      <c r="STP1" s="996"/>
      <c r="STQ1" s="996"/>
      <c r="STR1" s="996"/>
      <c r="STS1" s="996"/>
      <c r="STT1" s="996"/>
      <c r="STU1" s="996"/>
      <c r="STV1" s="996"/>
      <c r="STW1" s="996"/>
      <c r="STX1" s="996"/>
      <c r="STY1" s="996"/>
      <c r="STZ1" s="996"/>
      <c r="SUA1" s="996"/>
      <c r="SUB1" s="996"/>
      <c r="SUC1" s="1003"/>
      <c r="SUD1" s="996"/>
      <c r="SUE1" s="996"/>
      <c r="SUF1" s="996"/>
      <c r="SUG1" s="996"/>
      <c r="SUH1" s="996"/>
      <c r="SUI1" s="996"/>
      <c r="SUJ1" s="996"/>
      <c r="SUK1" s="996"/>
      <c r="SUL1" s="996"/>
      <c r="SUM1" s="996"/>
      <c r="SUN1" s="996"/>
      <c r="SUO1" s="996"/>
      <c r="SUP1" s="996"/>
      <c r="SUQ1" s="996"/>
      <c r="SUR1" s="996"/>
      <c r="SUS1" s="996"/>
      <c r="SUT1" s="998"/>
      <c r="SUU1" s="998"/>
      <c r="SUV1" s="998"/>
      <c r="SUW1" s="998"/>
      <c r="SUX1" s="998"/>
      <c r="SUY1" s="998"/>
      <c r="SUZ1" s="998"/>
      <c r="SVA1" s="998"/>
      <c r="SVB1" s="998"/>
      <c r="SVC1" s="996"/>
      <c r="SVD1" s="996"/>
      <c r="SVE1" s="996"/>
      <c r="SVF1" s="996"/>
      <c r="SVG1" s="996"/>
      <c r="SVH1" s="996"/>
      <c r="SVI1" s="996"/>
      <c r="SVJ1" s="996"/>
      <c r="SVK1" s="996"/>
      <c r="SVL1" s="998"/>
      <c r="SVM1" s="998"/>
      <c r="SVN1" s="998"/>
      <c r="SVO1" s="998"/>
      <c r="SVP1" s="998"/>
      <c r="SVQ1" s="998"/>
      <c r="SVR1" s="998"/>
      <c r="SVS1" s="998"/>
      <c r="SVT1" s="998"/>
      <c r="SVU1" s="999"/>
      <c r="SVV1" s="1000"/>
      <c r="SVW1" s="1001"/>
      <c r="SVX1" s="1000"/>
      <c r="SVY1" s="1001"/>
      <c r="SVZ1" s="1000"/>
      <c r="SWA1" s="1000"/>
      <c r="SWB1" s="1000"/>
      <c r="SWC1" s="1000"/>
      <c r="SWD1" s="1000"/>
      <c r="SWE1" s="1000"/>
      <c r="SWF1" s="1000"/>
      <c r="SWG1" s="1000"/>
      <c r="SWH1" s="1000"/>
      <c r="SWI1" s="1000"/>
      <c r="SWJ1" s="1000"/>
      <c r="SWK1" s="1000"/>
      <c r="SWL1" s="998"/>
      <c r="SWM1" s="998"/>
      <c r="SWN1" s="998"/>
      <c r="SWO1" s="998"/>
      <c r="SWP1" s="998"/>
      <c r="SWQ1" s="998"/>
      <c r="SWR1" s="998"/>
      <c r="SWS1" s="996"/>
      <c r="SWT1" s="996"/>
      <c r="SWU1" s="996"/>
      <c r="SWV1" s="996"/>
      <c r="SWW1" s="996"/>
      <c r="SWX1" s="996"/>
      <c r="SWY1" s="996"/>
      <c r="SWZ1" s="996"/>
      <c r="SXA1" s="996"/>
      <c r="SXB1" s="996"/>
      <c r="SXC1" s="996"/>
      <c r="SXD1" s="996"/>
      <c r="SXE1" s="996"/>
      <c r="SXF1" s="996"/>
      <c r="SXG1" s="996"/>
      <c r="SXH1" s="996"/>
      <c r="SXI1" s="996"/>
      <c r="SXJ1" s="996"/>
      <c r="SXK1" s="996"/>
      <c r="SXL1" s="996"/>
      <c r="SXM1" s="996"/>
      <c r="SXN1" s="996"/>
      <c r="SXO1" s="996"/>
      <c r="SXP1" s="996"/>
      <c r="SXQ1" s="996"/>
      <c r="SXR1" s="996"/>
      <c r="SXS1" s="996"/>
      <c r="SXT1" s="996"/>
      <c r="SXU1" s="996"/>
      <c r="SXV1" s="996"/>
      <c r="SXW1" s="996"/>
      <c r="SXX1" s="996"/>
      <c r="SXY1" s="996"/>
      <c r="SXZ1" s="996"/>
      <c r="SYA1" s="996"/>
      <c r="SYB1" s="996"/>
      <c r="SYC1" s="996"/>
      <c r="SYD1" s="996"/>
      <c r="SYE1" s="996"/>
      <c r="SYF1" s="995"/>
      <c r="SYG1" s="995"/>
      <c r="SYH1" s="996"/>
      <c r="SYI1" s="997"/>
      <c r="SYJ1" s="1002"/>
      <c r="SYK1" s="996"/>
      <c r="SYL1" s="996"/>
      <c r="SYM1" s="996"/>
      <c r="SYN1" s="996"/>
      <c r="SYO1" s="996"/>
      <c r="SYP1" s="996"/>
      <c r="SYQ1" s="996"/>
      <c r="SYR1" s="996"/>
      <c r="SYS1" s="996"/>
      <c r="SYT1" s="996"/>
      <c r="SYU1" s="996"/>
      <c r="SYV1" s="996"/>
      <c r="SYW1" s="996"/>
      <c r="SYX1" s="996"/>
      <c r="SYY1" s="996"/>
      <c r="SYZ1" s="996"/>
      <c r="SZA1" s="996"/>
      <c r="SZB1" s="996"/>
      <c r="SZC1" s="996"/>
      <c r="SZD1" s="996"/>
      <c r="SZE1" s="996"/>
      <c r="SZF1" s="1003"/>
      <c r="SZG1" s="996"/>
      <c r="SZH1" s="1003"/>
      <c r="SZI1" s="996"/>
      <c r="SZJ1" s="996"/>
      <c r="SZK1" s="996"/>
      <c r="SZL1" s="996"/>
      <c r="SZM1" s="996"/>
      <c r="SZN1" s="996"/>
      <c r="SZO1" s="996"/>
      <c r="SZP1" s="996"/>
      <c r="SZQ1" s="996"/>
      <c r="SZR1" s="996"/>
      <c r="SZS1" s="996"/>
      <c r="SZT1" s="996"/>
      <c r="SZU1" s="1003"/>
      <c r="SZV1" s="1003"/>
      <c r="SZW1" s="1003"/>
      <c r="SZX1" s="1003"/>
      <c r="SZY1" s="1003"/>
      <c r="SZZ1" s="996"/>
      <c r="TAA1" s="996"/>
      <c r="TAB1" s="996"/>
      <c r="TAC1" s="996"/>
      <c r="TAD1" s="996"/>
      <c r="TAE1" s="996"/>
      <c r="TAF1" s="1003"/>
      <c r="TAG1" s="996"/>
      <c r="TAH1" s="996"/>
      <c r="TAI1" s="996"/>
      <c r="TAJ1" s="996"/>
      <c r="TAK1" s="996"/>
      <c r="TAL1" s="996"/>
      <c r="TAM1" s="996"/>
      <c r="TAN1" s="996"/>
      <c r="TAO1" s="996"/>
      <c r="TAP1" s="996"/>
      <c r="TAQ1" s="996"/>
      <c r="TAR1" s="996"/>
      <c r="TAS1" s="996"/>
      <c r="TAT1" s="996"/>
      <c r="TAU1" s="996"/>
      <c r="TAV1" s="996"/>
      <c r="TAW1" s="996"/>
      <c r="TAX1" s="996"/>
      <c r="TAY1" s="998"/>
      <c r="TAZ1" s="998"/>
      <c r="TBA1" s="998"/>
      <c r="TBB1" s="998"/>
      <c r="TBC1" s="998"/>
      <c r="TBD1" s="998"/>
      <c r="TBE1" s="998"/>
      <c r="TBF1" s="998"/>
      <c r="TBG1" s="998"/>
      <c r="TBH1" s="998"/>
      <c r="TBI1" s="998"/>
      <c r="TBJ1" s="996"/>
      <c r="TBK1" s="996"/>
      <c r="TBL1" s="996"/>
      <c r="TBM1" s="996"/>
      <c r="TBN1" s="996"/>
      <c r="TBO1" s="996"/>
      <c r="TBP1" s="996"/>
      <c r="TBQ1" s="998"/>
      <c r="TBR1" s="998"/>
      <c r="TBS1" s="998"/>
      <c r="TBT1" s="998"/>
      <c r="TBU1" s="998"/>
      <c r="TBV1" s="998"/>
      <c r="TBW1" s="998"/>
      <c r="TBX1" s="996"/>
      <c r="TBY1" s="996"/>
      <c r="TBZ1" s="996"/>
      <c r="TCA1" s="996"/>
      <c r="TCB1" s="996"/>
      <c r="TCC1" s="996"/>
      <c r="TCD1" s="996"/>
      <c r="TCE1" s="996"/>
      <c r="TCF1" s="996"/>
      <c r="TCG1" s="996"/>
      <c r="TCH1" s="996"/>
      <c r="TCI1" s="996"/>
      <c r="TCJ1" s="996"/>
      <c r="TCK1" s="996"/>
      <c r="TCL1" s="996"/>
      <c r="TCM1" s="996"/>
      <c r="TCN1" s="996"/>
      <c r="TCO1" s="996"/>
      <c r="TCP1" s="996"/>
      <c r="TCQ1" s="996"/>
      <c r="TCR1" s="996"/>
      <c r="TCS1" s="996"/>
      <c r="TCT1" s="996"/>
      <c r="TCU1" s="996"/>
      <c r="TCV1" s="996"/>
      <c r="TCW1" s="996"/>
      <c r="TCX1" s="996"/>
      <c r="TCY1" s="1003"/>
      <c r="TCZ1" s="996"/>
      <c r="TDA1" s="996"/>
      <c r="TDB1" s="996"/>
      <c r="TDC1" s="996"/>
      <c r="TDD1" s="996"/>
      <c r="TDE1" s="996"/>
      <c r="TDF1" s="996"/>
      <c r="TDG1" s="996"/>
      <c r="TDH1" s="996"/>
      <c r="TDI1" s="996"/>
      <c r="TDJ1" s="996"/>
      <c r="TDK1" s="996"/>
      <c r="TDL1" s="996"/>
      <c r="TDM1" s="996"/>
      <c r="TDN1" s="996"/>
      <c r="TDO1" s="996"/>
      <c r="TDP1" s="998"/>
      <c r="TDQ1" s="998"/>
      <c r="TDR1" s="998"/>
      <c r="TDS1" s="998"/>
      <c r="TDT1" s="998"/>
      <c r="TDU1" s="998"/>
      <c r="TDV1" s="998"/>
      <c r="TDW1" s="998"/>
      <c r="TDX1" s="998"/>
      <c r="TDY1" s="996"/>
      <c r="TDZ1" s="996"/>
      <c r="TEA1" s="996"/>
      <c r="TEB1" s="996"/>
      <c r="TEC1" s="996"/>
      <c r="TED1" s="996"/>
      <c r="TEE1" s="996"/>
      <c r="TEF1" s="996"/>
      <c r="TEG1" s="996"/>
      <c r="TEH1" s="998"/>
      <c r="TEI1" s="998"/>
      <c r="TEJ1" s="998"/>
      <c r="TEK1" s="998"/>
      <c r="TEL1" s="998"/>
      <c r="TEM1" s="998"/>
      <c r="TEN1" s="998"/>
      <c r="TEO1" s="998"/>
      <c r="TEP1" s="998"/>
      <c r="TEQ1" s="999"/>
      <c r="TER1" s="1000"/>
      <c r="TES1" s="1001"/>
      <c r="TET1" s="1000"/>
      <c r="TEU1" s="1001"/>
      <c r="TEV1" s="1000"/>
      <c r="TEW1" s="1000"/>
      <c r="TEX1" s="1000"/>
      <c r="TEY1" s="1000"/>
      <c r="TEZ1" s="1000"/>
      <c r="TFA1" s="1000"/>
      <c r="TFB1" s="1000"/>
      <c r="TFC1" s="1000"/>
      <c r="TFD1" s="1000"/>
      <c r="TFE1" s="1000"/>
      <c r="TFF1" s="1000"/>
      <c r="TFG1" s="1000"/>
      <c r="TFH1" s="998"/>
      <c r="TFI1" s="998"/>
      <c r="TFJ1" s="998"/>
      <c r="TFK1" s="998"/>
      <c r="TFL1" s="998"/>
      <c r="TFM1" s="998"/>
      <c r="TFN1" s="998"/>
      <c r="TFO1" s="996"/>
      <c r="TFP1" s="996"/>
      <c r="TFQ1" s="996"/>
      <c r="TFR1" s="996"/>
      <c r="TFS1" s="996"/>
      <c r="TFT1" s="996"/>
      <c r="TFU1" s="996"/>
      <c r="TFV1" s="996"/>
      <c r="TFW1" s="996"/>
      <c r="TFX1" s="996"/>
      <c r="TFY1" s="996"/>
      <c r="TFZ1" s="996"/>
      <c r="TGA1" s="996"/>
      <c r="TGB1" s="996"/>
      <c r="TGC1" s="996"/>
      <c r="TGD1" s="996"/>
      <c r="TGE1" s="996"/>
      <c r="TGF1" s="996"/>
      <c r="TGG1" s="996"/>
      <c r="TGH1" s="996"/>
      <c r="TGI1" s="996"/>
      <c r="TGJ1" s="996"/>
      <c r="TGK1" s="996"/>
      <c r="TGL1" s="996"/>
      <c r="TGM1" s="996"/>
      <c r="TGN1" s="996"/>
      <c r="TGO1" s="996"/>
      <c r="TGP1" s="996"/>
      <c r="TGQ1" s="996"/>
      <c r="TGR1" s="996"/>
      <c r="TGS1" s="996"/>
      <c r="TGT1" s="996"/>
      <c r="TGU1" s="996"/>
      <c r="TGV1" s="996"/>
      <c r="TGW1" s="996"/>
      <c r="TGX1" s="996"/>
      <c r="TGY1" s="996"/>
      <c r="TGZ1" s="996"/>
      <c r="THA1" s="996"/>
      <c r="THB1" s="995"/>
      <c r="THC1" s="995"/>
      <c r="THD1" s="996"/>
      <c r="THE1" s="997"/>
      <c r="THF1" s="1002"/>
      <c r="THG1" s="996"/>
      <c r="THH1" s="996"/>
      <c r="THI1" s="996"/>
      <c r="THJ1" s="996"/>
      <c r="THK1" s="996"/>
      <c r="THL1" s="996"/>
      <c r="THM1" s="996"/>
      <c r="THN1" s="996"/>
      <c r="THO1" s="996"/>
      <c r="THP1" s="996"/>
      <c r="THQ1" s="996"/>
      <c r="THR1" s="996"/>
      <c r="THS1" s="996"/>
      <c r="THT1" s="996"/>
      <c r="THU1" s="996"/>
      <c r="THV1" s="996"/>
      <c r="THW1" s="996"/>
      <c r="THX1" s="996"/>
      <c r="THY1" s="996"/>
      <c r="THZ1" s="996"/>
      <c r="TIA1" s="996"/>
      <c r="TIB1" s="1003"/>
      <c r="TIC1" s="996"/>
      <c r="TID1" s="1003"/>
      <c r="TIE1" s="996"/>
      <c r="TIF1" s="996"/>
      <c r="TIG1" s="996"/>
      <c r="TIH1" s="996"/>
      <c r="TII1" s="996"/>
      <c r="TIJ1" s="996"/>
      <c r="TIK1" s="996"/>
      <c r="TIL1" s="996"/>
      <c r="TIM1" s="996"/>
      <c r="TIN1" s="996"/>
      <c r="TIO1" s="996"/>
      <c r="TIP1" s="996"/>
      <c r="TIQ1" s="1003"/>
      <c r="TIR1" s="1003"/>
      <c r="TIS1" s="1003"/>
      <c r="TIT1" s="1003"/>
      <c r="TIU1" s="1003"/>
      <c r="TIV1" s="996"/>
      <c r="TIW1" s="996"/>
      <c r="TIX1" s="996"/>
      <c r="TIY1" s="996"/>
      <c r="TIZ1" s="996"/>
      <c r="TJA1" s="996"/>
      <c r="TJB1" s="1003"/>
      <c r="TJC1" s="996"/>
      <c r="TJD1" s="996"/>
      <c r="TJE1" s="996"/>
      <c r="TJF1" s="996"/>
      <c r="TJG1" s="996"/>
      <c r="TJH1" s="996"/>
      <c r="TJI1" s="996"/>
      <c r="TJJ1" s="996"/>
      <c r="TJK1" s="996"/>
      <c r="TJL1" s="996"/>
      <c r="TJM1" s="996"/>
      <c r="TJN1" s="996"/>
      <c r="TJO1" s="996"/>
      <c r="TJP1" s="996"/>
      <c r="TJQ1" s="996"/>
      <c r="TJR1" s="996"/>
      <c r="TJS1" s="996"/>
      <c r="TJT1" s="996"/>
      <c r="TJU1" s="998"/>
      <c r="TJV1" s="998"/>
      <c r="TJW1" s="998"/>
      <c r="TJX1" s="998"/>
      <c r="TJY1" s="998"/>
      <c r="TJZ1" s="998"/>
      <c r="TKA1" s="998"/>
      <c r="TKB1" s="998"/>
      <c r="TKC1" s="998"/>
      <c r="TKD1" s="998"/>
      <c r="TKE1" s="998"/>
      <c r="TKF1" s="996"/>
      <c r="TKG1" s="996"/>
      <c r="TKH1" s="996"/>
      <c r="TKI1" s="996"/>
      <c r="TKJ1" s="996"/>
      <c r="TKK1" s="996"/>
      <c r="TKL1" s="996"/>
      <c r="TKM1" s="998"/>
      <c r="TKN1" s="998"/>
      <c r="TKO1" s="998"/>
      <c r="TKP1" s="998"/>
      <c r="TKQ1" s="998"/>
      <c r="TKR1" s="998"/>
      <c r="TKS1" s="998"/>
      <c r="TKT1" s="996"/>
      <c r="TKU1" s="996"/>
      <c r="TKV1" s="996"/>
      <c r="TKW1" s="996"/>
      <c r="TKX1" s="996"/>
      <c r="TKY1" s="996"/>
      <c r="TKZ1" s="996"/>
      <c r="TLA1" s="996"/>
      <c r="TLB1" s="996"/>
      <c r="TLC1" s="996"/>
      <c r="TLD1" s="996"/>
      <c r="TLE1" s="996"/>
      <c r="TLF1" s="996"/>
      <c r="TLG1" s="996"/>
      <c r="TLH1" s="996"/>
      <c r="TLI1" s="996"/>
      <c r="TLJ1" s="996"/>
      <c r="TLK1" s="996"/>
      <c r="TLL1" s="996"/>
      <c r="TLM1" s="996"/>
      <c r="TLN1" s="996"/>
      <c r="TLO1" s="996"/>
      <c r="TLP1" s="996"/>
      <c r="TLQ1" s="996"/>
      <c r="TLR1" s="996"/>
      <c r="TLS1" s="996"/>
      <c r="TLT1" s="996"/>
      <c r="TLU1" s="1003"/>
      <c r="TLV1" s="996"/>
      <c r="TLW1" s="996"/>
      <c r="TLX1" s="996"/>
      <c r="TLY1" s="996"/>
      <c r="TLZ1" s="996"/>
      <c r="TMA1" s="996"/>
      <c r="TMB1" s="996"/>
      <c r="TMC1" s="996"/>
      <c r="TMD1" s="996"/>
      <c r="TME1" s="996"/>
      <c r="TMF1" s="996"/>
      <c r="TMG1" s="996"/>
      <c r="TMH1" s="996"/>
      <c r="TMI1" s="996"/>
      <c r="TMJ1" s="996"/>
      <c r="TMK1" s="996"/>
      <c r="TML1" s="998"/>
      <c r="TMM1" s="998"/>
      <c r="TMN1" s="998"/>
      <c r="TMO1" s="998"/>
      <c r="TMP1" s="998"/>
      <c r="TMQ1" s="998"/>
      <c r="TMR1" s="998"/>
      <c r="TMS1" s="998"/>
      <c r="TMT1" s="998"/>
      <c r="TMU1" s="996"/>
      <c r="TMV1" s="996"/>
      <c r="TMW1" s="996"/>
      <c r="TMX1" s="996"/>
      <c r="TMY1" s="996"/>
      <c r="TMZ1" s="996"/>
      <c r="TNA1" s="996"/>
      <c r="TNB1" s="996"/>
      <c r="TNC1" s="996"/>
      <c r="TND1" s="998"/>
      <c r="TNE1" s="998"/>
      <c r="TNF1" s="998"/>
      <c r="TNG1" s="998"/>
      <c r="TNH1" s="998"/>
      <c r="TNI1" s="998"/>
      <c r="TNJ1" s="998"/>
      <c r="TNK1" s="998"/>
      <c r="TNL1" s="998"/>
      <c r="TNM1" s="999"/>
      <c r="TNN1" s="1000"/>
      <c r="TNO1" s="1001"/>
      <c r="TNP1" s="1000"/>
      <c r="TNQ1" s="1001"/>
      <c r="TNR1" s="1000"/>
      <c r="TNS1" s="1000"/>
      <c r="TNT1" s="1000"/>
      <c r="TNU1" s="1000"/>
      <c r="TNV1" s="1000"/>
      <c r="TNW1" s="1000"/>
      <c r="TNX1" s="1000"/>
      <c r="TNY1" s="1000"/>
      <c r="TNZ1" s="1000"/>
      <c r="TOA1" s="1000"/>
      <c r="TOB1" s="1000"/>
      <c r="TOC1" s="1000"/>
      <c r="TOD1" s="998"/>
      <c r="TOE1" s="998"/>
      <c r="TOF1" s="998"/>
      <c r="TOG1" s="998"/>
      <c r="TOH1" s="998"/>
      <c r="TOI1" s="998"/>
      <c r="TOJ1" s="998"/>
      <c r="TOK1" s="996"/>
      <c r="TOL1" s="996"/>
      <c r="TOM1" s="996"/>
      <c r="TON1" s="996"/>
      <c r="TOO1" s="996"/>
      <c r="TOP1" s="996"/>
      <c r="TOQ1" s="996"/>
      <c r="TOR1" s="996"/>
      <c r="TOS1" s="996"/>
      <c r="TOT1" s="996"/>
      <c r="TOU1" s="996"/>
      <c r="TOV1" s="996"/>
      <c r="TOW1" s="996"/>
      <c r="TOX1" s="996"/>
      <c r="TOY1" s="996"/>
      <c r="TOZ1" s="996"/>
      <c r="TPA1" s="996"/>
      <c r="TPB1" s="996"/>
      <c r="TPC1" s="996"/>
      <c r="TPD1" s="996"/>
      <c r="TPE1" s="996"/>
      <c r="TPF1" s="996"/>
      <c r="TPG1" s="996"/>
      <c r="TPH1" s="996"/>
      <c r="TPI1" s="996"/>
      <c r="TPJ1" s="996"/>
      <c r="TPK1" s="996"/>
      <c r="TPL1" s="996"/>
      <c r="TPM1" s="996"/>
      <c r="TPN1" s="996"/>
      <c r="TPO1" s="996"/>
      <c r="TPP1" s="996"/>
      <c r="TPQ1" s="996"/>
      <c r="TPR1" s="996"/>
      <c r="TPS1" s="996"/>
      <c r="TPT1" s="996"/>
      <c r="TPU1" s="996"/>
      <c r="TPV1" s="996"/>
      <c r="TPW1" s="996"/>
      <c r="TPX1" s="995"/>
      <c r="TPY1" s="995"/>
      <c r="TPZ1" s="996"/>
      <c r="TQA1" s="997"/>
      <c r="TQB1" s="1002"/>
      <c r="TQC1" s="996"/>
      <c r="TQD1" s="996"/>
      <c r="TQE1" s="996"/>
      <c r="TQF1" s="996"/>
      <c r="TQG1" s="996"/>
      <c r="TQH1" s="996"/>
      <c r="TQI1" s="996"/>
      <c r="TQJ1" s="996"/>
      <c r="TQK1" s="996"/>
      <c r="TQL1" s="996"/>
      <c r="TQM1" s="996"/>
      <c r="TQN1" s="996"/>
      <c r="TQO1" s="996"/>
      <c r="TQP1" s="996"/>
      <c r="TQQ1" s="996"/>
      <c r="TQR1" s="996"/>
      <c r="TQS1" s="996"/>
      <c r="TQT1" s="996"/>
      <c r="TQU1" s="996"/>
      <c r="TQV1" s="996"/>
      <c r="TQW1" s="996"/>
      <c r="TQX1" s="1003"/>
      <c r="TQY1" s="996"/>
      <c r="TQZ1" s="1003"/>
      <c r="TRA1" s="996"/>
      <c r="TRB1" s="996"/>
      <c r="TRC1" s="996"/>
      <c r="TRD1" s="996"/>
      <c r="TRE1" s="996"/>
      <c r="TRF1" s="996"/>
      <c r="TRG1" s="996"/>
      <c r="TRH1" s="996"/>
      <c r="TRI1" s="996"/>
      <c r="TRJ1" s="996"/>
      <c r="TRK1" s="996"/>
      <c r="TRL1" s="996"/>
      <c r="TRM1" s="1003"/>
      <c r="TRN1" s="1003"/>
      <c r="TRO1" s="1003"/>
      <c r="TRP1" s="1003"/>
      <c r="TRQ1" s="1003"/>
      <c r="TRR1" s="996"/>
      <c r="TRS1" s="996"/>
      <c r="TRT1" s="996"/>
      <c r="TRU1" s="996"/>
      <c r="TRV1" s="996"/>
      <c r="TRW1" s="996"/>
      <c r="TRX1" s="1003"/>
      <c r="TRY1" s="996"/>
      <c r="TRZ1" s="996"/>
      <c r="TSA1" s="996"/>
      <c r="TSB1" s="996"/>
      <c r="TSC1" s="996"/>
      <c r="TSD1" s="996"/>
      <c r="TSE1" s="996"/>
      <c r="TSF1" s="996"/>
      <c r="TSG1" s="996"/>
      <c r="TSH1" s="996"/>
      <c r="TSI1" s="996"/>
      <c r="TSJ1" s="996"/>
      <c r="TSK1" s="996"/>
      <c r="TSL1" s="996"/>
      <c r="TSM1" s="996"/>
      <c r="TSN1" s="996"/>
      <c r="TSO1" s="996"/>
      <c r="TSP1" s="996"/>
      <c r="TSQ1" s="998"/>
      <c r="TSR1" s="998"/>
      <c r="TSS1" s="998"/>
      <c r="TST1" s="998"/>
      <c r="TSU1" s="998"/>
      <c r="TSV1" s="998"/>
      <c r="TSW1" s="998"/>
      <c r="TSX1" s="998"/>
      <c r="TSY1" s="998"/>
      <c r="TSZ1" s="998"/>
      <c r="TTA1" s="998"/>
      <c r="TTB1" s="996"/>
      <c r="TTC1" s="996"/>
      <c r="TTD1" s="996"/>
      <c r="TTE1" s="996"/>
      <c r="TTF1" s="996"/>
      <c r="TTG1" s="996"/>
      <c r="TTH1" s="996"/>
      <c r="TTI1" s="998"/>
      <c r="TTJ1" s="998"/>
      <c r="TTK1" s="998"/>
      <c r="TTL1" s="998"/>
      <c r="TTM1" s="998"/>
      <c r="TTN1" s="998"/>
      <c r="TTO1" s="998"/>
      <c r="TTP1" s="996"/>
      <c r="TTQ1" s="996"/>
      <c r="TTR1" s="996"/>
      <c r="TTS1" s="996"/>
      <c r="TTT1" s="996"/>
      <c r="TTU1" s="996"/>
      <c r="TTV1" s="996"/>
      <c r="TTW1" s="996"/>
      <c r="TTX1" s="996"/>
      <c r="TTY1" s="996"/>
      <c r="TTZ1" s="996"/>
      <c r="TUA1" s="996"/>
      <c r="TUB1" s="996"/>
      <c r="TUC1" s="996"/>
      <c r="TUD1" s="996"/>
      <c r="TUE1" s="996"/>
      <c r="TUF1" s="996"/>
      <c r="TUG1" s="996"/>
      <c r="TUH1" s="996"/>
      <c r="TUI1" s="996"/>
      <c r="TUJ1" s="996"/>
      <c r="TUK1" s="996"/>
      <c r="TUL1" s="996"/>
      <c r="TUM1" s="996"/>
      <c r="TUN1" s="996"/>
      <c r="TUO1" s="996"/>
      <c r="TUP1" s="996"/>
      <c r="TUQ1" s="1003"/>
      <c r="TUR1" s="996"/>
      <c r="TUS1" s="996"/>
      <c r="TUT1" s="996"/>
      <c r="TUU1" s="996"/>
      <c r="TUV1" s="996"/>
      <c r="TUW1" s="996"/>
      <c r="TUX1" s="996"/>
      <c r="TUY1" s="996"/>
      <c r="TUZ1" s="996"/>
      <c r="TVA1" s="996"/>
      <c r="TVB1" s="996"/>
      <c r="TVC1" s="996"/>
      <c r="TVD1" s="996"/>
      <c r="TVE1" s="996"/>
      <c r="TVF1" s="996"/>
      <c r="TVG1" s="996"/>
      <c r="TVH1" s="998"/>
      <c r="TVI1" s="998"/>
      <c r="TVJ1" s="998"/>
      <c r="TVK1" s="998"/>
      <c r="TVL1" s="998"/>
      <c r="TVM1" s="998"/>
      <c r="TVN1" s="998"/>
      <c r="TVO1" s="998"/>
      <c r="TVP1" s="998"/>
      <c r="TVQ1" s="996"/>
      <c r="TVR1" s="996"/>
      <c r="TVS1" s="996"/>
      <c r="TVT1" s="996"/>
      <c r="TVU1" s="996"/>
      <c r="TVV1" s="996"/>
      <c r="TVW1" s="996"/>
      <c r="TVX1" s="996"/>
      <c r="TVY1" s="996"/>
      <c r="TVZ1" s="998"/>
      <c r="TWA1" s="998"/>
      <c r="TWB1" s="998"/>
      <c r="TWC1" s="998"/>
      <c r="TWD1" s="998"/>
      <c r="TWE1" s="998"/>
      <c r="TWF1" s="998"/>
      <c r="TWG1" s="998"/>
      <c r="TWH1" s="998"/>
      <c r="TWI1" s="999"/>
      <c r="TWJ1" s="1000"/>
      <c r="TWK1" s="1001"/>
      <c r="TWL1" s="1000"/>
      <c r="TWM1" s="1001"/>
      <c r="TWN1" s="1000"/>
      <c r="TWO1" s="1000"/>
      <c r="TWP1" s="1000"/>
      <c r="TWQ1" s="1000"/>
      <c r="TWR1" s="1000"/>
      <c r="TWS1" s="1000"/>
      <c r="TWT1" s="1000"/>
      <c r="TWU1" s="1000"/>
      <c r="TWV1" s="1000"/>
      <c r="TWW1" s="1000"/>
      <c r="TWX1" s="1000"/>
      <c r="TWY1" s="1000"/>
      <c r="TWZ1" s="998"/>
      <c r="TXA1" s="998"/>
      <c r="TXB1" s="998"/>
      <c r="TXC1" s="998"/>
      <c r="TXD1" s="998"/>
      <c r="TXE1" s="998"/>
      <c r="TXF1" s="998"/>
      <c r="TXG1" s="996"/>
      <c r="TXH1" s="996"/>
      <c r="TXI1" s="996"/>
      <c r="TXJ1" s="996"/>
      <c r="TXK1" s="996"/>
      <c r="TXL1" s="996"/>
      <c r="TXM1" s="996"/>
      <c r="TXN1" s="996"/>
      <c r="TXO1" s="996"/>
      <c r="TXP1" s="996"/>
      <c r="TXQ1" s="996"/>
      <c r="TXR1" s="996"/>
      <c r="TXS1" s="996"/>
      <c r="TXT1" s="996"/>
      <c r="TXU1" s="996"/>
      <c r="TXV1" s="996"/>
      <c r="TXW1" s="996"/>
      <c r="TXX1" s="996"/>
      <c r="TXY1" s="996"/>
      <c r="TXZ1" s="996"/>
      <c r="TYA1" s="996"/>
      <c r="TYB1" s="996"/>
      <c r="TYC1" s="996"/>
      <c r="TYD1" s="996"/>
      <c r="TYE1" s="996"/>
      <c r="TYF1" s="996"/>
      <c r="TYG1" s="996"/>
      <c r="TYH1" s="996"/>
      <c r="TYI1" s="996"/>
      <c r="TYJ1" s="996"/>
      <c r="TYK1" s="996"/>
      <c r="TYL1" s="996"/>
      <c r="TYM1" s="996"/>
      <c r="TYN1" s="996"/>
      <c r="TYO1" s="996"/>
      <c r="TYP1" s="996"/>
      <c r="TYQ1" s="996"/>
      <c r="TYR1" s="996"/>
      <c r="TYS1" s="996"/>
      <c r="TYT1" s="995"/>
      <c r="TYU1" s="995"/>
      <c r="TYV1" s="996"/>
      <c r="TYW1" s="997"/>
      <c r="TYX1" s="1002"/>
      <c r="TYY1" s="996"/>
      <c r="TYZ1" s="996"/>
      <c r="TZA1" s="996"/>
      <c r="TZB1" s="996"/>
      <c r="TZC1" s="996"/>
      <c r="TZD1" s="996"/>
      <c r="TZE1" s="996"/>
      <c r="TZF1" s="996"/>
      <c r="TZG1" s="996"/>
      <c r="TZH1" s="996"/>
      <c r="TZI1" s="996"/>
      <c r="TZJ1" s="996"/>
      <c r="TZK1" s="996"/>
      <c r="TZL1" s="996"/>
      <c r="TZM1" s="996"/>
      <c r="TZN1" s="996"/>
      <c r="TZO1" s="996"/>
      <c r="TZP1" s="996"/>
      <c r="TZQ1" s="996"/>
      <c r="TZR1" s="996"/>
      <c r="TZS1" s="996"/>
      <c r="TZT1" s="1003"/>
      <c r="TZU1" s="996"/>
      <c r="TZV1" s="1003"/>
      <c r="TZW1" s="996"/>
      <c r="TZX1" s="996"/>
      <c r="TZY1" s="996"/>
      <c r="TZZ1" s="996"/>
      <c r="UAA1" s="996"/>
      <c r="UAB1" s="996"/>
      <c r="UAC1" s="996"/>
      <c r="UAD1" s="996"/>
      <c r="UAE1" s="996"/>
      <c r="UAF1" s="996"/>
      <c r="UAG1" s="996"/>
      <c r="UAH1" s="996"/>
      <c r="UAI1" s="1003"/>
      <c r="UAJ1" s="1003"/>
      <c r="UAK1" s="1003"/>
      <c r="UAL1" s="1003"/>
      <c r="UAM1" s="1003"/>
      <c r="UAN1" s="996"/>
      <c r="UAO1" s="996"/>
      <c r="UAP1" s="996"/>
      <c r="UAQ1" s="996"/>
      <c r="UAR1" s="996"/>
      <c r="UAS1" s="996"/>
      <c r="UAT1" s="1003"/>
      <c r="UAU1" s="996"/>
      <c r="UAV1" s="996"/>
      <c r="UAW1" s="996"/>
      <c r="UAX1" s="996"/>
      <c r="UAY1" s="996"/>
      <c r="UAZ1" s="996"/>
      <c r="UBA1" s="996"/>
      <c r="UBB1" s="996"/>
      <c r="UBC1" s="996"/>
      <c r="UBD1" s="996"/>
      <c r="UBE1" s="996"/>
      <c r="UBF1" s="996"/>
      <c r="UBG1" s="996"/>
      <c r="UBH1" s="996"/>
      <c r="UBI1" s="996"/>
      <c r="UBJ1" s="996"/>
      <c r="UBK1" s="996"/>
      <c r="UBL1" s="996"/>
      <c r="UBM1" s="998"/>
      <c r="UBN1" s="998"/>
      <c r="UBO1" s="998"/>
      <c r="UBP1" s="998"/>
      <c r="UBQ1" s="998"/>
      <c r="UBR1" s="998"/>
      <c r="UBS1" s="998"/>
      <c r="UBT1" s="998"/>
      <c r="UBU1" s="998"/>
      <c r="UBV1" s="998"/>
      <c r="UBW1" s="998"/>
      <c r="UBX1" s="996"/>
      <c r="UBY1" s="996"/>
      <c r="UBZ1" s="996"/>
      <c r="UCA1" s="996"/>
      <c r="UCB1" s="996"/>
      <c r="UCC1" s="996"/>
      <c r="UCD1" s="996"/>
      <c r="UCE1" s="998"/>
      <c r="UCF1" s="998"/>
      <c r="UCG1" s="998"/>
      <c r="UCH1" s="998"/>
      <c r="UCI1" s="998"/>
      <c r="UCJ1" s="998"/>
      <c r="UCK1" s="998"/>
      <c r="UCL1" s="996"/>
      <c r="UCM1" s="996"/>
      <c r="UCN1" s="996"/>
      <c r="UCO1" s="996"/>
      <c r="UCP1" s="996"/>
      <c r="UCQ1" s="996"/>
      <c r="UCR1" s="996"/>
      <c r="UCS1" s="996"/>
      <c r="UCT1" s="996"/>
      <c r="UCU1" s="996"/>
      <c r="UCV1" s="996"/>
      <c r="UCW1" s="996"/>
      <c r="UCX1" s="996"/>
      <c r="UCY1" s="996"/>
      <c r="UCZ1" s="996"/>
      <c r="UDA1" s="996"/>
      <c r="UDB1" s="996"/>
      <c r="UDC1" s="996"/>
      <c r="UDD1" s="996"/>
      <c r="UDE1" s="996"/>
      <c r="UDF1" s="996"/>
      <c r="UDG1" s="996"/>
      <c r="UDH1" s="996"/>
      <c r="UDI1" s="996"/>
      <c r="UDJ1" s="996"/>
      <c r="UDK1" s="996"/>
      <c r="UDL1" s="996"/>
      <c r="UDM1" s="1003"/>
      <c r="UDN1" s="996"/>
      <c r="UDO1" s="996"/>
      <c r="UDP1" s="996"/>
      <c r="UDQ1" s="996"/>
      <c r="UDR1" s="996"/>
      <c r="UDS1" s="996"/>
      <c r="UDT1" s="996"/>
      <c r="UDU1" s="996"/>
      <c r="UDV1" s="996"/>
      <c r="UDW1" s="996"/>
      <c r="UDX1" s="996"/>
      <c r="UDY1" s="996"/>
      <c r="UDZ1" s="996"/>
      <c r="UEA1" s="996"/>
      <c r="UEB1" s="996"/>
      <c r="UEC1" s="996"/>
      <c r="UED1" s="998"/>
      <c r="UEE1" s="998"/>
      <c r="UEF1" s="998"/>
      <c r="UEG1" s="998"/>
      <c r="UEH1" s="998"/>
      <c r="UEI1" s="998"/>
      <c r="UEJ1" s="998"/>
      <c r="UEK1" s="998"/>
      <c r="UEL1" s="998"/>
      <c r="UEM1" s="996"/>
      <c r="UEN1" s="996"/>
      <c r="UEO1" s="996"/>
      <c r="UEP1" s="996"/>
      <c r="UEQ1" s="996"/>
      <c r="UER1" s="996"/>
      <c r="UES1" s="996"/>
      <c r="UET1" s="996"/>
      <c r="UEU1" s="996"/>
      <c r="UEV1" s="998"/>
      <c r="UEW1" s="998"/>
      <c r="UEX1" s="998"/>
      <c r="UEY1" s="998"/>
      <c r="UEZ1" s="998"/>
      <c r="UFA1" s="998"/>
      <c r="UFB1" s="998"/>
      <c r="UFC1" s="998"/>
      <c r="UFD1" s="998"/>
      <c r="UFE1" s="999"/>
      <c r="UFF1" s="1000"/>
      <c r="UFG1" s="1001"/>
      <c r="UFH1" s="1000"/>
      <c r="UFI1" s="1001"/>
      <c r="UFJ1" s="1000"/>
      <c r="UFK1" s="1000"/>
      <c r="UFL1" s="1000"/>
      <c r="UFM1" s="1000"/>
      <c r="UFN1" s="1000"/>
      <c r="UFO1" s="1000"/>
      <c r="UFP1" s="1000"/>
      <c r="UFQ1" s="1000"/>
      <c r="UFR1" s="1000"/>
      <c r="UFS1" s="1000"/>
      <c r="UFT1" s="1000"/>
      <c r="UFU1" s="1000"/>
      <c r="UFV1" s="998"/>
      <c r="UFW1" s="998"/>
      <c r="UFX1" s="998"/>
      <c r="UFY1" s="998"/>
      <c r="UFZ1" s="998"/>
      <c r="UGA1" s="998"/>
      <c r="UGB1" s="998"/>
      <c r="UGC1" s="996"/>
      <c r="UGD1" s="996"/>
      <c r="UGE1" s="996"/>
      <c r="UGF1" s="996"/>
      <c r="UGG1" s="996"/>
      <c r="UGH1" s="996"/>
      <c r="UGI1" s="996"/>
      <c r="UGJ1" s="996"/>
      <c r="UGK1" s="996"/>
      <c r="UGL1" s="996"/>
      <c r="UGM1" s="996"/>
      <c r="UGN1" s="996"/>
      <c r="UGO1" s="996"/>
      <c r="UGP1" s="996"/>
      <c r="UGQ1" s="996"/>
      <c r="UGR1" s="996"/>
      <c r="UGS1" s="996"/>
      <c r="UGT1" s="996"/>
      <c r="UGU1" s="996"/>
      <c r="UGV1" s="996"/>
      <c r="UGW1" s="996"/>
      <c r="UGX1" s="996"/>
      <c r="UGY1" s="996"/>
      <c r="UGZ1" s="996"/>
      <c r="UHA1" s="996"/>
      <c r="UHB1" s="996"/>
      <c r="UHC1" s="996"/>
      <c r="UHD1" s="996"/>
      <c r="UHE1" s="996"/>
      <c r="UHF1" s="996"/>
      <c r="UHG1" s="996"/>
      <c r="UHH1" s="996"/>
      <c r="UHI1" s="996"/>
      <c r="UHJ1" s="996"/>
      <c r="UHK1" s="996"/>
      <c r="UHL1" s="996"/>
      <c r="UHM1" s="996"/>
      <c r="UHN1" s="996"/>
      <c r="UHO1" s="996"/>
      <c r="UHP1" s="995"/>
      <c r="UHQ1" s="995"/>
      <c r="UHR1" s="996"/>
      <c r="UHS1" s="997"/>
      <c r="UHT1" s="1002"/>
      <c r="UHU1" s="996"/>
      <c r="UHV1" s="996"/>
      <c r="UHW1" s="996"/>
      <c r="UHX1" s="996"/>
      <c r="UHY1" s="996"/>
      <c r="UHZ1" s="996"/>
      <c r="UIA1" s="996"/>
      <c r="UIB1" s="996"/>
      <c r="UIC1" s="996"/>
      <c r="UID1" s="996"/>
      <c r="UIE1" s="996"/>
      <c r="UIF1" s="996"/>
      <c r="UIG1" s="996"/>
      <c r="UIH1" s="996"/>
      <c r="UII1" s="996"/>
      <c r="UIJ1" s="996"/>
      <c r="UIK1" s="996"/>
      <c r="UIL1" s="996"/>
      <c r="UIM1" s="996"/>
      <c r="UIN1" s="996"/>
      <c r="UIO1" s="996"/>
      <c r="UIP1" s="1003"/>
      <c r="UIQ1" s="996"/>
      <c r="UIR1" s="1003"/>
      <c r="UIS1" s="996"/>
      <c r="UIT1" s="996"/>
      <c r="UIU1" s="996"/>
      <c r="UIV1" s="996"/>
      <c r="UIW1" s="996"/>
      <c r="UIX1" s="996"/>
      <c r="UIY1" s="996"/>
      <c r="UIZ1" s="996"/>
      <c r="UJA1" s="996"/>
      <c r="UJB1" s="996"/>
      <c r="UJC1" s="996"/>
      <c r="UJD1" s="996"/>
      <c r="UJE1" s="1003"/>
      <c r="UJF1" s="1003"/>
      <c r="UJG1" s="1003"/>
      <c r="UJH1" s="1003"/>
      <c r="UJI1" s="1003"/>
      <c r="UJJ1" s="996"/>
      <c r="UJK1" s="996"/>
      <c r="UJL1" s="996"/>
      <c r="UJM1" s="996"/>
      <c r="UJN1" s="996"/>
      <c r="UJO1" s="996"/>
      <c r="UJP1" s="1003"/>
      <c r="UJQ1" s="996"/>
      <c r="UJR1" s="996"/>
      <c r="UJS1" s="996"/>
      <c r="UJT1" s="996"/>
      <c r="UJU1" s="996"/>
      <c r="UJV1" s="996"/>
      <c r="UJW1" s="996"/>
      <c r="UJX1" s="996"/>
      <c r="UJY1" s="996"/>
      <c r="UJZ1" s="996"/>
      <c r="UKA1" s="996"/>
      <c r="UKB1" s="996"/>
      <c r="UKC1" s="996"/>
      <c r="UKD1" s="996"/>
      <c r="UKE1" s="996"/>
      <c r="UKF1" s="996"/>
      <c r="UKG1" s="996"/>
      <c r="UKH1" s="996"/>
      <c r="UKI1" s="998"/>
      <c r="UKJ1" s="998"/>
      <c r="UKK1" s="998"/>
      <c r="UKL1" s="998"/>
      <c r="UKM1" s="998"/>
      <c r="UKN1" s="998"/>
      <c r="UKO1" s="998"/>
      <c r="UKP1" s="998"/>
      <c r="UKQ1" s="998"/>
      <c r="UKR1" s="998"/>
      <c r="UKS1" s="998"/>
      <c r="UKT1" s="996"/>
      <c r="UKU1" s="996"/>
      <c r="UKV1" s="996"/>
      <c r="UKW1" s="996"/>
      <c r="UKX1" s="996"/>
      <c r="UKY1" s="996"/>
      <c r="UKZ1" s="996"/>
      <c r="ULA1" s="998"/>
      <c r="ULB1" s="998"/>
      <c r="ULC1" s="998"/>
      <c r="ULD1" s="998"/>
      <c r="ULE1" s="998"/>
      <c r="ULF1" s="998"/>
      <c r="ULG1" s="998"/>
      <c r="ULH1" s="996"/>
      <c r="ULI1" s="996"/>
      <c r="ULJ1" s="996"/>
      <c r="ULK1" s="996"/>
      <c r="ULL1" s="996"/>
      <c r="ULM1" s="996"/>
      <c r="ULN1" s="996"/>
      <c r="ULO1" s="996"/>
      <c r="ULP1" s="996"/>
      <c r="ULQ1" s="996"/>
      <c r="ULR1" s="996"/>
      <c r="ULS1" s="996"/>
      <c r="ULT1" s="996"/>
      <c r="ULU1" s="996"/>
      <c r="ULV1" s="996"/>
      <c r="ULW1" s="996"/>
      <c r="ULX1" s="996"/>
      <c r="ULY1" s="996"/>
      <c r="ULZ1" s="996"/>
      <c r="UMA1" s="996"/>
      <c r="UMB1" s="996"/>
      <c r="UMC1" s="996"/>
      <c r="UMD1" s="996"/>
      <c r="UME1" s="996"/>
      <c r="UMF1" s="996"/>
      <c r="UMG1" s="996"/>
      <c r="UMH1" s="996"/>
      <c r="UMI1" s="1003"/>
      <c r="UMJ1" s="996"/>
      <c r="UMK1" s="996"/>
      <c r="UML1" s="996"/>
      <c r="UMM1" s="996"/>
      <c r="UMN1" s="996"/>
      <c r="UMO1" s="996"/>
      <c r="UMP1" s="996"/>
      <c r="UMQ1" s="996"/>
      <c r="UMR1" s="996"/>
      <c r="UMS1" s="996"/>
      <c r="UMT1" s="996"/>
      <c r="UMU1" s="996"/>
      <c r="UMV1" s="996"/>
      <c r="UMW1" s="996"/>
      <c r="UMX1" s="996"/>
      <c r="UMY1" s="996"/>
      <c r="UMZ1" s="998"/>
      <c r="UNA1" s="998"/>
      <c r="UNB1" s="998"/>
      <c r="UNC1" s="998"/>
      <c r="UND1" s="998"/>
      <c r="UNE1" s="998"/>
      <c r="UNF1" s="998"/>
      <c r="UNG1" s="998"/>
      <c r="UNH1" s="998"/>
      <c r="UNI1" s="996"/>
      <c r="UNJ1" s="996"/>
      <c r="UNK1" s="996"/>
      <c r="UNL1" s="996"/>
      <c r="UNM1" s="996"/>
      <c r="UNN1" s="996"/>
      <c r="UNO1" s="996"/>
      <c r="UNP1" s="996"/>
      <c r="UNQ1" s="996"/>
      <c r="UNR1" s="998"/>
      <c r="UNS1" s="998"/>
      <c r="UNT1" s="998"/>
      <c r="UNU1" s="998"/>
      <c r="UNV1" s="998"/>
      <c r="UNW1" s="998"/>
      <c r="UNX1" s="998"/>
      <c r="UNY1" s="998"/>
      <c r="UNZ1" s="998"/>
      <c r="UOA1" s="999"/>
      <c r="UOB1" s="1000"/>
      <c r="UOC1" s="1001"/>
      <c r="UOD1" s="1000"/>
      <c r="UOE1" s="1001"/>
      <c r="UOF1" s="1000"/>
      <c r="UOG1" s="1000"/>
      <c r="UOH1" s="1000"/>
      <c r="UOI1" s="1000"/>
      <c r="UOJ1" s="1000"/>
      <c r="UOK1" s="1000"/>
      <c r="UOL1" s="1000"/>
      <c r="UOM1" s="1000"/>
      <c r="UON1" s="1000"/>
      <c r="UOO1" s="1000"/>
      <c r="UOP1" s="1000"/>
      <c r="UOQ1" s="1000"/>
      <c r="UOR1" s="998"/>
      <c r="UOS1" s="998"/>
      <c r="UOT1" s="998"/>
      <c r="UOU1" s="998"/>
      <c r="UOV1" s="998"/>
      <c r="UOW1" s="998"/>
      <c r="UOX1" s="998"/>
      <c r="UOY1" s="996"/>
      <c r="UOZ1" s="996"/>
      <c r="UPA1" s="996"/>
      <c r="UPB1" s="996"/>
      <c r="UPC1" s="996"/>
      <c r="UPD1" s="996"/>
      <c r="UPE1" s="996"/>
      <c r="UPF1" s="996"/>
      <c r="UPG1" s="996"/>
      <c r="UPH1" s="996"/>
      <c r="UPI1" s="996"/>
      <c r="UPJ1" s="996"/>
      <c r="UPK1" s="996"/>
      <c r="UPL1" s="996"/>
      <c r="UPM1" s="996"/>
      <c r="UPN1" s="996"/>
      <c r="UPO1" s="996"/>
      <c r="UPP1" s="996"/>
      <c r="UPQ1" s="996"/>
      <c r="UPR1" s="996"/>
      <c r="UPS1" s="996"/>
      <c r="UPT1" s="996"/>
      <c r="UPU1" s="996"/>
      <c r="UPV1" s="996"/>
      <c r="UPW1" s="996"/>
      <c r="UPX1" s="996"/>
      <c r="UPY1" s="996"/>
      <c r="UPZ1" s="996"/>
      <c r="UQA1" s="996"/>
      <c r="UQB1" s="996"/>
      <c r="UQC1" s="996"/>
      <c r="UQD1" s="996"/>
      <c r="UQE1" s="996"/>
      <c r="UQF1" s="996"/>
      <c r="UQG1" s="996"/>
      <c r="UQH1" s="996"/>
      <c r="UQI1" s="996"/>
      <c r="UQJ1" s="996"/>
      <c r="UQK1" s="996"/>
      <c r="UQL1" s="995"/>
      <c r="UQM1" s="995"/>
      <c r="UQN1" s="996"/>
      <c r="UQO1" s="997"/>
      <c r="UQP1" s="1002"/>
      <c r="UQQ1" s="996"/>
      <c r="UQR1" s="996"/>
      <c r="UQS1" s="996"/>
      <c r="UQT1" s="996"/>
      <c r="UQU1" s="996"/>
      <c r="UQV1" s="996"/>
      <c r="UQW1" s="996"/>
      <c r="UQX1" s="996"/>
      <c r="UQY1" s="996"/>
      <c r="UQZ1" s="996"/>
      <c r="URA1" s="996"/>
      <c r="URB1" s="996"/>
      <c r="URC1" s="996"/>
      <c r="URD1" s="996"/>
      <c r="URE1" s="996"/>
      <c r="URF1" s="996"/>
      <c r="URG1" s="996"/>
      <c r="URH1" s="996"/>
      <c r="URI1" s="996"/>
      <c r="URJ1" s="996"/>
      <c r="URK1" s="996"/>
      <c r="URL1" s="1003"/>
      <c r="URM1" s="996"/>
      <c r="URN1" s="1003"/>
      <c r="URO1" s="996"/>
      <c r="URP1" s="996"/>
      <c r="URQ1" s="996"/>
      <c r="URR1" s="996"/>
      <c r="URS1" s="996"/>
      <c r="URT1" s="996"/>
      <c r="URU1" s="996"/>
      <c r="URV1" s="996"/>
      <c r="URW1" s="996"/>
      <c r="URX1" s="996"/>
      <c r="URY1" s="996"/>
      <c r="URZ1" s="996"/>
      <c r="USA1" s="1003"/>
      <c r="USB1" s="1003"/>
      <c r="USC1" s="1003"/>
      <c r="USD1" s="1003"/>
      <c r="USE1" s="1003"/>
      <c r="USF1" s="996"/>
      <c r="USG1" s="996"/>
      <c r="USH1" s="996"/>
      <c r="USI1" s="996"/>
      <c r="USJ1" s="996"/>
      <c r="USK1" s="996"/>
      <c r="USL1" s="1003"/>
      <c r="USM1" s="996"/>
    </row>
    <row r="2" spans="1:14703">
      <c r="A2" s="1139"/>
      <c r="B2" s="1142"/>
      <c r="C2" s="1139"/>
      <c r="D2" s="1139"/>
      <c r="E2" s="1143"/>
      <c r="F2" s="1406"/>
      <c r="G2" s="1356"/>
      <c r="H2" s="1406"/>
      <c r="I2" s="1356"/>
      <c r="J2" s="1406"/>
      <c r="K2" s="1356"/>
      <c r="L2" s="1406"/>
      <c r="M2" s="1356"/>
      <c r="N2" s="1406"/>
      <c r="O2" s="1356"/>
      <c r="P2" s="1406"/>
      <c r="Q2" s="1356"/>
      <c r="T2" s="1406"/>
      <c r="U2" s="1356"/>
      <c r="V2" s="1406"/>
      <c r="W2" s="1356"/>
      <c r="X2" s="1406"/>
      <c r="Y2" s="1356"/>
      <c r="Z2" s="1406"/>
      <c r="AA2" s="1356"/>
      <c r="AB2" s="1406"/>
      <c r="AC2" s="1356"/>
      <c r="AD2" s="1406"/>
      <c r="AE2" s="1356"/>
      <c r="AF2" s="1406"/>
      <c r="AG2" s="1356"/>
      <c r="AH2" s="1406"/>
      <c r="AI2" s="1356"/>
      <c r="AJ2" s="1406"/>
      <c r="AK2" s="1356"/>
      <c r="AL2" s="1406"/>
      <c r="AM2" s="1356"/>
      <c r="AN2" s="1406"/>
      <c r="AO2" s="1356"/>
      <c r="AP2" s="1406"/>
      <c r="AQ2" s="1356"/>
      <c r="AR2" s="1406"/>
      <c r="AS2" s="1356"/>
      <c r="AT2" s="1406"/>
      <c r="AU2" s="1356"/>
      <c r="AV2" s="1406"/>
      <c r="AW2" s="1356"/>
      <c r="AX2" s="1406"/>
      <c r="AY2" s="1356"/>
      <c r="AZ2" s="1406"/>
      <c r="BA2" s="1356"/>
      <c r="BB2" s="1406"/>
      <c r="BC2" s="1356"/>
      <c r="BD2" s="1406"/>
      <c r="BE2" s="1356"/>
      <c r="BF2" s="1406"/>
      <c r="BG2" s="1356"/>
      <c r="BH2" s="1406"/>
      <c r="BI2" s="1356"/>
      <c r="BJ2" s="1406"/>
      <c r="BK2" s="1356"/>
      <c r="BL2" s="1406"/>
      <c r="BM2" s="1356"/>
      <c r="BN2" s="1406"/>
      <c r="BO2" s="1356"/>
      <c r="BP2" s="1406"/>
      <c r="BQ2" s="1356"/>
      <c r="BR2" s="1406"/>
      <c r="BS2" s="1356"/>
      <c r="BT2" s="1406"/>
      <c r="BU2" s="1356"/>
      <c r="BV2" s="1406"/>
      <c r="BW2" s="1356"/>
      <c r="BX2" s="1406"/>
      <c r="BY2" s="1356"/>
      <c r="BZ2" s="1406"/>
      <c r="CA2" s="1356"/>
      <c r="CB2" s="1406"/>
      <c r="CC2" s="1356"/>
      <c r="CD2" s="1406"/>
      <c r="CE2" s="1356"/>
      <c r="CF2" s="1406"/>
      <c r="CG2" s="1356"/>
      <c r="CH2" s="1406"/>
      <c r="CI2" s="1356"/>
      <c r="CJ2" s="1406"/>
      <c r="CK2" s="1356"/>
      <c r="CL2" s="1406"/>
      <c r="CM2" s="1356"/>
      <c r="CN2" s="1406"/>
      <c r="CO2" s="1356"/>
      <c r="CP2" s="1406"/>
      <c r="CQ2" s="1356"/>
      <c r="CR2" s="1406"/>
      <c r="CS2" s="1356"/>
      <c r="CT2" s="1406"/>
      <c r="CU2" s="1356"/>
      <c r="CV2" s="1406"/>
      <c r="CW2" s="1356"/>
      <c r="CX2" s="1406"/>
      <c r="CY2" s="1356"/>
      <c r="CZ2" s="1406"/>
      <c r="DA2" s="1356"/>
      <c r="DB2" s="1406"/>
      <c r="DC2" s="1356"/>
      <c r="DD2" s="1406"/>
      <c r="DE2" s="1356"/>
      <c r="DF2" s="1406"/>
      <c r="DG2" s="1356"/>
      <c r="DH2" s="1406"/>
      <c r="DI2" s="1356"/>
      <c r="DJ2" s="1406"/>
      <c r="DK2" s="1356"/>
      <c r="DL2" s="1406"/>
      <c r="DM2" s="1356"/>
      <c r="DN2" s="1406"/>
      <c r="DO2" s="1356"/>
      <c r="DP2" s="1406"/>
      <c r="DQ2" s="1356"/>
      <c r="DR2" s="1406"/>
      <c r="DS2" s="1356"/>
      <c r="DT2" s="1406"/>
      <c r="DU2" s="1356"/>
      <c r="DV2" s="1406"/>
      <c r="DW2" s="1356"/>
      <c r="DX2" s="1406"/>
      <c r="DY2" s="1356"/>
      <c r="DZ2" s="1406"/>
      <c r="EA2" s="1356"/>
      <c r="EB2" s="1406"/>
      <c r="EC2" s="1356"/>
      <c r="ED2" s="1406"/>
      <c r="EE2" s="1356"/>
      <c r="EF2" s="1406"/>
      <c r="EG2" s="1356"/>
      <c r="EH2" s="1406"/>
      <c r="EI2" s="1356"/>
      <c r="EJ2" s="1406"/>
      <c r="EK2" s="1356"/>
      <c r="EL2" s="1406"/>
      <c r="EM2" s="1356"/>
      <c r="EN2" s="1406"/>
      <c r="EO2" s="1356"/>
      <c r="EP2" s="1406"/>
      <c r="EQ2" s="1356"/>
      <c r="ER2" s="1406"/>
      <c r="ES2" s="1356"/>
      <c r="ET2" s="1406"/>
      <c r="EU2" s="1356"/>
      <c r="EV2" s="1406"/>
      <c r="EW2" s="1356"/>
      <c r="EX2" s="1406"/>
      <c r="EY2" s="1356"/>
      <c r="EZ2" s="1406"/>
      <c r="FA2" s="1356"/>
      <c r="FB2" s="1406"/>
      <c r="FC2" s="1356"/>
      <c r="FD2" s="1406"/>
      <c r="FE2" s="1356"/>
      <c r="FF2" s="1406"/>
      <c r="FG2" s="1356"/>
      <c r="FH2" s="1406"/>
      <c r="FI2" s="1356"/>
      <c r="FJ2" s="1406"/>
      <c r="FK2" s="1356"/>
      <c r="FL2" s="1406"/>
      <c r="FM2" s="1356"/>
      <c r="FN2" s="1406"/>
      <c r="FO2" s="1356"/>
      <c r="FP2" s="1406"/>
      <c r="FQ2" s="1356"/>
      <c r="FR2" s="1406"/>
      <c r="FS2" s="1356"/>
      <c r="FT2" s="1406"/>
      <c r="FU2" s="1356"/>
      <c r="FV2" s="1406"/>
      <c r="FW2" s="1356"/>
      <c r="FX2" s="1406"/>
      <c r="FY2" s="1356"/>
      <c r="FZ2" s="1406"/>
      <c r="GA2" s="1356"/>
      <c r="GB2" s="1406"/>
      <c r="GC2" s="1356"/>
      <c r="GD2" s="1406"/>
      <c r="GE2" s="1356"/>
      <c r="GF2" s="1406"/>
      <c r="GG2" s="1356"/>
      <c r="GH2" s="1406"/>
      <c r="GI2" s="1356"/>
      <c r="GJ2" s="1406"/>
      <c r="GK2" s="1356"/>
      <c r="GL2" s="1406"/>
      <c r="GM2" s="1356"/>
      <c r="GN2" s="1406"/>
      <c r="GO2" s="1356"/>
      <c r="GP2" s="1406"/>
      <c r="GQ2" s="1356"/>
      <c r="GR2" s="1406"/>
      <c r="GS2" s="1356"/>
      <c r="GT2" s="1406"/>
      <c r="GU2" s="1356"/>
      <c r="GV2" s="1406"/>
      <c r="GW2" s="1356"/>
      <c r="GX2" s="1406"/>
      <c r="GY2" s="1356"/>
      <c r="GZ2" s="1406"/>
      <c r="HA2" s="1356"/>
      <c r="HB2" s="1406"/>
      <c r="HC2" s="1356"/>
      <c r="HD2" s="1406"/>
      <c r="HE2" s="1356"/>
      <c r="HH2" s="1406"/>
      <c r="HI2" s="1356"/>
      <c r="HJ2" s="1406"/>
      <c r="HK2" s="1356"/>
      <c r="HL2" s="1406"/>
      <c r="HM2" s="1356"/>
      <c r="HN2" s="1406"/>
      <c r="HO2" s="1356"/>
      <c r="HR2" s="1406"/>
      <c r="HS2" s="1356"/>
      <c r="IB2" s="1406"/>
      <c r="IC2" s="1356"/>
    </row>
    <row r="3" spans="1:14703" s="1006" customFormat="1">
      <c r="A3" s="1224"/>
      <c r="B3" s="1423" t="s">
        <v>0</v>
      </c>
      <c r="C3" s="1224"/>
      <c r="D3" s="1224"/>
      <c r="E3" s="1225"/>
      <c r="F3" s="1931" t="s">
        <v>724</v>
      </c>
      <c r="G3" s="1356"/>
      <c r="H3" s="1931" t="s">
        <v>1127</v>
      </c>
      <c r="I3" s="1356"/>
      <c r="J3" s="1931" t="s">
        <v>266</v>
      </c>
      <c r="K3" s="1356"/>
      <c r="L3" s="1931" t="s">
        <v>1325</v>
      </c>
      <c r="M3" s="1356"/>
      <c r="N3" s="1931" t="s">
        <v>617</v>
      </c>
      <c r="O3" s="1356"/>
      <c r="P3" s="1931" t="s">
        <v>624</v>
      </c>
      <c r="Q3" s="1356"/>
      <c r="R3" s="1931" t="s">
        <v>1202</v>
      </c>
      <c r="S3" s="1356"/>
      <c r="T3" s="1931" t="s">
        <v>1128</v>
      </c>
      <c r="U3" s="1356"/>
      <c r="V3" s="1931" t="s">
        <v>684</v>
      </c>
      <c r="W3" s="1356"/>
      <c r="X3" s="1931" t="s">
        <v>985</v>
      </c>
      <c r="Y3" s="1356"/>
      <c r="Z3" s="1931" t="s">
        <v>1304</v>
      </c>
      <c r="AA3" s="1356"/>
      <c r="AB3" s="1931" t="s">
        <v>1194</v>
      </c>
      <c r="AC3" s="1356"/>
      <c r="AD3" s="1931" t="s">
        <v>1847</v>
      </c>
      <c r="AE3" s="1356"/>
      <c r="AF3" s="1931" t="s">
        <v>1195</v>
      </c>
      <c r="AG3" s="1356"/>
      <c r="AH3" s="1931" t="s">
        <v>917</v>
      </c>
      <c r="AI3" s="1356"/>
      <c r="AJ3" s="1931" t="s">
        <v>1831</v>
      </c>
      <c r="AK3" s="1356"/>
      <c r="AL3" s="1931" t="s">
        <v>1327</v>
      </c>
      <c r="AM3" s="1356"/>
      <c r="AN3" s="1931" t="s">
        <v>1196</v>
      </c>
      <c r="AO3" s="1356"/>
      <c r="AP3" s="1931" t="s">
        <v>1313</v>
      </c>
      <c r="AQ3" s="1356"/>
      <c r="AR3" s="1931" t="s">
        <v>1623</v>
      </c>
      <c r="AS3" s="1356"/>
      <c r="AT3" s="1931" t="s">
        <v>1197</v>
      </c>
      <c r="AU3" s="1356"/>
      <c r="AV3" s="1931" t="s">
        <v>1129</v>
      </c>
      <c r="AW3" s="1356"/>
      <c r="AX3" s="1931" t="s">
        <v>986</v>
      </c>
      <c r="AY3" s="1356"/>
      <c r="AZ3" s="1931" t="s">
        <v>1199</v>
      </c>
      <c r="BA3" s="1356"/>
      <c r="BB3" s="1931" t="s">
        <v>1135</v>
      </c>
      <c r="BC3" s="1356"/>
      <c r="BD3" s="1931" t="s">
        <v>1848</v>
      </c>
      <c r="BE3" s="1356"/>
      <c r="BF3" s="1931" t="s">
        <v>1200</v>
      </c>
      <c r="BG3" s="1356"/>
      <c r="BH3" s="1931" t="s">
        <v>680</v>
      </c>
      <c r="BI3" s="1356"/>
      <c r="BJ3" s="1931" t="s">
        <v>696</v>
      </c>
      <c r="BK3" s="1356"/>
      <c r="BL3" s="1931" t="s">
        <v>836</v>
      </c>
      <c r="BM3" s="1356"/>
      <c r="BN3" s="1931" t="s">
        <v>961</v>
      </c>
      <c r="BO3" s="1356"/>
      <c r="BP3" s="1931" t="s">
        <v>1852</v>
      </c>
      <c r="BQ3" s="1356"/>
      <c r="BR3" s="1931" t="s">
        <v>262</v>
      </c>
      <c r="BS3" s="1356"/>
      <c r="BT3" s="1931" t="s">
        <v>1404</v>
      </c>
      <c r="BU3" s="1356"/>
      <c r="BV3" s="1931" t="s">
        <v>1310</v>
      </c>
      <c r="BW3" s="1356"/>
      <c r="BX3" s="1931" t="s">
        <v>1411</v>
      </c>
      <c r="BY3" s="1356"/>
      <c r="BZ3" s="1931" t="s">
        <v>1832</v>
      </c>
      <c r="CA3" s="1356"/>
      <c r="CB3" s="1931" t="s">
        <v>1191</v>
      </c>
      <c r="CC3" s="1356"/>
      <c r="CD3" s="1931" t="s">
        <v>701</v>
      </c>
      <c r="CE3" s="1356"/>
      <c r="CF3" s="1931" t="s">
        <v>1303</v>
      </c>
      <c r="CG3" s="1356"/>
      <c r="CH3" s="1931" t="s">
        <v>445</v>
      </c>
      <c r="CI3" s="1356"/>
      <c r="CJ3" s="1931" t="s">
        <v>1639</v>
      </c>
      <c r="CK3" s="1356"/>
      <c r="CL3" s="1931" t="s">
        <v>1830</v>
      </c>
      <c r="CM3" s="1356"/>
      <c r="CN3" s="1931" t="s">
        <v>1138</v>
      </c>
      <c r="CO3" s="1356"/>
      <c r="CP3" s="1931" t="s">
        <v>1134</v>
      </c>
      <c r="CQ3" s="1356"/>
      <c r="CR3" s="1931" t="s">
        <v>1624</v>
      </c>
      <c r="CS3" s="1356"/>
      <c r="CT3" s="1931" t="s">
        <v>1850</v>
      </c>
      <c r="CU3" s="1356"/>
      <c r="CV3" s="1931" t="s">
        <v>1309</v>
      </c>
      <c r="CW3" s="1356"/>
      <c r="CX3" s="1931" t="s">
        <v>1834</v>
      </c>
      <c r="CY3" s="1356"/>
      <c r="CZ3" s="1931" t="s">
        <v>630</v>
      </c>
      <c r="DA3" s="1356"/>
      <c r="DB3" s="1931" t="s">
        <v>1305</v>
      </c>
      <c r="DC3" s="1356"/>
      <c r="DD3" s="1931" t="s">
        <v>1317</v>
      </c>
      <c r="DE3" s="1356"/>
      <c r="DF3" s="1931" t="s">
        <v>1402</v>
      </c>
      <c r="DG3" s="1356"/>
      <c r="DH3" s="1931" t="s">
        <v>620</v>
      </c>
      <c r="DI3" s="1356"/>
      <c r="DJ3" s="1931" t="s">
        <v>708</v>
      </c>
      <c r="DK3" s="1356"/>
      <c r="DL3" s="1931" t="s">
        <v>697</v>
      </c>
      <c r="DM3" s="1356"/>
      <c r="DN3" s="1931" t="s">
        <v>1315</v>
      </c>
      <c r="DO3" s="1356"/>
      <c r="DP3" s="1931" t="s">
        <v>1406</v>
      </c>
      <c r="DQ3" s="1356"/>
      <c r="DR3" s="1931" t="s">
        <v>637</v>
      </c>
      <c r="DS3" s="1356"/>
      <c r="DT3" s="1931" t="s">
        <v>1006</v>
      </c>
      <c r="DU3" s="1356"/>
      <c r="DV3" s="1931" t="s">
        <v>1318</v>
      </c>
      <c r="DW3" s="1356"/>
      <c r="DX3" s="1931" t="s">
        <v>1851</v>
      </c>
      <c r="DY3" s="1356"/>
      <c r="DZ3" s="1931" t="s">
        <v>995</v>
      </c>
      <c r="EA3" s="1356"/>
      <c r="EB3" s="1931" t="s">
        <v>1008</v>
      </c>
      <c r="EC3" s="1356"/>
      <c r="ED3" s="1931" t="s">
        <v>1201</v>
      </c>
      <c r="EE3" s="1356"/>
      <c r="EF3" s="1931" t="s">
        <v>1012</v>
      </c>
      <c r="EG3" s="1356"/>
      <c r="EH3" s="1931" t="s">
        <v>1323</v>
      </c>
      <c r="EI3" s="1356"/>
      <c r="EJ3" s="1931" t="s">
        <v>698</v>
      </c>
      <c r="EK3" s="1356"/>
      <c r="EL3" s="1931" t="s">
        <v>958</v>
      </c>
      <c r="EM3" s="1356"/>
      <c r="EN3" s="1931" t="s">
        <v>1018</v>
      </c>
      <c r="EO3" s="1356"/>
      <c r="EP3" s="1931" t="s">
        <v>1335</v>
      </c>
      <c r="EQ3" s="1356"/>
      <c r="ER3" s="1931" t="s">
        <v>1407</v>
      </c>
      <c r="ES3" s="1356"/>
      <c r="ET3" s="1931" t="s">
        <v>524</v>
      </c>
      <c r="EU3" s="1356"/>
      <c r="EV3" s="1931" t="s">
        <v>1144</v>
      </c>
      <c r="EW3" s="1356"/>
      <c r="EX3" s="1931" t="s">
        <v>2146</v>
      </c>
      <c r="EY3" s="1356"/>
      <c r="EZ3" s="1931" t="s">
        <v>259</v>
      </c>
      <c r="FA3" s="1356"/>
      <c r="FB3" s="1931" t="s">
        <v>1829</v>
      </c>
      <c r="FC3" s="1356"/>
      <c r="FD3" s="1931" t="s">
        <v>686</v>
      </c>
      <c r="FE3" s="1356"/>
      <c r="FF3" s="1931" t="s">
        <v>1148</v>
      </c>
      <c r="FG3" s="1356"/>
      <c r="FH3" s="1931" t="s">
        <v>716</v>
      </c>
      <c r="FI3" s="1356"/>
      <c r="FJ3" s="1931" t="s">
        <v>1198</v>
      </c>
      <c r="FK3" s="1356"/>
      <c r="FL3" s="1931" t="s">
        <v>2147</v>
      </c>
      <c r="FM3" s="1356"/>
      <c r="FN3" s="1931" t="s">
        <v>1628</v>
      </c>
      <c r="FO3" s="1356"/>
      <c r="FP3" s="1931" t="s">
        <v>1322</v>
      </c>
      <c r="FQ3" s="1356"/>
      <c r="FR3" s="1931" t="s">
        <v>553</v>
      </c>
      <c r="FS3" s="1356"/>
      <c r="FT3" s="1931" t="s">
        <v>929</v>
      </c>
      <c r="FU3" s="1356"/>
      <c r="FV3" s="1931" t="s">
        <v>1331</v>
      </c>
      <c r="FW3" s="1356"/>
      <c r="FX3" s="1931" t="s">
        <v>265</v>
      </c>
      <c r="FY3" s="1356"/>
      <c r="FZ3" s="1931" t="s">
        <v>1630</v>
      </c>
      <c r="GA3" s="1356"/>
      <c r="GB3" s="1931" t="s">
        <v>1147</v>
      </c>
      <c r="GC3" s="1356"/>
      <c r="GD3" s="1931" t="s">
        <v>550</v>
      </c>
      <c r="GE3" s="1356"/>
      <c r="GF3" s="1931" t="s">
        <v>839</v>
      </c>
      <c r="GG3" s="1356"/>
      <c r="GH3" s="1931" t="s">
        <v>717</v>
      </c>
      <c r="GI3" s="1356"/>
      <c r="GJ3" s="1931" t="s">
        <v>1853</v>
      </c>
      <c r="GK3" s="1356"/>
      <c r="GL3" s="1931" t="s">
        <v>1029</v>
      </c>
      <c r="GM3" s="1356"/>
      <c r="GN3" s="1931" t="s">
        <v>1137</v>
      </c>
      <c r="GO3" s="1356"/>
      <c r="GP3" s="1931" t="s">
        <v>707</v>
      </c>
      <c r="GQ3" s="1356"/>
      <c r="GR3" s="1931" t="s">
        <v>1080</v>
      </c>
      <c r="GS3" s="1356"/>
      <c r="GT3" s="1931" t="s">
        <v>1846</v>
      </c>
      <c r="GU3" s="1356"/>
      <c r="GV3" s="1931" t="s">
        <v>2148</v>
      </c>
      <c r="GW3" s="1356"/>
      <c r="GX3" s="1931" t="s">
        <v>965</v>
      </c>
      <c r="GY3" s="1356"/>
      <c r="GZ3" s="1931" t="s">
        <v>1329</v>
      </c>
      <c r="HA3" s="1356"/>
      <c r="HB3" s="1931" t="s">
        <v>2149</v>
      </c>
      <c r="HC3" s="1356"/>
      <c r="HD3" s="1931" t="s">
        <v>679</v>
      </c>
      <c r="HE3" s="1356"/>
      <c r="HF3" s="1931" t="s">
        <v>1625</v>
      </c>
      <c r="HG3" s="1535"/>
      <c r="HH3" s="1931" t="s">
        <v>1161</v>
      </c>
      <c r="HI3" s="1356"/>
      <c r="HJ3" s="1931" t="s">
        <v>1307</v>
      </c>
      <c r="HK3" s="1356"/>
      <c r="HL3" s="1931" t="s">
        <v>2150</v>
      </c>
      <c r="HM3" s="1356"/>
      <c r="HN3" s="1931" t="s">
        <v>1010</v>
      </c>
      <c r="HO3" s="1356"/>
      <c r="HP3" s="1931" t="s">
        <v>2151</v>
      </c>
      <c r="HQ3" s="1535"/>
      <c r="HR3" s="1931" t="s">
        <v>1333</v>
      </c>
      <c r="HS3" s="1356"/>
      <c r="HT3" s="1931" t="s">
        <v>722</v>
      </c>
      <c r="HU3" s="1535"/>
      <c r="HV3" s="1931" t="s">
        <v>1337</v>
      </c>
      <c r="HW3" s="1535"/>
      <c r="HX3" s="1931" t="s">
        <v>1408</v>
      </c>
      <c r="HY3" s="1535"/>
      <c r="HZ3" s="1931" t="s">
        <v>1849</v>
      </c>
      <c r="IA3" s="1535"/>
      <c r="IB3" s="1931" t="s">
        <v>2152</v>
      </c>
      <c r="IC3" s="1356"/>
      <c r="ID3" s="1931" t="s">
        <v>2211</v>
      </c>
      <c r="IE3" s="1535"/>
      <c r="IF3" s="1931" t="s">
        <v>1328</v>
      </c>
      <c r="IG3" s="1535"/>
    </row>
    <row r="4" spans="1:14703">
      <c r="A4" s="1139"/>
      <c r="B4" s="1139"/>
      <c r="C4" s="1139"/>
      <c r="D4" s="1139"/>
      <c r="E4" s="1144"/>
      <c r="F4" s="1697"/>
      <c r="G4" s="1356"/>
      <c r="H4" s="1697"/>
      <c r="I4" s="1356"/>
      <c r="J4" s="1697"/>
      <c r="K4" s="1356"/>
      <c r="L4" s="1697"/>
      <c r="M4" s="1356"/>
      <c r="N4" s="1697"/>
      <c r="O4" s="1356"/>
      <c r="P4" s="1697"/>
      <c r="Q4" s="1356"/>
      <c r="R4" s="1697"/>
      <c r="T4" s="1697"/>
      <c r="U4" s="1356"/>
      <c r="V4" s="1697"/>
      <c r="W4" s="1356"/>
      <c r="X4" s="1697"/>
      <c r="Y4" s="1356"/>
      <c r="Z4" s="1697"/>
      <c r="AA4" s="1356"/>
      <c r="AB4" s="1697"/>
      <c r="AC4" s="1356"/>
      <c r="AD4" s="1697"/>
      <c r="AE4" s="1356"/>
      <c r="AF4" s="1697"/>
      <c r="AG4" s="1356"/>
      <c r="AH4" s="1697"/>
      <c r="AI4" s="1356"/>
      <c r="AJ4" s="1697"/>
      <c r="AK4" s="1356"/>
      <c r="AL4" s="1697"/>
      <c r="AM4" s="1356"/>
      <c r="AN4" s="1697"/>
      <c r="AO4" s="1356"/>
      <c r="AP4" s="1697"/>
      <c r="AQ4" s="1356"/>
      <c r="AR4" s="1697"/>
      <c r="AS4" s="1356"/>
      <c r="AT4" s="1697"/>
      <c r="AU4" s="1356"/>
      <c r="AV4" s="1697"/>
      <c r="AW4" s="1356"/>
      <c r="AX4" s="1697"/>
      <c r="AY4" s="1356"/>
      <c r="AZ4" s="1697"/>
      <c r="BA4" s="1356"/>
      <c r="BB4" s="1697"/>
      <c r="BC4" s="1356"/>
      <c r="BD4" s="1697"/>
      <c r="BE4" s="1356"/>
      <c r="BF4" s="1697"/>
      <c r="BG4" s="1356"/>
      <c r="BH4" s="1697"/>
      <c r="BI4" s="1356"/>
      <c r="BJ4" s="1697"/>
      <c r="BK4" s="1356"/>
      <c r="BL4" s="1697"/>
      <c r="BM4" s="1356"/>
      <c r="BN4" s="1697"/>
      <c r="BO4" s="1356"/>
      <c r="BP4" s="1697"/>
      <c r="BQ4" s="1356"/>
      <c r="BR4" s="1697"/>
      <c r="BS4" s="1356"/>
      <c r="BT4" s="1697"/>
      <c r="BU4" s="1356"/>
      <c r="BV4" s="1697"/>
      <c r="BW4" s="1356"/>
      <c r="BX4" s="1697"/>
      <c r="BY4" s="1356"/>
      <c r="BZ4" s="1697"/>
      <c r="CA4" s="1356"/>
      <c r="CB4" s="1697"/>
      <c r="CC4" s="1356"/>
      <c r="CD4" s="1697"/>
      <c r="CE4" s="1356"/>
      <c r="CF4" s="1697"/>
      <c r="CG4" s="1356"/>
      <c r="CH4" s="1697"/>
      <c r="CI4" s="1356"/>
      <c r="CJ4" s="1697"/>
      <c r="CK4" s="1356"/>
      <c r="CL4" s="1697"/>
      <c r="CM4" s="1356"/>
      <c r="CN4" s="1697"/>
      <c r="CO4" s="1356"/>
      <c r="CP4" s="1697"/>
      <c r="CQ4" s="1356"/>
      <c r="CR4" s="1697"/>
      <c r="CS4" s="1356"/>
      <c r="CT4" s="1697"/>
      <c r="CU4" s="1356"/>
      <c r="CV4" s="1697"/>
      <c r="CW4" s="1356"/>
      <c r="CX4" s="1697"/>
      <c r="CY4" s="1356"/>
      <c r="CZ4" s="1697"/>
      <c r="DA4" s="1356"/>
      <c r="DB4" s="1697"/>
      <c r="DC4" s="1356"/>
      <c r="DD4" s="1697"/>
      <c r="DE4" s="1356"/>
      <c r="DF4" s="1697"/>
      <c r="DG4" s="1356"/>
      <c r="DH4" s="1697"/>
      <c r="DI4" s="1356"/>
      <c r="DJ4" s="1697"/>
      <c r="DK4" s="1356"/>
      <c r="DL4" s="1697"/>
      <c r="DM4" s="1356"/>
      <c r="DN4" s="1697"/>
      <c r="DO4" s="1356"/>
      <c r="DP4" s="1697"/>
      <c r="DQ4" s="1356"/>
      <c r="DR4" s="1697"/>
      <c r="DS4" s="1356"/>
      <c r="DT4" s="1697"/>
      <c r="DU4" s="1356"/>
      <c r="DV4" s="1697"/>
      <c r="DW4" s="1356"/>
      <c r="DX4" s="1697"/>
      <c r="DY4" s="1356"/>
      <c r="DZ4" s="1697"/>
      <c r="EA4" s="1356"/>
      <c r="EB4" s="1697"/>
      <c r="EC4" s="1356"/>
      <c r="ED4" s="1697"/>
      <c r="EE4" s="1356"/>
      <c r="EF4" s="1697"/>
      <c r="EG4" s="1356"/>
      <c r="EH4" s="1697"/>
      <c r="EI4" s="1356"/>
      <c r="EJ4" s="1697"/>
      <c r="EK4" s="1356"/>
      <c r="EL4" s="1697"/>
      <c r="EM4" s="1356"/>
      <c r="EN4" s="1697"/>
      <c r="EO4" s="1356"/>
      <c r="EP4" s="1697"/>
      <c r="EQ4" s="1356"/>
      <c r="ER4" s="1697"/>
      <c r="ES4" s="1356"/>
      <c r="ET4" s="1697"/>
      <c r="EU4" s="1356"/>
      <c r="EV4" s="1697"/>
      <c r="EW4" s="1356"/>
      <c r="EX4" s="1697"/>
      <c r="EY4" s="1356"/>
      <c r="EZ4" s="1697"/>
      <c r="FA4" s="1356"/>
      <c r="FB4" s="1697"/>
      <c r="FC4" s="1356"/>
      <c r="FD4" s="1697"/>
      <c r="FE4" s="1356"/>
      <c r="FF4" s="1697"/>
      <c r="FG4" s="1356"/>
      <c r="FH4" s="1697"/>
      <c r="FI4" s="1356"/>
      <c r="FJ4" s="1697"/>
      <c r="FK4" s="1356"/>
      <c r="FL4" s="1697"/>
      <c r="FM4" s="1356"/>
      <c r="FN4" s="1697"/>
      <c r="FO4" s="1356"/>
      <c r="FP4" s="1697"/>
      <c r="FQ4" s="1356"/>
      <c r="FR4" s="1697"/>
      <c r="FS4" s="1356"/>
      <c r="FT4" s="1697"/>
      <c r="FU4" s="1356"/>
      <c r="FV4" s="1697"/>
      <c r="FW4" s="1356"/>
      <c r="FX4" s="1697"/>
      <c r="FY4" s="1356"/>
      <c r="FZ4" s="1697"/>
      <c r="GA4" s="1356"/>
      <c r="GB4" s="1697"/>
      <c r="GC4" s="1356"/>
      <c r="GD4" s="1697"/>
      <c r="GE4" s="1356"/>
      <c r="GF4" s="1697"/>
      <c r="GG4" s="1356"/>
      <c r="GH4" s="1697"/>
      <c r="GI4" s="1356"/>
      <c r="GJ4" s="1697"/>
      <c r="GK4" s="1356"/>
      <c r="GL4" s="1697"/>
      <c r="GM4" s="1356"/>
      <c r="GN4" s="1697"/>
      <c r="GO4" s="1356"/>
      <c r="GP4" s="1697"/>
      <c r="GQ4" s="1356"/>
      <c r="GR4" s="1697"/>
      <c r="GS4" s="1356"/>
      <c r="GT4" s="1697"/>
      <c r="GU4" s="1356"/>
      <c r="GV4" s="1697"/>
      <c r="GW4" s="1356"/>
      <c r="GX4" s="1697"/>
      <c r="GY4" s="1356"/>
      <c r="GZ4" s="1697"/>
      <c r="HA4" s="1356"/>
      <c r="HB4" s="1697"/>
      <c r="HC4" s="1356"/>
      <c r="HD4" s="1697"/>
      <c r="HE4" s="1356"/>
      <c r="HF4" s="2007"/>
      <c r="HG4" s="2008"/>
      <c r="HH4" s="1697"/>
      <c r="HI4" s="1356"/>
      <c r="HJ4" s="1697"/>
      <c r="HK4" s="1356"/>
      <c r="HL4" s="1697"/>
      <c r="HM4" s="1356"/>
      <c r="HN4" s="1697"/>
      <c r="HO4" s="1356"/>
      <c r="HP4" s="2007"/>
      <c r="HQ4" s="2008"/>
      <c r="HR4" s="1697"/>
      <c r="HS4" s="1356"/>
      <c r="HT4" s="2007"/>
      <c r="HU4" s="2008"/>
      <c r="HV4" s="2007"/>
      <c r="HW4" s="2008"/>
      <c r="HX4" s="2007"/>
      <c r="HY4" s="2008"/>
      <c r="HZ4" s="2007"/>
      <c r="IA4" s="2008"/>
      <c r="IB4" s="1697"/>
      <c r="IC4" s="1356"/>
      <c r="ID4" s="2007"/>
      <c r="IE4" s="2008"/>
      <c r="IF4" s="2007"/>
      <c r="IG4" s="2008"/>
    </row>
    <row r="5" spans="1:14703">
      <c r="A5" s="1139"/>
      <c r="B5" s="1139" t="s">
        <v>611</v>
      </c>
      <c r="C5" s="1139"/>
      <c r="D5" s="1139"/>
      <c r="E5" s="1144"/>
      <c r="F5" s="1545" t="s">
        <v>988</v>
      </c>
      <c r="G5" s="1356"/>
      <c r="H5" s="1545" t="s">
        <v>1203</v>
      </c>
      <c r="I5" s="1356"/>
      <c r="J5" s="1545" t="s">
        <v>1203</v>
      </c>
      <c r="K5" s="1356"/>
      <c r="L5" s="1545" t="s">
        <v>260</v>
      </c>
      <c r="M5" s="1356"/>
      <c r="N5" s="1545" t="s">
        <v>260</v>
      </c>
      <c r="O5" s="1356"/>
      <c r="P5" s="1545" t="s">
        <v>1203</v>
      </c>
      <c r="Q5" s="1356"/>
      <c r="R5" s="1545" t="s">
        <v>1203</v>
      </c>
      <c r="T5" s="1545" t="s">
        <v>988</v>
      </c>
      <c r="U5" s="1356"/>
      <c r="V5" s="1545" t="s">
        <v>1205</v>
      </c>
      <c r="W5" s="1356"/>
      <c r="X5" s="1545" t="s">
        <v>1204</v>
      </c>
      <c r="Y5" s="1356"/>
      <c r="Z5" s="1545" t="s">
        <v>1205</v>
      </c>
      <c r="AA5" s="1356"/>
      <c r="AB5" s="1545" t="s">
        <v>1205</v>
      </c>
      <c r="AC5" s="1356"/>
      <c r="AD5" s="1545" t="s">
        <v>1204</v>
      </c>
      <c r="AE5" s="1356"/>
      <c r="AF5" s="1545" t="s">
        <v>1203</v>
      </c>
      <c r="AG5" s="1356"/>
      <c r="AH5" s="1545" t="s">
        <v>1204</v>
      </c>
      <c r="AI5" s="1356"/>
      <c r="AJ5" s="1545" t="s">
        <v>1204</v>
      </c>
      <c r="AK5" s="1356"/>
      <c r="AL5" s="1545" t="s">
        <v>1204</v>
      </c>
      <c r="AM5" s="1356"/>
      <c r="AN5" s="1545" t="s">
        <v>1203</v>
      </c>
      <c r="AO5" s="1356"/>
      <c r="AP5" s="1545" t="s">
        <v>618</v>
      </c>
      <c r="AQ5" s="1356"/>
      <c r="AR5" s="1545" t="s">
        <v>1204</v>
      </c>
      <c r="AS5" s="1356"/>
      <c r="AT5" s="1545" t="s">
        <v>988</v>
      </c>
      <c r="AU5" s="1356"/>
      <c r="AV5" s="1545" t="s">
        <v>1204</v>
      </c>
      <c r="AW5" s="1356"/>
      <c r="AX5" s="1545" t="s">
        <v>988</v>
      </c>
      <c r="AY5" s="1356"/>
      <c r="AZ5" s="1545" t="s">
        <v>1205</v>
      </c>
      <c r="BA5" s="1356"/>
      <c r="BB5" s="1545" t="s">
        <v>1204</v>
      </c>
      <c r="BC5" s="1356"/>
      <c r="BD5" s="1545" t="s">
        <v>988</v>
      </c>
      <c r="BE5" s="1356"/>
      <c r="BF5" s="1545" t="s">
        <v>1205</v>
      </c>
      <c r="BG5" s="1356"/>
      <c r="BH5" s="1545" t="s">
        <v>1203</v>
      </c>
      <c r="BI5" s="1356"/>
      <c r="BJ5" s="1545" t="s">
        <v>1203</v>
      </c>
      <c r="BK5" s="1356"/>
      <c r="BL5" s="1545" t="s">
        <v>1203</v>
      </c>
      <c r="BM5" s="1356"/>
      <c r="BN5" s="1545" t="s">
        <v>618</v>
      </c>
      <c r="BO5" s="1356"/>
      <c r="BP5" s="1545" t="s">
        <v>988</v>
      </c>
      <c r="BQ5" s="1356"/>
      <c r="BR5" s="1545" t="s">
        <v>618</v>
      </c>
      <c r="BS5" s="1356"/>
      <c r="BT5" s="1545" t="s">
        <v>1204</v>
      </c>
      <c r="BU5" s="1356"/>
      <c r="BV5" s="1545" t="s">
        <v>1205</v>
      </c>
      <c r="BW5" s="1356"/>
      <c r="BX5" s="1545" t="s">
        <v>988</v>
      </c>
      <c r="BY5" s="1356"/>
      <c r="BZ5" s="1545" t="s">
        <v>618</v>
      </c>
      <c r="CA5" s="1356"/>
      <c r="CB5" s="1545" t="s">
        <v>1204</v>
      </c>
      <c r="CC5" s="1356"/>
      <c r="CD5" s="1545" t="s">
        <v>1204</v>
      </c>
      <c r="CE5" s="1356"/>
      <c r="CF5" s="1545" t="s">
        <v>1203</v>
      </c>
      <c r="CG5" s="1356"/>
      <c r="CH5" s="1545" t="s">
        <v>1204</v>
      </c>
      <c r="CI5" s="1356"/>
      <c r="CJ5" s="1545" t="s">
        <v>1204</v>
      </c>
      <c r="CK5" s="1356"/>
      <c r="CL5" s="1545" t="s">
        <v>1203</v>
      </c>
      <c r="CM5" s="1356"/>
      <c r="CN5" s="1545" t="s">
        <v>1204</v>
      </c>
      <c r="CO5" s="1356"/>
      <c r="CP5" s="1545" t="s">
        <v>1203</v>
      </c>
      <c r="CQ5" s="1356"/>
      <c r="CR5" s="1545" t="s">
        <v>1204</v>
      </c>
      <c r="CS5" s="1356"/>
      <c r="CT5" s="1545" t="s">
        <v>1204</v>
      </c>
      <c r="CU5" s="1356"/>
      <c r="CV5" s="1545" t="s">
        <v>1203</v>
      </c>
      <c r="CW5" s="1356"/>
      <c r="CX5" s="1545" t="s">
        <v>260</v>
      </c>
      <c r="CY5" s="1356"/>
      <c r="CZ5" s="1545" t="s">
        <v>1204</v>
      </c>
      <c r="DA5" s="1356"/>
      <c r="DB5" s="1545" t="s">
        <v>618</v>
      </c>
      <c r="DC5" s="1356"/>
      <c r="DD5" s="1545" t="s">
        <v>1203</v>
      </c>
      <c r="DE5" s="1356"/>
      <c r="DF5" s="1545" t="s">
        <v>260</v>
      </c>
      <c r="DG5" s="1356"/>
      <c r="DH5" s="1545" t="s">
        <v>1205</v>
      </c>
      <c r="DI5" s="1356"/>
      <c r="DJ5" s="1545" t="s">
        <v>1204</v>
      </c>
      <c r="DK5" s="1356"/>
      <c r="DL5" s="1545" t="s">
        <v>1203</v>
      </c>
      <c r="DM5" s="1356"/>
      <c r="DN5" s="1545" t="s">
        <v>1203</v>
      </c>
      <c r="DO5" s="1356"/>
      <c r="DP5" s="1545" t="s">
        <v>1204</v>
      </c>
      <c r="DQ5" s="1356"/>
      <c r="DR5" s="1545" t="s">
        <v>260</v>
      </c>
      <c r="DS5" s="1356"/>
      <c r="DT5" s="1545" t="s">
        <v>260</v>
      </c>
      <c r="DU5" s="1356"/>
      <c r="DV5" s="1545" t="s">
        <v>1203</v>
      </c>
      <c r="DW5" s="1356"/>
      <c r="DX5" s="1545" t="s">
        <v>1204</v>
      </c>
      <c r="DY5" s="1356"/>
      <c r="DZ5" s="1545" t="s">
        <v>260</v>
      </c>
      <c r="EA5" s="1356"/>
      <c r="EB5" s="1545" t="s">
        <v>260</v>
      </c>
      <c r="EC5" s="1356"/>
      <c r="ED5" s="1545" t="s">
        <v>1204</v>
      </c>
      <c r="EE5" s="1356"/>
      <c r="EF5" s="1545" t="s">
        <v>260</v>
      </c>
      <c r="EG5" s="1356"/>
      <c r="EH5" s="1545" t="s">
        <v>260</v>
      </c>
      <c r="EI5" s="1356"/>
      <c r="EJ5" s="1545" t="s">
        <v>1204</v>
      </c>
      <c r="EK5" s="1356"/>
      <c r="EL5" s="1545" t="s">
        <v>1204</v>
      </c>
      <c r="EM5" s="1356"/>
      <c r="EN5" s="1545" t="s">
        <v>1205</v>
      </c>
      <c r="EO5" s="1356"/>
      <c r="EP5" s="1545" t="s">
        <v>1204</v>
      </c>
      <c r="EQ5" s="1356"/>
      <c r="ER5" s="1545" t="s">
        <v>1205</v>
      </c>
      <c r="ES5" s="1356"/>
      <c r="ET5" s="1545" t="s">
        <v>1203</v>
      </c>
      <c r="EU5" s="1356"/>
      <c r="EV5" s="1545" t="s">
        <v>1205</v>
      </c>
      <c r="EW5" s="1356"/>
      <c r="EX5" s="1545" t="s">
        <v>1205</v>
      </c>
      <c r="EY5" s="1356"/>
      <c r="EZ5" s="1545" t="s">
        <v>1204</v>
      </c>
      <c r="FA5" s="1356"/>
      <c r="FB5" s="1545" t="s">
        <v>1204</v>
      </c>
      <c r="FC5" s="1356"/>
      <c r="FD5" s="1545" t="s">
        <v>1203</v>
      </c>
      <c r="FE5" s="1356"/>
      <c r="FF5" s="1545" t="s">
        <v>1205</v>
      </c>
      <c r="FG5" s="1356"/>
      <c r="FH5" s="1545" t="s">
        <v>1204</v>
      </c>
      <c r="FI5" s="1356"/>
      <c r="FJ5" s="1545" t="s">
        <v>1203</v>
      </c>
      <c r="FK5" s="1356"/>
      <c r="FL5" s="1545" t="s">
        <v>618</v>
      </c>
      <c r="FM5" s="1356"/>
      <c r="FN5" s="1545" t="s">
        <v>260</v>
      </c>
      <c r="FO5" s="1356"/>
      <c r="FP5" s="1545" t="s">
        <v>1205</v>
      </c>
      <c r="FQ5" s="1356"/>
      <c r="FR5" s="1545" t="s">
        <v>618</v>
      </c>
      <c r="FS5" s="1356"/>
      <c r="FT5" s="1545" t="s">
        <v>1203</v>
      </c>
      <c r="FU5" s="1356"/>
      <c r="FV5" s="1545" t="s">
        <v>260</v>
      </c>
      <c r="FW5" s="1356"/>
      <c r="FX5" s="1545" t="s">
        <v>1205</v>
      </c>
      <c r="FY5" s="1356"/>
      <c r="FZ5" s="1545" t="s">
        <v>1203</v>
      </c>
      <c r="GA5" s="1356"/>
      <c r="GB5" s="1545" t="s">
        <v>1203</v>
      </c>
      <c r="GC5" s="1356"/>
      <c r="GD5" s="1545" t="s">
        <v>260</v>
      </c>
      <c r="GE5" s="1356"/>
      <c r="GF5" s="1545" t="s">
        <v>618</v>
      </c>
      <c r="GG5" s="1356"/>
      <c r="GH5" s="1545" t="s">
        <v>618</v>
      </c>
      <c r="GI5" s="1356"/>
      <c r="GJ5" s="1545" t="s">
        <v>1204</v>
      </c>
      <c r="GK5" s="1356"/>
      <c r="GL5" s="1545" t="s">
        <v>1205</v>
      </c>
      <c r="GM5" s="1356"/>
      <c r="GN5" s="1545" t="s">
        <v>1205</v>
      </c>
      <c r="GO5" s="1356"/>
      <c r="GP5" s="1545" t="s">
        <v>618</v>
      </c>
      <c r="GQ5" s="1356"/>
      <c r="GR5" s="1545" t="s">
        <v>1205</v>
      </c>
      <c r="GS5" s="1356"/>
      <c r="GT5" s="1545" t="s">
        <v>1205</v>
      </c>
      <c r="GU5" s="1356"/>
      <c r="GV5" s="1545" t="s">
        <v>1205</v>
      </c>
      <c r="GW5" s="1356"/>
      <c r="GX5" s="1545" t="s">
        <v>1205</v>
      </c>
      <c r="GY5" s="1356"/>
      <c r="GZ5" s="1545" t="s">
        <v>1204</v>
      </c>
      <c r="HA5" s="1356"/>
      <c r="HB5" s="1545" t="s">
        <v>1203</v>
      </c>
      <c r="HC5" s="1356"/>
      <c r="HD5" s="1545" t="s">
        <v>1204</v>
      </c>
      <c r="HE5" s="1356"/>
      <c r="HF5" s="1545" t="s">
        <v>1204</v>
      </c>
      <c r="HG5" s="2008"/>
      <c r="HH5" s="1545" t="s">
        <v>1204</v>
      </c>
      <c r="HI5" s="1356"/>
      <c r="HJ5" s="1545" t="s">
        <v>1203</v>
      </c>
      <c r="HK5" s="1356"/>
      <c r="HL5" s="1545" t="s">
        <v>1203</v>
      </c>
      <c r="HM5" s="1356"/>
      <c r="HN5" s="1545" t="s">
        <v>1203</v>
      </c>
      <c r="HO5" s="1356"/>
      <c r="HP5" s="1545" t="s">
        <v>1204</v>
      </c>
      <c r="HQ5" s="2008"/>
      <c r="HR5" s="1545" t="s">
        <v>618</v>
      </c>
      <c r="HS5" s="1356"/>
      <c r="HT5" s="1545" t="s">
        <v>260</v>
      </c>
      <c r="HU5" s="2008"/>
      <c r="HV5" s="1545" t="s">
        <v>260</v>
      </c>
      <c r="HW5" s="2008"/>
      <c r="HX5" s="1545" t="s">
        <v>1204</v>
      </c>
      <c r="HY5" s="2008"/>
      <c r="HZ5" s="1545" t="s">
        <v>1203</v>
      </c>
      <c r="IA5" s="2008"/>
      <c r="IB5" s="1545" t="s">
        <v>1203</v>
      </c>
      <c r="IC5" s="1356"/>
      <c r="ID5" s="1545" t="s">
        <v>1205</v>
      </c>
      <c r="IE5" s="2008"/>
      <c r="IF5" s="1545" t="s">
        <v>1203</v>
      </c>
      <c r="IG5" s="2008"/>
    </row>
    <row r="6" spans="1:14703" ht="21">
      <c r="A6" s="1139"/>
      <c r="B6" s="1145" t="e">
        <f>IF(#REF!="Yacht","* * * THIS IS A YACHT CLUB - PLEASE COMPLETE ADDITIONAL QUESTIONS AT END OF QUESTIONNAIRE (ROW270+) * * *","")</f>
        <v>#REF!</v>
      </c>
      <c r="C6" s="1139"/>
      <c r="D6" s="1139"/>
      <c r="E6" s="1144"/>
      <c r="F6" s="1698"/>
      <c r="G6" s="1356"/>
      <c r="H6" s="1698"/>
      <c r="I6" s="1356"/>
      <c r="J6" s="1698"/>
      <c r="K6" s="1356"/>
      <c r="L6" s="1698"/>
      <c r="M6" s="1356"/>
      <c r="N6" s="1698"/>
      <c r="O6" s="1356"/>
      <c r="P6" s="1698"/>
      <c r="Q6" s="1356"/>
      <c r="R6" s="1698"/>
      <c r="T6" s="1698"/>
      <c r="U6" s="1356"/>
      <c r="V6" s="1698"/>
      <c r="W6" s="1356"/>
      <c r="X6" s="1698"/>
      <c r="Y6" s="1356"/>
      <c r="Z6" s="1698"/>
      <c r="AA6" s="1356"/>
      <c r="AB6" s="1698"/>
      <c r="AC6" s="1356"/>
      <c r="AD6" s="1698"/>
      <c r="AE6" s="1356"/>
      <c r="AF6" s="1698"/>
      <c r="AG6" s="1356"/>
      <c r="AH6" s="1698"/>
      <c r="AI6" s="1356"/>
      <c r="AJ6" s="1698"/>
      <c r="AK6" s="1356"/>
      <c r="AL6" s="1698"/>
      <c r="AM6" s="1356"/>
      <c r="AN6" s="1698"/>
      <c r="AO6" s="1356"/>
      <c r="AP6" s="1698"/>
      <c r="AQ6" s="1356"/>
      <c r="AR6" s="1698"/>
      <c r="AS6" s="1356"/>
      <c r="AT6" s="1698"/>
      <c r="AU6" s="1356"/>
      <c r="AV6" s="1698"/>
      <c r="AW6" s="1356"/>
      <c r="AX6" s="1698"/>
      <c r="AY6" s="1356"/>
      <c r="AZ6" s="1698"/>
      <c r="BA6" s="1356"/>
      <c r="BB6" s="1698"/>
      <c r="BC6" s="1356"/>
      <c r="BD6" s="1698"/>
      <c r="BE6" s="1356"/>
      <c r="BF6" s="1698"/>
      <c r="BG6" s="1356"/>
      <c r="BH6" s="1698"/>
      <c r="BI6" s="1356"/>
      <c r="BJ6" s="1698"/>
      <c r="BK6" s="1356"/>
      <c r="BL6" s="1698"/>
      <c r="BM6" s="1356"/>
      <c r="BN6" s="1698"/>
      <c r="BO6" s="1356"/>
      <c r="BP6" s="1698"/>
      <c r="BQ6" s="1356"/>
      <c r="BR6" s="1698"/>
      <c r="BS6" s="1356"/>
      <c r="BT6" s="1698"/>
      <c r="BU6" s="1356"/>
      <c r="BV6" s="1698"/>
      <c r="BW6" s="1356"/>
      <c r="BX6" s="1698"/>
      <c r="BY6" s="1356"/>
      <c r="BZ6" s="1698"/>
      <c r="CA6" s="1356"/>
      <c r="CB6" s="1698"/>
      <c r="CC6" s="1356"/>
      <c r="CD6" s="1698"/>
      <c r="CE6" s="1356"/>
      <c r="CF6" s="1698"/>
      <c r="CG6" s="1356"/>
      <c r="CH6" s="1698"/>
      <c r="CI6" s="1356"/>
      <c r="CJ6" s="1698"/>
      <c r="CK6" s="1356"/>
      <c r="CL6" s="1698"/>
      <c r="CM6" s="1356"/>
      <c r="CN6" s="1698"/>
      <c r="CO6" s="1356"/>
      <c r="CP6" s="1698"/>
      <c r="CQ6" s="1356"/>
      <c r="CR6" s="1698"/>
      <c r="CS6" s="1356"/>
      <c r="CT6" s="1698"/>
      <c r="CU6" s="1356"/>
      <c r="CV6" s="1698"/>
      <c r="CW6" s="1356"/>
      <c r="CX6" s="1698"/>
      <c r="CY6" s="1356"/>
      <c r="CZ6" s="1698"/>
      <c r="DA6" s="1356"/>
      <c r="DB6" s="1698"/>
      <c r="DC6" s="1356"/>
      <c r="DD6" s="1698"/>
      <c r="DE6" s="1356"/>
      <c r="DF6" s="1698"/>
      <c r="DG6" s="1356"/>
      <c r="DH6" s="1698"/>
      <c r="DI6" s="1356"/>
      <c r="DJ6" s="1698"/>
      <c r="DK6" s="1356"/>
      <c r="DL6" s="1698"/>
      <c r="DM6" s="1356"/>
      <c r="DN6" s="1698"/>
      <c r="DO6" s="1356"/>
      <c r="DP6" s="1698"/>
      <c r="DQ6" s="1356"/>
      <c r="DR6" s="1698"/>
      <c r="DS6" s="1356"/>
      <c r="DT6" s="1698"/>
      <c r="DU6" s="1356"/>
      <c r="DV6" s="1698"/>
      <c r="DW6" s="1356"/>
      <c r="DX6" s="1698"/>
      <c r="DY6" s="1356"/>
      <c r="DZ6" s="1698"/>
      <c r="EA6" s="1356"/>
      <c r="EB6" s="1698"/>
      <c r="EC6" s="1356"/>
      <c r="ED6" s="1698"/>
      <c r="EE6" s="1356"/>
      <c r="EF6" s="1698"/>
      <c r="EG6" s="1356"/>
      <c r="EH6" s="1698"/>
      <c r="EI6" s="1356"/>
      <c r="EJ6" s="1698"/>
      <c r="EK6" s="1356"/>
      <c r="EL6" s="1698"/>
      <c r="EM6" s="1356"/>
      <c r="EN6" s="1698"/>
      <c r="EO6" s="1356"/>
      <c r="EP6" s="1698"/>
      <c r="EQ6" s="1356"/>
      <c r="ER6" s="1698"/>
      <c r="ES6" s="1356"/>
      <c r="ET6" s="1698"/>
      <c r="EU6" s="1356"/>
      <c r="EV6" s="1698"/>
      <c r="EW6" s="1356"/>
      <c r="EX6" s="1698"/>
      <c r="EY6" s="1356"/>
      <c r="EZ6" s="1698"/>
      <c r="FA6" s="1356"/>
      <c r="FB6" s="1698"/>
      <c r="FC6" s="1356"/>
      <c r="FD6" s="1698"/>
      <c r="FE6" s="1356"/>
      <c r="FF6" s="1698"/>
      <c r="FG6" s="1356"/>
      <c r="FH6" s="1698"/>
      <c r="FI6" s="1356"/>
      <c r="FJ6" s="1698"/>
      <c r="FK6" s="1356"/>
      <c r="FL6" s="1698"/>
      <c r="FM6" s="1356"/>
      <c r="FN6" s="1698"/>
      <c r="FO6" s="1356"/>
      <c r="FP6" s="1698"/>
      <c r="FQ6" s="1356"/>
      <c r="FR6" s="1698"/>
      <c r="FS6" s="1356"/>
      <c r="FT6" s="1698"/>
      <c r="FU6" s="1356"/>
      <c r="FV6" s="1698"/>
      <c r="FW6" s="1356"/>
      <c r="FX6" s="1698"/>
      <c r="FY6" s="1356"/>
      <c r="FZ6" s="1698"/>
      <c r="GA6" s="1356"/>
      <c r="GB6" s="1698"/>
      <c r="GC6" s="1356"/>
      <c r="GD6" s="1698"/>
      <c r="GE6" s="1356"/>
      <c r="GF6" s="1698"/>
      <c r="GG6" s="1356"/>
      <c r="GH6" s="1698"/>
      <c r="GI6" s="1356"/>
      <c r="GJ6" s="1698"/>
      <c r="GK6" s="1356"/>
      <c r="GL6" s="1698"/>
      <c r="GM6" s="1356"/>
      <c r="GN6" s="1698"/>
      <c r="GO6" s="1356"/>
      <c r="GP6" s="1698"/>
      <c r="GQ6" s="1356"/>
      <c r="GR6" s="1698"/>
      <c r="GS6" s="1356"/>
      <c r="GT6" s="1698"/>
      <c r="GU6" s="1356"/>
      <c r="GV6" s="1698"/>
      <c r="GW6" s="1356"/>
      <c r="GX6" s="1698"/>
      <c r="GY6" s="1356"/>
      <c r="GZ6" s="1698"/>
      <c r="HA6" s="1356"/>
      <c r="HB6" s="1698"/>
      <c r="HC6" s="1356"/>
      <c r="HD6" s="1698"/>
      <c r="HE6" s="1356"/>
      <c r="HF6" s="2009"/>
      <c r="HG6" s="2008"/>
      <c r="HH6" s="1698"/>
      <c r="HI6" s="1356"/>
      <c r="HJ6" s="1698"/>
      <c r="HK6" s="1356"/>
      <c r="HL6" s="1698"/>
      <c r="HM6" s="1356"/>
      <c r="HN6" s="1698"/>
      <c r="HO6" s="1356"/>
      <c r="HP6" s="2009"/>
      <c r="HQ6" s="2008"/>
      <c r="HR6" s="1698"/>
      <c r="HS6" s="1356"/>
      <c r="HT6" s="2009"/>
      <c r="HU6" s="2008"/>
      <c r="HV6" s="2009"/>
      <c r="HW6" s="2008"/>
      <c r="HX6" s="2009"/>
      <c r="HY6" s="2008"/>
      <c r="HZ6" s="2009"/>
      <c r="IA6" s="2008"/>
      <c r="IB6" s="1698"/>
      <c r="IC6" s="1356"/>
      <c r="ID6" s="2009"/>
      <c r="IE6" s="2008"/>
      <c r="IF6" s="2009"/>
      <c r="IG6" s="2008"/>
    </row>
    <row r="7" spans="1:14703" s="1004" customFormat="1" ht="16.2" thickBot="1">
      <c r="A7" s="1146"/>
      <c r="B7" s="1139" t="s">
        <v>47</v>
      </c>
      <c r="C7" s="1139"/>
      <c r="D7" s="1139"/>
      <c r="E7" s="1144"/>
      <c r="F7" s="1546">
        <v>44742</v>
      </c>
      <c r="G7" s="1356"/>
      <c r="H7" s="1546">
        <v>44773</v>
      </c>
      <c r="I7" s="1356"/>
      <c r="J7" s="1546">
        <v>44742</v>
      </c>
      <c r="K7" s="1356"/>
      <c r="L7" s="1546">
        <v>44834</v>
      </c>
      <c r="M7" s="1356"/>
      <c r="N7" s="1546">
        <v>44651</v>
      </c>
      <c r="O7" s="1356"/>
      <c r="P7" s="1546">
        <v>44742</v>
      </c>
      <c r="Q7" s="1356"/>
      <c r="R7" s="1546">
        <v>44773</v>
      </c>
      <c r="S7" s="1356"/>
      <c r="T7" s="1546">
        <v>44681</v>
      </c>
      <c r="U7" s="1356"/>
      <c r="V7" s="1546">
        <v>44834</v>
      </c>
      <c r="W7" s="1356"/>
      <c r="X7" s="1546">
        <v>44742</v>
      </c>
      <c r="Y7" s="1356"/>
      <c r="Z7" s="1546">
        <v>44834</v>
      </c>
      <c r="AA7" s="1356"/>
      <c r="AB7" s="1546">
        <v>44834</v>
      </c>
      <c r="AC7" s="1356"/>
      <c r="AD7" s="1546">
        <v>44681</v>
      </c>
      <c r="AE7" s="1356"/>
      <c r="AF7" s="1546">
        <v>44742</v>
      </c>
      <c r="AG7" s="1356"/>
      <c r="AH7" s="1546">
        <v>44712</v>
      </c>
      <c r="AI7" s="1356"/>
      <c r="AJ7" s="1546">
        <v>44681</v>
      </c>
      <c r="AK7" s="1356"/>
      <c r="AL7" s="1546">
        <v>44681</v>
      </c>
      <c r="AM7" s="1356"/>
      <c r="AN7" s="1546">
        <v>44712</v>
      </c>
      <c r="AO7" s="1356"/>
      <c r="AP7" s="1546">
        <v>44834</v>
      </c>
      <c r="AQ7" s="1356"/>
      <c r="AR7" s="1546">
        <v>44742</v>
      </c>
      <c r="AS7" s="1356"/>
      <c r="AT7" s="1546">
        <v>44651</v>
      </c>
      <c r="AU7" s="1356"/>
      <c r="AV7" s="1546">
        <v>44834</v>
      </c>
      <c r="AW7" s="1356"/>
      <c r="AX7" s="1546">
        <v>44681</v>
      </c>
      <c r="AY7" s="1356"/>
      <c r="AZ7" s="1546">
        <v>44681</v>
      </c>
      <c r="BA7" s="1356"/>
      <c r="BB7" s="1546">
        <v>44742</v>
      </c>
      <c r="BC7" s="1356"/>
      <c r="BD7" s="1546">
        <v>44834</v>
      </c>
      <c r="BE7" s="1356"/>
      <c r="BF7" s="1546">
        <v>44742</v>
      </c>
      <c r="BG7" s="1356"/>
      <c r="BH7" s="1546">
        <v>44651</v>
      </c>
      <c r="BI7" s="1356"/>
      <c r="BJ7" s="1546">
        <v>44804</v>
      </c>
      <c r="BK7" s="1356"/>
      <c r="BL7" s="1546">
        <v>44834</v>
      </c>
      <c r="BM7" s="1356"/>
      <c r="BN7" s="1546">
        <v>44742</v>
      </c>
      <c r="BO7" s="1356"/>
      <c r="BP7" s="1546">
        <v>44834</v>
      </c>
      <c r="BQ7" s="1356"/>
      <c r="BR7" s="1546">
        <v>44712</v>
      </c>
      <c r="BS7" s="1356"/>
      <c r="BT7" s="1546">
        <v>44681</v>
      </c>
      <c r="BU7" s="1356"/>
      <c r="BV7" s="1546">
        <v>44712</v>
      </c>
      <c r="BW7" s="1356"/>
      <c r="BX7" s="1546">
        <v>44712</v>
      </c>
      <c r="BY7" s="1356"/>
      <c r="BZ7" s="1546">
        <v>44834</v>
      </c>
      <c r="CA7" s="1356"/>
      <c r="CB7" s="1546">
        <v>44804</v>
      </c>
      <c r="CC7" s="1356"/>
      <c r="CD7" s="1546">
        <v>44834</v>
      </c>
      <c r="CE7" s="1356"/>
      <c r="CF7" s="1546">
        <v>44865</v>
      </c>
      <c r="CG7" s="1356"/>
      <c r="CH7" s="1546">
        <v>44865</v>
      </c>
      <c r="CI7" s="1356"/>
      <c r="CJ7" s="1546">
        <v>44834</v>
      </c>
      <c r="CK7" s="1356"/>
      <c r="CL7" s="1546">
        <v>44834</v>
      </c>
      <c r="CM7" s="1356"/>
      <c r="CN7" s="1546">
        <v>44834</v>
      </c>
      <c r="CO7" s="1356"/>
      <c r="CP7" s="1546">
        <v>44834</v>
      </c>
      <c r="CQ7" s="1356"/>
      <c r="CR7" s="1546">
        <v>44834</v>
      </c>
      <c r="CS7" s="1356"/>
      <c r="CT7" s="1546">
        <v>44865</v>
      </c>
      <c r="CU7" s="1356"/>
      <c r="CV7" s="1546">
        <v>44834</v>
      </c>
      <c r="CW7" s="1356"/>
      <c r="CX7" s="1546">
        <v>44834</v>
      </c>
      <c r="CY7" s="1356"/>
      <c r="CZ7" s="1546">
        <v>44712</v>
      </c>
      <c r="DA7" s="1356"/>
      <c r="DB7" s="1546">
        <v>44834</v>
      </c>
      <c r="DC7" s="1356"/>
      <c r="DD7" s="1546">
        <v>44742</v>
      </c>
      <c r="DE7" s="1356"/>
      <c r="DF7" s="1546">
        <v>44834</v>
      </c>
      <c r="DG7" s="1356"/>
      <c r="DH7" s="1546">
        <v>44742</v>
      </c>
      <c r="DI7" s="1356"/>
      <c r="DJ7" s="1546">
        <v>44865</v>
      </c>
      <c r="DK7" s="1356"/>
      <c r="DL7" s="1546">
        <v>44804</v>
      </c>
      <c r="DM7" s="1356"/>
      <c r="DN7" s="1546">
        <v>44834</v>
      </c>
      <c r="DO7" s="1356"/>
      <c r="DP7" s="1546">
        <v>44865</v>
      </c>
      <c r="DQ7" s="1356"/>
      <c r="DR7" s="1546">
        <v>44865</v>
      </c>
      <c r="DS7" s="1356"/>
      <c r="DT7" s="1546">
        <v>44834</v>
      </c>
      <c r="DU7" s="1356"/>
      <c r="DV7" s="1546">
        <v>44865</v>
      </c>
      <c r="DW7" s="1356"/>
      <c r="DX7" s="1546">
        <v>44865</v>
      </c>
      <c r="DY7" s="1356"/>
      <c r="DZ7" s="1546">
        <v>44865</v>
      </c>
      <c r="EA7" s="1356"/>
      <c r="EB7" s="1546">
        <v>44865</v>
      </c>
      <c r="EC7" s="1356"/>
      <c r="ED7" s="1546">
        <v>44834</v>
      </c>
      <c r="EE7" s="1356"/>
      <c r="EF7" s="1546">
        <v>44865</v>
      </c>
      <c r="EG7" s="1356"/>
      <c r="EH7" s="1546">
        <v>44865</v>
      </c>
      <c r="EI7" s="1356"/>
      <c r="EJ7" s="1546">
        <v>44895</v>
      </c>
      <c r="EK7" s="1356"/>
      <c r="EL7" s="1546">
        <v>44926</v>
      </c>
      <c r="EM7" s="1356"/>
      <c r="EN7" s="1546">
        <v>44926</v>
      </c>
      <c r="EO7" s="1356"/>
      <c r="EP7" s="1546">
        <v>44895</v>
      </c>
      <c r="EQ7" s="1356"/>
      <c r="ER7" s="1546">
        <v>44926</v>
      </c>
      <c r="ES7" s="1356"/>
      <c r="ET7" s="1546">
        <v>44926</v>
      </c>
      <c r="EU7" s="1356"/>
      <c r="EV7" s="1546">
        <v>44926</v>
      </c>
      <c r="EW7" s="1356"/>
      <c r="EX7" s="1546">
        <v>44926</v>
      </c>
      <c r="EY7" s="1356"/>
      <c r="EZ7" s="1546">
        <v>44926</v>
      </c>
      <c r="FA7" s="1356"/>
      <c r="FB7" s="1546">
        <v>44926</v>
      </c>
      <c r="FC7" s="1356"/>
      <c r="FD7" s="1546">
        <v>44926</v>
      </c>
      <c r="FE7" s="1356"/>
      <c r="FF7" s="1546">
        <v>44926</v>
      </c>
      <c r="FG7" s="1356"/>
      <c r="FH7" s="1546">
        <v>44926</v>
      </c>
      <c r="FI7" s="1356"/>
      <c r="FJ7" s="1546">
        <v>44834</v>
      </c>
      <c r="FK7" s="1356"/>
      <c r="FL7" s="1546">
        <v>44865</v>
      </c>
      <c r="FM7" s="1356"/>
      <c r="FN7" s="1546">
        <v>44926</v>
      </c>
      <c r="FO7" s="1356"/>
      <c r="FP7" s="1546">
        <v>44926</v>
      </c>
      <c r="FQ7" s="1356"/>
      <c r="FR7" s="1546">
        <v>44926</v>
      </c>
      <c r="FS7" s="1356"/>
      <c r="FT7" s="1546">
        <v>44926</v>
      </c>
      <c r="FU7" s="1356"/>
      <c r="FV7" s="1546">
        <v>44865</v>
      </c>
      <c r="FW7" s="1356"/>
      <c r="FX7" s="1546">
        <v>44834</v>
      </c>
      <c r="FY7" s="1356"/>
      <c r="FZ7" s="1546">
        <v>44834</v>
      </c>
      <c r="GA7" s="1356"/>
      <c r="GB7" s="1546">
        <v>44926</v>
      </c>
      <c r="GC7" s="1356"/>
      <c r="GD7" s="1546">
        <v>44865</v>
      </c>
      <c r="GE7" s="1356"/>
      <c r="GF7" s="1546">
        <v>44926</v>
      </c>
      <c r="GG7" s="1356"/>
      <c r="GH7" s="1546">
        <v>44834</v>
      </c>
      <c r="GI7" s="1356"/>
      <c r="GJ7" s="1546">
        <v>44926</v>
      </c>
      <c r="GK7" s="1356"/>
      <c r="GL7" s="1546">
        <v>44926</v>
      </c>
      <c r="GM7" s="1356"/>
      <c r="GN7" s="1546">
        <v>44865</v>
      </c>
      <c r="GO7" s="1356"/>
      <c r="GP7" s="1546">
        <v>44926</v>
      </c>
      <c r="GQ7" s="1356"/>
      <c r="GR7" s="1546">
        <v>44926</v>
      </c>
      <c r="GS7" s="1356"/>
      <c r="GT7" s="1546">
        <v>44926</v>
      </c>
      <c r="GU7" s="1356"/>
      <c r="GV7" s="1546">
        <v>44926</v>
      </c>
      <c r="GW7" s="1356"/>
      <c r="GX7" s="1546">
        <v>44926</v>
      </c>
      <c r="GY7" s="1356"/>
      <c r="GZ7" s="1546">
        <v>44926</v>
      </c>
      <c r="HA7" s="1356"/>
      <c r="HB7" s="1546">
        <v>44865</v>
      </c>
      <c r="HC7" s="1356"/>
      <c r="HD7" s="1546">
        <v>44742</v>
      </c>
      <c r="HE7" s="1356"/>
      <c r="HF7" s="1546">
        <v>44926</v>
      </c>
      <c r="HG7" s="2010"/>
      <c r="HH7" s="1546">
        <v>44926</v>
      </c>
      <c r="HI7" s="1356"/>
      <c r="HJ7" s="1546">
        <v>44834</v>
      </c>
      <c r="HK7" s="1356"/>
      <c r="HL7" s="1546">
        <v>44926</v>
      </c>
      <c r="HM7" s="1356"/>
      <c r="HN7" s="1546">
        <v>44926</v>
      </c>
      <c r="HO7" s="1356"/>
      <c r="HP7" s="1546">
        <v>44865</v>
      </c>
      <c r="HQ7" s="2010"/>
      <c r="HR7" s="1546">
        <v>44926</v>
      </c>
      <c r="HS7" s="1356"/>
      <c r="HT7" s="1546">
        <v>44926</v>
      </c>
      <c r="HU7" s="2010"/>
      <c r="HV7" s="1546">
        <v>44926</v>
      </c>
      <c r="HW7" s="2010"/>
      <c r="HX7" s="1546">
        <v>44926</v>
      </c>
      <c r="HY7" s="2010"/>
      <c r="HZ7" s="1546">
        <v>44926</v>
      </c>
      <c r="IA7" s="2010"/>
      <c r="IB7" s="1546">
        <v>44926</v>
      </c>
      <c r="IC7" s="1356"/>
      <c r="ID7" s="1546">
        <v>44926</v>
      </c>
      <c r="IE7" s="2010"/>
      <c r="IF7" s="1546">
        <v>44926</v>
      </c>
      <c r="IG7" s="2010"/>
    </row>
    <row r="8" spans="1:14703" ht="21.6" thickBot="1">
      <c r="A8" s="1139"/>
      <c r="B8" s="1147" t="s">
        <v>1</v>
      </c>
      <c r="C8" s="1148"/>
      <c r="D8" s="1148"/>
      <c r="E8" s="1148"/>
      <c r="F8" s="1932"/>
      <c r="G8" s="1356"/>
      <c r="H8" s="1423"/>
      <c r="I8" s="1356"/>
      <c r="J8" s="1423"/>
      <c r="K8" s="1356"/>
      <c r="L8" s="1423"/>
      <c r="M8" s="1356"/>
      <c r="N8" s="1423"/>
      <c r="O8" s="1356"/>
      <c r="P8" s="1423"/>
      <c r="Q8" s="1356"/>
      <c r="R8" s="1423"/>
      <c r="T8" s="1423"/>
      <c r="U8" s="1356"/>
      <c r="V8" s="1423"/>
      <c r="W8" s="1356"/>
      <c r="X8" s="1423"/>
      <c r="Y8" s="1356"/>
      <c r="Z8" s="1423"/>
      <c r="AA8" s="1356"/>
      <c r="AB8" s="1423"/>
      <c r="AC8" s="1356"/>
      <c r="AD8" s="1423"/>
      <c r="AE8" s="1356"/>
      <c r="AF8" s="1423"/>
      <c r="AG8" s="1356"/>
      <c r="AH8" s="1423"/>
      <c r="AI8" s="1356"/>
      <c r="AJ8" s="1423"/>
      <c r="AK8" s="1356"/>
      <c r="AL8" s="1423"/>
      <c r="AM8" s="1356"/>
      <c r="AN8" s="1423"/>
      <c r="AO8" s="1356"/>
      <c r="AP8" s="1423"/>
      <c r="AQ8" s="1356"/>
      <c r="AR8" s="1423"/>
      <c r="AS8" s="1356"/>
      <c r="AT8" s="1423"/>
      <c r="AU8" s="1356"/>
      <c r="AV8" s="1423"/>
      <c r="AW8" s="1356"/>
      <c r="AX8" s="1423"/>
      <c r="AY8" s="1356"/>
      <c r="AZ8" s="1423"/>
      <c r="BA8" s="1356"/>
      <c r="BB8" s="1423"/>
      <c r="BC8" s="1356"/>
      <c r="BD8" s="1423"/>
      <c r="BE8" s="1356"/>
      <c r="BF8" s="1423"/>
      <c r="BG8" s="1356"/>
      <c r="BH8" s="1423"/>
      <c r="BI8" s="1356"/>
      <c r="BJ8" s="1423"/>
      <c r="BK8" s="1356"/>
      <c r="BL8" s="1423"/>
      <c r="BM8" s="1356"/>
      <c r="BN8" s="1423"/>
      <c r="BO8" s="1356"/>
      <c r="BP8" s="1423"/>
      <c r="BQ8" s="1356"/>
      <c r="BR8" s="1423"/>
      <c r="BS8" s="1356"/>
      <c r="BT8" s="1423"/>
      <c r="BU8" s="1356"/>
      <c r="BV8" s="1423"/>
      <c r="BW8" s="1356"/>
      <c r="BX8" s="1423"/>
      <c r="BY8" s="1356"/>
      <c r="BZ8" s="1423"/>
      <c r="CA8" s="1356"/>
      <c r="CB8" s="1423"/>
      <c r="CC8" s="1356"/>
      <c r="CD8" s="1423"/>
      <c r="CE8" s="1356"/>
      <c r="CF8" s="1423"/>
      <c r="CG8" s="1356"/>
      <c r="CH8" s="1423"/>
      <c r="CI8" s="1356"/>
      <c r="CJ8" s="1423"/>
      <c r="CK8" s="1356"/>
      <c r="CL8" s="1423"/>
      <c r="CM8" s="1356"/>
      <c r="CN8" s="1423"/>
      <c r="CO8" s="1356"/>
      <c r="CP8" s="1423"/>
      <c r="CQ8" s="1356"/>
      <c r="CR8" s="1423"/>
      <c r="CS8" s="1356"/>
      <c r="CT8" s="1423"/>
      <c r="CU8" s="1356"/>
      <c r="CV8" s="1423"/>
      <c r="CW8" s="1356"/>
      <c r="CX8" s="1423"/>
      <c r="CY8" s="1356"/>
      <c r="CZ8" s="1423"/>
      <c r="DA8" s="1356"/>
      <c r="DB8" s="1423"/>
      <c r="DC8" s="1356"/>
      <c r="DD8" s="1423"/>
      <c r="DE8" s="1356"/>
      <c r="DF8" s="1423"/>
      <c r="DG8" s="1356"/>
      <c r="DH8" s="1423"/>
      <c r="DI8" s="1356"/>
      <c r="DJ8" s="1423"/>
      <c r="DK8" s="1356"/>
      <c r="DL8" s="1423"/>
      <c r="DM8" s="1356"/>
      <c r="DN8" s="1423"/>
      <c r="DO8" s="1356"/>
      <c r="DP8" s="1423"/>
      <c r="DQ8" s="1356"/>
      <c r="DR8" s="1423"/>
      <c r="DS8" s="1356"/>
      <c r="DT8" s="1423"/>
      <c r="DU8" s="1356"/>
      <c r="DV8" s="1423"/>
      <c r="DW8" s="1356"/>
      <c r="DX8" s="1423"/>
      <c r="DY8" s="1356"/>
      <c r="DZ8" s="1423"/>
      <c r="EA8" s="1356"/>
      <c r="EB8" s="1423"/>
      <c r="EC8" s="1356"/>
      <c r="ED8" s="1423"/>
      <c r="EE8" s="1356"/>
      <c r="EF8" s="1423"/>
      <c r="EG8" s="1356"/>
      <c r="EH8" s="1423"/>
      <c r="EI8" s="1356"/>
      <c r="EJ8" s="1423"/>
      <c r="EK8" s="1356"/>
      <c r="EL8" s="1423"/>
      <c r="EM8" s="1356"/>
      <c r="EN8" s="1423"/>
      <c r="EO8" s="1356"/>
      <c r="EP8" s="1423"/>
      <c r="EQ8" s="1356"/>
      <c r="ER8" s="1423"/>
      <c r="ES8" s="1356"/>
      <c r="ET8" s="1423"/>
      <c r="EU8" s="1356"/>
      <c r="EV8" s="1423"/>
      <c r="EW8" s="1356"/>
      <c r="EX8" s="1423"/>
      <c r="EY8" s="1356"/>
      <c r="EZ8" s="1423"/>
      <c r="FA8" s="1356"/>
      <c r="FB8" s="1423"/>
      <c r="FC8" s="1356"/>
      <c r="FD8" s="1423"/>
      <c r="FE8" s="1356"/>
      <c r="FF8" s="1423"/>
      <c r="FG8" s="1356"/>
      <c r="FH8" s="1423"/>
      <c r="FI8" s="1356"/>
      <c r="FJ8" s="1423"/>
      <c r="FK8" s="1356"/>
      <c r="FL8" s="1423"/>
      <c r="FM8" s="1356"/>
      <c r="FN8" s="1423"/>
      <c r="FO8" s="1356"/>
      <c r="FP8" s="1423"/>
      <c r="FQ8" s="1356"/>
      <c r="FR8" s="1423"/>
      <c r="FS8" s="1356"/>
      <c r="FT8" s="1423"/>
      <c r="FU8" s="1356"/>
      <c r="FV8" s="1423"/>
      <c r="FW8" s="1356"/>
      <c r="FX8" s="1423"/>
      <c r="FY8" s="1356"/>
      <c r="FZ8" s="1423"/>
      <c r="GA8" s="1356"/>
      <c r="GB8" s="1423"/>
      <c r="GC8" s="1356"/>
      <c r="GD8" s="1423"/>
      <c r="GE8" s="1356"/>
      <c r="GF8" s="1423"/>
      <c r="GG8" s="1356"/>
      <c r="GH8" s="1423"/>
      <c r="GI8" s="1356"/>
      <c r="GJ8" s="1423"/>
      <c r="GK8" s="1356"/>
      <c r="GL8" s="1423"/>
      <c r="GM8" s="1356"/>
      <c r="GN8" s="1423"/>
      <c r="GO8" s="1356"/>
      <c r="GP8" s="1423"/>
      <c r="GQ8" s="1356"/>
      <c r="GR8" s="1423"/>
      <c r="GS8" s="1356"/>
      <c r="GT8" s="1423"/>
      <c r="GU8" s="1356"/>
      <c r="GV8" s="1423"/>
      <c r="GW8" s="1356"/>
      <c r="GX8" s="1423"/>
      <c r="GY8" s="1356"/>
      <c r="GZ8" s="1423"/>
      <c r="HA8" s="1356"/>
      <c r="HB8" s="1423"/>
      <c r="HC8" s="1356"/>
      <c r="HD8" s="1423"/>
      <c r="HE8" s="1356"/>
      <c r="HF8" s="2074"/>
      <c r="HH8" s="1423"/>
      <c r="HI8" s="1356"/>
      <c r="HJ8" s="1423"/>
      <c r="HK8" s="1356"/>
      <c r="HL8" s="1423"/>
      <c r="HM8" s="1356"/>
      <c r="HN8" s="1423"/>
      <c r="HO8" s="1356"/>
      <c r="HP8" s="2077"/>
      <c r="HR8" s="1423"/>
      <c r="HS8" s="1356"/>
      <c r="HT8" s="1423"/>
      <c r="HV8" s="1423"/>
      <c r="HX8" s="1423"/>
      <c r="HZ8" s="1423"/>
      <c r="IB8" s="1423"/>
      <c r="IC8" s="1356"/>
      <c r="ID8" s="1423"/>
      <c r="IF8" s="1005"/>
    </row>
    <row r="9" spans="1:14703">
      <c r="A9" s="1139"/>
      <c r="B9" s="1139"/>
      <c r="C9" s="1139"/>
      <c r="D9" s="1139"/>
      <c r="E9" s="1144"/>
      <c r="F9" s="1699"/>
      <c r="G9" s="1356"/>
      <c r="H9" s="1699"/>
      <c r="I9" s="1356"/>
      <c r="J9" s="1699"/>
      <c r="K9" s="1356"/>
      <c r="L9" s="1699"/>
      <c r="M9" s="1356"/>
      <c r="N9" s="1699"/>
      <c r="O9" s="1356"/>
      <c r="P9" s="1699"/>
      <c r="Q9" s="1356"/>
      <c r="R9" s="1699"/>
      <c r="T9" s="1699"/>
      <c r="U9" s="1356"/>
      <c r="V9" s="1699"/>
      <c r="W9" s="1356"/>
      <c r="X9" s="1699"/>
      <c r="Y9" s="1356"/>
      <c r="Z9" s="1699"/>
      <c r="AA9" s="1356"/>
      <c r="AB9" s="1699"/>
      <c r="AC9" s="1356"/>
      <c r="AD9" s="1699"/>
      <c r="AE9" s="1356"/>
      <c r="AF9" s="1699"/>
      <c r="AG9" s="1356"/>
      <c r="AH9" s="1699"/>
      <c r="AI9" s="1356"/>
      <c r="AJ9" s="1699"/>
      <c r="AK9" s="1356"/>
      <c r="AL9" s="1699"/>
      <c r="AM9" s="1356"/>
      <c r="AN9" s="1699"/>
      <c r="AO9" s="1356"/>
      <c r="AP9" s="1699"/>
      <c r="AQ9" s="1356"/>
      <c r="AR9" s="1699"/>
      <c r="AS9" s="1356"/>
      <c r="AT9" s="1699"/>
      <c r="AU9" s="1356"/>
      <c r="AV9" s="1699"/>
      <c r="AW9" s="1356"/>
      <c r="AX9" s="1699"/>
      <c r="AY9" s="1356"/>
      <c r="AZ9" s="1699"/>
      <c r="BA9" s="1356"/>
      <c r="BB9" s="1699"/>
      <c r="BC9" s="1356"/>
      <c r="BD9" s="1699"/>
      <c r="BE9" s="1356"/>
      <c r="BF9" s="1699"/>
      <c r="BG9" s="1356"/>
      <c r="BH9" s="1699"/>
      <c r="BI9" s="1356"/>
      <c r="BJ9" s="1699"/>
      <c r="BK9" s="1356"/>
      <c r="BL9" s="1699"/>
      <c r="BM9" s="1356"/>
      <c r="BN9" s="1699"/>
      <c r="BO9" s="1356"/>
      <c r="BP9" s="1699"/>
      <c r="BQ9" s="1356"/>
      <c r="BR9" s="1699"/>
      <c r="BS9" s="1356"/>
      <c r="BT9" s="1699"/>
      <c r="BU9" s="1356"/>
      <c r="BV9" s="1699"/>
      <c r="BW9" s="1356"/>
      <c r="BX9" s="1699"/>
      <c r="BY9" s="1356"/>
      <c r="BZ9" s="1699"/>
      <c r="CA9" s="1356"/>
      <c r="CB9" s="1699"/>
      <c r="CC9" s="1356"/>
      <c r="CD9" s="1699"/>
      <c r="CE9" s="1356"/>
      <c r="CF9" s="1699"/>
      <c r="CG9" s="1356"/>
      <c r="CH9" s="1699"/>
      <c r="CI9" s="1356"/>
      <c r="CJ9" s="1699"/>
      <c r="CK9" s="1356"/>
      <c r="CL9" s="1699"/>
      <c r="CM9" s="1356"/>
      <c r="CN9" s="1699"/>
      <c r="CO9" s="1356"/>
      <c r="CP9" s="1699"/>
      <c r="CQ9" s="1356"/>
      <c r="CR9" s="1699"/>
      <c r="CS9" s="1356"/>
      <c r="CT9" s="1699"/>
      <c r="CU9" s="1356"/>
      <c r="CV9" s="1699"/>
      <c r="CW9" s="1356"/>
      <c r="CX9" s="1699"/>
      <c r="CY9" s="1356"/>
      <c r="CZ9" s="1699"/>
      <c r="DA9" s="1356"/>
      <c r="DB9" s="1699"/>
      <c r="DC9" s="1356"/>
      <c r="DD9" s="1699"/>
      <c r="DE9" s="1356"/>
      <c r="DF9" s="1699"/>
      <c r="DG9" s="1356"/>
      <c r="DH9" s="1699"/>
      <c r="DI9" s="1356"/>
      <c r="DJ9" s="1699"/>
      <c r="DK9" s="1356"/>
      <c r="DL9" s="1699"/>
      <c r="DM9" s="1356"/>
      <c r="DN9" s="1699"/>
      <c r="DO9" s="1356"/>
      <c r="DP9" s="1699"/>
      <c r="DQ9" s="1356"/>
      <c r="DR9" s="1699"/>
      <c r="DS9" s="1356"/>
      <c r="DT9" s="1699"/>
      <c r="DU9" s="1356"/>
      <c r="DV9" s="1699"/>
      <c r="DW9" s="1356"/>
      <c r="DX9" s="1699"/>
      <c r="DY9" s="1356"/>
      <c r="DZ9" s="1699"/>
      <c r="EA9" s="1356"/>
      <c r="EB9" s="1699"/>
      <c r="EC9" s="1356"/>
      <c r="ED9" s="1699"/>
      <c r="EE9" s="1356"/>
      <c r="EF9" s="1699"/>
      <c r="EG9" s="1356"/>
      <c r="EH9" s="1699"/>
      <c r="EI9" s="1356"/>
      <c r="EJ9" s="1699"/>
      <c r="EK9" s="1356"/>
      <c r="EL9" s="1699"/>
      <c r="EM9" s="1356"/>
      <c r="EN9" s="1699"/>
      <c r="EO9" s="1356"/>
      <c r="EP9" s="1699"/>
      <c r="EQ9" s="1356"/>
      <c r="ER9" s="1699"/>
      <c r="ES9" s="1356"/>
      <c r="ET9" s="1699"/>
      <c r="EU9" s="1356"/>
      <c r="EV9" s="1699"/>
      <c r="EW9" s="1356"/>
      <c r="EX9" s="1699"/>
      <c r="EY9" s="1356"/>
      <c r="EZ9" s="1699"/>
      <c r="FA9" s="1356"/>
      <c r="FB9" s="1699"/>
      <c r="FC9" s="1356"/>
      <c r="FD9" s="1699"/>
      <c r="FE9" s="1356"/>
      <c r="FF9" s="1699"/>
      <c r="FG9" s="1356"/>
      <c r="FH9" s="1699"/>
      <c r="FI9" s="1356"/>
      <c r="FJ9" s="1699"/>
      <c r="FK9" s="1356"/>
      <c r="FL9" s="1699"/>
      <c r="FM9" s="1356"/>
      <c r="FN9" s="1699"/>
      <c r="FO9" s="1356"/>
      <c r="FP9" s="1699"/>
      <c r="FQ9" s="1356"/>
      <c r="FR9" s="1699"/>
      <c r="FS9" s="1356"/>
      <c r="FT9" s="1699"/>
      <c r="FU9" s="1356"/>
      <c r="FV9" s="1699"/>
      <c r="FW9" s="1356"/>
      <c r="FX9" s="1699"/>
      <c r="FY9" s="1356"/>
      <c r="FZ9" s="1699"/>
      <c r="GA9" s="1356"/>
      <c r="GB9" s="1699"/>
      <c r="GC9" s="1356"/>
      <c r="GD9" s="1699"/>
      <c r="GE9" s="1356"/>
      <c r="GF9" s="1699"/>
      <c r="GG9" s="1356"/>
      <c r="GH9" s="1699"/>
      <c r="GI9" s="1356"/>
      <c r="GJ9" s="1699"/>
      <c r="GK9" s="1356"/>
      <c r="GL9" s="1699"/>
      <c r="GM9" s="1356"/>
      <c r="GN9" s="1699"/>
      <c r="GO9" s="1356"/>
      <c r="GP9" s="1699"/>
      <c r="GQ9" s="1356"/>
      <c r="GR9" s="1699"/>
      <c r="GS9" s="1356"/>
      <c r="GT9" s="1699"/>
      <c r="GU9" s="1356"/>
      <c r="GV9" s="1699"/>
      <c r="GW9" s="1356"/>
      <c r="GX9" s="1699"/>
      <c r="GY9" s="1356"/>
      <c r="GZ9" s="1699"/>
      <c r="HA9" s="1356"/>
      <c r="HB9" s="1699"/>
      <c r="HC9" s="1356"/>
      <c r="HD9" s="1699"/>
      <c r="HE9" s="1356"/>
      <c r="HF9" s="2011"/>
      <c r="HH9" s="1699"/>
      <c r="HI9" s="1356"/>
      <c r="HJ9" s="1699"/>
      <c r="HK9" s="1356"/>
      <c r="HL9" s="1699"/>
      <c r="HM9" s="1356"/>
      <c r="HN9" s="1699"/>
      <c r="HO9" s="1356"/>
      <c r="HP9" s="2011"/>
      <c r="HR9" s="1699"/>
      <c r="HS9" s="1356"/>
      <c r="HT9" s="2011"/>
      <c r="HV9" s="2011"/>
      <c r="HX9" s="2011"/>
      <c r="HZ9" s="2011"/>
      <c r="IB9" s="1699"/>
      <c r="IC9" s="1356"/>
      <c r="ID9" s="2011"/>
      <c r="IF9" s="2011"/>
    </row>
    <row r="10" spans="1:14703">
      <c r="A10" s="1139"/>
      <c r="B10" s="1139" t="s">
        <v>80</v>
      </c>
      <c r="C10" s="1139"/>
      <c r="D10" s="1139"/>
      <c r="E10" s="1144"/>
      <c r="F10" s="1537">
        <v>1</v>
      </c>
      <c r="G10" s="1356"/>
      <c r="H10" s="1537">
        <v>1</v>
      </c>
      <c r="I10" s="1356"/>
      <c r="J10" s="1537">
        <v>1</v>
      </c>
      <c r="K10" s="1356"/>
      <c r="L10" s="1537">
        <v>1</v>
      </c>
      <c r="M10" s="1356"/>
      <c r="N10" s="1537">
        <v>0</v>
      </c>
      <c r="O10" s="1356"/>
      <c r="P10" s="1537">
        <v>1</v>
      </c>
      <c r="Q10" s="1356"/>
      <c r="R10" s="1537">
        <v>1</v>
      </c>
      <c r="T10" s="1537">
        <v>1</v>
      </c>
      <c r="U10" s="1356"/>
      <c r="V10" s="1537">
        <v>0</v>
      </c>
      <c r="W10" s="1356"/>
      <c r="X10" s="1537">
        <v>1</v>
      </c>
      <c r="Y10" s="1356"/>
      <c r="Z10" s="1537">
        <v>0</v>
      </c>
      <c r="AA10" s="1356"/>
      <c r="AB10" s="1537">
        <v>0</v>
      </c>
      <c r="AC10" s="1356"/>
      <c r="AD10" s="1537">
        <v>0</v>
      </c>
      <c r="AE10" s="1356"/>
      <c r="AF10" s="1537">
        <v>1</v>
      </c>
      <c r="AG10" s="1356"/>
      <c r="AH10" s="1537">
        <v>1</v>
      </c>
      <c r="AI10" s="1356"/>
      <c r="AJ10" s="1537">
        <v>1</v>
      </c>
      <c r="AK10" s="1356"/>
      <c r="AL10" s="1537">
        <v>1</v>
      </c>
      <c r="AM10" s="1356"/>
      <c r="AN10" s="1537">
        <v>1</v>
      </c>
      <c r="AO10" s="1356"/>
      <c r="AP10" s="1537">
        <v>1</v>
      </c>
      <c r="AQ10" s="1356"/>
      <c r="AR10" s="1537">
        <v>1</v>
      </c>
      <c r="AS10" s="1356"/>
      <c r="AT10" s="1537">
        <v>1</v>
      </c>
      <c r="AU10" s="1356"/>
      <c r="AV10" s="1537">
        <v>1</v>
      </c>
      <c r="AW10" s="1356"/>
      <c r="AX10" s="1537">
        <v>1</v>
      </c>
      <c r="AY10" s="1356"/>
      <c r="AZ10" s="1537">
        <v>0</v>
      </c>
      <c r="BA10" s="1356"/>
      <c r="BB10" s="1537">
        <v>0</v>
      </c>
      <c r="BC10" s="1356"/>
      <c r="BD10" s="1537">
        <v>1</v>
      </c>
      <c r="BE10" s="1356"/>
      <c r="BF10" s="1537">
        <v>0</v>
      </c>
      <c r="BG10" s="1356"/>
      <c r="BH10" s="1537">
        <v>1</v>
      </c>
      <c r="BI10" s="1356"/>
      <c r="BJ10" s="1537">
        <v>1</v>
      </c>
      <c r="BK10" s="1356"/>
      <c r="BL10" s="1537">
        <v>1</v>
      </c>
      <c r="BM10" s="1356"/>
      <c r="BN10" s="1537">
        <v>1</v>
      </c>
      <c r="BO10" s="1356"/>
      <c r="BP10" s="1537">
        <v>1</v>
      </c>
      <c r="BQ10" s="1356"/>
      <c r="BR10" s="1537">
        <v>1</v>
      </c>
      <c r="BS10" s="1356"/>
      <c r="BT10" s="1537">
        <v>1</v>
      </c>
      <c r="BU10" s="1356"/>
      <c r="BV10" s="1537">
        <v>0</v>
      </c>
      <c r="BW10" s="1356"/>
      <c r="BX10" s="1537">
        <v>1</v>
      </c>
      <c r="BY10" s="1356"/>
      <c r="BZ10" s="1537">
        <v>0</v>
      </c>
      <c r="CA10" s="1356"/>
      <c r="CB10" s="1537">
        <v>1</v>
      </c>
      <c r="CC10" s="1356"/>
      <c r="CD10" s="1537">
        <v>1</v>
      </c>
      <c r="CE10" s="1356"/>
      <c r="CF10" s="1537">
        <v>1</v>
      </c>
      <c r="CG10" s="1356"/>
      <c r="CH10" s="1537">
        <v>1</v>
      </c>
      <c r="CI10" s="1356"/>
      <c r="CJ10" s="1537">
        <v>1</v>
      </c>
      <c r="CK10" s="1356"/>
      <c r="CL10" s="1537">
        <v>1</v>
      </c>
      <c r="CM10" s="1356"/>
      <c r="CN10" s="1537">
        <v>1</v>
      </c>
      <c r="CO10" s="1356"/>
      <c r="CP10" s="1537">
        <v>1</v>
      </c>
      <c r="CQ10" s="1356"/>
      <c r="CR10" s="1537">
        <v>1</v>
      </c>
      <c r="CS10" s="1356"/>
      <c r="CT10" s="1537">
        <v>1</v>
      </c>
      <c r="CU10" s="1356"/>
      <c r="CV10" s="1537">
        <v>1</v>
      </c>
      <c r="CW10" s="1356"/>
      <c r="CX10" s="1537">
        <v>0</v>
      </c>
      <c r="CY10" s="1356"/>
      <c r="CZ10" s="1537">
        <v>1</v>
      </c>
      <c r="DA10" s="1356"/>
      <c r="DB10" s="1537">
        <v>1</v>
      </c>
      <c r="DC10" s="1356"/>
      <c r="DD10" s="1537">
        <v>1</v>
      </c>
      <c r="DE10" s="1356"/>
      <c r="DF10" s="1537">
        <v>0</v>
      </c>
      <c r="DG10" s="1356"/>
      <c r="DH10" s="1537">
        <v>0</v>
      </c>
      <c r="DI10" s="1356"/>
      <c r="DJ10" s="1537">
        <v>1</v>
      </c>
      <c r="DK10" s="1356"/>
      <c r="DL10" s="1537">
        <v>1</v>
      </c>
      <c r="DM10" s="1356"/>
      <c r="DN10" s="1537">
        <v>1</v>
      </c>
      <c r="DO10" s="1356"/>
      <c r="DP10" s="1537">
        <v>1</v>
      </c>
      <c r="DQ10" s="1356"/>
      <c r="DR10" s="1537">
        <v>1</v>
      </c>
      <c r="DS10" s="1356"/>
      <c r="DT10" s="1537">
        <v>1</v>
      </c>
      <c r="DU10" s="1356"/>
      <c r="DV10" s="1537">
        <v>1</v>
      </c>
      <c r="DW10" s="1356"/>
      <c r="DX10" s="1537">
        <v>1</v>
      </c>
      <c r="DY10" s="1356"/>
      <c r="DZ10" s="1537">
        <v>0</v>
      </c>
      <c r="EA10" s="1356"/>
      <c r="EB10" s="1537">
        <v>1</v>
      </c>
      <c r="EC10" s="1356"/>
      <c r="ED10" s="1537">
        <v>1</v>
      </c>
      <c r="EE10" s="1356"/>
      <c r="EF10" s="1537">
        <v>1</v>
      </c>
      <c r="EG10" s="1356"/>
      <c r="EH10" s="1537">
        <v>1</v>
      </c>
      <c r="EI10" s="1356"/>
      <c r="EJ10" s="1537">
        <v>1</v>
      </c>
      <c r="EK10" s="1356"/>
      <c r="EL10" s="1537">
        <v>1</v>
      </c>
      <c r="EM10" s="1356"/>
      <c r="EN10" s="1537">
        <v>0</v>
      </c>
      <c r="EO10" s="1356"/>
      <c r="EP10" s="1537">
        <v>1</v>
      </c>
      <c r="EQ10" s="1356"/>
      <c r="ER10" s="1537">
        <v>0</v>
      </c>
      <c r="ES10" s="1356"/>
      <c r="ET10" s="1537">
        <v>1</v>
      </c>
      <c r="EU10" s="1356"/>
      <c r="EV10" s="1537">
        <v>0</v>
      </c>
      <c r="EW10" s="1356"/>
      <c r="EX10" s="1537">
        <v>0</v>
      </c>
      <c r="EY10" s="1356"/>
      <c r="EZ10" s="1537">
        <v>1</v>
      </c>
      <c r="FA10" s="1356"/>
      <c r="FB10" s="1537">
        <v>1</v>
      </c>
      <c r="FC10" s="1356"/>
      <c r="FD10" s="1537">
        <v>1</v>
      </c>
      <c r="FE10" s="1356"/>
      <c r="FF10" s="1537">
        <v>0</v>
      </c>
      <c r="FG10" s="1356"/>
      <c r="FH10" s="1537">
        <v>1</v>
      </c>
      <c r="FI10" s="1356"/>
      <c r="FJ10" s="1537">
        <v>1</v>
      </c>
      <c r="FK10" s="1356"/>
      <c r="FL10" s="1537">
        <v>0</v>
      </c>
      <c r="FM10" s="1356"/>
      <c r="FN10" s="1537">
        <v>1</v>
      </c>
      <c r="FO10" s="1356"/>
      <c r="FP10" s="1537">
        <v>0</v>
      </c>
      <c r="FQ10" s="1356"/>
      <c r="FR10" s="1537">
        <v>1</v>
      </c>
      <c r="FS10" s="1356"/>
      <c r="FT10" s="1537">
        <v>1</v>
      </c>
      <c r="FU10" s="1356"/>
      <c r="FV10" s="1537">
        <v>1</v>
      </c>
      <c r="FW10" s="1356"/>
      <c r="FX10" s="1537">
        <v>0</v>
      </c>
      <c r="FY10" s="1356"/>
      <c r="FZ10" s="1537">
        <v>1</v>
      </c>
      <c r="GA10" s="1356"/>
      <c r="GB10" s="1537">
        <v>1</v>
      </c>
      <c r="GC10" s="1356"/>
      <c r="GD10" s="1537">
        <v>1</v>
      </c>
      <c r="GE10" s="1356"/>
      <c r="GF10" s="1537">
        <v>1</v>
      </c>
      <c r="GG10" s="1356"/>
      <c r="GH10" s="1537">
        <v>0</v>
      </c>
      <c r="GI10" s="1356"/>
      <c r="GJ10" s="1537">
        <v>1</v>
      </c>
      <c r="GK10" s="1356"/>
      <c r="GL10" s="1537">
        <v>0</v>
      </c>
      <c r="GM10" s="1356"/>
      <c r="GN10" s="1537">
        <v>0</v>
      </c>
      <c r="GO10" s="1356"/>
      <c r="GP10" s="1537">
        <v>0</v>
      </c>
      <c r="GQ10" s="1356"/>
      <c r="GR10" s="1537">
        <v>0</v>
      </c>
      <c r="GS10" s="1356"/>
      <c r="GT10" s="1537">
        <v>0</v>
      </c>
      <c r="GU10" s="1356"/>
      <c r="GV10" s="1537">
        <v>0</v>
      </c>
      <c r="GW10" s="1356"/>
      <c r="GX10" s="1537">
        <v>0</v>
      </c>
      <c r="GY10" s="1356"/>
      <c r="GZ10" s="1537">
        <v>1</v>
      </c>
      <c r="HA10" s="1356"/>
      <c r="HB10" s="1537">
        <v>1</v>
      </c>
      <c r="HC10" s="1356"/>
      <c r="HD10" s="1537">
        <v>1</v>
      </c>
      <c r="HE10" s="1356"/>
      <c r="HF10" s="2012">
        <v>0</v>
      </c>
      <c r="HH10" s="1537">
        <v>1</v>
      </c>
      <c r="HI10" s="1356"/>
      <c r="HJ10" s="1537">
        <v>1</v>
      </c>
      <c r="HK10" s="1356"/>
      <c r="HL10" s="1537">
        <v>1</v>
      </c>
      <c r="HM10" s="1356"/>
      <c r="HN10" s="1537">
        <v>1</v>
      </c>
      <c r="HO10" s="1356"/>
      <c r="HP10" s="2012">
        <v>0</v>
      </c>
      <c r="HR10" s="1537">
        <v>1</v>
      </c>
      <c r="HS10" s="1356"/>
      <c r="HT10" s="2012">
        <v>0</v>
      </c>
      <c r="HV10" s="2012">
        <v>0</v>
      </c>
      <c r="HX10" s="2012">
        <v>1</v>
      </c>
      <c r="HZ10" s="2012">
        <v>1</v>
      </c>
      <c r="IB10" s="1537">
        <v>1</v>
      </c>
      <c r="IC10" s="1356"/>
      <c r="ID10" s="2012">
        <v>0</v>
      </c>
      <c r="IF10" s="2012">
        <v>1</v>
      </c>
    </row>
    <row r="11" spans="1:14703">
      <c r="A11" s="1139"/>
      <c r="B11" s="1139"/>
      <c r="C11" s="1139"/>
      <c r="D11" s="1139"/>
      <c r="E11" s="1144"/>
      <c r="F11" s="1699"/>
      <c r="G11" s="1356"/>
      <c r="H11" s="1699"/>
      <c r="I11" s="1356"/>
      <c r="J11" s="1699"/>
      <c r="K11" s="1356"/>
      <c r="L11" s="1699"/>
      <c r="M11" s="1356"/>
      <c r="N11" s="1699"/>
      <c r="O11" s="1356"/>
      <c r="P11" s="1699"/>
      <c r="Q11" s="1356"/>
      <c r="R11" s="1699"/>
      <c r="T11" s="1699"/>
      <c r="U11" s="1356"/>
      <c r="V11" s="1699"/>
      <c r="W11" s="1356"/>
      <c r="X11" s="1699"/>
      <c r="Y11" s="1356"/>
      <c r="Z11" s="1699"/>
      <c r="AA11" s="1356"/>
      <c r="AB11" s="1699"/>
      <c r="AC11" s="1356"/>
      <c r="AD11" s="1699"/>
      <c r="AE11" s="1356"/>
      <c r="AF11" s="1699"/>
      <c r="AG11" s="1356"/>
      <c r="AH11" s="1699"/>
      <c r="AI11" s="1356"/>
      <c r="AJ11" s="1699"/>
      <c r="AK11" s="1356"/>
      <c r="AL11" s="1699"/>
      <c r="AM11" s="1356"/>
      <c r="AN11" s="1699"/>
      <c r="AO11" s="1356"/>
      <c r="AP11" s="1699"/>
      <c r="AQ11" s="1356"/>
      <c r="AR11" s="1699"/>
      <c r="AS11" s="1356"/>
      <c r="AT11" s="1699"/>
      <c r="AU11" s="1356"/>
      <c r="AV11" s="1699"/>
      <c r="AW11" s="1356"/>
      <c r="AX11" s="1699"/>
      <c r="AY11" s="1356"/>
      <c r="AZ11" s="1699"/>
      <c r="BA11" s="1356"/>
      <c r="BB11" s="1699"/>
      <c r="BC11" s="1356"/>
      <c r="BD11" s="1699"/>
      <c r="BE11" s="1356"/>
      <c r="BF11" s="1699"/>
      <c r="BG11" s="1356"/>
      <c r="BH11" s="1699"/>
      <c r="BI11" s="1356"/>
      <c r="BJ11" s="1699"/>
      <c r="BK11" s="1356"/>
      <c r="BL11" s="1699"/>
      <c r="BM11" s="1356"/>
      <c r="BN11" s="1699"/>
      <c r="BO11" s="1356"/>
      <c r="BP11" s="1699"/>
      <c r="BQ11" s="1356"/>
      <c r="BR11" s="1699"/>
      <c r="BS11" s="1356"/>
      <c r="BT11" s="1699"/>
      <c r="BU11" s="1356"/>
      <c r="BV11" s="1699"/>
      <c r="BW11" s="1356"/>
      <c r="BX11" s="1699"/>
      <c r="BY11" s="1356"/>
      <c r="BZ11" s="1699"/>
      <c r="CA11" s="1356"/>
      <c r="CB11" s="1699"/>
      <c r="CC11" s="1356"/>
      <c r="CD11" s="1699"/>
      <c r="CE11" s="1356"/>
      <c r="CF11" s="1699"/>
      <c r="CG11" s="1356"/>
      <c r="CH11" s="1699"/>
      <c r="CI11" s="1356"/>
      <c r="CJ11" s="1699"/>
      <c r="CK11" s="1356"/>
      <c r="CL11" s="1699"/>
      <c r="CM11" s="1356"/>
      <c r="CN11" s="1699"/>
      <c r="CO11" s="1356"/>
      <c r="CP11" s="1699"/>
      <c r="CQ11" s="1356"/>
      <c r="CR11" s="1699"/>
      <c r="CS11" s="1356"/>
      <c r="CT11" s="1699"/>
      <c r="CU11" s="1356"/>
      <c r="CV11" s="1699"/>
      <c r="CW11" s="1356"/>
      <c r="CX11" s="1699"/>
      <c r="CY11" s="1356"/>
      <c r="CZ11" s="1699"/>
      <c r="DA11" s="1356"/>
      <c r="DB11" s="1699"/>
      <c r="DC11" s="1356"/>
      <c r="DD11" s="1699"/>
      <c r="DE11" s="1356"/>
      <c r="DF11" s="1699"/>
      <c r="DG11" s="1356"/>
      <c r="DH11" s="1699"/>
      <c r="DI11" s="1356"/>
      <c r="DJ11" s="1699"/>
      <c r="DK11" s="1356"/>
      <c r="DL11" s="1699"/>
      <c r="DM11" s="1356"/>
      <c r="DN11" s="1699"/>
      <c r="DO11" s="1356"/>
      <c r="DP11" s="1699"/>
      <c r="DQ11" s="1356"/>
      <c r="DR11" s="1699"/>
      <c r="DS11" s="1356"/>
      <c r="DT11" s="1699"/>
      <c r="DU11" s="1356"/>
      <c r="DV11" s="1699"/>
      <c r="DW11" s="1356"/>
      <c r="DX11" s="1699"/>
      <c r="DY11" s="1356"/>
      <c r="DZ11" s="1699"/>
      <c r="EA11" s="1356"/>
      <c r="EB11" s="1699"/>
      <c r="EC11" s="1356"/>
      <c r="ED11" s="1699"/>
      <c r="EE11" s="1356"/>
      <c r="EF11" s="1699"/>
      <c r="EG11" s="1356"/>
      <c r="EH11" s="1699"/>
      <c r="EI11" s="1356"/>
      <c r="EJ11" s="1699"/>
      <c r="EK11" s="1356"/>
      <c r="EL11" s="1699"/>
      <c r="EM11" s="1356"/>
      <c r="EN11" s="1699"/>
      <c r="EO11" s="1356"/>
      <c r="EP11" s="1699"/>
      <c r="EQ11" s="1356"/>
      <c r="ER11" s="1699"/>
      <c r="ES11" s="1356"/>
      <c r="ET11" s="1699"/>
      <c r="EU11" s="1356"/>
      <c r="EV11" s="1699"/>
      <c r="EW11" s="1356"/>
      <c r="EX11" s="1699"/>
      <c r="EY11" s="1356"/>
      <c r="EZ11" s="1699"/>
      <c r="FA11" s="1356"/>
      <c r="FB11" s="1699"/>
      <c r="FC11" s="1356"/>
      <c r="FD11" s="1699"/>
      <c r="FE11" s="1356"/>
      <c r="FF11" s="1699"/>
      <c r="FG11" s="1356"/>
      <c r="FH11" s="1699"/>
      <c r="FI11" s="1356"/>
      <c r="FJ11" s="1699"/>
      <c r="FK11" s="1356"/>
      <c r="FL11" s="1699"/>
      <c r="FM11" s="1356"/>
      <c r="FN11" s="1699"/>
      <c r="FO11" s="1356"/>
      <c r="FP11" s="1699"/>
      <c r="FQ11" s="1356"/>
      <c r="FR11" s="1699"/>
      <c r="FS11" s="1356"/>
      <c r="FT11" s="1699"/>
      <c r="FU11" s="1356"/>
      <c r="FV11" s="1699"/>
      <c r="FW11" s="1356"/>
      <c r="FX11" s="1699"/>
      <c r="FY11" s="1356"/>
      <c r="FZ11" s="1699"/>
      <c r="GA11" s="1356"/>
      <c r="GB11" s="1699"/>
      <c r="GC11" s="1356"/>
      <c r="GD11" s="1699"/>
      <c r="GE11" s="1356"/>
      <c r="GF11" s="1699"/>
      <c r="GG11" s="1356"/>
      <c r="GH11" s="1699"/>
      <c r="GI11" s="1356"/>
      <c r="GJ11" s="1699"/>
      <c r="GK11" s="1356"/>
      <c r="GL11" s="1699"/>
      <c r="GM11" s="1356"/>
      <c r="GN11" s="1699"/>
      <c r="GO11" s="1356"/>
      <c r="GP11" s="1699"/>
      <c r="GQ11" s="1356"/>
      <c r="GR11" s="1699"/>
      <c r="GS11" s="1356"/>
      <c r="GT11" s="1699"/>
      <c r="GU11" s="1356"/>
      <c r="GV11" s="1699"/>
      <c r="GW11" s="1356"/>
      <c r="GX11" s="1699"/>
      <c r="GY11" s="1356"/>
      <c r="GZ11" s="1699"/>
      <c r="HA11" s="1356"/>
      <c r="HB11" s="1699"/>
      <c r="HC11" s="1356"/>
      <c r="HD11" s="1699"/>
      <c r="HE11" s="1356"/>
      <c r="HF11" s="2011"/>
      <c r="HH11" s="1699"/>
      <c r="HI11" s="1356"/>
      <c r="HJ11" s="1699"/>
      <c r="HK11" s="1356"/>
      <c r="HL11" s="1699"/>
      <c r="HM11" s="1356"/>
      <c r="HN11" s="1699"/>
      <c r="HO11" s="1356"/>
      <c r="HP11" s="2011"/>
      <c r="HR11" s="1699"/>
      <c r="HS11" s="1356"/>
      <c r="HT11" s="2011"/>
      <c r="HV11" s="2011"/>
      <c r="HX11" s="2011"/>
      <c r="HZ11" s="2011"/>
      <c r="IB11" s="1699"/>
      <c r="IC11" s="1356"/>
      <c r="ID11" s="2011"/>
      <c r="IF11" s="2011"/>
    </row>
    <row r="12" spans="1:14703">
      <c r="A12" s="1149"/>
      <c r="B12" s="1149" t="s">
        <v>1206</v>
      </c>
      <c r="C12" s="1149"/>
      <c r="D12" s="1149"/>
      <c r="E12" s="1143"/>
      <c r="F12" s="1537">
        <v>0</v>
      </c>
      <c r="G12" s="1356"/>
      <c r="H12" s="1537">
        <v>0</v>
      </c>
      <c r="I12" s="1356"/>
      <c r="J12" s="1537">
        <v>0</v>
      </c>
      <c r="K12" s="1356"/>
      <c r="L12" s="1537">
        <v>1</v>
      </c>
      <c r="M12" s="1356"/>
      <c r="N12" s="1537">
        <v>1</v>
      </c>
      <c r="O12" s="1356"/>
      <c r="P12" s="1537">
        <v>0</v>
      </c>
      <c r="Q12" s="1356"/>
      <c r="R12" s="1537">
        <v>0</v>
      </c>
      <c r="T12" s="1537">
        <v>0</v>
      </c>
      <c r="U12" s="1356"/>
      <c r="V12" s="1537">
        <v>1</v>
      </c>
      <c r="W12" s="1356"/>
      <c r="X12" s="1537">
        <v>0</v>
      </c>
      <c r="Y12" s="1356"/>
      <c r="Z12" s="1537">
        <v>1</v>
      </c>
      <c r="AA12" s="1356"/>
      <c r="AB12" s="1537">
        <v>1</v>
      </c>
      <c r="AC12" s="1356"/>
      <c r="AD12" s="1537">
        <v>1</v>
      </c>
      <c r="AE12" s="1356"/>
      <c r="AF12" s="1537">
        <v>0</v>
      </c>
      <c r="AG12" s="1356"/>
      <c r="AH12" s="1933">
        <v>0</v>
      </c>
      <c r="AI12" s="1356"/>
      <c r="AJ12" s="1537">
        <v>0</v>
      </c>
      <c r="AK12" s="1356"/>
      <c r="AL12" s="1537">
        <v>0</v>
      </c>
      <c r="AM12" s="1356"/>
      <c r="AN12" s="1537">
        <v>0</v>
      </c>
      <c r="AO12" s="1356"/>
      <c r="AP12" s="1537">
        <v>0</v>
      </c>
      <c r="AQ12" s="1356"/>
      <c r="AR12" s="1537">
        <v>0</v>
      </c>
      <c r="AS12" s="1356"/>
      <c r="AT12" s="1537">
        <v>0</v>
      </c>
      <c r="AU12" s="1356"/>
      <c r="AV12" s="1537">
        <v>0</v>
      </c>
      <c r="AW12" s="1356"/>
      <c r="AX12" s="1537">
        <v>0</v>
      </c>
      <c r="AY12" s="1356"/>
      <c r="AZ12" s="1537">
        <v>1</v>
      </c>
      <c r="BA12" s="1356"/>
      <c r="BB12" s="1537">
        <v>1</v>
      </c>
      <c r="BC12" s="1356"/>
      <c r="BD12" s="1537">
        <v>0</v>
      </c>
      <c r="BE12" s="1356"/>
      <c r="BF12" s="1537">
        <v>1</v>
      </c>
      <c r="BG12" s="1356"/>
      <c r="BH12" s="1537">
        <v>0</v>
      </c>
      <c r="BI12" s="1356"/>
      <c r="BJ12" s="1537">
        <v>0</v>
      </c>
      <c r="BK12" s="1356"/>
      <c r="BL12" s="1537">
        <v>1</v>
      </c>
      <c r="BM12" s="1356"/>
      <c r="BN12" s="1537">
        <v>0</v>
      </c>
      <c r="BO12" s="1356"/>
      <c r="BP12" s="1537">
        <v>0</v>
      </c>
      <c r="BQ12" s="1356"/>
      <c r="BR12" s="1537">
        <v>0</v>
      </c>
      <c r="BS12" s="1356"/>
      <c r="BT12" s="1537">
        <v>1</v>
      </c>
      <c r="BU12" s="1356"/>
      <c r="BV12" s="1537">
        <v>1</v>
      </c>
      <c r="BW12" s="1356"/>
      <c r="BX12" s="1537">
        <v>0</v>
      </c>
      <c r="BY12" s="1356"/>
      <c r="BZ12" s="1537">
        <v>1</v>
      </c>
      <c r="CA12" s="1356"/>
      <c r="CB12" s="1537">
        <v>0</v>
      </c>
      <c r="CC12" s="1356"/>
      <c r="CD12" s="1537">
        <v>0</v>
      </c>
      <c r="CE12" s="1356"/>
      <c r="CF12" s="1537">
        <v>1</v>
      </c>
      <c r="CG12" s="1356"/>
      <c r="CH12" s="1537">
        <v>1</v>
      </c>
      <c r="CI12" s="1356"/>
      <c r="CJ12" s="1537">
        <v>0</v>
      </c>
      <c r="CK12" s="1356"/>
      <c r="CL12" s="1537">
        <v>0</v>
      </c>
      <c r="CM12" s="1356"/>
      <c r="CN12" s="1537">
        <v>0</v>
      </c>
      <c r="CO12" s="1356"/>
      <c r="CP12" s="1537">
        <v>0</v>
      </c>
      <c r="CQ12" s="1356"/>
      <c r="CR12" s="1537">
        <v>0</v>
      </c>
      <c r="CS12" s="1356"/>
      <c r="CT12" s="1537">
        <v>1</v>
      </c>
      <c r="CU12" s="1356"/>
      <c r="CV12" s="1537">
        <v>0</v>
      </c>
      <c r="CW12" s="1356"/>
      <c r="CX12" s="1537">
        <v>1</v>
      </c>
      <c r="CY12" s="1356"/>
      <c r="CZ12" s="1537">
        <v>0</v>
      </c>
      <c r="DA12" s="1356"/>
      <c r="DB12" s="1537">
        <v>0</v>
      </c>
      <c r="DC12" s="1356"/>
      <c r="DD12" s="1537">
        <v>0</v>
      </c>
      <c r="DE12" s="1356"/>
      <c r="DF12" s="1537">
        <v>1</v>
      </c>
      <c r="DG12" s="1356"/>
      <c r="DH12" s="1537">
        <v>1</v>
      </c>
      <c r="DI12" s="1356"/>
      <c r="DJ12" s="1537">
        <v>0</v>
      </c>
      <c r="DK12" s="1356"/>
      <c r="DL12" s="1537">
        <v>1</v>
      </c>
      <c r="DM12" s="1356"/>
      <c r="DN12" s="1537">
        <v>0</v>
      </c>
      <c r="DO12" s="1356"/>
      <c r="DP12" s="1537">
        <v>0</v>
      </c>
      <c r="DQ12" s="1356"/>
      <c r="DR12" s="1537">
        <v>1</v>
      </c>
      <c r="DS12" s="1356"/>
      <c r="DT12" s="1537">
        <v>1</v>
      </c>
      <c r="DU12" s="1356"/>
      <c r="DV12" s="1537">
        <v>1</v>
      </c>
      <c r="DW12" s="1356"/>
      <c r="DX12" s="1537">
        <v>1</v>
      </c>
      <c r="DY12" s="1356"/>
      <c r="DZ12" s="1537">
        <v>1</v>
      </c>
      <c r="EA12" s="1356"/>
      <c r="EB12" s="1537">
        <v>1</v>
      </c>
      <c r="EC12" s="1356"/>
      <c r="ED12" s="1537">
        <v>0</v>
      </c>
      <c r="EE12" s="1356"/>
      <c r="EF12" s="1537">
        <v>1</v>
      </c>
      <c r="EG12" s="1356"/>
      <c r="EH12" s="1537">
        <v>1</v>
      </c>
      <c r="EI12" s="1356"/>
      <c r="EJ12" s="1537">
        <v>1</v>
      </c>
      <c r="EK12" s="1356"/>
      <c r="EL12" s="1537">
        <v>1</v>
      </c>
      <c r="EM12" s="1356"/>
      <c r="EN12" s="1537">
        <v>1</v>
      </c>
      <c r="EO12" s="1356"/>
      <c r="EP12" s="1537">
        <v>1</v>
      </c>
      <c r="EQ12" s="1356"/>
      <c r="ER12" s="1537">
        <v>1</v>
      </c>
      <c r="ES12" s="1356"/>
      <c r="ET12" s="1537">
        <v>0</v>
      </c>
      <c r="EU12" s="1356"/>
      <c r="EV12" s="1537">
        <v>1</v>
      </c>
      <c r="EW12" s="1356"/>
      <c r="EX12" s="1537">
        <v>1</v>
      </c>
      <c r="EY12" s="1356"/>
      <c r="EZ12" s="1537">
        <v>1</v>
      </c>
      <c r="FA12" s="1356"/>
      <c r="FB12" s="1537">
        <v>0</v>
      </c>
      <c r="FC12" s="1356"/>
      <c r="FD12" s="1537">
        <v>0</v>
      </c>
      <c r="FE12" s="1356"/>
      <c r="FF12" s="1537">
        <v>1</v>
      </c>
      <c r="FG12" s="1356"/>
      <c r="FH12" s="1537">
        <v>0</v>
      </c>
      <c r="FI12" s="1356"/>
      <c r="FJ12" s="1537">
        <v>0</v>
      </c>
      <c r="FK12" s="1356"/>
      <c r="FL12" s="1537">
        <v>1</v>
      </c>
      <c r="FM12" s="1356"/>
      <c r="FN12" s="1537">
        <v>0</v>
      </c>
      <c r="FO12" s="1356"/>
      <c r="FP12" s="1537">
        <v>1</v>
      </c>
      <c r="FQ12" s="1356"/>
      <c r="FR12" s="1537">
        <v>0</v>
      </c>
      <c r="FS12" s="1356"/>
      <c r="FT12" s="1537">
        <v>0</v>
      </c>
      <c r="FU12" s="1356"/>
      <c r="FV12" s="1537">
        <v>1</v>
      </c>
      <c r="FW12" s="1356"/>
      <c r="FX12" s="1537">
        <v>1</v>
      </c>
      <c r="FY12" s="1356"/>
      <c r="FZ12" s="1537">
        <v>0</v>
      </c>
      <c r="GA12" s="1356"/>
      <c r="GB12" s="1537">
        <v>1</v>
      </c>
      <c r="GC12" s="1356"/>
      <c r="GD12" s="1537">
        <v>1</v>
      </c>
      <c r="GE12" s="1356"/>
      <c r="GF12" s="1537">
        <v>0</v>
      </c>
      <c r="GG12" s="1356"/>
      <c r="GH12" s="1537">
        <v>1</v>
      </c>
      <c r="GI12" s="1356"/>
      <c r="GJ12" s="1537">
        <v>0</v>
      </c>
      <c r="GK12" s="1356"/>
      <c r="GL12" s="1537">
        <v>1</v>
      </c>
      <c r="GM12" s="1356"/>
      <c r="GN12" s="1537">
        <v>1</v>
      </c>
      <c r="GO12" s="1356"/>
      <c r="GP12" s="1537">
        <v>1</v>
      </c>
      <c r="GQ12" s="1356"/>
      <c r="GR12" s="1537">
        <v>1</v>
      </c>
      <c r="GS12" s="1356"/>
      <c r="GT12" s="1537">
        <v>1</v>
      </c>
      <c r="GU12" s="1356"/>
      <c r="GV12" s="1537">
        <v>1</v>
      </c>
      <c r="GW12" s="1356"/>
      <c r="GX12" s="1537">
        <v>1</v>
      </c>
      <c r="GY12" s="1356"/>
      <c r="GZ12" s="1537">
        <v>0</v>
      </c>
      <c r="HA12" s="1356"/>
      <c r="HB12" s="1537">
        <v>0</v>
      </c>
      <c r="HC12" s="1356"/>
      <c r="HD12" s="1537">
        <v>0</v>
      </c>
      <c r="HE12" s="1356"/>
      <c r="HF12" s="2012">
        <v>1</v>
      </c>
      <c r="HG12" s="2008"/>
      <c r="HH12" s="1537">
        <v>1</v>
      </c>
      <c r="HI12" s="1356"/>
      <c r="HJ12" s="1537">
        <v>0</v>
      </c>
      <c r="HK12" s="1356"/>
      <c r="HL12" s="1537">
        <v>0</v>
      </c>
      <c r="HM12" s="1356"/>
      <c r="HN12" s="1537">
        <v>0</v>
      </c>
      <c r="HO12" s="1356"/>
      <c r="HP12" s="2012">
        <v>1</v>
      </c>
      <c r="HQ12" s="2008"/>
      <c r="HR12" s="1537">
        <v>0</v>
      </c>
      <c r="HS12" s="1356"/>
      <c r="HT12" s="2012">
        <v>1</v>
      </c>
      <c r="HU12" s="2008"/>
      <c r="HV12" s="2012">
        <v>1</v>
      </c>
      <c r="HW12" s="2008"/>
      <c r="HX12" s="2012">
        <v>0</v>
      </c>
      <c r="HY12" s="2008"/>
      <c r="HZ12" s="2012">
        <v>1</v>
      </c>
      <c r="IA12" s="2008"/>
      <c r="IB12" s="1537">
        <v>0</v>
      </c>
      <c r="IC12" s="1356"/>
      <c r="ID12" s="2012">
        <v>1</v>
      </c>
      <c r="IE12" s="2008"/>
      <c r="IF12" s="2012">
        <v>0</v>
      </c>
      <c r="IG12" s="2008"/>
    </row>
    <row r="13" spans="1:14703" ht="16.2" thickBot="1">
      <c r="A13" s="1149"/>
      <c r="B13" s="1149"/>
      <c r="C13" s="1149"/>
      <c r="D13" s="1149"/>
      <c r="E13" s="1143"/>
      <c r="F13" s="1700"/>
      <c r="G13" s="1356"/>
      <c r="H13" s="1700"/>
      <c r="I13" s="1356"/>
      <c r="J13" s="1700"/>
      <c r="K13" s="1356"/>
      <c r="L13" s="1700"/>
      <c r="M13" s="1356"/>
      <c r="N13" s="1700"/>
      <c r="O13" s="1356"/>
      <c r="P13" s="1700"/>
      <c r="Q13" s="1356"/>
      <c r="R13" s="1700"/>
      <c r="T13" s="1700"/>
      <c r="U13" s="1356"/>
      <c r="V13" s="1700"/>
      <c r="W13" s="1356"/>
      <c r="X13" s="1700"/>
      <c r="Y13" s="1356"/>
      <c r="Z13" s="1700"/>
      <c r="AA13" s="1356"/>
      <c r="AB13" s="1700"/>
      <c r="AC13" s="1356"/>
      <c r="AD13" s="1700"/>
      <c r="AE13" s="1356"/>
      <c r="AF13" s="1700"/>
      <c r="AG13" s="1356"/>
      <c r="AH13" s="1700"/>
      <c r="AI13" s="1356"/>
      <c r="AJ13" s="1700"/>
      <c r="AK13" s="1356"/>
      <c r="AL13" s="1700"/>
      <c r="AM13" s="1356"/>
      <c r="AN13" s="1700"/>
      <c r="AO13" s="1356"/>
      <c r="AP13" s="1700"/>
      <c r="AQ13" s="1356"/>
      <c r="AR13" s="1700"/>
      <c r="AS13" s="1356"/>
      <c r="AT13" s="1700"/>
      <c r="AU13" s="1356"/>
      <c r="AV13" s="1700"/>
      <c r="AW13" s="1356"/>
      <c r="AX13" s="1700"/>
      <c r="AY13" s="1356"/>
      <c r="AZ13" s="1700"/>
      <c r="BA13" s="1356"/>
      <c r="BB13" s="1700"/>
      <c r="BC13" s="1356"/>
      <c r="BD13" s="1700"/>
      <c r="BE13" s="1356"/>
      <c r="BF13" s="1700"/>
      <c r="BG13" s="1356"/>
      <c r="BH13" s="1700"/>
      <c r="BI13" s="1356"/>
      <c r="BJ13" s="1700"/>
      <c r="BK13" s="1356"/>
      <c r="BL13" s="1700"/>
      <c r="BM13" s="1356"/>
      <c r="BN13" s="1700"/>
      <c r="BO13" s="1356"/>
      <c r="BP13" s="1700"/>
      <c r="BQ13" s="1356"/>
      <c r="BR13" s="1700"/>
      <c r="BS13" s="1356"/>
      <c r="BT13" s="1700"/>
      <c r="BU13" s="1356"/>
      <c r="BV13" s="1700"/>
      <c r="BW13" s="1356"/>
      <c r="BX13" s="1700"/>
      <c r="BY13" s="1356"/>
      <c r="BZ13" s="1700"/>
      <c r="CA13" s="1356"/>
      <c r="CB13" s="1700"/>
      <c r="CC13" s="1356"/>
      <c r="CD13" s="1700"/>
      <c r="CE13" s="1356"/>
      <c r="CF13" s="1700"/>
      <c r="CG13" s="1356"/>
      <c r="CH13" s="1700"/>
      <c r="CI13" s="1356"/>
      <c r="CJ13" s="1700"/>
      <c r="CK13" s="1356"/>
      <c r="CL13" s="1700"/>
      <c r="CM13" s="1356"/>
      <c r="CN13" s="1700"/>
      <c r="CO13" s="1356"/>
      <c r="CP13" s="1700"/>
      <c r="CQ13" s="1356"/>
      <c r="CR13" s="1700"/>
      <c r="CS13" s="1356"/>
      <c r="CT13" s="1700"/>
      <c r="CU13" s="1356"/>
      <c r="CV13" s="1700"/>
      <c r="CW13" s="1356"/>
      <c r="CX13" s="1700"/>
      <c r="CY13" s="1356"/>
      <c r="CZ13" s="1700"/>
      <c r="DA13" s="1356"/>
      <c r="DB13" s="1700"/>
      <c r="DC13" s="1356"/>
      <c r="DD13" s="1700"/>
      <c r="DE13" s="1356"/>
      <c r="DF13" s="1700"/>
      <c r="DG13" s="1356"/>
      <c r="DH13" s="1700"/>
      <c r="DI13" s="1356"/>
      <c r="DJ13" s="1700"/>
      <c r="DK13" s="1356"/>
      <c r="DL13" s="1700"/>
      <c r="DM13" s="1356"/>
      <c r="DN13" s="1700"/>
      <c r="DO13" s="1356"/>
      <c r="DP13" s="1700"/>
      <c r="DQ13" s="1356"/>
      <c r="DR13" s="1700"/>
      <c r="DS13" s="1356"/>
      <c r="DT13" s="1700"/>
      <c r="DU13" s="1356"/>
      <c r="DV13" s="1700"/>
      <c r="DW13" s="1356"/>
      <c r="DX13" s="1700"/>
      <c r="DY13" s="1356"/>
      <c r="DZ13" s="1700"/>
      <c r="EA13" s="1356"/>
      <c r="EB13" s="1700"/>
      <c r="EC13" s="1356"/>
      <c r="ED13" s="1700"/>
      <c r="EE13" s="1356"/>
      <c r="EF13" s="1700"/>
      <c r="EG13" s="1356"/>
      <c r="EH13" s="1700"/>
      <c r="EI13" s="1356"/>
      <c r="EJ13" s="1700"/>
      <c r="EK13" s="1356"/>
      <c r="EL13" s="1700"/>
      <c r="EM13" s="1356"/>
      <c r="EN13" s="1700"/>
      <c r="EO13" s="1356"/>
      <c r="EP13" s="1700"/>
      <c r="EQ13" s="1356"/>
      <c r="ER13" s="1700"/>
      <c r="ES13" s="1356"/>
      <c r="ET13" s="1700"/>
      <c r="EU13" s="1356"/>
      <c r="EV13" s="1700"/>
      <c r="EW13" s="1356"/>
      <c r="EX13" s="1700"/>
      <c r="EY13" s="1356"/>
      <c r="EZ13" s="1700"/>
      <c r="FA13" s="1356"/>
      <c r="FB13" s="1700"/>
      <c r="FC13" s="1356"/>
      <c r="FD13" s="1700"/>
      <c r="FE13" s="1356"/>
      <c r="FF13" s="1700"/>
      <c r="FG13" s="1356"/>
      <c r="FH13" s="1700"/>
      <c r="FI13" s="1356"/>
      <c r="FJ13" s="1700"/>
      <c r="FK13" s="1356"/>
      <c r="FL13" s="1700"/>
      <c r="FM13" s="1356"/>
      <c r="FN13" s="1700"/>
      <c r="FO13" s="1356"/>
      <c r="FP13" s="1700"/>
      <c r="FQ13" s="1356"/>
      <c r="FR13" s="1700"/>
      <c r="FS13" s="1356"/>
      <c r="FT13" s="1700"/>
      <c r="FU13" s="1356"/>
      <c r="FV13" s="1700"/>
      <c r="FW13" s="1356"/>
      <c r="FX13" s="1700"/>
      <c r="FY13" s="1356"/>
      <c r="FZ13" s="1700"/>
      <c r="GA13" s="1356"/>
      <c r="GB13" s="1700"/>
      <c r="GC13" s="1356"/>
      <c r="GD13" s="1700"/>
      <c r="GE13" s="1356"/>
      <c r="GF13" s="1700"/>
      <c r="GG13" s="1356"/>
      <c r="GH13" s="1700"/>
      <c r="GI13" s="1356"/>
      <c r="GJ13" s="1700"/>
      <c r="GK13" s="1356"/>
      <c r="GL13" s="1700"/>
      <c r="GM13" s="1356"/>
      <c r="GN13" s="1700"/>
      <c r="GO13" s="1356"/>
      <c r="GP13" s="1700"/>
      <c r="GQ13" s="1356"/>
      <c r="GR13" s="1700"/>
      <c r="GS13" s="1356"/>
      <c r="GT13" s="1700"/>
      <c r="GU13" s="1356"/>
      <c r="GV13" s="1700"/>
      <c r="GW13" s="1356"/>
      <c r="GX13" s="1700"/>
      <c r="GY13" s="1356"/>
      <c r="GZ13" s="1700"/>
      <c r="HA13" s="1356"/>
      <c r="HB13" s="1700"/>
      <c r="HC13" s="1356"/>
      <c r="HD13" s="1700"/>
      <c r="HE13" s="1356"/>
      <c r="HF13" s="2013"/>
      <c r="HG13" s="2008"/>
      <c r="HH13" s="1700"/>
      <c r="HI13" s="1356"/>
      <c r="HJ13" s="1700"/>
      <c r="HK13" s="1356"/>
      <c r="HL13" s="1700"/>
      <c r="HM13" s="1356"/>
      <c r="HN13" s="1700"/>
      <c r="HO13" s="1356"/>
      <c r="HP13" s="2013"/>
      <c r="HQ13" s="2008"/>
      <c r="HR13" s="1700"/>
      <c r="HS13" s="1356"/>
      <c r="HT13" s="2013"/>
      <c r="HU13" s="2008"/>
      <c r="HV13" s="2013"/>
      <c r="HW13" s="2008"/>
      <c r="HX13" s="2013"/>
      <c r="HY13" s="2008"/>
      <c r="HZ13" s="2013"/>
      <c r="IA13" s="2008"/>
      <c r="IB13" s="1700"/>
      <c r="IC13" s="1356"/>
      <c r="ID13" s="2013"/>
      <c r="IE13" s="2008"/>
      <c r="IF13" s="2013"/>
      <c r="IG13" s="2008"/>
    </row>
    <row r="14" spans="1:14703" ht="21.6" thickBot="1">
      <c r="A14" s="1149"/>
      <c r="B14" s="1147" t="s">
        <v>62</v>
      </c>
      <c r="C14" s="1148"/>
      <c r="D14" s="1148"/>
      <c r="E14" s="1148"/>
      <c r="F14" s="1932"/>
      <c r="G14" s="1356"/>
      <c r="H14" s="1538"/>
      <c r="I14" s="1356"/>
      <c r="J14" s="1538"/>
      <c r="K14" s="1356"/>
      <c r="L14" s="1538"/>
      <c r="M14" s="1356"/>
      <c r="N14" s="1538"/>
      <c r="O14" s="1356"/>
      <c r="P14" s="1538"/>
      <c r="Q14" s="1356"/>
      <c r="R14" s="1538"/>
      <c r="T14" s="1538"/>
      <c r="U14" s="1356"/>
      <c r="V14" s="1538"/>
      <c r="W14" s="1356"/>
      <c r="X14" s="1538"/>
      <c r="Y14" s="1356"/>
      <c r="Z14" s="1538"/>
      <c r="AA14" s="1356"/>
      <c r="AB14" s="1538"/>
      <c r="AC14" s="1356"/>
      <c r="AD14" s="1538"/>
      <c r="AE14" s="1356"/>
      <c r="AF14" s="1538"/>
      <c r="AG14" s="1356"/>
      <c r="AH14" s="1538"/>
      <c r="AI14" s="1356"/>
      <c r="AJ14" s="1538"/>
      <c r="AK14" s="1356"/>
      <c r="AL14" s="1538"/>
      <c r="AM14" s="1356"/>
      <c r="AN14" s="1538"/>
      <c r="AO14" s="1356"/>
      <c r="AP14" s="1538"/>
      <c r="AQ14" s="1356"/>
      <c r="AR14" s="1538"/>
      <c r="AS14" s="1356"/>
      <c r="AT14" s="1538"/>
      <c r="AU14" s="1356"/>
      <c r="AV14" s="1538"/>
      <c r="AW14" s="1356"/>
      <c r="AX14" s="1538"/>
      <c r="AY14" s="1356"/>
      <c r="AZ14" s="1538"/>
      <c r="BA14" s="1356"/>
      <c r="BB14" s="1538"/>
      <c r="BC14" s="1356"/>
      <c r="BD14" s="1538"/>
      <c r="BE14" s="1356"/>
      <c r="BF14" s="1538"/>
      <c r="BG14" s="1356"/>
      <c r="BH14" s="1538"/>
      <c r="BI14" s="1356"/>
      <c r="BJ14" s="1538"/>
      <c r="BK14" s="1356"/>
      <c r="BL14" s="1538"/>
      <c r="BM14" s="1356"/>
      <c r="BN14" s="1538"/>
      <c r="BO14" s="1356"/>
      <c r="BP14" s="1538"/>
      <c r="BQ14" s="1356"/>
      <c r="BR14" s="1538"/>
      <c r="BS14" s="1356"/>
      <c r="BT14" s="1538"/>
      <c r="BU14" s="1356"/>
      <c r="BV14" s="1538"/>
      <c r="BW14" s="1356"/>
      <c r="BX14" s="1538"/>
      <c r="BY14" s="1356"/>
      <c r="BZ14" s="1538"/>
      <c r="CA14" s="1356"/>
      <c r="CB14" s="1538"/>
      <c r="CC14" s="1356"/>
      <c r="CD14" s="1538"/>
      <c r="CE14" s="1356"/>
      <c r="CF14" s="1538"/>
      <c r="CG14" s="1356"/>
      <c r="CH14" s="1538"/>
      <c r="CI14" s="1356"/>
      <c r="CJ14" s="1538"/>
      <c r="CK14" s="1356"/>
      <c r="CL14" s="1538"/>
      <c r="CM14" s="1356"/>
      <c r="CN14" s="1538"/>
      <c r="CO14" s="1356"/>
      <c r="CP14" s="1538"/>
      <c r="CQ14" s="1356"/>
      <c r="CR14" s="1538"/>
      <c r="CS14" s="1356"/>
      <c r="CT14" s="1538"/>
      <c r="CU14" s="1356"/>
      <c r="CV14" s="1538"/>
      <c r="CW14" s="1356"/>
      <c r="CX14" s="1538"/>
      <c r="CY14" s="1356"/>
      <c r="CZ14" s="1538"/>
      <c r="DA14" s="1356"/>
      <c r="DB14" s="1538"/>
      <c r="DC14" s="1356"/>
      <c r="DD14" s="1538"/>
      <c r="DE14" s="1356"/>
      <c r="DF14" s="1538"/>
      <c r="DG14" s="1356"/>
      <c r="DH14" s="1538"/>
      <c r="DI14" s="1356"/>
      <c r="DJ14" s="1538"/>
      <c r="DK14" s="1356"/>
      <c r="DL14" s="1538"/>
      <c r="DM14" s="1356"/>
      <c r="DN14" s="1538"/>
      <c r="DO14" s="1356"/>
      <c r="DP14" s="1538"/>
      <c r="DQ14" s="1356"/>
      <c r="DR14" s="1538"/>
      <c r="DS14" s="1356"/>
      <c r="DT14" s="1538"/>
      <c r="DU14" s="1356"/>
      <c r="DV14" s="1538"/>
      <c r="DW14" s="1356"/>
      <c r="DX14" s="1538"/>
      <c r="DY14" s="1356"/>
      <c r="DZ14" s="1538"/>
      <c r="EA14" s="1356"/>
      <c r="EB14" s="1538"/>
      <c r="EC14" s="1356"/>
      <c r="ED14" s="1538"/>
      <c r="EE14" s="1356"/>
      <c r="EF14" s="1538"/>
      <c r="EG14" s="1356"/>
      <c r="EH14" s="1538"/>
      <c r="EI14" s="1356"/>
      <c r="EJ14" s="1538"/>
      <c r="EK14" s="1356"/>
      <c r="EL14" s="1538"/>
      <c r="EM14" s="1356"/>
      <c r="EN14" s="1538"/>
      <c r="EO14" s="1356"/>
      <c r="EP14" s="1538"/>
      <c r="EQ14" s="1356"/>
      <c r="ER14" s="1538"/>
      <c r="ES14" s="1356"/>
      <c r="ET14" s="1538"/>
      <c r="EU14" s="1356"/>
      <c r="EV14" s="1538"/>
      <c r="EW14" s="1356"/>
      <c r="EX14" s="1538"/>
      <c r="EY14" s="1356"/>
      <c r="EZ14" s="1538"/>
      <c r="FA14" s="1356"/>
      <c r="FB14" s="1538"/>
      <c r="FC14" s="1356"/>
      <c r="FD14" s="1538"/>
      <c r="FE14" s="1356"/>
      <c r="FF14" s="1538"/>
      <c r="FG14" s="1356"/>
      <c r="FH14" s="1538"/>
      <c r="FI14" s="1356"/>
      <c r="FJ14" s="1538"/>
      <c r="FK14" s="1356"/>
      <c r="FL14" s="1538"/>
      <c r="FM14" s="1356"/>
      <c r="FN14" s="1538"/>
      <c r="FO14" s="1356"/>
      <c r="FP14" s="1538"/>
      <c r="FQ14" s="1356"/>
      <c r="FR14" s="1538"/>
      <c r="FS14" s="1356"/>
      <c r="FT14" s="1538"/>
      <c r="FU14" s="1356"/>
      <c r="FV14" s="1538"/>
      <c r="FW14" s="1356"/>
      <c r="FX14" s="1538"/>
      <c r="FY14" s="1356"/>
      <c r="FZ14" s="1538"/>
      <c r="GA14" s="1356"/>
      <c r="GB14" s="1538"/>
      <c r="GC14" s="1356"/>
      <c r="GD14" s="1538"/>
      <c r="GE14" s="1356"/>
      <c r="GF14" s="1538"/>
      <c r="GG14" s="1356"/>
      <c r="GH14" s="1538"/>
      <c r="GI14" s="1356"/>
      <c r="GJ14" s="1538"/>
      <c r="GK14" s="1356"/>
      <c r="GL14" s="1538"/>
      <c r="GM14" s="1356"/>
      <c r="GN14" s="1538"/>
      <c r="GO14" s="1356"/>
      <c r="GP14" s="1538"/>
      <c r="GQ14" s="1356"/>
      <c r="GR14" s="1538"/>
      <c r="GS14" s="1356"/>
      <c r="GT14" s="1538"/>
      <c r="GU14" s="1356"/>
      <c r="GV14" s="1538"/>
      <c r="GW14" s="1356"/>
      <c r="GX14" s="1538"/>
      <c r="GY14" s="1356"/>
      <c r="GZ14" s="1538"/>
      <c r="HA14" s="1356"/>
      <c r="HB14" s="1538"/>
      <c r="HC14" s="1356"/>
      <c r="HD14" s="1538"/>
      <c r="HE14" s="1356"/>
      <c r="HF14" s="1535"/>
      <c r="HG14" s="2008"/>
      <c r="HH14" s="1538"/>
      <c r="HI14" s="1356"/>
      <c r="HJ14" s="1538"/>
      <c r="HK14" s="1356"/>
      <c r="HL14" s="1538"/>
      <c r="HM14" s="1356"/>
      <c r="HN14" s="1538"/>
      <c r="HO14" s="1356"/>
      <c r="HP14" s="2077"/>
      <c r="HQ14" s="2008"/>
      <c r="HR14" s="1538"/>
      <c r="HS14" s="1356"/>
      <c r="HT14" s="1538"/>
      <c r="HU14" s="2008"/>
      <c r="HV14" s="1538"/>
      <c r="HW14" s="2008"/>
      <c r="HX14" s="1538"/>
      <c r="HY14" s="2008"/>
      <c r="HZ14" s="1538"/>
      <c r="IA14" s="2008"/>
      <c r="IB14" s="1538"/>
      <c r="IC14" s="1356"/>
      <c r="ID14" s="1538"/>
      <c r="IE14" s="2008"/>
      <c r="IF14" s="1005"/>
      <c r="IG14" s="2008"/>
    </row>
    <row r="15" spans="1:14703">
      <c r="A15" s="1149"/>
      <c r="B15" s="1149"/>
      <c r="C15" s="1149"/>
      <c r="D15" s="1149"/>
      <c r="E15" s="1143"/>
      <c r="F15" s="1699"/>
      <c r="G15" s="1356"/>
      <c r="H15" s="1699"/>
      <c r="I15" s="1356"/>
      <c r="J15" s="1699"/>
      <c r="K15" s="1356"/>
      <c r="L15" s="1699"/>
      <c r="M15" s="1356"/>
      <c r="N15" s="1699"/>
      <c r="O15" s="1356"/>
      <c r="P15" s="1699"/>
      <c r="Q15" s="1356"/>
      <c r="R15" s="1699"/>
      <c r="T15" s="1699"/>
      <c r="U15" s="1356"/>
      <c r="V15" s="1699"/>
      <c r="W15" s="1356"/>
      <c r="X15" s="1699"/>
      <c r="Y15" s="1356"/>
      <c r="Z15" s="1699"/>
      <c r="AA15" s="1356"/>
      <c r="AB15" s="1699"/>
      <c r="AC15" s="1356"/>
      <c r="AD15" s="1699"/>
      <c r="AE15" s="1356"/>
      <c r="AF15" s="1699"/>
      <c r="AG15" s="1356"/>
      <c r="AH15" s="1699"/>
      <c r="AI15" s="1356"/>
      <c r="AJ15" s="1699"/>
      <c r="AK15" s="1356"/>
      <c r="AL15" s="1699"/>
      <c r="AM15" s="1356"/>
      <c r="AN15" s="1699"/>
      <c r="AO15" s="1356"/>
      <c r="AP15" s="1699"/>
      <c r="AQ15" s="1356"/>
      <c r="AR15" s="1699"/>
      <c r="AS15" s="1356"/>
      <c r="AT15" s="1699"/>
      <c r="AU15" s="1356"/>
      <c r="AV15" s="1699"/>
      <c r="AW15" s="1356"/>
      <c r="AX15" s="1699"/>
      <c r="AY15" s="1356"/>
      <c r="AZ15" s="1699"/>
      <c r="BA15" s="1356"/>
      <c r="BB15" s="1699"/>
      <c r="BC15" s="1356"/>
      <c r="BD15" s="1699"/>
      <c r="BE15" s="1356"/>
      <c r="BF15" s="1699"/>
      <c r="BG15" s="1356"/>
      <c r="BH15" s="1699"/>
      <c r="BI15" s="1356"/>
      <c r="BJ15" s="1699"/>
      <c r="BK15" s="1356"/>
      <c r="BL15" s="1699"/>
      <c r="BM15" s="1356"/>
      <c r="BN15" s="1699"/>
      <c r="BO15" s="1356"/>
      <c r="BP15" s="1699"/>
      <c r="BQ15" s="1356"/>
      <c r="BR15" s="1699"/>
      <c r="BS15" s="1356"/>
      <c r="BT15" s="1699"/>
      <c r="BU15" s="1356"/>
      <c r="BV15" s="1699"/>
      <c r="BW15" s="1356"/>
      <c r="BX15" s="1699"/>
      <c r="BY15" s="1356"/>
      <c r="BZ15" s="1699"/>
      <c r="CA15" s="1356"/>
      <c r="CB15" s="1699"/>
      <c r="CC15" s="1356"/>
      <c r="CD15" s="1699"/>
      <c r="CE15" s="1356"/>
      <c r="CF15" s="1699"/>
      <c r="CG15" s="1356"/>
      <c r="CH15" s="1699"/>
      <c r="CI15" s="1356"/>
      <c r="CJ15" s="1699"/>
      <c r="CK15" s="1356"/>
      <c r="CL15" s="1699"/>
      <c r="CM15" s="1356"/>
      <c r="CN15" s="1699"/>
      <c r="CO15" s="1356"/>
      <c r="CP15" s="1699"/>
      <c r="CQ15" s="1356"/>
      <c r="CR15" s="1699"/>
      <c r="CS15" s="1356"/>
      <c r="CT15" s="1699"/>
      <c r="CU15" s="1356"/>
      <c r="CV15" s="1699"/>
      <c r="CW15" s="1356"/>
      <c r="CX15" s="1699"/>
      <c r="CY15" s="1356"/>
      <c r="CZ15" s="1699"/>
      <c r="DA15" s="1356"/>
      <c r="DB15" s="1699"/>
      <c r="DC15" s="1356"/>
      <c r="DD15" s="1699"/>
      <c r="DE15" s="1356"/>
      <c r="DF15" s="1699"/>
      <c r="DG15" s="1356"/>
      <c r="DH15" s="1699"/>
      <c r="DI15" s="1356"/>
      <c r="DJ15" s="1699"/>
      <c r="DK15" s="1356"/>
      <c r="DL15" s="1699"/>
      <c r="DM15" s="1356"/>
      <c r="DN15" s="1699"/>
      <c r="DO15" s="1356"/>
      <c r="DP15" s="1699"/>
      <c r="DQ15" s="1356"/>
      <c r="DR15" s="1699"/>
      <c r="DS15" s="1356"/>
      <c r="DT15" s="1699"/>
      <c r="DU15" s="1356"/>
      <c r="DV15" s="1699"/>
      <c r="DW15" s="1356"/>
      <c r="DX15" s="1699"/>
      <c r="DY15" s="1356"/>
      <c r="DZ15" s="1699"/>
      <c r="EA15" s="1356"/>
      <c r="EB15" s="1699"/>
      <c r="EC15" s="1356"/>
      <c r="ED15" s="1699"/>
      <c r="EE15" s="1356"/>
      <c r="EF15" s="1699"/>
      <c r="EG15" s="1356"/>
      <c r="EH15" s="1699"/>
      <c r="EI15" s="1356"/>
      <c r="EJ15" s="1699"/>
      <c r="EK15" s="1356"/>
      <c r="EL15" s="1699"/>
      <c r="EM15" s="1356"/>
      <c r="EN15" s="1699"/>
      <c r="EO15" s="1356"/>
      <c r="EP15" s="1699"/>
      <c r="EQ15" s="1356"/>
      <c r="ER15" s="1699"/>
      <c r="ES15" s="1356"/>
      <c r="ET15" s="1699"/>
      <c r="EU15" s="1356"/>
      <c r="EV15" s="1699"/>
      <c r="EW15" s="1356"/>
      <c r="EX15" s="1699"/>
      <c r="EY15" s="1356"/>
      <c r="EZ15" s="1699"/>
      <c r="FA15" s="1356"/>
      <c r="FB15" s="1699"/>
      <c r="FC15" s="1356"/>
      <c r="FD15" s="1699"/>
      <c r="FE15" s="1356"/>
      <c r="FF15" s="1699"/>
      <c r="FG15" s="1356"/>
      <c r="FH15" s="1699"/>
      <c r="FI15" s="1356"/>
      <c r="FJ15" s="1699"/>
      <c r="FK15" s="1356"/>
      <c r="FL15" s="1699"/>
      <c r="FM15" s="1356"/>
      <c r="FN15" s="1699"/>
      <c r="FO15" s="1356"/>
      <c r="FP15" s="1699"/>
      <c r="FQ15" s="1356"/>
      <c r="FR15" s="1699"/>
      <c r="FS15" s="1356"/>
      <c r="FT15" s="1699"/>
      <c r="FU15" s="1356"/>
      <c r="FV15" s="1699"/>
      <c r="FW15" s="1356"/>
      <c r="FX15" s="1699"/>
      <c r="FY15" s="1356"/>
      <c r="FZ15" s="1699"/>
      <c r="GA15" s="1356"/>
      <c r="GB15" s="1699"/>
      <c r="GC15" s="1356"/>
      <c r="GD15" s="1699"/>
      <c r="GE15" s="1356"/>
      <c r="GF15" s="1699"/>
      <c r="GG15" s="1356"/>
      <c r="GH15" s="1699"/>
      <c r="GI15" s="1356"/>
      <c r="GJ15" s="1699"/>
      <c r="GK15" s="1356"/>
      <c r="GL15" s="1699"/>
      <c r="GM15" s="1356"/>
      <c r="GN15" s="1699"/>
      <c r="GO15" s="1356"/>
      <c r="GP15" s="1699"/>
      <c r="GQ15" s="1356"/>
      <c r="GR15" s="1699"/>
      <c r="GS15" s="1356"/>
      <c r="GT15" s="1699"/>
      <c r="GU15" s="1356"/>
      <c r="GV15" s="1699"/>
      <c r="GW15" s="1356"/>
      <c r="GX15" s="1699"/>
      <c r="GY15" s="1356"/>
      <c r="GZ15" s="1699"/>
      <c r="HA15" s="1356"/>
      <c r="HB15" s="1699"/>
      <c r="HC15" s="1356"/>
      <c r="HD15" s="1699"/>
      <c r="HE15" s="1356"/>
      <c r="HF15" s="2014"/>
      <c r="HG15" s="2008"/>
      <c r="HH15" s="1699"/>
      <c r="HI15" s="1356"/>
      <c r="HJ15" s="1699"/>
      <c r="HK15" s="1356"/>
      <c r="HL15" s="1699"/>
      <c r="HM15" s="1356"/>
      <c r="HN15" s="1699"/>
      <c r="HO15" s="1356"/>
      <c r="HP15" s="2014"/>
      <c r="HQ15" s="2008"/>
      <c r="HR15" s="1699"/>
      <c r="HS15" s="1356"/>
      <c r="HT15" s="2014"/>
      <c r="HU15" s="2008"/>
      <c r="HV15" s="2014"/>
      <c r="HW15" s="2008"/>
      <c r="HX15" s="2014"/>
      <c r="HY15" s="2008"/>
      <c r="HZ15" s="2014"/>
      <c r="IA15" s="2008"/>
      <c r="IB15" s="1699"/>
      <c r="IC15" s="1356"/>
      <c r="ID15" s="2014"/>
      <c r="IE15" s="2008"/>
      <c r="IF15" s="2014"/>
      <c r="IG15" s="2008"/>
    </row>
    <row r="16" spans="1:14703">
      <c r="A16" s="1149"/>
      <c r="B16" s="1149" t="s">
        <v>57</v>
      </c>
      <c r="C16" s="1149"/>
      <c r="D16" s="1149"/>
      <c r="E16" s="1143"/>
      <c r="F16" s="1699"/>
      <c r="G16" s="1356"/>
      <c r="H16" s="1699"/>
      <c r="I16" s="1356"/>
      <c r="J16" s="1699"/>
      <c r="K16" s="1356"/>
      <c r="L16" s="1699"/>
      <c r="M16" s="1356"/>
      <c r="N16" s="1699"/>
      <c r="O16" s="1356"/>
      <c r="P16" s="1699"/>
      <c r="Q16" s="1356"/>
      <c r="R16" s="1699"/>
      <c r="T16" s="1699"/>
      <c r="U16" s="1356"/>
      <c r="V16" s="1699"/>
      <c r="W16" s="1356"/>
      <c r="X16" s="1699"/>
      <c r="Y16" s="1356"/>
      <c r="Z16" s="1699"/>
      <c r="AA16" s="1356"/>
      <c r="AB16" s="1699"/>
      <c r="AC16" s="1356"/>
      <c r="AD16" s="1699"/>
      <c r="AE16" s="1356"/>
      <c r="AF16" s="1699"/>
      <c r="AG16" s="1356"/>
      <c r="AH16" s="1699"/>
      <c r="AI16" s="1356"/>
      <c r="AJ16" s="1699"/>
      <c r="AK16" s="1356"/>
      <c r="AL16" s="1699"/>
      <c r="AM16" s="1356"/>
      <c r="AN16" s="1699"/>
      <c r="AO16" s="1356"/>
      <c r="AP16" s="1699"/>
      <c r="AQ16" s="1356"/>
      <c r="AR16" s="1699"/>
      <c r="AS16" s="1356"/>
      <c r="AT16" s="1699"/>
      <c r="AU16" s="1356"/>
      <c r="AV16" s="1699"/>
      <c r="AW16" s="1356"/>
      <c r="AX16" s="1699"/>
      <c r="AY16" s="1356"/>
      <c r="AZ16" s="1699"/>
      <c r="BA16" s="1356"/>
      <c r="BB16" s="1699"/>
      <c r="BC16" s="1356"/>
      <c r="BD16" s="1699"/>
      <c r="BE16" s="1356"/>
      <c r="BF16" s="1699"/>
      <c r="BG16" s="1356"/>
      <c r="BH16" s="1699"/>
      <c r="BI16" s="1356"/>
      <c r="BJ16" s="1699"/>
      <c r="BK16" s="1356"/>
      <c r="BL16" s="1699"/>
      <c r="BM16" s="1356"/>
      <c r="BN16" s="1699"/>
      <c r="BO16" s="1356"/>
      <c r="BP16" s="1699"/>
      <c r="BQ16" s="1356"/>
      <c r="BR16" s="1699"/>
      <c r="BS16" s="1356"/>
      <c r="BT16" s="1699"/>
      <c r="BU16" s="1356"/>
      <c r="BV16" s="1699"/>
      <c r="BW16" s="1356"/>
      <c r="BX16" s="1699"/>
      <c r="BY16" s="1356"/>
      <c r="BZ16" s="1699"/>
      <c r="CA16" s="1356"/>
      <c r="CB16" s="1699"/>
      <c r="CC16" s="1356"/>
      <c r="CD16" s="1699"/>
      <c r="CE16" s="1356"/>
      <c r="CF16" s="1699"/>
      <c r="CG16" s="1356"/>
      <c r="CH16" s="1699"/>
      <c r="CI16" s="1356"/>
      <c r="CJ16" s="1699"/>
      <c r="CK16" s="1356"/>
      <c r="CL16" s="1699"/>
      <c r="CM16" s="1356"/>
      <c r="CN16" s="1699"/>
      <c r="CO16" s="1356"/>
      <c r="CP16" s="1699"/>
      <c r="CQ16" s="1356"/>
      <c r="CR16" s="1699"/>
      <c r="CS16" s="1356"/>
      <c r="CT16" s="1699"/>
      <c r="CU16" s="1356"/>
      <c r="CV16" s="1699"/>
      <c r="CW16" s="1356"/>
      <c r="CX16" s="1699"/>
      <c r="CY16" s="1356"/>
      <c r="CZ16" s="1699"/>
      <c r="DA16" s="1356"/>
      <c r="DB16" s="1699"/>
      <c r="DC16" s="1356"/>
      <c r="DD16" s="1699"/>
      <c r="DE16" s="1356"/>
      <c r="DF16" s="1699"/>
      <c r="DG16" s="1356"/>
      <c r="DH16" s="1699"/>
      <c r="DI16" s="1356"/>
      <c r="DJ16" s="1699"/>
      <c r="DK16" s="1356"/>
      <c r="DL16" s="1699"/>
      <c r="DM16" s="1356"/>
      <c r="DN16" s="1699"/>
      <c r="DO16" s="1356"/>
      <c r="DP16" s="1699"/>
      <c r="DQ16" s="1356"/>
      <c r="DR16" s="1699"/>
      <c r="DS16" s="1356"/>
      <c r="DT16" s="1699"/>
      <c r="DU16" s="1356"/>
      <c r="DV16" s="1699"/>
      <c r="DW16" s="1356"/>
      <c r="DX16" s="1699"/>
      <c r="DY16" s="1356"/>
      <c r="DZ16" s="1699"/>
      <c r="EA16" s="1356"/>
      <c r="EB16" s="1699"/>
      <c r="EC16" s="1356"/>
      <c r="ED16" s="1699"/>
      <c r="EE16" s="1356"/>
      <c r="EF16" s="1699"/>
      <c r="EG16" s="1356"/>
      <c r="EH16" s="1699"/>
      <c r="EI16" s="1356"/>
      <c r="EJ16" s="1699"/>
      <c r="EK16" s="1356"/>
      <c r="EL16" s="1699"/>
      <c r="EM16" s="1356"/>
      <c r="EN16" s="1699"/>
      <c r="EO16" s="1356"/>
      <c r="EP16" s="1699"/>
      <c r="EQ16" s="1356"/>
      <c r="ER16" s="1699"/>
      <c r="ES16" s="1356"/>
      <c r="ET16" s="1699"/>
      <c r="EU16" s="1356"/>
      <c r="EV16" s="1699"/>
      <c r="EW16" s="1356"/>
      <c r="EX16" s="1699"/>
      <c r="EY16" s="1356"/>
      <c r="EZ16" s="1699"/>
      <c r="FA16" s="1356"/>
      <c r="FB16" s="1699"/>
      <c r="FC16" s="1356"/>
      <c r="FD16" s="1699"/>
      <c r="FE16" s="1356"/>
      <c r="FF16" s="1699"/>
      <c r="FG16" s="1356"/>
      <c r="FH16" s="1699"/>
      <c r="FI16" s="1356"/>
      <c r="FJ16" s="1699"/>
      <c r="FK16" s="1356"/>
      <c r="FL16" s="1699"/>
      <c r="FM16" s="1356"/>
      <c r="FN16" s="1699"/>
      <c r="FO16" s="1356"/>
      <c r="FP16" s="1699"/>
      <c r="FQ16" s="1356"/>
      <c r="FR16" s="1699"/>
      <c r="FS16" s="1356"/>
      <c r="FT16" s="1699"/>
      <c r="FU16" s="1356"/>
      <c r="FV16" s="1699"/>
      <c r="FW16" s="1356"/>
      <c r="FX16" s="1699"/>
      <c r="FY16" s="1356"/>
      <c r="FZ16" s="1699"/>
      <c r="GA16" s="1356"/>
      <c r="GB16" s="1699"/>
      <c r="GC16" s="1356"/>
      <c r="GD16" s="1699"/>
      <c r="GE16" s="1356"/>
      <c r="GF16" s="1699"/>
      <c r="GG16" s="1356"/>
      <c r="GH16" s="1699"/>
      <c r="GI16" s="1356"/>
      <c r="GJ16" s="1699"/>
      <c r="GK16" s="1356"/>
      <c r="GL16" s="1699"/>
      <c r="GM16" s="1356"/>
      <c r="GN16" s="1699"/>
      <c r="GO16" s="1356"/>
      <c r="GP16" s="1699"/>
      <c r="GQ16" s="1356"/>
      <c r="GR16" s="1699"/>
      <c r="GS16" s="1356"/>
      <c r="GT16" s="1699"/>
      <c r="GU16" s="1356"/>
      <c r="GV16" s="1699"/>
      <c r="GW16" s="1356"/>
      <c r="GX16" s="1699"/>
      <c r="GY16" s="1356"/>
      <c r="GZ16" s="1699"/>
      <c r="HA16" s="1356"/>
      <c r="HB16" s="1699"/>
      <c r="HC16" s="1356"/>
      <c r="HD16" s="1699"/>
      <c r="HE16" s="1356"/>
      <c r="HF16" s="2015"/>
      <c r="HH16" s="1699"/>
      <c r="HI16" s="1356"/>
      <c r="HJ16" s="1699"/>
      <c r="HK16" s="1356"/>
      <c r="HL16" s="1699"/>
      <c r="HM16" s="1356"/>
      <c r="HN16" s="1699"/>
      <c r="HO16" s="1356"/>
      <c r="HP16" s="2015"/>
      <c r="HR16" s="1699"/>
      <c r="HS16" s="1356"/>
      <c r="HT16" s="2015"/>
      <c r="HV16" s="2015"/>
      <c r="HX16" s="2015"/>
      <c r="HZ16" s="2015"/>
      <c r="IB16" s="1699"/>
      <c r="IC16" s="1356"/>
      <c r="ID16" s="2015"/>
      <c r="IF16" s="2015"/>
    </row>
    <row r="17" spans="1:241">
      <c r="A17" s="1149"/>
      <c r="B17" s="1149"/>
      <c r="C17" s="1149" t="s">
        <v>1207</v>
      </c>
      <c r="D17" s="1149"/>
      <c r="E17" s="1143"/>
      <c r="F17" s="1537">
        <v>300</v>
      </c>
      <c r="G17" s="1356"/>
      <c r="H17" s="1537">
        <v>300</v>
      </c>
      <c r="I17" s="1356"/>
      <c r="J17" s="1537">
        <v>327</v>
      </c>
      <c r="K17" s="1356"/>
      <c r="L17" s="1537">
        <v>680</v>
      </c>
      <c r="M17" s="1356"/>
      <c r="N17" s="1537">
        <v>233</v>
      </c>
      <c r="O17" s="1356"/>
      <c r="P17" s="1537">
        <v>1239</v>
      </c>
      <c r="Q17" s="1356"/>
      <c r="R17" s="1537">
        <v>490</v>
      </c>
      <c r="T17" s="1537">
        <v>681</v>
      </c>
      <c r="U17" s="1356"/>
      <c r="V17" s="1537">
        <v>850</v>
      </c>
      <c r="W17" s="1356"/>
      <c r="X17" s="1537">
        <v>533</v>
      </c>
      <c r="Y17" s="1356"/>
      <c r="Z17" s="1537">
        <v>585</v>
      </c>
      <c r="AA17" s="1356"/>
      <c r="AB17" s="1537">
        <v>931</v>
      </c>
      <c r="AC17" s="1356"/>
      <c r="AD17" s="1537">
        <v>599</v>
      </c>
      <c r="AE17" s="1356"/>
      <c r="AF17" s="1537">
        <v>400</v>
      </c>
      <c r="AG17" s="1356"/>
      <c r="AH17" s="1537">
        <v>449</v>
      </c>
      <c r="AI17" s="1356"/>
      <c r="AJ17" s="1537">
        <v>281</v>
      </c>
      <c r="AK17" s="1356"/>
      <c r="AL17" s="1537">
        <v>419</v>
      </c>
      <c r="AM17" s="1356"/>
      <c r="AN17" s="1537">
        <v>400</v>
      </c>
      <c r="AO17" s="1356"/>
      <c r="AP17" s="1537">
        <v>423</v>
      </c>
      <c r="AQ17" s="1356"/>
      <c r="AR17" s="1537">
        <v>425</v>
      </c>
      <c r="AS17" s="1356"/>
      <c r="AT17" s="1537">
        <v>889</v>
      </c>
      <c r="AU17" s="1356"/>
      <c r="AV17" s="1537">
        <v>415</v>
      </c>
      <c r="AW17" s="1356"/>
      <c r="AX17" s="1537">
        <v>669</v>
      </c>
      <c r="AY17" s="1356"/>
      <c r="AZ17" s="1537">
        <v>807</v>
      </c>
      <c r="BA17" s="1356"/>
      <c r="BB17" s="1537">
        <v>285</v>
      </c>
      <c r="BC17" s="1356"/>
      <c r="BD17" s="1537">
        <v>545</v>
      </c>
      <c r="BE17" s="1356"/>
      <c r="BF17" s="1537">
        <v>561</v>
      </c>
      <c r="BG17" s="1356"/>
      <c r="BH17" s="1537">
        <v>466</v>
      </c>
      <c r="BI17" s="1356"/>
      <c r="BJ17" s="1537">
        <v>461</v>
      </c>
      <c r="BK17" s="1356"/>
      <c r="BL17" s="1537">
        <v>512</v>
      </c>
      <c r="BM17" s="1356"/>
      <c r="BN17" s="1537">
        <v>242</v>
      </c>
      <c r="BO17" s="1356"/>
      <c r="BP17" s="1537">
        <v>645</v>
      </c>
      <c r="BQ17" s="1356"/>
      <c r="BR17" s="1537">
        <v>345</v>
      </c>
      <c r="BS17" s="1356"/>
      <c r="BT17" s="1537">
        <v>136</v>
      </c>
      <c r="BU17" s="1356"/>
      <c r="BV17" s="1537">
        <v>894</v>
      </c>
      <c r="BW17" s="1356"/>
      <c r="BX17" s="1537">
        <v>742</v>
      </c>
      <c r="BY17" s="1356"/>
      <c r="BZ17" s="1537">
        <v>733</v>
      </c>
      <c r="CA17" s="1356"/>
      <c r="CB17" s="1537">
        <v>274</v>
      </c>
      <c r="CC17" s="1356"/>
      <c r="CD17" s="1537">
        <v>332</v>
      </c>
      <c r="CE17" s="1356"/>
      <c r="CF17" s="1537">
        <v>298</v>
      </c>
      <c r="CG17" s="1356"/>
      <c r="CH17" s="1537">
        <v>327</v>
      </c>
      <c r="CI17" s="1356"/>
      <c r="CJ17" s="1537">
        <v>332</v>
      </c>
      <c r="CK17" s="1356"/>
      <c r="CL17" s="1537">
        <v>783</v>
      </c>
      <c r="CM17" s="1356"/>
      <c r="CN17" s="1537">
        <v>664</v>
      </c>
      <c r="CO17" s="1356"/>
      <c r="CP17" s="1537">
        <v>560</v>
      </c>
      <c r="CQ17" s="1356"/>
      <c r="CR17" s="1537">
        <v>384</v>
      </c>
      <c r="CS17" s="1356"/>
      <c r="CT17" s="1537">
        <v>341</v>
      </c>
      <c r="CU17" s="1356"/>
      <c r="CV17" s="1537">
        <v>600</v>
      </c>
      <c r="CW17" s="1356"/>
      <c r="CX17" s="1537">
        <v>565</v>
      </c>
      <c r="CY17" s="1356"/>
      <c r="CZ17" s="1537">
        <v>296</v>
      </c>
      <c r="DA17" s="1356"/>
      <c r="DB17" s="1537">
        <v>394</v>
      </c>
      <c r="DC17" s="1356"/>
      <c r="DD17" s="1537">
        <v>333</v>
      </c>
      <c r="DE17" s="1356"/>
      <c r="DF17" s="1537">
        <v>750</v>
      </c>
      <c r="DG17" s="1356"/>
      <c r="DH17" s="1537">
        <v>3452</v>
      </c>
      <c r="DI17" s="1356"/>
      <c r="DJ17" s="1537">
        <v>275</v>
      </c>
      <c r="DK17" s="1356"/>
      <c r="DL17" s="1537">
        <v>578</v>
      </c>
      <c r="DM17" s="1356"/>
      <c r="DN17" s="1537">
        <v>212</v>
      </c>
      <c r="DO17" s="1356"/>
      <c r="DP17" s="1537">
        <v>270</v>
      </c>
      <c r="DQ17" s="1356"/>
      <c r="DR17" s="1537">
        <v>589</v>
      </c>
      <c r="DS17" s="1356"/>
      <c r="DT17" s="1537">
        <v>350</v>
      </c>
      <c r="DU17" s="1356"/>
      <c r="DV17" s="1537">
        <v>360</v>
      </c>
      <c r="DW17" s="1356"/>
      <c r="DX17" s="1537">
        <v>349</v>
      </c>
      <c r="DY17" s="1356"/>
      <c r="DZ17" s="1537">
        <v>954</v>
      </c>
      <c r="EA17" s="1356"/>
      <c r="EB17" s="1537">
        <v>386</v>
      </c>
      <c r="EC17" s="1356"/>
      <c r="ED17" s="1537">
        <v>283</v>
      </c>
      <c r="EE17" s="1356"/>
      <c r="EF17" s="1537">
        <v>258</v>
      </c>
      <c r="EG17" s="1356"/>
      <c r="EH17" s="1537">
        <v>425</v>
      </c>
      <c r="EI17" s="1356"/>
      <c r="EJ17" s="1537">
        <v>341</v>
      </c>
      <c r="EK17" s="1356"/>
      <c r="EL17" s="1537">
        <v>981</v>
      </c>
      <c r="EM17" s="1356"/>
      <c r="EN17" s="1537">
        <v>957</v>
      </c>
      <c r="EO17" s="1356"/>
      <c r="EP17" s="1537">
        <v>687</v>
      </c>
      <c r="EQ17" s="1356"/>
      <c r="ER17" s="1537">
        <v>799</v>
      </c>
      <c r="ES17" s="1356"/>
      <c r="ET17" s="1537">
        <v>480</v>
      </c>
      <c r="EU17" s="1356"/>
      <c r="EV17" s="1537">
        <v>711</v>
      </c>
      <c r="EW17" s="1356"/>
      <c r="EX17" s="1537">
        <v>570</v>
      </c>
      <c r="EY17" s="1356"/>
      <c r="EZ17" s="1537">
        <v>325</v>
      </c>
      <c r="FA17" s="1356"/>
      <c r="FB17" s="1537">
        <v>472</v>
      </c>
      <c r="FC17" s="1356"/>
      <c r="FD17" s="1537">
        <v>233</v>
      </c>
      <c r="FE17" s="1356"/>
      <c r="FF17" s="1537">
        <v>1250</v>
      </c>
      <c r="FG17" s="1356"/>
      <c r="FH17" s="1537">
        <v>326</v>
      </c>
      <c r="FI17" s="1356"/>
      <c r="FJ17" s="1537">
        <v>316</v>
      </c>
      <c r="FK17" s="1356"/>
      <c r="FL17" s="1537">
        <v>302</v>
      </c>
      <c r="FM17" s="1356"/>
      <c r="FN17" s="1537">
        <v>397</v>
      </c>
      <c r="FO17" s="1356"/>
      <c r="FP17" s="1537">
        <v>800</v>
      </c>
      <c r="FQ17" s="1356"/>
      <c r="FR17" s="1537">
        <v>636</v>
      </c>
      <c r="FS17" s="1356"/>
      <c r="FT17" s="1537">
        <v>872</v>
      </c>
      <c r="FU17" s="1356"/>
      <c r="FV17" s="1537">
        <v>680</v>
      </c>
      <c r="FW17" s="1356"/>
      <c r="FX17" s="1537">
        <v>799</v>
      </c>
      <c r="FY17" s="1356"/>
      <c r="FZ17" s="1537">
        <v>295</v>
      </c>
      <c r="GA17" s="1356"/>
      <c r="GB17" s="1537">
        <v>300</v>
      </c>
      <c r="GC17" s="1356"/>
      <c r="GD17" s="1537">
        <v>396</v>
      </c>
      <c r="GE17" s="1356"/>
      <c r="GF17" s="1537">
        <v>525</v>
      </c>
      <c r="GG17" s="1356"/>
      <c r="GH17" s="1537">
        <v>777</v>
      </c>
      <c r="GI17" s="1356"/>
      <c r="GJ17" s="1537">
        <v>1192</v>
      </c>
      <c r="GK17" s="1356"/>
      <c r="GL17" s="1537">
        <v>830</v>
      </c>
      <c r="GM17" s="1356"/>
      <c r="GN17" s="1537">
        <v>847</v>
      </c>
      <c r="GO17" s="1356"/>
      <c r="GP17" s="1537">
        <v>577</v>
      </c>
      <c r="GQ17" s="1356"/>
      <c r="GR17" s="1537">
        <v>766</v>
      </c>
      <c r="GS17" s="1356"/>
      <c r="GT17" s="1537">
        <v>821</v>
      </c>
      <c r="GU17" s="1356"/>
      <c r="GV17" s="1537">
        <v>839</v>
      </c>
      <c r="GW17" s="1356"/>
      <c r="GX17" s="1537">
        <v>799</v>
      </c>
      <c r="GY17" s="1356"/>
      <c r="GZ17" s="1537">
        <v>518</v>
      </c>
      <c r="HA17" s="1356"/>
      <c r="HB17" s="1537">
        <v>257</v>
      </c>
      <c r="HC17" s="1356"/>
      <c r="HD17" s="1537">
        <v>276</v>
      </c>
      <c r="HE17" s="1356"/>
      <c r="HF17" s="2012">
        <v>795</v>
      </c>
      <c r="HH17" s="1537">
        <v>314</v>
      </c>
      <c r="HI17" s="1356"/>
      <c r="HJ17" s="1537">
        <v>595</v>
      </c>
      <c r="HK17" s="1356"/>
      <c r="HL17" s="1537">
        <v>252</v>
      </c>
      <c r="HM17" s="1356"/>
      <c r="HN17" s="1537">
        <v>325</v>
      </c>
      <c r="HO17" s="1356"/>
      <c r="HP17" s="2012">
        <v>956</v>
      </c>
      <c r="HR17" s="1537">
        <v>340</v>
      </c>
      <c r="HS17" s="1356"/>
      <c r="HT17" s="2012">
        <v>695</v>
      </c>
      <c r="HV17" s="2012">
        <v>287</v>
      </c>
      <c r="HX17" s="2012">
        <v>311</v>
      </c>
      <c r="HZ17" s="2012">
        <v>593</v>
      </c>
      <c r="IB17" s="1537">
        <v>374</v>
      </c>
      <c r="IC17" s="1356"/>
      <c r="ID17" s="2012">
        <v>800</v>
      </c>
      <c r="IF17" s="2012">
        <v>193</v>
      </c>
    </row>
    <row r="18" spans="1:241">
      <c r="A18" s="1149"/>
      <c r="B18" s="1149"/>
      <c r="C18" s="1149" t="s">
        <v>71</v>
      </c>
      <c r="D18" s="1149"/>
      <c r="E18" s="1143"/>
      <c r="F18" s="1701">
        <v>72</v>
      </c>
      <c r="G18" s="1356"/>
      <c r="H18" s="1701">
        <v>72</v>
      </c>
      <c r="I18" s="1356"/>
      <c r="J18" s="1701">
        <v>20</v>
      </c>
      <c r="K18" s="1356"/>
      <c r="L18" s="1701">
        <v>2572</v>
      </c>
      <c r="M18" s="1356"/>
      <c r="N18" s="1701">
        <v>91</v>
      </c>
      <c r="O18" s="1356"/>
      <c r="P18" s="1701">
        <v>995</v>
      </c>
      <c r="Q18" s="1356"/>
      <c r="R18" s="1701">
        <v>437</v>
      </c>
      <c r="T18" s="1701">
        <f>924-T17</f>
        <v>243</v>
      </c>
      <c r="U18" s="1356"/>
      <c r="V18" s="1701">
        <v>283</v>
      </c>
      <c r="W18" s="1356"/>
      <c r="X18" s="1701">
        <v>494</v>
      </c>
      <c r="Y18" s="1356"/>
      <c r="Z18" s="1701">
        <v>34</v>
      </c>
      <c r="AA18" s="1356"/>
      <c r="AB18" s="1701">
        <v>0</v>
      </c>
      <c r="AC18" s="1356"/>
      <c r="AD18" s="1701">
        <v>0</v>
      </c>
      <c r="AE18" s="1356"/>
      <c r="AF18" s="1701">
        <v>750</v>
      </c>
      <c r="AG18" s="1356"/>
      <c r="AH18" s="1537">
        <v>88</v>
      </c>
      <c r="AI18" s="1356"/>
      <c r="AJ18" s="1701">
        <v>34</v>
      </c>
      <c r="AK18" s="1356"/>
      <c r="AL18" s="1701">
        <v>175</v>
      </c>
      <c r="AM18" s="1356"/>
      <c r="AN18" s="1701">
        <v>309</v>
      </c>
      <c r="AO18" s="1356"/>
      <c r="AP18" s="1701">
        <v>28</v>
      </c>
      <c r="AQ18" s="1356"/>
      <c r="AR18" s="1701">
        <v>0</v>
      </c>
      <c r="AS18" s="1356"/>
      <c r="AT18" s="1701">
        <v>191</v>
      </c>
      <c r="AU18" s="1356"/>
      <c r="AV18" s="1701">
        <v>229</v>
      </c>
      <c r="AW18" s="1356"/>
      <c r="AX18" s="1701">
        <v>412</v>
      </c>
      <c r="AY18" s="1356"/>
      <c r="AZ18" s="1701">
        <v>672</v>
      </c>
      <c r="BA18" s="1356"/>
      <c r="BB18" s="1701">
        <v>584</v>
      </c>
      <c r="BC18" s="1356"/>
      <c r="BD18" s="1701">
        <v>66</v>
      </c>
      <c r="BE18" s="1356"/>
      <c r="BF18" s="1701">
        <v>0</v>
      </c>
      <c r="BG18" s="1356"/>
      <c r="BH18" s="1701">
        <v>305</v>
      </c>
      <c r="BI18" s="1356"/>
      <c r="BJ18" s="1701">
        <v>326</v>
      </c>
      <c r="BK18" s="1356"/>
      <c r="BL18" s="1701">
        <v>160</v>
      </c>
      <c r="BM18" s="1356"/>
      <c r="BN18" s="1701">
        <v>35</v>
      </c>
      <c r="BO18" s="1356"/>
      <c r="BP18" s="1701">
        <v>70</v>
      </c>
      <c r="BQ18" s="1356"/>
      <c r="BR18" s="1701">
        <v>21</v>
      </c>
      <c r="BS18" s="1356"/>
      <c r="BT18" s="1701">
        <v>236</v>
      </c>
      <c r="BU18" s="1356"/>
      <c r="BV18" s="1701">
        <v>46</v>
      </c>
      <c r="BW18" s="1356"/>
      <c r="BX18" s="1701">
        <v>725</v>
      </c>
      <c r="BY18" s="1356"/>
      <c r="BZ18" s="1701">
        <v>261</v>
      </c>
      <c r="CA18" s="1356"/>
      <c r="CB18" s="1701">
        <v>87</v>
      </c>
      <c r="CC18" s="1356"/>
      <c r="CD18" s="1701">
        <v>369</v>
      </c>
      <c r="CE18" s="1356"/>
      <c r="CF18" s="1701">
        <v>64</v>
      </c>
      <c r="CG18" s="1356"/>
      <c r="CH18" s="1701">
        <v>80</v>
      </c>
      <c r="CI18" s="1356"/>
      <c r="CJ18" s="1701">
        <v>280</v>
      </c>
      <c r="CK18" s="1356"/>
      <c r="CL18" s="1701">
        <v>485</v>
      </c>
      <c r="CM18" s="1356"/>
      <c r="CN18" s="1701">
        <v>54</v>
      </c>
      <c r="CO18" s="1356"/>
      <c r="CP18" s="1701">
        <v>299</v>
      </c>
      <c r="CQ18" s="1356"/>
      <c r="CR18" s="1701">
        <v>139</v>
      </c>
      <c r="CS18" s="1356"/>
      <c r="CT18" s="1701">
        <f>417-341</f>
        <v>76</v>
      </c>
      <c r="CU18" s="1356"/>
      <c r="CV18" s="1701">
        <f>1057-600</f>
        <v>457</v>
      </c>
      <c r="CW18" s="1356"/>
      <c r="CX18" s="1701">
        <v>152</v>
      </c>
      <c r="CY18" s="1356"/>
      <c r="CZ18" s="1701">
        <v>19</v>
      </c>
      <c r="DA18" s="1356"/>
      <c r="DB18" s="1701">
        <v>481</v>
      </c>
      <c r="DC18" s="1356"/>
      <c r="DD18" s="1701">
        <v>132</v>
      </c>
      <c r="DE18" s="1356"/>
      <c r="DF18" s="1701">
        <v>972</v>
      </c>
      <c r="DG18" s="1356"/>
      <c r="DH18" s="1701">
        <v>0</v>
      </c>
      <c r="DI18" s="1356"/>
      <c r="DJ18" s="1701">
        <v>301</v>
      </c>
      <c r="DK18" s="1356"/>
      <c r="DL18" s="1701">
        <v>148</v>
      </c>
      <c r="DM18" s="1356"/>
      <c r="DN18" s="1701">
        <v>68</v>
      </c>
      <c r="DO18" s="1356"/>
      <c r="DP18" s="1701">
        <f>394-DP17</f>
        <v>124</v>
      </c>
      <c r="DQ18" s="1356"/>
      <c r="DR18" s="1701">
        <v>77</v>
      </c>
      <c r="DS18" s="1356"/>
      <c r="DT18" s="1701">
        <v>1186</v>
      </c>
      <c r="DU18" s="1356"/>
      <c r="DV18" s="1701">
        <v>127</v>
      </c>
      <c r="DW18" s="1356"/>
      <c r="DX18" s="1701">
        <v>125</v>
      </c>
      <c r="DY18" s="1356"/>
      <c r="DZ18" s="1701">
        <v>673</v>
      </c>
      <c r="EA18" s="1356"/>
      <c r="EB18" s="1701">
        <v>93</v>
      </c>
      <c r="EC18" s="1356"/>
      <c r="ED18" s="1701">
        <v>90</v>
      </c>
      <c r="EE18" s="1356"/>
      <c r="EF18" s="1701">
        <v>182</v>
      </c>
      <c r="EG18" s="1356"/>
      <c r="EH18" s="1701">
        <v>859</v>
      </c>
      <c r="EI18" s="1356"/>
      <c r="EJ18" s="1701">
        <f>1137-EJ17</f>
        <v>796</v>
      </c>
      <c r="EK18" s="1356"/>
      <c r="EL18" s="1701">
        <v>500</v>
      </c>
      <c r="EM18" s="1356"/>
      <c r="EN18" s="1701">
        <v>0</v>
      </c>
      <c r="EO18" s="1356"/>
      <c r="EP18" s="1701">
        <f>744-EP17</f>
        <v>57</v>
      </c>
      <c r="EQ18" s="1356"/>
      <c r="ER18" s="1701">
        <v>0</v>
      </c>
      <c r="ES18" s="1356"/>
      <c r="ET18" s="1701">
        <v>547</v>
      </c>
      <c r="EU18" s="1356"/>
      <c r="EV18" s="1701">
        <v>1699</v>
      </c>
      <c r="EW18" s="1356"/>
      <c r="EX18" s="1701">
        <v>64</v>
      </c>
      <c r="EY18" s="1356"/>
      <c r="EZ18" s="1701">
        <v>64</v>
      </c>
      <c r="FA18" s="1356"/>
      <c r="FB18" s="1701">
        <v>158</v>
      </c>
      <c r="FC18" s="1356"/>
      <c r="FD18" s="1701">
        <v>507</v>
      </c>
      <c r="FE18" s="1356"/>
      <c r="FF18" s="1701">
        <v>24</v>
      </c>
      <c r="FG18" s="1356"/>
      <c r="FH18" s="1701">
        <v>17</v>
      </c>
      <c r="FI18" s="1356"/>
      <c r="FJ18" s="1701">
        <v>255</v>
      </c>
      <c r="FK18" s="1356"/>
      <c r="FL18" s="1701">
        <v>0</v>
      </c>
      <c r="FM18" s="1356"/>
      <c r="FN18" s="1701">
        <v>142</v>
      </c>
      <c r="FO18" s="1356"/>
      <c r="FP18" s="1701">
        <v>0</v>
      </c>
      <c r="FQ18" s="1356"/>
      <c r="FR18" s="1701">
        <v>821</v>
      </c>
      <c r="FS18" s="1356"/>
      <c r="FT18" s="1701">
        <f>28+9+42+17+198+110</f>
        <v>404</v>
      </c>
      <c r="FU18" s="1356"/>
      <c r="FV18" s="1701">
        <v>55</v>
      </c>
      <c r="FW18" s="1356"/>
      <c r="FX18" s="1701">
        <v>19</v>
      </c>
      <c r="FY18" s="1356"/>
      <c r="FZ18" s="1701">
        <v>173</v>
      </c>
      <c r="GA18" s="1356"/>
      <c r="GB18" s="1701">
        <v>0</v>
      </c>
      <c r="GC18" s="1356"/>
      <c r="GD18" s="1701">
        <f>1082-GD17</f>
        <v>686</v>
      </c>
      <c r="GE18" s="1356"/>
      <c r="GF18" s="1701">
        <v>211</v>
      </c>
      <c r="GG18" s="1356"/>
      <c r="GH18" s="1701">
        <v>20</v>
      </c>
      <c r="GI18" s="1356"/>
      <c r="GJ18" s="1701">
        <v>191</v>
      </c>
      <c r="GK18" s="1356"/>
      <c r="GL18" s="1701">
        <v>461</v>
      </c>
      <c r="GM18" s="1356"/>
      <c r="GN18" s="1701">
        <v>0</v>
      </c>
      <c r="GO18" s="1356"/>
      <c r="GP18" s="1701">
        <f>617-577</f>
        <v>40</v>
      </c>
      <c r="GQ18" s="1356"/>
      <c r="GR18" s="1701">
        <v>0</v>
      </c>
      <c r="GS18" s="1356"/>
      <c r="GT18" s="1701">
        <v>429</v>
      </c>
      <c r="GU18" s="1356"/>
      <c r="GV18" s="1701">
        <f>1184-839</f>
        <v>345</v>
      </c>
      <c r="GW18" s="1356"/>
      <c r="GX18" s="1701">
        <v>0</v>
      </c>
      <c r="GY18" s="1356"/>
      <c r="GZ18" s="1701">
        <f>1162-GZ17</f>
        <v>644</v>
      </c>
      <c r="HA18" s="1356"/>
      <c r="HB18" s="1701">
        <v>82</v>
      </c>
      <c r="HC18" s="1356"/>
      <c r="HD18" s="1701">
        <f>313-HD17</f>
        <v>37</v>
      </c>
      <c r="HE18" s="1356"/>
      <c r="HF18" s="2016">
        <v>375</v>
      </c>
      <c r="HH18" s="1701">
        <v>0</v>
      </c>
      <c r="HI18" s="1356"/>
      <c r="HJ18" s="1701">
        <v>1045</v>
      </c>
      <c r="HK18" s="1356"/>
      <c r="HL18" s="1701">
        <v>317</v>
      </c>
      <c r="HM18" s="1356"/>
      <c r="HN18" s="1701">
        <v>222</v>
      </c>
      <c r="HO18" s="1356"/>
      <c r="HP18" s="2016">
        <v>793</v>
      </c>
      <c r="HR18" s="1701">
        <v>147</v>
      </c>
      <c r="HS18" s="1356"/>
      <c r="HT18" s="2016">
        <v>305</v>
      </c>
      <c r="HV18" s="2016">
        <v>143</v>
      </c>
      <c r="HX18" s="2016">
        <v>191</v>
      </c>
      <c r="HZ18" s="2016">
        <f>241+106</f>
        <v>347</v>
      </c>
      <c r="IB18" s="1701">
        <f>+-16+119</f>
        <v>103</v>
      </c>
      <c r="IC18" s="1356"/>
      <c r="ID18" s="2016"/>
      <c r="IF18" s="2016">
        <v>913</v>
      </c>
    </row>
    <row r="19" spans="1:241">
      <c r="A19" s="1149"/>
      <c r="B19" s="1149"/>
      <c r="C19" s="1149"/>
      <c r="D19" s="1149"/>
      <c r="E19" s="1143"/>
      <c r="F19" s="1406"/>
      <c r="G19" s="1356"/>
      <c r="H19" s="1406"/>
      <c r="I19" s="1356"/>
      <c r="J19" s="1406"/>
      <c r="K19" s="1356"/>
      <c r="L19" s="1406"/>
      <c r="M19" s="1356"/>
      <c r="N19" s="1406"/>
      <c r="O19" s="1356"/>
      <c r="P19" s="1406"/>
      <c r="Q19" s="1356"/>
      <c r="T19" s="1406"/>
      <c r="U19" s="1356"/>
      <c r="V19" s="1406"/>
      <c r="W19" s="1356"/>
      <c r="X19" s="1406"/>
      <c r="Y19" s="1356"/>
      <c r="Z19" s="1406"/>
      <c r="AA19" s="1356"/>
      <c r="AB19" s="1406"/>
      <c r="AC19" s="1356"/>
      <c r="AD19" s="1406"/>
      <c r="AE19" s="1356"/>
      <c r="AF19" s="1406"/>
      <c r="AG19" s="1356"/>
      <c r="AH19" s="1406"/>
      <c r="AI19" s="1356"/>
      <c r="AJ19" s="1406"/>
      <c r="AK19" s="1356"/>
      <c r="AL19" s="1406"/>
      <c r="AM19" s="1356"/>
      <c r="AN19" s="1406"/>
      <c r="AO19" s="1356"/>
      <c r="AP19" s="1406"/>
      <c r="AQ19" s="1356"/>
      <c r="AR19" s="1406"/>
      <c r="AS19" s="1356"/>
      <c r="AT19" s="1406"/>
      <c r="AU19" s="1356"/>
      <c r="AV19" s="1406"/>
      <c r="AW19" s="1356"/>
      <c r="AX19" s="1406"/>
      <c r="AY19" s="1356"/>
      <c r="AZ19" s="1406"/>
      <c r="BA19" s="1356"/>
      <c r="BB19" s="1406"/>
      <c r="BC19" s="1356"/>
      <c r="BD19" s="1406"/>
      <c r="BE19" s="1356"/>
      <c r="BF19" s="1406"/>
      <c r="BG19" s="1356"/>
      <c r="BH19" s="1406"/>
      <c r="BI19" s="1356"/>
      <c r="BJ19" s="1406"/>
      <c r="BK19" s="1356"/>
      <c r="BL19" s="1406"/>
      <c r="BM19" s="1356"/>
      <c r="BN19" s="1406"/>
      <c r="BO19" s="1356"/>
      <c r="BP19" s="1406"/>
      <c r="BQ19" s="1356"/>
      <c r="BR19" s="1406"/>
      <c r="BS19" s="1356"/>
      <c r="BT19" s="1406"/>
      <c r="BU19" s="1356"/>
      <c r="BV19" s="1406"/>
      <c r="BW19" s="1356"/>
      <c r="BX19" s="1406"/>
      <c r="BY19" s="1356"/>
      <c r="BZ19" s="1406"/>
      <c r="CA19" s="1356"/>
      <c r="CB19" s="1406"/>
      <c r="CC19" s="1356"/>
      <c r="CD19" s="1406"/>
      <c r="CE19" s="1356"/>
      <c r="CF19" s="1406"/>
      <c r="CG19" s="1356"/>
      <c r="CH19" s="1406"/>
      <c r="CI19" s="1356"/>
      <c r="CJ19" s="1406"/>
      <c r="CK19" s="1356"/>
      <c r="CL19" s="1406"/>
      <c r="CM19" s="1356"/>
      <c r="CN19" s="1406"/>
      <c r="CO19" s="1356"/>
      <c r="CP19" s="1406"/>
      <c r="CQ19" s="1356"/>
      <c r="CR19" s="1406"/>
      <c r="CS19" s="1356"/>
      <c r="CT19" s="1406"/>
      <c r="CU19" s="1356"/>
      <c r="CV19" s="1406"/>
      <c r="CW19" s="1356"/>
      <c r="CX19" s="1406"/>
      <c r="CY19" s="1356"/>
      <c r="CZ19" s="1406"/>
      <c r="DA19" s="1356"/>
      <c r="DB19" s="1406"/>
      <c r="DC19" s="1356"/>
      <c r="DD19" s="1406"/>
      <c r="DE19" s="1356"/>
      <c r="DF19" s="1406"/>
      <c r="DG19" s="1356"/>
      <c r="DH19" s="1406"/>
      <c r="DI19" s="1356"/>
      <c r="DJ19" s="1406"/>
      <c r="DK19" s="1356"/>
      <c r="DL19" s="1406"/>
      <c r="DM19" s="1356"/>
      <c r="DN19" s="1406"/>
      <c r="DO19" s="1356"/>
      <c r="DP19" s="1406"/>
      <c r="DQ19" s="1356"/>
      <c r="DR19" s="1406"/>
      <c r="DS19" s="1356"/>
      <c r="DT19" s="1406"/>
      <c r="DU19" s="1356"/>
      <c r="DV19" s="1406"/>
      <c r="DW19" s="1356"/>
      <c r="DX19" s="1406"/>
      <c r="DY19" s="1356"/>
      <c r="DZ19" s="1406"/>
      <c r="EA19" s="1356"/>
      <c r="EB19" s="1406"/>
      <c r="EC19" s="1356"/>
      <c r="ED19" s="1406"/>
      <c r="EE19" s="1356"/>
      <c r="EF19" s="1406"/>
      <c r="EG19" s="1356"/>
      <c r="EH19" s="1406"/>
      <c r="EI19" s="1356"/>
      <c r="EJ19" s="1406"/>
      <c r="EK19" s="1356"/>
      <c r="EL19" s="1406"/>
      <c r="EM19" s="1356"/>
      <c r="EN19" s="1406"/>
      <c r="EO19" s="1356"/>
      <c r="EP19" s="1406"/>
      <c r="EQ19" s="1356"/>
      <c r="ER19" s="1406"/>
      <c r="ES19" s="1356"/>
      <c r="ET19" s="1406"/>
      <c r="EU19" s="1356"/>
      <c r="EV19" s="1406"/>
      <c r="EW19" s="1356"/>
      <c r="EX19" s="1406"/>
      <c r="EY19" s="1356"/>
      <c r="EZ19" s="1406"/>
      <c r="FA19" s="1356"/>
      <c r="FB19" s="1406"/>
      <c r="FC19" s="1356"/>
      <c r="FD19" s="1406"/>
      <c r="FE19" s="1356"/>
      <c r="FF19" s="1406"/>
      <c r="FG19" s="1356"/>
      <c r="FH19" s="1406"/>
      <c r="FI19" s="1356"/>
      <c r="FJ19" s="1406"/>
      <c r="FK19" s="1356"/>
      <c r="FL19" s="1406"/>
      <c r="FM19" s="1356"/>
      <c r="FN19" s="1406"/>
      <c r="FO19" s="1356"/>
      <c r="FP19" s="1406"/>
      <c r="FQ19" s="1356"/>
      <c r="FR19" s="1406"/>
      <c r="FS19" s="1356"/>
      <c r="FT19" s="1406"/>
      <c r="FU19" s="1356"/>
      <c r="FV19" s="1406"/>
      <c r="FW19" s="1356"/>
      <c r="FX19" s="1406"/>
      <c r="FY19" s="1356"/>
      <c r="FZ19" s="1406"/>
      <c r="GA19" s="1356"/>
      <c r="GB19" s="1406"/>
      <c r="GC19" s="1356"/>
      <c r="GD19" s="1406"/>
      <c r="GE19" s="1356"/>
      <c r="GF19" s="1406"/>
      <c r="GG19" s="1356"/>
      <c r="GH19" s="1406"/>
      <c r="GI19" s="1356"/>
      <c r="GJ19" s="1406"/>
      <c r="GK19" s="1356"/>
      <c r="GL19" s="1406"/>
      <c r="GM19" s="1356"/>
      <c r="GN19" s="1406"/>
      <c r="GO19" s="1356"/>
      <c r="GP19" s="1406"/>
      <c r="GQ19" s="1356"/>
      <c r="GR19" s="1406"/>
      <c r="GS19" s="1356"/>
      <c r="GT19" s="1406"/>
      <c r="GU19" s="1356"/>
      <c r="GV19" s="1406"/>
      <c r="GW19" s="1356"/>
      <c r="GX19" s="1406"/>
      <c r="GY19" s="1356"/>
      <c r="GZ19" s="1406"/>
      <c r="HA19" s="1356"/>
      <c r="HB19" s="1406"/>
      <c r="HC19" s="1356"/>
      <c r="HD19" s="1406"/>
      <c r="HE19" s="1356"/>
      <c r="HF19" s="2017"/>
      <c r="HH19" s="1406"/>
      <c r="HI19" s="1356"/>
      <c r="HJ19" s="1406"/>
      <c r="HK19" s="1356"/>
      <c r="HL19" s="1406"/>
      <c r="HM19" s="1356"/>
      <c r="HN19" s="1406"/>
      <c r="HO19" s="1356"/>
      <c r="HP19" s="2017"/>
      <c r="HR19" s="1406"/>
      <c r="HS19" s="1356"/>
      <c r="HT19" s="2017"/>
      <c r="HV19" s="2017"/>
      <c r="HX19" s="2017"/>
      <c r="HZ19" s="2017"/>
      <c r="IB19" s="1406"/>
      <c r="IC19" s="1356"/>
      <c r="ID19" s="2017"/>
      <c r="IF19" s="2017"/>
    </row>
    <row r="20" spans="1:241">
      <c r="A20" s="1149"/>
      <c r="B20" s="1149"/>
      <c r="C20" s="1149" t="s">
        <v>4</v>
      </c>
      <c r="D20" s="1149"/>
      <c r="E20" s="1143"/>
      <c r="F20" s="1702">
        <f>+F17+F18</f>
        <v>372</v>
      </c>
      <c r="G20" s="1356"/>
      <c r="H20" s="1702">
        <f>+H17+H18</f>
        <v>372</v>
      </c>
      <c r="I20" s="1356"/>
      <c r="J20" s="1702">
        <f>+J17+J18</f>
        <v>347</v>
      </c>
      <c r="K20" s="1356"/>
      <c r="L20" s="1702">
        <f>+L17+L18</f>
        <v>3252</v>
      </c>
      <c r="M20" s="1356"/>
      <c r="N20" s="1702">
        <f>+N17+N18</f>
        <v>324</v>
      </c>
      <c r="O20" s="1356"/>
      <c r="P20" s="1702">
        <f>+P17+P18</f>
        <v>2234</v>
      </c>
      <c r="Q20" s="1356"/>
      <c r="R20" s="1702">
        <f>+R17+R18</f>
        <v>927</v>
      </c>
      <c r="T20" s="1702">
        <f>+T17+T18</f>
        <v>924</v>
      </c>
      <c r="U20" s="1356"/>
      <c r="V20" s="1702">
        <f>+V17+V18</f>
        <v>1133</v>
      </c>
      <c r="W20" s="1356"/>
      <c r="X20" s="1702">
        <f>+X17+X18</f>
        <v>1027</v>
      </c>
      <c r="Y20" s="1356"/>
      <c r="Z20" s="1702">
        <f>+Z17+Z18</f>
        <v>619</v>
      </c>
      <c r="AA20" s="1356"/>
      <c r="AB20" s="1702">
        <f>+AB17+AB18</f>
        <v>931</v>
      </c>
      <c r="AC20" s="1356"/>
      <c r="AD20" s="1702">
        <f>+AD17+AD18</f>
        <v>599</v>
      </c>
      <c r="AE20" s="1356"/>
      <c r="AF20" s="1702">
        <f>+AF17+AF18</f>
        <v>1150</v>
      </c>
      <c r="AG20" s="1356"/>
      <c r="AH20" s="1702">
        <f>+AH17+AH18</f>
        <v>537</v>
      </c>
      <c r="AI20" s="1356"/>
      <c r="AJ20" s="1702">
        <f>+AJ17+AJ18</f>
        <v>315</v>
      </c>
      <c r="AK20" s="1356"/>
      <c r="AL20" s="1702">
        <f>+AL17+AL18</f>
        <v>594</v>
      </c>
      <c r="AM20" s="1356"/>
      <c r="AN20" s="1702">
        <f>+AN17+AN18</f>
        <v>709</v>
      </c>
      <c r="AO20" s="1356"/>
      <c r="AP20" s="1702">
        <f>+AP17+AP18</f>
        <v>451</v>
      </c>
      <c r="AQ20" s="1356"/>
      <c r="AR20" s="1702">
        <f>+AR17+AR18</f>
        <v>425</v>
      </c>
      <c r="AS20" s="1356"/>
      <c r="AT20" s="1702">
        <f>+AT17+AT18</f>
        <v>1080</v>
      </c>
      <c r="AU20" s="1356"/>
      <c r="AV20" s="1702">
        <f>+AV17+AV18</f>
        <v>644</v>
      </c>
      <c r="AW20" s="1356"/>
      <c r="AX20" s="1702">
        <f>+AX17+AX18</f>
        <v>1081</v>
      </c>
      <c r="AY20" s="1356"/>
      <c r="AZ20" s="1702">
        <f>+AZ17+AZ18</f>
        <v>1479</v>
      </c>
      <c r="BA20" s="1356"/>
      <c r="BB20" s="1702">
        <f>+BB17+BB18</f>
        <v>869</v>
      </c>
      <c r="BC20" s="1356"/>
      <c r="BD20" s="1702">
        <f>+BD17+BD18</f>
        <v>611</v>
      </c>
      <c r="BE20" s="1356"/>
      <c r="BF20" s="1702">
        <f>+BF17+BF18</f>
        <v>561</v>
      </c>
      <c r="BG20" s="1356"/>
      <c r="BH20" s="1702">
        <f>+BH17+BH18</f>
        <v>771</v>
      </c>
      <c r="BI20" s="1356"/>
      <c r="BJ20" s="1702">
        <f>+BJ17+BJ18</f>
        <v>787</v>
      </c>
      <c r="BK20" s="1356"/>
      <c r="BL20" s="1702">
        <f>+BL17+BL18</f>
        <v>672</v>
      </c>
      <c r="BM20" s="1356"/>
      <c r="BN20" s="1702">
        <f>+BN17+BN18</f>
        <v>277</v>
      </c>
      <c r="BO20" s="1356"/>
      <c r="BP20" s="1702">
        <f>+BP17+BP18</f>
        <v>715</v>
      </c>
      <c r="BQ20" s="1356"/>
      <c r="BR20" s="1702">
        <f>+BR17+BR18</f>
        <v>366</v>
      </c>
      <c r="BS20" s="1356"/>
      <c r="BT20" s="1702">
        <f>+BT17+BT18</f>
        <v>372</v>
      </c>
      <c r="BU20" s="1356"/>
      <c r="BV20" s="1702">
        <f>+BV17+BV18</f>
        <v>940</v>
      </c>
      <c r="BW20" s="1356"/>
      <c r="BX20" s="1702">
        <f>+BX17+BX18</f>
        <v>1467</v>
      </c>
      <c r="BY20" s="1356"/>
      <c r="BZ20" s="1702">
        <f>+BZ17+BZ18</f>
        <v>994</v>
      </c>
      <c r="CA20" s="1356"/>
      <c r="CB20" s="1702">
        <f>+CB17+CB18</f>
        <v>361</v>
      </c>
      <c r="CC20" s="1356"/>
      <c r="CD20" s="1702">
        <f>+CD17+CD18</f>
        <v>701</v>
      </c>
      <c r="CE20" s="1356"/>
      <c r="CF20" s="1702">
        <v>362</v>
      </c>
      <c r="CG20" s="1356"/>
      <c r="CH20" s="1702">
        <f>+CH17+CH18</f>
        <v>407</v>
      </c>
      <c r="CI20" s="1356"/>
      <c r="CJ20" s="1702">
        <v>612</v>
      </c>
      <c r="CK20" s="1356"/>
      <c r="CL20" s="1702">
        <v>1268</v>
      </c>
      <c r="CM20" s="1356"/>
      <c r="CN20" s="1702">
        <f>+CN17+CN18</f>
        <v>718</v>
      </c>
      <c r="CO20" s="1356"/>
      <c r="CP20" s="1702">
        <f>+CP17+CP18</f>
        <v>859</v>
      </c>
      <c r="CQ20" s="1356"/>
      <c r="CR20" s="1702">
        <v>523</v>
      </c>
      <c r="CS20" s="1356"/>
      <c r="CT20" s="1702">
        <f>+CT17+CT18</f>
        <v>417</v>
      </c>
      <c r="CU20" s="1356"/>
      <c r="CV20" s="1702">
        <f>+CV17+CV18</f>
        <v>1057</v>
      </c>
      <c r="CW20" s="1356"/>
      <c r="CX20" s="1702">
        <f>+CX17+CX18</f>
        <v>717</v>
      </c>
      <c r="CY20" s="1356"/>
      <c r="CZ20" s="1702">
        <v>315</v>
      </c>
      <c r="DA20" s="1356"/>
      <c r="DB20" s="1702">
        <v>875</v>
      </c>
      <c r="DC20" s="1356"/>
      <c r="DD20" s="1702">
        <v>465</v>
      </c>
      <c r="DE20" s="1356"/>
      <c r="DF20" s="1702">
        <v>1722</v>
      </c>
      <c r="DG20" s="1356"/>
      <c r="DH20" s="1702">
        <v>3452</v>
      </c>
      <c r="DI20" s="1356"/>
      <c r="DJ20" s="1702">
        <v>576</v>
      </c>
      <c r="DK20" s="1356"/>
      <c r="DL20" s="1702">
        <v>726</v>
      </c>
      <c r="DM20" s="1356"/>
      <c r="DN20" s="1702">
        <f>+DN17+DN18</f>
        <v>280</v>
      </c>
      <c r="DO20" s="1356"/>
      <c r="DP20" s="1702">
        <f>+DP17+DP18</f>
        <v>394</v>
      </c>
      <c r="DQ20" s="1356"/>
      <c r="DR20" s="1702">
        <f>+DR17+DR18</f>
        <v>666</v>
      </c>
      <c r="DS20" s="1356"/>
      <c r="DT20" s="1702">
        <f>+DT17+DT18</f>
        <v>1536</v>
      </c>
      <c r="DU20" s="1356"/>
      <c r="DV20" s="1702">
        <f>+DV17+DV18</f>
        <v>487</v>
      </c>
      <c r="DW20" s="1356"/>
      <c r="DX20" s="1702">
        <f>+DX17+DX18</f>
        <v>474</v>
      </c>
      <c r="DY20" s="1356"/>
      <c r="DZ20" s="1702">
        <f>+DZ17+DZ18</f>
        <v>1627</v>
      </c>
      <c r="EA20" s="1356"/>
      <c r="EB20" s="1702">
        <f>+EB17+EB18</f>
        <v>479</v>
      </c>
      <c r="EC20" s="1356"/>
      <c r="ED20" s="1702">
        <f>+ED17+ED18</f>
        <v>373</v>
      </c>
      <c r="EE20" s="1356"/>
      <c r="EF20" s="1702">
        <f>+EF17+EF18</f>
        <v>440</v>
      </c>
      <c r="EG20" s="1356"/>
      <c r="EH20" s="1702">
        <f>+EH17+EH18</f>
        <v>1284</v>
      </c>
      <c r="EI20" s="1356"/>
      <c r="EJ20" s="1702">
        <f>+EJ17+EJ18</f>
        <v>1137</v>
      </c>
      <c r="EK20" s="1356"/>
      <c r="EL20" s="1702">
        <f>+EL17+EL18</f>
        <v>1481</v>
      </c>
      <c r="EM20" s="1356"/>
      <c r="EN20" s="1702">
        <f>+EN17+EN18</f>
        <v>957</v>
      </c>
      <c r="EO20" s="1356"/>
      <c r="EP20" s="1702">
        <f>+EP17+EP18</f>
        <v>744</v>
      </c>
      <c r="EQ20" s="1356"/>
      <c r="ER20" s="1702">
        <f>+ER17+ER18</f>
        <v>799</v>
      </c>
      <c r="ES20" s="1356"/>
      <c r="ET20" s="1702">
        <f>+ET17+ET18</f>
        <v>1027</v>
      </c>
      <c r="EU20" s="1356"/>
      <c r="EV20" s="1702">
        <f>+EV17+EV18</f>
        <v>2410</v>
      </c>
      <c r="EW20" s="1356"/>
      <c r="EX20" s="1702">
        <f>+EX17+EX18</f>
        <v>634</v>
      </c>
      <c r="EY20" s="1356"/>
      <c r="EZ20" s="1702">
        <f>+EZ17+EZ18</f>
        <v>389</v>
      </c>
      <c r="FA20" s="1356"/>
      <c r="FB20" s="1702">
        <f>+FB17+FB18</f>
        <v>630</v>
      </c>
      <c r="FC20" s="1356"/>
      <c r="FD20" s="1702">
        <f>+FD17+FD18</f>
        <v>740</v>
      </c>
      <c r="FE20" s="1356"/>
      <c r="FF20" s="1702">
        <f>+FF17+FF18</f>
        <v>1274</v>
      </c>
      <c r="FG20" s="1356"/>
      <c r="FH20" s="1702">
        <f>+FH17+FH18</f>
        <v>343</v>
      </c>
      <c r="FI20" s="1356"/>
      <c r="FJ20" s="1702">
        <f>+FJ17+FJ18</f>
        <v>571</v>
      </c>
      <c r="FK20" s="1356"/>
      <c r="FL20" s="1702">
        <f>+FL17+FL18</f>
        <v>302</v>
      </c>
      <c r="FM20" s="1356"/>
      <c r="FN20" s="1702">
        <f>+FN17+FN18</f>
        <v>539</v>
      </c>
      <c r="FO20" s="1356"/>
      <c r="FP20" s="1702">
        <f>+FP17+FP18</f>
        <v>800</v>
      </c>
      <c r="FQ20" s="1356"/>
      <c r="FR20" s="1702">
        <f>+FR17+FR18</f>
        <v>1457</v>
      </c>
      <c r="FS20" s="1356"/>
      <c r="FT20" s="1702">
        <f>+FT17+FT18</f>
        <v>1276</v>
      </c>
      <c r="FU20" s="1356"/>
      <c r="FV20" s="1702">
        <f>+FV17+FV18</f>
        <v>735</v>
      </c>
      <c r="FW20" s="1356"/>
      <c r="FX20" s="1702">
        <f>+FX17+FX18</f>
        <v>818</v>
      </c>
      <c r="FY20" s="1356"/>
      <c r="FZ20" s="1702">
        <f>+FZ17+FZ18</f>
        <v>468</v>
      </c>
      <c r="GA20" s="1356"/>
      <c r="GB20" s="1702">
        <f>+GB17+GB18</f>
        <v>300</v>
      </c>
      <c r="GC20" s="1356"/>
      <c r="GD20" s="1702">
        <f>+GD17+GD18</f>
        <v>1082</v>
      </c>
      <c r="GE20" s="1356"/>
      <c r="GF20" s="1702">
        <f>+GF17+GF18</f>
        <v>736</v>
      </c>
      <c r="GG20" s="1356"/>
      <c r="GH20" s="1702">
        <f>+GH17+GH18</f>
        <v>797</v>
      </c>
      <c r="GI20" s="1356"/>
      <c r="GJ20" s="1702">
        <f>+GJ17+GJ18</f>
        <v>1383</v>
      </c>
      <c r="GK20" s="1356"/>
      <c r="GL20" s="1702">
        <f>+GL17+GL18</f>
        <v>1291</v>
      </c>
      <c r="GM20" s="1356"/>
      <c r="GN20" s="1702">
        <f>+GN17+GN18</f>
        <v>847</v>
      </c>
      <c r="GO20" s="1356"/>
      <c r="GP20" s="1702">
        <f>+GP17+GP18</f>
        <v>617</v>
      </c>
      <c r="GQ20" s="1356"/>
      <c r="GR20" s="1702">
        <f>+GR17+GR18</f>
        <v>766</v>
      </c>
      <c r="GS20" s="1356"/>
      <c r="GT20" s="1702">
        <f>+GT17+GT18</f>
        <v>1250</v>
      </c>
      <c r="GU20" s="1356"/>
      <c r="GV20" s="1702">
        <f>+GV17+GV18</f>
        <v>1184</v>
      </c>
      <c r="GW20" s="1356"/>
      <c r="GX20" s="1702">
        <f>+GX17+GX18</f>
        <v>799</v>
      </c>
      <c r="GY20" s="1356"/>
      <c r="GZ20" s="1702">
        <f>+GZ17+GZ18</f>
        <v>1162</v>
      </c>
      <c r="HA20" s="1356"/>
      <c r="HB20" s="1702">
        <f>+HB17+HB18</f>
        <v>339</v>
      </c>
      <c r="HC20" s="1356"/>
      <c r="HD20" s="1702">
        <f>+HD17+HD18</f>
        <v>313</v>
      </c>
      <c r="HE20" s="1356"/>
      <c r="HF20" s="2018">
        <f>+HF17+HF18</f>
        <v>1170</v>
      </c>
      <c r="HH20" s="1702">
        <f>+HH17+HH18</f>
        <v>314</v>
      </c>
      <c r="HI20" s="1356"/>
      <c r="HJ20" s="1702">
        <f>+HJ17+HJ18</f>
        <v>1640</v>
      </c>
      <c r="HK20" s="1356"/>
      <c r="HL20" s="1702">
        <f>+HL17+HL18</f>
        <v>569</v>
      </c>
      <c r="HM20" s="1356"/>
      <c r="HN20" s="1702">
        <f>+HN17+HN18</f>
        <v>547</v>
      </c>
      <c r="HO20" s="1356"/>
      <c r="HP20" s="2018">
        <f>+HP17+HP18</f>
        <v>1749</v>
      </c>
      <c r="HR20" s="1702">
        <f>+HR17+HR18</f>
        <v>487</v>
      </c>
      <c r="HS20" s="1356"/>
      <c r="HT20" s="2018">
        <f>+HT17+HT18</f>
        <v>1000</v>
      </c>
      <c r="HV20" s="2018">
        <f>+HV17+HV18</f>
        <v>430</v>
      </c>
      <c r="HX20" s="2018">
        <f>+HX17+HX18</f>
        <v>502</v>
      </c>
      <c r="HZ20" s="2018">
        <f>+HZ17+HZ18</f>
        <v>940</v>
      </c>
      <c r="IB20" s="1702">
        <f>+IB17+IB18</f>
        <v>477</v>
      </c>
      <c r="IC20" s="1356"/>
      <c r="ID20" s="2018">
        <f>+ID17+ID18</f>
        <v>800</v>
      </c>
      <c r="IF20" s="2018">
        <f>+IF17+IF18</f>
        <v>1106</v>
      </c>
    </row>
    <row r="21" spans="1:241">
      <c r="A21" s="1149"/>
      <c r="B21" s="1149"/>
      <c r="C21" s="1150" t="s">
        <v>1041</v>
      </c>
      <c r="D21" s="1149"/>
      <c r="E21" s="1143"/>
      <c r="F21" s="1702">
        <f>F133/F46</f>
        <v>317.84779816513759</v>
      </c>
      <c r="G21" s="1356"/>
      <c r="H21" s="1702">
        <f>H133/H46</f>
        <v>323.70663157894739</v>
      </c>
      <c r="I21" s="1356"/>
      <c r="J21" s="1702">
        <f>J133/J46</f>
        <v>334.07961904761908</v>
      </c>
      <c r="K21" s="1356"/>
      <c r="L21" s="1702">
        <f>L133/L46</f>
        <v>2755.7982640715413</v>
      </c>
      <c r="M21" s="1356"/>
      <c r="N21" s="1702">
        <f>N133/N46</f>
        <v>289.144005302842</v>
      </c>
      <c r="O21" s="1356"/>
      <c r="P21" s="1702">
        <f>P133/P46</f>
        <v>1568.4633333333334</v>
      </c>
      <c r="Q21" s="1356"/>
      <c r="R21" s="1702">
        <f>R133/R46</f>
        <v>611.57434447300773</v>
      </c>
      <c r="T21" s="1702">
        <f>T133/T46</f>
        <v>796.04374838208651</v>
      </c>
      <c r="U21" s="1356"/>
      <c r="V21" s="1702">
        <f>V133/V46</f>
        <v>869.33890909090906</v>
      </c>
      <c r="W21" s="1356"/>
      <c r="X21" s="1702">
        <f>X133/X46</f>
        <v>956.0452214452215</v>
      </c>
      <c r="Y21" s="1356"/>
      <c r="Z21" s="1702">
        <f>Z133/Z46</f>
        <v>605.25606641123886</v>
      </c>
      <c r="AA21" s="1356"/>
      <c r="AB21" s="1702">
        <f>AB133/AB46</f>
        <v>931</v>
      </c>
      <c r="AC21" s="1356"/>
      <c r="AD21" s="1702">
        <f>AD133/AD46</f>
        <v>991.41298123884269</v>
      </c>
      <c r="AE21" s="1356"/>
      <c r="AF21" s="1702">
        <f>AF133/AF46</f>
        <v>701.0149453918375</v>
      </c>
      <c r="AG21" s="1356"/>
      <c r="AH21" s="1702">
        <f>AH133/AH46</f>
        <v>488.58945660989457</v>
      </c>
      <c r="AI21" s="1356"/>
      <c r="AJ21" s="1702">
        <f>AJ133/AJ46</f>
        <v>305.96120000000002</v>
      </c>
      <c r="AK21" s="1356"/>
      <c r="AL21" s="1702">
        <f>AL133/AL46</f>
        <v>964.04636363636359</v>
      </c>
      <c r="AM21" s="1356"/>
      <c r="AN21" s="1702">
        <f>AN133/AN46</f>
        <v>503.07540439651598</v>
      </c>
      <c r="AO21" s="1356"/>
      <c r="AP21" s="1702">
        <f>AP133/AP46</f>
        <v>410.89418604651161</v>
      </c>
      <c r="AQ21" s="1356"/>
      <c r="AR21" s="1702">
        <f>AR133/AR46</f>
        <v>466.79734939759038</v>
      </c>
      <c r="AS21" s="1356"/>
      <c r="AT21" s="1702">
        <f>AT133/AT46</f>
        <v>864.0573333333333</v>
      </c>
      <c r="AU21" s="1356"/>
      <c r="AV21" s="1702">
        <f>AV133/AV46</f>
        <v>521.18082632802714</v>
      </c>
      <c r="AW21" s="1356"/>
      <c r="AX21" s="1702">
        <f>AX133/AX46</f>
        <v>858.40085548426521</v>
      </c>
      <c r="AY21" s="1356"/>
      <c r="AZ21" s="1702">
        <f>AZ133/AZ46</f>
        <v>1116.314952638701</v>
      </c>
      <c r="BA21" s="1356"/>
      <c r="BB21" s="1702">
        <f>BB133/BB46</f>
        <v>505.73950414651</v>
      </c>
      <c r="BC21" s="1356"/>
      <c r="BD21" s="1702">
        <f>BD133/BD46</f>
        <v>645.16440422322773</v>
      </c>
      <c r="BE21" s="1356"/>
      <c r="BF21" s="1702">
        <f>BF133/BF46</f>
        <v>561.03128387796187</v>
      </c>
      <c r="BG21" s="1356"/>
      <c r="BH21" s="1702">
        <f>BH133/BH46</f>
        <v>464.58027767888927</v>
      </c>
      <c r="BI21" s="1356"/>
      <c r="BJ21" s="1702">
        <f>BJ133/BJ46</f>
        <v>593.74162371134025</v>
      </c>
      <c r="BK21" s="1356"/>
      <c r="BL21" s="1702">
        <f>BL133/BL46</f>
        <v>548.86165531691984</v>
      </c>
      <c r="BM21" s="1356"/>
      <c r="BN21" s="1702">
        <f>BN133/BN46</f>
        <v>265.4460966542751</v>
      </c>
      <c r="BO21" s="1356"/>
      <c r="BP21" s="1702">
        <f>BP133/BP46</f>
        <v>712.05342409240927</v>
      </c>
      <c r="BQ21" s="1356"/>
      <c r="BR21" s="1702">
        <f>BR133/BR46</f>
        <v>330.94242424242424</v>
      </c>
      <c r="BS21" s="1356"/>
      <c r="BT21" s="1702">
        <f>BT133/BT46</f>
        <v>303.30392860806239</v>
      </c>
      <c r="BU21" s="1356"/>
      <c r="BV21" s="1702">
        <f>BV133/BV46</f>
        <v>926.41422393080245</v>
      </c>
      <c r="BW21" s="1356"/>
      <c r="BX21" s="1702">
        <f>BX133/BX46</f>
        <v>1381.6158025809373</v>
      </c>
      <c r="BY21" s="1356"/>
      <c r="BZ21" s="1702">
        <f>BZ133/BZ46</f>
        <v>1510.3718812256902</v>
      </c>
      <c r="CA21" s="1356"/>
      <c r="CB21" s="1702">
        <f>CB133/CB46</f>
        <v>318.58949044585989</v>
      </c>
      <c r="CC21" s="1356"/>
      <c r="CD21" s="1702">
        <f>CD133/CD46</f>
        <v>500.06474030724212</v>
      </c>
      <c r="CE21" s="1356"/>
      <c r="CF21" s="1702">
        <v>338.83502152443657</v>
      </c>
      <c r="CG21" s="1356"/>
      <c r="CH21" s="1702">
        <f>CH133/CH46</f>
        <v>448.7105789849893</v>
      </c>
      <c r="CI21" s="1356"/>
      <c r="CJ21" s="1702">
        <v>483.85064935064935</v>
      </c>
      <c r="CK21" s="1356"/>
      <c r="CL21" s="1702">
        <v>1042.3461827660535</v>
      </c>
      <c r="CM21" s="1356"/>
      <c r="CN21" s="1702">
        <f>CN133/CN46</f>
        <v>711.94930261714467</v>
      </c>
      <c r="CO21" s="1356"/>
      <c r="CP21" s="1702">
        <f>CP133/CP46</f>
        <v>632.88854643070192</v>
      </c>
      <c r="CQ21" s="1356"/>
      <c r="CR21" s="1702">
        <v>461.12501061931869</v>
      </c>
      <c r="CS21" s="1356"/>
      <c r="CT21" s="1702">
        <f>CT133/CT46</f>
        <v>396.359914140059</v>
      </c>
      <c r="CU21" s="1356"/>
      <c r="CV21" s="1702">
        <f>CV133/CV46</f>
        <v>888.12421580928481</v>
      </c>
      <c r="CW21" s="1356"/>
      <c r="CX21" s="1702">
        <f>CX133/CX46</f>
        <v>665.73886462882092</v>
      </c>
      <c r="CY21" s="1356"/>
      <c r="CZ21" s="1702">
        <v>306.60940836940836</v>
      </c>
      <c r="DA21" s="1356"/>
      <c r="DB21" s="1702">
        <v>658.5166738228138</v>
      </c>
      <c r="DC21" s="1356"/>
      <c r="DD21" s="1702">
        <v>353.10006215040397</v>
      </c>
      <c r="DE21" s="1356"/>
      <c r="DF21" s="1702">
        <v>1321.8001228678809</v>
      </c>
      <c r="DG21" s="1356"/>
      <c r="DH21" s="1702">
        <v>3452</v>
      </c>
      <c r="DI21" s="1356"/>
      <c r="DJ21" s="1702">
        <v>455.17669861096158</v>
      </c>
      <c r="DK21" s="1356"/>
      <c r="DL21" s="1702">
        <v>673.19529969028963</v>
      </c>
      <c r="DM21" s="1356"/>
      <c r="DN21" s="1702">
        <f>DN133/DN46</f>
        <v>243.52502463054188</v>
      </c>
      <c r="DO21" s="1356"/>
      <c r="DP21" s="1702">
        <f>DP133/DP46</f>
        <v>305.7275616438356</v>
      </c>
      <c r="DQ21" s="1356"/>
      <c r="DR21" s="1702">
        <f>DR133/DR46</f>
        <v>623.38714859437755</v>
      </c>
      <c r="DS21" s="1356"/>
      <c r="DT21" s="1702">
        <f>DT133/DT46</f>
        <v>1313.5062220493876</v>
      </c>
      <c r="DU21" s="1356"/>
      <c r="DV21" s="1702">
        <f>DV133/DV46</f>
        <v>441.51482746225736</v>
      </c>
      <c r="DW21" s="1356"/>
      <c r="DX21" s="1702">
        <f>DX133/DX46</f>
        <v>408.73997833152765</v>
      </c>
      <c r="DY21" s="1356"/>
      <c r="DZ21" s="1702">
        <f>DZ133/DZ46</f>
        <v>1511.0553675375661</v>
      </c>
      <c r="EA21" s="1356"/>
      <c r="EB21" s="1702">
        <f>EB133/EB46</f>
        <v>503.08504075787619</v>
      </c>
      <c r="EC21" s="1356"/>
      <c r="ED21" s="1702">
        <f>ED133/ED46</f>
        <v>323.96434729064038</v>
      </c>
      <c r="EE21" s="1356"/>
      <c r="EF21" s="1702">
        <f>EF133/EF46</f>
        <v>389.79429400386846</v>
      </c>
      <c r="EG21" s="1356"/>
      <c r="EH21" s="1702">
        <f>EH133/EH46</f>
        <v>1089.902908364593</v>
      </c>
      <c r="EI21" s="1356"/>
      <c r="EJ21" s="1702">
        <f>EJ133/EJ46</f>
        <v>835.61369863013704</v>
      </c>
      <c r="EK21" s="1356"/>
      <c r="EL21" s="1702">
        <f>EL133/EL46</f>
        <v>1357.980379689345</v>
      </c>
      <c r="EM21" s="1356"/>
      <c r="EN21" s="1702">
        <f>EN133/EN46</f>
        <v>684.81520049735775</v>
      </c>
      <c r="EO21" s="1356"/>
      <c r="EP21" s="1702">
        <f>EP133/EP46</f>
        <v>739.50086419753086</v>
      </c>
      <c r="EQ21" s="1356"/>
      <c r="ER21" s="1702">
        <f>ER133/ER46</f>
        <v>844.8380170508367</v>
      </c>
      <c r="ES21" s="1356"/>
      <c r="ET21" s="1702">
        <f>ET133/ET46</f>
        <v>660.93461482452312</v>
      </c>
      <c r="EU21" s="1356"/>
      <c r="EV21" s="1702">
        <f>EV133/EV46</f>
        <v>2214.1170406306851</v>
      </c>
      <c r="EW21" s="1356"/>
      <c r="EX21" s="1702">
        <f>EX133/EX46</f>
        <v>655.90031695721075</v>
      </c>
      <c r="EY21" s="1356"/>
      <c r="EZ21" s="1702">
        <f>EZ133/EZ46</f>
        <v>398.82488839285713</v>
      </c>
      <c r="FA21" s="1356"/>
      <c r="FB21" s="1702">
        <f>FB133/FB46</f>
        <v>571.16052824651501</v>
      </c>
      <c r="FC21" s="1356"/>
      <c r="FD21" s="1702">
        <f>FD133/FD46</f>
        <v>440.67041322314049</v>
      </c>
      <c r="FE21" s="1356"/>
      <c r="FF21" s="1702">
        <f>FF133/FF46</f>
        <v>1250</v>
      </c>
      <c r="FG21" s="1356"/>
      <c r="FH21" s="1702">
        <f>FH133/FH46</f>
        <v>332.41711011051984</v>
      </c>
      <c r="FI21" s="1356"/>
      <c r="FJ21" s="1702">
        <f>FJ133/FJ46</f>
        <v>407.13260787992493</v>
      </c>
      <c r="FK21" s="1356"/>
      <c r="FL21" s="1702">
        <f>FL133/FL46</f>
        <v>289.9415126179336</v>
      </c>
      <c r="FM21" s="1356"/>
      <c r="FN21" s="1702">
        <f>FN133/FN46</f>
        <v>465.48300750442138</v>
      </c>
      <c r="FO21" s="1356"/>
      <c r="FP21" s="1702">
        <f>FP133/FP46</f>
        <v>630.13435700575815</v>
      </c>
      <c r="FQ21" s="1356"/>
      <c r="FR21" s="1702">
        <f>FR133/FR46</f>
        <v>892.97216330858964</v>
      </c>
      <c r="FS21" s="1356"/>
      <c r="FT21" s="1702">
        <f>FT133/FT46</f>
        <v>1010.0755583223096</v>
      </c>
      <c r="FU21" s="1356"/>
      <c r="FV21" s="1702">
        <f>FV133/FV46</f>
        <v>725.22701067615662</v>
      </c>
      <c r="FW21" s="1356"/>
      <c r="FX21" s="1702">
        <f>FX133/FX46</f>
        <v>650.06431735027923</v>
      </c>
      <c r="FY21" s="1356"/>
      <c r="FZ21" s="1702">
        <f>FZ133/FZ46</f>
        <v>392.41847619047621</v>
      </c>
      <c r="GA21" s="1356"/>
      <c r="GB21" s="1702">
        <f>GB133/GB46</f>
        <v>299.99826074353211</v>
      </c>
      <c r="GC21" s="1356"/>
      <c r="GD21" s="1702">
        <f>GD133/GD46</f>
        <v>998.82359661421822</v>
      </c>
      <c r="GE21" s="1356"/>
      <c r="GF21" s="1702">
        <f>GF133/GF46</f>
        <v>641.34580945558741</v>
      </c>
      <c r="GG21" s="1356"/>
      <c r="GH21" s="1702">
        <f>GH133/GH46</f>
        <v>448.25038232795242</v>
      </c>
      <c r="GI21" s="1356"/>
      <c r="GJ21" s="1702">
        <f>GJ133/GJ46</f>
        <v>1420.7827568922305</v>
      </c>
      <c r="GK21" s="1356"/>
      <c r="GL21" s="1702">
        <f>GL133/GL46</f>
        <v>915.83836756611629</v>
      </c>
      <c r="GM21" s="1356"/>
      <c r="GN21" s="1702">
        <f>GN133/GN46</f>
        <v>847</v>
      </c>
      <c r="GO21" s="1356"/>
      <c r="GP21" s="1702">
        <f>GP133/GP46</f>
        <v>591.810520539354</v>
      </c>
      <c r="GQ21" s="1356"/>
      <c r="GR21" s="1702">
        <f>GR133/GR46</f>
        <v>672.50693047171922</v>
      </c>
      <c r="GS21" s="1356"/>
      <c r="GT21" s="1702">
        <f>GT133/GT46</f>
        <v>1013.656355455568</v>
      </c>
      <c r="GU21" s="1356"/>
      <c r="GV21" s="1702">
        <f>GV133/GV46</f>
        <v>917.1969348659004</v>
      </c>
      <c r="GW21" s="1356"/>
      <c r="GX21" s="1702">
        <f>GX133/GX46</f>
        <v>647.96502196688073</v>
      </c>
      <c r="GY21" s="1356"/>
      <c r="GZ21" s="1702">
        <f>GZ133/GZ46</f>
        <v>826.60620875091661</v>
      </c>
      <c r="HA21" s="1356"/>
      <c r="HB21" s="1702">
        <f>HB133/HB46</f>
        <v>299.26137499999999</v>
      </c>
      <c r="HC21" s="1356"/>
      <c r="HD21" s="1702">
        <f>HD133/HD46</f>
        <v>294.45066842402559</v>
      </c>
      <c r="HE21" s="1356"/>
      <c r="HF21" s="2018">
        <f>HF133/HF46</f>
        <v>1010.8493701747258</v>
      </c>
      <c r="HH21" s="1702">
        <f>HH133/HH46</f>
        <v>315.17559999999997</v>
      </c>
      <c r="HI21" s="1356"/>
      <c r="HJ21" s="1702">
        <f>HJ133/HJ46</f>
        <v>1255.3806818181818</v>
      </c>
      <c r="HK21" s="1356"/>
      <c r="HL21" s="1702">
        <f>HL133/HL46</f>
        <v>332.82823350694446</v>
      </c>
      <c r="HM21" s="1356"/>
      <c r="HN21" s="1702">
        <f>HN133/HN46</f>
        <v>355.0409836065574</v>
      </c>
      <c r="HO21" s="1356"/>
      <c r="HP21" s="2018">
        <f>HP133/HP46</f>
        <v>1443.068669066681</v>
      </c>
      <c r="HR21" s="1702">
        <f>HR133/HR46</f>
        <v>444.53266417148689</v>
      </c>
      <c r="HS21" s="1356"/>
      <c r="HT21" s="2018">
        <f>HT133/HT46</f>
        <v>940.83280187714342</v>
      </c>
      <c r="HV21" s="2018">
        <f>HV133/HV46</f>
        <v>393.38039630548889</v>
      </c>
      <c r="HX21" s="2018">
        <f>HX133/HX46</f>
        <v>405.76975461503827</v>
      </c>
      <c r="HZ21" s="2018">
        <f>HZ133/HZ46</f>
        <v>859.90558116562397</v>
      </c>
      <c r="IB21" s="1702">
        <f>IB133/IB46</f>
        <v>383.30927038626612</v>
      </c>
      <c r="IC21" s="1356"/>
      <c r="ID21" s="2018">
        <f>ID133/ID46</f>
        <v>813.04861111111109</v>
      </c>
      <c r="IF21" s="2018">
        <f>IF133/IF46</f>
        <v>514.075179501619</v>
      </c>
    </row>
    <row r="22" spans="1:241" ht="16.2" thickBot="1">
      <c r="A22" s="1149"/>
      <c r="B22" s="1149"/>
      <c r="C22" s="1149"/>
      <c r="D22" s="1149"/>
      <c r="E22" s="1143"/>
      <c r="F22" s="1406"/>
      <c r="G22" s="1356"/>
      <c r="H22" s="1406"/>
      <c r="I22" s="1356"/>
      <c r="J22" s="1406"/>
      <c r="K22" s="1356"/>
      <c r="L22" s="1406"/>
      <c r="M22" s="1356"/>
      <c r="N22" s="1406"/>
      <c r="O22" s="1356"/>
      <c r="P22" s="1406"/>
      <c r="Q22" s="1356"/>
      <c r="T22" s="1406"/>
      <c r="U22" s="1356"/>
      <c r="V22" s="1406"/>
      <c r="W22" s="1356"/>
      <c r="X22" s="1406"/>
      <c r="Y22" s="1356"/>
      <c r="Z22" s="1406"/>
      <c r="AA22" s="1356"/>
      <c r="AB22" s="1406"/>
      <c r="AC22" s="1356"/>
      <c r="AD22" s="1406"/>
      <c r="AE22" s="1356"/>
      <c r="AF22" s="1406"/>
      <c r="AG22" s="1356"/>
      <c r="AH22" s="1406"/>
      <c r="AI22" s="1356"/>
      <c r="AJ22" s="1406"/>
      <c r="AK22" s="1356"/>
      <c r="AL22" s="1406"/>
      <c r="AM22" s="1356"/>
      <c r="AN22" s="1406"/>
      <c r="AO22" s="1356"/>
      <c r="AP22" s="1406"/>
      <c r="AQ22" s="1356"/>
      <c r="AR22" s="1406"/>
      <c r="AS22" s="1356"/>
      <c r="AT22" s="1406"/>
      <c r="AU22" s="1356"/>
      <c r="AV22" s="1406"/>
      <c r="AW22" s="1356"/>
      <c r="AX22" s="1406"/>
      <c r="AY22" s="1356"/>
      <c r="AZ22" s="1406"/>
      <c r="BA22" s="1356"/>
      <c r="BB22" s="1406"/>
      <c r="BC22" s="1356"/>
      <c r="BD22" s="1406"/>
      <c r="BE22" s="1356"/>
      <c r="BF22" s="1406"/>
      <c r="BG22" s="1356"/>
      <c r="BH22" s="1406"/>
      <c r="BI22" s="1356"/>
      <c r="BJ22" s="1406"/>
      <c r="BK22" s="1356"/>
      <c r="BL22" s="1406"/>
      <c r="BM22" s="1356"/>
      <c r="BN22" s="1406"/>
      <c r="BO22" s="1356"/>
      <c r="BP22" s="1406"/>
      <c r="BQ22" s="1356"/>
      <c r="BR22" s="1406"/>
      <c r="BS22" s="1356"/>
      <c r="BT22" s="1406"/>
      <c r="BU22" s="1356"/>
      <c r="BV22" s="1406"/>
      <c r="BW22" s="1356"/>
      <c r="BX22" s="1406"/>
      <c r="BY22" s="1356"/>
      <c r="BZ22" s="1406"/>
      <c r="CA22" s="1356"/>
      <c r="CB22" s="1406"/>
      <c r="CC22" s="1356"/>
      <c r="CD22" s="1406"/>
      <c r="CE22" s="1356"/>
      <c r="CF22" s="1406"/>
      <c r="CG22" s="1356"/>
      <c r="CH22" s="1406"/>
      <c r="CI22" s="1356"/>
      <c r="CJ22" s="1406"/>
      <c r="CK22" s="1356"/>
      <c r="CL22" s="1406"/>
      <c r="CM22" s="1356"/>
      <c r="CN22" s="1406"/>
      <c r="CO22" s="1356"/>
      <c r="CP22" s="1406"/>
      <c r="CQ22" s="1356"/>
      <c r="CR22" s="1406"/>
      <c r="CS22" s="1356"/>
      <c r="CT22" s="1406"/>
      <c r="CU22" s="1356"/>
      <c r="CV22" s="1406"/>
      <c r="CW22" s="1356"/>
      <c r="CX22" s="1406"/>
      <c r="CY22" s="1356"/>
      <c r="CZ22" s="1406"/>
      <c r="DA22" s="1356"/>
      <c r="DB22" s="1406"/>
      <c r="DC22" s="1356"/>
      <c r="DD22" s="1406"/>
      <c r="DE22" s="1356"/>
      <c r="DF22" s="1406"/>
      <c r="DG22" s="1356"/>
      <c r="DH22" s="1406"/>
      <c r="DI22" s="1356"/>
      <c r="DJ22" s="1406"/>
      <c r="DK22" s="1356"/>
      <c r="DL22" s="1406"/>
      <c r="DM22" s="1356"/>
      <c r="DN22" s="1406"/>
      <c r="DO22" s="1356"/>
      <c r="DP22" s="1406"/>
      <c r="DQ22" s="1356"/>
      <c r="DR22" s="1406"/>
      <c r="DS22" s="1356"/>
      <c r="DT22" s="1406"/>
      <c r="DU22" s="1356"/>
      <c r="DV22" s="1406"/>
      <c r="DW22" s="1356"/>
      <c r="DX22" s="1406"/>
      <c r="DY22" s="1356"/>
      <c r="DZ22" s="1406"/>
      <c r="EA22" s="1356"/>
      <c r="EB22" s="1406"/>
      <c r="EC22" s="1356"/>
      <c r="ED22" s="1406"/>
      <c r="EE22" s="1356"/>
      <c r="EF22" s="1406"/>
      <c r="EG22" s="1356"/>
      <c r="EH22" s="1406"/>
      <c r="EI22" s="1356"/>
      <c r="EJ22" s="1406"/>
      <c r="EK22" s="1356"/>
      <c r="EL22" s="1406"/>
      <c r="EM22" s="1356"/>
      <c r="EN22" s="1406"/>
      <c r="EO22" s="1356"/>
      <c r="EP22" s="1406"/>
      <c r="EQ22" s="1356"/>
      <c r="ER22" s="1406"/>
      <c r="ES22" s="1356"/>
      <c r="ET22" s="1406"/>
      <c r="EU22" s="1356"/>
      <c r="EV22" s="1406"/>
      <c r="EW22" s="1356"/>
      <c r="EX22" s="1406"/>
      <c r="EY22" s="1356"/>
      <c r="EZ22" s="1406"/>
      <c r="FA22" s="1356"/>
      <c r="FB22" s="1406"/>
      <c r="FC22" s="1356"/>
      <c r="FD22" s="1406"/>
      <c r="FE22" s="1356"/>
      <c r="FF22" s="1406"/>
      <c r="FG22" s="1356"/>
      <c r="FH22" s="1406"/>
      <c r="FI22" s="1356"/>
      <c r="FJ22" s="1406"/>
      <c r="FK22" s="1356"/>
      <c r="FL22" s="1406"/>
      <c r="FM22" s="1356"/>
      <c r="FN22" s="1406"/>
      <c r="FO22" s="1356"/>
      <c r="FP22" s="1406"/>
      <c r="FQ22" s="1356"/>
      <c r="FR22" s="1406"/>
      <c r="FS22" s="1356"/>
      <c r="FT22" s="1406"/>
      <c r="FU22" s="1356"/>
      <c r="FV22" s="1406"/>
      <c r="FW22" s="1356"/>
      <c r="FX22" s="1406"/>
      <c r="FY22" s="1356"/>
      <c r="FZ22" s="1406"/>
      <c r="GA22" s="1356"/>
      <c r="GB22" s="1406"/>
      <c r="GC22" s="1356"/>
      <c r="GD22" s="1406"/>
      <c r="GE22" s="1356"/>
      <c r="GF22" s="1406"/>
      <c r="GG22" s="1356"/>
      <c r="GH22" s="1406"/>
      <c r="GI22" s="1356"/>
      <c r="GJ22" s="1406"/>
      <c r="GK22" s="1356"/>
      <c r="GL22" s="1406"/>
      <c r="GM22" s="1356"/>
      <c r="GN22" s="1406"/>
      <c r="GO22" s="1356"/>
      <c r="GP22" s="1406"/>
      <c r="GQ22" s="1356"/>
      <c r="GR22" s="1406"/>
      <c r="GS22" s="1356"/>
      <c r="GT22" s="1406"/>
      <c r="GU22" s="1356"/>
      <c r="GV22" s="1406"/>
      <c r="GW22" s="1356"/>
      <c r="GX22" s="1406"/>
      <c r="GY22" s="1356"/>
      <c r="GZ22" s="1406"/>
      <c r="HA22" s="1356"/>
      <c r="HB22" s="1406"/>
      <c r="HC22" s="1356"/>
      <c r="HD22" s="1406"/>
      <c r="HE22" s="1356"/>
      <c r="HF22" s="2019"/>
      <c r="HH22" s="1406"/>
      <c r="HI22" s="1356"/>
      <c r="HJ22" s="1406"/>
      <c r="HK22" s="1356"/>
      <c r="HL22" s="1406"/>
      <c r="HM22" s="1356"/>
      <c r="HN22" s="1406"/>
      <c r="HO22" s="1356"/>
      <c r="HP22" s="2019"/>
      <c r="HR22" s="1406"/>
      <c r="HS22" s="1356"/>
      <c r="HT22" s="2019"/>
      <c r="HV22" s="2019"/>
      <c r="HX22" s="2019"/>
      <c r="HZ22" s="2019"/>
      <c r="IB22" s="1406"/>
      <c r="IC22" s="1356"/>
      <c r="ID22" s="2019"/>
      <c r="IF22" s="2019"/>
    </row>
    <row r="23" spans="1:241" ht="16.2" hidden="1" thickBot="1">
      <c r="A23" s="1151"/>
      <c r="B23" s="1151" t="s">
        <v>612</v>
      </c>
      <c r="C23" s="1151"/>
      <c r="D23" s="1151"/>
      <c r="E23" s="1152"/>
      <c r="F23" s="1703" t="s">
        <v>1208</v>
      </c>
      <c r="G23" s="1704"/>
      <c r="H23" s="1703" t="s">
        <v>1208</v>
      </c>
      <c r="I23" s="1704"/>
      <c r="J23" s="1703" t="s">
        <v>1208</v>
      </c>
      <c r="K23" s="1704"/>
      <c r="L23" s="1703" t="s">
        <v>1208</v>
      </c>
      <c r="M23" s="1704"/>
      <c r="N23" s="1703" t="s">
        <v>1208</v>
      </c>
      <c r="O23" s="1704"/>
      <c r="P23" s="1703" t="s">
        <v>1208</v>
      </c>
      <c r="Q23" s="1704"/>
      <c r="R23" s="1703" t="s">
        <v>1208</v>
      </c>
      <c r="S23" s="1704"/>
      <c r="T23" s="1703" t="s">
        <v>1208</v>
      </c>
      <c r="U23" s="1704"/>
      <c r="V23" s="1703" t="s">
        <v>1208</v>
      </c>
      <c r="W23" s="1704"/>
      <c r="X23" s="1703" t="s">
        <v>1208</v>
      </c>
      <c r="Y23" s="1704"/>
      <c r="Z23" s="1703" t="s">
        <v>1208</v>
      </c>
      <c r="AA23" s="1704"/>
      <c r="AB23" s="1703" t="s">
        <v>1208</v>
      </c>
      <c r="AC23" s="1704"/>
      <c r="AD23" s="1703" t="s">
        <v>1208</v>
      </c>
      <c r="AE23" s="1704"/>
      <c r="AF23" s="1703" t="s">
        <v>1208</v>
      </c>
      <c r="AG23" s="1704"/>
      <c r="AH23" s="1703" t="s">
        <v>1208</v>
      </c>
      <c r="AI23" s="1704"/>
      <c r="AJ23" s="1703" t="s">
        <v>1208</v>
      </c>
      <c r="AK23" s="1704"/>
      <c r="AL23" s="1703" t="s">
        <v>1208</v>
      </c>
      <c r="AM23" s="1704"/>
      <c r="AN23" s="1703" t="s">
        <v>1208</v>
      </c>
      <c r="AO23" s="1704"/>
      <c r="AP23" s="1703" t="s">
        <v>1208</v>
      </c>
      <c r="AQ23" s="1704"/>
      <c r="AR23" s="1703" t="s">
        <v>1208</v>
      </c>
      <c r="AS23" s="1704"/>
      <c r="AT23" s="1703" t="s">
        <v>1208</v>
      </c>
      <c r="AU23" s="1704"/>
      <c r="AV23" s="1703" t="s">
        <v>1208</v>
      </c>
      <c r="AW23" s="1704"/>
      <c r="AX23" s="1703" t="s">
        <v>1208</v>
      </c>
      <c r="AY23" s="1704"/>
      <c r="AZ23" s="1703" t="s">
        <v>1208</v>
      </c>
      <c r="BA23" s="1704"/>
      <c r="BB23" s="1703" t="s">
        <v>1208</v>
      </c>
      <c r="BC23" s="1704"/>
      <c r="BD23" s="1703" t="s">
        <v>1208</v>
      </c>
      <c r="BE23" s="1704"/>
      <c r="BF23" s="1703" t="s">
        <v>1208</v>
      </c>
      <c r="BG23" s="1704"/>
      <c r="BH23" s="1703" t="s">
        <v>1208</v>
      </c>
      <c r="BI23" s="1704"/>
      <c r="BJ23" s="1703" t="s">
        <v>1208</v>
      </c>
      <c r="BK23" s="1704"/>
      <c r="BL23" s="1703" t="s">
        <v>1208</v>
      </c>
      <c r="BM23" s="1704"/>
      <c r="BN23" s="1703" t="s">
        <v>1208</v>
      </c>
      <c r="BO23" s="1704"/>
      <c r="BP23" s="1703" t="s">
        <v>1208</v>
      </c>
      <c r="BQ23" s="1704"/>
      <c r="BR23" s="1703" t="s">
        <v>1208</v>
      </c>
      <c r="BS23" s="1704"/>
      <c r="BT23" s="1703" t="s">
        <v>1208</v>
      </c>
      <c r="BU23" s="1704"/>
      <c r="BV23" s="1703" t="s">
        <v>1208</v>
      </c>
      <c r="BW23" s="1704"/>
      <c r="BX23" s="1703" t="s">
        <v>1208</v>
      </c>
      <c r="BY23" s="1704"/>
      <c r="BZ23" s="1703" t="s">
        <v>1208</v>
      </c>
      <c r="CA23" s="1704"/>
      <c r="CB23" s="1703" t="s">
        <v>1208</v>
      </c>
      <c r="CC23" s="1704"/>
      <c r="CD23" s="1703" t="s">
        <v>1208</v>
      </c>
      <c r="CE23" s="1704"/>
      <c r="CF23" s="1703" t="s">
        <v>1208</v>
      </c>
      <c r="CG23" s="1704"/>
      <c r="CH23" s="1703" t="s">
        <v>1208</v>
      </c>
      <c r="CI23" s="1704"/>
      <c r="CJ23" s="1703" t="s">
        <v>1208</v>
      </c>
      <c r="CK23" s="1704"/>
      <c r="CL23" s="1703" t="s">
        <v>1208</v>
      </c>
      <c r="CM23" s="1704"/>
      <c r="CN23" s="1703" t="s">
        <v>1208</v>
      </c>
      <c r="CO23" s="1704"/>
      <c r="CP23" s="1703" t="s">
        <v>1208</v>
      </c>
      <c r="CQ23" s="1704"/>
      <c r="CR23" s="1703" t="s">
        <v>1208</v>
      </c>
      <c r="CS23" s="1704"/>
      <c r="CT23" s="1703" t="s">
        <v>1208</v>
      </c>
      <c r="CU23" s="1704"/>
      <c r="CV23" s="1703" t="s">
        <v>1208</v>
      </c>
      <c r="CW23" s="1704"/>
      <c r="CX23" s="1703" t="s">
        <v>1208</v>
      </c>
      <c r="CY23" s="1704"/>
      <c r="CZ23" s="1703" t="s">
        <v>1208</v>
      </c>
      <c r="DA23" s="1704"/>
      <c r="DB23" s="1703" t="s">
        <v>1208</v>
      </c>
      <c r="DC23" s="1704"/>
      <c r="DD23" s="1703" t="s">
        <v>1208</v>
      </c>
      <c r="DE23" s="1704"/>
      <c r="DF23" s="1703" t="s">
        <v>1208</v>
      </c>
      <c r="DG23" s="1704"/>
      <c r="DH23" s="1703" t="s">
        <v>1208</v>
      </c>
      <c r="DI23" s="1704"/>
      <c r="DJ23" s="1703" t="s">
        <v>1208</v>
      </c>
      <c r="DK23" s="1704"/>
      <c r="DL23" s="1703" t="s">
        <v>1208</v>
      </c>
      <c r="DM23" s="1704"/>
      <c r="DN23" s="1703" t="s">
        <v>1208</v>
      </c>
      <c r="DO23" s="1704"/>
      <c r="DP23" s="1703" t="s">
        <v>1208</v>
      </c>
      <c r="DQ23" s="1704"/>
      <c r="DR23" s="1703" t="s">
        <v>1208</v>
      </c>
      <c r="DS23" s="1704"/>
      <c r="DT23" s="1703" t="s">
        <v>1208</v>
      </c>
      <c r="DU23" s="1704"/>
      <c r="DV23" s="1703" t="s">
        <v>1208</v>
      </c>
      <c r="DW23" s="1704"/>
      <c r="DX23" s="1703" t="s">
        <v>1208</v>
      </c>
      <c r="DY23" s="1704"/>
      <c r="DZ23" s="1703" t="s">
        <v>1208</v>
      </c>
      <c r="EA23" s="1704"/>
      <c r="EB23" s="1703" t="s">
        <v>1208</v>
      </c>
      <c r="EC23" s="1704"/>
      <c r="ED23" s="1703" t="s">
        <v>1208</v>
      </c>
      <c r="EE23" s="1704"/>
      <c r="EF23" s="1703" t="s">
        <v>1208</v>
      </c>
      <c r="EG23" s="1704"/>
      <c r="EH23" s="1703" t="s">
        <v>1208</v>
      </c>
      <c r="EI23" s="1704"/>
      <c r="EJ23" s="1703" t="s">
        <v>1208</v>
      </c>
      <c r="EK23" s="1704"/>
      <c r="EL23" s="1703" t="s">
        <v>1208</v>
      </c>
      <c r="EM23" s="1704"/>
      <c r="EN23" s="1703" t="s">
        <v>1208</v>
      </c>
      <c r="EO23" s="1704"/>
      <c r="EP23" s="1703" t="s">
        <v>1208</v>
      </c>
      <c r="EQ23" s="1704"/>
      <c r="ER23" s="1703" t="s">
        <v>1208</v>
      </c>
      <c r="ES23" s="1704"/>
      <c r="ET23" s="1703" t="s">
        <v>1208</v>
      </c>
      <c r="EU23" s="1704"/>
      <c r="EV23" s="1703" t="s">
        <v>1208</v>
      </c>
      <c r="EW23" s="1704"/>
      <c r="EX23" s="1703" t="s">
        <v>1208</v>
      </c>
      <c r="EY23" s="1704"/>
      <c r="EZ23" s="1703" t="s">
        <v>1208</v>
      </c>
      <c r="FA23" s="1704"/>
      <c r="FB23" s="1703" t="s">
        <v>1208</v>
      </c>
      <c r="FC23" s="1704"/>
      <c r="FD23" s="1703" t="s">
        <v>1208</v>
      </c>
      <c r="FE23" s="1704"/>
      <c r="FF23" s="1703" t="s">
        <v>1208</v>
      </c>
      <c r="FG23" s="1704"/>
      <c r="FH23" s="1703" t="s">
        <v>1208</v>
      </c>
      <c r="FI23" s="1704"/>
      <c r="FJ23" s="1703" t="s">
        <v>1208</v>
      </c>
      <c r="FK23" s="1704"/>
      <c r="FL23" s="1703" t="s">
        <v>1208</v>
      </c>
      <c r="FM23" s="1704"/>
      <c r="FN23" s="1703" t="s">
        <v>1208</v>
      </c>
      <c r="FO23" s="1704"/>
      <c r="FP23" s="1703" t="s">
        <v>1208</v>
      </c>
      <c r="FQ23" s="1704"/>
      <c r="FR23" s="1703" t="s">
        <v>1208</v>
      </c>
      <c r="FS23" s="1704"/>
      <c r="FT23" s="1703" t="s">
        <v>1208</v>
      </c>
      <c r="FU23" s="1704"/>
      <c r="FV23" s="1703" t="s">
        <v>1208</v>
      </c>
      <c r="FW23" s="1704"/>
      <c r="FX23" s="1703" t="s">
        <v>1208</v>
      </c>
      <c r="FY23" s="1704"/>
      <c r="FZ23" s="1703" t="s">
        <v>1208</v>
      </c>
      <c r="GA23" s="1704"/>
      <c r="GB23" s="1703" t="s">
        <v>1208</v>
      </c>
      <c r="GC23" s="1704"/>
      <c r="GD23" s="1703" t="s">
        <v>1208</v>
      </c>
      <c r="GE23" s="1704"/>
      <c r="GF23" s="1703" t="s">
        <v>1208</v>
      </c>
      <c r="GG23" s="1704"/>
      <c r="GH23" s="1703" t="s">
        <v>1208</v>
      </c>
      <c r="GI23" s="1704"/>
      <c r="GJ23" s="1703" t="s">
        <v>1208</v>
      </c>
      <c r="GK23" s="1704"/>
      <c r="GL23" s="1703" t="s">
        <v>1208</v>
      </c>
      <c r="GM23" s="1704"/>
      <c r="GN23" s="1703" t="s">
        <v>1208</v>
      </c>
      <c r="GO23" s="1704"/>
      <c r="GP23" s="1703" t="s">
        <v>1208</v>
      </c>
      <c r="GQ23" s="1704"/>
      <c r="GR23" s="1703" t="s">
        <v>1208</v>
      </c>
      <c r="GS23" s="1704"/>
      <c r="GT23" s="1703" t="s">
        <v>1208</v>
      </c>
      <c r="GU23" s="1704"/>
      <c r="GV23" s="1703" t="s">
        <v>1208</v>
      </c>
      <c r="GW23" s="1704"/>
      <c r="GX23" s="1703" t="s">
        <v>1208</v>
      </c>
      <c r="GY23" s="1704"/>
      <c r="GZ23" s="1703" t="s">
        <v>1208</v>
      </c>
      <c r="HA23" s="1704"/>
      <c r="HB23" s="1703" t="s">
        <v>1208</v>
      </c>
      <c r="HC23" s="1704"/>
      <c r="HD23" s="1703" t="s">
        <v>1208</v>
      </c>
      <c r="HE23" s="1704"/>
      <c r="HF23" s="2020" t="s">
        <v>1208</v>
      </c>
      <c r="HG23" s="2021"/>
      <c r="HH23" s="1703" t="s">
        <v>1208</v>
      </c>
      <c r="HI23" s="1704"/>
      <c r="HJ23" s="1703" t="s">
        <v>1208</v>
      </c>
      <c r="HK23" s="1704"/>
      <c r="HL23" s="1703" t="s">
        <v>1208</v>
      </c>
      <c r="HM23" s="1704"/>
      <c r="HN23" s="1703" t="s">
        <v>1208</v>
      </c>
      <c r="HO23" s="1704"/>
      <c r="HP23" s="2020" t="s">
        <v>1208</v>
      </c>
      <c r="HQ23" s="2021"/>
      <c r="HR23" s="1703" t="s">
        <v>1208</v>
      </c>
      <c r="HS23" s="1704"/>
      <c r="HT23" s="2020" t="s">
        <v>1208</v>
      </c>
      <c r="HU23" s="2021"/>
      <c r="HV23" s="2020" t="s">
        <v>1208</v>
      </c>
      <c r="HW23" s="2021"/>
      <c r="HX23" s="2020" t="s">
        <v>1208</v>
      </c>
      <c r="HY23" s="2021"/>
      <c r="HZ23" s="2020" t="s">
        <v>1208</v>
      </c>
      <c r="IA23" s="2021"/>
      <c r="IB23" s="1703" t="s">
        <v>1208</v>
      </c>
      <c r="IC23" s="1704"/>
      <c r="ID23" s="2020" t="s">
        <v>1208</v>
      </c>
      <c r="IE23" s="2021"/>
      <c r="IF23" s="2020" t="s">
        <v>1208</v>
      </c>
      <c r="IG23" s="2021"/>
    </row>
    <row r="24" spans="1:241" ht="16.2" hidden="1" thickBot="1">
      <c r="A24" s="1151"/>
      <c r="B24" s="1153" t="s">
        <v>613</v>
      </c>
      <c r="C24" s="1151"/>
      <c r="D24" s="1151"/>
      <c r="E24" s="1152"/>
      <c r="F24" s="1704"/>
      <c r="G24" s="1704"/>
      <c r="H24" s="1704"/>
      <c r="I24" s="1704"/>
      <c r="J24" s="1704"/>
      <c r="K24" s="1704"/>
      <c r="L24" s="1704"/>
      <c r="M24" s="1704"/>
      <c r="N24" s="1704"/>
      <c r="O24" s="1704"/>
      <c r="P24" s="1704"/>
      <c r="Q24" s="1704"/>
      <c r="R24" s="1704"/>
      <c r="S24" s="1704"/>
      <c r="T24" s="1704"/>
      <c r="U24" s="1704"/>
      <c r="V24" s="1704"/>
      <c r="W24" s="1704"/>
      <c r="X24" s="1704"/>
      <c r="Y24" s="1704"/>
      <c r="Z24" s="1704"/>
      <c r="AA24" s="1704"/>
      <c r="AB24" s="1704"/>
      <c r="AC24" s="1704"/>
      <c r="AD24" s="1704"/>
      <c r="AE24" s="1704"/>
      <c r="AF24" s="1704"/>
      <c r="AG24" s="1704"/>
      <c r="AH24" s="1704"/>
      <c r="AI24" s="1704"/>
      <c r="AJ24" s="1704"/>
      <c r="AK24" s="1704"/>
      <c r="AL24" s="1704"/>
      <c r="AM24" s="1704"/>
      <c r="AN24" s="1704"/>
      <c r="AO24" s="1704"/>
      <c r="AP24" s="1704"/>
      <c r="AQ24" s="1704"/>
      <c r="AR24" s="1704"/>
      <c r="AS24" s="1704"/>
      <c r="AT24" s="1704"/>
      <c r="AU24" s="1704"/>
      <c r="AV24" s="1704"/>
      <c r="AW24" s="1704"/>
      <c r="AX24" s="1704"/>
      <c r="AY24" s="1704"/>
      <c r="AZ24" s="1704"/>
      <c r="BA24" s="1704"/>
      <c r="BB24" s="1704"/>
      <c r="BC24" s="1704"/>
      <c r="BD24" s="1704"/>
      <c r="BE24" s="1704"/>
      <c r="BF24" s="1704"/>
      <c r="BG24" s="1704"/>
      <c r="BH24" s="1704"/>
      <c r="BI24" s="1704"/>
      <c r="BJ24" s="1704"/>
      <c r="BK24" s="1704"/>
      <c r="BL24" s="1704"/>
      <c r="BM24" s="1704"/>
      <c r="BN24" s="1704"/>
      <c r="BO24" s="1704"/>
      <c r="BP24" s="1704"/>
      <c r="BQ24" s="1704"/>
      <c r="BR24" s="1704"/>
      <c r="BS24" s="1704"/>
      <c r="BT24" s="1704"/>
      <c r="BU24" s="1704"/>
      <c r="BV24" s="1704"/>
      <c r="BW24" s="1704"/>
      <c r="BX24" s="1704"/>
      <c r="BY24" s="1704"/>
      <c r="BZ24" s="1704"/>
      <c r="CA24" s="1704"/>
      <c r="CB24" s="1704"/>
      <c r="CC24" s="1704"/>
      <c r="CD24" s="1704"/>
      <c r="CE24" s="1704"/>
      <c r="CF24" s="1704"/>
      <c r="CG24" s="1704"/>
      <c r="CH24" s="1704"/>
      <c r="CI24" s="1704"/>
      <c r="CJ24" s="1704"/>
      <c r="CK24" s="1704"/>
      <c r="CL24" s="1704"/>
      <c r="CM24" s="1704"/>
      <c r="CN24" s="1704"/>
      <c r="CO24" s="1704"/>
      <c r="CP24" s="1704"/>
      <c r="CQ24" s="1704"/>
      <c r="CR24" s="1704"/>
      <c r="CS24" s="1704"/>
      <c r="CT24" s="1704"/>
      <c r="CU24" s="1704"/>
      <c r="CV24" s="1704"/>
      <c r="CW24" s="1704"/>
      <c r="CX24" s="1704"/>
      <c r="CY24" s="1704"/>
      <c r="CZ24" s="1704"/>
      <c r="DA24" s="1704"/>
      <c r="DB24" s="1704"/>
      <c r="DC24" s="1704"/>
      <c r="DD24" s="1704"/>
      <c r="DE24" s="1704"/>
      <c r="DF24" s="1704"/>
      <c r="DG24" s="1704"/>
      <c r="DH24" s="1704"/>
      <c r="DI24" s="1704"/>
      <c r="DJ24" s="1704"/>
      <c r="DK24" s="1704"/>
      <c r="DL24" s="1704"/>
      <c r="DM24" s="1704"/>
      <c r="DN24" s="1704"/>
      <c r="DO24" s="1704"/>
      <c r="DP24" s="1704"/>
      <c r="DQ24" s="1704"/>
      <c r="DR24" s="1704"/>
      <c r="DS24" s="1704"/>
      <c r="DT24" s="1704"/>
      <c r="DU24" s="1704"/>
      <c r="DV24" s="1704"/>
      <c r="DW24" s="1704"/>
      <c r="DX24" s="1704"/>
      <c r="DY24" s="1704"/>
      <c r="DZ24" s="1704"/>
      <c r="EA24" s="1704"/>
      <c r="EB24" s="1704"/>
      <c r="EC24" s="1704"/>
      <c r="ED24" s="1704"/>
      <c r="EE24" s="1704"/>
      <c r="EF24" s="1704"/>
      <c r="EG24" s="1704"/>
      <c r="EH24" s="1704"/>
      <c r="EI24" s="1704"/>
      <c r="EJ24" s="1704"/>
      <c r="EK24" s="1704"/>
      <c r="EL24" s="1704"/>
      <c r="EM24" s="1704"/>
      <c r="EN24" s="1704"/>
      <c r="EO24" s="1704"/>
      <c r="EP24" s="1704"/>
      <c r="EQ24" s="1704"/>
      <c r="ER24" s="1704"/>
      <c r="ES24" s="1704"/>
      <c r="ET24" s="1704"/>
      <c r="EU24" s="1704"/>
      <c r="EV24" s="1704"/>
      <c r="EW24" s="1704"/>
      <c r="EX24" s="1704"/>
      <c r="EY24" s="1704"/>
      <c r="EZ24" s="1704"/>
      <c r="FA24" s="1704"/>
      <c r="FB24" s="1704"/>
      <c r="FC24" s="1704"/>
      <c r="FD24" s="1704"/>
      <c r="FE24" s="1704"/>
      <c r="FF24" s="1704"/>
      <c r="FG24" s="1704"/>
      <c r="FH24" s="1704"/>
      <c r="FI24" s="1704"/>
      <c r="FJ24" s="1704"/>
      <c r="FK24" s="1704"/>
      <c r="FL24" s="1704"/>
      <c r="FM24" s="1704"/>
      <c r="FN24" s="1704"/>
      <c r="FO24" s="1704"/>
      <c r="FP24" s="1704"/>
      <c r="FQ24" s="1704"/>
      <c r="FR24" s="1704"/>
      <c r="FS24" s="1704"/>
      <c r="FT24" s="1704"/>
      <c r="FU24" s="1704"/>
      <c r="FV24" s="1704"/>
      <c r="FW24" s="1704"/>
      <c r="FX24" s="1704"/>
      <c r="FY24" s="1704"/>
      <c r="FZ24" s="1704"/>
      <c r="GA24" s="1704"/>
      <c r="GB24" s="1704"/>
      <c r="GC24" s="1704"/>
      <c r="GD24" s="1704"/>
      <c r="GE24" s="1704"/>
      <c r="GF24" s="1704"/>
      <c r="GG24" s="1704"/>
      <c r="GH24" s="1704"/>
      <c r="GI24" s="1704"/>
      <c r="GJ24" s="1704"/>
      <c r="GK24" s="1704"/>
      <c r="GL24" s="1704"/>
      <c r="GM24" s="1704"/>
      <c r="GN24" s="1704"/>
      <c r="GO24" s="1704"/>
      <c r="GP24" s="1704"/>
      <c r="GQ24" s="1704"/>
      <c r="GR24" s="1704"/>
      <c r="GS24" s="1704"/>
      <c r="GT24" s="1704"/>
      <c r="GU24" s="1704"/>
      <c r="GV24" s="1704"/>
      <c r="GW24" s="1704"/>
      <c r="GX24" s="1704"/>
      <c r="GY24" s="1704"/>
      <c r="GZ24" s="1704"/>
      <c r="HA24" s="1704"/>
      <c r="HB24" s="1704"/>
      <c r="HC24" s="1704"/>
      <c r="HD24" s="1704"/>
      <c r="HE24" s="1704"/>
      <c r="HF24" s="2021"/>
      <c r="HG24" s="2021"/>
      <c r="HH24" s="1704"/>
      <c r="HI24" s="1704"/>
      <c r="HJ24" s="1704"/>
      <c r="HK24" s="1704"/>
      <c r="HL24" s="1704"/>
      <c r="HM24" s="1704"/>
      <c r="HN24" s="1704"/>
      <c r="HO24" s="1704"/>
      <c r="HP24" s="2021"/>
      <c r="HQ24" s="2021"/>
      <c r="HR24" s="1704"/>
      <c r="HS24" s="1704"/>
      <c r="HT24" s="2021"/>
      <c r="HU24" s="2021"/>
      <c r="HV24" s="2021"/>
      <c r="HW24" s="2021"/>
      <c r="HX24" s="2021"/>
      <c r="HY24" s="2021"/>
      <c r="HZ24" s="2021"/>
      <c r="IA24" s="2021"/>
      <c r="IB24" s="1704"/>
      <c r="IC24" s="1704"/>
      <c r="ID24" s="2021"/>
      <c r="IE24" s="2021"/>
      <c r="IF24" s="2021"/>
      <c r="IG24" s="2021"/>
    </row>
    <row r="25" spans="1:241" ht="16.2" hidden="1" thickBot="1">
      <c r="A25" s="1151"/>
      <c r="B25" s="1151" t="s">
        <v>1209</v>
      </c>
      <c r="C25" s="1151"/>
      <c r="D25" s="1151"/>
      <c r="E25" s="1152"/>
      <c r="F25" s="1703" t="s">
        <v>1208</v>
      </c>
      <c r="G25" s="1704"/>
      <c r="H25" s="1703" t="s">
        <v>1208</v>
      </c>
      <c r="I25" s="1704"/>
      <c r="J25" s="1703" t="s">
        <v>1208</v>
      </c>
      <c r="K25" s="1704"/>
      <c r="L25" s="1703" t="s">
        <v>1208</v>
      </c>
      <c r="M25" s="1704"/>
      <c r="N25" s="1703" t="s">
        <v>1208</v>
      </c>
      <c r="O25" s="1704"/>
      <c r="P25" s="1703" t="s">
        <v>1208</v>
      </c>
      <c r="Q25" s="1704"/>
      <c r="R25" s="1703" t="s">
        <v>1208</v>
      </c>
      <c r="S25" s="1704"/>
      <c r="T25" s="1703" t="s">
        <v>1208</v>
      </c>
      <c r="U25" s="1704"/>
      <c r="V25" s="1703" t="s">
        <v>1208</v>
      </c>
      <c r="W25" s="1704"/>
      <c r="X25" s="1703" t="s">
        <v>1208</v>
      </c>
      <c r="Y25" s="1704"/>
      <c r="Z25" s="1703" t="s">
        <v>1208</v>
      </c>
      <c r="AA25" s="1704"/>
      <c r="AB25" s="1703" t="s">
        <v>1208</v>
      </c>
      <c r="AC25" s="1704"/>
      <c r="AD25" s="1703" t="s">
        <v>1208</v>
      </c>
      <c r="AE25" s="1704"/>
      <c r="AF25" s="1703" t="s">
        <v>1208</v>
      </c>
      <c r="AG25" s="1704"/>
      <c r="AH25" s="1703" t="s">
        <v>1208</v>
      </c>
      <c r="AI25" s="1704"/>
      <c r="AJ25" s="1703" t="s">
        <v>1208</v>
      </c>
      <c r="AK25" s="1704"/>
      <c r="AL25" s="1703" t="s">
        <v>1208</v>
      </c>
      <c r="AM25" s="1704"/>
      <c r="AN25" s="1703" t="s">
        <v>1208</v>
      </c>
      <c r="AO25" s="1704"/>
      <c r="AP25" s="1703" t="s">
        <v>1208</v>
      </c>
      <c r="AQ25" s="1704"/>
      <c r="AR25" s="1703" t="s">
        <v>1208</v>
      </c>
      <c r="AS25" s="1704"/>
      <c r="AT25" s="1703" t="s">
        <v>1208</v>
      </c>
      <c r="AU25" s="1704"/>
      <c r="AV25" s="1703" t="s">
        <v>1208</v>
      </c>
      <c r="AW25" s="1704"/>
      <c r="AX25" s="1703" t="s">
        <v>1208</v>
      </c>
      <c r="AY25" s="1704"/>
      <c r="AZ25" s="1703" t="s">
        <v>1208</v>
      </c>
      <c r="BA25" s="1704"/>
      <c r="BB25" s="1703" t="s">
        <v>1208</v>
      </c>
      <c r="BC25" s="1704"/>
      <c r="BD25" s="1703" t="s">
        <v>1208</v>
      </c>
      <c r="BE25" s="1704"/>
      <c r="BF25" s="1703" t="s">
        <v>1208</v>
      </c>
      <c r="BG25" s="1704"/>
      <c r="BH25" s="1703" t="s">
        <v>1208</v>
      </c>
      <c r="BI25" s="1704"/>
      <c r="BJ25" s="1703" t="s">
        <v>1208</v>
      </c>
      <c r="BK25" s="1704"/>
      <c r="BL25" s="1703" t="s">
        <v>1208</v>
      </c>
      <c r="BM25" s="1704"/>
      <c r="BN25" s="1703" t="s">
        <v>1208</v>
      </c>
      <c r="BO25" s="1704"/>
      <c r="BP25" s="1703" t="s">
        <v>1208</v>
      </c>
      <c r="BQ25" s="1704"/>
      <c r="BR25" s="1703" t="s">
        <v>1208</v>
      </c>
      <c r="BS25" s="1704"/>
      <c r="BT25" s="1703" t="s">
        <v>1208</v>
      </c>
      <c r="BU25" s="1704"/>
      <c r="BV25" s="1703" t="s">
        <v>1208</v>
      </c>
      <c r="BW25" s="1704"/>
      <c r="BX25" s="1703" t="s">
        <v>1208</v>
      </c>
      <c r="BY25" s="1704"/>
      <c r="BZ25" s="1703" t="s">
        <v>1208</v>
      </c>
      <c r="CA25" s="1704"/>
      <c r="CB25" s="1703" t="s">
        <v>1208</v>
      </c>
      <c r="CC25" s="1704"/>
      <c r="CD25" s="1703" t="s">
        <v>1208</v>
      </c>
      <c r="CE25" s="1704"/>
      <c r="CF25" s="1703" t="s">
        <v>1208</v>
      </c>
      <c r="CG25" s="1704"/>
      <c r="CH25" s="1703" t="s">
        <v>1208</v>
      </c>
      <c r="CI25" s="1704"/>
      <c r="CJ25" s="1703" t="s">
        <v>1208</v>
      </c>
      <c r="CK25" s="1704"/>
      <c r="CL25" s="1703" t="s">
        <v>1208</v>
      </c>
      <c r="CM25" s="1704"/>
      <c r="CN25" s="1703" t="s">
        <v>1208</v>
      </c>
      <c r="CO25" s="1704"/>
      <c r="CP25" s="1703" t="s">
        <v>1208</v>
      </c>
      <c r="CQ25" s="1704"/>
      <c r="CR25" s="1703" t="s">
        <v>1208</v>
      </c>
      <c r="CS25" s="1704"/>
      <c r="CT25" s="1703" t="s">
        <v>1208</v>
      </c>
      <c r="CU25" s="1704"/>
      <c r="CV25" s="1703" t="s">
        <v>1208</v>
      </c>
      <c r="CW25" s="1704"/>
      <c r="CX25" s="1703" t="s">
        <v>1208</v>
      </c>
      <c r="CY25" s="1704"/>
      <c r="CZ25" s="1703" t="s">
        <v>1208</v>
      </c>
      <c r="DA25" s="1704"/>
      <c r="DB25" s="1703" t="s">
        <v>1208</v>
      </c>
      <c r="DC25" s="1704"/>
      <c r="DD25" s="1703" t="s">
        <v>1208</v>
      </c>
      <c r="DE25" s="1704"/>
      <c r="DF25" s="1703" t="s">
        <v>1208</v>
      </c>
      <c r="DG25" s="1704"/>
      <c r="DH25" s="1703" t="s">
        <v>1208</v>
      </c>
      <c r="DI25" s="1704"/>
      <c r="DJ25" s="1703" t="s">
        <v>1208</v>
      </c>
      <c r="DK25" s="1704"/>
      <c r="DL25" s="1703" t="s">
        <v>1208</v>
      </c>
      <c r="DM25" s="1704"/>
      <c r="DN25" s="1703" t="s">
        <v>1208</v>
      </c>
      <c r="DO25" s="1704"/>
      <c r="DP25" s="1703" t="s">
        <v>1208</v>
      </c>
      <c r="DQ25" s="1704"/>
      <c r="DR25" s="1703" t="s">
        <v>1208</v>
      </c>
      <c r="DS25" s="1704"/>
      <c r="DT25" s="1703" t="s">
        <v>1208</v>
      </c>
      <c r="DU25" s="1704"/>
      <c r="DV25" s="1703" t="s">
        <v>1208</v>
      </c>
      <c r="DW25" s="1704"/>
      <c r="DX25" s="1703" t="s">
        <v>1208</v>
      </c>
      <c r="DY25" s="1704"/>
      <c r="DZ25" s="1703" t="s">
        <v>1208</v>
      </c>
      <c r="EA25" s="1704"/>
      <c r="EB25" s="1703" t="s">
        <v>1208</v>
      </c>
      <c r="EC25" s="1704"/>
      <c r="ED25" s="1703" t="s">
        <v>1208</v>
      </c>
      <c r="EE25" s="1704"/>
      <c r="EF25" s="1703" t="s">
        <v>1208</v>
      </c>
      <c r="EG25" s="1704"/>
      <c r="EH25" s="1703" t="s">
        <v>1208</v>
      </c>
      <c r="EI25" s="1704"/>
      <c r="EJ25" s="1703" t="s">
        <v>1208</v>
      </c>
      <c r="EK25" s="1704"/>
      <c r="EL25" s="1703" t="s">
        <v>1208</v>
      </c>
      <c r="EM25" s="1704"/>
      <c r="EN25" s="1703" t="s">
        <v>1208</v>
      </c>
      <c r="EO25" s="1704"/>
      <c r="EP25" s="1703" t="s">
        <v>1208</v>
      </c>
      <c r="EQ25" s="1704"/>
      <c r="ER25" s="1703" t="s">
        <v>1208</v>
      </c>
      <c r="ES25" s="1704"/>
      <c r="ET25" s="1703" t="s">
        <v>1208</v>
      </c>
      <c r="EU25" s="1704"/>
      <c r="EV25" s="1703" t="s">
        <v>1208</v>
      </c>
      <c r="EW25" s="1704"/>
      <c r="EX25" s="1703" t="s">
        <v>1208</v>
      </c>
      <c r="EY25" s="1704"/>
      <c r="EZ25" s="1703" t="s">
        <v>1208</v>
      </c>
      <c r="FA25" s="1704"/>
      <c r="FB25" s="1703" t="s">
        <v>1208</v>
      </c>
      <c r="FC25" s="1704"/>
      <c r="FD25" s="1703" t="s">
        <v>1208</v>
      </c>
      <c r="FE25" s="1704"/>
      <c r="FF25" s="1703" t="s">
        <v>1208</v>
      </c>
      <c r="FG25" s="1704"/>
      <c r="FH25" s="1703" t="s">
        <v>1208</v>
      </c>
      <c r="FI25" s="1704"/>
      <c r="FJ25" s="1703" t="s">
        <v>1208</v>
      </c>
      <c r="FK25" s="1704"/>
      <c r="FL25" s="1703" t="s">
        <v>1208</v>
      </c>
      <c r="FM25" s="1704"/>
      <c r="FN25" s="1703" t="s">
        <v>1208</v>
      </c>
      <c r="FO25" s="1704"/>
      <c r="FP25" s="1703" t="s">
        <v>1208</v>
      </c>
      <c r="FQ25" s="1704"/>
      <c r="FR25" s="1703" t="s">
        <v>1208</v>
      </c>
      <c r="FS25" s="1704"/>
      <c r="FT25" s="1703" t="s">
        <v>1208</v>
      </c>
      <c r="FU25" s="1704"/>
      <c r="FV25" s="1703" t="s">
        <v>1208</v>
      </c>
      <c r="FW25" s="1704"/>
      <c r="FX25" s="1703" t="s">
        <v>1208</v>
      </c>
      <c r="FY25" s="1704"/>
      <c r="FZ25" s="1703" t="s">
        <v>1208</v>
      </c>
      <c r="GA25" s="1704"/>
      <c r="GB25" s="1703" t="s">
        <v>1208</v>
      </c>
      <c r="GC25" s="1704"/>
      <c r="GD25" s="1703" t="s">
        <v>1208</v>
      </c>
      <c r="GE25" s="1704"/>
      <c r="GF25" s="1703" t="s">
        <v>1208</v>
      </c>
      <c r="GG25" s="1704"/>
      <c r="GH25" s="1703" t="s">
        <v>1208</v>
      </c>
      <c r="GI25" s="1704"/>
      <c r="GJ25" s="1703" t="s">
        <v>1208</v>
      </c>
      <c r="GK25" s="1704"/>
      <c r="GL25" s="1703" t="s">
        <v>1208</v>
      </c>
      <c r="GM25" s="1704"/>
      <c r="GN25" s="1703" t="s">
        <v>1208</v>
      </c>
      <c r="GO25" s="1704"/>
      <c r="GP25" s="1703" t="s">
        <v>1208</v>
      </c>
      <c r="GQ25" s="1704"/>
      <c r="GR25" s="1703" t="s">
        <v>1208</v>
      </c>
      <c r="GS25" s="1704"/>
      <c r="GT25" s="1703" t="s">
        <v>1208</v>
      </c>
      <c r="GU25" s="1704"/>
      <c r="GV25" s="1703" t="s">
        <v>1208</v>
      </c>
      <c r="GW25" s="1704"/>
      <c r="GX25" s="1703" t="s">
        <v>1208</v>
      </c>
      <c r="GY25" s="1704"/>
      <c r="GZ25" s="1703" t="s">
        <v>1208</v>
      </c>
      <c r="HA25" s="1704"/>
      <c r="HB25" s="1703" t="s">
        <v>1208</v>
      </c>
      <c r="HC25" s="1704"/>
      <c r="HD25" s="1703" t="s">
        <v>1208</v>
      </c>
      <c r="HE25" s="1704"/>
      <c r="HF25" s="2020" t="s">
        <v>1208</v>
      </c>
      <c r="HG25" s="2021"/>
      <c r="HH25" s="1703" t="s">
        <v>1208</v>
      </c>
      <c r="HI25" s="1704"/>
      <c r="HJ25" s="1703" t="s">
        <v>1208</v>
      </c>
      <c r="HK25" s="1704"/>
      <c r="HL25" s="1703" t="s">
        <v>1208</v>
      </c>
      <c r="HM25" s="1704"/>
      <c r="HN25" s="1703" t="s">
        <v>1208</v>
      </c>
      <c r="HO25" s="1704"/>
      <c r="HP25" s="2020" t="s">
        <v>1208</v>
      </c>
      <c r="HQ25" s="2021"/>
      <c r="HR25" s="1703" t="s">
        <v>1208</v>
      </c>
      <c r="HS25" s="1704"/>
      <c r="HT25" s="2020" t="s">
        <v>1208</v>
      </c>
      <c r="HU25" s="2021"/>
      <c r="HV25" s="2020" t="s">
        <v>1208</v>
      </c>
      <c r="HW25" s="2021"/>
      <c r="HX25" s="2020" t="s">
        <v>1208</v>
      </c>
      <c r="HY25" s="2021"/>
      <c r="HZ25" s="2020" t="s">
        <v>1208</v>
      </c>
      <c r="IA25" s="2021"/>
      <c r="IB25" s="1703" t="s">
        <v>1208</v>
      </c>
      <c r="IC25" s="1704"/>
      <c r="ID25" s="2020" t="s">
        <v>1208</v>
      </c>
      <c r="IE25" s="2021"/>
      <c r="IF25" s="2020" t="s">
        <v>1208</v>
      </c>
      <c r="IG25" s="2021"/>
    </row>
    <row r="26" spans="1:241" ht="16.2" hidden="1" thickBot="1">
      <c r="A26" s="1151"/>
      <c r="B26" s="1151" t="s">
        <v>1210</v>
      </c>
      <c r="C26" s="1151"/>
      <c r="D26" s="1151"/>
      <c r="E26" s="1152"/>
      <c r="F26" s="1703" t="s">
        <v>1208</v>
      </c>
      <c r="G26" s="1704"/>
      <c r="H26" s="1703" t="s">
        <v>1208</v>
      </c>
      <c r="I26" s="1704"/>
      <c r="J26" s="1703" t="s">
        <v>1208</v>
      </c>
      <c r="K26" s="1704"/>
      <c r="L26" s="1703" t="s">
        <v>1208</v>
      </c>
      <c r="M26" s="1704"/>
      <c r="N26" s="1703" t="s">
        <v>1208</v>
      </c>
      <c r="O26" s="1704"/>
      <c r="P26" s="1703" t="s">
        <v>1208</v>
      </c>
      <c r="Q26" s="1704"/>
      <c r="R26" s="1703" t="s">
        <v>1208</v>
      </c>
      <c r="S26" s="1704"/>
      <c r="T26" s="1703" t="s">
        <v>1208</v>
      </c>
      <c r="U26" s="1704"/>
      <c r="V26" s="1703" t="s">
        <v>1208</v>
      </c>
      <c r="W26" s="1704"/>
      <c r="X26" s="1703" t="s">
        <v>1208</v>
      </c>
      <c r="Y26" s="1704"/>
      <c r="Z26" s="1703" t="s">
        <v>1208</v>
      </c>
      <c r="AA26" s="1704"/>
      <c r="AB26" s="1703" t="s">
        <v>1208</v>
      </c>
      <c r="AC26" s="1704"/>
      <c r="AD26" s="1703" t="s">
        <v>1208</v>
      </c>
      <c r="AE26" s="1704"/>
      <c r="AF26" s="1703" t="s">
        <v>1208</v>
      </c>
      <c r="AG26" s="1704"/>
      <c r="AH26" s="1703" t="s">
        <v>1208</v>
      </c>
      <c r="AI26" s="1704"/>
      <c r="AJ26" s="1703" t="s">
        <v>1208</v>
      </c>
      <c r="AK26" s="1704"/>
      <c r="AL26" s="1703" t="s">
        <v>1208</v>
      </c>
      <c r="AM26" s="1704"/>
      <c r="AN26" s="1703" t="s">
        <v>1208</v>
      </c>
      <c r="AO26" s="1704"/>
      <c r="AP26" s="1703" t="s">
        <v>1208</v>
      </c>
      <c r="AQ26" s="1704"/>
      <c r="AR26" s="1703" t="s">
        <v>1208</v>
      </c>
      <c r="AS26" s="1704"/>
      <c r="AT26" s="1703" t="s">
        <v>1208</v>
      </c>
      <c r="AU26" s="1704"/>
      <c r="AV26" s="1703" t="s">
        <v>1208</v>
      </c>
      <c r="AW26" s="1704"/>
      <c r="AX26" s="1703" t="s">
        <v>1208</v>
      </c>
      <c r="AY26" s="1704"/>
      <c r="AZ26" s="1703" t="s">
        <v>1208</v>
      </c>
      <c r="BA26" s="1704"/>
      <c r="BB26" s="1703" t="s">
        <v>1208</v>
      </c>
      <c r="BC26" s="1704"/>
      <c r="BD26" s="1703" t="s">
        <v>1208</v>
      </c>
      <c r="BE26" s="1704"/>
      <c r="BF26" s="1703" t="s">
        <v>1208</v>
      </c>
      <c r="BG26" s="1704"/>
      <c r="BH26" s="1703" t="s">
        <v>1208</v>
      </c>
      <c r="BI26" s="1704"/>
      <c r="BJ26" s="1703" t="s">
        <v>1208</v>
      </c>
      <c r="BK26" s="1704"/>
      <c r="BL26" s="1703" t="s">
        <v>1208</v>
      </c>
      <c r="BM26" s="1704"/>
      <c r="BN26" s="1703" t="s">
        <v>1208</v>
      </c>
      <c r="BO26" s="1704"/>
      <c r="BP26" s="1703" t="s">
        <v>1208</v>
      </c>
      <c r="BQ26" s="1704"/>
      <c r="BR26" s="1703" t="s">
        <v>1208</v>
      </c>
      <c r="BS26" s="1704"/>
      <c r="BT26" s="1703" t="s">
        <v>1208</v>
      </c>
      <c r="BU26" s="1704"/>
      <c r="BV26" s="1703" t="s">
        <v>1208</v>
      </c>
      <c r="BW26" s="1704"/>
      <c r="BX26" s="1703" t="s">
        <v>1208</v>
      </c>
      <c r="BY26" s="1704"/>
      <c r="BZ26" s="1703" t="s">
        <v>1208</v>
      </c>
      <c r="CA26" s="1704"/>
      <c r="CB26" s="1703" t="s">
        <v>1208</v>
      </c>
      <c r="CC26" s="1704"/>
      <c r="CD26" s="1703" t="s">
        <v>1208</v>
      </c>
      <c r="CE26" s="1704"/>
      <c r="CF26" s="1703" t="s">
        <v>1208</v>
      </c>
      <c r="CG26" s="1704"/>
      <c r="CH26" s="1703" t="s">
        <v>1208</v>
      </c>
      <c r="CI26" s="1704"/>
      <c r="CJ26" s="1703" t="s">
        <v>1208</v>
      </c>
      <c r="CK26" s="1704"/>
      <c r="CL26" s="1703" t="s">
        <v>1208</v>
      </c>
      <c r="CM26" s="1704"/>
      <c r="CN26" s="1703" t="s">
        <v>1208</v>
      </c>
      <c r="CO26" s="1704"/>
      <c r="CP26" s="1703" t="s">
        <v>1208</v>
      </c>
      <c r="CQ26" s="1704"/>
      <c r="CR26" s="1703" t="s">
        <v>1208</v>
      </c>
      <c r="CS26" s="1704"/>
      <c r="CT26" s="1703" t="s">
        <v>1208</v>
      </c>
      <c r="CU26" s="1704"/>
      <c r="CV26" s="1703" t="s">
        <v>1208</v>
      </c>
      <c r="CW26" s="1704"/>
      <c r="CX26" s="1703" t="s">
        <v>1208</v>
      </c>
      <c r="CY26" s="1704"/>
      <c r="CZ26" s="1703" t="s">
        <v>1208</v>
      </c>
      <c r="DA26" s="1704"/>
      <c r="DB26" s="1703" t="s">
        <v>1208</v>
      </c>
      <c r="DC26" s="1704"/>
      <c r="DD26" s="1703" t="s">
        <v>1208</v>
      </c>
      <c r="DE26" s="1704"/>
      <c r="DF26" s="1703" t="s">
        <v>1208</v>
      </c>
      <c r="DG26" s="1704"/>
      <c r="DH26" s="1703" t="s">
        <v>1208</v>
      </c>
      <c r="DI26" s="1704"/>
      <c r="DJ26" s="1703" t="s">
        <v>1208</v>
      </c>
      <c r="DK26" s="1704"/>
      <c r="DL26" s="1703" t="s">
        <v>1208</v>
      </c>
      <c r="DM26" s="1704"/>
      <c r="DN26" s="1703" t="s">
        <v>1208</v>
      </c>
      <c r="DO26" s="1704"/>
      <c r="DP26" s="1703" t="s">
        <v>1208</v>
      </c>
      <c r="DQ26" s="1704"/>
      <c r="DR26" s="1703" t="s">
        <v>1208</v>
      </c>
      <c r="DS26" s="1704"/>
      <c r="DT26" s="1703" t="s">
        <v>1208</v>
      </c>
      <c r="DU26" s="1704"/>
      <c r="DV26" s="1703" t="s">
        <v>1208</v>
      </c>
      <c r="DW26" s="1704"/>
      <c r="DX26" s="1703" t="s">
        <v>1208</v>
      </c>
      <c r="DY26" s="1704"/>
      <c r="DZ26" s="1703" t="s">
        <v>1208</v>
      </c>
      <c r="EA26" s="1704"/>
      <c r="EB26" s="1703" t="s">
        <v>1208</v>
      </c>
      <c r="EC26" s="1704"/>
      <c r="ED26" s="1703" t="s">
        <v>1208</v>
      </c>
      <c r="EE26" s="1704"/>
      <c r="EF26" s="1703" t="s">
        <v>1208</v>
      </c>
      <c r="EG26" s="1704"/>
      <c r="EH26" s="1703" t="s">
        <v>1208</v>
      </c>
      <c r="EI26" s="1704"/>
      <c r="EJ26" s="1703" t="s">
        <v>1208</v>
      </c>
      <c r="EK26" s="1704"/>
      <c r="EL26" s="1703" t="s">
        <v>1208</v>
      </c>
      <c r="EM26" s="1704"/>
      <c r="EN26" s="1703" t="s">
        <v>1208</v>
      </c>
      <c r="EO26" s="1704"/>
      <c r="EP26" s="1703" t="s">
        <v>1208</v>
      </c>
      <c r="EQ26" s="1704"/>
      <c r="ER26" s="1703" t="s">
        <v>1208</v>
      </c>
      <c r="ES26" s="1704"/>
      <c r="ET26" s="1703" t="s">
        <v>1208</v>
      </c>
      <c r="EU26" s="1704"/>
      <c r="EV26" s="1703" t="s">
        <v>1208</v>
      </c>
      <c r="EW26" s="1704"/>
      <c r="EX26" s="1703" t="s">
        <v>1208</v>
      </c>
      <c r="EY26" s="1704"/>
      <c r="EZ26" s="1703" t="s">
        <v>1208</v>
      </c>
      <c r="FA26" s="1704"/>
      <c r="FB26" s="1703" t="s">
        <v>1208</v>
      </c>
      <c r="FC26" s="1704"/>
      <c r="FD26" s="1703" t="s">
        <v>1208</v>
      </c>
      <c r="FE26" s="1704"/>
      <c r="FF26" s="1703" t="s">
        <v>1208</v>
      </c>
      <c r="FG26" s="1704"/>
      <c r="FH26" s="1703" t="s">
        <v>1208</v>
      </c>
      <c r="FI26" s="1704"/>
      <c r="FJ26" s="1703" t="s">
        <v>1208</v>
      </c>
      <c r="FK26" s="1704"/>
      <c r="FL26" s="1703" t="s">
        <v>1208</v>
      </c>
      <c r="FM26" s="1704"/>
      <c r="FN26" s="1703" t="s">
        <v>1208</v>
      </c>
      <c r="FO26" s="1704"/>
      <c r="FP26" s="1703" t="s">
        <v>1208</v>
      </c>
      <c r="FQ26" s="1704"/>
      <c r="FR26" s="1703" t="s">
        <v>1208</v>
      </c>
      <c r="FS26" s="1704"/>
      <c r="FT26" s="1703" t="s">
        <v>1208</v>
      </c>
      <c r="FU26" s="1704"/>
      <c r="FV26" s="1703" t="s">
        <v>1208</v>
      </c>
      <c r="FW26" s="1704"/>
      <c r="FX26" s="1703" t="s">
        <v>1208</v>
      </c>
      <c r="FY26" s="1704"/>
      <c r="FZ26" s="1703" t="s">
        <v>1208</v>
      </c>
      <c r="GA26" s="1704"/>
      <c r="GB26" s="1703" t="s">
        <v>1208</v>
      </c>
      <c r="GC26" s="1704"/>
      <c r="GD26" s="1703" t="s">
        <v>1208</v>
      </c>
      <c r="GE26" s="1704"/>
      <c r="GF26" s="1703" t="s">
        <v>1208</v>
      </c>
      <c r="GG26" s="1704"/>
      <c r="GH26" s="1703" t="s">
        <v>1208</v>
      </c>
      <c r="GI26" s="1704"/>
      <c r="GJ26" s="1703" t="s">
        <v>1208</v>
      </c>
      <c r="GK26" s="1704"/>
      <c r="GL26" s="1703" t="s">
        <v>1208</v>
      </c>
      <c r="GM26" s="1704"/>
      <c r="GN26" s="1703" t="s">
        <v>1208</v>
      </c>
      <c r="GO26" s="1704"/>
      <c r="GP26" s="1703" t="s">
        <v>1208</v>
      </c>
      <c r="GQ26" s="1704"/>
      <c r="GR26" s="1703" t="s">
        <v>1208</v>
      </c>
      <c r="GS26" s="1704"/>
      <c r="GT26" s="1703" t="s">
        <v>1208</v>
      </c>
      <c r="GU26" s="1704"/>
      <c r="GV26" s="1703" t="s">
        <v>1208</v>
      </c>
      <c r="GW26" s="1704"/>
      <c r="GX26" s="1703" t="s">
        <v>1208</v>
      </c>
      <c r="GY26" s="1704"/>
      <c r="GZ26" s="1703" t="s">
        <v>1208</v>
      </c>
      <c r="HA26" s="1704"/>
      <c r="HB26" s="1703" t="s">
        <v>1208</v>
      </c>
      <c r="HC26" s="1704"/>
      <c r="HD26" s="1703" t="s">
        <v>1208</v>
      </c>
      <c r="HE26" s="1704"/>
      <c r="HF26" s="2020" t="s">
        <v>1208</v>
      </c>
      <c r="HG26" s="2021"/>
      <c r="HH26" s="1703" t="s">
        <v>1208</v>
      </c>
      <c r="HI26" s="1704"/>
      <c r="HJ26" s="1703" t="s">
        <v>1208</v>
      </c>
      <c r="HK26" s="1704"/>
      <c r="HL26" s="1703" t="s">
        <v>1208</v>
      </c>
      <c r="HM26" s="1704"/>
      <c r="HN26" s="1703" t="s">
        <v>1208</v>
      </c>
      <c r="HO26" s="1704"/>
      <c r="HP26" s="2020" t="s">
        <v>1208</v>
      </c>
      <c r="HQ26" s="2021"/>
      <c r="HR26" s="1703" t="s">
        <v>1208</v>
      </c>
      <c r="HS26" s="1704"/>
      <c r="HT26" s="2020" t="s">
        <v>1208</v>
      </c>
      <c r="HU26" s="2021"/>
      <c r="HV26" s="2020" t="s">
        <v>1208</v>
      </c>
      <c r="HW26" s="2021"/>
      <c r="HX26" s="2020" t="s">
        <v>1208</v>
      </c>
      <c r="HY26" s="2021"/>
      <c r="HZ26" s="2020" t="s">
        <v>1208</v>
      </c>
      <c r="IA26" s="2021"/>
      <c r="IB26" s="1703" t="s">
        <v>1208</v>
      </c>
      <c r="IC26" s="1704"/>
      <c r="ID26" s="2020" t="s">
        <v>1208</v>
      </c>
      <c r="IE26" s="2021"/>
      <c r="IF26" s="2020" t="s">
        <v>1208</v>
      </c>
      <c r="IG26" s="2021"/>
    </row>
    <row r="27" spans="1:241" ht="16.2" hidden="1" thickBot="1">
      <c r="A27" s="1151"/>
      <c r="B27" s="1151" t="s">
        <v>1211</v>
      </c>
      <c r="C27" s="1151"/>
      <c r="D27" s="1151"/>
      <c r="E27" s="1152"/>
      <c r="F27" s="1703" t="s">
        <v>1208</v>
      </c>
      <c r="G27" s="1704"/>
      <c r="H27" s="1703" t="s">
        <v>1208</v>
      </c>
      <c r="I27" s="1704"/>
      <c r="J27" s="1703" t="s">
        <v>1208</v>
      </c>
      <c r="K27" s="1704"/>
      <c r="L27" s="1703" t="s">
        <v>1208</v>
      </c>
      <c r="M27" s="1704"/>
      <c r="N27" s="1703" t="s">
        <v>1208</v>
      </c>
      <c r="O27" s="1704"/>
      <c r="P27" s="1703" t="s">
        <v>1208</v>
      </c>
      <c r="Q27" s="1704"/>
      <c r="R27" s="1703" t="s">
        <v>1208</v>
      </c>
      <c r="S27" s="1704"/>
      <c r="T27" s="1703" t="s">
        <v>1208</v>
      </c>
      <c r="U27" s="1704"/>
      <c r="V27" s="1703" t="s">
        <v>1208</v>
      </c>
      <c r="W27" s="1704"/>
      <c r="X27" s="1703" t="s">
        <v>1208</v>
      </c>
      <c r="Y27" s="1704"/>
      <c r="Z27" s="1703" t="s">
        <v>1208</v>
      </c>
      <c r="AA27" s="1704"/>
      <c r="AB27" s="1703" t="s">
        <v>1208</v>
      </c>
      <c r="AC27" s="1704"/>
      <c r="AD27" s="1703" t="s">
        <v>1208</v>
      </c>
      <c r="AE27" s="1704"/>
      <c r="AF27" s="1703" t="s">
        <v>1208</v>
      </c>
      <c r="AG27" s="1704"/>
      <c r="AH27" s="1703" t="s">
        <v>1208</v>
      </c>
      <c r="AI27" s="1704"/>
      <c r="AJ27" s="1703" t="s">
        <v>1208</v>
      </c>
      <c r="AK27" s="1704"/>
      <c r="AL27" s="1703" t="s">
        <v>1208</v>
      </c>
      <c r="AM27" s="1704"/>
      <c r="AN27" s="1703" t="s">
        <v>1208</v>
      </c>
      <c r="AO27" s="1704"/>
      <c r="AP27" s="1703" t="s">
        <v>1208</v>
      </c>
      <c r="AQ27" s="1704"/>
      <c r="AR27" s="1703" t="s">
        <v>1208</v>
      </c>
      <c r="AS27" s="1704"/>
      <c r="AT27" s="1703" t="s">
        <v>1208</v>
      </c>
      <c r="AU27" s="1704"/>
      <c r="AV27" s="1703" t="s">
        <v>1208</v>
      </c>
      <c r="AW27" s="1704"/>
      <c r="AX27" s="1703" t="s">
        <v>1208</v>
      </c>
      <c r="AY27" s="1704"/>
      <c r="AZ27" s="1703" t="s">
        <v>1208</v>
      </c>
      <c r="BA27" s="1704"/>
      <c r="BB27" s="1703" t="s">
        <v>1208</v>
      </c>
      <c r="BC27" s="1704"/>
      <c r="BD27" s="1703" t="s">
        <v>1208</v>
      </c>
      <c r="BE27" s="1704"/>
      <c r="BF27" s="1703" t="s">
        <v>1208</v>
      </c>
      <c r="BG27" s="1704"/>
      <c r="BH27" s="1703" t="s">
        <v>1208</v>
      </c>
      <c r="BI27" s="1704"/>
      <c r="BJ27" s="1703" t="s">
        <v>1208</v>
      </c>
      <c r="BK27" s="1704"/>
      <c r="BL27" s="1703" t="s">
        <v>1208</v>
      </c>
      <c r="BM27" s="1704"/>
      <c r="BN27" s="1703" t="s">
        <v>1208</v>
      </c>
      <c r="BO27" s="1704"/>
      <c r="BP27" s="1703" t="s">
        <v>1208</v>
      </c>
      <c r="BQ27" s="1704"/>
      <c r="BR27" s="1703" t="s">
        <v>1208</v>
      </c>
      <c r="BS27" s="1704"/>
      <c r="BT27" s="1703" t="s">
        <v>1208</v>
      </c>
      <c r="BU27" s="1704"/>
      <c r="BV27" s="1703" t="s">
        <v>1208</v>
      </c>
      <c r="BW27" s="1704"/>
      <c r="BX27" s="1703" t="s">
        <v>1208</v>
      </c>
      <c r="BY27" s="1704"/>
      <c r="BZ27" s="1703" t="s">
        <v>1208</v>
      </c>
      <c r="CA27" s="1704"/>
      <c r="CB27" s="1703" t="s">
        <v>1208</v>
      </c>
      <c r="CC27" s="1704"/>
      <c r="CD27" s="1703" t="s">
        <v>1208</v>
      </c>
      <c r="CE27" s="1704"/>
      <c r="CF27" s="1703" t="s">
        <v>1208</v>
      </c>
      <c r="CG27" s="1704"/>
      <c r="CH27" s="1703" t="s">
        <v>1208</v>
      </c>
      <c r="CI27" s="1704"/>
      <c r="CJ27" s="1703" t="s">
        <v>1208</v>
      </c>
      <c r="CK27" s="1704"/>
      <c r="CL27" s="1703" t="s">
        <v>1208</v>
      </c>
      <c r="CM27" s="1704"/>
      <c r="CN27" s="1703" t="s">
        <v>1208</v>
      </c>
      <c r="CO27" s="1704"/>
      <c r="CP27" s="1703" t="s">
        <v>1208</v>
      </c>
      <c r="CQ27" s="1704"/>
      <c r="CR27" s="1703" t="s">
        <v>1208</v>
      </c>
      <c r="CS27" s="1704"/>
      <c r="CT27" s="1703" t="s">
        <v>1208</v>
      </c>
      <c r="CU27" s="1704"/>
      <c r="CV27" s="1703" t="s">
        <v>1208</v>
      </c>
      <c r="CW27" s="1704"/>
      <c r="CX27" s="1703" t="s">
        <v>1208</v>
      </c>
      <c r="CY27" s="1704"/>
      <c r="CZ27" s="1703" t="s">
        <v>1208</v>
      </c>
      <c r="DA27" s="1704"/>
      <c r="DB27" s="1703" t="s">
        <v>1208</v>
      </c>
      <c r="DC27" s="1704"/>
      <c r="DD27" s="1703" t="s">
        <v>1208</v>
      </c>
      <c r="DE27" s="1704"/>
      <c r="DF27" s="1703" t="s">
        <v>1208</v>
      </c>
      <c r="DG27" s="1704"/>
      <c r="DH27" s="1703" t="s">
        <v>1208</v>
      </c>
      <c r="DI27" s="1704"/>
      <c r="DJ27" s="1703" t="s">
        <v>1208</v>
      </c>
      <c r="DK27" s="1704"/>
      <c r="DL27" s="1703" t="s">
        <v>1208</v>
      </c>
      <c r="DM27" s="1704"/>
      <c r="DN27" s="1703" t="s">
        <v>1208</v>
      </c>
      <c r="DO27" s="1704"/>
      <c r="DP27" s="1703" t="s">
        <v>1208</v>
      </c>
      <c r="DQ27" s="1704"/>
      <c r="DR27" s="1703" t="s">
        <v>1208</v>
      </c>
      <c r="DS27" s="1704"/>
      <c r="DT27" s="1703" t="s">
        <v>1208</v>
      </c>
      <c r="DU27" s="1704"/>
      <c r="DV27" s="1703" t="s">
        <v>1208</v>
      </c>
      <c r="DW27" s="1704"/>
      <c r="DX27" s="1703" t="s">
        <v>1208</v>
      </c>
      <c r="DY27" s="1704"/>
      <c r="DZ27" s="1703" t="s">
        <v>1208</v>
      </c>
      <c r="EA27" s="1704"/>
      <c r="EB27" s="1703" t="s">
        <v>1208</v>
      </c>
      <c r="EC27" s="1704"/>
      <c r="ED27" s="1703" t="s">
        <v>1208</v>
      </c>
      <c r="EE27" s="1704"/>
      <c r="EF27" s="1703" t="s">
        <v>1208</v>
      </c>
      <c r="EG27" s="1704"/>
      <c r="EH27" s="1703" t="s">
        <v>1208</v>
      </c>
      <c r="EI27" s="1704"/>
      <c r="EJ27" s="1703" t="s">
        <v>1208</v>
      </c>
      <c r="EK27" s="1704"/>
      <c r="EL27" s="1703" t="s">
        <v>1208</v>
      </c>
      <c r="EM27" s="1704"/>
      <c r="EN27" s="1703" t="s">
        <v>1208</v>
      </c>
      <c r="EO27" s="1704"/>
      <c r="EP27" s="1703" t="s">
        <v>1208</v>
      </c>
      <c r="EQ27" s="1704"/>
      <c r="ER27" s="1703" t="s">
        <v>1208</v>
      </c>
      <c r="ES27" s="1704"/>
      <c r="ET27" s="1703" t="s">
        <v>1208</v>
      </c>
      <c r="EU27" s="1704"/>
      <c r="EV27" s="1703" t="s">
        <v>1208</v>
      </c>
      <c r="EW27" s="1704"/>
      <c r="EX27" s="1703" t="s">
        <v>1208</v>
      </c>
      <c r="EY27" s="1704"/>
      <c r="EZ27" s="1703" t="s">
        <v>1208</v>
      </c>
      <c r="FA27" s="1704"/>
      <c r="FB27" s="1703" t="s">
        <v>1208</v>
      </c>
      <c r="FC27" s="1704"/>
      <c r="FD27" s="1703" t="s">
        <v>1208</v>
      </c>
      <c r="FE27" s="1704"/>
      <c r="FF27" s="1703" t="s">
        <v>1208</v>
      </c>
      <c r="FG27" s="1704"/>
      <c r="FH27" s="1703" t="s">
        <v>1208</v>
      </c>
      <c r="FI27" s="1704"/>
      <c r="FJ27" s="1703" t="s">
        <v>1208</v>
      </c>
      <c r="FK27" s="1704"/>
      <c r="FL27" s="1703" t="s">
        <v>1208</v>
      </c>
      <c r="FM27" s="1704"/>
      <c r="FN27" s="1703" t="s">
        <v>1208</v>
      </c>
      <c r="FO27" s="1704"/>
      <c r="FP27" s="1703" t="s">
        <v>1208</v>
      </c>
      <c r="FQ27" s="1704"/>
      <c r="FR27" s="1703" t="s">
        <v>1208</v>
      </c>
      <c r="FS27" s="1704"/>
      <c r="FT27" s="1703" t="s">
        <v>1208</v>
      </c>
      <c r="FU27" s="1704"/>
      <c r="FV27" s="1703" t="s">
        <v>1208</v>
      </c>
      <c r="FW27" s="1704"/>
      <c r="FX27" s="1703" t="s">
        <v>1208</v>
      </c>
      <c r="FY27" s="1704"/>
      <c r="FZ27" s="1703" t="s">
        <v>1208</v>
      </c>
      <c r="GA27" s="1704"/>
      <c r="GB27" s="1703" t="s">
        <v>1208</v>
      </c>
      <c r="GC27" s="1704"/>
      <c r="GD27" s="1703" t="s">
        <v>1208</v>
      </c>
      <c r="GE27" s="1704"/>
      <c r="GF27" s="1703" t="s">
        <v>1208</v>
      </c>
      <c r="GG27" s="1704"/>
      <c r="GH27" s="1703" t="s">
        <v>1208</v>
      </c>
      <c r="GI27" s="1704"/>
      <c r="GJ27" s="1703" t="s">
        <v>1208</v>
      </c>
      <c r="GK27" s="1704"/>
      <c r="GL27" s="1703" t="s">
        <v>1208</v>
      </c>
      <c r="GM27" s="1704"/>
      <c r="GN27" s="1703" t="s">
        <v>1208</v>
      </c>
      <c r="GO27" s="1704"/>
      <c r="GP27" s="1703" t="s">
        <v>1208</v>
      </c>
      <c r="GQ27" s="1704"/>
      <c r="GR27" s="1703" t="s">
        <v>1208</v>
      </c>
      <c r="GS27" s="1704"/>
      <c r="GT27" s="1703" t="s">
        <v>1208</v>
      </c>
      <c r="GU27" s="1704"/>
      <c r="GV27" s="1703" t="s">
        <v>1208</v>
      </c>
      <c r="GW27" s="1704"/>
      <c r="GX27" s="1703" t="s">
        <v>1208</v>
      </c>
      <c r="GY27" s="1704"/>
      <c r="GZ27" s="1703" t="s">
        <v>1208</v>
      </c>
      <c r="HA27" s="1704"/>
      <c r="HB27" s="1703" t="s">
        <v>1208</v>
      </c>
      <c r="HC27" s="1704"/>
      <c r="HD27" s="1703" t="s">
        <v>1208</v>
      </c>
      <c r="HE27" s="1704"/>
      <c r="HF27" s="2020" t="s">
        <v>1208</v>
      </c>
      <c r="HG27" s="2021"/>
      <c r="HH27" s="1703" t="s">
        <v>1208</v>
      </c>
      <c r="HI27" s="1704"/>
      <c r="HJ27" s="1703" t="s">
        <v>1208</v>
      </c>
      <c r="HK27" s="1704"/>
      <c r="HL27" s="1703" t="s">
        <v>1208</v>
      </c>
      <c r="HM27" s="1704"/>
      <c r="HN27" s="1703" t="s">
        <v>1208</v>
      </c>
      <c r="HO27" s="1704"/>
      <c r="HP27" s="2020" t="s">
        <v>1208</v>
      </c>
      <c r="HQ27" s="2021"/>
      <c r="HR27" s="1703" t="s">
        <v>1208</v>
      </c>
      <c r="HS27" s="1704"/>
      <c r="HT27" s="2020" t="s">
        <v>1208</v>
      </c>
      <c r="HU27" s="2021"/>
      <c r="HV27" s="2020" t="s">
        <v>1208</v>
      </c>
      <c r="HW27" s="2021"/>
      <c r="HX27" s="2020" t="s">
        <v>1208</v>
      </c>
      <c r="HY27" s="2021"/>
      <c r="HZ27" s="2020" t="s">
        <v>1208</v>
      </c>
      <c r="IA27" s="2021"/>
      <c r="IB27" s="1703" t="s">
        <v>1208</v>
      </c>
      <c r="IC27" s="1704"/>
      <c r="ID27" s="2020" t="s">
        <v>1208</v>
      </c>
      <c r="IE27" s="2021"/>
      <c r="IF27" s="2020" t="s">
        <v>1208</v>
      </c>
      <c r="IG27" s="2021"/>
    </row>
    <row r="28" spans="1:241" ht="16.2" hidden="1" thickBot="1">
      <c r="A28" s="1151"/>
      <c r="B28" s="1151" t="s">
        <v>1212</v>
      </c>
      <c r="C28" s="1151"/>
      <c r="D28" s="1151"/>
      <c r="E28" s="1152"/>
      <c r="F28" s="1703" t="s">
        <v>1208</v>
      </c>
      <c r="G28" s="1704"/>
      <c r="H28" s="1703" t="s">
        <v>1208</v>
      </c>
      <c r="I28" s="1704"/>
      <c r="J28" s="1703" t="s">
        <v>1208</v>
      </c>
      <c r="K28" s="1704"/>
      <c r="L28" s="1703" t="s">
        <v>1208</v>
      </c>
      <c r="M28" s="1704"/>
      <c r="N28" s="1703" t="s">
        <v>1208</v>
      </c>
      <c r="O28" s="1704"/>
      <c r="P28" s="1703" t="s">
        <v>1208</v>
      </c>
      <c r="Q28" s="1704"/>
      <c r="R28" s="1703" t="s">
        <v>1208</v>
      </c>
      <c r="S28" s="1704"/>
      <c r="T28" s="1703" t="s">
        <v>1208</v>
      </c>
      <c r="U28" s="1704"/>
      <c r="V28" s="1703" t="s">
        <v>1208</v>
      </c>
      <c r="W28" s="1704"/>
      <c r="X28" s="1703" t="s">
        <v>1208</v>
      </c>
      <c r="Y28" s="1704"/>
      <c r="Z28" s="1703" t="s">
        <v>1208</v>
      </c>
      <c r="AA28" s="1704"/>
      <c r="AB28" s="1703" t="s">
        <v>1208</v>
      </c>
      <c r="AC28" s="1704"/>
      <c r="AD28" s="1703" t="s">
        <v>1208</v>
      </c>
      <c r="AE28" s="1704"/>
      <c r="AF28" s="1703" t="s">
        <v>1208</v>
      </c>
      <c r="AG28" s="1704"/>
      <c r="AH28" s="1703" t="s">
        <v>1208</v>
      </c>
      <c r="AI28" s="1704"/>
      <c r="AJ28" s="1703" t="s">
        <v>1208</v>
      </c>
      <c r="AK28" s="1704"/>
      <c r="AL28" s="1703" t="s">
        <v>1208</v>
      </c>
      <c r="AM28" s="1704"/>
      <c r="AN28" s="1703" t="s">
        <v>1208</v>
      </c>
      <c r="AO28" s="1704"/>
      <c r="AP28" s="1703" t="s">
        <v>1208</v>
      </c>
      <c r="AQ28" s="1704"/>
      <c r="AR28" s="1703" t="s">
        <v>1208</v>
      </c>
      <c r="AS28" s="1704"/>
      <c r="AT28" s="1703" t="s">
        <v>1208</v>
      </c>
      <c r="AU28" s="1704"/>
      <c r="AV28" s="1703" t="s">
        <v>1208</v>
      </c>
      <c r="AW28" s="1704"/>
      <c r="AX28" s="1703" t="s">
        <v>1208</v>
      </c>
      <c r="AY28" s="1704"/>
      <c r="AZ28" s="1703" t="s">
        <v>1208</v>
      </c>
      <c r="BA28" s="1704"/>
      <c r="BB28" s="1703" t="s">
        <v>1208</v>
      </c>
      <c r="BC28" s="1704"/>
      <c r="BD28" s="1703" t="s">
        <v>1208</v>
      </c>
      <c r="BE28" s="1704"/>
      <c r="BF28" s="1703" t="s">
        <v>1208</v>
      </c>
      <c r="BG28" s="1704"/>
      <c r="BH28" s="1703" t="s">
        <v>1208</v>
      </c>
      <c r="BI28" s="1704"/>
      <c r="BJ28" s="1703" t="s">
        <v>1208</v>
      </c>
      <c r="BK28" s="1704"/>
      <c r="BL28" s="1703" t="s">
        <v>1208</v>
      </c>
      <c r="BM28" s="1704"/>
      <c r="BN28" s="1703" t="s">
        <v>1208</v>
      </c>
      <c r="BO28" s="1704"/>
      <c r="BP28" s="1703" t="s">
        <v>1208</v>
      </c>
      <c r="BQ28" s="1704"/>
      <c r="BR28" s="1703" t="s">
        <v>1208</v>
      </c>
      <c r="BS28" s="1704"/>
      <c r="BT28" s="1703" t="s">
        <v>1208</v>
      </c>
      <c r="BU28" s="1704"/>
      <c r="BV28" s="1703" t="s">
        <v>1208</v>
      </c>
      <c r="BW28" s="1704"/>
      <c r="BX28" s="1703" t="s">
        <v>1208</v>
      </c>
      <c r="BY28" s="1704"/>
      <c r="BZ28" s="1703" t="s">
        <v>1208</v>
      </c>
      <c r="CA28" s="1704"/>
      <c r="CB28" s="1703" t="s">
        <v>1208</v>
      </c>
      <c r="CC28" s="1704"/>
      <c r="CD28" s="1703" t="s">
        <v>1208</v>
      </c>
      <c r="CE28" s="1704"/>
      <c r="CF28" s="1703" t="s">
        <v>1208</v>
      </c>
      <c r="CG28" s="1704"/>
      <c r="CH28" s="1703" t="s">
        <v>1208</v>
      </c>
      <c r="CI28" s="1704"/>
      <c r="CJ28" s="1703" t="s">
        <v>1208</v>
      </c>
      <c r="CK28" s="1704"/>
      <c r="CL28" s="1703" t="s">
        <v>1208</v>
      </c>
      <c r="CM28" s="1704"/>
      <c r="CN28" s="1703" t="s">
        <v>1208</v>
      </c>
      <c r="CO28" s="1704"/>
      <c r="CP28" s="1703" t="s">
        <v>1208</v>
      </c>
      <c r="CQ28" s="1704"/>
      <c r="CR28" s="1703" t="s">
        <v>1208</v>
      </c>
      <c r="CS28" s="1704"/>
      <c r="CT28" s="1703" t="s">
        <v>1208</v>
      </c>
      <c r="CU28" s="1704"/>
      <c r="CV28" s="1703" t="s">
        <v>1208</v>
      </c>
      <c r="CW28" s="1704"/>
      <c r="CX28" s="1703" t="s">
        <v>1208</v>
      </c>
      <c r="CY28" s="1704"/>
      <c r="CZ28" s="1703" t="s">
        <v>1208</v>
      </c>
      <c r="DA28" s="1704"/>
      <c r="DB28" s="1703" t="s">
        <v>1208</v>
      </c>
      <c r="DC28" s="1704"/>
      <c r="DD28" s="1703" t="s">
        <v>1208</v>
      </c>
      <c r="DE28" s="1704"/>
      <c r="DF28" s="1703" t="s">
        <v>1208</v>
      </c>
      <c r="DG28" s="1704"/>
      <c r="DH28" s="1703" t="s">
        <v>1208</v>
      </c>
      <c r="DI28" s="1704"/>
      <c r="DJ28" s="1703" t="s">
        <v>1208</v>
      </c>
      <c r="DK28" s="1704"/>
      <c r="DL28" s="1703" t="s">
        <v>1208</v>
      </c>
      <c r="DM28" s="1704"/>
      <c r="DN28" s="1703" t="s">
        <v>1208</v>
      </c>
      <c r="DO28" s="1704"/>
      <c r="DP28" s="1703" t="s">
        <v>1208</v>
      </c>
      <c r="DQ28" s="1704"/>
      <c r="DR28" s="1703" t="s">
        <v>1208</v>
      </c>
      <c r="DS28" s="1704"/>
      <c r="DT28" s="1703" t="s">
        <v>1208</v>
      </c>
      <c r="DU28" s="1704"/>
      <c r="DV28" s="1703" t="s">
        <v>1208</v>
      </c>
      <c r="DW28" s="1704"/>
      <c r="DX28" s="1703" t="s">
        <v>1208</v>
      </c>
      <c r="DY28" s="1704"/>
      <c r="DZ28" s="1703" t="s">
        <v>1208</v>
      </c>
      <c r="EA28" s="1704"/>
      <c r="EB28" s="1703" t="s">
        <v>1208</v>
      </c>
      <c r="EC28" s="1704"/>
      <c r="ED28" s="1703" t="s">
        <v>1208</v>
      </c>
      <c r="EE28" s="1704"/>
      <c r="EF28" s="1703" t="s">
        <v>1208</v>
      </c>
      <c r="EG28" s="1704"/>
      <c r="EH28" s="1703" t="s">
        <v>1208</v>
      </c>
      <c r="EI28" s="1704"/>
      <c r="EJ28" s="1703" t="s">
        <v>1208</v>
      </c>
      <c r="EK28" s="1704"/>
      <c r="EL28" s="1703" t="s">
        <v>1208</v>
      </c>
      <c r="EM28" s="1704"/>
      <c r="EN28" s="1703" t="s">
        <v>1208</v>
      </c>
      <c r="EO28" s="1704"/>
      <c r="EP28" s="1703" t="s">
        <v>1208</v>
      </c>
      <c r="EQ28" s="1704"/>
      <c r="ER28" s="1703" t="s">
        <v>1208</v>
      </c>
      <c r="ES28" s="1704"/>
      <c r="ET28" s="1703" t="s">
        <v>1208</v>
      </c>
      <c r="EU28" s="1704"/>
      <c r="EV28" s="1703" t="s">
        <v>1208</v>
      </c>
      <c r="EW28" s="1704"/>
      <c r="EX28" s="1703" t="s">
        <v>1208</v>
      </c>
      <c r="EY28" s="1704"/>
      <c r="EZ28" s="1703" t="s">
        <v>1208</v>
      </c>
      <c r="FA28" s="1704"/>
      <c r="FB28" s="1703" t="s">
        <v>1208</v>
      </c>
      <c r="FC28" s="1704"/>
      <c r="FD28" s="1703" t="s">
        <v>1208</v>
      </c>
      <c r="FE28" s="1704"/>
      <c r="FF28" s="1703" t="s">
        <v>1208</v>
      </c>
      <c r="FG28" s="1704"/>
      <c r="FH28" s="1703" t="s">
        <v>1208</v>
      </c>
      <c r="FI28" s="1704"/>
      <c r="FJ28" s="1703" t="s">
        <v>1208</v>
      </c>
      <c r="FK28" s="1704"/>
      <c r="FL28" s="1703" t="s">
        <v>1208</v>
      </c>
      <c r="FM28" s="1704"/>
      <c r="FN28" s="1703" t="s">
        <v>1208</v>
      </c>
      <c r="FO28" s="1704"/>
      <c r="FP28" s="1703" t="s">
        <v>1208</v>
      </c>
      <c r="FQ28" s="1704"/>
      <c r="FR28" s="1703" t="s">
        <v>1208</v>
      </c>
      <c r="FS28" s="1704"/>
      <c r="FT28" s="1703" t="s">
        <v>1208</v>
      </c>
      <c r="FU28" s="1704"/>
      <c r="FV28" s="1703" t="s">
        <v>1208</v>
      </c>
      <c r="FW28" s="1704"/>
      <c r="FX28" s="1703" t="s">
        <v>1208</v>
      </c>
      <c r="FY28" s="1704"/>
      <c r="FZ28" s="1703" t="s">
        <v>1208</v>
      </c>
      <c r="GA28" s="1704"/>
      <c r="GB28" s="1703" t="s">
        <v>1208</v>
      </c>
      <c r="GC28" s="1704"/>
      <c r="GD28" s="1703" t="s">
        <v>1208</v>
      </c>
      <c r="GE28" s="1704"/>
      <c r="GF28" s="1703" t="s">
        <v>1208</v>
      </c>
      <c r="GG28" s="1704"/>
      <c r="GH28" s="1703" t="s">
        <v>1208</v>
      </c>
      <c r="GI28" s="1704"/>
      <c r="GJ28" s="1703" t="s">
        <v>1208</v>
      </c>
      <c r="GK28" s="1704"/>
      <c r="GL28" s="1703" t="s">
        <v>1208</v>
      </c>
      <c r="GM28" s="1704"/>
      <c r="GN28" s="1703" t="s">
        <v>1208</v>
      </c>
      <c r="GO28" s="1704"/>
      <c r="GP28" s="1703" t="s">
        <v>1208</v>
      </c>
      <c r="GQ28" s="1704"/>
      <c r="GR28" s="1703" t="s">
        <v>1208</v>
      </c>
      <c r="GS28" s="1704"/>
      <c r="GT28" s="1703" t="s">
        <v>1208</v>
      </c>
      <c r="GU28" s="1704"/>
      <c r="GV28" s="1703" t="s">
        <v>1208</v>
      </c>
      <c r="GW28" s="1704"/>
      <c r="GX28" s="1703" t="s">
        <v>1208</v>
      </c>
      <c r="GY28" s="1704"/>
      <c r="GZ28" s="1703" t="s">
        <v>1208</v>
      </c>
      <c r="HA28" s="1704"/>
      <c r="HB28" s="1703" t="s">
        <v>1208</v>
      </c>
      <c r="HC28" s="1704"/>
      <c r="HD28" s="1703" t="s">
        <v>1208</v>
      </c>
      <c r="HE28" s="1704"/>
      <c r="HF28" s="2020" t="s">
        <v>1208</v>
      </c>
      <c r="HG28" s="2021"/>
      <c r="HH28" s="1703" t="s">
        <v>1208</v>
      </c>
      <c r="HI28" s="1704"/>
      <c r="HJ28" s="1703" t="s">
        <v>1208</v>
      </c>
      <c r="HK28" s="1704"/>
      <c r="HL28" s="1703" t="s">
        <v>1208</v>
      </c>
      <c r="HM28" s="1704"/>
      <c r="HN28" s="1703" t="s">
        <v>1208</v>
      </c>
      <c r="HO28" s="1704"/>
      <c r="HP28" s="2020" t="s">
        <v>1208</v>
      </c>
      <c r="HQ28" s="2021"/>
      <c r="HR28" s="1703" t="s">
        <v>1208</v>
      </c>
      <c r="HS28" s="1704"/>
      <c r="HT28" s="2020" t="s">
        <v>1208</v>
      </c>
      <c r="HU28" s="2021"/>
      <c r="HV28" s="2020" t="s">
        <v>1208</v>
      </c>
      <c r="HW28" s="2021"/>
      <c r="HX28" s="2020" t="s">
        <v>1208</v>
      </c>
      <c r="HY28" s="2021"/>
      <c r="HZ28" s="2020" t="s">
        <v>1208</v>
      </c>
      <c r="IA28" s="2021"/>
      <c r="IB28" s="1703" t="s">
        <v>1208</v>
      </c>
      <c r="IC28" s="1704"/>
      <c r="ID28" s="2020" t="s">
        <v>1208</v>
      </c>
      <c r="IE28" s="2021"/>
      <c r="IF28" s="2020" t="s">
        <v>1208</v>
      </c>
      <c r="IG28" s="2021"/>
    </row>
    <row r="29" spans="1:241" ht="16.2" hidden="1" thickBot="1">
      <c r="A29" s="1151"/>
      <c r="B29" s="1151"/>
      <c r="C29" s="1151"/>
      <c r="D29" s="1151"/>
      <c r="E29" s="1152"/>
      <c r="F29" s="1705"/>
      <c r="G29" s="1704"/>
      <c r="H29" s="1705"/>
      <c r="I29" s="1704"/>
      <c r="J29" s="1705"/>
      <c r="K29" s="1704"/>
      <c r="L29" s="1705"/>
      <c r="M29" s="1704"/>
      <c r="N29" s="1705"/>
      <c r="O29" s="1704"/>
      <c r="P29" s="1705"/>
      <c r="Q29" s="1704"/>
      <c r="R29" s="1705"/>
      <c r="S29" s="1704"/>
      <c r="T29" s="1705"/>
      <c r="U29" s="1704"/>
      <c r="V29" s="1705"/>
      <c r="W29" s="1704"/>
      <c r="X29" s="1705"/>
      <c r="Y29" s="1704"/>
      <c r="Z29" s="1705"/>
      <c r="AA29" s="1704"/>
      <c r="AB29" s="1705"/>
      <c r="AC29" s="1704"/>
      <c r="AD29" s="1705"/>
      <c r="AE29" s="1704"/>
      <c r="AF29" s="1705"/>
      <c r="AG29" s="1704"/>
      <c r="AH29" s="1705"/>
      <c r="AI29" s="1704"/>
      <c r="AJ29" s="1705"/>
      <c r="AK29" s="1704"/>
      <c r="AL29" s="1705"/>
      <c r="AM29" s="1704"/>
      <c r="AN29" s="1705"/>
      <c r="AO29" s="1704"/>
      <c r="AP29" s="1705"/>
      <c r="AQ29" s="1704"/>
      <c r="AR29" s="1705"/>
      <c r="AS29" s="1704"/>
      <c r="AT29" s="1705"/>
      <c r="AU29" s="1704"/>
      <c r="AV29" s="1705"/>
      <c r="AW29" s="1704"/>
      <c r="AX29" s="1705"/>
      <c r="AY29" s="1704"/>
      <c r="AZ29" s="1705"/>
      <c r="BA29" s="1704"/>
      <c r="BB29" s="1705"/>
      <c r="BC29" s="1704"/>
      <c r="BD29" s="1705"/>
      <c r="BE29" s="1704"/>
      <c r="BF29" s="1705"/>
      <c r="BG29" s="1704"/>
      <c r="BH29" s="1705"/>
      <c r="BI29" s="1704"/>
      <c r="BJ29" s="1705"/>
      <c r="BK29" s="1704"/>
      <c r="BL29" s="1705"/>
      <c r="BM29" s="1704"/>
      <c r="BN29" s="1705"/>
      <c r="BO29" s="1704"/>
      <c r="BP29" s="1705"/>
      <c r="BQ29" s="1704"/>
      <c r="BR29" s="1705"/>
      <c r="BS29" s="1704"/>
      <c r="BT29" s="1705"/>
      <c r="BU29" s="1704"/>
      <c r="BV29" s="1705"/>
      <c r="BW29" s="1704"/>
      <c r="BX29" s="1705"/>
      <c r="BY29" s="1704"/>
      <c r="BZ29" s="1705"/>
      <c r="CA29" s="1704"/>
      <c r="CB29" s="1705"/>
      <c r="CC29" s="1704"/>
      <c r="CD29" s="1705"/>
      <c r="CE29" s="1704"/>
      <c r="CF29" s="1705"/>
      <c r="CG29" s="1704"/>
      <c r="CH29" s="1705"/>
      <c r="CI29" s="1704"/>
      <c r="CJ29" s="1705"/>
      <c r="CK29" s="1704"/>
      <c r="CL29" s="1705"/>
      <c r="CM29" s="1704"/>
      <c r="CN29" s="1705"/>
      <c r="CO29" s="1704"/>
      <c r="CP29" s="1705"/>
      <c r="CQ29" s="1704"/>
      <c r="CR29" s="1705"/>
      <c r="CS29" s="1704"/>
      <c r="CT29" s="1705"/>
      <c r="CU29" s="1704"/>
      <c r="CV29" s="1705"/>
      <c r="CW29" s="1704"/>
      <c r="CX29" s="1705"/>
      <c r="CY29" s="1704"/>
      <c r="CZ29" s="1705"/>
      <c r="DA29" s="1704"/>
      <c r="DB29" s="1705"/>
      <c r="DC29" s="1704"/>
      <c r="DD29" s="1705"/>
      <c r="DE29" s="1704"/>
      <c r="DF29" s="1705"/>
      <c r="DG29" s="1704"/>
      <c r="DH29" s="1705"/>
      <c r="DI29" s="1704"/>
      <c r="DJ29" s="1705"/>
      <c r="DK29" s="1704"/>
      <c r="DL29" s="1705"/>
      <c r="DM29" s="1704"/>
      <c r="DN29" s="1705"/>
      <c r="DO29" s="1704"/>
      <c r="DP29" s="1705"/>
      <c r="DQ29" s="1704"/>
      <c r="DR29" s="1705"/>
      <c r="DS29" s="1704"/>
      <c r="DT29" s="1705"/>
      <c r="DU29" s="1704"/>
      <c r="DV29" s="1705"/>
      <c r="DW29" s="1704"/>
      <c r="DX29" s="1705"/>
      <c r="DY29" s="1704"/>
      <c r="DZ29" s="1705"/>
      <c r="EA29" s="1704"/>
      <c r="EB29" s="1705"/>
      <c r="EC29" s="1704"/>
      <c r="ED29" s="1705"/>
      <c r="EE29" s="1704"/>
      <c r="EF29" s="1705"/>
      <c r="EG29" s="1704"/>
      <c r="EH29" s="1705"/>
      <c r="EI29" s="1704"/>
      <c r="EJ29" s="1705"/>
      <c r="EK29" s="1704"/>
      <c r="EL29" s="1705"/>
      <c r="EM29" s="1704"/>
      <c r="EN29" s="1705"/>
      <c r="EO29" s="1704"/>
      <c r="EP29" s="1705"/>
      <c r="EQ29" s="1704"/>
      <c r="ER29" s="1705"/>
      <c r="ES29" s="1704"/>
      <c r="ET29" s="1705"/>
      <c r="EU29" s="1704"/>
      <c r="EV29" s="1705"/>
      <c r="EW29" s="1704"/>
      <c r="EX29" s="1705"/>
      <c r="EY29" s="1704"/>
      <c r="EZ29" s="1705"/>
      <c r="FA29" s="1704"/>
      <c r="FB29" s="1705"/>
      <c r="FC29" s="1704"/>
      <c r="FD29" s="1705"/>
      <c r="FE29" s="1704"/>
      <c r="FF29" s="1705"/>
      <c r="FG29" s="1704"/>
      <c r="FH29" s="1705"/>
      <c r="FI29" s="1704"/>
      <c r="FJ29" s="1705"/>
      <c r="FK29" s="1704"/>
      <c r="FL29" s="1705"/>
      <c r="FM29" s="1704"/>
      <c r="FN29" s="1705"/>
      <c r="FO29" s="1704"/>
      <c r="FP29" s="1705"/>
      <c r="FQ29" s="1704"/>
      <c r="FR29" s="1705"/>
      <c r="FS29" s="1704"/>
      <c r="FT29" s="1705"/>
      <c r="FU29" s="1704"/>
      <c r="FV29" s="1705"/>
      <c r="FW29" s="1704"/>
      <c r="FX29" s="1705"/>
      <c r="FY29" s="1704"/>
      <c r="FZ29" s="1705"/>
      <c r="GA29" s="1704"/>
      <c r="GB29" s="1705"/>
      <c r="GC29" s="1704"/>
      <c r="GD29" s="1705"/>
      <c r="GE29" s="1704"/>
      <c r="GF29" s="1705"/>
      <c r="GG29" s="1704"/>
      <c r="GH29" s="1705"/>
      <c r="GI29" s="1704"/>
      <c r="GJ29" s="1705"/>
      <c r="GK29" s="1704"/>
      <c r="GL29" s="1705"/>
      <c r="GM29" s="1704"/>
      <c r="GN29" s="1705"/>
      <c r="GO29" s="1704"/>
      <c r="GP29" s="1705"/>
      <c r="GQ29" s="1704"/>
      <c r="GR29" s="1705"/>
      <c r="GS29" s="1704"/>
      <c r="GT29" s="1705"/>
      <c r="GU29" s="1704"/>
      <c r="GV29" s="1705"/>
      <c r="GW29" s="1704"/>
      <c r="GX29" s="1705"/>
      <c r="GY29" s="1704"/>
      <c r="GZ29" s="1705"/>
      <c r="HA29" s="1704"/>
      <c r="HB29" s="1705"/>
      <c r="HC29" s="1704"/>
      <c r="HD29" s="1705"/>
      <c r="HE29" s="1704"/>
      <c r="HF29" s="2022"/>
      <c r="HG29" s="2021"/>
      <c r="HH29" s="1705"/>
      <c r="HI29" s="1704"/>
      <c r="HJ29" s="1705"/>
      <c r="HK29" s="1704"/>
      <c r="HL29" s="1705"/>
      <c r="HM29" s="1704"/>
      <c r="HN29" s="1705"/>
      <c r="HO29" s="1704"/>
      <c r="HP29" s="2022"/>
      <c r="HQ29" s="2021"/>
      <c r="HR29" s="1705"/>
      <c r="HS29" s="1704"/>
      <c r="HT29" s="2022"/>
      <c r="HU29" s="2021"/>
      <c r="HV29" s="2022"/>
      <c r="HW29" s="2021"/>
      <c r="HX29" s="2022"/>
      <c r="HY29" s="2021"/>
      <c r="HZ29" s="2022"/>
      <c r="IA29" s="2021"/>
      <c r="IB29" s="1705"/>
      <c r="IC29" s="1704"/>
      <c r="ID29" s="2022"/>
      <c r="IE29" s="2021"/>
      <c r="IF29" s="2022"/>
      <c r="IG29" s="2021"/>
    </row>
    <row r="30" spans="1:241" ht="21.6" thickBot="1">
      <c r="A30" s="1149"/>
      <c r="B30" s="1147" t="s">
        <v>63</v>
      </c>
      <c r="C30" s="1148"/>
      <c r="D30" s="1148"/>
      <c r="E30" s="1148"/>
      <c r="F30" s="1932"/>
      <c r="G30" s="1356"/>
      <c r="H30" s="1538"/>
      <c r="I30" s="1356"/>
      <c r="J30" s="1538"/>
      <c r="K30" s="1356"/>
      <c r="L30" s="1538"/>
      <c r="M30" s="1356"/>
      <c r="N30" s="1538"/>
      <c r="O30" s="1356"/>
      <c r="P30" s="1538"/>
      <c r="Q30" s="1356"/>
      <c r="R30" s="1538"/>
      <c r="T30" s="1538"/>
      <c r="U30" s="1356"/>
      <c r="V30" s="1538"/>
      <c r="W30" s="1356"/>
      <c r="X30" s="1538"/>
      <c r="Y30" s="1356"/>
      <c r="Z30" s="1538"/>
      <c r="AA30" s="1356"/>
      <c r="AB30" s="1538"/>
      <c r="AC30" s="1356"/>
      <c r="AD30" s="1538"/>
      <c r="AE30" s="1356"/>
      <c r="AF30" s="1538"/>
      <c r="AG30" s="1356"/>
      <c r="AH30" s="1538"/>
      <c r="AI30" s="1356"/>
      <c r="AJ30" s="1538"/>
      <c r="AK30" s="1356"/>
      <c r="AL30" s="1538"/>
      <c r="AM30" s="1356"/>
      <c r="AN30" s="1538"/>
      <c r="AO30" s="1356"/>
      <c r="AP30" s="1538"/>
      <c r="AQ30" s="1356"/>
      <c r="AR30" s="1538"/>
      <c r="AS30" s="1356"/>
      <c r="AT30" s="1538"/>
      <c r="AU30" s="1356"/>
      <c r="AV30" s="1538"/>
      <c r="AW30" s="1356"/>
      <c r="AX30" s="1538"/>
      <c r="AY30" s="1356"/>
      <c r="AZ30" s="1538"/>
      <c r="BA30" s="1356"/>
      <c r="BB30" s="1538"/>
      <c r="BC30" s="1356"/>
      <c r="BD30" s="1538"/>
      <c r="BE30" s="1356"/>
      <c r="BF30" s="1538"/>
      <c r="BG30" s="1356"/>
      <c r="BH30" s="1538"/>
      <c r="BI30" s="1356"/>
      <c r="BJ30" s="1538"/>
      <c r="BK30" s="1356"/>
      <c r="BL30" s="1538"/>
      <c r="BM30" s="1356"/>
      <c r="BN30" s="1538"/>
      <c r="BO30" s="1356"/>
      <c r="BP30" s="1538"/>
      <c r="BQ30" s="1356"/>
      <c r="BR30" s="1538"/>
      <c r="BS30" s="1356"/>
      <c r="BT30" s="1538"/>
      <c r="BU30" s="1356"/>
      <c r="BV30" s="1538"/>
      <c r="BW30" s="1356"/>
      <c r="BX30" s="1538"/>
      <c r="BY30" s="1356"/>
      <c r="BZ30" s="1538"/>
      <c r="CA30" s="1356"/>
      <c r="CB30" s="1538"/>
      <c r="CC30" s="1356"/>
      <c r="CD30" s="1538"/>
      <c r="CE30" s="1356"/>
      <c r="CF30" s="1538"/>
      <c r="CG30" s="1356"/>
      <c r="CH30" s="1538"/>
      <c r="CI30" s="1356"/>
      <c r="CJ30" s="1538"/>
      <c r="CK30" s="1356"/>
      <c r="CL30" s="1538"/>
      <c r="CM30" s="1356"/>
      <c r="CN30" s="1538"/>
      <c r="CO30" s="1356"/>
      <c r="CP30" s="1538"/>
      <c r="CQ30" s="1356"/>
      <c r="CR30" s="1538"/>
      <c r="CS30" s="1356"/>
      <c r="CT30" s="1538"/>
      <c r="CU30" s="1356"/>
      <c r="CV30" s="1538"/>
      <c r="CW30" s="1356"/>
      <c r="CX30" s="1538"/>
      <c r="CY30" s="1356"/>
      <c r="CZ30" s="1538"/>
      <c r="DA30" s="1356"/>
      <c r="DB30" s="1538"/>
      <c r="DC30" s="1356"/>
      <c r="DD30" s="1538"/>
      <c r="DE30" s="1356"/>
      <c r="DF30" s="1538"/>
      <c r="DG30" s="1356"/>
      <c r="DH30" s="1538"/>
      <c r="DI30" s="1356"/>
      <c r="DJ30" s="1538"/>
      <c r="DK30" s="1356"/>
      <c r="DL30" s="1538"/>
      <c r="DM30" s="1356"/>
      <c r="DN30" s="1538"/>
      <c r="DO30" s="1356"/>
      <c r="DP30" s="1538"/>
      <c r="DQ30" s="1356"/>
      <c r="DR30" s="1538"/>
      <c r="DS30" s="1356"/>
      <c r="DT30" s="1538"/>
      <c r="DU30" s="1356"/>
      <c r="DV30" s="1538"/>
      <c r="DW30" s="1356"/>
      <c r="DX30" s="1538"/>
      <c r="DY30" s="1356"/>
      <c r="DZ30" s="1538"/>
      <c r="EA30" s="1356"/>
      <c r="EB30" s="1538"/>
      <c r="EC30" s="1356"/>
      <c r="ED30" s="1538"/>
      <c r="EE30" s="1356"/>
      <c r="EF30" s="1538"/>
      <c r="EG30" s="1356"/>
      <c r="EH30" s="1538"/>
      <c r="EI30" s="1356"/>
      <c r="EJ30" s="1538"/>
      <c r="EK30" s="1356"/>
      <c r="EL30" s="1538"/>
      <c r="EM30" s="1356"/>
      <c r="EN30" s="1538"/>
      <c r="EO30" s="1356"/>
      <c r="EP30" s="1538"/>
      <c r="EQ30" s="1356"/>
      <c r="ER30" s="1538"/>
      <c r="ES30" s="1356"/>
      <c r="ET30" s="1538"/>
      <c r="EU30" s="1356"/>
      <c r="EV30" s="1538"/>
      <c r="EW30" s="1356"/>
      <c r="EX30" s="1538"/>
      <c r="EY30" s="1356"/>
      <c r="EZ30" s="1538"/>
      <c r="FA30" s="1356"/>
      <c r="FB30" s="1538"/>
      <c r="FC30" s="1356"/>
      <c r="FD30" s="1538"/>
      <c r="FE30" s="1356"/>
      <c r="FF30" s="1538"/>
      <c r="FG30" s="1356"/>
      <c r="FH30" s="1538"/>
      <c r="FI30" s="1356"/>
      <c r="FJ30" s="1538"/>
      <c r="FK30" s="1356"/>
      <c r="FL30" s="1538"/>
      <c r="FM30" s="1356"/>
      <c r="FN30" s="1538"/>
      <c r="FO30" s="1356"/>
      <c r="FP30" s="1538"/>
      <c r="FQ30" s="1356"/>
      <c r="FR30" s="1538"/>
      <c r="FS30" s="1356"/>
      <c r="FT30" s="1538"/>
      <c r="FU30" s="1356"/>
      <c r="FV30" s="1538"/>
      <c r="FW30" s="1356"/>
      <c r="FX30" s="1538"/>
      <c r="FY30" s="1356"/>
      <c r="FZ30" s="1538"/>
      <c r="GA30" s="1356"/>
      <c r="GB30" s="1538"/>
      <c r="GC30" s="1356"/>
      <c r="GD30" s="1538"/>
      <c r="GE30" s="1356"/>
      <c r="GF30" s="1538"/>
      <c r="GG30" s="1356"/>
      <c r="GH30" s="1538"/>
      <c r="GI30" s="1356"/>
      <c r="GJ30" s="1538"/>
      <c r="GK30" s="1356"/>
      <c r="GL30" s="1538"/>
      <c r="GM30" s="1356"/>
      <c r="GN30" s="1538"/>
      <c r="GO30" s="1356"/>
      <c r="GP30" s="1538"/>
      <c r="GQ30" s="1356"/>
      <c r="GR30" s="1538"/>
      <c r="GS30" s="1356"/>
      <c r="GT30" s="1538"/>
      <c r="GU30" s="1356"/>
      <c r="GV30" s="1538"/>
      <c r="GW30" s="1356"/>
      <c r="GX30" s="1538"/>
      <c r="GY30" s="1356"/>
      <c r="GZ30" s="1538"/>
      <c r="HA30" s="1356"/>
      <c r="HB30" s="1538"/>
      <c r="HC30" s="1356"/>
      <c r="HD30" s="1538"/>
      <c r="HE30" s="1356"/>
      <c r="HF30" s="1535"/>
      <c r="HH30" s="1538"/>
      <c r="HI30" s="1356"/>
      <c r="HJ30" s="1538"/>
      <c r="HK30" s="1356"/>
      <c r="HL30" s="1538"/>
      <c r="HM30" s="1356"/>
      <c r="HN30" s="1538"/>
      <c r="HO30" s="1356"/>
      <c r="HP30" s="2077"/>
      <c r="HR30" s="1538"/>
      <c r="HS30" s="1356"/>
      <c r="HT30" s="1538"/>
      <c r="HV30" s="1538"/>
      <c r="HX30" s="1538"/>
      <c r="HZ30" s="1538"/>
      <c r="IB30" s="1538"/>
      <c r="IC30" s="1356"/>
      <c r="ID30" s="1538"/>
      <c r="IF30" s="1005"/>
    </row>
    <row r="31" spans="1:241">
      <c r="A31" s="1149"/>
      <c r="B31" s="1149"/>
      <c r="C31" s="1149"/>
      <c r="D31" s="1149"/>
      <c r="E31" s="1143"/>
      <c r="F31" s="1699"/>
      <c r="G31" s="1356"/>
      <c r="H31" s="1699"/>
      <c r="I31" s="1356"/>
      <c r="J31" s="1699"/>
      <c r="K31" s="1356"/>
      <c r="L31" s="1699"/>
      <c r="M31" s="1356"/>
      <c r="N31" s="1699"/>
      <c r="O31" s="1356"/>
      <c r="P31" s="1699"/>
      <c r="Q31" s="1356"/>
      <c r="R31" s="1699"/>
      <c r="T31" s="1699"/>
      <c r="U31" s="1356"/>
      <c r="V31" s="1699"/>
      <c r="W31" s="1356"/>
      <c r="X31" s="1699"/>
      <c r="Y31" s="1356"/>
      <c r="Z31" s="1699"/>
      <c r="AA31" s="1356"/>
      <c r="AB31" s="1699"/>
      <c r="AC31" s="1356"/>
      <c r="AD31" s="1699"/>
      <c r="AE31" s="1356"/>
      <c r="AF31" s="1699"/>
      <c r="AG31" s="1356"/>
      <c r="AH31" s="1699"/>
      <c r="AI31" s="1356"/>
      <c r="AJ31" s="1699"/>
      <c r="AK31" s="1356"/>
      <c r="AL31" s="1699"/>
      <c r="AM31" s="1356"/>
      <c r="AN31" s="1699"/>
      <c r="AO31" s="1356"/>
      <c r="AP31" s="1699"/>
      <c r="AQ31" s="1356"/>
      <c r="AR31" s="1699"/>
      <c r="AS31" s="1356"/>
      <c r="AT31" s="1699"/>
      <c r="AU31" s="1356"/>
      <c r="AV31" s="1699"/>
      <c r="AW31" s="1356"/>
      <c r="AX31" s="1699"/>
      <c r="AY31" s="1356"/>
      <c r="AZ31" s="1699"/>
      <c r="BA31" s="1356"/>
      <c r="BB31" s="1699"/>
      <c r="BC31" s="1356"/>
      <c r="BD31" s="1699"/>
      <c r="BE31" s="1356"/>
      <c r="BF31" s="1699"/>
      <c r="BG31" s="1356"/>
      <c r="BH31" s="1699"/>
      <c r="BI31" s="1356"/>
      <c r="BJ31" s="1699"/>
      <c r="BK31" s="1356"/>
      <c r="BL31" s="1699"/>
      <c r="BM31" s="1356"/>
      <c r="BN31" s="1699"/>
      <c r="BO31" s="1356"/>
      <c r="BP31" s="1699"/>
      <c r="BQ31" s="1356"/>
      <c r="BR31" s="1699"/>
      <c r="BS31" s="1356"/>
      <c r="BT31" s="1699"/>
      <c r="BU31" s="1356"/>
      <c r="BV31" s="1699"/>
      <c r="BW31" s="1356"/>
      <c r="BX31" s="1699"/>
      <c r="BY31" s="1356"/>
      <c r="BZ31" s="1699"/>
      <c r="CA31" s="1356"/>
      <c r="CB31" s="1699"/>
      <c r="CC31" s="1356"/>
      <c r="CD31" s="1699"/>
      <c r="CE31" s="1356"/>
      <c r="CF31" s="1699"/>
      <c r="CG31" s="1356"/>
      <c r="CH31" s="1699"/>
      <c r="CI31" s="1356"/>
      <c r="CJ31" s="1699"/>
      <c r="CK31" s="1356"/>
      <c r="CL31" s="1699"/>
      <c r="CM31" s="1356"/>
      <c r="CN31" s="1699"/>
      <c r="CO31" s="1356"/>
      <c r="CP31" s="1699"/>
      <c r="CQ31" s="1356"/>
      <c r="CR31" s="1699"/>
      <c r="CS31" s="1356"/>
      <c r="CT31" s="1699"/>
      <c r="CU31" s="1356"/>
      <c r="CV31" s="1699"/>
      <c r="CW31" s="1356"/>
      <c r="CX31" s="1699"/>
      <c r="CY31" s="1356"/>
      <c r="CZ31" s="1699"/>
      <c r="DA31" s="1356"/>
      <c r="DB31" s="1699"/>
      <c r="DC31" s="1356"/>
      <c r="DD31" s="1699"/>
      <c r="DE31" s="1356"/>
      <c r="DF31" s="1699"/>
      <c r="DG31" s="1356"/>
      <c r="DH31" s="1699"/>
      <c r="DI31" s="1356"/>
      <c r="DJ31" s="1699"/>
      <c r="DK31" s="1356"/>
      <c r="DL31" s="1699"/>
      <c r="DM31" s="1356"/>
      <c r="DN31" s="1699"/>
      <c r="DO31" s="1356"/>
      <c r="DP31" s="1699"/>
      <c r="DQ31" s="1356"/>
      <c r="DR31" s="1699"/>
      <c r="DS31" s="1356"/>
      <c r="DT31" s="1699"/>
      <c r="DU31" s="1356"/>
      <c r="DV31" s="1699"/>
      <c r="DW31" s="1356"/>
      <c r="DX31" s="1699"/>
      <c r="DY31" s="1356"/>
      <c r="DZ31" s="1699"/>
      <c r="EA31" s="1356"/>
      <c r="EB31" s="1699"/>
      <c r="EC31" s="1356"/>
      <c r="ED31" s="1699"/>
      <c r="EE31" s="1356"/>
      <c r="EF31" s="1699"/>
      <c r="EG31" s="1356"/>
      <c r="EH31" s="1699"/>
      <c r="EI31" s="1356"/>
      <c r="EJ31" s="1699"/>
      <c r="EK31" s="1356"/>
      <c r="EL31" s="1699"/>
      <c r="EM31" s="1356"/>
      <c r="EN31" s="1699"/>
      <c r="EO31" s="1356"/>
      <c r="EP31" s="1699"/>
      <c r="EQ31" s="1356"/>
      <c r="ER31" s="1699"/>
      <c r="ES31" s="1356"/>
      <c r="ET31" s="1699"/>
      <c r="EU31" s="1356"/>
      <c r="EV31" s="1699"/>
      <c r="EW31" s="1356"/>
      <c r="EX31" s="1699"/>
      <c r="EY31" s="1356"/>
      <c r="EZ31" s="1699"/>
      <c r="FA31" s="1356"/>
      <c r="FB31" s="1699"/>
      <c r="FC31" s="1356"/>
      <c r="FD31" s="1699"/>
      <c r="FE31" s="1356"/>
      <c r="FF31" s="1699"/>
      <c r="FG31" s="1356"/>
      <c r="FH31" s="1699"/>
      <c r="FI31" s="1356"/>
      <c r="FJ31" s="1699"/>
      <c r="FK31" s="1356"/>
      <c r="FL31" s="1699"/>
      <c r="FM31" s="1356"/>
      <c r="FN31" s="1699"/>
      <c r="FO31" s="1356"/>
      <c r="FP31" s="1699"/>
      <c r="FQ31" s="1356"/>
      <c r="FR31" s="1699"/>
      <c r="FS31" s="1356"/>
      <c r="FT31" s="1699"/>
      <c r="FU31" s="1356"/>
      <c r="FV31" s="1699"/>
      <c r="FW31" s="1356"/>
      <c r="FX31" s="1699"/>
      <c r="FY31" s="1356"/>
      <c r="FZ31" s="1699"/>
      <c r="GA31" s="1356"/>
      <c r="GB31" s="1699"/>
      <c r="GC31" s="1356"/>
      <c r="GD31" s="1699"/>
      <c r="GE31" s="1356"/>
      <c r="GF31" s="1699"/>
      <c r="GG31" s="1356"/>
      <c r="GH31" s="1699"/>
      <c r="GI31" s="1356"/>
      <c r="GJ31" s="1699"/>
      <c r="GK31" s="1356"/>
      <c r="GL31" s="1699"/>
      <c r="GM31" s="1356"/>
      <c r="GN31" s="1699"/>
      <c r="GO31" s="1356"/>
      <c r="GP31" s="1699"/>
      <c r="GQ31" s="1356"/>
      <c r="GR31" s="1699"/>
      <c r="GS31" s="1356"/>
      <c r="GT31" s="1699"/>
      <c r="GU31" s="1356"/>
      <c r="GV31" s="1699"/>
      <c r="GW31" s="1356"/>
      <c r="GX31" s="1699"/>
      <c r="GY31" s="1356"/>
      <c r="GZ31" s="1699"/>
      <c r="HA31" s="1356"/>
      <c r="HB31" s="1699"/>
      <c r="HC31" s="1356"/>
      <c r="HD31" s="1699"/>
      <c r="HE31" s="1356"/>
      <c r="HF31" s="2015"/>
      <c r="HH31" s="1699"/>
      <c r="HI31" s="1356"/>
      <c r="HJ31" s="1699"/>
      <c r="HK31" s="1356"/>
      <c r="HL31" s="1699"/>
      <c r="HM31" s="1356"/>
      <c r="HN31" s="1699"/>
      <c r="HO31" s="1356"/>
      <c r="HP31" s="2015"/>
      <c r="HR31" s="1699"/>
      <c r="HS31" s="1356"/>
      <c r="HT31" s="2015"/>
      <c r="HV31" s="2015"/>
      <c r="HX31" s="2015"/>
      <c r="HZ31" s="2015"/>
      <c r="IB31" s="1699"/>
      <c r="IC31" s="1356"/>
      <c r="ID31" s="2015"/>
      <c r="IF31" s="2015"/>
    </row>
    <row r="32" spans="1:241">
      <c r="A32" s="1149"/>
      <c r="B32" s="1149" t="s">
        <v>82</v>
      </c>
      <c r="C32" s="1149"/>
      <c r="D32" s="1149"/>
      <c r="E32" s="1143"/>
      <c r="F32" s="1699"/>
      <c r="G32" s="1356"/>
      <c r="H32" s="1699"/>
      <c r="I32" s="1356"/>
      <c r="J32" s="1699"/>
      <c r="K32" s="1356"/>
      <c r="L32" s="1699"/>
      <c r="M32" s="1356"/>
      <c r="N32" s="1699"/>
      <c r="O32" s="1356"/>
      <c r="P32" s="1699"/>
      <c r="Q32" s="1356"/>
      <c r="R32" s="1699"/>
      <c r="T32" s="1699"/>
      <c r="U32" s="1356"/>
      <c r="V32" s="1699"/>
      <c r="W32" s="1356"/>
      <c r="X32" s="1699"/>
      <c r="Y32" s="1356"/>
      <c r="Z32" s="1699"/>
      <c r="AA32" s="1356"/>
      <c r="AB32" s="1699"/>
      <c r="AC32" s="1356"/>
      <c r="AD32" s="1699"/>
      <c r="AE32" s="1356"/>
      <c r="AF32" s="1699"/>
      <c r="AG32" s="1356"/>
      <c r="AH32" s="1699"/>
      <c r="AI32" s="1356"/>
      <c r="AJ32" s="1699"/>
      <c r="AK32" s="1356"/>
      <c r="AL32" s="1699"/>
      <c r="AM32" s="1356"/>
      <c r="AN32" s="1699"/>
      <c r="AO32" s="1356"/>
      <c r="AP32" s="1699"/>
      <c r="AQ32" s="1356"/>
      <c r="AR32" s="1699"/>
      <c r="AS32" s="1356"/>
      <c r="AT32" s="1699"/>
      <c r="AU32" s="1356"/>
      <c r="AV32" s="1699"/>
      <c r="AW32" s="1356"/>
      <c r="AX32" s="1699"/>
      <c r="AY32" s="1356"/>
      <c r="AZ32" s="1699"/>
      <c r="BA32" s="1356"/>
      <c r="BB32" s="1699"/>
      <c r="BC32" s="1356"/>
      <c r="BD32" s="1699"/>
      <c r="BE32" s="1356"/>
      <c r="BF32" s="1699"/>
      <c r="BG32" s="1356"/>
      <c r="BH32" s="1699"/>
      <c r="BI32" s="1356"/>
      <c r="BJ32" s="1699"/>
      <c r="BK32" s="1356"/>
      <c r="BL32" s="1699"/>
      <c r="BM32" s="1356"/>
      <c r="BN32" s="1699"/>
      <c r="BO32" s="1356"/>
      <c r="BP32" s="1699"/>
      <c r="BQ32" s="1356"/>
      <c r="BR32" s="1699"/>
      <c r="BS32" s="1356"/>
      <c r="BT32" s="1699"/>
      <c r="BU32" s="1356"/>
      <c r="BV32" s="1699"/>
      <c r="BW32" s="1356"/>
      <c r="BX32" s="1699"/>
      <c r="BY32" s="1356"/>
      <c r="BZ32" s="1699"/>
      <c r="CA32" s="1356"/>
      <c r="CB32" s="1699"/>
      <c r="CC32" s="1356"/>
      <c r="CD32" s="1699"/>
      <c r="CE32" s="1356"/>
      <c r="CF32" s="1699"/>
      <c r="CG32" s="1356"/>
      <c r="CH32" s="1699"/>
      <c r="CI32" s="1356"/>
      <c r="CJ32" s="1699"/>
      <c r="CK32" s="1356"/>
      <c r="CL32" s="1699"/>
      <c r="CM32" s="1356"/>
      <c r="CN32" s="1699"/>
      <c r="CO32" s="1356"/>
      <c r="CP32" s="1699"/>
      <c r="CQ32" s="1356"/>
      <c r="CR32" s="1699"/>
      <c r="CS32" s="1356"/>
      <c r="CT32" s="1699"/>
      <c r="CU32" s="1356"/>
      <c r="CV32" s="1699"/>
      <c r="CW32" s="1356"/>
      <c r="CX32" s="1699"/>
      <c r="CY32" s="1356"/>
      <c r="CZ32" s="1699"/>
      <c r="DA32" s="1356"/>
      <c r="DB32" s="1699"/>
      <c r="DC32" s="1356"/>
      <c r="DD32" s="1699"/>
      <c r="DE32" s="1356"/>
      <c r="DF32" s="1699"/>
      <c r="DG32" s="1356"/>
      <c r="DH32" s="1699"/>
      <c r="DI32" s="1356"/>
      <c r="DJ32" s="1699"/>
      <c r="DK32" s="1356"/>
      <c r="DL32" s="1699"/>
      <c r="DM32" s="1356"/>
      <c r="DN32" s="1699"/>
      <c r="DO32" s="1356"/>
      <c r="DP32" s="1699"/>
      <c r="DQ32" s="1356"/>
      <c r="DR32" s="1699"/>
      <c r="DS32" s="1356"/>
      <c r="DT32" s="1699"/>
      <c r="DU32" s="1356"/>
      <c r="DV32" s="1699"/>
      <c r="DW32" s="1356"/>
      <c r="DX32" s="1699"/>
      <c r="DY32" s="1356"/>
      <c r="DZ32" s="1699"/>
      <c r="EA32" s="1356"/>
      <c r="EB32" s="1699"/>
      <c r="EC32" s="1356"/>
      <c r="ED32" s="1699"/>
      <c r="EE32" s="1356"/>
      <c r="EF32" s="1699"/>
      <c r="EG32" s="1356"/>
      <c r="EH32" s="1699"/>
      <c r="EI32" s="1356"/>
      <c r="EJ32" s="1699"/>
      <c r="EK32" s="1356"/>
      <c r="EL32" s="1699"/>
      <c r="EM32" s="1356"/>
      <c r="EN32" s="1699"/>
      <c r="EO32" s="1356"/>
      <c r="EP32" s="1699"/>
      <c r="EQ32" s="1356"/>
      <c r="ER32" s="1699"/>
      <c r="ES32" s="1356"/>
      <c r="ET32" s="1699"/>
      <c r="EU32" s="1356"/>
      <c r="EV32" s="1699"/>
      <c r="EW32" s="1356"/>
      <c r="EX32" s="1699"/>
      <c r="EY32" s="1356"/>
      <c r="EZ32" s="1699"/>
      <c r="FA32" s="1356"/>
      <c r="FB32" s="1699"/>
      <c r="FC32" s="1356"/>
      <c r="FD32" s="1699"/>
      <c r="FE32" s="1356"/>
      <c r="FF32" s="1699"/>
      <c r="FG32" s="1356"/>
      <c r="FH32" s="1699"/>
      <c r="FI32" s="1356"/>
      <c r="FJ32" s="1699"/>
      <c r="FK32" s="1356"/>
      <c r="FL32" s="1699"/>
      <c r="FM32" s="1356"/>
      <c r="FN32" s="1699"/>
      <c r="FO32" s="1356"/>
      <c r="FP32" s="1699"/>
      <c r="FQ32" s="1356"/>
      <c r="FR32" s="1699"/>
      <c r="FS32" s="1356"/>
      <c r="FT32" s="1699"/>
      <c r="FU32" s="1356"/>
      <c r="FV32" s="1699"/>
      <c r="FW32" s="1356"/>
      <c r="FX32" s="1699"/>
      <c r="FY32" s="1356"/>
      <c r="FZ32" s="1699"/>
      <c r="GA32" s="1356"/>
      <c r="GB32" s="1699"/>
      <c r="GC32" s="1356"/>
      <c r="GD32" s="1699"/>
      <c r="GE32" s="1356"/>
      <c r="GF32" s="1699"/>
      <c r="GG32" s="1356"/>
      <c r="GH32" s="1699"/>
      <c r="GI32" s="1356"/>
      <c r="GJ32" s="1699"/>
      <c r="GK32" s="1356"/>
      <c r="GL32" s="1699"/>
      <c r="GM32" s="1356"/>
      <c r="GN32" s="1699"/>
      <c r="GO32" s="1356"/>
      <c r="GP32" s="1699"/>
      <c r="GQ32" s="1356"/>
      <c r="GR32" s="1699"/>
      <c r="GS32" s="1356"/>
      <c r="GT32" s="1699"/>
      <c r="GU32" s="1356"/>
      <c r="GV32" s="1699"/>
      <c r="GW32" s="1356"/>
      <c r="GX32" s="1699"/>
      <c r="GY32" s="1356"/>
      <c r="GZ32" s="1699"/>
      <c r="HA32" s="1356"/>
      <c r="HB32" s="1699"/>
      <c r="HC32" s="1356"/>
      <c r="HD32" s="1699"/>
      <c r="HE32" s="1356"/>
      <c r="HF32" s="2015"/>
      <c r="HH32" s="1699"/>
      <c r="HI32" s="1356"/>
      <c r="HJ32" s="1699"/>
      <c r="HK32" s="1356"/>
      <c r="HL32" s="1699"/>
      <c r="HM32" s="1356"/>
      <c r="HN32" s="1699"/>
      <c r="HO32" s="1356"/>
      <c r="HP32" s="2015"/>
      <c r="HR32" s="1699"/>
      <c r="HS32" s="1356"/>
      <c r="HT32" s="2015"/>
      <c r="HV32" s="2015"/>
      <c r="HX32" s="2015"/>
      <c r="HZ32" s="2015"/>
      <c r="IB32" s="1699"/>
      <c r="IC32" s="1356"/>
      <c r="ID32" s="2015"/>
      <c r="IF32" s="2015"/>
    </row>
    <row r="33" spans="1:241">
      <c r="A33" s="1149"/>
      <c r="B33" s="1149"/>
      <c r="C33" s="1149"/>
      <c r="D33" s="1149" t="s">
        <v>2</v>
      </c>
      <c r="E33" s="1143"/>
      <c r="F33" s="1537">
        <v>85000</v>
      </c>
      <c r="G33" s="1356"/>
      <c r="H33" s="1537">
        <v>62500</v>
      </c>
      <c r="I33" s="1356"/>
      <c r="J33" s="1537">
        <v>0</v>
      </c>
      <c r="K33" s="1356"/>
      <c r="L33" s="1537">
        <v>100</v>
      </c>
      <c r="M33" s="1356"/>
      <c r="N33" s="1537">
        <v>5000</v>
      </c>
      <c r="O33" s="1356"/>
      <c r="P33" s="1537">
        <v>0</v>
      </c>
      <c r="Q33" s="1356"/>
      <c r="R33" s="1537">
        <v>0</v>
      </c>
      <c r="T33" s="1537" t="s">
        <v>549</v>
      </c>
      <c r="U33" s="1356"/>
      <c r="V33" s="1537"/>
      <c r="W33" s="1356"/>
      <c r="X33" s="1537">
        <v>0</v>
      </c>
      <c r="Y33" s="1356"/>
      <c r="Z33" s="1537">
        <v>0</v>
      </c>
      <c r="AA33" s="1356"/>
      <c r="AB33" s="1537">
        <v>0</v>
      </c>
      <c r="AC33" s="1356"/>
      <c r="AD33" s="1537">
        <v>60000</v>
      </c>
      <c r="AE33" s="1356"/>
      <c r="AF33" s="1537">
        <v>20000</v>
      </c>
      <c r="AG33" s="1356"/>
      <c r="AH33" s="1537">
        <v>0</v>
      </c>
      <c r="AI33" s="1356"/>
      <c r="AJ33" s="1537"/>
      <c r="AK33" s="1356"/>
      <c r="AL33" s="1537">
        <v>0</v>
      </c>
      <c r="AM33" s="1356"/>
      <c r="AN33" s="1537">
        <v>0</v>
      </c>
      <c r="AO33" s="1356"/>
      <c r="AP33" s="1537">
        <v>0</v>
      </c>
      <c r="AQ33" s="1356"/>
      <c r="AR33" s="1537">
        <v>20000</v>
      </c>
      <c r="AS33" s="1356"/>
      <c r="AT33" s="1537">
        <v>30000</v>
      </c>
      <c r="AU33" s="1356"/>
      <c r="AV33" s="1537"/>
      <c r="AW33" s="1356"/>
      <c r="AX33" s="1537">
        <v>0</v>
      </c>
      <c r="AY33" s="1356"/>
      <c r="AZ33" s="1537">
        <v>0</v>
      </c>
      <c r="BA33" s="1356"/>
      <c r="BB33" s="1537">
        <v>5000</v>
      </c>
      <c r="BC33" s="1356"/>
      <c r="BD33" s="1537">
        <v>0</v>
      </c>
      <c r="BE33" s="1356"/>
      <c r="BF33" s="1537">
        <v>0</v>
      </c>
      <c r="BG33" s="1356"/>
      <c r="BH33" s="1537">
        <v>0</v>
      </c>
      <c r="BI33" s="1356"/>
      <c r="BJ33" s="1537">
        <v>0</v>
      </c>
      <c r="BK33" s="1356"/>
      <c r="BL33" s="1537">
        <v>0</v>
      </c>
      <c r="BM33" s="1356"/>
      <c r="BN33" s="1537">
        <v>0</v>
      </c>
      <c r="BO33" s="1356"/>
      <c r="BP33" s="1537">
        <v>0</v>
      </c>
      <c r="BQ33" s="1356"/>
      <c r="BR33" s="1537">
        <v>0</v>
      </c>
      <c r="BS33" s="1356"/>
      <c r="BT33" s="1537">
        <v>25000</v>
      </c>
      <c r="BU33" s="1356"/>
      <c r="BV33" s="1537">
        <v>0</v>
      </c>
      <c r="BW33" s="1356"/>
      <c r="BX33" s="1537">
        <v>0</v>
      </c>
      <c r="BY33" s="1356"/>
      <c r="BZ33" s="1537">
        <v>100</v>
      </c>
      <c r="CA33" s="1356"/>
      <c r="CB33" s="1537">
        <v>0</v>
      </c>
      <c r="CC33" s="1356"/>
      <c r="CD33" s="1537">
        <v>0</v>
      </c>
      <c r="CE33" s="1356"/>
      <c r="CF33" s="1537">
        <v>0</v>
      </c>
      <c r="CG33" s="1356"/>
      <c r="CH33" s="1537">
        <v>0</v>
      </c>
      <c r="CI33" s="1356"/>
      <c r="CJ33" s="1537">
        <v>8500</v>
      </c>
      <c r="CK33" s="1356"/>
      <c r="CL33" s="1537">
        <v>0</v>
      </c>
      <c r="CM33" s="1356"/>
      <c r="CN33" s="1537">
        <v>25000</v>
      </c>
      <c r="CO33" s="1356"/>
      <c r="CP33" s="1537">
        <v>0</v>
      </c>
      <c r="CQ33" s="1356"/>
      <c r="CR33" s="1537">
        <v>259000</v>
      </c>
      <c r="CS33" s="1356"/>
      <c r="CT33" s="1537"/>
      <c r="CU33" s="1356"/>
      <c r="CV33" s="1537">
        <v>0</v>
      </c>
      <c r="CW33" s="1356"/>
      <c r="CX33" s="1537">
        <v>50000</v>
      </c>
      <c r="CY33" s="1356"/>
      <c r="CZ33" s="1537">
        <v>2000</v>
      </c>
      <c r="DA33" s="1356"/>
      <c r="DB33" s="1537">
        <v>1</v>
      </c>
      <c r="DC33" s="1356"/>
      <c r="DD33" s="1537">
        <v>1</v>
      </c>
      <c r="DE33" s="1356"/>
      <c r="DF33" s="1537">
        <v>0</v>
      </c>
      <c r="DG33" s="1356"/>
      <c r="DH33" s="1537">
        <v>0</v>
      </c>
      <c r="DI33" s="1356"/>
      <c r="DJ33" s="1537">
        <v>0</v>
      </c>
      <c r="DK33" s="1356"/>
      <c r="DL33" s="1537">
        <v>0</v>
      </c>
      <c r="DM33" s="1356"/>
      <c r="DN33" s="1537">
        <v>1500</v>
      </c>
      <c r="DO33" s="1356"/>
      <c r="DP33" s="1537">
        <v>0</v>
      </c>
      <c r="DQ33" s="1356"/>
      <c r="DR33" s="1537">
        <v>20000</v>
      </c>
      <c r="DS33" s="1356"/>
      <c r="DT33" s="1537">
        <v>0</v>
      </c>
      <c r="DU33" s="1356"/>
      <c r="DV33" s="1537">
        <v>100</v>
      </c>
      <c r="DW33" s="1356"/>
      <c r="DX33" s="1537">
        <v>75000</v>
      </c>
      <c r="DY33" s="1356"/>
      <c r="DZ33" s="1537">
        <v>1000</v>
      </c>
      <c r="EA33" s="1356"/>
      <c r="EB33" s="1537">
        <v>20000</v>
      </c>
      <c r="EC33" s="1356"/>
      <c r="ED33" s="1537">
        <v>11000</v>
      </c>
      <c r="EE33" s="1356"/>
      <c r="EF33" s="1537">
        <v>800</v>
      </c>
      <c r="EG33" s="1356"/>
      <c r="EH33" s="1537">
        <f>45000*0.25</f>
        <v>11250</v>
      </c>
      <c r="EI33" s="1356"/>
      <c r="EJ33" s="1537">
        <v>20000</v>
      </c>
      <c r="EK33" s="1356"/>
      <c r="EL33" s="1537">
        <v>68000</v>
      </c>
      <c r="EM33" s="1356"/>
      <c r="EN33" s="1537"/>
      <c r="EO33" s="1356"/>
      <c r="EP33" s="1537">
        <v>0</v>
      </c>
      <c r="EQ33" s="1356"/>
      <c r="ER33" s="1537">
        <v>0</v>
      </c>
      <c r="ES33" s="1356"/>
      <c r="ET33" s="1537"/>
      <c r="EU33" s="1356"/>
      <c r="EV33" s="1537"/>
      <c r="EW33" s="1356"/>
      <c r="EX33" s="1537">
        <v>0</v>
      </c>
      <c r="EY33" s="1356"/>
      <c r="EZ33" s="1537">
        <v>0</v>
      </c>
      <c r="FA33" s="1356"/>
      <c r="FB33" s="1537">
        <v>0</v>
      </c>
      <c r="FC33" s="1356"/>
      <c r="FD33" s="1537"/>
      <c r="FE33" s="1356"/>
      <c r="FF33" s="1537">
        <v>0</v>
      </c>
      <c r="FG33" s="1356"/>
      <c r="FH33" s="1537">
        <v>1000</v>
      </c>
      <c r="FI33" s="1356"/>
      <c r="FJ33" s="1537"/>
      <c r="FK33" s="1356"/>
      <c r="FL33" s="1537">
        <v>65000</v>
      </c>
      <c r="FM33" s="1356"/>
      <c r="FN33" s="1537">
        <v>0</v>
      </c>
      <c r="FO33" s="1356"/>
      <c r="FP33" s="1537">
        <v>0</v>
      </c>
      <c r="FQ33" s="1356"/>
      <c r="FR33" s="1537">
        <v>0</v>
      </c>
      <c r="FS33" s="1356"/>
      <c r="FT33" s="1537">
        <v>0</v>
      </c>
      <c r="FU33" s="1356"/>
      <c r="FV33" s="1537">
        <v>180000</v>
      </c>
      <c r="FW33" s="1356"/>
      <c r="FX33" s="1537">
        <v>0</v>
      </c>
      <c r="FY33" s="1356"/>
      <c r="FZ33" s="1537" t="s">
        <v>1854</v>
      </c>
      <c r="GA33" s="1356"/>
      <c r="GB33" s="1537">
        <v>90000</v>
      </c>
      <c r="GC33" s="1356"/>
      <c r="GD33" s="1537"/>
      <c r="GE33" s="1356"/>
      <c r="GF33" s="1537">
        <v>0</v>
      </c>
      <c r="GG33" s="1356"/>
      <c r="GH33" s="1537">
        <v>0</v>
      </c>
      <c r="GI33" s="1356"/>
      <c r="GJ33" s="1537">
        <v>29750</v>
      </c>
      <c r="GK33" s="1356"/>
      <c r="GL33" s="1537">
        <v>0</v>
      </c>
      <c r="GM33" s="1356"/>
      <c r="GN33" s="1537">
        <v>0</v>
      </c>
      <c r="GO33" s="1356"/>
      <c r="GP33" s="1537">
        <v>0</v>
      </c>
      <c r="GQ33" s="1356"/>
      <c r="GR33" s="1537">
        <v>0</v>
      </c>
      <c r="GS33" s="1356"/>
      <c r="GT33" s="1537">
        <v>0</v>
      </c>
      <c r="GU33" s="1356"/>
      <c r="GV33" s="1537">
        <v>0</v>
      </c>
      <c r="GW33" s="1356"/>
      <c r="GX33" s="1537">
        <v>0</v>
      </c>
      <c r="GY33" s="1356"/>
      <c r="GZ33" s="1537">
        <v>51000</v>
      </c>
      <c r="HA33" s="1356"/>
      <c r="HB33" s="1537">
        <v>100</v>
      </c>
      <c r="HC33" s="1356"/>
      <c r="HD33" s="1537">
        <v>0</v>
      </c>
      <c r="HE33" s="1356"/>
      <c r="HF33" s="2012">
        <v>60000</v>
      </c>
      <c r="HH33" s="1537">
        <v>85500</v>
      </c>
      <c r="HI33" s="1356"/>
      <c r="HJ33" s="1537">
        <v>0</v>
      </c>
      <c r="HK33" s="1356"/>
      <c r="HL33" s="1537">
        <v>0</v>
      </c>
      <c r="HM33" s="1356"/>
      <c r="HN33" s="1537">
        <v>0</v>
      </c>
      <c r="HO33" s="1356"/>
      <c r="HP33" s="2012">
        <v>20000</v>
      </c>
      <c r="HR33" s="1537">
        <v>100</v>
      </c>
      <c r="HS33" s="1356"/>
      <c r="HT33" s="2012">
        <v>1000</v>
      </c>
      <c r="HV33" s="2012">
        <v>0</v>
      </c>
      <c r="HX33" s="2012">
        <v>1000</v>
      </c>
      <c r="HZ33" s="2012">
        <v>0</v>
      </c>
      <c r="IB33" s="1537">
        <v>0</v>
      </c>
      <c r="IC33" s="1356"/>
      <c r="ID33" s="2012">
        <v>7500</v>
      </c>
      <c r="IF33" s="2012">
        <v>0</v>
      </c>
    </row>
    <row r="34" spans="1:241">
      <c r="A34" s="1149"/>
      <c r="B34" s="1149"/>
      <c r="C34" s="1149"/>
      <c r="D34" s="1149" t="s">
        <v>3</v>
      </c>
      <c r="E34" s="1143"/>
      <c r="F34" s="1701">
        <v>89000</v>
      </c>
      <c r="G34" s="1356"/>
      <c r="H34" s="1701">
        <v>187500</v>
      </c>
      <c r="I34" s="1356"/>
      <c r="J34" s="1701">
        <v>75000</v>
      </c>
      <c r="K34" s="1356"/>
      <c r="L34" s="1701">
        <v>89900</v>
      </c>
      <c r="M34" s="1356"/>
      <c r="N34" s="1701">
        <v>95000</v>
      </c>
      <c r="O34" s="1356"/>
      <c r="P34" s="1701">
        <v>125000</v>
      </c>
      <c r="Q34" s="1356"/>
      <c r="R34" s="1701">
        <v>200000</v>
      </c>
      <c r="T34" s="1701">
        <v>25000</v>
      </c>
      <c r="U34" s="1356"/>
      <c r="V34" s="1701">
        <v>3750</v>
      </c>
      <c r="W34" s="1356"/>
      <c r="X34" s="1701">
        <v>225000</v>
      </c>
      <c r="Y34" s="1356"/>
      <c r="Z34" s="1537">
        <v>65000</v>
      </c>
      <c r="AA34" s="1356"/>
      <c r="AB34" s="1701">
        <v>4000</v>
      </c>
      <c r="AC34" s="1356"/>
      <c r="AD34" s="1701">
        <v>140000</v>
      </c>
      <c r="AE34" s="1356"/>
      <c r="AF34" s="1701">
        <v>60000</v>
      </c>
      <c r="AG34" s="1356"/>
      <c r="AH34" s="1701">
        <v>60000</v>
      </c>
      <c r="AI34" s="1356"/>
      <c r="AJ34" s="1701">
        <v>225000</v>
      </c>
      <c r="AK34" s="1356"/>
      <c r="AL34" s="1701">
        <v>15000</v>
      </c>
      <c r="AM34" s="1356"/>
      <c r="AN34" s="1701">
        <v>125000</v>
      </c>
      <c r="AO34" s="1356"/>
      <c r="AP34" s="1701">
        <v>250000</v>
      </c>
      <c r="AQ34" s="1356"/>
      <c r="AR34" s="1701">
        <v>225000</v>
      </c>
      <c r="AS34" s="1356"/>
      <c r="AT34" s="1701">
        <v>55000</v>
      </c>
      <c r="AU34" s="1356"/>
      <c r="AV34" s="1701">
        <v>389500</v>
      </c>
      <c r="AW34" s="1356"/>
      <c r="AX34" s="1701">
        <v>25000</v>
      </c>
      <c r="AY34" s="1356"/>
      <c r="AZ34" s="1701">
        <v>5000</v>
      </c>
      <c r="BA34" s="1356"/>
      <c r="BB34" s="1701">
        <v>45000</v>
      </c>
      <c r="BC34" s="1356"/>
      <c r="BD34" s="1701">
        <v>60000</v>
      </c>
      <c r="BE34" s="1356"/>
      <c r="BF34" s="1701">
        <v>5337</v>
      </c>
      <c r="BG34" s="1356"/>
      <c r="BH34" s="1701">
        <v>85000</v>
      </c>
      <c r="BI34" s="1356"/>
      <c r="BJ34" s="1701">
        <v>85000</v>
      </c>
      <c r="BK34" s="1356"/>
      <c r="BL34" s="1701">
        <v>200000</v>
      </c>
      <c r="BM34" s="1356"/>
      <c r="BN34" s="1701">
        <v>75000</v>
      </c>
      <c r="BO34" s="1356"/>
      <c r="BP34" s="1701">
        <v>25000</v>
      </c>
      <c r="BQ34" s="1356"/>
      <c r="BR34" s="1701">
        <v>200000</v>
      </c>
      <c r="BS34" s="1356"/>
      <c r="BT34" s="1701">
        <v>40000</v>
      </c>
      <c r="BU34" s="1356"/>
      <c r="BV34" s="1701">
        <v>4000</v>
      </c>
      <c r="BW34" s="1356"/>
      <c r="BX34" s="1701">
        <v>27500</v>
      </c>
      <c r="BY34" s="1356"/>
      <c r="BZ34" s="1701">
        <v>74900</v>
      </c>
      <c r="CA34" s="1356"/>
      <c r="CB34" s="1701">
        <v>170000</v>
      </c>
      <c r="CC34" s="1356"/>
      <c r="CD34" s="1701">
        <v>100000</v>
      </c>
      <c r="CE34" s="1356"/>
      <c r="CF34" s="1701">
        <v>125000</v>
      </c>
      <c r="CG34" s="1356"/>
      <c r="CH34" s="1701">
        <v>75000</v>
      </c>
      <c r="CI34" s="1356"/>
      <c r="CJ34" s="1701">
        <v>40000</v>
      </c>
      <c r="CK34" s="1356"/>
      <c r="CL34" s="1701">
        <v>200000</v>
      </c>
      <c r="CM34" s="1356"/>
      <c r="CN34" s="1701">
        <v>75000</v>
      </c>
      <c r="CO34" s="1356"/>
      <c r="CP34" s="1701">
        <v>65000</v>
      </c>
      <c r="CQ34" s="1356"/>
      <c r="CR34" s="1701">
        <v>1000</v>
      </c>
      <c r="CS34" s="1356"/>
      <c r="CT34" s="1537">
        <v>125000</v>
      </c>
      <c r="CU34" s="1356"/>
      <c r="CV34" s="1701">
        <v>150000</v>
      </c>
      <c r="CW34" s="1356"/>
      <c r="CX34" s="1701">
        <v>103600</v>
      </c>
      <c r="CY34" s="1356"/>
      <c r="CZ34" s="1701">
        <v>185000</v>
      </c>
      <c r="DA34" s="1356"/>
      <c r="DB34" s="1701">
        <v>59999</v>
      </c>
      <c r="DC34" s="1356"/>
      <c r="DD34" s="1701">
        <v>84999</v>
      </c>
      <c r="DE34" s="1356"/>
      <c r="DF34" s="1701">
        <v>125000</v>
      </c>
      <c r="DG34" s="1356"/>
      <c r="DH34" s="1701">
        <v>1995</v>
      </c>
      <c r="DI34" s="1356"/>
      <c r="DJ34" s="1701">
        <v>30000</v>
      </c>
      <c r="DK34" s="1356"/>
      <c r="DL34" s="1701">
        <v>125000</v>
      </c>
      <c r="DM34" s="1356"/>
      <c r="DN34" s="1701">
        <v>198500</v>
      </c>
      <c r="DO34" s="1356"/>
      <c r="DP34" s="1701">
        <v>125000</v>
      </c>
      <c r="DQ34" s="1356"/>
      <c r="DR34" s="1701">
        <v>75000</v>
      </c>
      <c r="DS34" s="1356"/>
      <c r="DT34" s="1701">
        <v>110000</v>
      </c>
      <c r="DU34" s="1356"/>
      <c r="DV34" s="1701">
        <v>84900</v>
      </c>
      <c r="DW34" s="1356"/>
      <c r="DX34" s="1701">
        <v>75000</v>
      </c>
      <c r="DY34" s="1356"/>
      <c r="DZ34" s="1701">
        <v>85000</v>
      </c>
      <c r="EA34" s="1356"/>
      <c r="EB34" s="1701">
        <v>120000</v>
      </c>
      <c r="EC34" s="1356"/>
      <c r="ED34" s="1701">
        <v>200000</v>
      </c>
      <c r="EE34" s="1356"/>
      <c r="EF34" s="1701">
        <v>94200</v>
      </c>
      <c r="EG34" s="1356"/>
      <c r="EH34" s="1701">
        <v>113750</v>
      </c>
      <c r="EI34" s="1356"/>
      <c r="EJ34" s="1701">
        <v>30000</v>
      </c>
      <c r="EK34" s="1356"/>
      <c r="EL34" s="1701">
        <v>97000</v>
      </c>
      <c r="EM34" s="1356"/>
      <c r="EN34" s="1701">
        <v>0</v>
      </c>
      <c r="EO34" s="1356"/>
      <c r="EP34" s="1701">
        <v>250000</v>
      </c>
      <c r="EQ34" s="1356"/>
      <c r="ER34" s="1701">
        <v>3500</v>
      </c>
      <c r="ES34" s="1356"/>
      <c r="ET34" s="1701">
        <v>130000</v>
      </c>
      <c r="EU34" s="1356"/>
      <c r="EV34" s="1701">
        <v>3600</v>
      </c>
      <c r="EW34" s="1356"/>
      <c r="EX34" s="1701">
        <v>3000</v>
      </c>
      <c r="EY34" s="1356"/>
      <c r="EZ34" s="1701">
        <v>150000</v>
      </c>
      <c r="FA34" s="1356"/>
      <c r="FB34" s="1701">
        <v>45000</v>
      </c>
      <c r="FC34" s="1356"/>
      <c r="FD34" s="1701">
        <v>42500</v>
      </c>
      <c r="FE34" s="1356"/>
      <c r="FF34" s="1701">
        <v>5000</v>
      </c>
      <c r="FG34" s="1356"/>
      <c r="FH34" s="1701">
        <v>400000</v>
      </c>
      <c r="FI34" s="1356"/>
      <c r="FJ34" s="1701">
        <v>100000</v>
      </c>
      <c r="FK34" s="1356"/>
      <c r="FL34" s="1701">
        <v>10000</v>
      </c>
      <c r="FM34" s="1356"/>
      <c r="FN34" s="1701">
        <v>210000</v>
      </c>
      <c r="FO34" s="1356"/>
      <c r="FP34" s="1701">
        <v>4500</v>
      </c>
      <c r="FQ34" s="1356"/>
      <c r="FR34" s="1701">
        <v>65000</v>
      </c>
      <c r="FS34" s="1356"/>
      <c r="FT34" s="1701">
        <v>105000</v>
      </c>
      <c r="FU34" s="1356"/>
      <c r="FV34" s="1701">
        <v>20000</v>
      </c>
      <c r="FW34" s="1356"/>
      <c r="FX34" s="1701">
        <v>4989</v>
      </c>
      <c r="FY34" s="1356"/>
      <c r="FZ34" s="1701">
        <v>80000</v>
      </c>
      <c r="GA34" s="1356"/>
      <c r="GB34" s="1701">
        <v>0</v>
      </c>
      <c r="GC34" s="1356"/>
      <c r="GD34" s="1701">
        <v>95000</v>
      </c>
      <c r="GE34" s="1356"/>
      <c r="GF34" s="1701">
        <v>90000</v>
      </c>
      <c r="GG34" s="1356"/>
      <c r="GH34" s="1701">
        <v>30000</v>
      </c>
      <c r="GI34" s="1356"/>
      <c r="GJ34" s="1701">
        <v>170250</v>
      </c>
      <c r="GK34" s="1356"/>
      <c r="GL34" s="2120">
        <v>7000</v>
      </c>
      <c r="GM34" s="1356"/>
      <c r="GN34" s="1701">
        <v>5000</v>
      </c>
      <c r="GO34" s="1356"/>
      <c r="GP34" s="1701">
        <v>60000</v>
      </c>
      <c r="GQ34" s="1356"/>
      <c r="GR34" s="1701">
        <v>5156</v>
      </c>
      <c r="GS34" s="1356"/>
      <c r="GT34" s="1701">
        <v>4000</v>
      </c>
      <c r="GU34" s="1356"/>
      <c r="GV34" s="1701">
        <v>5000</v>
      </c>
      <c r="GW34" s="1356"/>
      <c r="GX34" s="1701">
        <v>3324</v>
      </c>
      <c r="GY34" s="1356"/>
      <c r="GZ34" s="1701">
        <v>100500</v>
      </c>
      <c r="HA34" s="1356"/>
      <c r="HB34" s="1701">
        <v>79900</v>
      </c>
      <c r="HC34" s="1356"/>
      <c r="HD34" s="1701">
        <v>170000</v>
      </c>
      <c r="HE34" s="1356"/>
      <c r="HF34" s="2016">
        <v>100000</v>
      </c>
      <c r="HH34" s="1701">
        <v>199500</v>
      </c>
      <c r="HI34" s="1356"/>
      <c r="HJ34" s="1701">
        <v>65000</v>
      </c>
      <c r="HK34" s="1356"/>
      <c r="HL34" s="1701">
        <v>15000</v>
      </c>
      <c r="HM34" s="1356"/>
      <c r="HN34" s="1701">
        <v>80000</v>
      </c>
      <c r="HO34" s="1356"/>
      <c r="HP34" s="2016">
        <v>95000</v>
      </c>
      <c r="HR34" s="1701">
        <v>30000</v>
      </c>
      <c r="HS34" s="1356"/>
      <c r="HT34" s="2016">
        <v>94000</v>
      </c>
      <c r="HV34" s="2016">
        <v>150000</v>
      </c>
      <c r="HX34" s="2016">
        <v>74000</v>
      </c>
      <c r="HZ34" s="2016">
        <v>70000</v>
      </c>
      <c r="IB34" s="1701">
        <v>70000</v>
      </c>
      <c r="IC34" s="1356"/>
      <c r="ID34" s="2016">
        <v>0</v>
      </c>
      <c r="IF34" s="2016">
        <v>25000</v>
      </c>
    </row>
    <row r="35" spans="1:241">
      <c r="A35" s="1149"/>
      <c r="B35" s="1149"/>
      <c r="C35" s="1149"/>
      <c r="D35" s="1149"/>
      <c r="E35" s="1143"/>
      <c r="F35" s="1406"/>
      <c r="G35" s="1356"/>
      <c r="H35" s="1406"/>
      <c r="I35" s="1356"/>
      <c r="J35" s="1406"/>
      <c r="K35" s="1356"/>
      <c r="L35" s="1406"/>
      <c r="M35" s="1356"/>
      <c r="N35" s="1406"/>
      <c r="O35" s="1356"/>
      <c r="P35" s="1406"/>
      <c r="Q35" s="1356"/>
      <c r="T35" s="1406"/>
      <c r="U35" s="1356"/>
      <c r="V35" s="1406"/>
      <c r="W35" s="1356"/>
      <c r="X35" s="1406"/>
      <c r="Y35" s="1356"/>
      <c r="Z35" s="1406"/>
      <c r="AA35" s="1356"/>
      <c r="AB35" s="1406"/>
      <c r="AC35" s="1356"/>
      <c r="AD35" s="1406"/>
      <c r="AE35" s="1356"/>
      <c r="AF35" s="1406"/>
      <c r="AG35" s="1356"/>
      <c r="AH35" s="1406"/>
      <c r="AI35" s="1356"/>
      <c r="AJ35" s="1406"/>
      <c r="AK35" s="1356"/>
      <c r="AL35" s="1406"/>
      <c r="AM35" s="1356"/>
      <c r="AN35" s="1406"/>
      <c r="AO35" s="1356"/>
      <c r="AP35" s="1406"/>
      <c r="AQ35" s="1356"/>
      <c r="AR35" s="1406"/>
      <c r="AS35" s="1356"/>
      <c r="AT35" s="1406"/>
      <c r="AU35" s="1356"/>
      <c r="AV35" s="1406"/>
      <c r="AW35" s="1356"/>
      <c r="AX35" s="1406"/>
      <c r="AY35" s="1356"/>
      <c r="AZ35" s="1406"/>
      <c r="BA35" s="1356"/>
      <c r="BB35" s="1406"/>
      <c r="BC35" s="1356"/>
      <c r="BD35" s="1406"/>
      <c r="BE35" s="1356"/>
      <c r="BF35" s="1406"/>
      <c r="BG35" s="1356"/>
      <c r="BH35" s="1406"/>
      <c r="BI35" s="1356"/>
      <c r="BJ35" s="1406"/>
      <c r="BK35" s="1356"/>
      <c r="BL35" s="1406"/>
      <c r="BM35" s="1356"/>
      <c r="BN35" s="1406"/>
      <c r="BO35" s="1356"/>
      <c r="BP35" s="1406"/>
      <c r="BQ35" s="1356"/>
      <c r="BR35" s="1406"/>
      <c r="BS35" s="1356"/>
      <c r="BT35" s="1406"/>
      <c r="BU35" s="1356"/>
      <c r="BV35" s="1406"/>
      <c r="BW35" s="1356"/>
      <c r="BX35" s="1406"/>
      <c r="BY35" s="1356"/>
      <c r="BZ35" s="1406"/>
      <c r="CA35" s="1356"/>
      <c r="CB35" s="1406"/>
      <c r="CC35" s="1356"/>
      <c r="CD35" s="1406"/>
      <c r="CE35" s="1356"/>
      <c r="CF35" s="1406"/>
      <c r="CG35" s="1356"/>
      <c r="CH35" s="1406"/>
      <c r="CI35" s="1356"/>
      <c r="CJ35" s="1406"/>
      <c r="CK35" s="1356"/>
      <c r="CL35" s="1406"/>
      <c r="CM35" s="1356"/>
      <c r="CN35" s="1406"/>
      <c r="CO35" s="1356"/>
      <c r="CP35" s="1406"/>
      <c r="CQ35" s="1356"/>
      <c r="CR35" s="1406"/>
      <c r="CS35" s="1356"/>
      <c r="CT35" s="1406"/>
      <c r="CU35" s="1356"/>
      <c r="CV35" s="1406"/>
      <c r="CW35" s="1356"/>
      <c r="CX35" s="1406"/>
      <c r="CY35" s="1356"/>
      <c r="CZ35" s="1406"/>
      <c r="DA35" s="1356"/>
      <c r="DB35" s="1406"/>
      <c r="DC35" s="1356"/>
      <c r="DD35" s="1406"/>
      <c r="DE35" s="1356"/>
      <c r="DF35" s="1406"/>
      <c r="DG35" s="1356"/>
      <c r="DH35" s="1406"/>
      <c r="DI35" s="1356"/>
      <c r="DJ35" s="1406"/>
      <c r="DK35" s="1356"/>
      <c r="DL35" s="1406"/>
      <c r="DM35" s="1356"/>
      <c r="DN35" s="1406"/>
      <c r="DO35" s="1356"/>
      <c r="DP35" s="1406"/>
      <c r="DQ35" s="1356"/>
      <c r="DR35" s="1406"/>
      <c r="DS35" s="1356"/>
      <c r="DT35" s="1406"/>
      <c r="DU35" s="1356"/>
      <c r="DV35" s="1406"/>
      <c r="DW35" s="1356"/>
      <c r="DX35" s="1406"/>
      <c r="DY35" s="1356"/>
      <c r="DZ35" s="1406"/>
      <c r="EA35" s="1356"/>
      <c r="EB35" s="1406"/>
      <c r="EC35" s="1356"/>
      <c r="ED35" s="1406"/>
      <c r="EE35" s="1356"/>
      <c r="EF35" s="1406"/>
      <c r="EG35" s="1356"/>
      <c r="EH35" s="1406"/>
      <c r="EI35" s="1356"/>
      <c r="EJ35" s="1406"/>
      <c r="EK35" s="1356"/>
      <c r="EL35" s="1406"/>
      <c r="EM35" s="1356"/>
      <c r="EN35" s="1406"/>
      <c r="EO35" s="1356"/>
      <c r="EP35" s="1406"/>
      <c r="EQ35" s="1356"/>
      <c r="ER35" s="1406"/>
      <c r="ES35" s="1356"/>
      <c r="ET35" s="1406"/>
      <c r="EU35" s="1356"/>
      <c r="EV35" s="1406"/>
      <c r="EW35" s="1356"/>
      <c r="EX35" s="1406"/>
      <c r="EY35" s="1356"/>
      <c r="EZ35" s="1406"/>
      <c r="FA35" s="1356"/>
      <c r="FB35" s="1406"/>
      <c r="FC35" s="1356"/>
      <c r="FD35" s="1406"/>
      <c r="FE35" s="1356"/>
      <c r="FF35" s="1406"/>
      <c r="FG35" s="1356"/>
      <c r="FH35" s="1406"/>
      <c r="FI35" s="1356"/>
      <c r="FJ35" s="1406"/>
      <c r="FK35" s="1356"/>
      <c r="FL35" s="1406"/>
      <c r="FM35" s="1356"/>
      <c r="FN35" s="1406"/>
      <c r="FO35" s="1356"/>
      <c r="FP35" s="1406"/>
      <c r="FQ35" s="1356"/>
      <c r="FR35" s="1406"/>
      <c r="FS35" s="1356"/>
      <c r="FT35" s="1406"/>
      <c r="FU35" s="1356"/>
      <c r="FV35" s="1406"/>
      <c r="FW35" s="1356"/>
      <c r="FX35" s="1406"/>
      <c r="FY35" s="1356"/>
      <c r="FZ35" s="1406"/>
      <c r="GA35" s="1356"/>
      <c r="GB35" s="1406"/>
      <c r="GC35" s="1356"/>
      <c r="GD35" s="1406"/>
      <c r="GE35" s="1356"/>
      <c r="GF35" s="1406"/>
      <c r="GG35" s="1356"/>
      <c r="GH35" s="1406"/>
      <c r="GI35" s="1356"/>
      <c r="GJ35" s="1406"/>
      <c r="GK35" s="1356"/>
      <c r="GL35" s="1406"/>
      <c r="GM35" s="1356"/>
      <c r="GN35" s="1406"/>
      <c r="GO35" s="1356"/>
      <c r="GP35" s="1406"/>
      <c r="GQ35" s="1356"/>
      <c r="GR35" s="1406"/>
      <c r="GS35" s="1356"/>
      <c r="GT35" s="1406"/>
      <c r="GU35" s="1356"/>
      <c r="GV35" s="1406"/>
      <c r="GW35" s="1356"/>
      <c r="GX35" s="1406"/>
      <c r="GY35" s="1356"/>
      <c r="GZ35" s="1406"/>
      <c r="HA35" s="1356"/>
      <c r="HB35" s="1406"/>
      <c r="HC35" s="1356"/>
      <c r="HD35" s="1406"/>
      <c r="HE35" s="1356"/>
      <c r="HF35" s="2017"/>
      <c r="HH35" s="1406"/>
      <c r="HI35" s="1356"/>
      <c r="HJ35" s="1406"/>
      <c r="HK35" s="1356"/>
      <c r="HL35" s="1406"/>
      <c r="HM35" s="1356"/>
      <c r="HN35" s="1406"/>
      <c r="HO35" s="1356"/>
      <c r="HP35" s="2017"/>
      <c r="HR35" s="1406"/>
      <c r="HS35" s="1356"/>
      <c r="HT35" s="2017"/>
      <c r="HV35" s="2017"/>
      <c r="HX35" s="2017"/>
      <c r="HZ35" s="2017"/>
      <c r="IB35" s="1406"/>
      <c r="IC35" s="1356"/>
      <c r="ID35" s="2017"/>
      <c r="IF35" s="2017"/>
    </row>
    <row r="36" spans="1:241">
      <c r="A36" s="1149"/>
      <c r="B36" s="1149"/>
      <c r="C36" s="1149"/>
      <c r="D36" s="1149" t="s">
        <v>4</v>
      </c>
      <c r="E36" s="1143"/>
      <c r="F36" s="1702">
        <f>SUM(F33:F34)</f>
        <v>174000</v>
      </c>
      <c r="G36" s="1356"/>
      <c r="H36" s="1702">
        <f>SUM(H33:H34)</f>
        <v>250000</v>
      </c>
      <c r="I36" s="1356"/>
      <c r="J36" s="1702">
        <f>SUM(J33:J34)</f>
        <v>75000</v>
      </c>
      <c r="K36" s="1356"/>
      <c r="L36" s="1702">
        <f>SUM(L33:L34)</f>
        <v>90000</v>
      </c>
      <c r="M36" s="1356"/>
      <c r="N36" s="1702">
        <f>SUM(N33:N34)</f>
        <v>100000</v>
      </c>
      <c r="O36" s="1356"/>
      <c r="P36" s="1702">
        <f>SUM(P33:P34)</f>
        <v>125000</v>
      </c>
      <c r="Q36" s="1356"/>
      <c r="R36" s="1702">
        <f>SUM(R33:R34)</f>
        <v>200000</v>
      </c>
      <c r="T36" s="1702">
        <f>SUM(T33:T34)</f>
        <v>25000</v>
      </c>
      <c r="U36" s="1356"/>
      <c r="V36" s="1702">
        <f>SUM(V33:V34)</f>
        <v>3750</v>
      </c>
      <c r="W36" s="1356"/>
      <c r="X36" s="1702">
        <f>SUM(X33:X34)</f>
        <v>225000</v>
      </c>
      <c r="Y36" s="1356"/>
      <c r="Z36" s="1702">
        <f>SUM(Z33:Z34)</f>
        <v>65000</v>
      </c>
      <c r="AA36" s="1356"/>
      <c r="AB36" s="1702">
        <f>SUM(AB33:AB34)</f>
        <v>4000</v>
      </c>
      <c r="AC36" s="1356"/>
      <c r="AD36" s="1702">
        <f>SUM(AD33:AD34)</f>
        <v>200000</v>
      </c>
      <c r="AE36" s="1356"/>
      <c r="AF36" s="1702">
        <f>SUM(AF33:AF34)</f>
        <v>80000</v>
      </c>
      <c r="AG36" s="1356"/>
      <c r="AH36" s="1702">
        <f>SUM(AH33:AH34)</f>
        <v>60000</v>
      </c>
      <c r="AI36" s="1356"/>
      <c r="AJ36" s="1702">
        <f>SUM(AJ33:AJ34)</f>
        <v>225000</v>
      </c>
      <c r="AK36" s="1356"/>
      <c r="AL36" s="1702">
        <f>SUM(AL33:AL34)</f>
        <v>15000</v>
      </c>
      <c r="AM36" s="1356"/>
      <c r="AN36" s="1702">
        <f>SUM(AN33:AN34)</f>
        <v>125000</v>
      </c>
      <c r="AO36" s="1356"/>
      <c r="AP36" s="1702">
        <f>SUM(AP33:AP34)</f>
        <v>250000</v>
      </c>
      <c r="AQ36" s="1356"/>
      <c r="AR36" s="1702">
        <f>SUM(AR33:AR34)</f>
        <v>245000</v>
      </c>
      <c r="AS36" s="1356"/>
      <c r="AT36" s="1702">
        <f>SUM(AT33:AT34)</f>
        <v>85000</v>
      </c>
      <c r="AU36" s="1356"/>
      <c r="AV36" s="1702">
        <f>SUM(AV33:AV34)</f>
        <v>389500</v>
      </c>
      <c r="AW36" s="1356"/>
      <c r="AX36" s="1702">
        <f>SUM(AX33:AX34)</f>
        <v>25000</v>
      </c>
      <c r="AY36" s="1356"/>
      <c r="AZ36" s="1702">
        <f>SUM(AZ33:AZ34)</f>
        <v>5000</v>
      </c>
      <c r="BA36" s="1356"/>
      <c r="BB36" s="1702">
        <f>SUM(BB33:BB34)</f>
        <v>50000</v>
      </c>
      <c r="BC36" s="1356"/>
      <c r="BD36" s="1702">
        <f>SUM(BD33:BD34)</f>
        <v>60000</v>
      </c>
      <c r="BE36" s="1356"/>
      <c r="BF36" s="1702">
        <f>SUM(BF33:BF34)</f>
        <v>5337</v>
      </c>
      <c r="BG36" s="1356"/>
      <c r="BH36" s="1702">
        <f>SUM(BH33:BH34)</f>
        <v>85000</v>
      </c>
      <c r="BI36" s="1356"/>
      <c r="BJ36" s="1702">
        <f>SUM(BJ33:BJ34)</f>
        <v>85000</v>
      </c>
      <c r="BK36" s="1356"/>
      <c r="BL36" s="1702">
        <f>SUM(BL33:BL34)</f>
        <v>200000</v>
      </c>
      <c r="BM36" s="1356"/>
      <c r="BN36" s="1702">
        <f>SUM(BN33:BN34)</f>
        <v>75000</v>
      </c>
      <c r="BO36" s="1356"/>
      <c r="BP36" s="1702">
        <f>SUM(BP33:BP34)</f>
        <v>25000</v>
      </c>
      <c r="BQ36" s="1356"/>
      <c r="BR36" s="1702">
        <f>SUM(BR33:BR34)</f>
        <v>200000</v>
      </c>
      <c r="BS36" s="1356"/>
      <c r="BT36" s="1702">
        <f>SUM(BT33:BT34)</f>
        <v>65000</v>
      </c>
      <c r="BU36" s="1356"/>
      <c r="BV36" s="1702">
        <f>SUM(BV33:BV34)</f>
        <v>4000</v>
      </c>
      <c r="BW36" s="1356"/>
      <c r="BX36" s="1702">
        <f>SUM(BX33:BX34)</f>
        <v>27500</v>
      </c>
      <c r="BY36" s="1356"/>
      <c r="BZ36" s="1702">
        <f>SUM(BZ33:BZ34)</f>
        <v>75000</v>
      </c>
      <c r="CA36" s="1356"/>
      <c r="CB36" s="1702">
        <f>SUM(CB33:CB34)</f>
        <v>170000</v>
      </c>
      <c r="CC36" s="1356"/>
      <c r="CD36" s="1702">
        <f>SUM(CD33:CD34)</f>
        <v>100000</v>
      </c>
      <c r="CE36" s="1356"/>
      <c r="CF36" s="1702">
        <v>125000</v>
      </c>
      <c r="CG36" s="1356"/>
      <c r="CH36" s="1702">
        <f>SUM(CH33:CH34)</f>
        <v>75000</v>
      </c>
      <c r="CI36" s="1356"/>
      <c r="CJ36" s="1702">
        <v>48500</v>
      </c>
      <c r="CK36" s="1356"/>
      <c r="CL36" s="1702">
        <v>200000</v>
      </c>
      <c r="CM36" s="1356"/>
      <c r="CN36" s="1702">
        <f>SUM(CN33:CN34)</f>
        <v>100000</v>
      </c>
      <c r="CO36" s="1356"/>
      <c r="CP36" s="1702">
        <f>SUM(CP33:CP34)</f>
        <v>65000</v>
      </c>
      <c r="CQ36" s="1356"/>
      <c r="CR36" s="1702">
        <v>260000</v>
      </c>
      <c r="CS36" s="1356"/>
      <c r="CT36" s="1702">
        <f>SUM(CT33:CT34)</f>
        <v>125000</v>
      </c>
      <c r="CU36" s="1356"/>
      <c r="CV36" s="1702">
        <f>SUM(CV33:CV34)</f>
        <v>150000</v>
      </c>
      <c r="CW36" s="1356"/>
      <c r="CX36" s="1702">
        <f>SUM(CX33:CX34)</f>
        <v>153600</v>
      </c>
      <c r="CY36" s="1356"/>
      <c r="CZ36" s="1702">
        <v>187000</v>
      </c>
      <c r="DA36" s="1356"/>
      <c r="DB36" s="1702">
        <v>60000</v>
      </c>
      <c r="DC36" s="1356"/>
      <c r="DD36" s="1702">
        <v>85000</v>
      </c>
      <c r="DE36" s="1356"/>
      <c r="DF36" s="1702">
        <v>125000</v>
      </c>
      <c r="DG36" s="1356"/>
      <c r="DH36" s="1702">
        <v>1995</v>
      </c>
      <c r="DI36" s="1356"/>
      <c r="DJ36" s="1702">
        <v>30000</v>
      </c>
      <c r="DK36" s="1356"/>
      <c r="DL36" s="1702">
        <v>125000</v>
      </c>
      <c r="DM36" s="1356"/>
      <c r="DN36" s="1702">
        <f>SUM(DN33:DN34)</f>
        <v>200000</v>
      </c>
      <c r="DO36" s="1356"/>
      <c r="DP36" s="1702">
        <f>SUM(DP33:DP34)</f>
        <v>125000</v>
      </c>
      <c r="DQ36" s="1356"/>
      <c r="DR36" s="1702">
        <f>SUM(DR33:DR34)</f>
        <v>95000</v>
      </c>
      <c r="DS36" s="1356"/>
      <c r="DT36" s="1702">
        <f>SUM(DT33:DT34)</f>
        <v>110000</v>
      </c>
      <c r="DU36" s="1356"/>
      <c r="DV36" s="1702">
        <f>SUM(DV33:DV34)</f>
        <v>85000</v>
      </c>
      <c r="DW36" s="1356"/>
      <c r="DX36" s="1702">
        <f>SUM(DX33:DX34)</f>
        <v>150000</v>
      </c>
      <c r="DY36" s="1356"/>
      <c r="DZ36" s="1702">
        <f>SUM(DZ33:DZ34)</f>
        <v>86000</v>
      </c>
      <c r="EA36" s="1356"/>
      <c r="EB36" s="1702">
        <f>SUM(EB33:EB34)</f>
        <v>140000</v>
      </c>
      <c r="EC36" s="1356"/>
      <c r="ED36" s="1702">
        <f>SUM(ED33:ED34)</f>
        <v>211000</v>
      </c>
      <c r="EE36" s="1356"/>
      <c r="EF36" s="1702">
        <f>SUM(EF33:EF34)</f>
        <v>95000</v>
      </c>
      <c r="EG36" s="1356"/>
      <c r="EH36" s="1702">
        <f>SUM(EH33:EH34)</f>
        <v>125000</v>
      </c>
      <c r="EI36" s="1356"/>
      <c r="EJ36" s="1702">
        <f>SUM(EJ33:EJ34)</f>
        <v>50000</v>
      </c>
      <c r="EK36" s="1356"/>
      <c r="EL36" s="1702">
        <f>SUM(EL33:EL34)</f>
        <v>165000</v>
      </c>
      <c r="EM36" s="1356"/>
      <c r="EN36" s="1702">
        <f>SUM(EN33:EN34)</f>
        <v>0</v>
      </c>
      <c r="EO36" s="1356"/>
      <c r="EP36" s="1702">
        <f>SUM(EP33:EP34)</f>
        <v>250000</v>
      </c>
      <c r="EQ36" s="1356"/>
      <c r="ER36" s="1702">
        <f>SUM(ER33:ER34)</f>
        <v>3500</v>
      </c>
      <c r="ES36" s="1356"/>
      <c r="ET36" s="1702">
        <f>SUM(ET33:ET34)</f>
        <v>130000</v>
      </c>
      <c r="EU36" s="1356"/>
      <c r="EV36" s="1702">
        <f>SUM(EV33:EV34)</f>
        <v>3600</v>
      </c>
      <c r="EW36" s="1356"/>
      <c r="EX36" s="1702">
        <f>SUM(EX33:EX34)</f>
        <v>3000</v>
      </c>
      <c r="EY36" s="1356"/>
      <c r="EZ36" s="1702">
        <f>SUM(EZ33:EZ34)</f>
        <v>150000</v>
      </c>
      <c r="FA36" s="1356"/>
      <c r="FB36" s="1702">
        <f>SUM(FB33:FB34)</f>
        <v>45000</v>
      </c>
      <c r="FC36" s="1356"/>
      <c r="FD36" s="1702">
        <f>SUM(FD33:FD34)</f>
        <v>42500</v>
      </c>
      <c r="FE36" s="1356"/>
      <c r="FF36" s="1702">
        <f>SUM(FF33:FF34)</f>
        <v>5000</v>
      </c>
      <c r="FG36" s="1356"/>
      <c r="FH36" s="1702">
        <f>SUM(FH33:FH34)</f>
        <v>401000</v>
      </c>
      <c r="FI36" s="1356"/>
      <c r="FJ36" s="1702">
        <f>SUM(FJ33:FJ34)</f>
        <v>100000</v>
      </c>
      <c r="FK36" s="1356"/>
      <c r="FL36" s="1702">
        <f>SUM(FL33:FL34)</f>
        <v>75000</v>
      </c>
      <c r="FM36" s="1356"/>
      <c r="FN36" s="1702">
        <f>SUM(FN33:FN34)</f>
        <v>210000</v>
      </c>
      <c r="FO36" s="1356"/>
      <c r="FP36" s="1702">
        <f>SUM(FP33:FP34)</f>
        <v>4500</v>
      </c>
      <c r="FQ36" s="1356"/>
      <c r="FR36" s="1702">
        <f>SUM(FR33:FR34)</f>
        <v>65000</v>
      </c>
      <c r="FS36" s="1356"/>
      <c r="FT36" s="1702">
        <f>SUM(FT33:FT34)</f>
        <v>105000</v>
      </c>
      <c r="FU36" s="1356"/>
      <c r="FV36" s="1702">
        <f>SUM(FV33:FV34)</f>
        <v>200000</v>
      </c>
      <c r="FW36" s="1356"/>
      <c r="FX36" s="1702">
        <f>SUM(FX33:FX34)</f>
        <v>4989</v>
      </c>
      <c r="FY36" s="1356"/>
      <c r="FZ36" s="1702">
        <f>SUM(FZ33:FZ34)</f>
        <v>80000</v>
      </c>
      <c r="GA36" s="1356"/>
      <c r="GB36" s="1702">
        <f>SUM(GB33:GB34)</f>
        <v>90000</v>
      </c>
      <c r="GC36" s="1356"/>
      <c r="GD36" s="1702">
        <f>SUM(GD33:GD34)</f>
        <v>95000</v>
      </c>
      <c r="GE36" s="1356"/>
      <c r="GF36" s="1702">
        <f>SUM(GF33:GF34)</f>
        <v>90000</v>
      </c>
      <c r="GG36" s="1356"/>
      <c r="GH36" s="1702">
        <f>SUM(GH33:GH34)</f>
        <v>30000</v>
      </c>
      <c r="GI36" s="1356"/>
      <c r="GJ36" s="1702">
        <f>SUM(GJ33:GJ34)</f>
        <v>200000</v>
      </c>
      <c r="GK36" s="1356"/>
      <c r="GL36" s="1702">
        <f>SUM(GL33:GL34)</f>
        <v>7000</v>
      </c>
      <c r="GM36" s="1356"/>
      <c r="GN36" s="1702">
        <f>SUM(GN33:GN34)</f>
        <v>5000</v>
      </c>
      <c r="GO36" s="1356"/>
      <c r="GP36" s="1702">
        <f>SUM(GP33:GP34)</f>
        <v>60000</v>
      </c>
      <c r="GQ36" s="1356"/>
      <c r="GR36" s="1702">
        <f>SUM(GR33:GR34)</f>
        <v>5156</v>
      </c>
      <c r="GS36" s="1356"/>
      <c r="GT36" s="1702">
        <f>SUM(GT33:GT34)</f>
        <v>4000</v>
      </c>
      <c r="GU36" s="1356"/>
      <c r="GV36" s="1702">
        <f>SUM(GV33:GV34)</f>
        <v>5000</v>
      </c>
      <c r="GW36" s="1356"/>
      <c r="GX36" s="1702">
        <f>SUM(GX33:GX34)</f>
        <v>3324</v>
      </c>
      <c r="GY36" s="1356"/>
      <c r="GZ36" s="1702">
        <f>SUM(GZ33:GZ34)</f>
        <v>151500</v>
      </c>
      <c r="HA36" s="1356"/>
      <c r="HB36" s="1702">
        <f>SUM(HB33:HB34)</f>
        <v>80000</v>
      </c>
      <c r="HC36" s="1356"/>
      <c r="HD36" s="1702">
        <f>SUM(HD33:HD34)</f>
        <v>170000</v>
      </c>
      <c r="HE36" s="1356"/>
      <c r="HF36" s="2018">
        <f>SUM(HF33:HF34)</f>
        <v>160000</v>
      </c>
      <c r="HH36" s="1702">
        <f>SUM(HH33:HH34)</f>
        <v>285000</v>
      </c>
      <c r="HI36" s="1356"/>
      <c r="HJ36" s="1702">
        <f>SUM(HJ33:HJ34)</f>
        <v>65000</v>
      </c>
      <c r="HK36" s="1356"/>
      <c r="HL36" s="1702">
        <f>SUM(HL33:HL34)</f>
        <v>15000</v>
      </c>
      <c r="HM36" s="1356"/>
      <c r="HN36" s="1702">
        <f>SUM(HN33:HN34)</f>
        <v>80000</v>
      </c>
      <c r="HO36" s="1356"/>
      <c r="HP36" s="2018">
        <f>SUM(HP33:HP34)</f>
        <v>115000</v>
      </c>
      <c r="HR36" s="1702">
        <f>SUM(HR33:HR34)</f>
        <v>30100</v>
      </c>
      <c r="HS36" s="1356"/>
      <c r="HT36" s="2018">
        <f>SUM(HT33:HT34)</f>
        <v>95000</v>
      </c>
      <c r="HV36" s="2018">
        <f>SUM(HV33:HV34)</f>
        <v>150000</v>
      </c>
      <c r="HX36" s="2018">
        <f>SUM(HX33:HX34)</f>
        <v>75000</v>
      </c>
      <c r="HZ36" s="2018">
        <f>SUM(HZ33:HZ34)</f>
        <v>70000</v>
      </c>
      <c r="IB36" s="1702">
        <f>SUM(IB33:IB34)</f>
        <v>70000</v>
      </c>
      <c r="IC36" s="1356"/>
      <c r="ID36" s="2018">
        <f>SUM(ID33:ID34)</f>
        <v>7500</v>
      </c>
      <c r="IF36" s="2018">
        <f>SUM(IF33:IF34)</f>
        <v>25000</v>
      </c>
    </row>
    <row r="37" spans="1:241">
      <c r="A37" s="1149"/>
      <c r="B37" s="1149"/>
      <c r="C37" s="1149"/>
      <c r="D37" s="1149"/>
      <c r="E37" s="1143"/>
      <c r="F37" s="1406"/>
      <c r="G37" s="1356"/>
      <c r="H37" s="1406"/>
      <c r="I37" s="1356"/>
      <c r="J37" s="1406"/>
      <c r="K37" s="1356"/>
      <c r="L37" s="1406"/>
      <c r="M37" s="1356"/>
      <c r="N37" s="1406"/>
      <c r="O37" s="1356"/>
      <c r="P37" s="1406"/>
      <c r="Q37" s="1356"/>
      <c r="T37" s="1406"/>
      <c r="U37" s="1356"/>
      <c r="V37" s="1406"/>
      <c r="W37" s="1356"/>
      <c r="X37" s="1406"/>
      <c r="Y37" s="1356"/>
      <c r="Z37" s="1406"/>
      <c r="AA37" s="1356"/>
      <c r="AB37" s="1406"/>
      <c r="AC37" s="1356"/>
      <c r="AD37" s="1406"/>
      <c r="AE37" s="1356"/>
      <c r="AF37" s="1406"/>
      <c r="AG37" s="1356"/>
      <c r="AH37" s="1406"/>
      <c r="AI37" s="1356"/>
      <c r="AJ37" s="1406"/>
      <c r="AK37" s="1356"/>
      <c r="AL37" s="1406"/>
      <c r="AM37" s="1356"/>
      <c r="AN37" s="1406"/>
      <c r="AO37" s="1356"/>
      <c r="AP37" s="1406"/>
      <c r="AQ37" s="1356"/>
      <c r="AR37" s="1406"/>
      <c r="AS37" s="1356"/>
      <c r="AT37" s="1406"/>
      <c r="AU37" s="1356"/>
      <c r="AV37" s="1406"/>
      <c r="AW37" s="1356"/>
      <c r="AX37" s="1406"/>
      <c r="AY37" s="1356"/>
      <c r="AZ37" s="1406"/>
      <c r="BA37" s="1356"/>
      <c r="BB37" s="1406"/>
      <c r="BC37" s="1356"/>
      <c r="BD37" s="1406"/>
      <c r="BE37" s="1356"/>
      <c r="BF37" s="1406"/>
      <c r="BG37" s="1356"/>
      <c r="BH37" s="1406"/>
      <c r="BI37" s="1356"/>
      <c r="BJ37" s="1406"/>
      <c r="BK37" s="1356"/>
      <c r="BL37" s="1406"/>
      <c r="BM37" s="1356"/>
      <c r="BN37" s="1406"/>
      <c r="BO37" s="1356"/>
      <c r="BP37" s="1406"/>
      <c r="BQ37" s="1356"/>
      <c r="BR37" s="1406"/>
      <c r="BS37" s="1356"/>
      <c r="BT37" s="1406"/>
      <c r="BU37" s="1356"/>
      <c r="BV37" s="1406"/>
      <c r="BW37" s="1356"/>
      <c r="BX37" s="1406"/>
      <c r="BY37" s="1356"/>
      <c r="BZ37" s="1406"/>
      <c r="CA37" s="1356"/>
      <c r="CB37" s="1406"/>
      <c r="CC37" s="1356"/>
      <c r="CD37" s="1406"/>
      <c r="CE37" s="1356"/>
      <c r="CF37" s="1406"/>
      <c r="CG37" s="1356"/>
      <c r="CH37" s="1406"/>
      <c r="CI37" s="1356"/>
      <c r="CJ37" s="1406"/>
      <c r="CK37" s="1356"/>
      <c r="CL37" s="1406"/>
      <c r="CM37" s="1356"/>
      <c r="CN37" s="1406"/>
      <c r="CO37" s="1356"/>
      <c r="CP37" s="1406"/>
      <c r="CQ37" s="1356"/>
      <c r="CR37" s="1406"/>
      <c r="CS37" s="1356"/>
      <c r="CT37" s="1406"/>
      <c r="CU37" s="1356"/>
      <c r="CV37" s="1406"/>
      <c r="CW37" s="1356"/>
      <c r="CX37" s="1406"/>
      <c r="CY37" s="1356"/>
      <c r="CZ37" s="1406"/>
      <c r="DA37" s="1356"/>
      <c r="DB37" s="1406"/>
      <c r="DC37" s="1356"/>
      <c r="DD37" s="1406"/>
      <c r="DE37" s="1356"/>
      <c r="DF37" s="1406"/>
      <c r="DG37" s="1356"/>
      <c r="DH37" s="1406"/>
      <c r="DI37" s="1356"/>
      <c r="DJ37" s="1406"/>
      <c r="DK37" s="1356"/>
      <c r="DL37" s="1406"/>
      <c r="DM37" s="1356"/>
      <c r="DN37" s="1406"/>
      <c r="DO37" s="1356"/>
      <c r="DP37" s="1406"/>
      <c r="DQ37" s="1356"/>
      <c r="DR37" s="1406"/>
      <c r="DS37" s="1356"/>
      <c r="DT37" s="1406"/>
      <c r="DU37" s="1356"/>
      <c r="DV37" s="1406"/>
      <c r="DW37" s="1356"/>
      <c r="DX37" s="1406"/>
      <c r="DY37" s="1356"/>
      <c r="DZ37" s="1406"/>
      <c r="EA37" s="1356"/>
      <c r="EB37" s="1406"/>
      <c r="EC37" s="1356"/>
      <c r="ED37" s="1406"/>
      <c r="EE37" s="1356"/>
      <c r="EF37" s="1406"/>
      <c r="EG37" s="1356"/>
      <c r="EH37" s="1406"/>
      <c r="EI37" s="1356"/>
      <c r="EJ37" s="1406"/>
      <c r="EK37" s="1356"/>
      <c r="EL37" s="1406"/>
      <c r="EM37" s="1356"/>
      <c r="EN37" s="1406"/>
      <c r="EO37" s="1356"/>
      <c r="EP37" s="1406"/>
      <c r="EQ37" s="1356"/>
      <c r="ER37" s="1406"/>
      <c r="ES37" s="1356"/>
      <c r="ET37" s="1406"/>
      <c r="EU37" s="1356"/>
      <c r="EV37" s="1406"/>
      <c r="EW37" s="1356"/>
      <c r="EX37" s="1406"/>
      <c r="EY37" s="1356"/>
      <c r="EZ37" s="1406"/>
      <c r="FA37" s="1356"/>
      <c r="FB37" s="1406"/>
      <c r="FC37" s="1356"/>
      <c r="FD37" s="1406"/>
      <c r="FE37" s="1356"/>
      <c r="FF37" s="1406"/>
      <c r="FG37" s="1356"/>
      <c r="FH37" s="1406"/>
      <c r="FI37" s="1356"/>
      <c r="FJ37" s="1406"/>
      <c r="FK37" s="1356"/>
      <c r="FL37" s="1406"/>
      <c r="FM37" s="1356"/>
      <c r="FN37" s="1406"/>
      <c r="FO37" s="1356"/>
      <c r="FP37" s="1406"/>
      <c r="FQ37" s="1356"/>
      <c r="FR37" s="1406"/>
      <c r="FS37" s="1356"/>
      <c r="FT37" s="1406"/>
      <c r="FU37" s="1356"/>
      <c r="FV37" s="1406"/>
      <c r="FW37" s="1356"/>
      <c r="FX37" s="1406"/>
      <c r="FY37" s="1356"/>
      <c r="FZ37" s="1406"/>
      <c r="GA37" s="1356"/>
      <c r="GB37" s="1406"/>
      <c r="GC37" s="1356"/>
      <c r="GD37" s="1406"/>
      <c r="GE37" s="1356"/>
      <c r="GF37" s="1406"/>
      <c r="GG37" s="1356"/>
      <c r="GH37" s="1406"/>
      <c r="GI37" s="1356"/>
      <c r="GJ37" s="1406"/>
      <c r="GK37" s="1356"/>
      <c r="GL37" s="1406"/>
      <c r="GM37" s="1356"/>
      <c r="GN37" s="1406"/>
      <c r="GO37" s="1356"/>
      <c r="GP37" s="1406"/>
      <c r="GQ37" s="1356"/>
      <c r="GR37" s="1406"/>
      <c r="GS37" s="1356"/>
      <c r="GT37" s="1406"/>
      <c r="GU37" s="1356"/>
      <c r="GV37" s="1406"/>
      <c r="GW37" s="1356"/>
      <c r="GX37" s="1406"/>
      <c r="GY37" s="1356"/>
      <c r="GZ37" s="1406"/>
      <c r="HA37" s="1356"/>
      <c r="HB37" s="1406"/>
      <c r="HC37" s="1356"/>
      <c r="HD37" s="1406"/>
      <c r="HE37" s="1356"/>
      <c r="HF37" s="2019"/>
      <c r="HH37" s="1406"/>
      <c r="HI37" s="1356"/>
      <c r="HJ37" s="1406"/>
      <c r="HK37" s="1356"/>
      <c r="HL37" s="1406"/>
      <c r="HM37" s="1356"/>
      <c r="HN37" s="1406"/>
      <c r="HO37" s="1356"/>
      <c r="HP37" s="2019"/>
      <c r="HR37" s="1406"/>
      <c r="HS37" s="1356"/>
      <c r="HT37" s="2019"/>
      <c r="HV37" s="2019"/>
      <c r="HX37" s="2019"/>
      <c r="HZ37" s="2019"/>
      <c r="IB37" s="1406"/>
      <c r="IC37" s="1356"/>
      <c r="ID37" s="2019"/>
      <c r="IF37" s="2019"/>
    </row>
    <row r="38" spans="1:241" hidden="1">
      <c r="A38" s="1151"/>
      <c r="B38" s="1151" t="s">
        <v>83</v>
      </c>
      <c r="C38" s="1151"/>
      <c r="D38" s="1151"/>
      <c r="E38" s="1152"/>
      <c r="F38" s="1705"/>
      <c r="G38" s="1704"/>
      <c r="H38" s="1705"/>
      <c r="I38" s="1704"/>
      <c r="J38" s="1705"/>
      <c r="K38" s="1704"/>
      <c r="L38" s="1705"/>
      <c r="M38" s="1704"/>
      <c r="N38" s="1705"/>
      <c r="O38" s="1704"/>
      <c r="P38" s="1705"/>
      <c r="Q38" s="1704"/>
      <c r="R38" s="1705"/>
      <c r="S38" s="1704"/>
      <c r="T38" s="1705"/>
      <c r="U38" s="1704"/>
      <c r="V38" s="1705"/>
      <c r="W38" s="1704"/>
      <c r="X38" s="1705"/>
      <c r="Y38" s="1704"/>
      <c r="Z38" s="1705"/>
      <c r="AA38" s="1704"/>
      <c r="AB38" s="1705"/>
      <c r="AC38" s="1704"/>
      <c r="AD38" s="1705"/>
      <c r="AE38" s="1704"/>
      <c r="AF38" s="1705"/>
      <c r="AG38" s="1704"/>
      <c r="AH38" s="1705"/>
      <c r="AI38" s="1704"/>
      <c r="AJ38" s="1705"/>
      <c r="AK38" s="1704"/>
      <c r="AL38" s="1705"/>
      <c r="AM38" s="1704"/>
      <c r="AN38" s="1705"/>
      <c r="AO38" s="1704"/>
      <c r="AP38" s="1705"/>
      <c r="AQ38" s="1704"/>
      <c r="AR38" s="1705"/>
      <c r="AS38" s="1704"/>
      <c r="AT38" s="1705"/>
      <c r="AU38" s="1704"/>
      <c r="AV38" s="1705"/>
      <c r="AW38" s="1704"/>
      <c r="AX38" s="1705"/>
      <c r="AY38" s="1704"/>
      <c r="AZ38" s="1705"/>
      <c r="BA38" s="1704"/>
      <c r="BB38" s="1705"/>
      <c r="BC38" s="1704"/>
      <c r="BD38" s="1705"/>
      <c r="BE38" s="1704"/>
      <c r="BF38" s="1705"/>
      <c r="BG38" s="1704"/>
      <c r="BH38" s="1705"/>
      <c r="BI38" s="1704"/>
      <c r="BJ38" s="1705"/>
      <c r="BK38" s="1704"/>
      <c r="BL38" s="1705"/>
      <c r="BM38" s="1704"/>
      <c r="BN38" s="1705"/>
      <c r="BO38" s="1704"/>
      <c r="BP38" s="1705"/>
      <c r="BQ38" s="1704"/>
      <c r="BR38" s="1705"/>
      <c r="BS38" s="1704"/>
      <c r="BT38" s="1705"/>
      <c r="BU38" s="1704"/>
      <c r="BV38" s="1705"/>
      <c r="BW38" s="1704"/>
      <c r="BX38" s="1705"/>
      <c r="BY38" s="1704"/>
      <c r="BZ38" s="1705"/>
      <c r="CA38" s="1704"/>
      <c r="CB38" s="1705"/>
      <c r="CC38" s="1704"/>
      <c r="CD38" s="1705"/>
      <c r="CE38" s="1704"/>
      <c r="CF38" s="1705"/>
      <c r="CG38" s="1704"/>
      <c r="CH38" s="1705"/>
      <c r="CI38" s="1704"/>
      <c r="CJ38" s="1705"/>
      <c r="CK38" s="1704"/>
      <c r="CL38" s="1705"/>
      <c r="CM38" s="1704"/>
      <c r="CN38" s="1705"/>
      <c r="CO38" s="1704"/>
      <c r="CP38" s="1705"/>
      <c r="CQ38" s="1704"/>
      <c r="CR38" s="1705"/>
      <c r="CS38" s="1704"/>
      <c r="CT38" s="1705"/>
      <c r="CU38" s="1704"/>
      <c r="CV38" s="1705"/>
      <c r="CW38" s="1704"/>
      <c r="CX38" s="1705"/>
      <c r="CY38" s="1704"/>
      <c r="CZ38" s="1705"/>
      <c r="DA38" s="1704"/>
      <c r="DB38" s="1705"/>
      <c r="DC38" s="1704"/>
      <c r="DD38" s="1705"/>
      <c r="DE38" s="1704"/>
      <c r="DF38" s="1705"/>
      <c r="DG38" s="1704"/>
      <c r="DH38" s="1705"/>
      <c r="DI38" s="1704"/>
      <c r="DJ38" s="1705"/>
      <c r="DK38" s="1704"/>
      <c r="DL38" s="1705"/>
      <c r="DM38" s="1704"/>
      <c r="DN38" s="1705"/>
      <c r="DO38" s="1704"/>
      <c r="DP38" s="1705"/>
      <c r="DQ38" s="1704"/>
      <c r="DR38" s="1705"/>
      <c r="DS38" s="1704"/>
      <c r="DT38" s="1705"/>
      <c r="DU38" s="1704"/>
      <c r="DV38" s="1705"/>
      <c r="DW38" s="1704"/>
      <c r="DX38" s="1705"/>
      <c r="DY38" s="1704"/>
      <c r="DZ38" s="1705"/>
      <c r="EA38" s="1704"/>
      <c r="EB38" s="1705"/>
      <c r="EC38" s="1704"/>
      <c r="ED38" s="1705"/>
      <c r="EE38" s="1704"/>
      <c r="EF38" s="1705"/>
      <c r="EG38" s="1704"/>
      <c r="EH38" s="1705"/>
      <c r="EI38" s="1704"/>
      <c r="EJ38" s="1705"/>
      <c r="EK38" s="1704"/>
      <c r="EL38" s="1705"/>
      <c r="EM38" s="1704"/>
      <c r="EN38" s="1705"/>
      <c r="EO38" s="1704"/>
      <c r="EP38" s="1705"/>
      <c r="EQ38" s="1704"/>
      <c r="ER38" s="1705"/>
      <c r="ES38" s="1704"/>
      <c r="ET38" s="1705"/>
      <c r="EU38" s="1704"/>
      <c r="EV38" s="1705"/>
      <c r="EW38" s="1704"/>
      <c r="EX38" s="1705"/>
      <c r="EY38" s="1704"/>
      <c r="EZ38" s="1705"/>
      <c r="FA38" s="1704"/>
      <c r="FB38" s="1705"/>
      <c r="FC38" s="1704"/>
      <c r="FD38" s="1705"/>
      <c r="FE38" s="1704"/>
      <c r="FF38" s="1705"/>
      <c r="FG38" s="1704"/>
      <c r="FH38" s="1705"/>
      <c r="FI38" s="1704"/>
      <c r="FJ38" s="1705"/>
      <c r="FK38" s="1704"/>
      <c r="FL38" s="1705"/>
      <c r="FM38" s="1704"/>
      <c r="FN38" s="1705"/>
      <c r="FO38" s="1704"/>
      <c r="FP38" s="1705"/>
      <c r="FQ38" s="1704"/>
      <c r="FR38" s="1705"/>
      <c r="FS38" s="1704"/>
      <c r="FT38" s="1705"/>
      <c r="FU38" s="1704"/>
      <c r="FV38" s="1705"/>
      <c r="FW38" s="1704"/>
      <c r="FX38" s="1705"/>
      <c r="FY38" s="1704"/>
      <c r="FZ38" s="1705"/>
      <c r="GA38" s="1704"/>
      <c r="GB38" s="1705"/>
      <c r="GC38" s="1704"/>
      <c r="GD38" s="1705"/>
      <c r="GE38" s="1704"/>
      <c r="GF38" s="1705"/>
      <c r="GG38" s="1704"/>
      <c r="GH38" s="1705"/>
      <c r="GI38" s="1704"/>
      <c r="GJ38" s="1705"/>
      <c r="GK38" s="1704"/>
      <c r="GL38" s="1705"/>
      <c r="GM38" s="1704"/>
      <c r="GN38" s="1705"/>
      <c r="GO38" s="1704"/>
      <c r="GP38" s="1705"/>
      <c r="GQ38" s="1704"/>
      <c r="GR38" s="1705"/>
      <c r="GS38" s="1704"/>
      <c r="GT38" s="1705"/>
      <c r="GU38" s="1704"/>
      <c r="GV38" s="1705"/>
      <c r="GW38" s="1704"/>
      <c r="GX38" s="1705"/>
      <c r="GY38" s="1704"/>
      <c r="GZ38" s="1705"/>
      <c r="HA38" s="1704"/>
      <c r="HB38" s="1705"/>
      <c r="HC38" s="1704"/>
      <c r="HD38" s="1705"/>
      <c r="HE38" s="1704"/>
      <c r="HF38" s="2022"/>
      <c r="HG38" s="2021"/>
      <c r="HH38" s="1705"/>
      <c r="HI38" s="1704"/>
      <c r="HJ38" s="1705"/>
      <c r="HK38" s="1704"/>
      <c r="HL38" s="1705"/>
      <c r="HM38" s="1704"/>
      <c r="HN38" s="1705"/>
      <c r="HO38" s="1704"/>
      <c r="HP38" s="2022"/>
      <c r="HQ38" s="2021"/>
      <c r="HR38" s="1705"/>
      <c r="HS38" s="1704"/>
      <c r="HT38" s="2022"/>
      <c r="HU38" s="2021"/>
      <c r="HV38" s="2022"/>
      <c r="HW38" s="2021"/>
      <c r="HX38" s="2022"/>
      <c r="HY38" s="2021"/>
      <c r="HZ38" s="2022"/>
      <c r="IA38" s="2021"/>
      <c r="IB38" s="1705"/>
      <c r="IC38" s="1704"/>
      <c r="ID38" s="2022"/>
      <c r="IE38" s="2021"/>
      <c r="IF38" s="2022"/>
      <c r="IG38" s="2021"/>
    </row>
    <row r="39" spans="1:241" hidden="1">
      <c r="A39" s="1151"/>
      <c r="B39" s="1151"/>
      <c r="C39" s="1151"/>
      <c r="D39" s="1151" t="s">
        <v>2</v>
      </c>
      <c r="E39" s="1152"/>
      <c r="F39" s="1703" t="s">
        <v>1208</v>
      </c>
      <c r="G39" s="1704"/>
      <c r="H39" s="1703" t="s">
        <v>1208</v>
      </c>
      <c r="I39" s="1704"/>
      <c r="J39" s="1703" t="s">
        <v>1208</v>
      </c>
      <c r="K39" s="1704"/>
      <c r="L39" s="1703" t="s">
        <v>1208</v>
      </c>
      <c r="M39" s="1704"/>
      <c r="N39" s="1703" t="s">
        <v>1208</v>
      </c>
      <c r="O39" s="1704"/>
      <c r="P39" s="1703" t="s">
        <v>1208</v>
      </c>
      <c r="Q39" s="1704"/>
      <c r="R39" s="1703" t="s">
        <v>1208</v>
      </c>
      <c r="S39" s="1704"/>
      <c r="T39" s="1703" t="s">
        <v>1208</v>
      </c>
      <c r="U39" s="1704"/>
      <c r="V39" s="1703" t="s">
        <v>1208</v>
      </c>
      <c r="W39" s="1704"/>
      <c r="X39" s="1703" t="s">
        <v>1208</v>
      </c>
      <c r="Y39" s="1704"/>
      <c r="Z39" s="1703" t="s">
        <v>1208</v>
      </c>
      <c r="AA39" s="1704"/>
      <c r="AB39" s="1703" t="s">
        <v>1208</v>
      </c>
      <c r="AC39" s="1704"/>
      <c r="AD39" s="1703" t="s">
        <v>1208</v>
      </c>
      <c r="AE39" s="1704"/>
      <c r="AF39" s="1703" t="s">
        <v>1208</v>
      </c>
      <c r="AG39" s="1704"/>
      <c r="AH39" s="1703" t="s">
        <v>1208</v>
      </c>
      <c r="AI39" s="1704"/>
      <c r="AJ39" s="1703" t="s">
        <v>1208</v>
      </c>
      <c r="AK39" s="1704"/>
      <c r="AL39" s="1703" t="s">
        <v>1208</v>
      </c>
      <c r="AM39" s="1704"/>
      <c r="AN39" s="1703" t="s">
        <v>1208</v>
      </c>
      <c r="AO39" s="1704"/>
      <c r="AP39" s="1703" t="s">
        <v>1208</v>
      </c>
      <c r="AQ39" s="1704"/>
      <c r="AR39" s="1703" t="s">
        <v>1208</v>
      </c>
      <c r="AS39" s="1704"/>
      <c r="AT39" s="1703" t="s">
        <v>1208</v>
      </c>
      <c r="AU39" s="1704"/>
      <c r="AV39" s="1703" t="s">
        <v>1208</v>
      </c>
      <c r="AW39" s="1704"/>
      <c r="AX39" s="1703" t="s">
        <v>1208</v>
      </c>
      <c r="AY39" s="1704"/>
      <c r="AZ39" s="1703" t="s">
        <v>1208</v>
      </c>
      <c r="BA39" s="1704"/>
      <c r="BB39" s="1703" t="s">
        <v>1208</v>
      </c>
      <c r="BC39" s="1704"/>
      <c r="BD39" s="1703" t="s">
        <v>1208</v>
      </c>
      <c r="BE39" s="1704"/>
      <c r="BF39" s="1703" t="s">
        <v>1208</v>
      </c>
      <c r="BG39" s="1704"/>
      <c r="BH39" s="1703" t="s">
        <v>1208</v>
      </c>
      <c r="BI39" s="1704"/>
      <c r="BJ39" s="1703" t="s">
        <v>1208</v>
      </c>
      <c r="BK39" s="1704"/>
      <c r="BL39" s="1703" t="s">
        <v>1208</v>
      </c>
      <c r="BM39" s="1704"/>
      <c r="BN39" s="1703" t="s">
        <v>1208</v>
      </c>
      <c r="BO39" s="1704"/>
      <c r="BP39" s="1703" t="s">
        <v>1208</v>
      </c>
      <c r="BQ39" s="1704"/>
      <c r="BR39" s="1703" t="s">
        <v>1208</v>
      </c>
      <c r="BS39" s="1704"/>
      <c r="BT39" s="1703" t="s">
        <v>1208</v>
      </c>
      <c r="BU39" s="1704"/>
      <c r="BV39" s="1703" t="s">
        <v>1208</v>
      </c>
      <c r="BW39" s="1704"/>
      <c r="BX39" s="1703" t="s">
        <v>1208</v>
      </c>
      <c r="BY39" s="1704"/>
      <c r="BZ39" s="1703" t="s">
        <v>1208</v>
      </c>
      <c r="CA39" s="1704"/>
      <c r="CB39" s="1703" t="s">
        <v>1208</v>
      </c>
      <c r="CC39" s="1704"/>
      <c r="CD39" s="1703" t="s">
        <v>1208</v>
      </c>
      <c r="CE39" s="1704"/>
      <c r="CF39" s="1703" t="s">
        <v>1208</v>
      </c>
      <c r="CG39" s="1704"/>
      <c r="CH39" s="1703" t="s">
        <v>1208</v>
      </c>
      <c r="CI39" s="1704"/>
      <c r="CJ39" s="1703" t="s">
        <v>1208</v>
      </c>
      <c r="CK39" s="1704"/>
      <c r="CL39" s="1703" t="s">
        <v>1208</v>
      </c>
      <c r="CM39" s="1704"/>
      <c r="CN39" s="1703" t="s">
        <v>1208</v>
      </c>
      <c r="CO39" s="1704"/>
      <c r="CP39" s="1703" t="s">
        <v>1208</v>
      </c>
      <c r="CQ39" s="1704"/>
      <c r="CR39" s="1703" t="s">
        <v>1208</v>
      </c>
      <c r="CS39" s="1704"/>
      <c r="CT39" s="1703" t="s">
        <v>1208</v>
      </c>
      <c r="CU39" s="1704"/>
      <c r="CV39" s="1703" t="s">
        <v>1208</v>
      </c>
      <c r="CW39" s="1704"/>
      <c r="CX39" s="1703" t="s">
        <v>1208</v>
      </c>
      <c r="CY39" s="1704"/>
      <c r="CZ39" s="1703" t="s">
        <v>1208</v>
      </c>
      <c r="DA39" s="1704"/>
      <c r="DB39" s="1703" t="s">
        <v>1208</v>
      </c>
      <c r="DC39" s="1704"/>
      <c r="DD39" s="1703" t="s">
        <v>1208</v>
      </c>
      <c r="DE39" s="1704"/>
      <c r="DF39" s="1703" t="s">
        <v>1208</v>
      </c>
      <c r="DG39" s="1704"/>
      <c r="DH39" s="1703" t="s">
        <v>1208</v>
      </c>
      <c r="DI39" s="1704"/>
      <c r="DJ39" s="1703" t="s">
        <v>1208</v>
      </c>
      <c r="DK39" s="1704"/>
      <c r="DL39" s="1703" t="s">
        <v>1208</v>
      </c>
      <c r="DM39" s="1704"/>
      <c r="DN39" s="1703" t="s">
        <v>1208</v>
      </c>
      <c r="DO39" s="1704"/>
      <c r="DP39" s="1703" t="s">
        <v>1208</v>
      </c>
      <c r="DQ39" s="1704"/>
      <c r="DR39" s="1703" t="s">
        <v>1208</v>
      </c>
      <c r="DS39" s="1704"/>
      <c r="DT39" s="1703" t="s">
        <v>1208</v>
      </c>
      <c r="DU39" s="1704"/>
      <c r="DV39" s="1703" t="s">
        <v>1208</v>
      </c>
      <c r="DW39" s="1704"/>
      <c r="DX39" s="1703" t="s">
        <v>1208</v>
      </c>
      <c r="DY39" s="1704"/>
      <c r="DZ39" s="1703" t="s">
        <v>1208</v>
      </c>
      <c r="EA39" s="1704"/>
      <c r="EB39" s="1703" t="s">
        <v>1208</v>
      </c>
      <c r="EC39" s="1704"/>
      <c r="ED39" s="1703" t="s">
        <v>1208</v>
      </c>
      <c r="EE39" s="1704"/>
      <c r="EF39" s="1703" t="s">
        <v>1208</v>
      </c>
      <c r="EG39" s="1704"/>
      <c r="EH39" s="1703" t="s">
        <v>1208</v>
      </c>
      <c r="EI39" s="1704"/>
      <c r="EJ39" s="1703" t="s">
        <v>1208</v>
      </c>
      <c r="EK39" s="1704"/>
      <c r="EL39" s="1703" t="s">
        <v>1208</v>
      </c>
      <c r="EM39" s="1704"/>
      <c r="EN39" s="1703" t="s">
        <v>1208</v>
      </c>
      <c r="EO39" s="1704"/>
      <c r="EP39" s="1703" t="s">
        <v>1208</v>
      </c>
      <c r="EQ39" s="1704"/>
      <c r="ER39" s="1703" t="s">
        <v>1208</v>
      </c>
      <c r="ES39" s="1704"/>
      <c r="ET39" s="1703" t="s">
        <v>1208</v>
      </c>
      <c r="EU39" s="1704"/>
      <c r="EV39" s="1703" t="s">
        <v>1208</v>
      </c>
      <c r="EW39" s="1704"/>
      <c r="EX39" s="1703" t="s">
        <v>1208</v>
      </c>
      <c r="EY39" s="1704"/>
      <c r="EZ39" s="1703" t="s">
        <v>1208</v>
      </c>
      <c r="FA39" s="1704"/>
      <c r="FB39" s="1703" t="s">
        <v>1208</v>
      </c>
      <c r="FC39" s="1704"/>
      <c r="FD39" s="1703" t="s">
        <v>1208</v>
      </c>
      <c r="FE39" s="1704"/>
      <c r="FF39" s="1703" t="s">
        <v>1208</v>
      </c>
      <c r="FG39" s="1704"/>
      <c r="FH39" s="1703" t="s">
        <v>1208</v>
      </c>
      <c r="FI39" s="1704"/>
      <c r="FJ39" s="1703" t="s">
        <v>1208</v>
      </c>
      <c r="FK39" s="1704"/>
      <c r="FL39" s="1703" t="s">
        <v>1208</v>
      </c>
      <c r="FM39" s="1704"/>
      <c r="FN39" s="1703" t="s">
        <v>1208</v>
      </c>
      <c r="FO39" s="1704"/>
      <c r="FP39" s="1703" t="s">
        <v>1208</v>
      </c>
      <c r="FQ39" s="1704"/>
      <c r="FR39" s="1703" t="s">
        <v>1208</v>
      </c>
      <c r="FS39" s="1704"/>
      <c r="FT39" s="1703" t="s">
        <v>1208</v>
      </c>
      <c r="FU39" s="1704"/>
      <c r="FV39" s="1703" t="s">
        <v>1208</v>
      </c>
      <c r="FW39" s="1704"/>
      <c r="FX39" s="1703" t="s">
        <v>1208</v>
      </c>
      <c r="FY39" s="1704"/>
      <c r="FZ39" s="1703" t="s">
        <v>1208</v>
      </c>
      <c r="GA39" s="1704"/>
      <c r="GB39" s="1703" t="s">
        <v>1208</v>
      </c>
      <c r="GC39" s="1704"/>
      <c r="GD39" s="1703" t="s">
        <v>1208</v>
      </c>
      <c r="GE39" s="1704"/>
      <c r="GF39" s="1703" t="s">
        <v>1208</v>
      </c>
      <c r="GG39" s="1704"/>
      <c r="GH39" s="1703" t="s">
        <v>1208</v>
      </c>
      <c r="GI39" s="1704"/>
      <c r="GJ39" s="1703" t="s">
        <v>1208</v>
      </c>
      <c r="GK39" s="1704"/>
      <c r="GL39" s="1703" t="s">
        <v>1208</v>
      </c>
      <c r="GM39" s="1704"/>
      <c r="GN39" s="1703" t="s">
        <v>1208</v>
      </c>
      <c r="GO39" s="1704"/>
      <c r="GP39" s="1703" t="s">
        <v>1208</v>
      </c>
      <c r="GQ39" s="1704"/>
      <c r="GR39" s="1703" t="s">
        <v>1208</v>
      </c>
      <c r="GS39" s="1704"/>
      <c r="GT39" s="1703" t="s">
        <v>1208</v>
      </c>
      <c r="GU39" s="1704"/>
      <c r="GV39" s="1703" t="s">
        <v>1208</v>
      </c>
      <c r="GW39" s="1704"/>
      <c r="GX39" s="1703" t="s">
        <v>1208</v>
      </c>
      <c r="GY39" s="1704"/>
      <c r="GZ39" s="1703" t="s">
        <v>1208</v>
      </c>
      <c r="HA39" s="1704"/>
      <c r="HB39" s="1703" t="s">
        <v>1208</v>
      </c>
      <c r="HC39" s="1704"/>
      <c r="HD39" s="1703" t="s">
        <v>1208</v>
      </c>
      <c r="HE39" s="1704"/>
      <c r="HF39" s="2020" t="s">
        <v>1208</v>
      </c>
      <c r="HG39" s="2021"/>
      <c r="HH39" s="1703" t="s">
        <v>1208</v>
      </c>
      <c r="HI39" s="1704"/>
      <c r="HJ39" s="1703" t="s">
        <v>1208</v>
      </c>
      <c r="HK39" s="1704"/>
      <c r="HL39" s="1703" t="s">
        <v>1208</v>
      </c>
      <c r="HM39" s="1704"/>
      <c r="HN39" s="1703" t="s">
        <v>1208</v>
      </c>
      <c r="HO39" s="1704"/>
      <c r="HP39" s="2020" t="s">
        <v>1208</v>
      </c>
      <c r="HQ39" s="2021"/>
      <c r="HR39" s="1703" t="s">
        <v>1208</v>
      </c>
      <c r="HS39" s="1704"/>
      <c r="HT39" s="2020" t="s">
        <v>1208</v>
      </c>
      <c r="HU39" s="2021"/>
      <c r="HV39" s="2020" t="s">
        <v>1208</v>
      </c>
      <c r="HW39" s="2021"/>
      <c r="HX39" s="2020" t="s">
        <v>1208</v>
      </c>
      <c r="HY39" s="2021"/>
      <c r="HZ39" s="2020" t="s">
        <v>1208</v>
      </c>
      <c r="IA39" s="2021"/>
      <c r="IB39" s="1703" t="s">
        <v>1208</v>
      </c>
      <c r="IC39" s="1704"/>
      <c r="ID39" s="2020" t="s">
        <v>1208</v>
      </c>
      <c r="IE39" s="2021"/>
      <c r="IF39" s="2020" t="s">
        <v>1208</v>
      </c>
      <c r="IG39" s="2021"/>
    </row>
    <row r="40" spans="1:241" hidden="1">
      <c r="A40" s="1151"/>
      <c r="B40" s="1151"/>
      <c r="C40" s="1151"/>
      <c r="D40" s="1151" t="s">
        <v>3</v>
      </c>
      <c r="E40" s="1152"/>
      <c r="F40" s="1703" t="s">
        <v>1208</v>
      </c>
      <c r="G40" s="1704"/>
      <c r="H40" s="1703" t="s">
        <v>1208</v>
      </c>
      <c r="I40" s="1704"/>
      <c r="J40" s="1703" t="s">
        <v>1208</v>
      </c>
      <c r="K40" s="1704"/>
      <c r="L40" s="1703" t="s">
        <v>1208</v>
      </c>
      <c r="M40" s="1704"/>
      <c r="N40" s="1703" t="s">
        <v>1208</v>
      </c>
      <c r="O40" s="1704"/>
      <c r="P40" s="1703" t="s">
        <v>1208</v>
      </c>
      <c r="Q40" s="1704"/>
      <c r="R40" s="1703" t="s">
        <v>1208</v>
      </c>
      <c r="S40" s="1704"/>
      <c r="T40" s="1703" t="s">
        <v>1208</v>
      </c>
      <c r="U40" s="1704"/>
      <c r="V40" s="1703" t="s">
        <v>1208</v>
      </c>
      <c r="W40" s="1704"/>
      <c r="X40" s="1703" t="s">
        <v>1208</v>
      </c>
      <c r="Y40" s="1704"/>
      <c r="Z40" s="1703" t="s">
        <v>1208</v>
      </c>
      <c r="AA40" s="1704"/>
      <c r="AB40" s="1703" t="s">
        <v>1208</v>
      </c>
      <c r="AC40" s="1704"/>
      <c r="AD40" s="1703" t="s">
        <v>1208</v>
      </c>
      <c r="AE40" s="1704"/>
      <c r="AF40" s="1703" t="s">
        <v>1208</v>
      </c>
      <c r="AG40" s="1704"/>
      <c r="AH40" s="1703" t="s">
        <v>1208</v>
      </c>
      <c r="AI40" s="1704"/>
      <c r="AJ40" s="1703" t="s">
        <v>1208</v>
      </c>
      <c r="AK40" s="1704"/>
      <c r="AL40" s="1703" t="s">
        <v>1208</v>
      </c>
      <c r="AM40" s="1704"/>
      <c r="AN40" s="1703" t="s">
        <v>1208</v>
      </c>
      <c r="AO40" s="1704"/>
      <c r="AP40" s="1703" t="s">
        <v>1208</v>
      </c>
      <c r="AQ40" s="1704"/>
      <c r="AR40" s="1703" t="s">
        <v>1208</v>
      </c>
      <c r="AS40" s="1704"/>
      <c r="AT40" s="1703" t="s">
        <v>1208</v>
      </c>
      <c r="AU40" s="1704"/>
      <c r="AV40" s="1703" t="s">
        <v>1208</v>
      </c>
      <c r="AW40" s="1704"/>
      <c r="AX40" s="1703" t="s">
        <v>1208</v>
      </c>
      <c r="AY40" s="1704"/>
      <c r="AZ40" s="1703" t="s">
        <v>1208</v>
      </c>
      <c r="BA40" s="1704"/>
      <c r="BB40" s="1703" t="s">
        <v>1208</v>
      </c>
      <c r="BC40" s="1704"/>
      <c r="BD40" s="1703" t="s">
        <v>1208</v>
      </c>
      <c r="BE40" s="1704"/>
      <c r="BF40" s="1703" t="s">
        <v>1208</v>
      </c>
      <c r="BG40" s="1704"/>
      <c r="BH40" s="1703" t="s">
        <v>1208</v>
      </c>
      <c r="BI40" s="1704"/>
      <c r="BJ40" s="1703" t="s">
        <v>1208</v>
      </c>
      <c r="BK40" s="1704"/>
      <c r="BL40" s="1703" t="s">
        <v>1208</v>
      </c>
      <c r="BM40" s="1704"/>
      <c r="BN40" s="1703" t="s">
        <v>1208</v>
      </c>
      <c r="BO40" s="1704"/>
      <c r="BP40" s="1703" t="s">
        <v>1208</v>
      </c>
      <c r="BQ40" s="1704"/>
      <c r="BR40" s="1703" t="s">
        <v>1208</v>
      </c>
      <c r="BS40" s="1704"/>
      <c r="BT40" s="1703" t="s">
        <v>1208</v>
      </c>
      <c r="BU40" s="1704"/>
      <c r="BV40" s="1703" t="s">
        <v>1208</v>
      </c>
      <c r="BW40" s="1704"/>
      <c r="BX40" s="1703" t="s">
        <v>1208</v>
      </c>
      <c r="BY40" s="1704"/>
      <c r="BZ40" s="1703" t="s">
        <v>1208</v>
      </c>
      <c r="CA40" s="1704"/>
      <c r="CB40" s="1703" t="s">
        <v>1208</v>
      </c>
      <c r="CC40" s="1704"/>
      <c r="CD40" s="1703" t="s">
        <v>1208</v>
      </c>
      <c r="CE40" s="1704"/>
      <c r="CF40" s="1703" t="s">
        <v>1208</v>
      </c>
      <c r="CG40" s="1704"/>
      <c r="CH40" s="1703" t="s">
        <v>1208</v>
      </c>
      <c r="CI40" s="1704"/>
      <c r="CJ40" s="1703" t="s">
        <v>1208</v>
      </c>
      <c r="CK40" s="1704"/>
      <c r="CL40" s="1703" t="s">
        <v>1208</v>
      </c>
      <c r="CM40" s="1704"/>
      <c r="CN40" s="1703" t="s">
        <v>1208</v>
      </c>
      <c r="CO40" s="1704"/>
      <c r="CP40" s="1703" t="s">
        <v>1208</v>
      </c>
      <c r="CQ40" s="1704"/>
      <c r="CR40" s="1703" t="s">
        <v>1208</v>
      </c>
      <c r="CS40" s="1704"/>
      <c r="CT40" s="1703" t="s">
        <v>1208</v>
      </c>
      <c r="CU40" s="1704"/>
      <c r="CV40" s="1703" t="s">
        <v>1208</v>
      </c>
      <c r="CW40" s="1704"/>
      <c r="CX40" s="1703" t="s">
        <v>1208</v>
      </c>
      <c r="CY40" s="1704"/>
      <c r="CZ40" s="1703" t="s">
        <v>1208</v>
      </c>
      <c r="DA40" s="1704"/>
      <c r="DB40" s="1703" t="s">
        <v>1208</v>
      </c>
      <c r="DC40" s="1704"/>
      <c r="DD40" s="1703" t="s">
        <v>1208</v>
      </c>
      <c r="DE40" s="1704"/>
      <c r="DF40" s="1703" t="s">
        <v>1208</v>
      </c>
      <c r="DG40" s="1704"/>
      <c r="DH40" s="1703" t="s">
        <v>1208</v>
      </c>
      <c r="DI40" s="1704"/>
      <c r="DJ40" s="1703" t="s">
        <v>1208</v>
      </c>
      <c r="DK40" s="1704"/>
      <c r="DL40" s="1703" t="s">
        <v>1208</v>
      </c>
      <c r="DM40" s="1704"/>
      <c r="DN40" s="1703" t="s">
        <v>1208</v>
      </c>
      <c r="DO40" s="1704"/>
      <c r="DP40" s="1703" t="s">
        <v>1208</v>
      </c>
      <c r="DQ40" s="1704"/>
      <c r="DR40" s="1703" t="s">
        <v>1208</v>
      </c>
      <c r="DS40" s="1704"/>
      <c r="DT40" s="1703" t="s">
        <v>1208</v>
      </c>
      <c r="DU40" s="1704"/>
      <c r="DV40" s="1703" t="s">
        <v>1208</v>
      </c>
      <c r="DW40" s="1704"/>
      <c r="DX40" s="1703" t="s">
        <v>1208</v>
      </c>
      <c r="DY40" s="1704"/>
      <c r="DZ40" s="1703" t="s">
        <v>1208</v>
      </c>
      <c r="EA40" s="1704"/>
      <c r="EB40" s="1703" t="s">
        <v>1208</v>
      </c>
      <c r="EC40" s="1704"/>
      <c r="ED40" s="1703" t="s">
        <v>1208</v>
      </c>
      <c r="EE40" s="1704"/>
      <c r="EF40" s="1703" t="s">
        <v>1208</v>
      </c>
      <c r="EG40" s="1704"/>
      <c r="EH40" s="1703" t="s">
        <v>1208</v>
      </c>
      <c r="EI40" s="1704"/>
      <c r="EJ40" s="1703" t="s">
        <v>1208</v>
      </c>
      <c r="EK40" s="1704"/>
      <c r="EL40" s="1703" t="s">
        <v>1208</v>
      </c>
      <c r="EM40" s="1704"/>
      <c r="EN40" s="1703" t="s">
        <v>1208</v>
      </c>
      <c r="EO40" s="1704"/>
      <c r="EP40" s="1703" t="s">
        <v>1208</v>
      </c>
      <c r="EQ40" s="1704"/>
      <c r="ER40" s="1703" t="s">
        <v>1208</v>
      </c>
      <c r="ES40" s="1704"/>
      <c r="ET40" s="1703" t="s">
        <v>1208</v>
      </c>
      <c r="EU40" s="1704"/>
      <c r="EV40" s="1703" t="s">
        <v>1208</v>
      </c>
      <c r="EW40" s="1704"/>
      <c r="EX40" s="1703" t="s">
        <v>1208</v>
      </c>
      <c r="EY40" s="1704"/>
      <c r="EZ40" s="1703" t="s">
        <v>1208</v>
      </c>
      <c r="FA40" s="1704"/>
      <c r="FB40" s="1703" t="s">
        <v>1208</v>
      </c>
      <c r="FC40" s="1704"/>
      <c r="FD40" s="1703" t="s">
        <v>1208</v>
      </c>
      <c r="FE40" s="1704"/>
      <c r="FF40" s="1703" t="s">
        <v>1208</v>
      </c>
      <c r="FG40" s="1704"/>
      <c r="FH40" s="1703" t="s">
        <v>1208</v>
      </c>
      <c r="FI40" s="1704"/>
      <c r="FJ40" s="1703" t="s">
        <v>1208</v>
      </c>
      <c r="FK40" s="1704"/>
      <c r="FL40" s="1703" t="s">
        <v>1208</v>
      </c>
      <c r="FM40" s="1704"/>
      <c r="FN40" s="1703" t="s">
        <v>1208</v>
      </c>
      <c r="FO40" s="1704"/>
      <c r="FP40" s="1703" t="s">
        <v>1208</v>
      </c>
      <c r="FQ40" s="1704"/>
      <c r="FR40" s="1703" t="s">
        <v>1208</v>
      </c>
      <c r="FS40" s="1704"/>
      <c r="FT40" s="1703" t="s">
        <v>1208</v>
      </c>
      <c r="FU40" s="1704"/>
      <c r="FV40" s="1703" t="s">
        <v>1208</v>
      </c>
      <c r="FW40" s="1704"/>
      <c r="FX40" s="1703" t="s">
        <v>1208</v>
      </c>
      <c r="FY40" s="1704"/>
      <c r="FZ40" s="1703" t="s">
        <v>1208</v>
      </c>
      <c r="GA40" s="1704"/>
      <c r="GB40" s="1703" t="s">
        <v>1208</v>
      </c>
      <c r="GC40" s="1704"/>
      <c r="GD40" s="1703" t="s">
        <v>1208</v>
      </c>
      <c r="GE40" s="1704"/>
      <c r="GF40" s="1703" t="s">
        <v>1208</v>
      </c>
      <c r="GG40" s="1704"/>
      <c r="GH40" s="1703" t="s">
        <v>1208</v>
      </c>
      <c r="GI40" s="1704"/>
      <c r="GJ40" s="1703" t="s">
        <v>1208</v>
      </c>
      <c r="GK40" s="1704"/>
      <c r="GL40" s="1703" t="s">
        <v>1208</v>
      </c>
      <c r="GM40" s="1704"/>
      <c r="GN40" s="1703" t="s">
        <v>1208</v>
      </c>
      <c r="GO40" s="1704"/>
      <c r="GP40" s="1703" t="s">
        <v>1208</v>
      </c>
      <c r="GQ40" s="1704"/>
      <c r="GR40" s="1703" t="s">
        <v>1208</v>
      </c>
      <c r="GS40" s="1704"/>
      <c r="GT40" s="1703" t="s">
        <v>1208</v>
      </c>
      <c r="GU40" s="1704"/>
      <c r="GV40" s="1703" t="s">
        <v>1208</v>
      </c>
      <c r="GW40" s="1704"/>
      <c r="GX40" s="1703" t="s">
        <v>1208</v>
      </c>
      <c r="GY40" s="1704"/>
      <c r="GZ40" s="1703" t="s">
        <v>1208</v>
      </c>
      <c r="HA40" s="1704"/>
      <c r="HB40" s="1703" t="s">
        <v>1208</v>
      </c>
      <c r="HC40" s="1704"/>
      <c r="HD40" s="1703" t="s">
        <v>1208</v>
      </c>
      <c r="HE40" s="1704"/>
      <c r="HF40" s="2020" t="s">
        <v>1208</v>
      </c>
      <c r="HG40" s="2021"/>
      <c r="HH40" s="1703" t="s">
        <v>1208</v>
      </c>
      <c r="HI40" s="1704"/>
      <c r="HJ40" s="1703" t="s">
        <v>1208</v>
      </c>
      <c r="HK40" s="1704"/>
      <c r="HL40" s="1703" t="s">
        <v>1208</v>
      </c>
      <c r="HM40" s="1704"/>
      <c r="HN40" s="1703" t="s">
        <v>1208</v>
      </c>
      <c r="HO40" s="1704"/>
      <c r="HP40" s="2020" t="s">
        <v>1208</v>
      </c>
      <c r="HQ40" s="2021"/>
      <c r="HR40" s="1703" t="s">
        <v>1208</v>
      </c>
      <c r="HS40" s="1704"/>
      <c r="HT40" s="2020" t="s">
        <v>1208</v>
      </c>
      <c r="HU40" s="2021"/>
      <c r="HV40" s="2020" t="s">
        <v>1208</v>
      </c>
      <c r="HW40" s="2021"/>
      <c r="HX40" s="2020" t="s">
        <v>1208</v>
      </c>
      <c r="HY40" s="2021"/>
      <c r="HZ40" s="2020" t="s">
        <v>1208</v>
      </c>
      <c r="IA40" s="2021"/>
      <c r="IB40" s="1703" t="s">
        <v>1208</v>
      </c>
      <c r="IC40" s="1704"/>
      <c r="ID40" s="2020" t="s">
        <v>1208</v>
      </c>
      <c r="IE40" s="2021"/>
      <c r="IF40" s="2020" t="s">
        <v>1208</v>
      </c>
      <c r="IG40" s="2021"/>
    </row>
    <row r="41" spans="1:241" hidden="1">
      <c r="A41" s="1151"/>
      <c r="B41" s="1151"/>
      <c r="C41" s="1151"/>
      <c r="D41" s="1151"/>
      <c r="E41" s="1152"/>
      <c r="F41" s="1706"/>
      <c r="G41" s="1704"/>
      <c r="H41" s="1706"/>
      <c r="I41" s="1704"/>
      <c r="J41" s="1706"/>
      <c r="K41" s="1704"/>
      <c r="L41" s="1706"/>
      <c r="M41" s="1704"/>
      <c r="N41" s="1706"/>
      <c r="O41" s="1704"/>
      <c r="P41" s="1706"/>
      <c r="Q41" s="1704"/>
      <c r="R41" s="1706"/>
      <c r="S41" s="1704"/>
      <c r="T41" s="1706"/>
      <c r="U41" s="1704"/>
      <c r="V41" s="1706"/>
      <c r="W41" s="1704"/>
      <c r="X41" s="1706"/>
      <c r="Y41" s="1704"/>
      <c r="Z41" s="1706"/>
      <c r="AA41" s="1704"/>
      <c r="AB41" s="1706"/>
      <c r="AC41" s="1704"/>
      <c r="AD41" s="1706"/>
      <c r="AE41" s="1704"/>
      <c r="AF41" s="1706"/>
      <c r="AG41" s="1704"/>
      <c r="AH41" s="1706"/>
      <c r="AI41" s="1704"/>
      <c r="AJ41" s="1706"/>
      <c r="AK41" s="1704"/>
      <c r="AL41" s="1706"/>
      <c r="AM41" s="1704"/>
      <c r="AN41" s="1706"/>
      <c r="AO41" s="1704"/>
      <c r="AP41" s="1706"/>
      <c r="AQ41" s="1704"/>
      <c r="AR41" s="1706"/>
      <c r="AS41" s="1704"/>
      <c r="AT41" s="1706"/>
      <c r="AU41" s="1704"/>
      <c r="AV41" s="1706"/>
      <c r="AW41" s="1704"/>
      <c r="AX41" s="1706"/>
      <c r="AY41" s="1704"/>
      <c r="AZ41" s="1706"/>
      <c r="BA41" s="1704"/>
      <c r="BB41" s="1706"/>
      <c r="BC41" s="1704"/>
      <c r="BD41" s="1706"/>
      <c r="BE41" s="1704"/>
      <c r="BF41" s="1706"/>
      <c r="BG41" s="1704"/>
      <c r="BH41" s="1706"/>
      <c r="BI41" s="1704"/>
      <c r="BJ41" s="1706"/>
      <c r="BK41" s="1704"/>
      <c r="BL41" s="1706"/>
      <c r="BM41" s="1704"/>
      <c r="BN41" s="1706"/>
      <c r="BO41" s="1704"/>
      <c r="BP41" s="1706"/>
      <c r="BQ41" s="1704"/>
      <c r="BR41" s="1706"/>
      <c r="BS41" s="1704"/>
      <c r="BT41" s="1706"/>
      <c r="BU41" s="1704"/>
      <c r="BV41" s="1706"/>
      <c r="BW41" s="1704"/>
      <c r="BX41" s="1706"/>
      <c r="BY41" s="1704"/>
      <c r="BZ41" s="1706"/>
      <c r="CA41" s="1704"/>
      <c r="CB41" s="1706"/>
      <c r="CC41" s="1704"/>
      <c r="CD41" s="1706"/>
      <c r="CE41" s="1704"/>
      <c r="CF41" s="1706"/>
      <c r="CG41" s="1704"/>
      <c r="CH41" s="1706"/>
      <c r="CI41" s="1704"/>
      <c r="CJ41" s="1706"/>
      <c r="CK41" s="1704"/>
      <c r="CL41" s="1706"/>
      <c r="CM41" s="1704"/>
      <c r="CN41" s="1706"/>
      <c r="CO41" s="1704"/>
      <c r="CP41" s="1706"/>
      <c r="CQ41" s="1704"/>
      <c r="CR41" s="1706"/>
      <c r="CS41" s="1704"/>
      <c r="CT41" s="1706"/>
      <c r="CU41" s="1704"/>
      <c r="CV41" s="1706"/>
      <c r="CW41" s="1704"/>
      <c r="CX41" s="1706"/>
      <c r="CY41" s="1704"/>
      <c r="CZ41" s="1706"/>
      <c r="DA41" s="1704"/>
      <c r="DB41" s="1706"/>
      <c r="DC41" s="1704"/>
      <c r="DD41" s="1706"/>
      <c r="DE41" s="1704"/>
      <c r="DF41" s="1706"/>
      <c r="DG41" s="1704"/>
      <c r="DH41" s="1706"/>
      <c r="DI41" s="1704"/>
      <c r="DJ41" s="1706"/>
      <c r="DK41" s="1704"/>
      <c r="DL41" s="1706"/>
      <c r="DM41" s="1704"/>
      <c r="DN41" s="1706"/>
      <c r="DO41" s="1704"/>
      <c r="DP41" s="1706"/>
      <c r="DQ41" s="1704"/>
      <c r="DR41" s="1706"/>
      <c r="DS41" s="1704"/>
      <c r="DT41" s="1706"/>
      <c r="DU41" s="1704"/>
      <c r="DV41" s="1706"/>
      <c r="DW41" s="1704"/>
      <c r="DX41" s="1706"/>
      <c r="DY41" s="1704"/>
      <c r="DZ41" s="1706"/>
      <c r="EA41" s="1704"/>
      <c r="EB41" s="1706"/>
      <c r="EC41" s="1704"/>
      <c r="ED41" s="1706"/>
      <c r="EE41" s="1704"/>
      <c r="EF41" s="1706"/>
      <c r="EG41" s="1704"/>
      <c r="EH41" s="1706"/>
      <c r="EI41" s="1704"/>
      <c r="EJ41" s="1706"/>
      <c r="EK41" s="1704"/>
      <c r="EL41" s="1706"/>
      <c r="EM41" s="1704"/>
      <c r="EN41" s="1706"/>
      <c r="EO41" s="1704"/>
      <c r="EP41" s="1706"/>
      <c r="EQ41" s="1704"/>
      <c r="ER41" s="1706"/>
      <c r="ES41" s="1704"/>
      <c r="ET41" s="1706"/>
      <c r="EU41" s="1704"/>
      <c r="EV41" s="1706"/>
      <c r="EW41" s="1704"/>
      <c r="EX41" s="1706"/>
      <c r="EY41" s="1704"/>
      <c r="EZ41" s="1706"/>
      <c r="FA41" s="1704"/>
      <c r="FB41" s="1706"/>
      <c r="FC41" s="1704"/>
      <c r="FD41" s="1706"/>
      <c r="FE41" s="1704"/>
      <c r="FF41" s="1706"/>
      <c r="FG41" s="1704"/>
      <c r="FH41" s="1706"/>
      <c r="FI41" s="1704"/>
      <c r="FJ41" s="1706"/>
      <c r="FK41" s="1704"/>
      <c r="FL41" s="1706"/>
      <c r="FM41" s="1704"/>
      <c r="FN41" s="1706"/>
      <c r="FO41" s="1704"/>
      <c r="FP41" s="1706"/>
      <c r="FQ41" s="1704"/>
      <c r="FR41" s="1706"/>
      <c r="FS41" s="1704"/>
      <c r="FT41" s="1706"/>
      <c r="FU41" s="1704"/>
      <c r="FV41" s="1706"/>
      <c r="FW41" s="1704"/>
      <c r="FX41" s="1706"/>
      <c r="FY41" s="1704"/>
      <c r="FZ41" s="1706"/>
      <c r="GA41" s="1704"/>
      <c r="GB41" s="1706"/>
      <c r="GC41" s="1704"/>
      <c r="GD41" s="1706"/>
      <c r="GE41" s="1704"/>
      <c r="GF41" s="1706"/>
      <c r="GG41" s="1704"/>
      <c r="GH41" s="1706"/>
      <c r="GI41" s="1704"/>
      <c r="GJ41" s="1706"/>
      <c r="GK41" s="1704"/>
      <c r="GL41" s="1706"/>
      <c r="GM41" s="1704"/>
      <c r="GN41" s="1706"/>
      <c r="GO41" s="1704"/>
      <c r="GP41" s="1706"/>
      <c r="GQ41" s="1704"/>
      <c r="GR41" s="1706"/>
      <c r="GS41" s="1704"/>
      <c r="GT41" s="1706"/>
      <c r="GU41" s="1704"/>
      <c r="GV41" s="1706"/>
      <c r="GW41" s="1704"/>
      <c r="GX41" s="1706"/>
      <c r="GY41" s="1704"/>
      <c r="GZ41" s="1706"/>
      <c r="HA41" s="1704"/>
      <c r="HB41" s="1706"/>
      <c r="HC41" s="1704"/>
      <c r="HD41" s="1706"/>
      <c r="HE41" s="1704"/>
      <c r="HF41" s="2023"/>
      <c r="HG41" s="2021"/>
      <c r="HH41" s="1706"/>
      <c r="HI41" s="1704"/>
      <c r="HJ41" s="1706"/>
      <c r="HK41" s="1704"/>
      <c r="HL41" s="1706"/>
      <c r="HM41" s="1704"/>
      <c r="HN41" s="1706"/>
      <c r="HO41" s="1704"/>
      <c r="HP41" s="2023"/>
      <c r="HQ41" s="2021"/>
      <c r="HR41" s="1706"/>
      <c r="HS41" s="1704"/>
      <c r="HT41" s="2023"/>
      <c r="HU41" s="2021"/>
      <c r="HV41" s="2023"/>
      <c r="HW41" s="2021"/>
      <c r="HX41" s="2023"/>
      <c r="HY41" s="2021"/>
      <c r="HZ41" s="2023"/>
      <c r="IA41" s="2021"/>
      <c r="IB41" s="1706"/>
      <c r="IC41" s="1704"/>
      <c r="ID41" s="2023"/>
      <c r="IE41" s="2021"/>
      <c r="IF41" s="2023"/>
      <c r="IG41" s="2021"/>
    </row>
    <row r="42" spans="1:241" hidden="1">
      <c r="A42" s="1151"/>
      <c r="B42" s="1151"/>
      <c r="C42" s="1151"/>
      <c r="D42" s="1151" t="s">
        <v>4</v>
      </c>
      <c r="E42" s="1152"/>
      <c r="F42" s="1703" t="s">
        <v>1208</v>
      </c>
      <c r="G42" s="1704"/>
      <c r="H42" s="1703" t="s">
        <v>1208</v>
      </c>
      <c r="I42" s="1704"/>
      <c r="J42" s="1703" t="s">
        <v>1208</v>
      </c>
      <c r="K42" s="1704"/>
      <c r="L42" s="1703" t="s">
        <v>1208</v>
      </c>
      <c r="M42" s="1704"/>
      <c r="N42" s="1703" t="s">
        <v>1208</v>
      </c>
      <c r="O42" s="1704"/>
      <c r="P42" s="1703" t="s">
        <v>1208</v>
      </c>
      <c r="Q42" s="1704"/>
      <c r="R42" s="1703" t="s">
        <v>1208</v>
      </c>
      <c r="S42" s="1704"/>
      <c r="T42" s="1703" t="s">
        <v>1208</v>
      </c>
      <c r="U42" s="1704"/>
      <c r="V42" s="1703" t="s">
        <v>1208</v>
      </c>
      <c r="W42" s="1704"/>
      <c r="X42" s="1703" t="s">
        <v>1208</v>
      </c>
      <c r="Y42" s="1704"/>
      <c r="Z42" s="1703" t="s">
        <v>1208</v>
      </c>
      <c r="AA42" s="1704"/>
      <c r="AB42" s="1703" t="s">
        <v>1208</v>
      </c>
      <c r="AC42" s="1704"/>
      <c r="AD42" s="1703" t="s">
        <v>1208</v>
      </c>
      <c r="AE42" s="1704"/>
      <c r="AF42" s="1703" t="s">
        <v>1208</v>
      </c>
      <c r="AG42" s="1704"/>
      <c r="AH42" s="1703" t="s">
        <v>1208</v>
      </c>
      <c r="AI42" s="1704"/>
      <c r="AJ42" s="1703" t="s">
        <v>1208</v>
      </c>
      <c r="AK42" s="1704"/>
      <c r="AL42" s="1703" t="s">
        <v>1208</v>
      </c>
      <c r="AM42" s="1704"/>
      <c r="AN42" s="1703" t="s">
        <v>1208</v>
      </c>
      <c r="AO42" s="1704"/>
      <c r="AP42" s="1703" t="s">
        <v>1208</v>
      </c>
      <c r="AQ42" s="1704"/>
      <c r="AR42" s="1703" t="s">
        <v>1208</v>
      </c>
      <c r="AS42" s="1704"/>
      <c r="AT42" s="1703" t="s">
        <v>1208</v>
      </c>
      <c r="AU42" s="1704"/>
      <c r="AV42" s="1703" t="s">
        <v>1208</v>
      </c>
      <c r="AW42" s="1704"/>
      <c r="AX42" s="1703" t="s">
        <v>1208</v>
      </c>
      <c r="AY42" s="1704"/>
      <c r="AZ42" s="1703" t="s">
        <v>1208</v>
      </c>
      <c r="BA42" s="1704"/>
      <c r="BB42" s="1703" t="s">
        <v>1208</v>
      </c>
      <c r="BC42" s="1704"/>
      <c r="BD42" s="1703" t="s">
        <v>1208</v>
      </c>
      <c r="BE42" s="1704"/>
      <c r="BF42" s="1703" t="s">
        <v>1208</v>
      </c>
      <c r="BG42" s="1704"/>
      <c r="BH42" s="1703" t="s">
        <v>1208</v>
      </c>
      <c r="BI42" s="1704"/>
      <c r="BJ42" s="1703" t="s">
        <v>1208</v>
      </c>
      <c r="BK42" s="1704"/>
      <c r="BL42" s="1703" t="s">
        <v>1208</v>
      </c>
      <c r="BM42" s="1704"/>
      <c r="BN42" s="1703" t="s">
        <v>1208</v>
      </c>
      <c r="BO42" s="1704"/>
      <c r="BP42" s="1703" t="s">
        <v>1208</v>
      </c>
      <c r="BQ42" s="1704"/>
      <c r="BR42" s="1703" t="s">
        <v>1208</v>
      </c>
      <c r="BS42" s="1704"/>
      <c r="BT42" s="1703" t="s">
        <v>1208</v>
      </c>
      <c r="BU42" s="1704"/>
      <c r="BV42" s="1703" t="s">
        <v>1208</v>
      </c>
      <c r="BW42" s="1704"/>
      <c r="BX42" s="1703" t="s">
        <v>1208</v>
      </c>
      <c r="BY42" s="1704"/>
      <c r="BZ42" s="1703" t="s">
        <v>1208</v>
      </c>
      <c r="CA42" s="1704"/>
      <c r="CB42" s="1703" t="s">
        <v>1208</v>
      </c>
      <c r="CC42" s="1704"/>
      <c r="CD42" s="1703" t="s">
        <v>1208</v>
      </c>
      <c r="CE42" s="1704"/>
      <c r="CF42" s="1703" t="s">
        <v>1208</v>
      </c>
      <c r="CG42" s="1704"/>
      <c r="CH42" s="1703" t="s">
        <v>1208</v>
      </c>
      <c r="CI42" s="1704"/>
      <c r="CJ42" s="1703" t="s">
        <v>1208</v>
      </c>
      <c r="CK42" s="1704"/>
      <c r="CL42" s="1703" t="s">
        <v>1208</v>
      </c>
      <c r="CM42" s="1704"/>
      <c r="CN42" s="1703" t="s">
        <v>1208</v>
      </c>
      <c r="CO42" s="1704"/>
      <c r="CP42" s="1703" t="s">
        <v>1208</v>
      </c>
      <c r="CQ42" s="1704"/>
      <c r="CR42" s="1703" t="s">
        <v>1208</v>
      </c>
      <c r="CS42" s="1704"/>
      <c r="CT42" s="1703" t="s">
        <v>1208</v>
      </c>
      <c r="CU42" s="1704"/>
      <c r="CV42" s="1703" t="s">
        <v>1208</v>
      </c>
      <c r="CW42" s="1704"/>
      <c r="CX42" s="1703" t="s">
        <v>1208</v>
      </c>
      <c r="CY42" s="1704"/>
      <c r="CZ42" s="1703" t="s">
        <v>1208</v>
      </c>
      <c r="DA42" s="1704"/>
      <c r="DB42" s="1703" t="s">
        <v>1208</v>
      </c>
      <c r="DC42" s="1704"/>
      <c r="DD42" s="1703" t="s">
        <v>1208</v>
      </c>
      <c r="DE42" s="1704"/>
      <c r="DF42" s="1703" t="s">
        <v>1208</v>
      </c>
      <c r="DG42" s="1704"/>
      <c r="DH42" s="1703" t="s">
        <v>1208</v>
      </c>
      <c r="DI42" s="1704"/>
      <c r="DJ42" s="1703" t="s">
        <v>1208</v>
      </c>
      <c r="DK42" s="1704"/>
      <c r="DL42" s="1703" t="s">
        <v>1208</v>
      </c>
      <c r="DM42" s="1704"/>
      <c r="DN42" s="1703" t="s">
        <v>1208</v>
      </c>
      <c r="DO42" s="1704"/>
      <c r="DP42" s="1703" t="s">
        <v>1208</v>
      </c>
      <c r="DQ42" s="1704"/>
      <c r="DR42" s="1703" t="s">
        <v>1208</v>
      </c>
      <c r="DS42" s="1704"/>
      <c r="DT42" s="1703" t="s">
        <v>1208</v>
      </c>
      <c r="DU42" s="1704"/>
      <c r="DV42" s="1703" t="s">
        <v>1208</v>
      </c>
      <c r="DW42" s="1704"/>
      <c r="DX42" s="1703" t="s">
        <v>1208</v>
      </c>
      <c r="DY42" s="1704"/>
      <c r="DZ42" s="1703" t="s">
        <v>1208</v>
      </c>
      <c r="EA42" s="1704"/>
      <c r="EB42" s="1703" t="s">
        <v>1208</v>
      </c>
      <c r="EC42" s="1704"/>
      <c r="ED42" s="1703" t="s">
        <v>1208</v>
      </c>
      <c r="EE42" s="1704"/>
      <c r="EF42" s="1703" t="s">
        <v>1208</v>
      </c>
      <c r="EG42" s="1704"/>
      <c r="EH42" s="1703" t="s">
        <v>1208</v>
      </c>
      <c r="EI42" s="1704"/>
      <c r="EJ42" s="1703" t="s">
        <v>1208</v>
      </c>
      <c r="EK42" s="1704"/>
      <c r="EL42" s="1703" t="s">
        <v>1208</v>
      </c>
      <c r="EM42" s="1704"/>
      <c r="EN42" s="1703" t="s">
        <v>1208</v>
      </c>
      <c r="EO42" s="1704"/>
      <c r="EP42" s="1703" t="s">
        <v>1208</v>
      </c>
      <c r="EQ42" s="1704"/>
      <c r="ER42" s="1703" t="s">
        <v>1208</v>
      </c>
      <c r="ES42" s="1704"/>
      <c r="ET42" s="1703" t="s">
        <v>1208</v>
      </c>
      <c r="EU42" s="1704"/>
      <c r="EV42" s="1703" t="s">
        <v>1208</v>
      </c>
      <c r="EW42" s="1704"/>
      <c r="EX42" s="1703" t="s">
        <v>1208</v>
      </c>
      <c r="EY42" s="1704"/>
      <c r="EZ42" s="1703" t="s">
        <v>1208</v>
      </c>
      <c r="FA42" s="1704"/>
      <c r="FB42" s="1703" t="s">
        <v>1208</v>
      </c>
      <c r="FC42" s="1704"/>
      <c r="FD42" s="1703" t="s">
        <v>1208</v>
      </c>
      <c r="FE42" s="1704"/>
      <c r="FF42" s="1703" t="s">
        <v>1208</v>
      </c>
      <c r="FG42" s="1704"/>
      <c r="FH42" s="1703" t="s">
        <v>1208</v>
      </c>
      <c r="FI42" s="1704"/>
      <c r="FJ42" s="1703" t="s">
        <v>1208</v>
      </c>
      <c r="FK42" s="1704"/>
      <c r="FL42" s="1703" t="s">
        <v>1208</v>
      </c>
      <c r="FM42" s="1704"/>
      <c r="FN42" s="1703" t="s">
        <v>1208</v>
      </c>
      <c r="FO42" s="1704"/>
      <c r="FP42" s="1703" t="s">
        <v>1208</v>
      </c>
      <c r="FQ42" s="1704"/>
      <c r="FR42" s="1703" t="s">
        <v>1208</v>
      </c>
      <c r="FS42" s="1704"/>
      <c r="FT42" s="1703" t="s">
        <v>1208</v>
      </c>
      <c r="FU42" s="1704"/>
      <c r="FV42" s="1703" t="s">
        <v>1208</v>
      </c>
      <c r="FW42" s="1704"/>
      <c r="FX42" s="1703" t="s">
        <v>1208</v>
      </c>
      <c r="FY42" s="1704"/>
      <c r="FZ42" s="1703" t="s">
        <v>1208</v>
      </c>
      <c r="GA42" s="1704"/>
      <c r="GB42" s="1703" t="s">
        <v>1208</v>
      </c>
      <c r="GC42" s="1704"/>
      <c r="GD42" s="1703" t="s">
        <v>1208</v>
      </c>
      <c r="GE42" s="1704"/>
      <c r="GF42" s="1703" t="s">
        <v>1208</v>
      </c>
      <c r="GG42" s="1704"/>
      <c r="GH42" s="1703" t="s">
        <v>1208</v>
      </c>
      <c r="GI42" s="1704"/>
      <c r="GJ42" s="1703" t="s">
        <v>1208</v>
      </c>
      <c r="GK42" s="1704"/>
      <c r="GL42" s="1703" t="s">
        <v>1208</v>
      </c>
      <c r="GM42" s="1704"/>
      <c r="GN42" s="1703" t="s">
        <v>1208</v>
      </c>
      <c r="GO42" s="1704"/>
      <c r="GP42" s="1703" t="s">
        <v>1208</v>
      </c>
      <c r="GQ42" s="1704"/>
      <c r="GR42" s="1703" t="s">
        <v>1208</v>
      </c>
      <c r="GS42" s="1704"/>
      <c r="GT42" s="1703" t="s">
        <v>1208</v>
      </c>
      <c r="GU42" s="1704"/>
      <c r="GV42" s="1703" t="s">
        <v>1208</v>
      </c>
      <c r="GW42" s="1704"/>
      <c r="GX42" s="1703" t="s">
        <v>1208</v>
      </c>
      <c r="GY42" s="1704"/>
      <c r="GZ42" s="1703" t="s">
        <v>1208</v>
      </c>
      <c r="HA42" s="1704"/>
      <c r="HB42" s="1703" t="s">
        <v>1208</v>
      </c>
      <c r="HC42" s="1704"/>
      <c r="HD42" s="1703" t="s">
        <v>1208</v>
      </c>
      <c r="HE42" s="1704"/>
      <c r="HF42" s="2020" t="s">
        <v>1208</v>
      </c>
      <c r="HG42" s="2021"/>
      <c r="HH42" s="1703" t="s">
        <v>1208</v>
      </c>
      <c r="HI42" s="1704"/>
      <c r="HJ42" s="1703" t="s">
        <v>1208</v>
      </c>
      <c r="HK42" s="1704"/>
      <c r="HL42" s="1703" t="s">
        <v>1208</v>
      </c>
      <c r="HM42" s="1704"/>
      <c r="HN42" s="1703" t="s">
        <v>1208</v>
      </c>
      <c r="HO42" s="1704"/>
      <c r="HP42" s="2020" t="s">
        <v>1208</v>
      </c>
      <c r="HQ42" s="2021"/>
      <c r="HR42" s="1703" t="s">
        <v>1208</v>
      </c>
      <c r="HS42" s="1704"/>
      <c r="HT42" s="2020" t="s">
        <v>1208</v>
      </c>
      <c r="HU42" s="2021"/>
      <c r="HV42" s="2020" t="s">
        <v>1208</v>
      </c>
      <c r="HW42" s="2021"/>
      <c r="HX42" s="2020" t="s">
        <v>1208</v>
      </c>
      <c r="HY42" s="2021"/>
      <c r="HZ42" s="2020" t="s">
        <v>1208</v>
      </c>
      <c r="IA42" s="2021"/>
      <c r="IB42" s="1703" t="s">
        <v>1208</v>
      </c>
      <c r="IC42" s="1704"/>
      <c r="ID42" s="2020" t="s">
        <v>1208</v>
      </c>
      <c r="IE42" s="2021"/>
      <c r="IF42" s="2020" t="s">
        <v>1208</v>
      </c>
      <c r="IG42" s="2021"/>
    </row>
    <row r="43" spans="1:241" hidden="1">
      <c r="A43" s="1151"/>
      <c r="B43" s="1151"/>
      <c r="C43" s="1151"/>
      <c r="D43" s="1151"/>
      <c r="E43" s="1152"/>
      <c r="F43" s="1705"/>
      <c r="G43" s="1704"/>
      <c r="H43" s="1705"/>
      <c r="I43" s="1704"/>
      <c r="J43" s="1705"/>
      <c r="K43" s="1704"/>
      <c r="L43" s="1705"/>
      <c r="M43" s="1704"/>
      <c r="N43" s="1705"/>
      <c r="O43" s="1704"/>
      <c r="P43" s="1705"/>
      <c r="Q43" s="1704"/>
      <c r="R43" s="1705"/>
      <c r="S43" s="1704"/>
      <c r="T43" s="1705"/>
      <c r="U43" s="1704"/>
      <c r="V43" s="1705"/>
      <c r="W43" s="1704"/>
      <c r="X43" s="1705"/>
      <c r="Y43" s="1704"/>
      <c r="Z43" s="1705"/>
      <c r="AA43" s="1704"/>
      <c r="AB43" s="1705"/>
      <c r="AC43" s="1704"/>
      <c r="AD43" s="1705"/>
      <c r="AE43" s="1704"/>
      <c r="AF43" s="1705"/>
      <c r="AG43" s="1704"/>
      <c r="AH43" s="1705"/>
      <c r="AI43" s="1704"/>
      <c r="AJ43" s="1705"/>
      <c r="AK43" s="1704"/>
      <c r="AL43" s="1705"/>
      <c r="AM43" s="1704"/>
      <c r="AN43" s="1705"/>
      <c r="AO43" s="1704"/>
      <c r="AP43" s="1705"/>
      <c r="AQ43" s="1704"/>
      <c r="AR43" s="1705"/>
      <c r="AS43" s="1704"/>
      <c r="AT43" s="1705"/>
      <c r="AU43" s="1704"/>
      <c r="AV43" s="1705"/>
      <c r="AW43" s="1704"/>
      <c r="AX43" s="1705"/>
      <c r="AY43" s="1704"/>
      <c r="AZ43" s="1705"/>
      <c r="BA43" s="1704"/>
      <c r="BB43" s="1705"/>
      <c r="BC43" s="1704"/>
      <c r="BD43" s="1705"/>
      <c r="BE43" s="1704"/>
      <c r="BF43" s="1705"/>
      <c r="BG43" s="1704"/>
      <c r="BH43" s="1705"/>
      <c r="BI43" s="1704"/>
      <c r="BJ43" s="1705"/>
      <c r="BK43" s="1704"/>
      <c r="BL43" s="1705"/>
      <c r="BM43" s="1704"/>
      <c r="BN43" s="1705"/>
      <c r="BO43" s="1704"/>
      <c r="BP43" s="1705"/>
      <c r="BQ43" s="1704"/>
      <c r="BR43" s="1705"/>
      <c r="BS43" s="1704"/>
      <c r="BT43" s="1705"/>
      <c r="BU43" s="1704"/>
      <c r="BV43" s="1705"/>
      <c r="BW43" s="1704"/>
      <c r="BX43" s="1705"/>
      <c r="BY43" s="1704"/>
      <c r="BZ43" s="1705"/>
      <c r="CA43" s="1704"/>
      <c r="CB43" s="1705"/>
      <c r="CC43" s="1704"/>
      <c r="CD43" s="1705"/>
      <c r="CE43" s="1704"/>
      <c r="CF43" s="1705"/>
      <c r="CG43" s="1704"/>
      <c r="CH43" s="1705"/>
      <c r="CI43" s="1704"/>
      <c r="CJ43" s="1705"/>
      <c r="CK43" s="1704"/>
      <c r="CL43" s="1705"/>
      <c r="CM43" s="1704"/>
      <c r="CN43" s="1705"/>
      <c r="CO43" s="1704"/>
      <c r="CP43" s="1705"/>
      <c r="CQ43" s="1704"/>
      <c r="CR43" s="1705"/>
      <c r="CS43" s="1704"/>
      <c r="CT43" s="1705"/>
      <c r="CU43" s="1704"/>
      <c r="CV43" s="1705"/>
      <c r="CW43" s="1704"/>
      <c r="CX43" s="1705"/>
      <c r="CY43" s="1704"/>
      <c r="CZ43" s="1705"/>
      <c r="DA43" s="1704"/>
      <c r="DB43" s="1705"/>
      <c r="DC43" s="1704"/>
      <c r="DD43" s="1705"/>
      <c r="DE43" s="1704"/>
      <c r="DF43" s="1705"/>
      <c r="DG43" s="1704"/>
      <c r="DH43" s="1705"/>
      <c r="DI43" s="1704"/>
      <c r="DJ43" s="1705"/>
      <c r="DK43" s="1704"/>
      <c r="DL43" s="1705"/>
      <c r="DM43" s="1704"/>
      <c r="DN43" s="1705"/>
      <c r="DO43" s="1704"/>
      <c r="DP43" s="1705"/>
      <c r="DQ43" s="1704"/>
      <c r="DR43" s="1705"/>
      <c r="DS43" s="1704"/>
      <c r="DT43" s="1705"/>
      <c r="DU43" s="1704"/>
      <c r="DV43" s="1705"/>
      <c r="DW43" s="1704"/>
      <c r="DX43" s="1705"/>
      <c r="DY43" s="1704"/>
      <c r="DZ43" s="1705"/>
      <c r="EA43" s="1704"/>
      <c r="EB43" s="1705"/>
      <c r="EC43" s="1704"/>
      <c r="ED43" s="1705"/>
      <c r="EE43" s="1704"/>
      <c r="EF43" s="1705"/>
      <c r="EG43" s="1704"/>
      <c r="EH43" s="1705"/>
      <c r="EI43" s="1704"/>
      <c r="EJ43" s="1705"/>
      <c r="EK43" s="1704"/>
      <c r="EL43" s="1705"/>
      <c r="EM43" s="1704"/>
      <c r="EN43" s="1705"/>
      <c r="EO43" s="1704"/>
      <c r="EP43" s="1705"/>
      <c r="EQ43" s="1704"/>
      <c r="ER43" s="1705"/>
      <c r="ES43" s="1704"/>
      <c r="ET43" s="1705"/>
      <c r="EU43" s="1704"/>
      <c r="EV43" s="1705"/>
      <c r="EW43" s="1704"/>
      <c r="EX43" s="1705"/>
      <c r="EY43" s="1704"/>
      <c r="EZ43" s="1705"/>
      <c r="FA43" s="1704"/>
      <c r="FB43" s="1705"/>
      <c r="FC43" s="1704"/>
      <c r="FD43" s="1705"/>
      <c r="FE43" s="1704"/>
      <c r="FF43" s="1705"/>
      <c r="FG43" s="1704"/>
      <c r="FH43" s="1705"/>
      <c r="FI43" s="1704"/>
      <c r="FJ43" s="1705"/>
      <c r="FK43" s="1704"/>
      <c r="FL43" s="1705"/>
      <c r="FM43" s="1704"/>
      <c r="FN43" s="1705"/>
      <c r="FO43" s="1704"/>
      <c r="FP43" s="1705"/>
      <c r="FQ43" s="1704"/>
      <c r="FR43" s="1705"/>
      <c r="FS43" s="1704"/>
      <c r="FT43" s="1705"/>
      <c r="FU43" s="1704"/>
      <c r="FV43" s="1705"/>
      <c r="FW43" s="1704"/>
      <c r="FX43" s="1705"/>
      <c r="FY43" s="1704"/>
      <c r="FZ43" s="1705"/>
      <c r="GA43" s="1704"/>
      <c r="GB43" s="1705"/>
      <c r="GC43" s="1704"/>
      <c r="GD43" s="1705"/>
      <c r="GE43" s="1704"/>
      <c r="GF43" s="1705"/>
      <c r="GG43" s="1704"/>
      <c r="GH43" s="1705"/>
      <c r="GI43" s="1704"/>
      <c r="GJ43" s="1705"/>
      <c r="GK43" s="1704"/>
      <c r="GL43" s="1705"/>
      <c r="GM43" s="1704"/>
      <c r="GN43" s="1705"/>
      <c r="GO43" s="1704"/>
      <c r="GP43" s="1705"/>
      <c r="GQ43" s="1704"/>
      <c r="GR43" s="1705"/>
      <c r="GS43" s="1704"/>
      <c r="GT43" s="1705"/>
      <c r="GU43" s="1704"/>
      <c r="GV43" s="1705"/>
      <c r="GW43" s="1704"/>
      <c r="GX43" s="1705"/>
      <c r="GY43" s="1704"/>
      <c r="GZ43" s="1705"/>
      <c r="HA43" s="1704"/>
      <c r="HB43" s="1705"/>
      <c r="HC43" s="1704"/>
      <c r="HD43" s="1705"/>
      <c r="HE43" s="1704"/>
      <c r="HF43" s="2022"/>
      <c r="HG43" s="2021"/>
      <c r="HH43" s="1705"/>
      <c r="HI43" s="1704"/>
      <c r="HJ43" s="1705"/>
      <c r="HK43" s="1704"/>
      <c r="HL43" s="1705"/>
      <c r="HM43" s="1704"/>
      <c r="HN43" s="1705"/>
      <c r="HO43" s="1704"/>
      <c r="HP43" s="2022"/>
      <c r="HQ43" s="2021"/>
      <c r="HR43" s="1705"/>
      <c r="HS43" s="1704"/>
      <c r="HT43" s="2022"/>
      <c r="HU43" s="2021"/>
      <c r="HV43" s="2022"/>
      <c r="HW43" s="2021"/>
      <c r="HX43" s="2022"/>
      <c r="HY43" s="2021"/>
      <c r="HZ43" s="2022"/>
      <c r="IA43" s="2021"/>
      <c r="IB43" s="1705"/>
      <c r="IC43" s="1704"/>
      <c r="ID43" s="2022"/>
      <c r="IE43" s="2021"/>
      <c r="IF43" s="2022"/>
      <c r="IG43" s="2021"/>
    </row>
    <row r="44" spans="1:241">
      <c r="A44" s="1149"/>
      <c r="B44" s="1149" t="s">
        <v>95</v>
      </c>
      <c r="C44" s="1149"/>
      <c r="D44" s="1149"/>
      <c r="E44" s="1143"/>
      <c r="F44" s="1699"/>
      <c r="G44" s="1356"/>
      <c r="H44" s="1699"/>
      <c r="I44" s="1356"/>
      <c r="J44" s="1699"/>
      <c r="K44" s="1356"/>
      <c r="L44" s="1699"/>
      <c r="M44" s="1356"/>
      <c r="N44" s="1699"/>
      <c r="O44" s="1356"/>
      <c r="P44" s="1699"/>
      <c r="Q44" s="1356"/>
      <c r="R44" s="1699"/>
      <c r="T44" s="1699"/>
      <c r="U44" s="1356"/>
      <c r="V44" s="1699"/>
      <c r="W44" s="1356"/>
      <c r="X44" s="1699"/>
      <c r="Y44" s="1356"/>
      <c r="Z44" s="1699"/>
      <c r="AA44" s="1356"/>
      <c r="AB44" s="1699"/>
      <c r="AC44" s="1356"/>
      <c r="AD44" s="1699"/>
      <c r="AE44" s="1356"/>
      <c r="AF44" s="1699"/>
      <c r="AG44" s="1356"/>
      <c r="AH44" s="1699"/>
      <c r="AI44" s="1356"/>
      <c r="AJ44" s="1699"/>
      <c r="AK44" s="1356"/>
      <c r="AL44" s="1699"/>
      <c r="AM44" s="1356"/>
      <c r="AN44" s="1699"/>
      <c r="AO44" s="1356"/>
      <c r="AP44" s="1699"/>
      <c r="AQ44" s="1356"/>
      <c r="AR44" s="1699"/>
      <c r="AS44" s="1356"/>
      <c r="AT44" s="1699"/>
      <c r="AU44" s="1356"/>
      <c r="AV44" s="1699"/>
      <c r="AW44" s="1356"/>
      <c r="AX44" s="1699"/>
      <c r="AY44" s="1356"/>
      <c r="AZ44" s="1699"/>
      <c r="BA44" s="1356"/>
      <c r="BB44" s="1699"/>
      <c r="BC44" s="1356"/>
      <c r="BD44" s="1699"/>
      <c r="BE44" s="1356"/>
      <c r="BF44" s="1699"/>
      <c r="BG44" s="1356"/>
      <c r="BH44" s="1699"/>
      <c r="BI44" s="1356"/>
      <c r="BJ44" s="1699"/>
      <c r="BK44" s="1356"/>
      <c r="BL44" s="1699"/>
      <c r="BM44" s="1356"/>
      <c r="BN44" s="1699"/>
      <c r="BO44" s="1356"/>
      <c r="BP44" s="1699"/>
      <c r="BQ44" s="1356"/>
      <c r="BR44" s="1699"/>
      <c r="BS44" s="1356"/>
      <c r="BT44" s="1699"/>
      <c r="BU44" s="1356"/>
      <c r="BV44" s="1699"/>
      <c r="BW44" s="1356"/>
      <c r="BX44" s="1699"/>
      <c r="BY44" s="1356"/>
      <c r="BZ44" s="1699"/>
      <c r="CA44" s="1356"/>
      <c r="CB44" s="1699"/>
      <c r="CC44" s="1356"/>
      <c r="CD44" s="1699"/>
      <c r="CE44" s="1356"/>
      <c r="CF44" s="1699"/>
      <c r="CG44" s="1356"/>
      <c r="CH44" s="1699"/>
      <c r="CI44" s="1356"/>
      <c r="CJ44" s="1699"/>
      <c r="CK44" s="1356"/>
      <c r="CL44" s="1699"/>
      <c r="CM44" s="1356"/>
      <c r="CN44" s="1699"/>
      <c r="CO44" s="1356"/>
      <c r="CP44" s="1699"/>
      <c r="CQ44" s="1356"/>
      <c r="CR44" s="1699"/>
      <c r="CS44" s="1356"/>
      <c r="CT44" s="1699"/>
      <c r="CU44" s="1356"/>
      <c r="CV44" s="1699"/>
      <c r="CW44" s="1356"/>
      <c r="CX44" s="1699"/>
      <c r="CY44" s="1356"/>
      <c r="CZ44" s="1699"/>
      <c r="DA44" s="1356"/>
      <c r="DB44" s="1699"/>
      <c r="DC44" s="1356"/>
      <c r="DD44" s="1699"/>
      <c r="DE44" s="1356"/>
      <c r="DF44" s="1699"/>
      <c r="DG44" s="1356"/>
      <c r="DH44" s="1699"/>
      <c r="DI44" s="1356"/>
      <c r="DJ44" s="1699"/>
      <c r="DK44" s="1356"/>
      <c r="DL44" s="1699"/>
      <c r="DM44" s="1356"/>
      <c r="DN44" s="1699"/>
      <c r="DO44" s="1356"/>
      <c r="DP44" s="1699"/>
      <c r="DQ44" s="1356"/>
      <c r="DR44" s="1699"/>
      <c r="DS44" s="1356"/>
      <c r="DT44" s="1699"/>
      <c r="DU44" s="1356"/>
      <c r="DV44" s="1699"/>
      <c r="DW44" s="1356"/>
      <c r="DX44" s="1699"/>
      <c r="DY44" s="1356"/>
      <c r="DZ44" s="1699"/>
      <c r="EA44" s="1356"/>
      <c r="EB44" s="1699"/>
      <c r="EC44" s="1356"/>
      <c r="ED44" s="1699"/>
      <c r="EE44" s="1356"/>
      <c r="EF44" s="1699"/>
      <c r="EG44" s="1356"/>
      <c r="EH44" s="1699"/>
      <c r="EI44" s="1356"/>
      <c r="EJ44" s="1699"/>
      <c r="EK44" s="1356"/>
      <c r="EL44" s="1699"/>
      <c r="EM44" s="1356"/>
      <c r="EN44" s="1699"/>
      <c r="EO44" s="1356"/>
      <c r="EP44" s="1699"/>
      <c r="EQ44" s="1356"/>
      <c r="ER44" s="1699"/>
      <c r="ES44" s="1356"/>
      <c r="ET44" s="1699"/>
      <c r="EU44" s="1356"/>
      <c r="EV44" s="1699"/>
      <c r="EW44" s="1356"/>
      <c r="EX44" s="1699"/>
      <c r="EY44" s="1356"/>
      <c r="EZ44" s="1699"/>
      <c r="FA44" s="1356"/>
      <c r="FB44" s="1699"/>
      <c r="FC44" s="1356"/>
      <c r="FD44" s="1699"/>
      <c r="FE44" s="1356"/>
      <c r="FF44" s="1699"/>
      <c r="FG44" s="1356"/>
      <c r="FH44" s="1699"/>
      <c r="FI44" s="1356"/>
      <c r="FJ44" s="1699"/>
      <c r="FK44" s="1356"/>
      <c r="FL44" s="1699"/>
      <c r="FM44" s="1356"/>
      <c r="FN44" s="1699"/>
      <c r="FO44" s="1356"/>
      <c r="FP44" s="1699"/>
      <c r="FQ44" s="1356"/>
      <c r="FR44" s="1699"/>
      <c r="FS44" s="1356"/>
      <c r="FT44" s="1699"/>
      <c r="FU44" s="1356"/>
      <c r="FV44" s="1699"/>
      <c r="FW44" s="1356"/>
      <c r="FX44" s="1699"/>
      <c r="FY44" s="1356"/>
      <c r="FZ44" s="1699"/>
      <c r="GA44" s="1356"/>
      <c r="GB44" s="1699"/>
      <c r="GC44" s="1356"/>
      <c r="GD44" s="1699"/>
      <c r="GE44" s="1356"/>
      <c r="GF44" s="1699"/>
      <c r="GG44" s="1356"/>
      <c r="GH44" s="1699"/>
      <c r="GI44" s="1356"/>
      <c r="GJ44" s="1699"/>
      <c r="GK44" s="1356"/>
      <c r="GL44" s="1699"/>
      <c r="GM44" s="1356"/>
      <c r="GN44" s="1699"/>
      <c r="GO44" s="1356"/>
      <c r="GP44" s="1699"/>
      <c r="GQ44" s="1356"/>
      <c r="GR44" s="1699"/>
      <c r="GS44" s="1356"/>
      <c r="GT44" s="1699"/>
      <c r="GU44" s="1356"/>
      <c r="GV44" s="1699"/>
      <c r="GW44" s="1356"/>
      <c r="GX44" s="1699"/>
      <c r="GY44" s="1356"/>
      <c r="GZ44" s="1699"/>
      <c r="HA44" s="1356"/>
      <c r="HB44" s="1699"/>
      <c r="HC44" s="1356"/>
      <c r="HD44" s="1699"/>
      <c r="HE44" s="1356"/>
      <c r="HF44" s="2015"/>
      <c r="HH44" s="1699"/>
      <c r="HI44" s="1356"/>
      <c r="HJ44" s="1699"/>
      <c r="HK44" s="1356"/>
      <c r="HL44" s="1699"/>
      <c r="HM44" s="1356"/>
      <c r="HN44" s="1699"/>
      <c r="HO44" s="1356"/>
      <c r="HP44" s="2015"/>
      <c r="HR44" s="1699"/>
      <c r="HS44" s="1356"/>
      <c r="HT44" s="2015"/>
      <c r="HV44" s="2015"/>
      <c r="HX44" s="2015"/>
      <c r="HZ44" s="2015"/>
      <c r="IB44" s="1699"/>
      <c r="IC44" s="1356"/>
      <c r="ID44" s="2015"/>
      <c r="IF44" s="2015"/>
    </row>
    <row r="45" spans="1:241">
      <c r="A45" s="1149"/>
      <c r="B45" s="1149"/>
      <c r="C45" s="1149" t="s">
        <v>1213</v>
      </c>
      <c r="D45" s="1149"/>
      <c r="E45" s="1143"/>
      <c r="F45" s="1537">
        <v>13000</v>
      </c>
      <c r="G45" s="1356"/>
      <c r="H45" s="1537">
        <v>22200</v>
      </c>
      <c r="I45" s="1356"/>
      <c r="J45" s="1537">
        <v>14175</v>
      </c>
      <c r="K45" s="1356"/>
      <c r="L45" s="1537">
        <f>16860+4745</f>
        <v>21605</v>
      </c>
      <c r="M45" s="1356"/>
      <c r="N45" s="1537">
        <v>25433</v>
      </c>
      <c r="O45" s="1356"/>
      <c r="P45" s="1537">
        <v>15900</v>
      </c>
      <c r="Q45" s="1356"/>
      <c r="R45" s="1537">
        <v>21000</v>
      </c>
      <c r="T45" s="1537">
        <v>4100</v>
      </c>
      <c r="U45" s="1356"/>
      <c r="V45" s="1537">
        <v>5889</v>
      </c>
      <c r="W45" s="1356"/>
      <c r="X45" s="1537">
        <v>21165</v>
      </c>
      <c r="Y45" s="1356"/>
      <c r="Z45" s="1537">
        <v>13500</v>
      </c>
      <c r="AA45" s="1356"/>
      <c r="AB45" s="1537">
        <v>5040</v>
      </c>
      <c r="AC45" s="1356"/>
      <c r="AD45" s="1537">
        <v>31992</v>
      </c>
      <c r="AE45" s="1356"/>
      <c r="AF45" s="1537">
        <v>12939</v>
      </c>
      <c r="AG45" s="1356"/>
      <c r="AH45" s="1537">
        <v>6625</v>
      </c>
      <c r="AI45" s="1356"/>
      <c r="AJ45" s="1537">
        <v>27000</v>
      </c>
      <c r="AK45" s="1356"/>
      <c r="AL45" s="1537">
        <v>2700</v>
      </c>
      <c r="AM45" s="1356"/>
      <c r="AN45" s="1537">
        <v>13200</v>
      </c>
      <c r="AO45" s="1356"/>
      <c r="AP45" s="1537">
        <v>23175</v>
      </c>
      <c r="AQ45" s="1356"/>
      <c r="AR45" s="1537">
        <v>27157</v>
      </c>
      <c r="AS45" s="1356"/>
      <c r="AT45" s="1537">
        <v>4800</v>
      </c>
      <c r="AU45" s="1356"/>
      <c r="AV45" s="1537">
        <v>19088</v>
      </c>
      <c r="AW45" s="1356"/>
      <c r="AX45" s="1537">
        <v>5200</v>
      </c>
      <c r="AY45" s="1356"/>
      <c r="AZ45" s="1537">
        <v>5792</v>
      </c>
      <c r="BA45" s="1356"/>
      <c r="BB45" s="1537">
        <v>24605</v>
      </c>
      <c r="BC45" s="1356"/>
      <c r="BD45" s="1537">
        <v>8708</v>
      </c>
      <c r="BE45" s="1356"/>
      <c r="BF45" s="1537">
        <v>6586.51</v>
      </c>
      <c r="BG45" s="1356"/>
      <c r="BH45" s="1537">
        <v>14508.75</v>
      </c>
      <c r="BI45" s="1356"/>
      <c r="BJ45" s="1537">
        <v>14940</v>
      </c>
      <c r="BK45" s="1356"/>
      <c r="BL45" s="1537">
        <v>20245</v>
      </c>
      <c r="BM45" s="1356"/>
      <c r="BN45" s="1537">
        <v>12269</v>
      </c>
      <c r="BO45" s="1356"/>
      <c r="BP45" s="1537">
        <v>5328</v>
      </c>
      <c r="BQ45" s="1356"/>
      <c r="BR45" s="1537">
        <v>20000</v>
      </c>
      <c r="BS45" s="1356"/>
      <c r="BT45" s="1537">
        <v>10431</v>
      </c>
      <c r="BU45" s="1356"/>
      <c r="BV45" s="1537">
        <v>4848</v>
      </c>
      <c r="BW45" s="1356"/>
      <c r="BX45" s="1537">
        <f>390*12</f>
        <v>4680</v>
      </c>
      <c r="BY45" s="1356"/>
      <c r="BZ45" s="1537">
        <v>11566</v>
      </c>
      <c r="CA45" s="1356"/>
      <c r="CB45" s="1537">
        <v>17665</v>
      </c>
      <c r="CC45" s="1356"/>
      <c r="CD45" s="1537">
        <v>15755</v>
      </c>
      <c r="CE45" s="1356"/>
      <c r="CF45" s="1537">
        <v>17376</v>
      </c>
      <c r="CG45" s="1356"/>
      <c r="CH45" s="1537">
        <v>16550</v>
      </c>
      <c r="CI45" s="1356"/>
      <c r="CJ45" s="1537">
        <v>9960</v>
      </c>
      <c r="CK45" s="1356"/>
      <c r="CL45" s="1537">
        <v>22123</v>
      </c>
      <c r="CM45" s="1356"/>
      <c r="CN45" s="1537">
        <v>14811</v>
      </c>
      <c r="CO45" s="1356"/>
      <c r="CP45" s="1537">
        <v>10815</v>
      </c>
      <c r="CQ45" s="1356"/>
      <c r="CR45" s="1537">
        <v>25661</v>
      </c>
      <c r="CS45" s="1356"/>
      <c r="CT45" s="1537">
        <v>20595</v>
      </c>
      <c r="CU45" s="1356"/>
      <c r="CV45" s="1537">
        <v>17654</v>
      </c>
      <c r="CW45" s="1356"/>
      <c r="CX45" s="1537">
        <v>30875</v>
      </c>
      <c r="CY45" s="1356"/>
      <c r="CZ45" s="1537">
        <v>18190</v>
      </c>
      <c r="DA45" s="1356"/>
      <c r="DB45" s="1537">
        <v>14603</v>
      </c>
      <c r="DC45" s="1356"/>
      <c r="DD45" s="1537">
        <v>13584</v>
      </c>
      <c r="DE45" s="1356"/>
      <c r="DF45" s="1537">
        <v>28824</v>
      </c>
      <c r="DG45" s="1356"/>
      <c r="DH45" s="1537">
        <v>2736</v>
      </c>
      <c r="DI45" s="1356"/>
      <c r="DJ45" s="1537">
        <v>9566</v>
      </c>
      <c r="DK45" s="1356"/>
      <c r="DL45" s="1537">
        <v>12688</v>
      </c>
      <c r="DM45" s="1356"/>
      <c r="DN45" s="1537">
        <v>21924</v>
      </c>
      <c r="DO45" s="1356"/>
      <c r="DP45" s="1537">
        <v>18980</v>
      </c>
      <c r="DQ45" s="1356"/>
      <c r="DR45" s="1537">
        <v>20598</v>
      </c>
      <c r="DS45" s="1356"/>
      <c r="DT45" s="1537">
        <v>24637</v>
      </c>
      <c r="DU45" s="1356"/>
      <c r="DV45" s="1537">
        <v>12600</v>
      </c>
      <c r="DW45" s="1356"/>
      <c r="DX45" s="1537">
        <v>24450</v>
      </c>
      <c r="DY45" s="1356"/>
      <c r="DZ45" s="1537">
        <v>18419</v>
      </c>
      <c r="EA45" s="1356"/>
      <c r="EB45" s="1537">
        <v>30223</v>
      </c>
      <c r="EC45" s="1356"/>
      <c r="ED45" s="1537">
        <v>17539</v>
      </c>
      <c r="EE45" s="1356"/>
      <c r="EF45" s="1537">
        <v>22851</v>
      </c>
      <c r="EG45" s="1356"/>
      <c r="EH45" s="1537">
        <v>22695</v>
      </c>
      <c r="EI45" s="1356"/>
      <c r="EJ45" s="1537">
        <v>17360</v>
      </c>
      <c r="EK45" s="1356"/>
      <c r="EL45" s="1537">
        <v>23675</v>
      </c>
      <c r="EM45" s="1356"/>
      <c r="EN45" s="1537">
        <v>7650</v>
      </c>
      <c r="EO45" s="1356"/>
      <c r="EP45" s="1537">
        <v>9100</v>
      </c>
      <c r="EQ45" s="1356"/>
      <c r="ER45" s="1537">
        <v>6836</v>
      </c>
      <c r="ES45" s="1356"/>
      <c r="ET45" s="1537">
        <v>14930</v>
      </c>
      <c r="EU45" s="1356"/>
      <c r="EV45" s="1537">
        <v>3720</v>
      </c>
      <c r="EW45" s="1356"/>
      <c r="EX45" s="1537">
        <v>6839</v>
      </c>
      <c r="EY45" s="1356"/>
      <c r="EZ45" s="1537">
        <v>33120</v>
      </c>
      <c r="FA45" s="1356"/>
      <c r="FB45" s="1537">
        <v>7380</v>
      </c>
      <c r="FC45" s="1356"/>
      <c r="FD45" s="1537">
        <v>13200</v>
      </c>
      <c r="FE45" s="1356"/>
      <c r="FF45" s="1537">
        <v>6172</v>
      </c>
      <c r="FG45" s="1356"/>
      <c r="FH45" s="1537">
        <v>25000</v>
      </c>
      <c r="FI45" s="1356"/>
      <c r="FJ45" s="1537">
        <v>14261</v>
      </c>
      <c r="FK45" s="1356"/>
      <c r="FL45" s="1537">
        <v>26074</v>
      </c>
      <c r="FM45" s="1356"/>
      <c r="FN45" s="1537">
        <v>26388</v>
      </c>
      <c r="FO45" s="1356"/>
      <c r="FP45" s="1537">
        <v>5910</v>
      </c>
      <c r="FQ45" s="1356"/>
      <c r="FR45" s="1537">
        <v>12696</v>
      </c>
      <c r="FS45" s="1356"/>
      <c r="FT45" s="1537">
        <v>14312</v>
      </c>
      <c r="FU45" s="1356"/>
      <c r="FV45" s="1537">
        <v>31000</v>
      </c>
      <c r="FW45" s="1356"/>
      <c r="FX45" s="1537">
        <v>11684</v>
      </c>
      <c r="FY45" s="1356"/>
      <c r="FZ45" s="1537">
        <v>11500</v>
      </c>
      <c r="GA45" s="1356"/>
      <c r="GB45" s="1537">
        <v>16738</v>
      </c>
      <c r="GC45" s="1356"/>
      <c r="GD45" s="1537">
        <v>21095</v>
      </c>
      <c r="GE45" s="1356"/>
      <c r="GF45" s="1537">
        <v>12145</v>
      </c>
      <c r="GG45" s="1356"/>
      <c r="GH45" s="1537">
        <v>12684</v>
      </c>
      <c r="GI45" s="1356"/>
      <c r="GJ45" s="1537">
        <v>21330</v>
      </c>
      <c r="GK45" s="1356"/>
      <c r="GL45" s="1537">
        <v>7827</v>
      </c>
      <c r="GM45" s="1356"/>
      <c r="GN45" s="1537">
        <v>5141</v>
      </c>
      <c r="GO45" s="1356"/>
      <c r="GP45" s="1537">
        <f>1176*12</f>
        <v>14112</v>
      </c>
      <c r="GQ45" s="1356"/>
      <c r="GR45" s="1537">
        <v>10313</v>
      </c>
      <c r="GS45" s="1356"/>
      <c r="GT45" s="1537">
        <f>3139+3042</f>
        <v>6181</v>
      </c>
      <c r="GU45" s="1356"/>
      <c r="GV45" s="1537">
        <v>11312</v>
      </c>
      <c r="GW45" s="1356"/>
      <c r="GX45" s="1537">
        <v>6113</v>
      </c>
      <c r="GY45" s="1356"/>
      <c r="GZ45" s="1537">
        <v>17877</v>
      </c>
      <c r="HA45" s="1356"/>
      <c r="HB45" s="1537">
        <v>9750</v>
      </c>
      <c r="HC45" s="1356"/>
      <c r="HD45" s="1537">
        <v>25492</v>
      </c>
      <c r="HE45" s="1356"/>
      <c r="HF45" s="2012">
        <v>26985</v>
      </c>
      <c r="HH45" s="1537">
        <v>29400</v>
      </c>
      <c r="HI45" s="1356"/>
      <c r="HJ45" s="1537">
        <v>6096</v>
      </c>
      <c r="HK45" s="1356"/>
      <c r="HL45" s="1537">
        <v>9216</v>
      </c>
      <c r="HM45" s="1356"/>
      <c r="HN45" s="1537">
        <v>16622</v>
      </c>
      <c r="HO45" s="1356"/>
      <c r="HP45" s="2012">
        <v>20998</v>
      </c>
      <c r="HR45" s="1537">
        <v>6936</v>
      </c>
      <c r="HS45" s="1356"/>
      <c r="HT45" s="2012">
        <v>18678</v>
      </c>
      <c r="HV45" s="2012">
        <v>23970</v>
      </c>
      <c r="HX45" s="2012">
        <v>18656</v>
      </c>
      <c r="HZ45" s="2012">
        <v>14486</v>
      </c>
      <c r="IB45" s="1537">
        <v>13200</v>
      </c>
      <c r="IC45" s="1356"/>
      <c r="ID45" s="2012">
        <v>9013</v>
      </c>
      <c r="IF45" s="2012">
        <v>7955</v>
      </c>
    </row>
    <row r="46" spans="1:241">
      <c r="A46" s="1149"/>
      <c r="B46" s="1149"/>
      <c r="C46" s="1149" t="s">
        <v>1214</v>
      </c>
      <c r="D46" s="1149"/>
      <c r="E46" s="1143"/>
      <c r="F46" s="1537">
        <v>10900</v>
      </c>
      <c r="G46" s="1356"/>
      <c r="H46" s="1537">
        <v>19000</v>
      </c>
      <c r="I46" s="1356"/>
      <c r="J46" s="1537">
        <v>13125</v>
      </c>
      <c r="K46" s="1356"/>
      <c r="L46" s="1537">
        <f>14365+4645</f>
        <v>19010</v>
      </c>
      <c r="M46" s="1356"/>
      <c r="N46" s="1537">
        <v>24138</v>
      </c>
      <c r="O46" s="1356"/>
      <c r="P46" s="1537">
        <v>15000</v>
      </c>
      <c r="Q46" s="1356"/>
      <c r="R46" s="1537">
        <v>19450</v>
      </c>
      <c r="T46" s="1537">
        <v>3863</v>
      </c>
      <c r="U46" s="1356"/>
      <c r="V46" s="1537">
        <v>5500</v>
      </c>
      <c r="W46" s="1356"/>
      <c r="X46" s="1537">
        <v>19305</v>
      </c>
      <c r="Y46" s="1356"/>
      <c r="Z46" s="1537">
        <v>12528</v>
      </c>
      <c r="AA46" s="1356"/>
      <c r="AB46" s="1537">
        <v>4800</v>
      </c>
      <c r="AC46" s="1356"/>
      <c r="AD46" s="1537">
        <v>29689</v>
      </c>
      <c r="AE46" s="1356"/>
      <c r="AF46" s="1537">
        <v>10438</v>
      </c>
      <c r="AG46" s="1356"/>
      <c r="AH46" s="1537">
        <v>6165</v>
      </c>
      <c r="AI46" s="1356"/>
      <c r="AJ46" s="1537">
        <v>25000</v>
      </c>
      <c r="AK46" s="1356"/>
      <c r="AL46" s="1537">
        <v>2200</v>
      </c>
      <c r="AM46" s="1356"/>
      <c r="AN46" s="1537">
        <v>12055</v>
      </c>
      <c r="AO46" s="1356"/>
      <c r="AP46" s="1537">
        <v>21500</v>
      </c>
      <c r="AQ46" s="1356"/>
      <c r="AR46" s="1537">
        <v>20750</v>
      </c>
      <c r="AS46" s="1356"/>
      <c r="AT46" s="1537">
        <v>3000</v>
      </c>
      <c r="AU46" s="1356"/>
      <c r="AV46" s="1537">
        <v>16773</v>
      </c>
      <c r="AW46" s="1356"/>
      <c r="AX46" s="1537">
        <v>3273</v>
      </c>
      <c r="AY46" s="1356"/>
      <c r="AZ46" s="1537">
        <v>5912</v>
      </c>
      <c r="BA46" s="1356"/>
      <c r="BB46" s="1537">
        <v>23152</v>
      </c>
      <c r="BC46" s="1356"/>
      <c r="BD46" s="1537">
        <v>6630</v>
      </c>
      <c r="BE46" s="1356"/>
      <c r="BF46" s="1537">
        <v>6457</v>
      </c>
      <c r="BG46" s="1356"/>
      <c r="BH46" s="1537">
        <v>14045</v>
      </c>
      <c r="BI46" s="1356"/>
      <c r="BJ46" s="1537">
        <v>13968</v>
      </c>
      <c r="BK46" s="1356"/>
      <c r="BL46" s="1537">
        <v>19090</v>
      </c>
      <c r="BM46" s="1356"/>
      <c r="BN46" s="1537">
        <v>11567</v>
      </c>
      <c r="BO46" s="1356"/>
      <c r="BP46" s="1537">
        <v>4848</v>
      </c>
      <c r="BQ46" s="1356"/>
      <c r="BR46" s="1537">
        <v>16500</v>
      </c>
      <c r="BS46" s="1356"/>
      <c r="BT46" s="1537">
        <v>9749</v>
      </c>
      <c r="BU46" s="1356"/>
      <c r="BV46" s="1537">
        <v>4162</v>
      </c>
      <c r="BW46" s="1356"/>
      <c r="BX46" s="1537">
        <v>4417</v>
      </c>
      <c r="BY46" s="1356"/>
      <c r="BZ46" s="1537">
        <v>10541</v>
      </c>
      <c r="CA46" s="1356"/>
      <c r="CB46" s="1537">
        <v>15700</v>
      </c>
      <c r="CC46" s="1356"/>
      <c r="CD46" s="1537">
        <v>13670</v>
      </c>
      <c r="CE46" s="1356"/>
      <c r="CF46" s="1537">
        <v>15796</v>
      </c>
      <c r="CG46" s="1356"/>
      <c r="CH46" s="1537">
        <v>13990</v>
      </c>
      <c r="CI46" s="1356"/>
      <c r="CJ46" s="1537">
        <v>9240</v>
      </c>
      <c r="CK46" s="1356"/>
      <c r="CL46" s="1537">
        <v>19949</v>
      </c>
      <c r="CM46" s="1356"/>
      <c r="CN46" s="1537">
        <v>12762</v>
      </c>
      <c r="CO46" s="1356"/>
      <c r="CP46" s="1537">
        <v>10058</v>
      </c>
      <c r="CQ46" s="1356"/>
      <c r="CR46" s="1537">
        <v>23542</v>
      </c>
      <c r="CS46" s="1356"/>
      <c r="CT46" s="1537">
        <v>18635</v>
      </c>
      <c r="CU46" s="1356"/>
      <c r="CV46" s="1537">
        <v>15940</v>
      </c>
      <c r="CW46" s="1356"/>
      <c r="CX46" s="1537">
        <v>27480</v>
      </c>
      <c r="CY46" s="1356"/>
      <c r="CZ46" s="1537">
        <v>17325</v>
      </c>
      <c r="DA46" s="1356"/>
      <c r="DB46" s="1537">
        <v>13974</v>
      </c>
      <c r="DC46" s="1356"/>
      <c r="DD46" s="1537">
        <v>12872</v>
      </c>
      <c r="DE46" s="1356"/>
      <c r="DF46" s="1537">
        <v>27672</v>
      </c>
      <c r="DG46" s="1356"/>
      <c r="DH46" s="1537">
        <v>2448</v>
      </c>
      <c r="DI46" s="1356"/>
      <c r="DJ46" s="1537">
        <v>9287</v>
      </c>
      <c r="DK46" s="1356"/>
      <c r="DL46" s="1537">
        <v>10978</v>
      </c>
      <c r="DM46" s="1356"/>
      <c r="DN46" s="1537">
        <v>20300</v>
      </c>
      <c r="DO46" s="1356"/>
      <c r="DP46" s="1537">
        <v>18250</v>
      </c>
      <c r="DQ46" s="1356"/>
      <c r="DR46" s="1537">
        <v>17430</v>
      </c>
      <c r="DS46" s="1356"/>
      <c r="DT46" s="1537">
        <v>20572</v>
      </c>
      <c r="DU46" s="1356"/>
      <c r="DV46" s="1537">
        <v>11128</v>
      </c>
      <c r="DW46" s="1356"/>
      <c r="DX46" s="1537">
        <v>23075</v>
      </c>
      <c r="DY46" s="1356"/>
      <c r="DZ46" s="1537">
        <v>14774</v>
      </c>
      <c r="EA46" s="1356"/>
      <c r="EB46" s="1537">
        <v>27234</v>
      </c>
      <c r="EC46" s="1356"/>
      <c r="ED46" s="1537">
        <v>16240</v>
      </c>
      <c r="EE46" s="1356"/>
      <c r="EF46" s="1537">
        <v>20680</v>
      </c>
      <c r="EG46" s="1356"/>
      <c r="EH46" s="1537">
        <v>20527</v>
      </c>
      <c r="EI46" s="1356"/>
      <c r="EJ46" s="1537">
        <v>14600</v>
      </c>
      <c r="EK46" s="1356"/>
      <c r="EL46" s="1537">
        <v>22018</v>
      </c>
      <c r="EM46" s="1356"/>
      <c r="EN46" s="1537">
        <v>6434</v>
      </c>
      <c r="EO46" s="1356"/>
      <c r="EP46" s="1537">
        <v>8100</v>
      </c>
      <c r="EQ46" s="1356"/>
      <c r="ER46" s="1537">
        <v>6334</v>
      </c>
      <c r="ES46" s="1356"/>
      <c r="ET46" s="1537">
        <v>13734</v>
      </c>
      <c r="EU46" s="1356"/>
      <c r="EV46" s="1537">
        <v>3298</v>
      </c>
      <c r="EW46" s="1356"/>
      <c r="EX46" s="1537">
        <v>6310</v>
      </c>
      <c r="EY46" s="1356"/>
      <c r="EZ46" s="1537">
        <v>26880</v>
      </c>
      <c r="FA46" s="1356"/>
      <c r="FB46" s="1537">
        <v>6815</v>
      </c>
      <c r="FC46" s="1356"/>
      <c r="FD46" s="1537">
        <v>12100</v>
      </c>
      <c r="FE46" s="1356"/>
      <c r="FF46" s="1537">
        <v>5404</v>
      </c>
      <c r="FG46" s="1356"/>
      <c r="FH46" s="1537">
        <v>21987</v>
      </c>
      <c r="FI46" s="1356"/>
      <c r="FJ46" s="1537">
        <v>13325</v>
      </c>
      <c r="FK46" s="1356"/>
      <c r="FL46" s="1537">
        <v>26074</v>
      </c>
      <c r="FM46" s="1356"/>
      <c r="FN46" s="1537">
        <v>20921</v>
      </c>
      <c r="FO46" s="1356"/>
      <c r="FP46" s="1537">
        <v>5210</v>
      </c>
      <c r="FQ46" s="1356"/>
      <c r="FR46" s="1537">
        <v>11316</v>
      </c>
      <c r="FS46" s="1356"/>
      <c r="FT46" s="1537">
        <v>12851</v>
      </c>
      <c r="FU46" s="1356"/>
      <c r="FV46" s="1537">
        <v>28100</v>
      </c>
      <c r="FW46" s="1356"/>
      <c r="FX46" s="1537">
        <v>10386</v>
      </c>
      <c r="FY46" s="1356"/>
      <c r="FZ46" s="1537">
        <v>10500</v>
      </c>
      <c r="GA46" s="1356"/>
      <c r="GB46" s="1537">
        <v>13799</v>
      </c>
      <c r="GC46" s="1356"/>
      <c r="GD46" s="1537">
        <v>19257</v>
      </c>
      <c r="GE46" s="1356"/>
      <c r="GF46" s="1537">
        <v>11168</v>
      </c>
      <c r="GG46" s="1356"/>
      <c r="GH46" s="1537">
        <v>11770</v>
      </c>
      <c r="GI46" s="1356"/>
      <c r="GJ46" s="1537">
        <v>19950</v>
      </c>
      <c r="GK46" s="1356"/>
      <c r="GL46" s="1537">
        <v>7449</v>
      </c>
      <c r="GM46" s="1356"/>
      <c r="GN46" s="1537">
        <v>4792</v>
      </c>
      <c r="GO46" s="1356"/>
      <c r="GP46" s="1537">
        <v>12756</v>
      </c>
      <c r="GQ46" s="1356"/>
      <c r="GR46" s="1537">
        <v>8946</v>
      </c>
      <c r="GS46" s="1356"/>
      <c r="GT46" s="1537">
        <v>5334</v>
      </c>
      <c r="GU46" s="1356"/>
      <c r="GV46" s="1537">
        <v>10440</v>
      </c>
      <c r="GW46" s="1356"/>
      <c r="GX46" s="1537">
        <v>5918</v>
      </c>
      <c r="GY46" s="1356"/>
      <c r="GZ46" s="1537">
        <v>16364</v>
      </c>
      <c r="HA46" s="1356"/>
      <c r="HB46" s="1537">
        <v>8000</v>
      </c>
      <c r="HC46" s="1356"/>
      <c r="HD46" s="1537">
        <v>21244</v>
      </c>
      <c r="HE46" s="1356"/>
      <c r="HF46" s="2012">
        <v>24610</v>
      </c>
      <c r="HH46" s="1537">
        <v>25000</v>
      </c>
      <c r="HI46" s="1356"/>
      <c r="HJ46" s="1537">
        <v>5808</v>
      </c>
      <c r="HK46" s="1356"/>
      <c r="HL46" s="1537">
        <v>9216</v>
      </c>
      <c r="HM46" s="1356"/>
      <c r="HN46" s="1537">
        <v>15250</v>
      </c>
      <c r="HO46" s="1356"/>
      <c r="HP46" s="2012">
        <v>18611</v>
      </c>
      <c r="HR46" s="1537">
        <v>5878</v>
      </c>
      <c r="HS46" s="1356"/>
      <c r="HT46" s="2012">
        <v>16621</v>
      </c>
      <c r="HV46" s="2012">
        <v>24577</v>
      </c>
      <c r="HX46" s="2012">
        <v>17768</v>
      </c>
      <c r="HZ46" s="2012">
        <v>12148</v>
      </c>
      <c r="IB46" s="1537">
        <v>11650</v>
      </c>
      <c r="IC46" s="1356"/>
      <c r="ID46" s="2012">
        <v>7920</v>
      </c>
      <c r="IF46" s="2012">
        <v>7103</v>
      </c>
    </row>
    <row r="47" spans="1:241">
      <c r="A47" s="1149"/>
      <c r="B47" s="1149"/>
      <c r="C47" s="1149"/>
      <c r="D47" s="1149"/>
      <c r="E47" s="1143"/>
      <c r="F47" s="1699"/>
      <c r="G47" s="1356"/>
      <c r="H47" s="1699"/>
      <c r="I47" s="1356"/>
      <c r="J47" s="1699"/>
      <c r="K47" s="1356"/>
      <c r="L47" s="1699"/>
      <c r="M47" s="1356"/>
      <c r="N47" s="1699"/>
      <c r="O47" s="1356"/>
      <c r="P47" s="1699"/>
      <c r="Q47" s="1356"/>
      <c r="R47" s="1699"/>
      <c r="T47" s="1699"/>
      <c r="U47" s="1356"/>
      <c r="V47" s="1699"/>
      <c r="W47" s="1356"/>
      <c r="X47" s="1699"/>
      <c r="Y47" s="1356"/>
      <c r="Z47" s="1699"/>
      <c r="AA47" s="1356"/>
      <c r="AB47" s="1699"/>
      <c r="AC47" s="1356"/>
      <c r="AD47" s="1699"/>
      <c r="AE47" s="1356"/>
      <c r="AF47" s="1699"/>
      <c r="AG47" s="1356"/>
      <c r="AH47" s="1699"/>
      <c r="AI47" s="1356"/>
      <c r="AJ47" s="1699"/>
      <c r="AK47" s="1356"/>
      <c r="AL47" s="1699"/>
      <c r="AM47" s="1356"/>
      <c r="AN47" s="1699"/>
      <c r="AO47" s="1356"/>
      <c r="AP47" s="1699"/>
      <c r="AQ47" s="1356"/>
      <c r="AR47" s="1699"/>
      <c r="AS47" s="1356"/>
      <c r="AT47" s="1699"/>
      <c r="AU47" s="1356"/>
      <c r="AV47" s="1699"/>
      <c r="AW47" s="1356"/>
      <c r="AX47" s="1699"/>
      <c r="AY47" s="1356"/>
      <c r="AZ47" s="1699"/>
      <c r="BA47" s="1356"/>
      <c r="BB47" s="1699"/>
      <c r="BC47" s="1356"/>
      <c r="BD47" s="1699"/>
      <c r="BE47" s="1356"/>
      <c r="BF47" s="1699"/>
      <c r="BG47" s="1356"/>
      <c r="BH47" s="1699"/>
      <c r="BI47" s="1356"/>
      <c r="BJ47" s="1699"/>
      <c r="BK47" s="1356"/>
      <c r="BL47" s="1699"/>
      <c r="BM47" s="1356"/>
      <c r="BN47" s="1699"/>
      <c r="BO47" s="1356"/>
      <c r="BP47" s="1699"/>
      <c r="BQ47" s="1356"/>
      <c r="BR47" s="1699"/>
      <c r="BS47" s="1356"/>
      <c r="BT47" s="1699"/>
      <c r="BU47" s="1356"/>
      <c r="BV47" s="1699"/>
      <c r="BW47" s="1356"/>
      <c r="BX47" s="1699"/>
      <c r="BY47" s="1356"/>
      <c r="BZ47" s="1699"/>
      <c r="CA47" s="1356"/>
      <c r="CB47" s="1699"/>
      <c r="CC47" s="1356"/>
      <c r="CD47" s="1699"/>
      <c r="CE47" s="1356"/>
      <c r="CF47" s="1699"/>
      <c r="CG47" s="1356"/>
      <c r="CH47" s="1699"/>
      <c r="CI47" s="1356"/>
      <c r="CJ47" s="1699"/>
      <c r="CK47" s="1356"/>
      <c r="CL47" s="1699"/>
      <c r="CM47" s="1356"/>
      <c r="CN47" s="1699"/>
      <c r="CO47" s="1356"/>
      <c r="CP47" s="1699"/>
      <c r="CQ47" s="1356"/>
      <c r="CR47" s="1699"/>
      <c r="CS47" s="1356"/>
      <c r="CT47" s="1699"/>
      <c r="CU47" s="1356"/>
      <c r="CV47" s="1699"/>
      <c r="CW47" s="1356"/>
      <c r="CX47" s="1699"/>
      <c r="CY47" s="1356"/>
      <c r="CZ47" s="1699"/>
      <c r="DA47" s="1356"/>
      <c r="DB47" s="1699"/>
      <c r="DC47" s="1356"/>
      <c r="DD47" s="1699"/>
      <c r="DE47" s="1356"/>
      <c r="DF47" s="1699"/>
      <c r="DG47" s="1356"/>
      <c r="DH47" s="1699"/>
      <c r="DI47" s="1356"/>
      <c r="DJ47" s="1699"/>
      <c r="DK47" s="1356"/>
      <c r="DL47" s="1699"/>
      <c r="DM47" s="1356"/>
      <c r="DN47" s="1699"/>
      <c r="DO47" s="1356"/>
      <c r="DP47" s="1699"/>
      <c r="DQ47" s="1356"/>
      <c r="DR47" s="1699"/>
      <c r="DS47" s="1356"/>
      <c r="DT47" s="1699"/>
      <c r="DU47" s="1356"/>
      <c r="DV47" s="1699"/>
      <c r="DW47" s="1356"/>
      <c r="DX47" s="1699"/>
      <c r="DY47" s="1356"/>
      <c r="DZ47" s="1699"/>
      <c r="EA47" s="1356"/>
      <c r="EB47" s="1699"/>
      <c r="EC47" s="1356"/>
      <c r="ED47" s="1699"/>
      <c r="EE47" s="1356"/>
      <c r="EF47" s="1699"/>
      <c r="EG47" s="1356"/>
      <c r="EH47" s="1699"/>
      <c r="EI47" s="1356"/>
      <c r="EJ47" s="1699"/>
      <c r="EK47" s="1356"/>
      <c r="EL47" s="1699"/>
      <c r="EM47" s="1356"/>
      <c r="EN47" s="1699"/>
      <c r="EO47" s="1356"/>
      <c r="EP47" s="1699"/>
      <c r="EQ47" s="1356"/>
      <c r="ER47" s="1699"/>
      <c r="ES47" s="1356"/>
      <c r="ET47" s="1699"/>
      <c r="EU47" s="1356"/>
      <c r="EV47" s="1699"/>
      <c r="EW47" s="1356"/>
      <c r="EX47" s="1699"/>
      <c r="EY47" s="1356"/>
      <c r="EZ47" s="1699"/>
      <c r="FA47" s="1356"/>
      <c r="FB47" s="1699"/>
      <c r="FC47" s="1356"/>
      <c r="FD47" s="1699"/>
      <c r="FE47" s="1356"/>
      <c r="FF47" s="1699"/>
      <c r="FG47" s="1356"/>
      <c r="FH47" s="1699"/>
      <c r="FI47" s="1356"/>
      <c r="FJ47" s="1699"/>
      <c r="FK47" s="1356"/>
      <c r="FL47" s="1699"/>
      <c r="FM47" s="1356"/>
      <c r="FN47" s="1699"/>
      <c r="FO47" s="1356"/>
      <c r="FP47" s="1699"/>
      <c r="FQ47" s="1356"/>
      <c r="FR47" s="1699"/>
      <c r="FS47" s="1356"/>
      <c r="FT47" s="1699"/>
      <c r="FU47" s="1356"/>
      <c r="FV47" s="1699"/>
      <c r="FW47" s="1356"/>
      <c r="FX47" s="1699"/>
      <c r="FY47" s="1356"/>
      <c r="FZ47" s="1699"/>
      <c r="GA47" s="1356"/>
      <c r="GB47" s="1699"/>
      <c r="GC47" s="1356"/>
      <c r="GD47" s="1699"/>
      <c r="GE47" s="1356"/>
      <c r="GF47" s="1699"/>
      <c r="GG47" s="1356"/>
      <c r="GH47" s="1699"/>
      <c r="GI47" s="1356"/>
      <c r="GJ47" s="1699"/>
      <c r="GK47" s="1356"/>
      <c r="GL47" s="1699"/>
      <c r="GM47" s="1356"/>
      <c r="GN47" s="1699"/>
      <c r="GO47" s="1356"/>
      <c r="GP47" s="1699"/>
      <c r="GQ47" s="1356"/>
      <c r="GR47" s="1699"/>
      <c r="GS47" s="1356"/>
      <c r="GT47" s="1699"/>
      <c r="GU47" s="1356"/>
      <c r="GV47" s="1699"/>
      <c r="GW47" s="1356"/>
      <c r="GX47" s="1699"/>
      <c r="GY47" s="1356"/>
      <c r="GZ47" s="1699"/>
      <c r="HA47" s="1356"/>
      <c r="HB47" s="1699"/>
      <c r="HC47" s="1356"/>
      <c r="HD47" s="1699"/>
      <c r="HE47" s="1356"/>
      <c r="HF47" s="2014"/>
      <c r="HH47" s="1699"/>
      <c r="HI47" s="1356"/>
      <c r="HJ47" s="1699"/>
      <c r="HK47" s="1356"/>
      <c r="HL47" s="1699"/>
      <c r="HM47" s="1356"/>
      <c r="HN47" s="1699"/>
      <c r="HO47" s="1356"/>
      <c r="HP47" s="2014"/>
      <c r="HR47" s="1699"/>
      <c r="HS47" s="1356"/>
      <c r="HT47" s="2014"/>
      <c r="HV47" s="2014"/>
      <c r="HX47" s="2014"/>
      <c r="HZ47" s="2014"/>
      <c r="IB47" s="1699"/>
      <c r="IC47" s="1356"/>
      <c r="ID47" s="2014"/>
      <c r="IF47" s="2014"/>
    </row>
    <row r="48" spans="1:241" hidden="1">
      <c r="A48" s="1151"/>
      <c r="B48" s="1151"/>
      <c r="C48" s="1151" t="s">
        <v>1215</v>
      </c>
      <c r="D48" s="1151"/>
      <c r="E48" s="1152"/>
      <c r="F48" s="1703" t="s">
        <v>1208</v>
      </c>
      <c r="G48" s="1704"/>
      <c r="H48" s="1703" t="s">
        <v>1208</v>
      </c>
      <c r="I48" s="1704"/>
      <c r="J48" s="1703" t="s">
        <v>1208</v>
      </c>
      <c r="K48" s="1704"/>
      <c r="L48" s="1703" t="s">
        <v>1208</v>
      </c>
      <c r="M48" s="1704"/>
      <c r="N48" s="1703" t="s">
        <v>1208</v>
      </c>
      <c r="O48" s="1704"/>
      <c r="P48" s="1703" t="s">
        <v>1208</v>
      </c>
      <c r="Q48" s="1704"/>
      <c r="R48" s="1703" t="s">
        <v>1208</v>
      </c>
      <c r="S48" s="1704"/>
      <c r="T48" s="1703" t="s">
        <v>1208</v>
      </c>
      <c r="U48" s="1704"/>
      <c r="V48" s="1703" t="s">
        <v>1208</v>
      </c>
      <c r="W48" s="1704"/>
      <c r="X48" s="1703" t="s">
        <v>1208</v>
      </c>
      <c r="Y48" s="1704"/>
      <c r="Z48" s="1703" t="s">
        <v>1208</v>
      </c>
      <c r="AA48" s="1704"/>
      <c r="AB48" s="1703" t="s">
        <v>1208</v>
      </c>
      <c r="AC48" s="1704"/>
      <c r="AD48" s="1703" t="s">
        <v>1208</v>
      </c>
      <c r="AE48" s="1704"/>
      <c r="AF48" s="1703" t="s">
        <v>1208</v>
      </c>
      <c r="AG48" s="1704"/>
      <c r="AH48" s="1703" t="s">
        <v>1208</v>
      </c>
      <c r="AI48" s="1704"/>
      <c r="AJ48" s="1703" t="s">
        <v>1208</v>
      </c>
      <c r="AK48" s="1704"/>
      <c r="AL48" s="1703" t="s">
        <v>1208</v>
      </c>
      <c r="AM48" s="1704"/>
      <c r="AN48" s="1703" t="s">
        <v>1208</v>
      </c>
      <c r="AO48" s="1704"/>
      <c r="AP48" s="1703" t="s">
        <v>1208</v>
      </c>
      <c r="AQ48" s="1704"/>
      <c r="AR48" s="1703" t="s">
        <v>1208</v>
      </c>
      <c r="AS48" s="1704"/>
      <c r="AT48" s="1703" t="s">
        <v>1208</v>
      </c>
      <c r="AU48" s="1704"/>
      <c r="AV48" s="1703" t="s">
        <v>1208</v>
      </c>
      <c r="AW48" s="1704"/>
      <c r="AX48" s="1703" t="s">
        <v>1208</v>
      </c>
      <c r="AY48" s="1704"/>
      <c r="AZ48" s="1703" t="s">
        <v>1208</v>
      </c>
      <c r="BA48" s="1704"/>
      <c r="BB48" s="1703" t="s">
        <v>1208</v>
      </c>
      <c r="BC48" s="1704"/>
      <c r="BD48" s="1703" t="s">
        <v>1208</v>
      </c>
      <c r="BE48" s="1704"/>
      <c r="BF48" s="1703" t="s">
        <v>1208</v>
      </c>
      <c r="BG48" s="1704"/>
      <c r="BH48" s="1703" t="s">
        <v>1208</v>
      </c>
      <c r="BI48" s="1704"/>
      <c r="BJ48" s="1703" t="s">
        <v>1208</v>
      </c>
      <c r="BK48" s="1704"/>
      <c r="BL48" s="1703" t="s">
        <v>1208</v>
      </c>
      <c r="BM48" s="1704"/>
      <c r="BN48" s="1703" t="s">
        <v>1208</v>
      </c>
      <c r="BO48" s="1704"/>
      <c r="BP48" s="1703" t="s">
        <v>1208</v>
      </c>
      <c r="BQ48" s="1704"/>
      <c r="BR48" s="1703" t="s">
        <v>1208</v>
      </c>
      <c r="BS48" s="1704"/>
      <c r="BT48" s="1703" t="s">
        <v>1208</v>
      </c>
      <c r="BU48" s="1704"/>
      <c r="BV48" s="1703" t="s">
        <v>1208</v>
      </c>
      <c r="BW48" s="1704"/>
      <c r="BX48" s="1703" t="s">
        <v>1208</v>
      </c>
      <c r="BY48" s="1704"/>
      <c r="BZ48" s="1703" t="s">
        <v>1208</v>
      </c>
      <c r="CA48" s="1704"/>
      <c r="CB48" s="1703" t="s">
        <v>1208</v>
      </c>
      <c r="CC48" s="1704"/>
      <c r="CD48" s="1703" t="s">
        <v>1208</v>
      </c>
      <c r="CE48" s="1704"/>
      <c r="CF48" s="1703" t="s">
        <v>1208</v>
      </c>
      <c r="CG48" s="1704"/>
      <c r="CH48" s="1703" t="s">
        <v>1208</v>
      </c>
      <c r="CI48" s="1704"/>
      <c r="CJ48" s="1703" t="s">
        <v>1208</v>
      </c>
      <c r="CK48" s="1704"/>
      <c r="CL48" s="1703" t="s">
        <v>1208</v>
      </c>
      <c r="CM48" s="1704"/>
      <c r="CN48" s="1703" t="s">
        <v>1208</v>
      </c>
      <c r="CO48" s="1704"/>
      <c r="CP48" s="1703" t="s">
        <v>1208</v>
      </c>
      <c r="CQ48" s="1704"/>
      <c r="CR48" s="1703" t="s">
        <v>1208</v>
      </c>
      <c r="CS48" s="1704"/>
      <c r="CT48" s="1703" t="s">
        <v>1208</v>
      </c>
      <c r="CU48" s="1704"/>
      <c r="CV48" s="1703" t="s">
        <v>1208</v>
      </c>
      <c r="CW48" s="1704"/>
      <c r="CX48" s="1703" t="s">
        <v>1208</v>
      </c>
      <c r="CY48" s="1704"/>
      <c r="CZ48" s="1703" t="s">
        <v>1208</v>
      </c>
      <c r="DA48" s="1704"/>
      <c r="DB48" s="1703" t="s">
        <v>1208</v>
      </c>
      <c r="DC48" s="1704"/>
      <c r="DD48" s="1703" t="s">
        <v>1208</v>
      </c>
      <c r="DE48" s="1704"/>
      <c r="DF48" s="1703" t="s">
        <v>1208</v>
      </c>
      <c r="DG48" s="1704"/>
      <c r="DH48" s="1703" t="s">
        <v>1208</v>
      </c>
      <c r="DI48" s="1704"/>
      <c r="DJ48" s="1703" t="s">
        <v>1208</v>
      </c>
      <c r="DK48" s="1704"/>
      <c r="DL48" s="1703" t="s">
        <v>1208</v>
      </c>
      <c r="DM48" s="1704"/>
      <c r="DN48" s="1703" t="s">
        <v>1208</v>
      </c>
      <c r="DO48" s="1704"/>
      <c r="DP48" s="1703" t="s">
        <v>1208</v>
      </c>
      <c r="DQ48" s="1704"/>
      <c r="DR48" s="1703" t="s">
        <v>1208</v>
      </c>
      <c r="DS48" s="1704"/>
      <c r="DT48" s="1703" t="s">
        <v>1208</v>
      </c>
      <c r="DU48" s="1704"/>
      <c r="DV48" s="1703" t="s">
        <v>1208</v>
      </c>
      <c r="DW48" s="1704"/>
      <c r="DX48" s="1703" t="s">
        <v>1208</v>
      </c>
      <c r="DY48" s="1704"/>
      <c r="DZ48" s="1703" t="s">
        <v>1208</v>
      </c>
      <c r="EA48" s="1704"/>
      <c r="EB48" s="1703" t="s">
        <v>1208</v>
      </c>
      <c r="EC48" s="1704"/>
      <c r="ED48" s="1703" t="s">
        <v>1208</v>
      </c>
      <c r="EE48" s="1704"/>
      <c r="EF48" s="1703" t="s">
        <v>1208</v>
      </c>
      <c r="EG48" s="1704"/>
      <c r="EH48" s="1703" t="s">
        <v>1208</v>
      </c>
      <c r="EI48" s="1704"/>
      <c r="EJ48" s="1703" t="s">
        <v>1208</v>
      </c>
      <c r="EK48" s="1704"/>
      <c r="EL48" s="1703" t="s">
        <v>1208</v>
      </c>
      <c r="EM48" s="1704"/>
      <c r="EN48" s="1703" t="s">
        <v>1208</v>
      </c>
      <c r="EO48" s="1704"/>
      <c r="EP48" s="1703" t="s">
        <v>1208</v>
      </c>
      <c r="EQ48" s="1704"/>
      <c r="ER48" s="1703" t="s">
        <v>1208</v>
      </c>
      <c r="ES48" s="1704"/>
      <c r="ET48" s="1703" t="s">
        <v>1208</v>
      </c>
      <c r="EU48" s="1704"/>
      <c r="EV48" s="1703" t="s">
        <v>1208</v>
      </c>
      <c r="EW48" s="1704"/>
      <c r="EX48" s="1703" t="s">
        <v>1208</v>
      </c>
      <c r="EY48" s="1704"/>
      <c r="EZ48" s="1703" t="s">
        <v>1208</v>
      </c>
      <c r="FA48" s="1704"/>
      <c r="FB48" s="1703" t="s">
        <v>1208</v>
      </c>
      <c r="FC48" s="1704"/>
      <c r="FD48" s="1703" t="s">
        <v>1208</v>
      </c>
      <c r="FE48" s="1704"/>
      <c r="FF48" s="1703" t="s">
        <v>1208</v>
      </c>
      <c r="FG48" s="1704"/>
      <c r="FH48" s="1703" t="s">
        <v>1208</v>
      </c>
      <c r="FI48" s="1704"/>
      <c r="FJ48" s="1703" t="s">
        <v>1208</v>
      </c>
      <c r="FK48" s="1704"/>
      <c r="FL48" s="1703" t="s">
        <v>1208</v>
      </c>
      <c r="FM48" s="1704"/>
      <c r="FN48" s="1703" t="s">
        <v>1208</v>
      </c>
      <c r="FO48" s="1704"/>
      <c r="FP48" s="1703" t="s">
        <v>1208</v>
      </c>
      <c r="FQ48" s="1704"/>
      <c r="FR48" s="1703" t="s">
        <v>1208</v>
      </c>
      <c r="FS48" s="1704"/>
      <c r="FT48" s="1703" t="s">
        <v>1208</v>
      </c>
      <c r="FU48" s="1704"/>
      <c r="FV48" s="1703" t="s">
        <v>1208</v>
      </c>
      <c r="FW48" s="1704"/>
      <c r="FX48" s="1703" t="s">
        <v>1208</v>
      </c>
      <c r="FY48" s="1704"/>
      <c r="FZ48" s="1703" t="s">
        <v>1208</v>
      </c>
      <c r="GA48" s="1704"/>
      <c r="GB48" s="1703" t="s">
        <v>1208</v>
      </c>
      <c r="GC48" s="1704"/>
      <c r="GD48" s="1703" t="s">
        <v>1208</v>
      </c>
      <c r="GE48" s="1704"/>
      <c r="GF48" s="1703" t="s">
        <v>1208</v>
      </c>
      <c r="GG48" s="1704"/>
      <c r="GH48" s="1703" t="s">
        <v>1208</v>
      </c>
      <c r="GI48" s="1704"/>
      <c r="GJ48" s="1703" t="s">
        <v>1208</v>
      </c>
      <c r="GK48" s="1704"/>
      <c r="GL48" s="1703" t="s">
        <v>1208</v>
      </c>
      <c r="GM48" s="1704"/>
      <c r="GN48" s="1703" t="s">
        <v>1208</v>
      </c>
      <c r="GO48" s="1704"/>
      <c r="GP48" s="1703" t="s">
        <v>1208</v>
      </c>
      <c r="GQ48" s="1704"/>
      <c r="GR48" s="1703" t="s">
        <v>1208</v>
      </c>
      <c r="GS48" s="1704"/>
      <c r="GT48" s="1703" t="s">
        <v>1208</v>
      </c>
      <c r="GU48" s="1704"/>
      <c r="GV48" s="1703" t="s">
        <v>1208</v>
      </c>
      <c r="GW48" s="1704"/>
      <c r="GX48" s="1703" t="s">
        <v>1208</v>
      </c>
      <c r="GY48" s="1704"/>
      <c r="GZ48" s="1703" t="s">
        <v>1208</v>
      </c>
      <c r="HA48" s="1704"/>
      <c r="HB48" s="1703" t="s">
        <v>1208</v>
      </c>
      <c r="HC48" s="1704"/>
      <c r="HD48" s="1703" t="s">
        <v>1208</v>
      </c>
      <c r="HE48" s="1704"/>
      <c r="HF48" s="2020" t="s">
        <v>1208</v>
      </c>
      <c r="HG48" s="2021"/>
      <c r="HH48" s="1703" t="s">
        <v>1208</v>
      </c>
      <c r="HI48" s="1704"/>
      <c r="HJ48" s="1703" t="s">
        <v>1208</v>
      </c>
      <c r="HK48" s="1704"/>
      <c r="HL48" s="1703" t="s">
        <v>1208</v>
      </c>
      <c r="HM48" s="1704"/>
      <c r="HN48" s="1703" t="s">
        <v>1208</v>
      </c>
      <c r="HO48" s="1704"/>
      <c r="HP48" s="2020" t="s">
        <v>1208</v>
      </c>
      <c r="HQ48" s="2021"/>
      <c r="HR48" s="1703" t="s">
        <v>1208</v>
      </c>
      <c r="HS48" s="1704"/>
      <c r="HT48" s="2020" t="s">
        <v>1208</v>
      </c>
      <c r="HU48" s="2021"/>
      <c r="HV48" s="2020" t="s">
        <v>1208</v>
      </c>
      <c r="HW48" s="2021"/>
      <c r="HX48" s="2020" t="s">
        <v>1208</v>
      </c>
      <c r="HY48" s="2021"/>
      <c r="HZ48" s="2020" t="s">
        <v>1208</v>
      </c>
      <c r="IA48" s="2021"/>
      <c r="IB48" s="1703" t="s">
        <v>1208</v>
      </c>
      <c r="IC48" s="1704"/>
      <c r="ID48" s="2020" t="s">
        <v>1208</v>
      </c>
      <c r="IE48" s="2021"/>
      <c r="IF48" s="2020" t="s">
        <v>1208</v>
      </c>
      <c r="IG48" s="2021"/>
    </row>
    <row r="49" spans="1:241" hidden="1">
      <c r="A49" s="1151"/>
      <c r="B49" s="1151"/>
      <c r="C49" s="1151" t="s">
        <v>1216</v>
      </c>
      <c r="D49" s="1151"/>
      <c r="E49" s="1152"/>
      <c r="F49" s="1703" t="s">
        <v>1208</v>
      </c>
      <c r="G49" s="1704"/>
      <c r="H49" s="1703" t="s">
        <v>1208</v>
      </c>
      <c r="I49" s="1704"/>
      <c r="J49" s="1703" t="s">
        <v>1208</v>
      </c>
      <c r="K49" s="1704"/>
      <c r="L49" s="1703" t="s">
        <v>1208</v>
      </c>
      <c r="M49" s="1704"/>
      <c r="N49" s="1703" t="s">
        <v>1208</v>
      </c>
      <c r="O49" s="1704"/>
      <c r="P49" s="1703" t="s">
        <v>1208</v>
      </c>
      <c r="Q49" s="1704"/>
      <c r="R49" s="1703" t="s">
        <v>1208</v>
      </c>
      <c r="S49" s="1704"/>
      <c r="T49" s="1703" t="s">
        <v>1208</v>
      </c>
      <c r="U49" s="1704"/>
      <c r="V49" s="1703" t="s">
        <v>1208</v>
      </c>
      <c r="W49" s="1704"/>
      <c r="X49" s="1703" t="s">
        <v>1208</v>
      </c>
      <c r="Y49" s="1704"/>
      <c r="Z49" s="1703" t="s">
        <v>1208</v>
      </c>
      <c r="AA49" s="1704"/>
      <c r="AB49" s="1703" t="s">
        <v>1208</v>
      </c>
      <c r="AC49" s="1704"/>
      <c r="AD49" s="1703" t="s">
        <v>1208</v>
      </c>
      <c r="AE49" s="1704"/>
      <c r="AF49" s="1703" t="s">
        <v>1208</v>
      </c>
      <c r="AG49" s="1704"/>
      <c r="AH49" s="1703" t="s">
        <v>1208</v>
      </c>
      <c r="AI49" s="1704"/>
      <c r="AJ49" s="1703" t="s">
        <v>1208</v>
      </c>
      <c r="AK49" s="1704"/>
      <c r="AL49" s="1703" t="s">
        <v>1208</v>
      </c>
      <c r="AM49" s="1704"/>
      <c r="AN49" s="1703" t="s">
        <v>1208</v>
      </c>
      <c r="AO49" s="1704"/>
      <c r="AP49" s="1703" t="s">
        <v>1208</v>
      </c>
      <c r="AQ49" s="1704"/>
      <c r="AR49" s="1703" t="s">
        <v>1208</v>
      </c>
      <c r="AS49" s="1704"/>
      <c r="AT49" s="1703" t="s">
        <v>1208</v>
      </c>
      <c r="AU49" s="1704"/>
      <c r="AV49" s="1703" t="s">
        <v>1208</v>
      </c>
      <c r="AW49" s="1704"/>
      <c r="AX49" s="1703" t="s">
        <v>1208</v>
      </c>
      <c r="AY49" s="1704"/>
      <c r="AZ49" s="1703" t="s">
        <v>1208</v>
      </c>
      <c r="BA49" s="1704"/>
      <c r="BB49" s="1703" t="s">
        <v>1208</v>
      </c>
      <c r="BC49" s="1704"/>
      <c r="BD49" s="1703" t="s">
        <v>1208</v>
      </c>
      <c r="BE49" s="1704"/>
      <c r="BF49" s="1703" t="s">
        <v>1208</v>
      </c>
      <c r="BG49" s="1704"/>
      <c r="BH49" s="1703" t="s">
        <v>1208</v>
      </c>
      <c r="BI49" s="1704"/>
      <c r="BJ49" s="1703" t="s">
        <v>1208</v>
      </c>
      <c r="BK49" s="1704"/>
      <c r="BL49" s="1703" t="s">
        <v>1208</v>
      </c>
      <c r="BM49" s="1704"/>
      <c r="BN49" s="1703" t="s">
        <v>1208</v>
      </c>
      <c r="BO49" s="1704"/>
      <c r="BP49" s="1703" t="s">
        <v>1208</v>
      </c>
      <c r="BQ49" s="1704"/>
      <c r="BR49" s="1703" t="s">
        <v>1208</v>
      </c>
      <c r="BS49" s="1704"/>
      <c r="BT49" s="1703" t="s">
        <v>1208</v>
      </c>
      <c r="BU49" s="1704"/>
      <c r="BV49" s="1703" t="s">
        <v>1208</v>
      </c>
      <c r="BW49" s="1704"/>
      <c r="BX49" s="1703" t="s">
        <v>1208</v>
      </c>
      <c r="BY49" s="1704"/>
      <c r="BZ49" s="1703" t="s">
        <v>1208</v>
      </c>
      <c r="CA49" s="1704"/>
      <c r="CB49" s="1703" t="s">
        <v>1208</v>
      </c>
      <c r="CC49" s="1704"/>
      <c r="CD49" s="1703" t="s">
        <v>1208</v>
      </c>
      <c r="CE49" s="1704"/>
      <c r="CF49" s="1703" t="s">
        <v>1208</v>
      </c>
      <c r="CG49" s="1704"/>
      <c r="CH49" s="1703" t="s">
        <v>1208</v>
      </c>
      <c r="CI49" s="1704"/>
      <c r="CJ49" s="1703" t="s">
        <v>1208</v>
      </c>
      <c r="CK49" s="1704"/>
      <c r="CL49" s="1703" t="s">
        <v>1208</v>
      </c>
      <c r="CM49" s="1704"/>
      <c r="CN49" s="1703" t="s">
        <v>1208</v>
      </c>
      <c r="CO49" s="1704"/>
      <c r="CP49" s="1703" t="s">
        <v>1208</v>
      </c>
      <c r="CQ49" s="1704"/>
      <c r="CR49" s="1703" t="s">
        <v>1208</v>
      </c>
      <c r="CS49" s="1704"/>
      <c r="CT49" s="1703" t="s">
        <v>1208</v>
      </c>
      <c r="CU49" s="1704"/>
      <c r="CV49" s="1703" t="s">
        <v>1208</v>
      </c>
      <c r="CW49" s="1704"/>
      <c r="CX49" s="1703" t="s">
        <v>1208</v>
      </c>
      <c r="CY49" s="1704"/>
      <c r="CZ49" s="1703" t="s">
        <v>1208</v>
      </c>
      <c r="DA49" s="1704"/>
      <c r="DB49" s="1703" t="s">
        <v>1208</v>
      </c>
      <c r="DC49" s="1704"/>
      <c r="DD49" s="1703" t="s">
        <v>1208</v>
      </c>
      <c r="DE49" s="1704"/>
      <c r="DF49" s="1703" t="s">
        <v>1208</v>
      </c>
      <c r="DG49" s="1704"/>
      <c r="DH49" s="1703" t="s">
        <v>1208</v>
      </c>
      <c r="DI49" s="1704"/>
      <c r="DJ49" s="1703" t="s">
        <v>1208</v>
      </c>
      <c r="DK49" s="1704"/>
      <c r="DL49" s="1703" t="s">
        <v>1208</v>
      </c>
      <c r="DM49" s="1704"/>
      <c r="DN49" s="1703" t="s">
        <v>1208</v>
      </c>
      <c r="DO49" s="1704"/>
      <c r="DP49" s="1703" t="s">
        <v>1208</v>
      </c>
      <c r="DQ49" s="1704"/>
      <c r="DR49" s="1703" t="s">
        <v>1208</v>
      </c>
      <c r="DS49" s="1704"/>
      <c r="DT49" s="1703" t="s">
        <v>1208</v>
      </c>
      <c r="DU49" s="1704"/>
      <c r="DV49" s="1703" t="s">
        <v>1208</v>
      </c>
      <c r="DW49" s="1704"/>
      <c r="DX49" s="1703" t="s">
        <v>1208</v>
      </c>
      <c r="DY49" s="1704"/>
      <c r="DZ49" s="1703" t="s">
        <v>1208</v>
      </c>
      <c r="EA49" s="1704"/>
      <c r="EB49" s="1703" t="s">
        <v>1208</v>
      </c>
      <c r="EC49" s="1704"/>
      <c r="ED49" s="1703" t="s">
        <v>1208</v>
      </c>
      <c r="EE49" s="1704"/>
      <c r="EF49" s="1703" t="s">
        <v>1208</v>
      </c>
      <c r="EG49" s="1704"/>
      <c r="EH49" s="1703" t="s">
        <v>1208</v>
      </c>
      <c r="EI49" s="1704"/>
      <c r="EJ49" s="1703" t="s">
        <v>1208</v>
      </c>
      <c r="EK49" s="1704"/>
      <c r="EL49" s="1703" t="s">
        <v>1208</v>
      </c>
      <c r="EM49" s="1704"/>
      <c r="EN49" s="1703" t="s">
        <v>1208</v>
      </c>
      <c r="EO49" s="1704"/>
      <c r="EP49" s="1703" t="s">
        <v>1208</v>
      </c>
      <c r="EQ49" s="1704"/>
      <c r="ER49" s="1703" t="s">
        <v>1208</v>
      </c>
      <c r="ES49" s="1704"/>
      <c r="ET49" s="1703" t="s">
        <v>1208</v>
      </c>
      <c r="EU49" s="1704"/>
      <c r="EV49" s="1703" t="s">
        <v>1208</v>
      </c>
      <c r="EW49" s="1704"/>
      <c r="EX49" s="1703" t="s">
        <v>1208</v>
      </c>
      <c r="EY49" s="1704"/>
      <c r="EZ49" s="1703" t="s">
        <v>1208</v>
      </c>
      <c r="FA49" s="1704"/>
      <c r="FB49" s="1703" t="s">
        <v>1208</v>
      </c>
      <c r="FC49" s="1704"/>
      <c r="FD49" s="1703" t="s">
        <v>1208</v>
      </c>
      <c r="FE49" s="1704"/>
      <c r="FF49" s="1703" t="s">
        <v>1208</v>
      </c>
      <c r="FG49" s="1704"/>
      <c r="FH49" s="1703" t="s">
        <v>1208</v>
      </c>
      <c r="FI49" s="1704"/>
      <c r="FJ49" s="1703" t="s">
        <v>1208</v>
      </c>
      <c r="FK49" s="1704"/>
      <c r="FL49" s="1703" t="s">
        <v>1208</v>
      </c>
      <c r="FM49" s="1704"/>
      <c r="FN49" s="1703" t="s">
        <v>1208</v>
      </c>
      <c r="FO49" s="1704"/>
      <c r="FP49" s="1703" t="s">
        <v>1208</v>
      </c>
      <c r="FQ49" s="1704"/>
      <c r="FR49" s="1703" t="s">
        <v>1208</v>
      </c>
      <c r="FS49" s="1704"/>
      <c r="FT49" s="1703" t="s">
        <v>1208</v>
      </c>
      <c r="FU49" s="1704"/>
      <c r="FV49" s="1703" t="s">
        <v>1208</v>
      </c>
      <c r="FW49" s="1704"/>
      <c r="FX49" s="1703" t="s">
        <v>1208</v>
      </c>
      <c r="FY49" s="1704"/>
      <c r="FZ49" s="1703" t="s">
        <v>1208</v>
      </c>
      <c r="GA49" s="1704"/>
      <c r="GB49" s="1703" t="s">
        <v>1208</v>
      </c>
      <c r="GC49" s="1704"/>
      <c r="GD49" s="1703" t="s">
        <v>1208</v>
      </c>
      <c r="GE49" s="1704"/>
      <c r="GF49" s="1703" t="s">
        <v>1208</v>
      </c>
      <c r="GG49" s="1704"/>
      <c r="GH49" s="1703" t="s">
        <v>1208</v>
      </c>
      <c r="GI49" s="1704"/>
      <c r="GJ49" s="1703" t="s">
        <v>1208</v>
      </c>
      <c r="GK49" s="1704"/>
      <c r="GL49" s="1703" t="s">
        <v>1208</v>
      </c>
      <c r="GM49" s="1704"/>
      <c r="GN49" s="1703" t="s">
        <v>1208</v>
      </c>
      <c r="GO49" s="1704"/>
      <c r="GP49" s="1703" t="s">
        <v>1208</v>
      </c>
      <c r="GQ49" s="1704"/>
      <c r="GR49" s="1703" t="s">
        <v>1208</v>
      </c>
      <c r="GS49" s="1704"/>
      <c r="GT49" s="1703" t="s">
        <v>1208</v>
      </c>
      <c r="GU49" s="1704"/>
      <c r="GV49" s="1703" t="s">
        <v>1208</v>
      </c>
      <c r="GW49" s="1704"/>
      <c r="GX49" s="1703" t="s">
        <v>1208</v>
      </c>
      <c r="GY49" s="1704"/>
      <c r="GZ49" s="1703" t="s">
        <v>1208</v>
      </c>
      <c r="HA49" s="1704"/>
      <c r="HB49" s="1703" t="s">
        <v>1208</v>
      </c>
      <c r="HC49" s="1704"/>
      <c r="HD49" s="1703" t="s">
        <v>1208</v>
      </c>
      <c r="HE49" s="1704"/>
      <c r="HF49" s="2020" t="s">
        <v>1208</v>
      </c>
      <c r="HG49" s="2021"/>
      <c r="HH49" s="1703" t="s">
        <v>1208</v>
      </c>
      <c r="HI49" s="1704"/>
      <c r="HJ49" s="1703" t="s">
        <v>1208</v>
      </c>
      <c r="HK49" s="1704"/>
      <c r="HL49" s="1703" t="s">
        <v>1208</v>
      </c>
      <c r="HM49" s="1704"/>
      <c r="HN49" s="1703" t="s">
        <v>1208</v>
      </c>
      <c r="HO49" s="1704"/>
      <c r="HP49" s="2020" t="s">
        <v>1208</v>
      </c>
      <c r="HQ49" s="2021"/>
      <c r="HR49" s="1703" t="s">
        <v>1208</v>
      </c>
      <c r="HS49" s="1704"/>
      <c r="HT49" s="2020" t="s">
        <v>1208</v>
      </c>
      <c r="HU49" s="2021"/>
      <c r="HV49" s="2020" t="s">
        <v>1208</v>
      </c>
      <c r="HW49" s="2021"/>
      <c r="HX49" s="2020" t="s">
        <v>1208</v>
      </c>
      <c r="HY49" s="2021"/>
      <c r="HZ49" s="2020" t="s">
        <v>1208</v>
      </c>
      <c r="IA49" s="2021"/>
      <c r="IB49" s="1703" t="s">
        <v>1208</v>
      </c>
      <c r="IC49" s="1704"/>
      <c r="ID49" s="2020" t="s">
        <v>1208</v>
      </c>
      <c r="IE49" s="2021"/>
      <c r="IF49" s="2020" t="s">
        <v>1208</v>
      </c>
      <c r="IG49" s="2021"/>
    </row>
    <row r="50" spans="1:241" hidden="1">
      <c r="A50" s="1151"/>
      <c r="B50" s="1151"/>
      <c r="C50" s="1151"/>
      <c r="D50" s="1151"/>
      <c r="E50" s="1152"/>
      <c r="F50" s="1705"/>
      <c r="G50" s="1704"/>
      <c r="H50" s="1705"/>
      <c r="I50" s="1704"/>
      <c r="J50" s="1705"/>
      <c r="K50" s="1704"/>
      <c r="L50" s="1705"/>
      <c r="M50" s="1704"/>
      <c r="N50" s="1705"/>
      <c r="O50" s="1704"/>
      <c r="P50" s="1705"/>
      <c r="Q50" s="1704"/>
      <c r="R50" s="1705"/>
      <c r="S50" s="1704"/>
      <c r="T50" s="1705"/>
      <c r="U50" s="1704"/>
      <c r="V50" s="1705"/>
      <c r="W50" s="1704"/>
      <c r="X50" s="1705"/>
      <c r="Y50" s="1704"/>
      <c r="Z50" s="1705"/>
      <c r="AA50" s="1704"/>
      <c r="AB50" s="1705"/>
      <c r="AC50" s="1704"/>
      <c r="AD50" s="1705"/>
      <c r="AE50" s="1704"/>
      <c r="AF50" s="1705"/>
      <c r="AG50" s="1704"/>
      <c r="AH50" s="1705"/>
      <c r="AI50" s="1704"/>
      <c r="AJ50" s="1705"/>
      <c r="AK50" s="1704"/>
      <c r="AL50" s="1705"/>
      <c r="AM50" s="1704"/>
      <c r="AN50" s="1705"/>
      <c r="AO50" s="1704"/>
      <c r="AP50" s="1705"/>
      <c r="AQ50" s="1704"/>
      <c r="AR50" s="1705"/>
      <c r="AS50" s="1704"/>
      <c r="AT50" s="1705"/>
      <c r="AU50" s="1704"/>
      <c r="AV50" s="1705"/>
      <c r="AW50" s="1704"/>
      <c r="AX50" s="1705"/>
      <c r="AY50" s="1704"/>
      <c r="AZ50" s="1705"/>
      <c r="BA50" s="1704"/>
      <c r="BB50" s="1705"/>
      <c r="BC50" s="1704"/>
      <c r="BD50" s="1705"/>
      <c r="BE50" s="1704"/>
      <c r="BF50" s="1705"/>
      <c r="BG50" s="1704"/>
      <c r="BH50" s="1705"/>
      <c r="BI50" s="1704"/>
      <c r="BJ50" s="1705"/>
      <c r="BK50" s="1704"/>
      <c r="BL50" s="1705"/>
      <c r="BM50" s="1704"/>
      <c r="BN50" s="1705"/>
      <c r="BO50" s="1704"/>
      <c r="BP50" s="1705"/>
      <c r="BQ50" s="1704"/>
      <c r="BR50" s="1705"/>
      <c r="BS50" s="1704"/>
      <c r="BT50" s="1705"/>
      <c r="BU50" s="1704"/>
      <c r="BV50" s="1705"/>
      <c r="BW50" s="1704"/>
      <c r="BX50" s="1705"/>
      <c r="BY50" s="1704"/>
      <c r="BZ50" s="1705"/>
      <c r="CA50" s="1704"/>
      <c r="CB50" s="1705"/>
      <c r="CC50" s="1704"/>
      <c r="CD50" s="1705"/>
      <c r="CE50" s="1704"/>
      <c r="CF50" s="1705"/>
      <c r="CG50" s="1704"/>
      <c r="CH50" s="1705"/>
      <c r="CI50" s="1704"/>
      <c r="CJ50" s="1705"/>
      <c r="CK50" s="1704"/>
      <c r="CL50" s="1705"/>
      <c r="CM50" s="1704"/>
      <c r="CN50" s="1705"/>
      <c r="CO50" s="1704"/>
      <c r="CP50" s="1705"/>
      <c r="CQ50" s="1704"/>
      <c r="CR50" s="1705"/>
      <c r="CS50" s="1704"/>
      <c r="CT50" s="1705"/>
      <c r="CU50" s="1704"/>
      <c r="CV50" s="1705"/>
      <c r="CW50" s="1704"/>
      <c r="CX50" s="1705"/>
      <c r="CY50" s="1704"/>
      <c r="CZ50" s="1705"/>
      <c r="DA50" s="1704"/>
      <c r="DB50" s="1705"/>
      <c r="DC50" s="1704"/>
      <c r="DD50" s="1705"/>
      <c r="DE50" s="1704"/>
      <c r="DF50" s="1705"/>
      <c r="DG50" s="1704"/>
      <c r="DH50" s="1705"/>
      <c r="DI50" s="1704"/>
      <c r="DJ50" s="1705"/>
      <c r="DK50" s="1704"/>
      <c r="DL50" s="1705"/>
      <c r="DM50" s="1704"/>
      <c r="DN50" s="1705"/>
      <c r="DO50" s="1704"/>
      <c r="DP50" s="1705"/>
      <c r="DQ50" s="1704"/>
      <c r="DR50" s="1705"/>
      <c r="DS50" s="1704"/>
      <c r="DT50" s="1705"/>
      <c r="DU50" s="1704"/>
      <c r="DV50" s="1705"/>
      <c r="DW50" s="1704"/>
      <c r="DX50" s="1705"/>
      <c r="DY50" s="1704"/>
      <c r="DZ50" s="1705"/>
      <c r="EA50" s="1704"/>
      <c r="EB50" s="1705"/>
      <c r="EC50" s="1704"/>
      <c r="ED50" s="1705"/>
      <c r="EE50" s="1704"/>
      <c r="EF50" s="1705"/>
      <c r="EG50" s="1704"/>
      <c r="EH50" s="1705"/>
      <c r="EI50" s="1704"/>
      <c r="EJ50" s="1705"/>
      <c r="EK50" s="1704"/>
      <c r="EL50" s="1705"/>
      <c r="EM50" s="1704"/>
      <c r="EN50" s="1705"/>
      <c r="EO50" s="1704"/>
      <c r="EP50" s="1705"/>
      <c r="EQ50" s="1704"/>
      <c r="ER50" s="1705"/>
      <c r="ES50" s="1704"/>
      <c r="ET50" s="1705"/>
      <c r="EU50" s="1704"/>
      <c r="EV50" s="1705"/>
      <c r="EW50" s="1704"/>
      <c r="EX50" s="1705"/>
      <c r="EY50" s="1704"/>
      <c r="EZ50" s="1705"/>
      <c r="FA50" s="1704"/>
      <c r="FB50" s="1705"/>
      <c r="FC50" s="1704"/>
      <c r="FD50" s="1705"/>
      <c r="FE50" s="1704"/>
      <c r="FF50" s="1705"/>
      <c r="FG50" s="1704"/>
      <c r="FH50" s="1705"/>
      <c r="FI50" s="1704"/>
      <c r="FJ50" s="1705"/>
      <c r="FK50" s="1704"/>
      <c r="FL50" s="1705"/>
      <c r="FM50" s="1704"/>
      <c r="FN50" s="1705"/>
      <c r="FO50" s="1704"/>
      <c r="FP50" s="1705"/>
      <c r="FQ50" s="1704"/>
      <c r="FR50" s="1705"/>
      <c r="FS50" s="1704"/>
      <c r="FT50" s="1705"/>
      <c r="FU50" s="1704"/>
      <c r="FV50" s="1705"/>
      <c r="FW50" s="1704"/>
      <c r="FX50" s="1705"/>
      <c r="FY50" s="1704"/>
      <c r="FZ50" s="1705"/>
      <c r="GA50" s="1704"/>
      <c r="GB50" s="1705"/>
      <c r="GC50" s="1704"/>
      <c r="GD50" s="1705"/>
      <c r="GE50" s="1704"/>
      <c r="GF50" s="1705"/>
      <c r="GG50" s="1704"/>
      <c r="GH50" s="1705"/>
      <c r="GI50" s="1704"/>
      <c r="GJ50" s="1705"/>
      <c r="GK50" s="1704"/>
      <c r="GL50" s="1705"/>
      <c r="GM50" s="1704"/>
      <c r="GN50" s="1705"/>
      <c r="GO50" s="1704"/>
      <c r="GP50" s="1705"/>
      <c r="GQ50" s="1704"/>
      <c r="GR50" s="1705"/>
      <c r="GS50" s="1704"/>
      <c r="GT50" s="1705"/>
      <c r="GU50" s="1704"/>
      <c r="GV50" s="1705"/>
      <c r="GW50" s="1704"/>
      <c r="GX50" s="1705"/>
      <c r="GY50" s="1704"/>
      <c r="GZ50" s="1705"/>
      <c r="HA50" s="1704"/>
      <c r="HB50" s="1705"/>
      <c r="HC50" s="1704"/>
      <c r="HD50" s="1705"/>
      <c r="HE50" s="1704"/>
      <c r="HF50" s="2024"/>
      <c r="HG50" s="2021"/>
      <c r="HH50" s="1705"/>
      <c r="HI50" s="1704"/>
      <c r="HJ50" s="1705"/>
      <c r="HK50" s="1704"/>
      <c r="HL50" s="1705"/>
      <c r="HM50" s="1704"/>
      <c r="HN50" s="1705"/>
      <c r="HO50" s="1704"/>
      <c r="HP50" s="2024"/>
      <c r="HQ50" s="2021"/>
      <c r="HR50" s="1705"/>
      <c r="HS50" s="1704"/>
      <c r="HT50" s="2024"/>
      <c r="HU50" s="2021"/>
      <c r="HV50" s="2024"/>
      <c r="HW50" s="2021"/>
      <c r="HX50" s="2024"/>
      <c r="HY50" s="2021"/>
      <c r="HZ50" s="2024"/>
      <c r="IA50" s="2021"/>
      <c r="IB50" s="1705"/>
      <c r="IC50" s="1704"/>
      <c r="ID50" s="2024"/>
      <c r="IE50" s="2021"/>
      <c r="IF50" s="2024"/>
      <c r="IG50" s="2021"/>
    </row>
    <row r="51" spans="1:241" s="1007" customFormat="1">
      <c r="A51" s="1149"/>
      <c r="B51" s="1149"/>
      <c r="C51" s="1149" t="s">
        <v>84</v>
      </c>
      <c r="D51" s="1149"/>
      <c r="E51" s="1143"/>
      <c r="F51" s="1702">
        <f>+F45-F46</f>
        <v>2100</v>
      </c>
      <c r="G51" s="1356"/>
      <c r="H51" s="1702">
        <f>+H45-H46</f>
        <v>3200</v>
      </c>
      <c r="I51" s="1356"/>
      <c r="J51" s="1702">
        <f>+J45-J46</f>
        <v>1050</v>
      </c>
      <c r="K51" s="1356"/>
      <c r="L51" s="1702">
        <f>+L45-L46</f>
        <v>2595</v>
      </c>
      <c r="M51" s="1356"/>
      <c r="N51" s="1702">
        <f>+N45-N46</f>
        <v>1295</v>
      </c>
      <c r="O51" s="1356"/>
      <c r="P51" s="1702">
        <f>+P45-P46</f>
        <v>900</v>
      </c>
      <c r="Q51" s="1356"/>
      <c r="R51" s="1702">
        <f>+R45-R46</f>
        <v>1550</v>
      </c>
      <c r="S51" s="1356"/>
      <c r="T51" s="1702">
        <f>+T45-T46</f>
        <v>237</v>
      </c>
      <c r="U51" s="1356"/>
      <c r="V51" s="1702">
        <f>+V45-V46</f>
        <v>389</v>
      </c>
      <c r="W51" s="1356"/>
      <c r="X51" s="1702">
        <f>+X45-X46</f>
        <v>1860</v>
      </c>
      <c r="Y51" s="1356"/>
      <c r="Z51" s="1702">
        <f>+Z45-Z46</f>
        <v>972</v>
      </c>
      <c r="AA51" s="1356"/>
      <c r="AB51" s="1702">
        <f>+AB45-AB46</f>
        <v>240</v>
      </c>
      <c r="AC51" s="1356"/>
      <c r="AD51" s="1702">
        <f>+AD45-AD46</f>
        <v>2303</v>
      </c>
      <c r="AE51" s="1356"/>
      <c r="AF51" s="1702">
        <f>+AF45-AF46</f>
        <v>2501</v>
      </c>
      <c r="AG51" s="1356"/>
      <c r="AH51" s="1702">
        <f>+AH45-AH46</f>
        <v>460</v>
      </c>
      <c r="AI51" s="1356"/>
      <c r="AJ51" s="1702">
        <f>+AJ45-AJ46</f>
        <v>2000</v>
      </c>
      <c r="AK51" s="1356"/>
      <c r="AL51" s="1702">
        <f>+AL45-AL46</f>
        <v>500</v>
      </c>
      <c r="AM51" s="1356"/>
      <c r="AN51" s="1702">
        <f>+AN45-AN46</f>
        <v>1145</v>
      </c>
      <c r="AO51" s="1356"/>
      <c r="AP51" s="1702">
        <f>+AP45-AP46</f>
        <v>1675</v>
      </c>
      <c r="AQ51" s="1356"/>
      <c r="AR51" s="1702">
        <f>+AR45-AR46</f>
        <v>6407</v>
      </c>
      <c r="AS51" s="1356"/>
      <c r="AT51" s="1702">
        <f>+AT45-AT46</f>
        <v>1800</v>
      </c>
      <c r="AU51" s="1356"/>
      <c r="AV51" s="1702">
        <f>+AV45-AV46</f>
        <v>2315</v>
      </c>
      <c r="AW51" s="1356"/>
      <c r="AX51" s="1702">
        <f>+AX45-AX46</f>
        <v>1927</v>
      </c>
      <c r="AY51" s="1356"/>
      <c r="AZ51" s="1702">
        <f>+AZ45-AZ46</f>
        <v>-120</v>
      </c>
      <c r="BA51" s="1356"/>
      <c r="BB51" s="1702">
        <f>+BB45-BB46</f>
        <v>1453</v>
      </c>
      <c r="BC51" s="1356"/>
      <c r="BD51" s="1702">
        <f>+BD45-BD46</f>
        <v>2078</v>
      </c>
      <c r="BE51" s="1356"/>
      <c r="BF51" s="1702">
        <f>+BF45-BF46</f>
        <v>129.51000000000022</v>
      </c>
      <c r="BG51" s="1356"/>
      <c r="BH51" s="1702">
        <f>+BH45-BH46</f>
        <v>463.75</v>
      </c>
      <c r="BI51" s="1356"/>
      <c r="BJ51" s="1702">
        <f>+BJ45-BJ46</f>
        <v>972</v>
      </c>
      <c r="BK51" s="1356"/>
      <c r="BL51" s="1702">
        <f>+BL45-BL46</f>
        <v>1155</v>
      </c>
      <c r="BM51" s="1356"/>
      <c r="BN51" s="1702">
        <f>+BN45-BN46</f>
        <v>702</v>
      </c>
      <c r="BO51" s="1356"/>
      <c r="BP51" s="1702">
        <f>+BP45-BP46</f>
        <v>480</v>
      </c>
      <c r="BQ51" s="1356"/>
      <c r="BR51" s="1702">
        <f>+BR45-BR46</f>
        <v>3500</v>
      </c>
      <c r="BS51" s="1356"/>
      <c r="BT51" s="1702">
        <f>+BT45-BT46</f>
        <v>682</v>
      </c>
      <c r="BU51" s="1356"/>
      <c r="BV51" s="1702">
        <f>+BV45-BV46</f>
        <v>686</v>
      </c>
      <c r="BW51" s="1356"/>
      <c r="BX51" s="1702">
        <f>+BX45-BX46</f>
        <v>263</v>
      </c>
      <c r="BY51" s="1356"/>
      <c r="BZ51" s="1702">
        <f>+BZ45-BZ46</f>
        <v>1025</v>
      </c>
      <c r="CA51" s="1356"/>
      <c r="CB51" s="1702">
        <f>+CB45-CB46</f>
        <v>1965</v>
      </c>
      <c r="CC51" s="1356"/>
      <c r="CD51" s="1702">
        <f>+CD45-CD46</f>
        <v>2085</v>
      </c>
      <c r="CE51" s="1356"/>
      <c r="CF51" s="1702">
        <v>1580</v>
      </c>
      <c r="CG51" s="1356"/>
      <c r="CH51" s="1702">
        <f>+CH45-CH46</f>
        <v>2560</v>
      </c>
      <c r="CI51" s="1356"/>
      <c r="CJ51" s="1702">
        <v>720</v>
      </c>
      <c r="CK51" s="1356"/>
      <c r="CL51" s="1702">
        <v>2174</v>
      </c>
      <c r="CM51" s="1356"/>
      <c r="CN51" s="1702">
        <f>+CN45-CN46</f>
        <v>2049</v>
      </c>
      <c r="CO51" s="1356"/>
      <c r="CP51" s="1702">
        <f>+CP45-CP46</f>
        <v>757</v>
      </c>
      <c r="CQ51" s="1356"/>
      <c r="CR51" s="1702">
        <v>2119</v>
      </c>
      <c r="CS51" s="1356"/>
      <c r="CT51" s="1702">
        <f>+CT45-CT46</f>
        <v>1960</v>
      </c>
      <c r="CU51" s="1356"/>
      <c r="CV51" s="1702">
        <f>+CV45-CV46</f>
        <v>1714</v>
      </c>
      <c r="CW51" s="1356"/>
      <c r="CX51" s="1702">
        <f>+CX45-CX46</f>
        <v>3395</v>
      </c>
      <c r="CY51" s="1356"/>
      <c r="CZ51" s="1702">
        <v>865</v>
      </c>
      <c r="DA51" s="1356"/>
      <c r="DB51" s="1702">
        <v>629</v>
      </c>
      <c r="DC51" s="1356"/>
      <c r="DD51" s="1702">
        <v>712</v>
      </c>
      <c r="DE51" s="1356"/>
      <c r="DF51" s="1702">
        <v>1152</v>
      </c>
      <c r="DG51" s="1356"/>
      <c r="DH51" s="1702">
        <v>288</v>
      </c>
      <c r="DI51" s="1356"/>
      <c r="DJ51" s="1702">
        <v>279</v>
      </c>
      <c r="DK51" s="1356"/>
      <c r="DL51" s="1702">
        <v>1710</v>
      </c>
      <c r="DM51" s="1356"/>
      <c r="DN51" s="1702">
        <f>+DN45-DN46</f>
        <v>1624</v>
      </c>
      <c r="DO51" s="1356"/>
      <c r="DP51" s="1702">
        <f>+DP45-DP46</f>
        <v>730</v>
      </c>
      <c r="DQ51" s="1356"/>
      <c r="DR51" s="1702">
        <f>+DR45-DR46</f>
        <v>3168</v>
      </c>
      <c r="DS51" s="1356"/>
      <c r="DT51" s="1702">
        <f>+DT45-DT46</f>
        <v>4065</v>
      </c>
      <c r="DU51" s="1356"/>
      <c r="DV51" s="1702">
        <f>+DV45-DV46</f>
        <v>1472</v>
      </c>
      <c r="DW51" s="1356"/>
      <c r="DX51" s="1702">
        <f>+DX45-DX46</f>
        <v>1375</v>
      </c>
      <c r="DY51" s="1356"/>
      <c r="DZ51" s="1702">
        <f>+DZ45-DZ46</f>
        <v>3645</v>
      </c>
      <c r="EA51" s="1356"/>
      <c r="EB51" s="1702">
        <f>+EB45-EB46</f>
        <v>2989</v>
      </c>
      <c r="EC51" s="1356"/>
      <c r="ED51" s="1702">
        <f>+ED45-ED46</f>
        <v>1299</v>
      </c>
      <c r="EE51" s="1356"/>
      <c r="EF51" s="1702">
        <f>+EF45-EF46</f>
        <v>2171</v>
      </c>
      <c r="EG51" s="1356"/>
      <c r="EH51" s="1702">
        <f>+EH45-EH46</f>
        <v>2168</v>
      </c>
      <c r="EI51" s="1356"/>
      <c r="EJ51" s="1702">
        <f>+EJ45-EJ46</f>
        <v>2760</v>
      </c>
      <c r="EK51" s="1356"/>
      <c r="EL51" s="1702">
        <f>+EL45-EL46</f>
        <v>1657</v>
      </c>
      <c r="EM51" s="1356"/>
      <c r="EN51" s="1702">
        <f>+EN45-EN46</f>
        <v>1216</v>
      </c>
      <c r="EO51" s="1356"/>
      <c r="EP51" s="1702">
        <f>+EP45-EP46</f>
        <v>1000</v>
      </c>
      <c r="EQ51" s="1356"/>
      <c r="ER51" s="1702">
        <f>+ER45-ER46</f>
        <v>502</v>
      </c>
      <c r="ES51" s="1356"/>
      <c r="ET51" s="1702">
        <f>+ET45-ET46</f>
        <v>1196</v>
      </c>
      <c r="EU51" s="1356"/>
      <c r="EV51" s="1702">
        <f>+EV45-EV46</f>
        <v>422</v>
      </c>
      <c r="EW51" s="1356"/>
      <c r="EX51" s="1702">
        <f>+EX45-EX46</f>
        <v>529</v>
      </c>
      <c r="EY51" s="1356"/>
      <c r="EZ51" s="1702">
        <f>+EZ45-EZ46</f>
        <v>6240</v>
      </c>
      <c r="FA51" s="1356"/>
      <c r="FB51" s="1702">
        <f>+FB45-FB46</f>
        <v>565</v>
      </c>
      <c r="FC51" s="1356"/>
      <c r="FD51" s="1702">
        <f>+FD45-FD46</f>
        <v>1100</v>
      </c>
      <c r="FE51" s="1356"/>
      <c r="FF51" s="1702">
        <f>+FF45-FF46</f>
        <v>768</v>
      </c>
      <c r="FG51" s="1356"/>
      <c r="FH51" s="1702">
        <f>+FH45-FH46</f>
        <v>3013</v>
      </c>
      <c r="FI51" s="1356"/>
      <c r="FJ51" s="1702">
        <f>+FJ45-FJ46</f>
        <v>936</v>
      </c>
      <c r="FK51" s="1356"/>
      <c r="FL51" s="1702">
        <f>+FL45-FL46</f>
        <v>0</v>
      </c>
      <c r="FM51" s="1356"/>
      <c r="FN51" s="1702">
        <f>+FN45-FN46</f>
        <v>5467</v>
      </c>
      <c r="FO51" s="1356"/>
      <c r="FP51" s="1702">
        <f>+FP45-FP46</f>
        <v>700</v>
      </c>
      <c r="FQ51" s="1356"/>
      <c r="FR51" s="1702">
        <f>+FR45-FR46</f>
        <v>1380</v>
      </c>
      <c r="FS51" s="1356"/>
      <c r="FT51" s="1702">
        <f>+FT45-FT46</f>
        <v>1461</v>
      </c>
      <c r="FU51" s="1356"/>
      <c r="FV51" s="1702">
        <f>+FV45-FV46</f>
        <v>2900</v>
      </c>
      <c r="FW51" s="1356"/>
      <c r="FX51" s="1702">
        <f>+FX45-FX46</f>
        <v>1298</v>
      </c>
      <c r="FY51" s="1356"/>
      <c r="FZ51" s="1702">
        <f>+FZ45-FZ46</f>
        <v>1000</v>
      </c>
      <c r="GA51" s="1356"/>
      <c r="GB51" s="1702">
        <f>+GB45-GB46</f>
        <v>2939</v>
      </c>
      <c r="GC51" s="1356"/>
      <c r="GD51" s="1702">
        <f>+GD45-GD46</f>
        <v>1838</v>
      </c>
      <c r="GE51" s="1356"/>
      <c r="GF51" s="1702">
        <f>+GF45-GF46</f>
        <v>977</v>
      </c>
      <c r="GG51" s="1356"/>
      <c r="GH51" s="1702">
        <f>+GH45-GH46</f>
        <v>914</v>
      </c>
      <c r="GI51" s="1356"/>
      <c r="GJ51" s="1702">
        <f>+GJ45-GJ46</f>
        <v>1380</v>
      </c>
      <c r="GK51" s="1356"/>
      <c r="GL51" s="1702">
        <f>+GL45-GL46</f>
        <v>378</v>
      </c>
      <c r="GM51" s="1356"/>
      <c r="GN51" s="1702">
        <f>+GN45-GN46</f>
        <v>349</v>
      </c>
      <c r="GO51" s="1356"/>
      <c r="GP51" s="1702">
        <f>+GP45-GP46</f>
        <v>1356</v>
      </c>
      <c r="GQ51" s="1356"/>
      <c r="GR51" s="1702">
        <f>+GR45-GR46</f>
        <v>1367</v>
      </c>
      <c r="GS51" s="1356"/>
      <c r="GT51" s="1702">
        <f>+GT45-GT46</f>
        <v>847</v>
      </c>
      <c r="GU51" s="1356"/>
      <c r="GV51" s="1702">
        <f>+GV45-GV46</f>
        <v>872</v>
      </c>
      <c r="GW51" s="1356"/>
      <c r="GX51" s="1702">
        <f>+GX45-GX46</f>
        <v>195</v>
      </c>
      <c r="GY51" s="1356"/>
      <c r="GZ51" s="1702">
        <f>+GZ45-GZ46</f>
        <v>1513</v>
      </c>
      <c r="HA51" s="1356"/>
      <c r="HB51" s="1702">
        <f>+HB45-HB46</f>
        <v>1750</v>
      </c>
      <c r="HC51" s="1356"/>
      <c r="HD51" s="1702">
        <f>+HD45-HD46</f>
        <v>4248</v>
      </c>
      <c r="HE51" s="1356"/>
      <c r="HF51" s="2018">
        <f>+HF45-HF46</f>
        <v>2375</v>
      </c>
      <c r="HG51" s="2008"/>
      <c r="HH51" s="1702">
        <f>+HH45-HH46</f>
        <v>4400</v>
      </c>
      <c r="HI51" s="1356"/>
      <c r="HJ51" s="1702">
        <f>+HJ45-HJ46</f>
        <v>288</v>
      </c>
      <c r="HK51" s="1356"/>
      <c r="HL51" s="1702">
        <f>+HL45-HL46</f>
        <v>0</v>
      </c>
      <c r="HM51" s="1356"/>
      <c r="HN51" s="1702">
        <f>+HN45-HN46</f>
        <v>1372</v>
      </c>
      <c r="HO51" s="1356"/>
      <c r="HP51" s="2018">
        <f>+HP45-HP46</f>
        <v>2387</v>
      </c>
      <c r="HQ51" s="2008"/>
      <c r="HR51" s="1702">
        <f>+HR45-HR46</f>
        <v>1058</v>
      </c>
      <c r="HS51" s="1356"/>
      <c r="HT51" s="2018">
        <f>+HT45-HT46</f>
        <v>2057</v>
      </c>
      <c r="HU51" s="2008"/>
      <c r="HV51" s="2018">
        <f>+HV45-HV46</f>
        <v>-607</v>
      </c>
      <c r="HW51" s="2008"/>
      <c r="HX51" s="2018">
        <f>+HX45-HX46</f>
        <v>888</v>
      </c>
      <c r="HY51" s="2008"/>
      <c r="HZ51" s="2018">
        <f>+HZ45-HZ46</f>
        <v>2338</v>
      </c>
      <c r="IA51" s="2008"/>
      <c r="IB51" s="1702">
        <f>+IB45-IB46</f>
        <v>1550</v>
      </c>
      <c r="IC51" s="1356"/>
      <c r="ID51" s="2018">
        <f>+ID45-ID46</f>
        <v>1093</v>
      </c>
      <c r="IE51" s="2008"/>
      <c r="IF51" s="2018">
        <f>+IF45-IF46</f>
        <v>852</v>
      </c>
      <c r="IG51" s="2008"/>
    </row>
    <row r="52" spans="1:241">
      <c r="A52" s="1149"/>
      <c r="B52" s="1149"/>
      <c r="C52" s="1149" t="s">
        <v>85</v>
      </c>
      <c r="D52" s="1149"/>
      <c r="E52" s="1143"/>
      <c r="F52" s="1540">
        <f>+F51/F46</f>
        <v>0.19266055045871561</v>
      </c>
      <c r="G52" s="1356"/>
      <c r="H52" s="1540">
        <f>+H51/H46</f>
        <v>0.16842105263157894</v>
      </c>
      <c r="I52" s="1356"/>
      <c r="J52" s="1540">
        <f>+J51/J46</f>
        <v>0.08</v>
      </c>
      <c r="K52" s="1356"/>
      <c r="L52" s="1540">
        <f>+L51/L46</f>
        <v>0.13650710152551288</v>
      </c>
      <c r="M52" s="1356"/>
      <c r="N52" s="1540">
        <f>+N51/N46</f>
        <v>5.364984671472367E-2</v>
      </c>
      <c r="O52" s="1356"/>
      <c r="P52" s="1540">
        <f>+P51/P46</f>
        <v>0.06</v>
      </c>
      <c r="Q52" s="1356"/>
      <c r="R52" s="1540">
        <f>+R51/R46</f>
        <v>7.9691516709511565E-2</v>
      </c>
      <c r="T52" s="1540">
        <f>+T51/T46</f>
        <v>6.1351281387522653E-2</v>
      </c>
      <c r="U52" s="1356"/>
      <c r="V52" s="1540">
        <f>+V51/V46</f>
        <v>7.0727272727272722E-2</v>
      </c>
      <c r="W52" s="1356"/>
      <c r="X52" s="1540">
        <f>+X51/X46</f>
        <v>9.6348096348096351E-2</v>
      </c>
      <c r="Y52" s="1356"/>
      <c r="Z52" s="1540">
        <f>+Z51/Z46</f>
        <v>7.7586206896551727E-2</v>
      </c>
      <c r="AA52" s="1356"/>
      <c r="AB52" s="1540">
        <f>+AB51/AB46</f>
        <v>0.05</v>
      </c>
      <c r="AC52" s="1356"/>
      <c r="AD52" s="1540">
        <f>+AD51/AD46</f>
        <v>7.7570817474485493E-2</v>
      </c>
      <c r="AE52" s="1356"/>
      <c r="AF52" s="1540">
        <f>+AF51/AF46</f>
        <v>0.23960528836941944</v>
      </c>
      <c r="AG52" s="1356"/>
      <c r="AH52" s="1540">
        <f>+AH51/AH46</f>
        <v>7.4614760746147604E-2</v>
      </c>
      <c r="AI52" s="1356"/>
      <c r="AJ52" s="1540">
        <f>+AJ51/AJ46</f>
        <v>0.08</v>
      </c>
      <c r="AK52" s="1356"/>
      <c r="AL52" s="1540">
        <f>+AL51/AL46</f>
        <v>0.22727272727272727</v>
      </c>
      <c r="AM52" s="1356"/>
      <c r="AN52" s="1540">
        <f>+AN51/AN46</f>
        <v>9.4981335545416837E-2</v>
      </c>
      <c r="AO52" s="1356"/>
      <c r="AP52" s="1540">
        <f>+AP51/AP46</f>
        <v>7.7906976744186049E-2</v>
      </c>
      <c r="AQ52" s="1356"/>
      <c r="AR52" s="1540">
        <f>+AR51/AR46</f>
        <v>0.3087710843373494</v>
      </c>
      <c r="AS52" s="1356"/>
      <c r="AT52" s="1540">
        <f>+AT51/AT46</f>
        <v>0.6</v>
      </c>
      <c r="AU52" s="1356"/>
      <c r="AV52" s="1540">
        <f>+AV51/AV46</f>
        <v>0.13801943599833066</v>
      </c>
      <c r="AW52" s="1356"/>
      <c r="AX52" s="1540">
        <f>+AX51/AX46</f>
        <v>0.58875649251451267</v>
      </c>
      <c r="AY52" s="1356"/>
      <c r="AZ52" s="1540">
        <f>+AZ51/AZ46</f>
        <v>-2.0297699594046009E-2</v>
      </c>
      <c r="BA52" s="1356"/>
      <c r="BB52" s="1540">
        <f>+BB51/BB46</f>
        <v>6.2759156876295782E-2</v>
      </c>
      <c r="BC52" s="1356"/>
      <c r="BD52" s="1540">
        <f>+BD51/BD46</f>
        <v>0.31342383107088989</v>
      </c>
      <c r="BE52" s="1356"/>
      <c r="BF52" s="1540">
        <f>+BF51/BF46</f>
        <v>2.0057302152702527E-2</v>
      </c>
      <c r="BG52" s="1356"/>
      <c r="BH52" s="1540">
        <f>+BH51/BH46</f>
        <v>3.3018867924528301E-2</v>
      </c>
      <c r="BI52" s="1356"/>
      <c r="BJ52" s="1540">
        <f>+BJ51/BJ46</f>
        <v>6.9587628865979384E-2</v>
      </c>
      <c r="BK52" s="1356"/>
      <c r="BL52" s="1540">
        <f>+BL51/BL46</f>
        <v>6.0502881089575695E-2</v>
      </c>
      <c r="BM52" s="1356"/>
      <c r="BN52" s="1540">
        <f>+BN51/BN46</f>
        <v>6.0689893663006832E-2</v>
      </c>
      <c r="BO52" s="1356"/>
      <c r="BP52" s="1540">
        <f>+BP51/BP46</f>
        <v>9.9009900990099015E-2</v>
      </c>
      <c r="BQ52" s="1356"/>
      <c r="BR52" s="1540">
        <f>+BR51/BR46</f>
        <v>0.21212121212121213</v>
      </c>
      <c r="BS52" s="1356"/>
      <c r="BT52" s="1540">
        <f>+BT51/BT46</f>
        <v>6.9955892912093545E-2</v>
      </c>
      <c r="BU52" s="1356"/>
      <c r="BV52" s="1540">
        <f>+BV51/BV46</f>
        <v>0.16482460355598269</v>
      </c>
      <c r="BW52" s="1356"/>
      <c r="BX52" s="1540">
        <f>+BX51/BX46</f>
        <v>5.9542676024450986E-2</v>
      </c>
      <c r="BY52" s="1356"/>
      <c r="BZ52" s="1540">
        <f>+BZ51/BZ46</f>
        <v>9.7239351105208233E-2</v>
      </c>
      <c r="CA52" s="1356"/>
      <c r="CB52" s="1540">
        <f>+CB51/CB46</f>
        <v>0.12515923566878981</v>
      </c>
      <c r="CC52" s="1356"/>
      <c r="CD52" s="1540">
        <f>+CD51/CD46</f>
        <v>0.15252377468910022</v>
      </c>
      <c r="CE52" s="1356"/>
      <c r="CF52" s="1540">
        <v>0.1000253228665485</v>
      </c>
      <c r="CG52" s="1356"/>
      <c r="CH52" s="1540">
        <f>+CH51/CH46</f>
        <v>0.182987848463188</v>
      </c>
      <c r="CI52" s="1356"/>
      <c r="CJ52" s="1540">
        <v>7.792207792207792E-2</v>
      </c>
      <c r="CK52" s="1356"/>
      <c r="CL52" s="1540">
        <v>0.10897789362875332</v>
      </c>
      <c r="CM52" s="1356"/>
      <c r="CN52" s="1540">
        <f>+CN51/CN46</f>
        <v>0.16055477197931359</v>
      </c>
      <c r="CO52" s="1356"/>
      <c r="CP52" s="1540">
        <f>+CP51/CP46</f>
        <v>7.5263471863193473E-2</v>
      </c>
      <c r="CQ52" s="1356"/>
      <c r="CR52" s="1540">
        <v>9.0009345000424776E-2</v>
      </c>
      <c r="CS52" s="1356"/>
      <c r="CT52" s="1540">
        <f>+CT51/CT46</f>
        <v>0.10517842768983096</v>
      </c>
      <c r="CU52" s="1356"/>
      <c r="CV52" s="1540">
        <f>+CV51/CV46</f>
        <v>0.10752823086574655</v>
      </c>
      <c r="CW52" s="1356"/>
      <c r="CX52" s="1540">
        <f>+CX51/CX46</f>
        <v>0.12354439592430859</v>
      </c>
      <c r="CY52" s="1356"/>
      <c r="CZ52" s="1540">
        <v>4.9927849927849925E-2</v>
      </c>
      <c r="DA52" s="1356"/>
      <c r="DB52" s="1540">
        <v>4.5012165450121655E-2</v>
      </c>
      <c r="DC52" s="1356"/>
      <c r="DD52" s="1540">
        <v>5.531385954008701E-2</v>
      </c>
      <c r="DE52" s="1356"/>
      <c r="DF52" s="1540">
        <v>4.163052905464007E-2</v>
      </c>
      <c r="DG52" s="1356"/>
      <c r="DH52" s="1540">
        <v>0.11764705882352941</v>
      </c>
      <c r="DI52" s="1356"/>
      <c r="DJ52" s="1540">
        <v>3.004199418542048E-2</v>
      </c>
      <c r="DK52" s="1356"/>
      <c r="DL52" s="1540">
        <v>0.15576607760976499</v>
      </c>
      <c r="DM52" s="1356"/>
      <c r="DN52" s="1540">
        <f>+DN51/DN46</f>
        <v>0.08</v>
      </c>
      <c r="DO52" s="1356"/>
      <c r="DP52" s="1540">
        <f>+DP51/DP46</f>
        <v>0.04</v>
      </c>
      <c r="DQ52" s="1356"/>
      <c r="DR52" s="1540">
        <f>+DR51/DR46</f>
        <v>0.18175559380378659</v>
      </c>
      <c r="DS52" s="1356"/>
      <c r="DT52" s="1540">
        <f>+DT51/DT46</f>
        <v>0.19759867781450516</v>
      </c>
      <c r="DU52" s="1356"/>
      <c r="DV52" s="1540">
        <f>+DV51/DV46</f>
        <v>0.13227893601725377</v>
      </c>
      <c r="DW52" s="1356"/>
      <c r="DX52" s="1540">
        <f>+DX51/DX46</f>
        <v>5.9588299024918745E-2</v>
      </c>
      <c r="DY52" s="1356"/>
      <c r="DZ52" s="1540">
        <f>+DZ51/DZ46</f>
        <v>0.24671720590226073</v>
      </c>
      <c r="EA52" s="1356"/>
      <c r="EB52" s="1540">
        <f>+EB51/EB46</f>
        <v>0.10975251523830507</v>
      </c>
      <c r="EC52" s="1356"/>
      <c r="ED52" s="1540">
        <f>+ED51/ED46</f>
        <v>7.9987684729064035E-2</v>
      </c>
      <c r="EE52" s="1356"/>
      <c r="EF52" s="1540">
        <f>+EF51/EF46</f>
        <v>0.10498065764023211</v>
      </c>
      <c r="EG52" s="1356"/>
      <c r="EH52" s="1540">
        <f>+EH51/EH46</f>
        <v>0.10561699225410436</v>
      </c>
      <c r="EI52" s="1356"/>
      <c r="EJ52" s="1540">
        <f>+EJ51/EJ46</f>
        <v>0.18904109589041096</v>
      </c>
      <c r="EK52" s="1356"/>
      <c r="EL52" s="1540">
        <f>+EL51/EL46</f>
        <v>7.5256608229630303E-2</v>
      </c>
      <c r="EM52" s="1356"/>
      <c r="EN52" s="1540">
        <f>+EN51/EN46</f>
        <v>0.1889959589679826</v>
      </c>
      <c r="EO52" s="1356"/>
      <c r="EP52" s="1707">
        <f>+EP51/EP46</f>
        <v>0.12345679012345678</v>
      </c>
      <c r="EQ52" s="1356"/>
      <c r="ER52" s="1540">
        <f>+ER51/ER46</f>
        <v>7.9254815282601837E-2</v>
      </c>
      <c r="ES52" s="1356"/>
      <c r="ET52" s="1540">
        <f>+ET51/ET46</f>
        <v>8.7083151303334785E-2</v>
      </c>
      <c r="EU52" s="1356"/>
      <c r="EV52" s="1540">
        <f>+EV51/EV46</f>
        <v>0.12795633717404487</v>
      </c>
      <c r="EW52" s="1356"/>
      <c r="EX52" s="1540">
        <f>+EX51/EX46</f>
        <v>8.3835182250396198E-2</v>
      </c>
      <c r="EY52" s="1356"/>
      <c r="EZ52" s="1540">
        <f>+EZ51/EZ46</f>
        <v>0.23214285714285715</v>
      </c>
      <c r="FA52" s="1356"/>
      <c r="FB52" s="1540">
        <f>+FB51/FB46</f>
        <v>8.2905355832721933E-2</v>
      </c>
      <c r="FC52" s="1356"/>
      <c r="FD52" s="1540">
        <f>+FD51/FD46</f>
        <v>9.0909090909090912E-2</v>
      </c>
      <c r="FE52" s="1356"/>
      <c r="FF52" s="1540">
        <f>+FF51/FF46</f>
        <v>0.14211695040710584</v>
      </c>
      <c r="FG52" s="1356"/>
      <c r="FH52" s="1540">
        <f>+FH51/FH46</f>
        <v>0.13703552098967572</v>
      </c>
      <c r="FI52" s="1356"/>
      <c r="FJ52" s="1540">
        <f>+FJ51/FJ46</f>
        <v>7.0243902439024397E-2</v>
      </c>
      <c r="FK52" s="1356"/>
      <c r="FL52" s="1540">
        <f>+FL51/FL46</f>
        <v>0</v>
      </c>
      <c r="FM52" s="1356"/>
      <c r="FN52" s="1540">
        <f>+FN51/FN46</f>
        <v>0.26131638067014007</v>
      </c>
      <c r="FO52" s="1356"/>
      <c r="FP52" s="1540">
        <f>+FP51/FP46</f>
        <v>0.1343570057581574</v>
      </c>
      <c r="FQ52" s="1356"/>
      <c r="FR52" s="1540">
        <f>+FR51/FR46</f>
        <v>0.12195121951219512</v>
      </c>
      <c r="FS52" s="1356"/>
      <c r="FT52" s="1540">
        <f>+FT51/FT46</f>
        <v>0.11368765076647731</v>
      </c>
      <c r="FU52" s="1356"/>
      <c r="FV52" s="1540">
        <f>+FV51/FV46</f>
        <v>0.10320284697508897</v>
      </c>
      <c r="FW52" s="1356"/>
      <c r="FX52" s="1540">
        <f>+FX51/FX46</f>
        <v>0.12497592913537454</v>
      </c>
      <c r="FY52" s="1356"/>
      <c r="FZ52" s="1540">
        <f>+FZ51/FZ46</f>
        <v>9.5238095238095233E-2</v>
      </c>
      <c r="GA52" s="1356"/>
      <c r="GB52" s="1540">
        <f>+GB51/GB46</f>
        <v>0.21298644829335459</v>
      </c>
      <c r="GC52" s="1356"/>
      <c r="GD52" s="1540">
        <f>+GD51/GD46</f>
        <v>9.5445811912551276E-2</v>
      </c>
      <c r="GE52" s="1356"/>
      <c r="GF52" s="1540">
        <f>+GF51/GF46</f>
        <v>8.7482091690544411E-2</v>
      </c>
      <c r="GG52" s="1356"/>
      <c r="GH52" s="1540">
        <f>+GH51/GH46</f>
        <v>7.7655055225148678E-2</v>
      </c>
      <c r="GI52" s="1356"/>
      <c r="GJ52" s="1540">
        <f>+GJ51/GJ46</f>
        <v>6.9172932330827067E-2</v>
      </c>
      <c r="GK52" s="1356"/>
      <c r="GL52" s="1540">
        <f>+GL51/GL46</f>
        <v>5.0745066451872732E-2</v>
      </c>
      <c r="GM52" s="1356"/>
      <c r="GN52" s="1540">
        <f>+GN51/GN46</f>
        <v>7.2829716193656094E-2</v>
      </c>
      <c r="GO52" s="1356"/>
      <c r="GP52" s="1540">
        <f>+GP51/GP46</f>
        <v>0.10630291627469426</v>
      </c>
      <c r="GQ52" s="1356"/>
      <c r="GR52" s="1540">
        <f>+GR51/GR46</f>
        <v>0.15280572322825844</v>
      </c>
      <c r="GS52" s="1356"/>
      <c r="GT52" s="1540">
        <f>+GT51/GT46</f>
        <v>0.15879265091863518</v>
      </c>
      <c r="GU52" s="1356"/>
      <c r="GV52" s="1540">
        <f>+GV51/GV46</f>
        <v>8.3524904214559381E-2</v>
      </c>
      <c r="GW52" s="1356"/>
      <c r="GX52" s="1540">
        <f>+GX51/GX46</f>
        <v>3.2950321054410273E-2</v>
      </c>
      <c r="GY52" s="1356"/>
      <c r="GZ52" s="1540">
        <f>+GZ51/GZ46</f>
        <v>9.2459056465411874E-2</v>
      </c>
      <c r="HA52" s="1356"/>
      <c r="HB52" s="1540">
        <f>+HB51/HB46</f>
        <v>0.21875</v>
      </c>
      <c r="HC52" s="1356"/>
      <c r="HD52" s="1540">
        <f>+HD51/HD46</f>
        <v>0.1999623423084165</v>
      </c>
      <c r="HE52" s="1356"/>
      <c r="HF52" s="2025">
        <f>+HF51/HF46</f>
        <v>9.6505485574969518E-2</v>
      </c>
      <c r="HG52" s="2008"/>
      <c r="HH52" s="1540">
        <f>+HH51/HH46</f>
        <v>0.17599999999999999</v>
      </c>
      <c r="HI52" s="1356"/>
      <c r="HJ52" s="1540">
        <f>+HJ51/HJ46</f>
        <v>4.9586776859504134E-2</v>
      </c>
      <c r="HK52" s="1356"/>
      <c r="HL52" s="1540">
        <f>+HL51/HL46</f>
        <v>0</v>
      </c>
      <c r="HM52" s="1356"/>
      <c r="HN52" s="1540">
        <f>+HN51/HN46</f>
        <v>8.9967213114754099E-2</v>
      </c>
      <c r="HO52" s="1356"/>
      <c r="HP52" s="2025">
        <f>+HP51/HP46</f>
        <v>0.1282574821342217</v>
      </c>
      <c r="HQ52" s="2008"/>
      <c r="HR52" s="1540">
        <f>+HR51/HR46</f>
        <v>0.17999319496427357</v>
      </c>
      <c r="HS52" s="1356"/>
      <c r="HT52" s="2025">
        <f>+HT51/HT46</f>
        <v>0.12375909993381866</v>
      </c>
      <c r="HU52" s="2008"/>
      <c r="HV52" s="2025">
        <f>+HV51/HV46</f>
        <v>-2.4697888269520282E-2</v>
      </c>
      <c r="HW52" s="2008"/>
      <c r="HX52" s="2025">
        <f>+HX51/HX46</f>
        <v>4.9977487618190007E-2</v>
      </c>
      <c r="HY52" s="2008"/>
      <c r="HZ52" s="2025">
        <f>+HZ51/HZ46</f>
        <v>0.19245966414224563</v>
      </c>
      <c r="IA52" s="2008"/>
      <c r="IB52" s="1540">
        <f>+IB51/IB46</f>
        <v>0.13304721030042918</v>
      </c>
      <c r="IC52" s="1356"/>
      <c r="ID52" s="2025">
        <f>+ID51/ID46</f>
        <v>0.13800505050505049</v>
      </c>
      <c r="IE52" s="2008"/>
      <c r="IF52" s="2025">
        <f>+IF51/IF46</f>
        <v>0.11994931718991975</v>
      </c>
      <c r="IG52" s="2008"/>
    </row>
    <row r="53" spans="1:241">
      <c r="A53" s="1149"/>
      <c r="B53" s="1149"/>
      <c r="C53" s="1149"/>
      <c r="D53" s="1149"/>
      <c r="E53" s="1143"/>
      <c r="F53" s="1708"/>
      <c r="G53" s="1356"/>
      <c r="H53" s="1708"/>
      <c r="I53" s="1356"/>
      <c r="J53" s="1708"/>
      <c r="K53" s="1356"/>
      <c r="L53" s="1708"/>
      <c r="M53" s="1356"/>
      <c r="N53" s="1708"/>
      <c r="O53" s="1356"/>
      <c r="P53" s="1708"/>
      <c r="Q53" s="1356"/>
      <c r="R53" s="1708"/>
      <c r="T53" s="1708"/>
      <c r="U53" s="1356"/>
      <c r="V53" s="1708"/>
      <c r="W53" s="1356"/>
      <c r="X53" s="1708"/>
      <c r="Y53" s="1356"/>
      <c r="Z53" s="1708"/>
      <c r="AA53" s="1356"/>
      <c r="AB53" s="1708"/>
      <c r="AC53" s="1356"/>
      <c r="AD53" s="1708"/>
      <c r="AE53" s="1356"/>
      <c r="AF53" s="1708"/>
      <c r="AG53" s="1356"/>
      <c r="AH53" s="1708"/>
      <c r="AI53" s="1356"/>
      <c r="AJ53" s="1708"/>
      <c r="AK53" s="1356"/>
      <c r="AL53" s="1708"/>
      <c r="AM53" s="1356"/>
      <c r="AN53" s="1708"/>
      <c r="AO53" s="1356"/>
      <c r="AP53" s="1708"/>
      <c r="AQ53" s="1356"/>
      <c r="AR53" s="1708"/>
      <c r="AS53" s="1356"/>
      <c r="AT53" s="1708"/>
      <c r="AU53" s="1356"/>
      <c r="AV53" s="1708"/>
      <c r="AW53" s="1356"/>
      <c r="AX53" s="1708"/>
      <c r="AY53" s="1356"/>
      <c r="AZ53" s="1708"/>
      <c r="BA53" s="1356"/>
      <c r="BB53" s="1708"/>
      <c r="BC53" s="1356"/>
      <c r="BD53" s="1708"/>
      <c r="BE53" s="1356"/>
      <c r="BF53" s="1708"/>
      <c r="BG53" s="1356"/>
      <c r="BH53" s="1708"/>
      <c r="BI53" s="1356"/>
      <c r="BJ53" s="1708"/>
      <c r="BK53" s="1356"/>
      <c r="BL53" s="1708"/>
      <c r="BM53" s="1356"/>
      <c r="BN53" s="1708"/>
      <c r="BO53" s="1356"/>
      <c r="BP53" s="1708"/>
      <c r="BQ53" s="1356"/>
      <c r="BR53" s="1708"/>
      <c r="BS53" s="1356"/>
      <c r="BT53" s="1708"/>
      <c r="BU53" s="1356"/>
      <c r="BV53" s="1708"/>
      <c r="BW53" s="1356"/>
      <c r="BX53" s="1708"/>
      <c r="BY53" s="1356"/>
      <c r="BZ53" s="1708"/>
      <c r="CA53" s="1356"/>
      <c r="CB53" s="1708"/>
      <c r="CC53" s="1356"/>
      <c r="CD53" s="1708"/>
      <c r="CE53" s="1356"/>
      <c r="CF53" s="1708"/>
      <c r="CG53" s="1356"/>
      <c r="CH53" s="1708"/>
      <c r="CI53" s="1356"/>
      <c r="CJ53" s="1708"/>
      <c r="CK53" s="1356"/>
      <c r="CL53" s="1708"/>
      <c r="CM53" s="1356"/>
      <c r="CN53" s="1708"/>
      <c r="CO53" s="1356"/>
      <c r="CP53" s="1708"/>
      <c r="CQ53" s="1356"/>
      <c r="CR53" s="1708"/>
      <c r="CS53" s="1356"/>
      <c r="CT53" s="1708"/>
      <c r="CU53" s="1356"/>
      <c r="CV53" s="1708"/>
      <c r="CW53" s="1356"/>
      <c r="CX53" s="1708"/>
      <c r="CY53" s="1356"/>
      <c r="CZ53" s="1708"/>
      <c r="DA53" s="1356"/>
      <c r="DB53" s="1708"/>
      <c r="DC53" s="1356"/>
      <c r="DD53" s="1708"/>
      <c r="DE53" s="1356"/>
      <c r="DF53" s="1708"/>
      <c r="DG53" s="1356"/>
      <c r="DH53" s="1708"/>
      <c r="DI53" s="1356"/>
      <c r="DJ53" s="1708"/>
      <c r="DK53" s="1356"/>
      <c r="DL53" s="1708"/>
      <c r="DM53" s="1356"/>
      <c r="DN53" s="1708"/>
      <c r="DO53" s="1356"/>
      <c r="DP53" s="1708"/>
      <c r="DQ53" s="1356"/>
      <c r="DR53" s="1708"/>
      <c r="DS53" s="1356"/>
      <c r="DT53" s="1708"/>
      <c r="DU53" s="1356"/>
      <c r="DV53" s="1708"/>
      <c r="DW53" s="1356"/>
      <c r="DX53" s="1708"/>
      <c r="DY53" s="1356"/>
      <c r="DZ53" s="1708"/>
      <c r="EA53" s="1356"/>
      <c r="EB53" s="1708"/>
      <c r="EC53" s="1356"/>
      <c r="ED53" s="1708"/>
      <c r="EE53" s="1356"/>
      <c r="EF53" s="1708"/>
      <c r="EG53" s="1356"/>
      <c r="EH53" s="1708"/>
      <c r="EI53" s="1356"/>
      <c r="EJ53" s="1708"/>
      <c r="EK53" s="1356"/>
      <c r="EL53" s="1708"/>
      <c r="EM53" s="1356"/>
      <c r="EN53" s="1708"/>
      <c r="EO53" s="1356"/>
      <c r="EP53" s="1708"/>
      <c r="EQ53" s="1356"/>
      <c r="ER53" s="1708"/>
      <c r="ES53" s="1356"/>
      <c r="ET53" s="1708"/>
      <c r="EU53" s="1356"/>
      <c r="EV53" s="1708"/>
      <c r="EW53" s="1356"/>
      <c r="EX53" s="1708"/>
      <c r="EY53" s="1356"/>
      <c r="EZ53" s="1708"/>
      <c r="FA53" s="1356"/>
      <c r="FB53" s="1708"/>
      <c r="FC53" s="1356"/>
      <c r="FD53" s="1708"/>
      <c r="FE53" s="1356"/>
      <c r="FF53" s="1708"/>
      <c r="FG53" s="1356"/>
      <c r="FH53" s="1708"/>
      <c r="FI53" s="1356"/>
      <c r="FJ53" s="1708"/>
      <c r="FK53" s="1356"/>
      <c r="FL53" s="1708"/>
      <c r="FM53" s="1356"/>
      <c r="FN53" s="1708"/>
      <c r="FO53" s="1356"/>
      <c r="FP53" s="1708"/>
      <c r="FQ53" s="1356"/>
      <c r="FR53" s="1708"/>
      <c r="FS53" s="1356"/>
      <c r="FT53" s="1708"/>
      <c r="FU53" s="1356"/>
      <c r="FV53" s="1708"/>
      <c r="FW53" s="1356"/>
      <c r="FX53" s="1708"/>
      <c r="FY53" s="1356"/>
      <c r="FZ53" s="1708"/>
      <c r="GA53" s="1356"/>
      <c r="GB53" s="1708"/>
      <c r="GC53" s="1356"/>
      <c r="GD53" s="1708"/>
      <c r="GE53" s="1356"/>
      <c r="GF53" s="1708"/>
      <c r="GG53" s="1356"/>
      <c r="GH53" s="1708"/>
      <c r="GI53" s="1356"/>
      <c r="GJ53" s="1708"/>
      <c r="GK53" s="1356"/>
      <c r="GL53" s="1708"/>
      <c r="GM53" s="1356"/>
      <c r="GN53" s="1708"/>
      <c r="GO53" s="1356"/>
      <c r="GP53" s="1708"/>
      <c r="GQ53" s="1356"/>
      <c r="GR53" s="1708"/>
      <c r="GS53" s="1356"/>
      <c r="GT53" s="1708"/>
      <c r="GU53" s="1356"/>
      <c r="GV53" s="1708"/>
      <c r="GW53" s="1356"/>
      <c r="GX53" s="1708"/>
      <c r="GY53" s="1356"/>
      <c r="GZ53" s="1708"/>
      <c r="HA53" s="1356"/>
      <c r="HB53" s="1708"/>
      <c r="HC53" s="1356"/>
      <c r="HD53" s="1708"/>
      <c r="HE53" s="1356"/>
      <c r="HF53" s="2026"/>
      <c r="HG53" s="2008"/>
      <c r="HH53" s="1708"/>
      <c r="HI53" s="1356"/>
      <c r="HJ53" s="1708"/>
      <c r="HK53" s="1356"/>
      <c r="HL53" s="1708"/>
      <c r="HM53" s="1356"/>
      <c r="HN53" s="1708"/>
      <c r="HO53" s="1356"/>
      <c r="HP53" s="2026"/>
      <c r="HQ53" s="2008"/>
      <c r="HR53" s="1708"/>
      <c r="HS53" s="1356"/>
      <c r="HT53" s="2026"/>
      <c r="HU53" s="2008"/>
      <c r="HV53" s="2026"/>
      <c r="HW53" s="2008"/>
      <c r="HX53" s="2026"/>
      <c r="HY53" s="2008"/>
      <c r="HZ53" s="2026"/>
      <c r="IA53" s="2008"/>
      <c r="IB53" s="1708"/>
      <c r="IC53" s="1356"/>
      <c r="ID53" s="2026"/>
      <c r="IE53" s="2008"/>
      <c r="IF53" s="2026"/>
      <c r="IG53" s="2008"/>
    </row>
    <row r="54" spans="1:241" hidden="1">
      <c r="A54" s="1151"/>
      <c r="B54" s="1151"/>
      <c r="C54" s="1151" t="s">
        <v>86</v>
      </c>
      <c r="D54" s="1151"/>
      <c r="E54" s="1152"/>
      <c r="F54" s="1703" t="s">
        <v>1208</v>
      </c>
      <c r="G54" s="1704"/>
      <c r="H54" s="1703" t="s">
        <v>1208</v>
      </c>
      <c r="I54" s="1704"/>
      <c r="J54" s="1703" t="s">
        <v>1208</v>
      </c>
      <c r="K54" s="1704"/>
      <c r="L54" s="1703" t="s">
        <v>1208</v>
      </c>
      <c r="M54" s="1704"/>
      <c r="N54" s="1703" t="s">
        <v>1208</v>
      </c>
      <c r="O54" s="1704"/>
      <c r="P54" s="1703" t="s">
        <v>1208</v>
      </c>
      <c r="Q54" s="1704"/>
      <c r="R54" s="1703" t="s">
        <v>1208</v>
      </c>
      <c r="S54" s="1704"/>
      <c r="T54" s="1703" t="s">
        <v>1208</v>
      </c>
      <c r="U54" s="1704"/>
      <c r="V54" s="1703" t="s">
        <v>1208</v>
      </c>
      <c r="W54" s="1704"/>
      <c r="X54" s="1703" t="s">
        <v>1208</v>
      </c>
      <c r="Y54" s="1704"/>
      <c r="Z54" s="1703" t="s">
        <v>1208</v>
      </c>
      <c r="AA54" s="1704"/>
      <c r="AB54" s="1703" t="s">
        <v>1208</v>
      </c>
      <c r="AC54" s="1704"/>
      <c r="AD54" s="1703" t="s">
        <v>1208</v>
      </c>
      <c r="AE54" s="1704"/>
      <c r="AF54" s="1703" t="s">
        <v>1208</v>
      </c>
      <c r="AG54" s="1704"/>
      <c r="AH54" s="1703" t="s">
        <v>1208</v>
      </c>
      <c r="AI54" s="1704"/>
      <c r="AJ54" s="1703" t="s">
        <v>1208</v>
      </c>
      <c r="AK54" s="1704"/>
      <c r="AL54" s="1703" t="s">
        <v>1208</v>
      </c>
      <c r="AM54" s="1704"/>
      <c r="AN54" s="1703" t="s">
        <v>1208</v>
      </c>
      <c r="AO54" s="1704"/>
      <c r="AP54" s="1703" t="s">
        <v>1208</v>
      </c>
      <c r="AQ54" s="1704"/>
      <c r="AR54" s="1703" t="s">
        <v>1208</v>
      </c>
      <c r="AS54" s="1704"/>
      <c r="AT54" s="1703" t="s">
        <v>1208</v>
      </c>
      <c r="AU54" s="1704"/>
      <c r="AV54" s="1703" t="s">
        <v>1208</v>
      </c>
      <c r="AW54" s="1704"/>
      <c r="AX54" s="1703" t="s">
        <v>1208</v>
      </c>
      <c r="AY54" s="1704"/>
      <c r="AZ54" s="1703" t="s">
        <v>1208</v>
      </c>
      <c r="BA54" s="1704"/>
      <c r="BB54" s="1703" t="s">
        <v>1208</v>
      </c>
      <c r="BC54" s="1704"/>
      <c r="BD54" s="1703" t="s">
        <v>1208</v>
      </c>
      <c r="BE54" s="1704"/>
      <c r="BF54" s="1703" t="s">
        <v>1208</v>
      </c>
      <c r="BG54" s="1704"/>
      <c r="BH54" s="1703" t="s">
        <v>1208</v>
      </c>
      <c r="BI54" s="1704"/>
      <c r="BJ54" s="1703" t="s">
        <v>1208</v>
      </c>
      <c r="BK54" s="1704"/>
      <c r="BL54" s="1703" t="s">
        <v>1208</v>
      </c>
      <c r="BM54" s="1704"/>
      <c r="BN54" s="1703" t="s">
        <v>1208</v>
      </c>
      <c r="BO54" s="1704"/>
      <c r="BP54" s="1703" t="s">
        <v>1208</v>
      </c>
      <c r="BQ54" s="1704"/>
      <c r="BR54" s="1703" t="s">
        <v>1208</v>
      </c>
      <c r="BS54" s="1704"/>
      <c r="BT54" s="1703" t="s">
        <v>1208</v>
      </c>
      <c r="BU54" s="1704"/>
      <c r="BV54" s="1703" t="s">
        <v>1208</v>
      </c>
      <c r="BW54" s="1704"/>
      <c r="BX54" s="1703" t="s">
        <v>1208</v>
      </c>
      <c r="BY54" s="1704"/>
      <c r="BZ54" s="1703" t="s">
        <v>1208</v>
      </c>
      <c r="CA54" s="1704"/>
      <c r="CB54" s="1703" t="s">
        <v>1208</v>
      </c>
      <c r="CC54" s="1704"/>
      <c r="CD54" s="1703" t="s">
        <v>1208</v>
      </c>
      <c r="CE54" s="1704"/>
      <c r="CF54" s="1703" t="s">
        <v>1208</v>
      </c>
      <c r="CG54" s="1704"/>
      <c r="CH54" s="1703" t="s">
        <v>1208</v>
      </c>
      <c r="CI54" s="1704"/>
      <c r="CJ54" s="1703" t="s">
        <v>1208</v>
      </c>
      <c r="CK54" s="1704"/>
      <c r="CL54" s="1703" t="s">
        <v>1208</v>
      </c>
      <c r="CM54" s="1704"/>
      <c r="CN54" s="1703" t="s">
        <v>1208</v>
      </c>
      <c r="CO54" s="1704"/>
      <c r="CP54" s="1703" t="s">
        <v>1208</v>
      </c>
      <c r="CQ54" s="1704"/>
      <c r="CR54" s="1703" t="s">
        <v>1208</v>
      </c>
      <c r="CS54" s="1704"/>
      <c r="CT54" s="1703" t="s">
        <v>1208</v>
      </c>
      <c r="CU54" s="1704"/>
      <c r="CV54" s="1703" t="s">
        <v>1208</v>
      </c>
      <c r="CW54" s="1704"/>
      <c r="CX54" s="1703" t="s">
        <v>1208</v>
      </c>
      <c r="CY54" s="1704"/>
      <c r="CZ54" s="1703" t="s">
        <v>1208</v>
      </c>
      <c r="DA54" s="1704"/>
      <c r="DB54" s="1703" t="s">
        <v>1208</v>
      </c>
      <c r="DC54" s="1704"/>
      <c r="DD54" s="1703" t="s">
        <v>1208</v>
      </c>
      <c r="DE54" s="1704"/>
      <c r="DF54" s="1703" t="s">
        <v>1208</v>
      </c>
      <c r="DG54" s="1704"/>
      <c r="DH54" s="1703" t="s">
        <v>1208</v>
      </c>
      <c r="DI54" s="1704"/>
      <c r="DJ54" s="1703" t="s">
        <v>1208</v>
      </c>
      <c r="DK54" s="1704"/>
      <c r="DL54" s="1703" t="s">
        <v>1208</v>
      </c>
      <c r="DM54" s="1704"/>
      <c r="DN54" s="1703" t="s">
        <v>1208</v>
      </c>
      <c r="DO54" s="1704"/>
      <c r="DP54" s="1703" t="s">
        <v>1208</v>
      </c>
      <c r="DQ54" s="1704"/>
      <c r="DR54" s="1703" t="s">
        <v>1208</v>
      </c>
      <c r="DS54" s="1704"/>
      <c r="DT54" s="1703" t="s">
        <v>1208</v>
      </c>
      <c r="DU54" s="1704"/>
      <c r="DV54" s="1703" t="s">
        <v>1208</v>
      </c>
      <c r="DW54" s="1704"/>
      <c r="DX54" s="1703" t="s">
        <v>1208</v>
      </c>
      <c r="DY54" s="1704"/>
      <c r="DZ54" s="1703" t="s">
        <v>1208</v>
      </c>
      <c r="EA54" s="1704"/>
      <c r="EB54" s="1703" t="s">
        <v>1208</v>
      </c>
      <c r="EC54" s="1704"/>
      <c r="ED54" s="1703" t="s">
        <v>1208</v>
      </c>
      <c r="EE54" s="1704"/>
      <c r="EF54" s="1703" t="s">
        <v>1208</v>
      </c>
      <c r="EG54" s="1704"/>
      <c r="EH54" s="1703" t="s">
        <v>1208</v>
      </c>
      <c r="EI54" s="1704"/>
      <c r="EJ54" s="1703" t="s">
        <v>1208</v>
      </c>
      <c r="EK54" s="1704"/>
      <c r="EL54" s="1703" t="s">
        <v>1208</v>
      </c>
      <c r="EM54" s="1704"/>
      <c r="EN54" s="1703" t="s">
        <v>1208</v>
      </c>
      <c r="EO54" s="1704"/>
      <c r="EP54" s="1703" t="s">
        <v>1208</v>
      </c>
      <c r="EQ54" s="1704"/>
      <c r="ER54" s="1703" t="s">
        <v>1208</v>
      </c>
      <c r="ES54" s="1704"/>
      <c r="ET54" s="1703" t="s">
        <v>1208</v>
      </c>
      <c r="EU54" s="1704"/>
      <c r="EV54" s="1703" t="s">
        <v>1208</v>
      </c>
      <c r="EW54" s="1704"/>
      <c r="EX54" s="1703" t="s">
        <v>1208</v>
      </c>
      <c r="EY54" s="1704"/>
      <c r="EZ54" s="1703" t="s">
        <v>1208</v>
      </c>
      <c r="FA54" s="1704"/>
      <c r="FB54" s="1703" t="s">
        <v>1208</v>
      </c>
      <c r="FC54" s="1704"/>
      <c r="FD54" s="1703" t="s">
        <v>1208</v>
      </c>
      <c r="FE54" s="1704"/>
      <c r="FF54" s="1703" t="s">
        <v>1208</v>
      </c>
      <c r="FG54" s="1704"/>
      <c r="FH54" s="1703" t="s">
        <v>1208</v>
      </c>
      <c r="FI54" s="1704"/>
      <c r="FJ54" s="1703" t="s">
        <v>1208</v>
      </c>
      <c r="FK54" s="1704"/>
      <c r="FL54" s="1703" t="s">
        <v>1208</v>
      </c>
      <c r="FM54" s="1704"/>
      <c r="FN54" s="1703" t="s">
        <v>1208</v>
      </c>
      <c r="FO54" s="1704"/>
      <c r="FP54" s="1703" t="s">
        <v>1208</v>
      </c>
      <c r="FQ54" s="1704"/>
      <c r="FR54" s="1703" t="s">
        <v>1208</v>
      </c>
      <c r="FS54" s="1704"/>
      <c r="FT54" s="1703" t="s">
        <v>1208</v>
      </c>
      <c r="FU54" s="1704"/>
      <c r="FV54" s="1703" t="s">
        <v>1208</v>
      </c>
      <c r="FW54" s="1704"/>
      <c r="FX54" s="1703" t="s">
        <v>1208</v>
      </c>
      <c r="FY54" s="1704"/>
      <c r="FZ54" s="1703" t="s">
        <v>1208</v>
      </c>
      <c r="GA54" s="1704"/>
      <c r="GB54" s="1703" t="s">
        <v>1208</v>
      </c>
      <c r="GC54" s="1704"/>
      <c r="GD54" s="1703" t="s">
        <v>1208</v>
      </c>
      <c r="GE54" s="1704"/>
      <c r="GF54" s="1703" t="s">
        <v>1208</v>
      </c>
      <c r="GG54" s="1704"/>
      <c r="GH54" s="1703" t="s">
        <v>1208</v>
      </c>
      <c r="GI54" s="1704"/>
      <c r="GJ54" s="1703" t="s">
        <v>1208</v>
      </c>
      <c r="GK54" s="1704"/>
      <c r="GL54" s="1703" t="s">
        <v>1208</v>
      </c>
      <c r="GM54" s="1704"/>
      <c r="GN54" s="1703" t="s">
        <v>1208</v>
      </c>
      <c r="GO54" s="1704"/>
      <c r="GP54" s="1703" t="s">
        <v>1208</v>
      </c>
      <c r="GQ54" s="1704"/>
      <c r="GR54" s="1703" t="s">
        <v>1208</v>
      </c>
      <c r="GS54" s="1704"/>
      <c r="GT54" s="1703" t="s">
        <v>1208</v>
      </c>
      <c r="GU54" s="1704"/>
      <c r="GV54" s="1703" t="s">
        <v>1208</v>
      </c>
      <c r="GW54" s="1704"/>
      <c r="GX54" s="1703" t="s">
        <v>1208</v>
      </c>
      <c r="GY54" s="1704"/>
      <c r="GZ54" s="1703" t="s">
        <v>1208</v>
      </c>
      <c r="HA54" s="1704"/>
      <c r="HB54" s="1703" t="s">
        <v>1208</v>
      </c>
      <c r="HC54" s="1704"/>
      <c r="HD54" s="1703" t="s">
        <v>1208</v>
      </c>
      <c r="HE54" s="1704"/>
      <c r="HF54" s="2020" t="s">
        <v>1208</v>
      </c>
      <c r="HG54" s="2027"/>
      <c r="HH54" s="1703" t="s">
        <v>1208</v>
      </c>
      <c r="HI54" s="1704"/>
      <c r="HJ54" s="1703" t="s">
        <v>1208</v>
      </c>
      <c r="HK54" s="1704"/>
      <c r="HL54" s="1703" t="s">
        <v>1208</v>
      </c>
      <c r="HM54" s="1704"/>
      <c r="HN54" s="1703" t="s">
        <v>1208</v>
      </c>
      <c r="HO54" s="1704"/>
      <c r="HP54" s="2020" t="s">
        <v>1208</v>
      </c>
      <c r="HQ54" s="2027"/>
      <c r="HR54" s="1703" t="s">
        <v>1208</v>
      </c>
      <c r="HS54" s="1704"/>
      <c r="HT54" s="2020" t="s">
        <v>1208</v>
      </c>
      <c r="HU54" s="2027"/>
      <c r="HV54" s="2020" t="s">
        <v>1208</v>
      </c>
      <c r="HW54" s="2027"/>
      <c r="HX54" s="2020" t="s">
        <v>1208</v>
      </c>
      <c r="HY54" s="2027"/>
      <c r="HZ54" s="2020" t="s">
        <v>1208</v>
      </c>
      <c r="IA54" s="2027"/>
      <c r="IB54" s="1703" t="s">
        <v>1208</v>
      </c>
      <c r="IC54" s="1704"/>
      <c r="ID54" s="2020" t="s">
        <v>1208</v>
      </c>
      <c r="IE54" s="2027"/>
      <c r="IF54" s="2020" t="s">
        <v>1208</v>
      </c>
      <c r="IG54" s="2027"/>
    </row>
    <row r="55" spans="1:241" hidden="1">
      <c r="A55" s="1151"/>
      <c r="B55" s="1151"/>
      <c r="C55" s="1151" t="s">
        <v>87</v>
      </c>
      <c r="D55" s="1151"/>
      <c r="E55" s="1152"/>
      <c r="F55" s="1703" t="s">
        <v>1208</v>
      </c>
      <c r="G55" s="1704"/>
      <c r="H55" s="1703" t="s">
        <v>1208</v>
      </c>
      <c r="I55" s="1704"/>
      <c r="J55" s="1703" t="s">
        <v>1208</v>
      </c>
      <c r="K55" s="1704"/>
      <c r="L55" s="1703" t="s">
        <v>1208</v>
      </c>
      <c r="M55" s="1704"/>
      <c r="N55" s="1703" t="s">
        <v>1208</v>
      </c>
      <c r="O55" s="1704"/>
      <c r="P55" s="1703" t="s">
        <v>1208</v>
      </c>
      <c r="Q55" s="1704"/>
      <c r="R55" s="1703" t="s">
        <v>1208</v>
      </c>
      <c r="S55" s="1704"/>
      <c r="T55" s="1703" t="s">
        <v>1208</v>
      </c>
      <c r="U55" s="1704"/>
      <c r="V55" s="1703" t="s">
        <v>1208</v>
      </c>
      <c r="W55" s="1704"/>
      <c r="X55" s="1703" t="s">
        <v>1208</v>
      </c>
      <c r="Y55" s="1704"/>
      <c r="Z55" s="1703" t="s">
        <v>1208</v>
      </c>
      <c r="AA55" s="1704"/>
      <c r="AB55" s="1703" t="s">
        <v>1208</v>
      </c>
      <c r="AC55" s="1704"/>
      <c r="AD55" s="1703" t="s">
        <v>1208</v>
      </c>
      <c r="AE55" s="1704"/>
      <c r="AF55" s="1703" t="s">
        <v>1208</v>
      </c>
      <c r="AG55" s="1704"/>
      <c r="AH55" s="1703" t="s">
        <v>1208</v>
      </c>
      <c r="AI55" s="1704"/>
      <c r="AJ55" s="1703" t="s">
        <v>1208</v>
      </c>
      <c r="AK55" s="1704"/>
      <c r="AL55" s="1703" t="s">
        <v>1208</v>
      </c>
      <c r="AM55" s="1704"/>
      <c r="AN55" s="1703" t="s">
        <v>1208</v>
      </c>
      <c r="AO55" s="1704"/>
      <c r="AP55" s="1703" t="s">
        <v>1208</v>
      </c>
      <c r="AQ55" s="1704"/>
      <c r="AR55" s="1703" t="s">
        <v>1208</v>
      </c>
      <c r="AS55" s="1704"/>
      <c r="AT55" s="1703" t="s">
        <v>1208</v>
      </c>
      <c r="AU55" s="1704"/>
      <c r="AV55" s="1703" t="s">
        <v>1208</v>
      </c>
      <c r="AW55" s="1704"/>
      <c r="AX55" s="1703" t="s">
        <v>1208</v>
      </c>
      <c r="AY55" s="1704"/>
      <c r="AZ55" s="1703" t="s">
        <v>1208</v>
      </c>
      <c r="BA55" s="1704"/>
      <c r="BB55" s="1703" t="s">
        <v>1208</v>
      </c>
      <c r="BC55" s="1704"/>
      <c r="BD55" s="1703" t="s">
        <v>1208</v>
      </c>
      <c r="BE55" s="1704"/>
      <c r="BF55" s="1703" t="s">
        <v>1208</v>
      </c>
      <c r="BG55" s="1704"/>
      <c r="BH55" s="1703" t="s">
        <v>1208</v>
      </c>
      <c r="BI55" s="1704"/>
      <c r="BJ55" s="1703" t="s">
        <v>1208</v>
      </c>
      <c r="BK55" s="1704"/>
      <c r="BL55" s="1703" t="s">
        <v>1208</v>
      </c>
      <c r="BM55" s="1704"/>
      <c r="BN55" s="1703" t="s">
        <v>1208</v>
      </c>
      <c r="BO55" s="1704"/>
      <c r="BP55" s="1703" t="s">
        <v>1208</v>
      </c>
      <c r="BQ55" s="1704"/>
      <c r="BR55" s="1703" t="s">
        <v>1208</v>
      </c>
      <c r="BS55" s="1704"/>
      <c r="BT55" s="1703" t="s">
        <v>1208</v>
      </c>
      <c r="BU55" s="1704"/>
      <c r="BV55" s="1703" t="s">
        <v>1208</v>
      </c>
      <c r="BW55" s="1704"/>
      <c r="BX55" s="1703" t="s">
        <v>1208</v>
      </c>
      <c r="BY55" s="1704"/>
      <c r="BZ55" s="1703" t="s">
        <v>1208</v>
      </c>
      <c r="CA55" s="1704"/>
      <c r="CB55" s="1703" t="s">
        <v>1208</v>
      </c>
      <c r="CC55" s="1704"/>
      <c r="CD55" s="1703" t="s">
        <v>1208</v>
      </c>
      <c r="CE55" s="1704"/>
      <c r="CF55" s="1703" t="s">
        <v>1208</v>
      </c>
      <c r="CG55" s="1704"/>
      <c r="CH55" s="1703" t="s">
        <v>1208</v>
      </c>
      <c r="CI55" s="1704"/>
      <c r="CJ55" s="1703" t="s">
        <v>1208</v>
      </c>
      <c r="CK55" s="1704"/>
      <c r="CL55" s="1703" t="s">
        <v>1208</v>
      </c>
      <c r="CM55" s="1704"/>
      <c r="CN55" s="1703" t="s">
        <v>1208</v>
      </c>
      <c r="CO55" s="1704"/>
      <c r="CP55" s="1703" t="s">
        <v>1208</v>
      </c>
      <c r="CQ55" s="1704"/>
      <c r="CR55" s="1703" t="s">
        <v>1208</v>
      </c>
      <c r="CS55" s="1704"/>
      <c r="CT55" s="1703" t="s">
        <v>1208</v>
      </c>
      <c r="CU55" s="1704"/>
      <c r="CV55" s="1703" t="s">
        <v>1208</v>
      </c>
      <c r="CW55" s="1704"/>
      <c r="CX55" s="1703" t="s">
        <v>1208</v>
      </c>
      <c r="CY55" s="1704"/>
      <c r="CZ55" s="1703" t="s">
        <v>1208</v>
      </c>
      <c r="DA55" s="1704"/>
      <c r="DB55" s="1703" t="s">
        <v>1208</v>
      </c>
      <c r="DC55" s="1704"/>
      <c r="DD55" s="1703" t="s">
        <v>1208</v>
      </c>
      <c r="DE55" s="1704"/>
      <c r="DF55" s="1703" t="s">
        <v>1208</v>
      </c>
      <c r="DG55" s="1704"/>
      <c r="DH55" s="1703" t="s">
        <v>1208</v>
      </c>
      <c r="DI55" s="1704"/>
      <c r="DJ55" s="1703" t="s">
        <v>1208</v>
      </c>
      <c r="DK55" s="1704"/>
      <c r="DL55" s="1703" t="s">
        <v>1208</v>
      </c>
      <c r="DM55" s="1704"/>
      <c r="DN55" s="1703" t="s">
        <v>1208</v>
      </c>
      <c r="DO55" s="1704"/>
      <c r="DP55" s="1703" t="s">
        <v>1208</v>
      </c>
      <c r="DQ55" s="1704"/>
      <c r="DR55" s="1703" t="s">
        <v>1208</v>
      </c>
      <c r="DS55" s="1704"/>
      <c r="DT55" s="1703" t="s">
        <v>1208</v>
      </c>
      <c r="DU55" s="1704"/>
      <c r="DV55" s="1703" t="s">
        <v>1208</v>
      </c>
      <c r="DW55" s="1704"/>
      <c r="DX55" s="1703" t="s">
        <v>1208</v>
      </c>
      <c r="DY55" s="1704"/>
      <c r="DZ55" s="1703" t="s">
        <v>1208</v>
      </c>
      <c r="EA55" s="1704"/>
      <c r="EB55" s="1703" t="s">
        <v>1208</v>
      </c>
      <c r="EC55" s="1704"/>
      <c r="ED55" s="1703" t="s">
        <v>1208</v>
      </c>
      <c r="EE55" s="1704"/>
      <c r="EF55" s="1703" t="s">
        <v>1208</v>
      </c>
      <c r="EG55" s="1704"/>
      <c r="EH55" s="1703" t="s">
        <v>1208</v>
      </c>
      <c r="EI55" s="1704"/>
      <c r="EJ55" s="1703" t="s">
        <v>1208</v>
      </c>
      <c r="EK55" s="1704"/>
      <c r="EL55" s="1703" t="s">
        <v>1208</v>
      </c>
      <c r="EM55" s="1704"/>
      <c r="EN55" s="1703" t="s">
        <v>1208</v>
      </c>
      <c r="EO55" s="1704"/>
      <c r="EP55" s="1703" t="s">
        <v>1208</v>
      </c>
      <c r="EQ55" s="1704"/>
      <c r="ER55" s="1703" t="s">
        <v>1208</v>
      </c>
      <c r="ES55" s="1704"/>
      <c r="ET55" s="1703" t="s">
        <v>1208</v>
      </c>
      <c r="EU55" s="1704"/>
      <c r="EV55" s="1703" t="s">
        <v>1208</v>
      </c>
      <c r="EW55" s="1704"/>
      <c r="EX55" s="1703" t="s">
        <v>1208</v>
      </c>
      <c r="EY55" s="1704"/>
      <c r="EZ55" s="1703" t="s">
        <v>1208</v>
      </c>
      <c r="FA55" s="1704"/>
      <c r="FB55" s="1703" t="s">
        <v>1208</v>
      </c>
      <c r="FC55" s="1704"/>
      <c r="FD55" s="1703" t="s">
        <v>1208</v>
      </c>
      <c r="FE55" s="1704"/>
      <c r="FF55" s="1703" t="s">
        <v>1208</v>
      </c>
      <c r="FG55" s="1704"/>
      <c r="FH55" s="1703" t="s">
        <v>1208</v>
      </c>
      <c r="FI55" s="1704"/>
      <c r="FJ55" s="1703" t="s">
        <v>1208</v>
      </c>
      <c r="FK55" s="1704"/>
      <c r="FL55" s="1703" t="s">
        <v>1208</v>
      </c>
      <c r="FM55" s="1704"/>
      <c r="FN55" s="1703" t="s">
        <v>1208</v>
      </c>
      <c r="FO55" s="1704"/>
      <c r="FP55" s="1703" t="s">
        <v>1208</v>
      </c>
      <c r="FQ55" s="1704"/>
      <c r="FR55" s="1703" t="s">
        <v>1208</v>
      </c>
      <c r="FS55" s="1704"/>
      <c r="FT55" s="1703" t="s">
        <v>1208</v>
      </c>
      <c r="FU55" s="1704"/>
      <c r="FV55" s="1703" t="s">
        <v>1208</v>
      </c>
      <c r="FW55" s="1704"/>
      <c r="FX55" s="1703" t="s">
        <v>1208</v>
      </c>
      <c r="FY55" s="1704"/>
      <c r="FZ55" s="1703" t="s">
        <v>1208</v>
      </c>
      <c r="GA55" s="1704"/>
      <c r="GB55" s="1703" t="s">
        <v>1208</v>
      </c>
      <c r="GC55" s="1704"/>
      <c r="GD55" s="1703" t="s">
        <v>1208</v>
      </c>
      <c r="GE55" s="1704"/>
      <c r="GF55" s="1703" t="s">
        <v>1208</v>
      </c>
      <c r="GG55" s="1704"/>
      <c r="GH55" s="1703" t="s">
        <v>1208</v>
      </c>
      <c r="GI55" s="1704"/>
      <c r="GJ55" s="1703" t="s">
        <v>1208</v>
      </c>
      <c r="GK55" s="1704"/>
      <c r="GL55" s="1703" t="s">
        <v>1208</v>
      </c>
      <c r="GM55" s="1704"/>
      <c r="GN55" s="1703" t="s">
        <v>1208</v>
      </c>
      <c r="GO55" s="1704"/>
      <c r="GP55" s="1703" t="s">
        <v>1208</v>
      </c>
      <c r="GQ55" s="1704"/>
      <c r="GR55" s="1703" t="s">
        <v>1208</v>
      </c>
      <c r="GS55" s="1704"/>
      <c r="GT55" s="1703" t="s">
        <v>1208</v>
      </c>
      <c r="GU55" s="1704"/>
      <c r="GV55" s="1703" t="s">
        <v>1208</v>
      </c>
      <c r="GW55" s="1704"/>
      <c r="GX55" s="1703" t="s">
        <v>1208</v>
      </c>
      <c r="GY55" s="1704"/>
      <c r="GZ55" s="1703" t="s">
        <v>1208</v>
      </c>
      <c r="HA55" s="1704"/>
      <c r="HB55" s="1703" t="s">
        <v>1208</v>
      </c>
      <c r="HC55" s="1704"/>
      <c r="HD55" s="1703" t="s">
        <v>1208</v>
      </c>
      <c r="HE55" s="1704"/>
      <c r="HF55" s="2020" t="s">
        <v>1208</v>
      </c>
      <c r="HG55" s="2027"/>
      <c r="HH55" s="1703" t="s">
        <v>1208</v>
      </c>
      <c r="HI55" s="1704"/>
      <c r="HJ55" s="1703" t="s">
        <v>1208</v>
      </c>
      <c r="HK55" s="1704"/>
      <c r="HL55" s="1703" t="s">
        <v>1208</v>
      </c>
      <c r="HM55" s="1704"/>
      <c r="HN55" s="1703" t="s">
        <v>1208</v>
      </c>
      <c r="HO55" s="1704"/>
      <c r="HP55" s="2020" t="s">
        <v>1208</v>
      </c>
      <c r="HQ55" s="2027"/>
      <c r="HR55" s="1703" t="s">
        <v>1208</v>
      </c>
      <c r="HS55" s="1704"/>
      <c r="HT55" s="2020" t="s">
        <v>1208</v>
      </c>
      <c r="HU55" s="2027"/>
      <c r="HV55" s="2020" t="s">
        <v>1208</v>
      </c>
      <c r="HW55" s="2027"/>
      <c r="HX55" s="2020" t="s">
        <v>1208</v>
      </c>
      <c r="HY55" s="2027"/>
      <c r="HZ55" s="2020" t="s">
        <v>1208</v>
      </c>
      <c r="IA55" s="2027"/>
      <c r="IB55" s="1703" t="s">
        <v>1208</v>
      </c>
      <c r="IC55" s="1704"/>
      <c r="ID55" s="2020" t="s">
        <v>1208</v>
      </c>
      <c r="IE55" s="2027"/>
      <c r="IF55" s="2020" t="s">
        <v>1208</v>
      </c>
      <c r="IG55" s="2027"/>
    </row>
    <row r="56" spans="1:241" hidden="1">
      <c r="A56" s="1151"/>
      <c r="B56" s="1151"/>
      <c r="C56" s="1151"/>
      <c r="D56" s="1151"/>
      <c r="E56" s="1152"/>
      <c r="F56" s="1706"/>
      <c r="G56" s="1704"/>
      <c r="H56" s="1706"/>
      <c r="I56" s="1704"/>
      <c r="J56" s="1706"/>
      <c r="K56" s="1704"/>
      <c r="L56" s="1706"/>
      <c r="M56" s="1704"/>
      <c r="N56" s="1706"/>
      <c r="O56" s="1704"/>
      <c r="P56" s="1706"/>
      <c r="Q56" s="1704"/>
      <c r="R56" s="1706"/>
      <c r="S56" s="1704"/>
      <c r="T56" s="1706"/>
      <c r="U56" s="1704"/>
      <c r="V56" s="1706"/>
      <c r="W56" s="1704"/>
      <c r="X56" s="1706"/>
      <c r="Y56" s="1704"/>
      <c r="Z56" s="1706"/>
      <c r="AA56" s="1704"/>
      <c r="AB56" s="1706"/>
      <c r="AC56" s="1704"/>
      <c r="AD56" s="1706"/>
      <c r="AE56" s="1704"/>
      <c r="AF56" s="1706"/>
      <c r="AG56" s="1704"/>
      <c r="AH56" s="1706"/>
      <c r="AI56" s="1704"/>
      <c r="AJ56" s="1706"/>
      <c r="AK56" s="1704"/>
      <c r="AL56" s="1706"/>
      <c r="AM56" s="1704"/>
      <c r="AN56" s="1706"/>
      <c r="AO56" s="1704"/>
      <c r="AP56" s="1706"/>
      <c r="AQ56" s="1704"/>
      <c r="AR56" s="1706"/>
      <c r="AS56" s="1704"/>
      <c r="AT56" s="1706"/>
      <c r="AU56" s="1704"/>
      <c r="AV56" s="1706"/>
      <c r="AW56" s="1704"/>
      <c r="AX56" s="1706"/>
      <c r="AY56" s="1704"/>
      <c r="AZ56" s="1706"/>
      <c r="BA56" s="1704"/>
      <c r="BB56" s="1706"/>
      <c r="BC56" s="1704"/>
      <c r="BD56" s="1706"/>
      <c r="BE56" s="1704"/>
      <c r="BF56" s="1706"/>
      <c r="BG56" s="1704"/>
      <c r="BH56" s="1706"/>
      <c r="BI56" s="1704"/>
      <c r="BJ56" s="1706"/>
      <c r="BK56" s="1704"/>
      <c r="BL56" s="1706"/>
      <c r="BM56" s="1704"/>
      <c r="BN56" s="1706"/>
      <c r="BO56" s="1704"/>
      <c r="BP56" s="1706"/>
      <c r="BQ56" s="1704"/>
      <c r="BR56" s="1706"/>
      <c r="BS56" s="1704"/>
      <c r="BT56" s="1706"/>
      <c r="BU56" s="1704"/>
      <c r="BV56" s="1706"/>
      <c r="BW56" s="1704"/>
      <c r="BX56" s="1706"/>
      <c r="BY56" s="1704"/>
      <c r="BZ56" s="1706"/>
      <c r="CA56" s="1704"/>
      <c r="CB56" s="1706"/>
      <c r="CC56" s="1704"/>
      <c r="CD56" s="1706"/>
      <c r="CE56" s="1704"/>
      <c r="CF56" s="1706"/>
      <c r="CG56" s="1704"/>
      <c r="CH56" s="1706"/>
      <c r="CI56" s="1704"/>
      <c r="CJ56" s="1706"/>
      <c r="CK56" s="1704"/>
      <c r="CL56" s="1706"/>
      <c r="CM56" s="1704"/>
      <c r="CN56" s="1706"/>
      <c r="CO56" s="1704"/>
      <c r="CP56" s="1706"/>
      <c r="CQ56" s="1704"/>
      <c r="CR56" s="1706"/>
      <c r="CS56" s="1704"/>
      <c r="CT56" s="1706"/>
      <c r="CU56" s="1704"/>
      <c r="CV56" s="1706"/>
      <c r="CW56" s="1704"/>
      <c r="CX56" s="1706"/>
      <c r="CY56" s="1704"/>
      <c r="CZ56" s="1706"/>
      <c r="DA56" s="1704"/>
      <c r="DB56" s="1706"/>
      <c r="DC56" s="1704"/>
      <c r="DD56" s="1706"/>
      <c r="DE56" s="1704"/>
      <c r="DF56" s="1706"/>
      <c r="DG56" s="1704"/>
      <c r="DH56" s="1706"/>
      <c r="DI56" s="1704"/>
      <c r="DJ56" s="1706"/>
      <c r="DK56" s="1704"/>
      <c r="DL56" s="1706"/>
      <c r="DM56" s="1704"/>
      <c r="DN56" s="1706"/>
      <c r="DO56" s="1704"/>
      <c r="DP56" s="1706"/>
      <c r="DQ56" s="1704"/>
      <c r="DR56" s="1706"/>
      <c r="DS56" s="1704"/>
      <c r="DT56" s="1706"/>
      <c r="DU56" s="1704"/>
      <c r="DV56" s="1706"/>
      <c r="DW56" s="1704"/>
      <c r="DX56" s="1706"/>
      <c r="DY56" s="1704"/>
      <c r="DZ56" s="1706"/>
      <c r="EA56" s="1704"/>
      <c r="EB56" s="1706"/>
      <c r="EC56" s="1704"/>
      <c r="ED56" s="1706"/>
      <c r="EE56" s="1704"/>
      <c r="EF56" s="1706"/>
      <c r="EG56" s="1704"/>
      <c r="EH56" s="1706"/>
      <c r="EI56" s="1704"/>
      <c r="EJ56" s="1706"/>
      <c r="EK56" s="1704"/>
      <c r="EL56" s="1706"/>
      <c r="EM56" s="1704"/>
      <c r="EN56" s="1706"/>
      <c r="EO56" s="1704"/>
      <c r="EP56" s="1706"/>
      <c r="EQ56" s="1704"/>
      <c r="ER56" s="1706"/>
      <c r="ES56" s="1704"/>
      <c r="ET56" s="1706"/>
      <c r="EU56" s="1704"/>
      <c r="EV56" s="1706"/>
      <c r="EW56" s="1704"/>
      <c r="EX56" s="1706"/>
      <c r="EY56" s="1704"/>
      <c r="EZ56" s="1706"/>
      <c r="FA56" s="1704"/>
      <c r="FB56" s="1706"/>
      <c r="FC56" s="1704"/>
      <c r="FD56" s="1706"/>
      <c r="FE56" s="1704"/>
      <c r="FF56" s="1706"/>
      <c r="FG56" s="1704"/>
      <c r="FH56" s="1706"/>
      <c r="FI56" s="1704"/>
      <c r="FJ56" s="1706"/>
      <c r="FK56" s="1704"/>
      <c r="FL56" s="1706"/>
      <c r="FM56" s="1704"/>
      <c r="FN56" s="1706"/>
      <c r="FO56" s="1704"/>
      <c r="FP56" s="1706"/>
      <c r="FQ56" s="1704"/>
      <c r="FR56" s="1706"/>
      <c r="FS56" s="1704"/>
      <c r="FT56" s="1706"/>
      <c r="FU56" s="1704"/>
      <c r="FV56" s="1706"/>
      <c r="FW56" s="1704"/>
      <c r="FX56" s="1706"/>
      <c r="FY56" s="1704"/>
      <c r="FZ56" s="1706"/>
      <c r="GA56" s="1704"/>
      <c r="GB56" s="1706"/>
      <c r="GC56" s="1704"/>
      <c r="GD56" s="1706"/>
      <c r="GE56" s="1704"/>
      <c r="GF56" s="1706"/>
      <c r="GG56" s="1704"/>
      <c r="GH56" s="1706"/>
      <c r="GI56" s="1704"/>
      <c r="GJ56" s="1706"/>
      <c r="GK56" s="1704"/>
      <c r="GL56" s="1706"/>
      <c r="GM56" s="1704"/>
      <c r="GN56" s="1706"/>
      <c r="GO56" s="1704"/>
      <c r="GP56" s="1706"/>
      <c r="GQ56" s="1704"/>
      <c r="GR56" s="1706"/>
      <c r="GS56" s="1704"/>
      <c r="GT56" s="1706"/>
      <c r="GU56" s="1704"/>
      <c r="GV56" s="1706"/>
      <c r="GW56" s="1704"/>
      <c r="GX56" s="1706"/>
      <c r="GY56" s="1704"/>
      <c r="GZ56" s="1706"/>
      <c r="HA56" s="1704"/>
      <c r="HB56" s="1706"/>
      <c r="HC56" s="1704"/>
      <c r="HD56" s="1706"/>
      <c r="HE56" s="1704"/>
      <c r="HF56" s="2028"/>
      <c r="HG56" s="2021"/>
      <c r="HH56" s="1706"/>
      <c r="HI56" s="1704"/>
      <c r="HJ56" s="1706"/>
      <c r="HK56" s="1704"/>
      <c r="HL56" s="1706"/>
      <c r="HM56" s="1704"/>
      <c r="HN56" s="1706"/>
      <c r="HO56" s="1704"/>
      <c r="HP56" s="2028"/>
      <c r="HQ56" s="2021"/>
      <c r="HR56" s="1706"/>
      <c r="HS56" s="1704"/>
      <c r="HT56" s="2028"/>
      <c r="HU56" s="2021"/>
      <c r="HV56" s="2028"/>
      <c r="HW56" s="2021"/>
      <c r="HX56" s="2028"/>
      <c r="HY56" s="2021"/>
      <c r="HZ56" s="2028"/>
      <c r="IA56" s="2021"/>
      <c r="IB56" s="1706"/>
      <c r="IC56" s="1704"/>
      <c r="ID56" s="2028"/>
      <c r="IE56" s="2021"/>
      <c r="IF56" s="2028"/>
      <c r="IG56" s="2021"/>
    </row>
    <row r="57" spans="1:241">
      <c r="A57" s="1149"/>
      <c r="B57" s="1149" t="s">
        <v>1217</v>
      </c>
      <c r="C57" s="1149"/>
      <c r="D57" s="1149"/>
      <c r="E57" s="1143"/>
      <c r="F57" s="1406"/>
      <c r="G57" s="1356"/>
      <c r="H57" s="1406"/>
      <c r="I57" s="1356"/>
      <c r="J57" s="1406"/>
      <c r="K57" s="1356"/>
      <c r="L57" s="1406"/>
      <c r="M57" s="1356"/>
      <c r="N57" s="1406"/>
      <c r="O57" s="1356"/>
      <c r="P57" s="1406"/>
      <c r="Q57" s="1356"/>
      <c r="T57" s="1406"/>
      <c r="U57" s="1356"/>
      <c r="V57" s="1406"/>
      <c r="W57" s="1356"/>
      <c r="X57" s="1406"/>
      <c r="Y57" s="1356"/>
      <c r="Z57" s="1406"/>
      <c r="AA57" s="1356"/>
      <c r="AB57" s="1406"/>
      <c r="AC57" s="1356"/>
      <c r="AD57" s="1406"/>
      <c r="AE57" s="1356"/>
      <c r="AF57" s="1406"/>
      <c r="AG57" s="1356"/>
      <c r="AH57" s="1406"/>
      <c r="AI57" s="1356"/>
      <c r="AJ57" s="1406"/>
      <c r="AK57" s="1356"/>
      <c r="AL57" s="1406"/>
      <c r="AM57" s="1356"/>
      <c r="AN57" s="1406"/>
      <c r="AO57" s="1356"/>
      <c r="AP57" s="1406"/>
      <c r="AQ57" s="1356"/>
      <c r="AR57" s="1406"/>
      <c r="AS57" s="1356"/>
      <c r="AT57" s="1406"/>
      <c r="AU57" s="1356"/>
      <c r="AV57" s="1406"/>
      <c r="AW57" s="1356"/>
      <c r="AX57" s="1406"/>
      <c r="AY57" s="1356"/>
      <c r="AZ57" s="1406"/>
      <c r="BA57" s="1356"/>
      <c r="BB57" s="1406"/>
      <c r="BC57" s="1356"/>
      <c r="BD57" s="1406"/>
      <c r="BE57" s="1356"/>
      <c r="BF57" s="1406"/>
      <c r="BG57" s="1356"/>
      <c r="BH57" s="1406"/>
      <c r="BI57" s="1356"/>
      <c r="BJ57" s="1406"/>
      <c r="BK57" s="1356"/>
      <c r="BL57" s="1406"/>
      <c r="BM57" s="1356"/>
      <c r="BN57" s="1406"/>
      <c r="BO57" s="1356"/>
      <c r="BP57" s="1406"/>
      <c r="BQ57" s="1356"/>
      <c r="BR57" s="1406"/>
      <c r="BS57" s="1356"/>
      <c r="BT57" s="1406"/>
      <c r="BU57" s="1356"/>
      <c r="BV57" s="1406"/>
      <c r="BW57" s="1356"/>
      <c r="BX57" s="1406"/>
      <c r="BY57" s="1356"/>
      <c r="BZ57" s="1406"/>
      <c r="CA57" s="1356"/>
      <c r="CB57" s="1406"/>
      <c r="CC57" s="1356"/>
      <c r="CD57" s="1406"/>
      <c r="CE57" s="1356"/>
      <c r="CF57" s="1406"/>
      <c r="CG57" s="1356"/>
      <c r="CH57" s="1406"/>
      <c r="CI57" s="1356"/>
      <c r="CJ57" s="1406"/>
      <c r="CK57" s="1356"/>
      <c r="CL57" s="1406"/>
      <c r="CM57" s="1356"/>
      <c r="CN57" s="1406"/>
      <c r="CO57" s="1356"/>
      <c r="CP57" s="1406"/>
      <c r="CQ57" s="1356"/>
      <c r="CR57" s="1406"/>
      <c r="CS57" s="1356"/>
      <c r="CT57" s="1406"/>
      <c r="CU57" s="1356"/>
      <c r="CV57" s="1406"/>
      <c r="CW57" s="1356"/>
      <c r="CX57" s="1406"/>
      <c r="CY57" s="1356"/>
      <c r="CZ57" s="1406"/>
      <c r="DA57" s="1356"/>
      <c r="DB57" s="1406"/>
      <c r="DC57" s="1356"/>
      <c r="DD57" s="1406"/>
      <c r="DE57" s="1356"/>
      <c r="DF57" s="1406"/>
      <c r="DG57" s="1356"/>
      <c r="DH57" s="1406"/>
      <c r="DI57" s="1356"/>
      <c r="DJ57" s="1406"/>
      <c r="DK57" s="1356"/>
      <c r="DL57" s="1406"/>
      <c r="DM57" s="1356"/>
      <c r="DN57" s="1406"/>
      <c r="DO57" s="1356"/>
      <c r="DP57" s="1406"/>
      <c r="DQ57" s="1356"/>
      <c r="DR57" s="1406"/>
      <c r="DS57" s="1356"/>
      <c r="DT57" s="1406"/>
      <c r="DU57" s="1356"/>
      <c r="DV57" s="1406"/>
      <c r="DW57" s="1356"/>
      <c r="DX57" s="1406"/>
      <c r="DY57" s="1356"/>
      <c r="DZ57" s="1406"/>
      <c r="EA57" s="1356"/>
      <c r="EB57" s="1406"/>
      <c r="EC57" s="1356"/>
      <c r="ED57" s="1406"/>
      <c r="EE57" s="1356"/>
      <c r="EF57" s="1406"/>
      <c r="EG57" s="1356"/>
      <c r="EH57" s="1406"/>
      <c r="EI57" s="1356"/>
      <c r="EJ57" s="1406"/>
      <c r="EK57" s="1356"/>
      <c r="EL57" s="1406"/>
      <c r="EM57" s="1356"/>
      <c r="EN57" s="1406"/>
      <c r="EO57" s="1356"/>
      <c r="EP57" s="1406"/>
      <c r="EQ57" s="1356"/>
      <c r="ER57" s="1406"/>
      <c r="ES57" s="1356"/>
      <c r="ET57" s="1406"/>
      <c r="EU57" s="1356"/>
      <c r="EV57" s="1406"/>
      <c r="EW57" s="1356"/>
      <c r="EX57" s="1406"/>
      <c r="EY57" s="1356"/>
      <c r="EZ57" s="1406"/>
      <c r="FA57" s="1356"/>
      <c r="FB57" s="1406"/>
      <c r="FC57" s="1356"/>
      <c r="FD57" s="1406"/>
      <c r="FE57" s="1356"/>
      <c r="FF57" s="1406"/>
      <c r="FG57" s="1356"/>
      <c r="FH57" s="1406"/>
      <c r="FI57" s="1356"/>
      <c r="FJ57" s="1406"/>
      <c r="FK57" s="1356"/>
      <c r="FL57" s="1406"/>
      <c r="FM57" s="1356"/>
      <c r="FN57" s="1406"/>
      <c r="FO57" s="1356"/>
      <c r="FP57" s="1406"/>
      <c r="FQ57" s="1356"/>
      <c r="FR57" s="1406"/>
      <c r="FS57" s="1356"/>
      <c r="FT57" s="1406"/>
      <c r="FU57" s="1356"/>
      <c r="FV57" s="1406"/>
      <c r="FW57" s="1356"/>
      <c r="FX57" s="1406"/>
      <c r="FY57" s="1356"/>
      <c r="FZ57" s="1406"/>
      <c r="GA57" s="1356"/>
      <c r="GB57" s="1406"/>
      <c r="GC57" s="1356"/>
      <c r="GD57" s="1406"/>
      <c r="GE57" s="1356"/>
      <c r="GF57" s="1406"/>
      <c r="GG57" s="1356"/>
      <c r="GH57" s="1406"/>
      <c r="GI57" s="1356"/>
      <c r="GJ57" s="1406"/>
      <c r="GK57" s="1356"/>
      <c r="GL57" s="1406"/>
      <c r="GM57" s="1356"/>
      <c r="GN57" s="1406"/>
      <c r="GO57" s="1356"/>
      <c r="GP57" s="1406"/>
      <c r="GQ57" s="1356"/>
      <c r="GR57" s="1406"/>
      <c r="GS57" s="1356"/>
      <c r="GT57" s="1406"/>
      <c r="GU57" s="1356"/>
      <c r="GV57" s="1406"/>
      <c r="GW57" s="1356"/>
      <c r="GX57" s="1406"/>
      <c r="GY57" s="1356"/>
      <c r="GZ57" s="1406"/>
      <c r="HA57" s="1356"/>
      <c r="HB57" s="1406"/>
      <c r="HC57" s="1356"/>
      <c r="HD57" s="1406"/>
      <c r="HE57" s="1356"/>
      <c r="HH57" s="1406"/>
      <c r="HI57" s="1356"/>
      <c r="HJ57" s="1406"/>
      <c r="HK57" s="1356"/>
      <c r="HL57" s="1406"/>
      <c r="HM57" s="1356"/>
      <c r="HN57" s="1406"/>
      <c r="HO57" s="1356"/>
      <c r="HR57" s="1406"/>
      <c r="HS57" s="1356"/>
      <c r="IB57" s="1406"/>
      <c r="IC57" s="1356"/>
    </row>
    <row r="58" spans="1:241">
      <c r="A58" s="1149"/>
      <c r="B58" s="1149" t="s">
        <v>1218</v>
      </c>
      <c r="C58" s="1149"/>
      <c r="D58" s="1149"/>
      <c r="E58" s="1143"/>
      <c r="F58" s="1537">
        <v>1</v>
      </c>
      <c r="G58" s="1356"/>
      <c r="H58" s="1537">
        <v>1</v>
      </c>
      <c r="I58" s="1356"/>
      <c r="J58" s="1537">
        <v>1</v>
      </c>
      <c r="K58" s="1356"/>
      <c r="L58" s="1537">
        <v>0</v>
      </c>
      <c r="M58" s="1356"/>
      <c r="N58" s="1537">
        <v>1</v>
      </c>
      <c r="O58" s="1356"/>
      <c r="P58" s="1537">
        <v>1</v>
      </c>
      <c r="Q58" s="1356"/>
      <c r="R58" s="1537">
        <v>1</v>
      </c>
      <c r="T58" s="1537">
        <v>0</v>
      </c>
      <c r="U58" s="1356"/>
      <c r="V58" s="1537">
        <v>1</v>
      </c>
      <c r="W58" s="1356"/>
      <c r="X58" s="1537">
        <v>0</v>
      </c>
      <c r="Y58" s="1356"/>
      <c r="Z58" s="1537">
        <v>1</v>
      </c>
      <c r="AA58" s="1356"/>
      <c r="AB58" s="1537">
        <v>0</v>
      </c>
      <c r="AC58" s="1356"/>
      <c r="AD58" s="1537">
        <v>1</v>
      </c>
      <c r="AE58" s="1356"/>
      <c r="AF58" s="1537">
        <v>1</v>
      </c>
      <c r="AG58" s="1356"/>
      <c r="AH58" s="1537">
        <v>0</v>
      </c>
      <c r="AI58" s="1356"/>
      <c r="AJ58" s="1537">
        <v>0</v>
      </c>
      <c r="AK58" s="1356"/>
      <c r="AL58" s="1537">
        <v>1</v>
      </c>
      <c r="AM58" s="1356"/>
      <c r="AN58" s="1537">
        <v>1</v>
      </c>
      <c r="AO58" s="1356"/>
      <c r="AP58" s="1537">
        <v>0</v>
      </c>
      <c r="AQ58" s="1356"/>
      <c r="AR58" s="1537">
        <v>1</v>
      </c>
      <c r="AS58" s="1356"/>
      <c r="AT58" s="1537">
        <v>1</v>
      </c>
      <c r="AU58" s="1356"/>
      <c r="AV58" s="1537">
        <v>0</v>
      </c>
      <c r="AW58" s="1356"/>
      <c r="AX58" s="1537">
        <v>1</v>
      </c>
      <c r="AY58" s="1356"/>
      <c r="AZ58" s="1537">
        <v>1</v>
      </c>
      <c r="BA58" s="1356"/>
      <c r="BB58" s="1537">
        <v>1</v>
      </c>
      <c r="BC58" s="1356"/>
      <c r="BD58" s="1537">
        <v>1</v>
      </c>
      <c r="BE58" s="1356"/>
      <c r="BF58" s="1537">
        <v>1</v>
      </c>
      <c r="BG58" s="1356"/>
      <c r="BH58" s="1537">
        <v>1</v>
      </c>
      <c r="BI58" s="1356"/>
      <c r="BJ58" s="1537">
        <v>1</v>
      </c>
      <c r="BK58" s="1356"/>
      <c r="BL58" s="1537">
        <v>1</v>
      </c>
      <c r="BM58" s="1356"/>
      <c r="BN58" s="1537">
        <v>1</v>
      </c>
      <c r="BO58" s="1356"/>
      <c r="BP58" s="1537">
        <v>1</v>
      </c>
      <c r="BQ58" s="1356"/>
      <c r="BR58" s="1537">
        <v>0</v>
      </c>
      <c r="BS58" s="1356"/>
      <c r="BT58" s="1537">
        <v>1</v>
      </c>
      <c r="BU58" s="1356"/>
      <c r="BV58" s="1537">
        <v>1</v>
      </c>
      <c r="BW58" s="1356"/>
      <c r="BX58" s="1537">
        <v>0</v>
      </c>
      <c r="BY58" s="1356"/>
      <c r="BZ58" s="1537">
        <v>1</v>
      </c>
      <c r="CA58" s="1356"/>
      <c r="CB58" s="1537">
        <v>1</v>
      </c>
      <c r="CC58" s="1356"/>
      <c r="CD58" s="1537">
        <v>1</v>
      </c>
      <c r="CE58" s="1356"/>
      <c r="CF58" s="1537">
        <v>1</v>
      </c>
      <c r="CG58" s="1356"/>
      <c r="CH58" s="1537">
        <v>0</v>
      </c>
      <c r="CI58" s="1356"/>
      <c r="CJ58" s="1537">
        <v>0</v>
      </c>
      <c r="CK58" s="1356"/>
      <c r="CL58" s="1537">
        <v>1</v>
      </c>
      <c r="CM58" s="1356"/>
      <c r="CN58" s="1537">
        <v>1</v>
      </c>
      <c r="CO58" s="1356"/>
      <c r="CP58" s="1537">
        <v>1</v>
      </c>
      <c r="CQ58" s="1356"/>
      <c r="CR58" s="1537">
        <v>0</v>
      </c>
      <c r="CS58" s="1356"/>
      <c r="CT58" s="1537">
        <v>1</v>
      </c>
      <c r="CU58" s="1356"/>
      <c r="CV58" s="1537">
        <v>1</v>
      </c>
      <c r="CW58" s="1356"/>
      <c r="CX58" s="1537">
        <v>1</v>
      </c>
      <c r="CY58" s="1356"/>
      <c r="CZ58" s="1537">
        <v>0</v>
      </c>
      <c r="DA58" s="1356"/>
      <c r="DB58" s="1537">
        <v>1</v>
      </c>
      <c r="DC58" s="1356"/>
      <c r="DD58" s="1537">
        <v>1</v>
      </c>
      <c r="DE58" s="1356"/>
      <c r="DF58" s="1537">
        <v>1</v>
      </c>
      <c r="DG58" s="1356"/>
      <c r="DH58" s="1537">
        <v>1</v>
      </c>
      <c r="DI58" s="1356"/>
      <c r="DJ58" s="1537">
        <v>1</v>
      </c>
      <c r="DK58" s="1356"/>
      <c r="DL58" s="1537">
        <v>1</v>
      </c>
      <c r="DM58" s="1356"/>
      <c r="DN58" s="1537">
        <v>0</v>
      </c>
      <c r="DO58" s="1356"/>
      <c r="DP58" s="1537">
        <v>1</v>
      </c>
      <c r="DQ58" s="1356"/>
      <c r="DR58" s="1537">
        <v>0</v>
      </c>
      <c r="DS58" s="1356"/>
      <c r="DT58" s="1537">
        <v>1</v>
      </c>
      <c r="DU58" s="1356"/>
      <c r="DV58" s="1537">
        <v>1</v>
      </c>
      <c r="DW58" s="1356"/>
      <c r="DX58" s="1537">
        <v>1</v>
      </c>
      <c r="DY58" s="1356"/>
      <c r="DZ58" s="1537">
        <v>1</v>
      </c>
      <c r="EA58" s="1356"/>
      <c r="EB58" s="1537">
        <v>1</v>
      </c>
      <c r="EC58" s="1356"/>
      <c r="ED58" s="1537">
        <v>0</v>
      </c>
      <c r="EE58" s="1356"/>
      <c r="EF58" s="1537">
        <v>0</v>
      </c>
      <c r="EG58" s="1356"/>
      <c r="EH58" s="1537">
        <v>1</v>
      </c>
      <c r="EI58" s="1356"/>
      <c r="EJ58" s="1537">
        <v>1</v>
      </c>
      <c r="EK58" s="1356"/>
      <c r="EL58" s="1537">
        <v>1</v>
      </c>
      <c r="EM58" s="1356"/>
      <c r="EN58" s="1537">
        <v>0</v>
      </c>
      <c r="EO58" s="1356"/>
      <c r="EP58" s="1537">
        <v>1</v>
      </c>
      <c r="EQ58" s="1356"/>
      <c r="ER58" s="1537">
        <v>1</v>
      </c>
      <c r="ES58" s="1356"/>
      <c r="ET58" s="1537">
        <v>1</v>
      </c>
      <c r="EU58" s="1356"/>
      <c r="EV58" s="1537">
        <v>0</v>
      </c>
      <c r="EW58" s="1356"/>
      <c r="EX58" s="1537">
        <v>1</v>
      </c>
      <c r="EY58" s="1356"/>
      <c r="EZ58" s="1537">
        <v>0</v>
      </c>
      <c r="FA58" s="1356"/>
      <c r="FB58" s="1537">
        <v>1</v>
      </c>
      <c r="FC58" s="1356"/>
      <c r="FD58" s="1537">
        <v>1</v>
      </c>
      <c r="FE58" s="1356"/>
      <c r="FF58" s="1537">
        <v>1</v>
      </c>
      <c r="FG58" s="1356"/>
      <c r="FH58" s="1537">
        <v>1</v>
      </c>
      <c r="FI58" s="1356"/>
      <c r="FJ58" s="1537">
        <v>1</v>
      </c>
      <c r="FK58" s="1356"/>
      <c r="FL58" s="1537">
        <v>1</v>
      </c>
      <c r="FM58" s="1356"/>
      <c r="FN58" s="1537">
        <v>1</v>
      </c>
      <c r="FO58" s="1356"/>
      <c r="FP58" s="1537">
        <v>1</v>
      </c>
      <c r="FQ58" s="1356"/>
      <c r="FR58" s="1537">
        <v>0</v>
      </c>
      <c r="FS58" s="1356"/>
      <c r="FT58" s="1537">
        <v>1</v>
      </c>
      <c r="FU58" s="1356"/>
      <c r="FV58" s="1537">
        <v>0</v>
      </c>
      <c r="FW58" s="1356"/>
      <c r="FX58" s="1537">
        <v>1</v>
      </c>
      <c r="FY58" s="1356"/>
      <c r="FZ58" s="1537">
        <v>1</v>
      </c>
      <c r="GA58" s="1356"/>
      <c r="GB58" s="1537">
        <v>1</v>
      </c>
      <c r="GC58" s="1356"/>
      <c r="GD58" s="1537">
        <v>0</v>
      </c>
      <c r="GE58" s="1356"/>
      <c r="GF58" s="1537">
        <v>1</v>
      </c>
      <c r="GG58" s="1356"/>
      <c r="GH58" s="1537">
        <v>1</v>
      </c>
      <c r="GI58" s="1356"/>
      <c r="GJ58" s="1537">
        <v>1</v>
      </c>
      <c r="GK58" s="1356"/>
      <c r="GL58" s="1537">
        <v>1</v>
      </c>
      <c r="GM58" s="1356"/>
      <c r="GN58" s="1537">
        <v>1</v>
      </c>
      <c r="GO58" s="1356"/>
      <c r="GP58" s="1537">
        <v>1</v>
      </c>
      <c r="GQ58" s="1356"/>
      <c r="GR58" s="1537">
        <v>1</v>
      </c>
      <c r="GS58" s="1356"/>
      <c r="GT58" s="1537">
        <v>0</v>
      </c>
      <c r="GU58" s="1356"/>
      <c r="GV58" s="1537">
        <v>1</v>
      </c>
      <c r="GW58" s="1356"/>
      <c r="GX58" s="1537">
        <v>1</v>
      </c>
      <c r="GY58" s="1356"/>
      <c r="GZ58" s="1537">
        <v>1</v>
      </c>
      <c r="HA58" s="1356"/>
      <c r="HB58" s="1537">
        <v>1</v>
      </c>
      <c r="HC58" s="1356"/>
      <c r="HD58" s="1537">
        <v>0</v>
      </c>
      <c r="HE58" s="1356"/>
      <c r="HF58" s="2012">
        <v>1</v>
      </c>
      <c r="HH58" s="1537">
        <v>0</v>
      </c>
      <c r="HI58" s="1356"/>
      <c r="HJ58" s="1537">
        <v>1</v>
      </c>
      <c r="HK58" s="1356"/>
      <c r="HL58" s="1537">
        <v>0</v>
      </c>
      <c r="HM58" s="1356"/>
      <c r="HN58" s="1537">
        <v>0</v>
      </c>
      <c r="HO58" s="1356"/>
      <c r="HP58" s="2012">
        <v>1</v>
      </c>
      <c r="HR58" s="1537">
        <v>1</v>
      </c>
      <c r="HS58" s="1356"/>
      <c r="HT58" s="2012">
        <v>1</v>
      </c>
      <c r="HV58" s="2012">
        <v>1</v>
      </c>
      <c r="HX58" s="2012">
        <v>1</v>
      </c>
      <c r="HZ58" s="2012">
        <v>1</v>
      </c>
      <c r="IB58" s="1537">
        <v>0</v>
      </c>
      <c r="IC58" s="1356"/>
      <c r="ID58" s="2012">
        <v>1</v>
      </c>
      <c r="IF58" s="2012">
        <v>1</v>
      </c>
    </row>
    <row r="59" spans="1:241">
      <c r="A59" s="1149"/>
      <c r="B59" s="1149"/>
      <c r="C59" s="1149"/>
      <c r="D59" s="1149" t="s">
        <v>1219</v>
      </c>
      <c r="E59" s="1143"/>
      <c r="F59" s="1537">
        <v>1500</v>
      </c>
      <c r="G59" s="1356"/>
      <c r="H59" s="1537">
        <v>3000</v>
      </c>
      <c r="I59" s="1356"/>
      <c r="J59" s="1537">
        <v>2400</v>
      </c>
      <c r="K59" s="1356"/>
      <c r="L59" s="1537"/>
      <c r="M59" s="1356"/>
      <c r="N59" s="1537">
        <v>2060</v>
      </c>
      <c r="O59" s="1356"/>
      <c r="P59" s="1537">
        <v>3300</v>
      </c>
      <c r="Q59" s="1356"/>
      <c r="R59" s="1537">
        <v>2900</v>
      </c>
      <c r="T59" s="1537"/>
      <c r="U59" s="1356"/>
      <c r="V59" s="1537">
        <v>924</v>
      </c>
      <c r="W59" s="1356"/>
      <c r="X59" s="1537"/>
      <c r="Y59" s="1356"/>
      <c r="Z59" s="1537">
        <v>3480</v>
      </c>
      <c r="AA59" s="1356"/>
      <c r="AB59" s="1537"/>
      <c r="AC59" s="1356"/>
      <c r="AD59" s="1537">
        <v>2400</v>
      </c>
      <c r="AE59" s="1356"/>
      <c r="AF59" s="1537">
        <v>1822</v>
      </c>
      <c r="AG59" s="1356"/>
      <c r="AH59" s="1537"/>
      <c r="AI59" s="1356"/>
      <c r="AJ59" s="1537"/>
      <c r="AK59" s="1356"/>
      <c r="AL59" s="1537">
        <v>2500</v>
      </c>
      <c r="AM59" s="1356"/>
      <c r="AN59" s="1537">
        <v>2225</v>
      </c>
      <c r="AO59" s="1356"/>
      <c r="AP59" s="1537"/>
      <c r="AQ59" s="1356"/>
      <c r="AR59" s="1537">
        <v>9410</v>
      </c>
      <c r="AS59" s="1356"/>
      <c r="AT59" s="1537">
        <v>1200</v>
      </c>
      <c r="AU59" s="1356"/>
      <c r="AV59" s="1537"/>
      <c r="AW59" s="1356"/>
      <c r="AX59" s="1537">
        <v>120</v>
      </c>
      <c r="AY59" s="1356"/>
      <c r="AZ59" s="1537">
        <v>1304</v>
      </c>
      <c r="BA59" s="1356"/>
      <c r="BB59" s="1537">
        <v>590</v>
      </c>
      <c r="BC59" s="1356" t="s">
        <v>2342</v>
      </c>
      <c r="BD59" s="1537">
        <v>1500</v>
      </c>
      <c r="BE59" s="1356"/>
      <c r="BF59" s="1537">
        <v>1418.73</v>
      </c>
      <c r="BG59" s="1356"/>
      <c r="BH59" s="1537">
        <v>1700</v>
      </c>
      <c r="BI59" s="1356"/>
      <c r="BJ59" s="1537">
        <v>3840</v>
      </c>
      <c r="BK59" s="1356"/>
      <c r="BL59" s="1537">
        <v>4000</v>
      </c>
      <c r="BM59" s="1356"/>
      <c r="BN59" s="1537">
        <v>3500</v>
      </c>
      <c r="BO59" s="1356"/>
      <c r="BP59" s="1537">
        <f>250*12</f>
        <v>3000</v>
      </c>
      <c r="BQ59" s="1356"/>
      <c r="BR59" s="1537"/>
      <c r="BS59" s="1356"/>
      <c r="BT59" s="1537">
        <v>1000</v>
      </c>
      <c r="BU59" s="1356"/>
      <c r="BV59" s="1537">
        <v>902</v>
      </c>
      <c r="BW59" s="1356"/>
      <c r="BX59" s="1537"/>
      <c r="BY59" s="1356"/>
      <c r="BZ59" s="1537">
        <v>1800</v>
      </c>
      <c r="CA59" s="1356"/>
      <c r="CB59" s="1537">
        <v>2000</v>
      </c>
      <c r="CC59" s="1356"/>
      <c r="CD59" s="1537">
        <v>2750</v>
      </c>
      <c r="CE59" s="1356"/>
      <c r="CF59" s="1537">
        <v>3900</v>
      </c>
      <c r="CG59" s="1356"/>
      <c r="CH59" s="1537"/>
      <c r="CI59" s="1356"/>
      <c r="CJ59" s="1537"/>
      <c r="CK59" s="1356"/>
      <c r="CL59" s="1537">
        <v>2128</v>
      </c>
      <c r="CM59" s="1356"/>
      <c r="CN59" s="1537">
        <v>1700</v>
      </c>
      <c r="CO59" s="1356"/>
      <c r="CP59" s="1537">
        <v>1716</v>
      </c>
      <c r="CQ59" s="1356"/>
      <c r="CR59" s="1537"/>
      <c r="CS59" s="1356"/>
      <c r="CT59" s="1537">
        <v>2200</v>
      </c>
      <c r="CU59" s="1356"/>
      <c r="CV59" s="1537">
        <v>2500</v>
      </c>
      <c r="CW59" s="1356"/>
      <c r="CX59" s="1537">
        <v>2195</v>
      </c>
      <c r="CY59" s="1356"/>
      <c r="CZ59" s="1537"/>
      <c r="DA59" s="1356"/>
      <c r="DB59" s="1537">
        <v>1200</v>
      </c>
      <c r="DC59" s="1356"/>
      <c r="DD59" s="1537">
        <v>1002</v>
      </c>
      <c r="DE59" s="1356"/>
      <c r="DF59" s="1537">
        <v>3336</v>
      </c>
      <c r="DG59" s="1356"/>
      <c r="DH59" s="1537">
        <v>744</v>
      </c>
      <c r="DI59" s="1356"/>
      <c r="DJ59" s="1537">
        <v>1200</v>
      </c>
      <c r="DK59" s="1356"/>
      <c r="DL59" s="1537">
        <v>2663</v>
      </c>
      <c r="DM59" s="1356"/>
      <c r="DN59" s="1537"/>
      <c r="DO59" s="1356"/>
      <c r="DP59" s="1537">
        <v>2400</v>
      </c>
      <c r="DQ59" s="1356"/>
      <c r="DR59" s="1537"/>
      <c r="DS59" s="1356"/>
      <c r="DT59" s="1537">
        <v>2541</v>
      </c>
      <c r="DU59" s="1356"/>
      <c r="DV59" s="1537">
        <v>2100</v>
      </c>
      <c r="DW59" s="1356"/>
      <c r="DX59" s="1537">
        <v>1300</v>
      </c>
      <c r="DY59" s="1356"/>
      <c r="DZ59" s="1537">
        <v>600</v>
      </c>
      <c r="EA59" s="1356"/>
      <c r="EB59" s="1537">
        <v>1473</v>
      </c>
      <c r="EC59" s="1356"/>
      <c r="ED59" s="1537"/>
      <c r="EE59" s="1356"/>
      <c r="EF59" s="1537"/>
      <c r="EG59" s="1356"/>
      <c r="EH59" s="1537">
        <v>2315</v>
      </c>
      <c r="EI59" s="1356"/>
      <c r="EJ59" s="1537">
        <f>115*12</f>
        <v>1380</v>
      </c>
      <c r="EK59" s="1356"/>
      <c r="EL59" s="1537">
        <v>2687</v>
      </c>
      <c r="EM59" s="1356"/>
      <c r="EN59" s="1537"/>
      <c r="EO59" s="1356"/>
      <c r="EP59" s="1537">
        <v>900</v>
      </c>
      <c r="EQ59" s="1356"/>
      <c r="ER59" s="1537">
        <v>925</v>
      </c>
      <c r="ES59" s="1356"/>
      <c r="ET59" s="1537">
        <v>2400</v>
      </c>
      <c r="EU59" s="1356"/>
      <c r="EV59" s="1537"/>
      <c r="EW59" s="1356"/>
      <c r="EX59" s="1537">
        <v>1424</v>
      </c>
      <c r="EY59" s="1356"/>
      <c r="EZ59" s="1537"/>
      <c r="FA59" s="1356"/>
      <c r="FB59" s="1537">
        <v>650</v>
      </c>
      <c r="FC59" s="1356"/>
      <c r="FD59" s="1537">
        <v>1200</v>
      </c>
      <c r="FE59" s="1356"/>
      <c r="FF59" s="1537">
        <v>1048</v>
      </c>
      <c r="FG59" s="1356"/>
      <c r="FH59" s="1537">
        <v>1200</v>
      </c>
      <c r="FI59" s="1356"/>
      <c r="FJ59" s="1537">
        <f>(213.27+58.44)*12</f>
        <v>3260.5200000000004</v>
      </c>
      <c r="FK59" s="1356"/>
      <c r="FL59" s="1537">
        <v>1968</v>
      </c>
      <c r="FM59" s="1356"/>
      <c r="FN59" s="1537">
        <v>3600</v>
      </c>
      <c r="FO59" s="1356"/>
      <c r="FP59" s="1537">
        <v>1283</v>
      </c>
      <c r="FQ59" s="1356"/>
      <c r="FR59" s="1537"/>
      <c r="FS59" s="1356"/>
      <c r="FT59" s="1537">
        <v>2006</v>
      </c>
      <c r="FU59" s="1356"/>
      <c r="FV59" s="1537"/>
      <c r="FW59" s="1356"/>
      <c r="FX59" s="1537">
        <v>1374</v>
      </c>
      <c r="FY59" s="1356"/>
      <c r="FZ59" s="1537">
        <v>2785</v>
      </c>
      <c r="GA59" s="1356"/>
      <c r="GB59" s="1537">
        <v>1313</v>
      </c>
      <c r="GC59" s="1356"/>
      <c r="GD59" s="1537"/>
      <c r="GE59" s="1356"/>
      <c r="GF59" s="1537">
        <v>2634</v>
      </c>
      <c r="GG59" s="1356"/>
      <c r="GH59" s="1537">
        <v>1843</v>
      </c>
      <c r="GI59" s="1356"/>
      <c r="GJ59" s="1537">
        <v>2590</v>
      </c>
      <c r="GK59" s="1356"/>
      <c r="GL59" s="1537">
        <v>1457</v>
      </c>
      <c r="GM59" s="1356"/>
      <c r="GN59" s="1537">
        <v>792</v>
      </c>
      <c r="GO59" s="1356"/>
      <c r="GP59" s="1537">
        <v>1920</v>
      </c>
      <c r="GQ59" s="1356"/>
      <c r="GR59" s="1537">
        <v>750</v>
      </c>
      <c r="GS59" s="1356"/>
      <c r="GT59" s="1537"/>
      <c r="GU59" s="1356"/>
      <c r="GV59" s="1537">
        <v>800</v>
      </c>
      <c r="GW59" s="1356"/>
      <c r="GX59" s="1537">
        <v>730</v>
      </c>
      <c r="GY59" s="1356"/>
      <c r="GZ59" s="1537">
        <v>1391</v>
      </c>
      <c r="HA59" s="1356"/>
      <c r="HB59" s="1537">
        <v>925</v>
      </c>
      <c r="HC59" s="1356"/>
      <c r="HD59" s="1537"/>
      <c r="HE59" s="1356"/>
      <c r="HF59" s="2012">
        <v>2064</v>
      </c>
      <c r="HH59" s="1537"/>
      <c r="HI59" s="1356"/>
      <c r="HJ59" s="1537">
        <v>540</v>
      </c>
      <c r="HK59" s="1356"/>
      <c r="HL59" s="1537"/>
      <c r="HM59" s="1356"/>
      <c r="HN59" s="1537"/>
      <c r="HO59" s="1356"/>
      <c r="HP59" s="2012">
        <v>710</v>
      </c>
      <c r="HR59" s="1537">
        <v>922</v>
      </c>
      <c r="HS59" s="1356"/>
      <c r="HT59" s="2012">
        <v>1828</v>
      </c>
      <c r="HV59" s="2012">
        <v>2100</v>
      </c>
      <c r="HX59" s="2012">
        <f>250*12</f>
        <v>3000</v>
      </c>
      <c r="HZ59" s="2012">
        <v>3956</v>
      </c>
      <c r="IB59" s="1537"/>
      <c r="IC59" s="1356"/>
      <c r="ID59" s="2012">
        <v>1678.32</v>
      </c>
      <c r="IF59" s="2012">
        <v>240</v>
      </c>
    </row>
    <row r="60" spans="1:241" hidden="1">
      <c r="A60" s="1151"/>
      <c r="B60" s="1151"/>
      <c r="C60" s="1151"/>
      <c r="D60" s="1151" t="s">
        <v>1220</v>
      </c>
      <c r="E60" s="1152"/>
      <c r="F60" s="1703" t="s">
        <v>1208</v>
      </c>
      <c r="G60" s="1704"/>
      <c r="H60" s="1703" t="s">
        <v>1208</v>
      </c>
      <c r="I60" s="1704"/>
      <c r="J60" s="1703" t="s">
        <v>1208</v>
      </c>
      <c r="K60" s="1704"/>
      <c r="L60" s="1703" t="s">
        <v>1208</v>
      </c>
      <c r="M60" s="1704"/>
      <c r="N60" s="1703" t="s">
        <v>1208</v>
      </c>
      <c r="O60" s="1704"/>
      <c r="P60" s="1703" t="s">
        <v>1208</v>
      </c>
      <c r="Q60" s="1704"/>
      <c r="R60" s="1703" t="s">
        <v>1208</v>
      </c>
      <c r="S60" s="1704"/>
      <c r="T60" s="1703" t="s">
        <v>1208</v>
      </c>
      <c r="U60" s="1704"/>
      <c r="V60" s="1703" t="s">
        <v>1208</v>
      </c>
      <c r="W60" s="1704"/>
      <c r="X60" s="1703" t="s">
        <v>1208</v>
      </c>
      <c r="Y60" s="1704"/>
      <c r="Z60" s="1703" t="s">
        <v>1208</v>
      </c>
      <c r="AA60" s="1704"/>
      <c r="AB60" s="1703" t="s">
        <v>1208</v>
      </c>
      <c r="AC60" s="1704"/>
      <c r="AD60" s="1703" t="s">
        <v>1208</v>
      </c>
      <c r="AE60" s="1704"/>
      <c r="AF60" s="1703" t="s">
        <v>1208</v>
      </c>
      <c r="AG60" s="1704"/>
      <c r="AH60" s="1703" t="s">
        <v>1208</v>
      </c>
      <c r="AI60" s="1704"/>
      <c r="AJ60" s="1703" t="s">
        <v>1208</v>
      </c>
      <c r="AK60" s="1704"/>
      <c r="AL60" s="1703" t="s">
        <v>1208</v>
      </c>
      <c r="AM60" s="1704"/>
      <c r="AN60" s="1703" t="s">
        <v>1208</v>
      </c>
      <c r="AO60" s="1704"/>
      <c r="AP60" s="1703" t="s">
        <v>1208</v>
      </c>
      <c r="AQ60" s="1704"/>
      <c r="AR60" s="1703" t="s">
        <v>1208</v>
      </c>
      <c r="AS60" s="1704"/>
      <c r="AT60" s="1703" t="s">
        <v>1208</v>
      </c>
      <c r="AU60" s="1704"/>
      <c r="AV60" s="1703" t="s">
        <v>1208</v>
      </c>
      <c r="AW60" s="1704"/>
      <c r="AX60" s="1703" t="s">
        <v>1208</v>
      </c>
      <c r="AY60" s="1704"/>
      <c r="AZ60" s="1703" t="s">
        <v>1208</v>
      </c>
      <c r="BA60" s="1704"/>
      <c r="BB60" s="1703" t="s">
        <v>1208</v>
      </c>
      <c r="BC60" s="1704"/>
      <c r="BD60" s="1703" t="s">
        <v>1208</v>
      </c>
      <c r="BE60" s="1704"/>
      <c r="BF60" s="1703" t="s">
        <v>1208</v>
      </c>
      <c r="BG60" s="1704"/>
      <c r="BH60" s="1703" t="s">
        <v>1208</v>
      </c>
      <c r="BI60" s="1704"/>
      <c r="BJ60" s="1703" t="s">
        <v>1208</v>
      </c>
      <c r="BK60" s="1704"/>
      <c r="BL60" s="1703" t="s">
        <v>1208</v>
      </c>
      <c r="BM60" s="1704"/>
      <c r="BN60" s="1703" t="s">
        <v>1208</v>
      </c>
      <c r="BO60" s="1704"/>
      <c r="BP60" s="1703" t="s">
        <v>1208</v>
      </c>
      <c r="BQ60" s="1704"/>
      <c r="BR60" s="1703" t="s">
        <v>1208</v>
      </c>
      <c r="BS60" s="1704"/>
      <c r="BT60" s="1703" t="s">
        <v>1208</v>
      </c>
      <c r="BU60" s="1704"/>
      <c r="BV60" s="1703" t="s">
        <v>1208</v>
      </c>
      <c r="BW60" s="1704"/>
      <c r="BX60" s="1703" t="s">
        <v>1208</v>
      </c>
      <c r="BY60" s="1704"/>
      <c r="BZ60" s="1703" t="s">
        <v>1208</v>
      </c>
      <c r="CA60" s="1704"/>
      <c r="CB60" s="1703" t="s">
        <v>1208</v>
      </c>
      <c r="CC60" s="1704"/>
      <c r="CD60" s="1703" t="s">
        <v>1208</v>
      </c>
      <c r="CE60" s="1704"/>
      <c r="CF60" s="1703" t="s">
        <v>1208</v>
      </c>
      <c r="CG60" s="1704"/>
      <c r="CH60" s="1703" t="s">
        <v>1208</v>
      </c>
      <c r="CI60" s="1704"/>
      <c r="CJ60" s="1703" t="s">
        <v>1208</v>
      </c>
      <c r="CK60" s="1704"/>
      <c r="CL60" s="1703" t="s">
        <v>1208</v>
      </c>
      <c r="CM60" s="1704"/>
      <c r="CN60" s="1703" t="s">
        <v>1208</v>
      </c>
      <c r="CO60" s="1704"/>
      <c r="CP60" s="1703" t="s">
        <v>1208</v>
      </c>
      <c r="CQ60" s="1704"/>
      <c r="CR60" s="1703" t="s">
        <v>1208</v>
      </c>
      <c r="CS60" s="1704"/>
      <c r="CT60" s="1703" t="s">
        <v>1208</v>
      </c>
      <c r="CU60" s="1704"/>
      <c r="CV60" s="1703" t="s">
        <v>1208</v>
      </c>
      <c r="CW60" s="1704"/>
      <c r="CX60" s="1703" t="s">
        <v>1208</v>
      </c>
      <c r="CY60" s="1704"/>
      <c r="CZ60" s="1703" t="s">
        <v>1208</v>
      </c>
      <c r="DA60" s="1704"/>
      <c r="DB60" s="1703" t="s">
        <v>1208</v>
      </c>
      <c r="DC60" s="1704"/>
      <c r="DD60" s="1703" t="s">
        <v>1208</v>
      </c>
      <c r="DE60" s="1704"/>
      <c r="DF60" s="1703" t="s">
        <v>1208</v>
      </c>
      <c r="DG60" s="1704"/>
      <c r="DH60" s="1703" t="s">
        <v>1208</v>
      </c>
      <c r="DI60" s="1704"/>
      <c r="DJ60" s="1703" t="s">
        <v>1208</v>
      </c>
      <c r="DK60" s="1704"/>
      <c r="DL60" s="1703" t="s">
        <v>1208</v>
      </c>
      <c r="DM60" s="1704"/>
      <c r="DN60" s="1703" t="s">
        <v>1208</v>
      </c>
      <c r="DO60" s="1704"/>
      <c r="DP60" s="1703" t="s">
        <v>1208</v>
      </c>
      <c r="DQ60" s="1704"/>
      <c r="DR60" s="1703" t="s">
        <v>1208</v>
      </c>
      <c r="DS60" s="1704"/>
      <c r="DT60" s="1703" t="s">
        <v>1208</v>
      </c>
      <c r="DU60" s="1704"/>
      <c r="DV60" s="1703" t="s">
        <v>1208</v>
      </c>
      <c r="DW60" s="1704"/>
      <c r="DX60" s="1703" t="s">
        <v>1208</v>
      </c>
      <c r="DY60" s="1704"/>
      <c r="DZ60" s="1703" t="s">
        <v>1208</v>
      </c>
      <c r="EA60" s="1704"/>
      <c r="EB60" s="1703" t="s">
        <v>1208</v>
      </c>
      <c r="EC60" s="1704"/>
      <c r="ED60" s="1703" t="s">
        <v>1208</v>
      </c>
      <c r="EE60" s="1704"/>
      <c r="EF60" s="1703" t="s">
        <v>1208</v>
      </c>
      <c r="EG60" s="1704"/>
      <c r="EH60" s="1703" t="s">
        <v>1208</v>
      </c>
      <c r="EI60" s="1704"/>
      <c r="EJ60" s="1703" t="s">
        <v>1208</v>
      </c>
      <c r="EK60" s="1704"/>
      <c r="EL60" s="1703" t="s">
        <v>1208</v>
      </c>
      <c r="EM60" s="1704"/>
      <c r="EN60" s="1703" t="s">
        <v>1208</v>
      </c>
      <c r="EO60" s="1704"/>
      <c r="EP60" s="1703" t="s">
        <v>1208</v>
      </c>
      <c r="EQ60" s="1704"/>
      <c r="ER60" s="1703" t="s">
        <v>1208</v>
      </c>
      <c r="ES60" s="1704"/>
      <c r="ET60" s="1703" t="s">
        <v>1208</v>
      </c>
      <c r="EU60" s="1704"/>
      <c r="EV60" s="1703" t="s">
        <v>1208</v>
      </c>
      <c r="EW60" s="1704"/>
      <c r="EX60" s="1703" t="s">
        <v>1208</v>
      </c>
      <c r="EY60" s="1704"/>
      <c r="EZ60" s="1703" t="s">
        <v>1208</v>
      </c>
      <c r="FA60" s="1704"/>
      <c r="FB60" s="1703" t="s">
        <v>1208</v>
      </c>
      <c r="FC60" s="1704"/>
      <c r="FD60" s="1703" t="s">
        <v>1208</v>
      </c>
      <c r="FE60" s="1704"/>
      <c r="FF60" s="1703" t="s">
        <v>1208</v>
      </c>
      <c r="FG60" s="1704"/>
      <c r="FH60" s="1703" t="s">
        <v>1208</v>
      </c>
      <c r="FI60" s="1704"/>
      <c r="FJ60" s="1703" t="s">
        <v>1208</v>
      </c>
      <c r="FK60" s="1704"/>
      <c r="FL60" s="1703" t="s">
        <v>1208</v>
      </c>
      <c r="FM60" s="1704"/>
      <c r="FN60" s="1703" t="s">
        <v>1208</v>
      </c>
      <c r="FO60" s="1704"/>
      <c r="FP60" s="1703" t="s">
        <v>1208</v>
      </c>
      <c r="FQ60" s="1704"/>
      <c r="FR60" s="1703" t="s">
        <v>1208</v>
      </c>
      <c r="FS60" s="1704"/>
      <c r="FT60" s="1703" t="s">
        <v>1208</v>
      </c>
      <c r="FU60" s="1704"/>
      <c r="FV60" s="1703" t="s">
        <v>1208</v>
      </c>
      <c r="FW60" s="1704"/>
      <c r="FX60" s="1703" t="s">
        <v>1208</v>
      </c>
      <c r="FY60" s="1704"/>
      <c r="FZ60" s="1703" t="s">
        <v>1208</v>
      </c>
      <c r="GA60" s="1704"/>
      <c r="GB60" s="1703" t="s">
        <v>1208</v>
      </c>
      <c r="GC60" s="1704"/>
      <c r="GD60" s="1703" t="s">
        <v>1208</v>
      </c>
      <c r="GE60" s="1704"/>
      <c r="GF60" s="1703" t="s">
        <v>1208</v>
      </c>
      <c r="GG60" s="1704"/>
      <c r="GH60" s="1703" t="s">
        <v>1208</v>
      </c>
      <c r="GI60" s="1704"/>
      <c r="GJ60" s="1703" t="s">
        <v>1208</v>
      </c>
      <c r="GK60" s="1704"/>
      <c r="GL60" s="1703" t="s">
        <v>1208</v>
      </c>
      <c r="GM60" s="1704"/>
      <c r="GN60" s="1703" t="s">
        <v>1208</v>
      </c>
      <c r="GO60" s="1704"/>
      <c r="GP60" s="1703" t="s">
        <v>1208</v>
      </c>
      <c r="GQ60" s="1704"/>
      <c r="GR60" s="1703" t="s">
        <v>1208</v>
      </c>
      <c r="GS60" s="1704"/>
      <c r="GT60" s="1703" t="s">
        <v>1208</v>
      </c>
      <c r="GU60" s="1704"/>
      <c r="GV60" s="1703" t="s">
        <v>1208</v>
      </c>
      <c r="GW60" s="1704"/>
      <c r="GX60" s="1703" t="s">
        <v>1208</v>
      </c>
      <c r="GY60" s="1704"/>
      <c r="GZ60" s="1703" t="s">
        <v>1208</v>
      </c>
      <c r="HA60" s="1704"/>
      <c r="HB60" s="1703" t="s">
        <v>1208</v>
      </c>
      <c r="HC60" s="1704"/>
      <c r="HD60" s="1703" t="s">
        <v>1208</v>
      </c>
      <c r="HE60" s="1704"/>
      <c r="HF60" s="2020" t="s">
        <v>1208</v>
      </c>
      <c r="HG60" s="2021"/>
      <c r="HH60" s="1703" t="s">
        <v>1208</v>
      </c>
      <c r="HI60" s="1704"/>
      <c r="HJ60" s="1703" t="s">
        <v>1208</v>
      </c>
      <c r="HK60" s="1704"/>
      <c r="HL60" s="1703" t="s">
        <v>1208</v>
      </c>
      <c r="HM60" s="1704"/>
      <c r="HN60" s="1703" t="s">
        <v>1208</v>
      </c>
      <c r="HO60" s="1704"/>
      <c r="HP60" s="2020" t="s">
        <v>1208</v>
      </c>
      <c r="HQ60" s="2021"/>
      <c r="HR60" s="1703" t="s">
        <v>1208</v>
      </c>
      <c r="HS60" s="1704"/>
      <c r="HT60" s="2020" t="s">
        <v>1208</v>
      </c>
      <c r="HU60" s="2021"/>
      <c r="HV60" s="2020" t="s">
        <v>1208</v>
      </c>
      <c r="HW60" s="2021"/>
      <c r="HX60" s="2020" t="s">
        <v>1208</v>
      </c>
      <c r="HY60" s="2021"/>
      <c r="HZ60" s="2020" t="s">
        <v>1208</v>
      </c>
      <c r="IA60" s="2021"/>
      <c r="IB60" s="1703" t="s">
        <v>1208</v>
      </c>
      <c r="IC60" s="1704"/>
      <c r="ID60" s="2020" t="s">
        <v>1208</v>
      </c>
      <c r="IE60" s="2021"/>
      <c r="IF60" s="2020" t="s">
        <v>1208</v>
      </c>
      <c r="IG60" s="2021"/>
    </row>
    <row r="61" spans="1:241">
      <c r="A61" s="1149"/>
      <c r="B61" s="1149"/>
      <c r="C61" s="1149"/>
      <c r="D61" s="1150"/>
      <c r="E61" s="1143"/>
      <c r="F61" s="1699"/>
      <c r="G61" s="1356"/>
      <c r="H61" s="1699"/>
      <c r="I61" s="1356"/>
      <c r="J61" s="1699"/>
      <c r="K61" s="1356"/>
      <c r="L61" s="1699"/>
      <c r="M61" s="1356"/>
      <c r="N61" s="1699"/>
      <c r="O61" s="1356"/>
      <c r="P61" s="1699"/>
      <c r="Q61" s="1356"/>
      <c r="R61" s="1699"/>
      <c r="T61" s="1699"/>
      <c r="U61" s="1356"/>
      <c r="V61" s="1699"/>
      <c r="W61" s="1356"/>
      <c r="X61" s="1699"/>
      <c r="Y61" s="1356"/>
      <c r="Z61" s="1699"/>
      <c r="AA61" s="1356"/>
      <c r="AB61" s="1699"/>
      <c r="AC61" s="1356"/>
      <c r="AD61" s="1699"/>
      <c r="AE61" s="1356"/>
      <c r="AF61" s="1699"/>
      <c r="AG61" s="1356"/>
      <c r="AH61" s="1699"/>
      <c r="AI61" s="1356"/>
      <c r="AJ61" s="1699"/>
      <c r="AK61" s="1356"/>
      <c r="AL61" s="1699"/>
      <c r="AM61" s="1356"/>
      <c r="AN61" s="1699"/>
      <c r="AO61" s="1356"/>
      <c r="AP61" s="1699"/>
      <c r="AQ61" s="1356"/>
      <c r="AR61" s="1699"/>
      <c r="AS61" s="1356"/>
      <c r="AT61" s="1699"/>
      <c r="AU61" s="1356"/>
      <c r="AV61" s="1699"/>
      <c r="AW61" s="1356"/>
      <c r="AX61" s="1699"/>
      <c r="AY61" s="1356"/>
      <c r="AZ61" s="1699"/>
      <c r="BA61" s="1356"/>
      <c r="BB61" s="1699"/>
      <c r="BC61" s="1356"/>
      <c r="BD61" s="1699"/>
      <c r="BE61" s="1356"/>
      <c r="BF61" s="1699"/>
      <c r="BG61" s="1356"/>
      <c r="BH61" s="1699"/>
      <c r="BI61" s="1356"/>
      <c r="BJ61" s="1699"/>
      <c r="BK61" s="1356"/>
      <c r="BL61" s="1699"/>
      <c r="BM61" s="1356"/>
      <c r="BN61" s="1699"/>
      <c r="BO61" s="1356"/>
      <c r="BP61" s="1699"/>
      <c r="BQ61" s="1356"/>
      <c r="BR61" s="1699"/>
      <c r="BS61" s="1356"/>
      <c r="BT61" s="1699"/>
      <c r="BU61" s="1356"/>
      <c r="BV61" s="1699"/>
      <c r="BW61" s="1356"/>
      <c r="BX61" s="1699"/>
      <c r="BY61" s="1356"/>
      <c r="BZ61" s="1699"/>
      <c r="CA61" s="1356"/>
      <c r="CB61" s="1699"/>
      <c r="CC61" s="1356"/>
      <c r="CD61" s="1699"/>
      <c r="CE61" s="1356"/>
      <c r="CF61" s="1699"/>
      <c r="CG61" s="1356"/>
      <c r="CH61" s="1699"/>
      <c r="CI61" s="1356"/>
      <c r="CJ61" s="1699"/>
      <c r="CK61" s="1356"/>
      <c r="CL61" s="1699"/>
      <c r="CM61" s="1356"/>
      <c r="CN61" s="1699"/>
      <c r="CO61" s="1356"/>
      <c r="CP61" s="1699"/>
      <c r="CQ61" s="1356"/>
      <c r="CR61" s="1699"/>
      <c r="CS61" s="1356"/>
      <c r="CT61" s="1699"/>
      <c r="CU61" s="1356"/>
      <c r="CV61" s="1699"/>
      <c r="CW61" s="1356"/>
      <c r="CX61" s="1699"/>
      <c r="CY61" s="1356"/>
      <c r="CZ61" s="1699"/>
      <c r="DA61" s="1356"/>
      <c r="DB61" s="1699"/>
      <c r="DC61" s="1356"/>
      <c r="DD61" s="1699"/>
      <c r="DE61" s="1356"/>
      <c r="DF61" s="1699"/>
      <c r="DG61" s="1356"/>
      <c r="DH61" s="1699"/>
      <c r="DI61" s="1356"/>
      <c r="DJ61" s="1699"/>
      <c r="DK61" s="1356"/>
      <c r="DL61" s="1699"/>
      <c r="DM61" s="1356"/>
      <c r="DN61" s="1699"/>
      <c r="DO61" s="1356"/>
      <c r="DP61" s="1699"/>
      <c r="DQ61" s="1356"/>
      <c r="DR61" s="1699"/>
      <c r="DS61" s="1356"/>
      <c r="DT61" s="1699"/>
      <c r="DU61" s="1356"/>
      <c r="DV61" s="1699"/>
      <c r="DW61" s="1356"/>
      <c r="DX61" s="1699"/>
      <c r="DY61" s="1356"/>
      <c r="DZ61" s="1699"/>
      <c r="EA61" s="1356"/>
      <c r="EB61" s="1699"/>
      <c r="EC61" s="1356"/>
      <c r="ED61" s="1699"/>
      <c r="EE61" s="1356"/>
      <c r="EF61" s="1699"/>
      <c r="EG61" s="1356"/>
      <c r="EH61" s="1699"/>
      <c r="EI61" s="1356"/>
      <c r="EJ61" s="1699"/>
      <c r="EK61" s="1356"/>
      <c r="EL61" s="1699"/>
      <c r="EM61" s="1356"/>
      <c r="EN61" s="1699"/>
      <c r="EO61" s="1356"/>
      <c r="EP61" s="1699"/>
      <c r="EQ61" s="1356"/>
      <c r="ER61" s="1699"/>
      <c r="ES61" s="1356"/>
      <c r="ET61" s="1699"/>
      <c r="EU61" s="1356"/>
      <c r="EV61" s="1699"/>
      <c r="EW61" s="1356"/>
      <c r="EX61" s="1699"/>
      <c r="EY61" s="1356"/>
      <c r="EZ61" s="1699"/>
      <c r="FA61" s="1356"/>
      <c r="FB61" s="1699"/>
      <c r="FC61" s="1356"/>
      <c r="FD61" s="1699"/>
      <c r="FE61" s="1356"/>
      <c r="FF61" s="1699"/>
      <c r="FG61" s="1356"/>
      <c r="FH61" s="1699"/>
      <c r="FI61" s="1356"/>
      <c r="FJ61" s="1699"/>
      <c r="FK61" s="1356"/>
      <c r="FL61" s="1699"/>
      <c r="FM61" s="1356"/>
      <c r="FN61" s="1699"/>
      <c r="FO61" s="1356"/>
      <c r="FP61" s="1699"/>
      <c r="FQ61" s="1356"/>
      <c r="FR61" s="1699"/>
      <c r="FS61" s="1356"/>
      <c r="FT61" s="1699"/>
      <c r="FU61" s="1356"/>
      <c r="FV61" s="1699"/>
      <c r="FW61" s="1356"/>
      <c r="FX61" s="1699"/>
      <c r="FY61" s="1356"/>
      <c r="FZ61" s="1699"/>
      <c r="GA61" s="1356"/>
      <c r="GB61" s="1699"/>
      <c r="GC61" s="1356"/>
      <c r="GD61" s="1699"/>
      <c r="GE61" s="1356"/>
      <c r="GF61" s="1699"/>
      <c r="GG61" s="1356"/>
      <c r="GH61" s="1699"/>
      <c r="GI61" s="1356"/>
      <c r="GJ61" s="1699"/>
      <c r="GK61" s="1356"/>
      <c r="GL61" s="1699"/>
      <c r="GM61" s="1356"/>
      <c r="GN61" s="1699"/>
      <c r="GO61" s="1356"/>
      <c r="GP61" s="1699"/>
      <c r="GQ61" s="1356"/>
      <c r="GR61" s="1699"/>
      <c r="GS61" s="1356"/>
      <c r="GT61" s="1699"/>
      <c r="GU61" s="1356"/>
      <c r="GV61" s="1699"/>
      <c r="GW61" s="1356"/>
      <c r="GX61" s="1699"/>
      <c r="GY61" s="1356"/>
      <c r="GZ61" s="1699"/>
      <c r="HA61" s="1356"/>
      <c r="HB61" s="1699"/>
      <c r="HC61" s="1356"/>
      <c r="HD61" s="1699"/>
      <c r="HE61" s="1356"/>
      <c r="HF61" s="2015"/>
      <c r="HH61" s="1699"/>
      <c r="HI61" s="1356"/>
      <c r="HJ61" s="1699"/>
      <c r="HK61" s="1356"/>
      <c r="HL61" s="1699"/>
      <c r="HM61" s="1356"/>
      <c r="HN61" s="1699"/>
      <c r="HO61" s="1356"/>
      <c r="HP61" s="2015"/>
      <c r="HR61" s="1699"/>
      <c r="HS61" s="1356"/>
      <c r="HT61" s="2015"/>
      <c r="HV61" s="2015"/>
      <c r="HX61" s="2015"/>
      <c r="HZ61" s="2015"/>
      <c r="IB61" s="1699"/>
      <c r="IC61" s="1356"/>
      <c r="ID61" s="2015"/>
      <c r="IF61" s="2015"/>
    </row>
    <row r="62" spans="1:241">
      <c r="A62" s="1149"/>
      <c r="B62" s="1149" t="s">
        <v>93</v>
      </c>
      <c r="C62" s="1149"/>
      <c r="D62" s="1149"/>
      <c r="E62" s="1143"/>
      <c r="F62" s="1537">
        <v>0</v>
      </c>
      <c r="G62" s="1356"/>
      <c r="H62" s="1537">
        <v>0</v>
      </c>
      <c r="I62" s="1356"/>
      <c r="J62" s="1537">
        <v>0</v>
      </c>
      <c r="K62" s="1356"/>
      <c r="L62" s="1537">
        <v>0</v>
      </c>
      <c r="M62" s="1356"/>
      <c r="N62" s="1537">
        <v>0</v>
      </c>
      <c r="O62" s="1356"/>
      <c r="P62" s="1537">
        <v>0</v>
      </c>
      <c r="Q62" s="1356"/>
      <c r="R62" s="1537">
        <v>0</v>
      </c>
      <c r="T62" s="1537">
        <v>0</v>
      </c>
      <c r="U62" s="1356"/>
      <c r="V62" s="1537">
        <v>0</v>
      </c>
      <c r="W62" s="1356"/>
      <c r="X62" s="1537">
        <v>0</v>
      </c>
      <c r="Y62" s="1356"/>
      <c r="Z62" s="1537">
        <v>0</v>
      </c>
      <c r="AA62" s="1356"/>
      <c r="AB62" s="1537">
        <v>0</v>
      </c>
      <c r="AC62" s="1356"/>
      <c r="AD62" s="1537">
        <v>0</v>
      </c>
      <c r="AE62" s="1356"/>
      <c r="AF62" s="1537">
        <v>0</v>
      </c>
      <c r="AG62" s="1356"/>
      <c r="AH62" s="1537">
        <v>0</v>
      </c>
      <c r="AI62" s="1356"/>
      <c r="AJ62" s="1537">
        <v>0</v>
      </c>
      <c r="AK62" s="1356"/>
      <c r="AL62" s="1537">
        <v>0</v>
      </c>
      <c r="AM62" s="1356"/>
      <c r="AN62" s="1537">
        <v>0</v>
      </c>
      <c r="AO62" s="1356"/>
      <c r="AP62" s="1537">
        <v>0</v>
      </c>
      <c r="AQ62" s="1356"/>
      <c r="AR62" s="1537">
        <v>0</v>
      </c>
      <c r="AS62" s="1356"/>
      <c r="AT62" s="1537">
        <v>1</v>
      </c>
      <c r="AU62" s="1356"/>
      <c r="AV62" s="1537">
        <v>0</v>
      </c>
      <c r="AW62" s="1356"/>
      <c r="AX62" s="1537">
        <v>1</v>
      </c>
      <c r="AY62" s="1356"/>
      <c r="AZ62" s="1537">
        <v>0</v>
      </c>
      <c r="BA62" s="1356"/>
      <c r="BB62" s="1537">
        <v>0</v>
      </c>
      <c r="BC62" s="1356"/>
      <c r="BD62" s="1537">
        <v>0</v>
      </c>
      <c r="BE62" s="1356"/>
      <c r="BF62" s="1537">
        <v>0</v>
      </c>
      <c r="BG62" s="1356"/>
      <c r="BH62" s="1537">
        <v>0</v>
      </c>
      <c r="BI62" s="1356"/>
      <c r="BJ62" s="1537">
        <v>0</v>
      </c>
      <c r="BK62" s="1356"/>
      <c r="BL62" s="1537">
        <v>0</v>
      </c>
      <c r="BM62" s="1356"/>
      <c r="BN62" s="1537">
        <v>0</v>
      </c>
      <c r="BO62" s="1356"/>
      <c r="BP62" s="1537">
        <v>0</v>
      </c>
      <c r="BQ62" s="1356"/>
      <c r="BR62" s="1537">
        <v>0</v>
      </c>
      <c r="BS62" s="1356"/>
      <c r="BT62" s="1537">
        <v>0</v>
      </c>
      <c r="BU62" s="1356"/>
      <c r="BV62" s="1537">
        <v>0</v>
      </c>
      <c r="BW62" s="1356"/>
      <c r="BX62" s="1537">
        <v>0</v>
      </c>
      <c r="BY62" s="1356"/>
      <c r="BZ62" s="1537">
        <v>0</v>
      </c>
      <c r="CA62" s="1356"/>
      <c r="CB62" s="1537">
        <v>0</v>
      </c>
      <c r="CC62" s="1356"/>
      <c r="CD62" s="1537">
        <v>0</v>
      </c>
      <c r="CE62" s="1356"/>
      <c r="CF62" s="1537">
        <v>0</v>
      </c>
      <c r="CG62" s="1356"/>
      <c r="CH62" s="1537">
        <v>0</v>
      </c>
      <c r="CI62" s="1356"/>
      <c r="CJ62" s="1537">
        <v>0</v>
      </c>
      <c r="CK62" s="1356"/>
      <c r="CL62" s="1537">
        <v>1</v>
      </c>
      <c r="CM62" s="1356"/>
      <c r="CN62" s="1537">
        <v>0</v>
      </c>
      <c r="CO62" s="1356"/>
      <c r="CP62" s="1537">
        <v>0</v>
      </c>
      <c r="CQ62" s="1356"/>
      <c r="CR62" s="1537">
        <v>0</v>
      </c>
      <c r="CS62" s="1356"/>
      <c r="CT62" s="1537">
        <v>0</v>
      </c>
      <c r="CU62" s="1356"/>
      <c r="CV62" s="1537">
        <v>0</v>
      </c>
      <c r="CW62" s="1356"/>
      <c r="CX62" s="1537">
        <v>0</v>
      </c>
      <c r="CY62" s="1356"/>
      <c r="CZ62" s="1537">
        <v>0</v>
      </c>
      <c r="DA62" s="1356"/>
      <c r="DB62" s="1537">
        <v>0</v>
      </c>
      <c r="DC62" s="1356"/>
      <c r="DD62" s="1537">
        <v>0</v>
      </c>
      <c r="DE62" s="1356"/>
      <c r="DF62" s="1537">
        <v>0</v>
      </c>
      <c r="DG62" s="1356"/>
      <c r="DH62" s="1537">
        <v>0</v>
      </c>
      <c r="DI62" s="1356"/>
      <c r="DJ62" s="1537">
        <v>0</v>
      </c>
      <c r="DK62" s="1356"/>
      <c r="DL62" s="1537">
        <v>0</v>
      </c>
      <c r="DM62" s="1356"/>
      <c r="DN62" s="1537">
        <v>0</v>
      </c>
      <c r="DO62" s="1356"/>
      <c r="DP62" s="1537">
        <v>0</v>
      </c>
      <c r="DQ62" s="1356"/>
      <c r="DR62" s="1537">
        <v>0</v>
      </c>
      <c r="DS62" s="1356"/>
      <c r="DT62" s="1537">
        <v>0</v>
      </c>
      <c r="DU62" s="1356"/>
      <c r="DV62" s="1537">
        <v>0</v>
      </c>
      <c r="DW62" s="1356"/>
      <c r="DX62" s="1537">
        <v>0</v>
      </c>
      <c r="DY62" s="1356"/>
      <c r="DZ62" s="1537">
        <v>0</v>
      </c>
      <c r="EA62" s="1356"/>
      <c r="EB62" s="1537">
        <v>1</v>
      </c>
      <c r="EC62" s="1356"/>
      <c r="ED62" s="1537">
        <v>0</v>
      </c>
      <c r="EE62" s="1356"/>
      <c r="EF62" s="1537">
        <v>0</v>
      </c>
      <c r="EG62" s="1356"/>
      <c r="EH62" s="1537">
        <v>0</v>
      </c>
      <c r="EI62" s="1356"/>
      <c r="EJ62" s="1537">
        <v>0</v>
      </c>
      <c r="EK62" s="1356"/>
      <c r="EL62" s="1537">
        <v>0</v>
      </c>
      <c r="EM62" s="1356"/>
      <c r="EN62" s="1537">
        <v>0</v>
      </c>
      <c r="EO62" s="1356"/>
      <c r="EP62" s="1537">
        <v>0</v>
      </c>
      <c r="EQ62" s="1356"/>
      <c r="ER62" s="1537">
        <v>0</v>
      </c>
      <c r="ES62" s="1356"/>
      <c r="ET62" s="1537">
        <v>0</v>
      </c>
      <c r="EU62" s="1356"/>
      <c r="EV62" s="1537">
        <v>0</v>
      </c>
      <c r="EW62" s="1356"/>
      <c r="EX62" s="1537">
        <v>0</v>
      </c>
      <c r="EY62" s="1356"/>
      <c r="EZ62" s="1537">
        <v>1</v>
      </c>
      <c r="FA62" s="1356"/>
      <c r="FB62" s="1537">
        <v>0</v>
      </c>
      <c r="FC62" s="1356"/>
      <c r="FD62" s="1537">
        <v>0</v>
      </c>
      <c r="FE62" s="1356"/>
      <c r="FF62" s="1537">
        <v>0</v>
      </c>
      <c r="FG62" s="1356"/>
      <c r="FH62" s="1537">
        <v>0</v>
      </c>
      <c r="FI62" s="1356"/>
      <c r="FJ62" s="1537">
        <v>0</v>
      </c>
      <c r="FK62" s="1356"/>
      <c r="FL62" s="1537">
        <v>0</v>
      </c>
      <c r="FM62" s="1356"/>
      <c r="FN62" s="1537">
        <v>0</v>
      </c>
      <c r="FO62" s="1356"/>
      <c r="FP62" s="1537">
        <v>0</v>
      </c>
      <c r="FQ62" s="1356"/>
      <c r="FR62" s="1537">
        <v>0</v>
      </c>
      <c r="FS62" s="1356"/>
      <c r="FT62" s="1537">
        <v>0</v>
      </c>
      <c r="FU62" s="1356"/>
      <c r="FV62" s="1537">
        <v>0</v>
      </c>
      <c r="FW62" s="1356"/>
      <c r="FX62" s="1537">
        <v>0</v>
      </c>
      <c r="FY62" s="1356"/>
      <c r="FZ62" s="1537">
        <v>0</v>
      </c>
      <c r="GA62" s="1356"/>
      <c r="GB62" s="1537">
        <v>0</v>
      </c>
      <c r="GC62" s="1356"/>
      <c r="GD62" s="1537">
        <v>0</v>
      </c>
      <c r="GE62" s="1356"/>
      <c r="GF62" s="1537">
        <v>0</v>
      </c>
      <c r="GG62" s="1356"/>
      <c r="GH62" s="1537">
        <v>0</v>
      </c>
      <c r="GI62" s="1356"/>
      <c r="GJ62" s="1537">
        <v>1</v>
      </c>
      <c r="GK62" s="1356"/>
      <c r="GL62" s="1537">
        <v>0</v>
      </c>
      <c r="GM62" s="1356"/>
      <c r="GN62" s="1537">
        <v>0</v>
      </c>
      <c r="GO62" s="1356"/>
      <c r="GP62" s="1537">
        <v>0</v>
      </c>
      <c r="GQ62" s="1356"/>
      <c r="GR62" s="1537">
        <v>0</v>
      </c>
      <c r="GS62" s="1356"/>
      <c r="GT62" s="1537">
        <v>0</v>
      </c>
      <c r="GU62" s="1356"/>
      <c r="GV62" s="1537">
        <v>0</v>
      </c>
      <c r="GW62" s="1356"/>
      <c r="GX62" s="1537">
        <v>0</v>
      </c>
      <c r="GY62" s="1356"/>
      <c r="GZ62" s="1537">
        <v>0</v>
      </c>
      <c r="HA62" s="1356"/>
      <c r="HB62" s="1537">
        <v>0</v>
      </c>
      <c r="HC62" s="1356"/>
      <c r="HD62" s="1537">
        <v>0</v>
      </c>
      <c r="HE62" s="1356"/>
      <c r="HF62" s="2012">
        <v>0</v>
      </c>
      <c r="HG62" s="2008"/>
      <c r="HH62" s="1537">
        <v>0</v>
      </c>
      <c r="HI62" s="1356"/>
      <c r="HJ62" s="1537">
        <v>0</v>
      </c>
      <c r="HK62" s="1356"/>
      <c r="HL62" s="1537">
        <v>1</v>
      </c>
      <c r="HM62" s="1356"/>
      <c r="HN62" s="1537">
        <v>0</v>
      </c>
      <c r="HO62" s="1356"/>
      <c r="HP62" s="2012">
        <v>0</v>
      </c>
      <c r="HQ62" s="2008"/>
      <c r="HR62" s="1537">
        <v>0</v>
      </c>
      <c r="HS62" s="1356"/>
      <c r="HT62" s="2012">
        <v>0</v>
      </c>
      <c r="HU62" s="2008"/>
      <c r="HV62" s="2012">
        <v>0</v>
      </c>
      <c r="HW62" s="2008"/>
      <c r="HX62" s="2012">
        <v>0</v>
      </c>
      <c r="HY62" s="2008"/>
      <c r="HZ62" s="2012">
        <v>0</v>
      </c>
      <c r="IA62" s="2008"/>
      <c r="IB62" s="1537">
        <v>0</v>
      </c>
      <c r="IC62" s="1356"/>
      <c r="ID62" s="2012">
        <v>0</v>
      </c>
      <c r="IE62" s="2008"/>
      <c r="IF62" s="2012">
        <v>0</v>
      </c>
      <c r="IG62" s="2008"/>
    </row>
    <row r="63" spans="1:241">
      <c r="A63" s="1149"/>
      <c r="B63" s="1149"/>
      <c r="C63" s="1149"/>
      <c r="D63" s="1149" t="s">
        <v>1219</v>
      </c>
      <c r="E63" s="1143"/>
      <c r="F63" s="1537"/>
      <c r="G63" s="1356"/>
      <c r="H63" s="1537"/>
      <c r="I63" s="1356"/>
      <c r="J63" s="1537"/>
      <c r="K63" s="1356"/>
      <c r="L63" s="1537"/>
      <c r="M63" s="1356"/>
      <c r="N63" s="1537"/>
      <c r="O63" s="1356"/>
      <c r="P63" s="1537"/>
      <c r="Q63" s="1356"/>
      <c r="R63" s="1537"/>
      <c r="T63" s="1537"/>
      <c r="U63" s="1356"/>
      <c r="V63" s="1537"/>
      <c r="W63" s="1356"/>
      <c r="X63" s="1537"/>
      <c r="Y63" s="1356"/>
      <c r="Z63" s="1537"/>
      <c r="AA63" s="1356"/>
      <c r="AB63" s="1537"/>
      <c r="AC63" s="1356"/>
      <c r="AD63" s="1537"/>
      <c r="AE63" s="1356"/>
      <c r="AF63" s="1537"/>
      <c r="AG63" s="1356"/>
      <c r="AH63" s="1537"/>
      <c r="AI63" s="1356"/>
      <c r="AJ63" s="1537"/>
      <c r="AK63" s="1356"/>
      <c r="AL63" s="1537"/>
      <c r="AM63" s="1356"/>
      <c r="AN63" s="1537"/>
      <c r="AO63" s="1356"/>
      <c r="AP63" s="1537"/>
      <c r="AQ63" s="1356"/>
      <c r="AR63" s="1537"/>
      <c r="AS63" s="1356"/>
      <c r="AT63" s="1537">
        <v>750</v>
      </c>
      <c r="AU63" s="1356"/>
      <c r="AV63" s="1537"/>
      <c r="AW63" s="1356"/>
      <c r="AX63" s="1537">
        <v>1805</v>
      </c>
      <c r="AY63" s="1356"/>
      <c r="AZ63" s="1537"/>
      <c r="BA63" s="1356"/>
      <c r="BB63" s="1537"/>
      <c r="BC63" s="1356"/>
      <c r="BD63" s="1537"/>
      <c r="BE63" s="1356"/>
      <c r="BF63" s="1537"/>
      <c r="BG63" s="1356"/>
      <c r="BH63" s="1537"/>
      <c r="BI63" s="1356"/>
      <c r="BJ63" s="1537"/>
      <c r="BK63" s="1356"/>
      <c r="BL63" s="1537"/>
      <c r="BM63" s="1356"/>
      <c r="BN63" s="1537"/>
      <c r="BO63" s="1356"/>
      <c r="BP63" s="1537"/>
      <c r="BQ63" s="1356"/>
      <c r="BR63" s="1537"/>
      <c r="BS63" s="1356"/>
      <c r="BT63" s="1537"/>
      <c r="BU63" s="1356"/>
      <c r="BV63" s="1537"/>
      <c r="BW63" s="1356"/>
      <c r="BX63" s="1537"/>
      <c r="BY63" s="1356"/>
      <c r="BZ63" s="1537"/>
      <c r="CA63" s="1356"/>
      <c r="CB63" s="1537"/>
      <c r="CC63" s="1356"/>
      <c r="CD63" s="1537"/>
      <c r="CE63" s="1356"/>
      <c r="CF63" s="1537"/>
      <c r="CG63" s="1356"/>
      <c r="CH63" s="1537"/>
      <c r="CI63" s="1356"/>
      <c r="CJ63" s="1537"/>
      <c r="CK63" s="1356"/>
      <c r="CL63" s="1537">
        <v>0</v>
      </c>
      <c r="CM63" s="1356"/>
      <c r="CN63" s="1537"/>
      <c r="CO63" s="1356"/>
      <c r="CP63" s="1537"/>
      <c r="CQ63" s="1356"/>
      <c r="CR63" s="1537"/>
      <c r="CS63" s="1356"/>
      <c r="CT63" s="1537"/>
      <c r="CU63" s="1356"/>
      <c r="CV63" s="1537"/>
      <c r="CW63" s="1356"/>
      <c r="CX63" s="1537"/>
      <c r="CY63" s="1356"/>
      <c r="CZ63" s="1537"/>
      <c r="DA63" s="1356"/>
      <c r="DB63" s="1537"/>
      <c r="DC63" s="1356"/>
      <c r="DD63" s="1537"/>
      <c r="DE63" s="1356"/>
      <c r="DF63" s="1537"/>
      <c r="DG63" s="1356"/>
      <c r="DH63" s="1537"/>
      <c r="DI63" s="1356"/>
      <c r="DJ63" s="1537"/>
      <c r="DK63" s="1356"/>
      <c r="DL63" s="1537"/>
      <c r="DM63" s="1356"/>
      <c r="DN63" s="1537"/>
      <c r="DO63" s="1356"/>
      <c r="DP63" s="1537">
        <v>0</v>
      </c>
      <c r="DQ63" s="1356"/>
      <c r="DR63" s="1537"/>
      <c r="DS63" s="1356"/>
      <c r="DT63" s="1537"/>
      <c r="DU63" s="1356"/>
      <c r="DV63" s="1537"/>
      <c r="DW63" s="1356"/>
      <c r="DX63" s="1537"/>
      <c r="DY63" s="1356"/>
      <c r="DZ63" s="1537"/>
      <c r="EA63" s="1356"/>
      <c r="EB63" s="1537">
        <v>900</v>
      </c>
      <c r="EC63" s="1356"/>
      <c r="ED63" s="1537"/>
      <c r="EE63" s="1356"/>
      <c r="EF63" s="1537"/>
      <c r="EG63" s="1356"/>
      <c r="EH63" s="1537"/>
      <c r="EI63" s="1356"/>
      <c r="EJ63" s="1537"/>
      <c r="EK63" s="1356"/>
      <c r="EL63" s="1537"/>
      <c r="EM63" s="1356"/>
      <c r="EN63" s="1537"/>
      <c r="EO63" s="1356"/>
      <c r="EP63" s="1537">
        <v>0</v>
      </c>
      <c r="EQ63" s="1356"/>
      <c r="ER63" s="1537"/>
      <c r="ES63" s="1356"/>
      <c r="ET63" s="1537"/>
      <c r="EU63" s="1356"/>
      <c r="EV63" s="1537"/>
      <c r="EW63" s="1356"/>
      <c r="EX63" s="1537"/>
      <c r="EY63" s="1356"/>
      <c r="EZ63" s="1537">
        <v>3338</v>
      </c>
      <c r="FA63" s="1356"/>
      <c r="FB63" s="1537"/>
      <c r="FC63" s="1356"/>
      <c r="FD63" s="1537"/>
      <c r="FE63" s="1356"/>
      <c r="FF63" s="1537"/>
      <c r="FG63" s="1356"/>
      <c r="FH63" s="1537"/>
      <c r="FI63" s="1356"/>
      <c r="FJ63" s="1537"/>
      <c r="FK63" s="1356"/>
      <c r="FL63" s="1537"/>
      <c r="FM63" s="1356"/>
      <c r="FN63" s="1537"/>
      <c r="FO63" s="1356"/>
      <c r="FP63" s="1537"/>
      <c r="FQ63" s="1356"/>
      <c r="FR63" s="1537"/>
      <c r="FS63" s="1356"/>
      <c r="FT63" s="1537"/>
      <c r="FU63" s="1356"/>
      <c r="FV63" s="1537"/>
      <c r="FW63" s="1356"/>
      <c r="FX63" s="1537"/>
      <c r="FY63" s="1356"/>
      <c r="FZ63" s="1537"/>
      <c r="GA63" s="1356"/>
      <c r="GB63" s="1537"/>
      <c r="GC63" s="1356"/>
      <c r="GD63" s="1537"/>
      <c r="GE63" s="1356"/>
      <c r="GF63" s="1537"/>
      <c r="GG63" s="1356"/>
      <c r="GH63" s="1537">
        <v>0</v>
      </c>
      <c r="GI63" s="1356"/>
      <c r="GJ63" s="1537">
        <v>1500</v>
      </c>
      <c r="GK63" s="1356"/>
      <c r="GL63" s="1537">
        <v>0</v>
      </c>
      <c r="GM63" s="1356"/>
      <c r="GN63" s="1537"/>
      <c r="GO63" s="1356"/>
      <c r="GP63" s="1537"/>
      <c r="GQ63" s="1356"/>
      <c r="GR63" s="1537"/>
      <c r="GS63" s="1356"/>
      <c r="GT63" s="1537"/>
      <c r="GU63" s="1356"/>
      <c r="GV63" s="1537"/>
      <c r="GW63" s="1356"/>
      <c r="GX63" s="1537"/>
      <c r="GY63" s="1356"/>
      <c r="GZ63" s="1537"/>
      <c r="HA63" s="1356"/>
      <c r="HB63" s="1537"/>
      <c r="HC63" s="1356"/>
      <c r="HD63" s="1537"/>
      <c r="HE63" s="1356"/>
      <c r="HF63" s="2012"/>
      <c r="HH63" s="1537"/>
      <c r="HI63" s="1356"/>
      <c r="HJ63" s="1537"/>
      <c r="HK63" s="1356"/>
      <c r="HL63" s="1537">
        <v>350</v>
      </c>
      <c r="HM63" s="1356"/>
      <c r="HN63" s="1537"/>
      <c r="HO63" s="1356"/>
      <c r="HP63" s="2012"/>
      <c r="HR63" s="1537"/>
      <c r="HS63" s="1356"/>
      <c r="HT63" s="2012"/>
      <c r="HV63" s="2012"/>
      <c r="HX63" s="2012"/>
      <c r="HZ63" s="2012"/>
      <c r="IB63" s="1537"/>
      <c r="IC63" s="1356"/>
      <c r="ID63" s="2012"/>
      <c r="IF63" s="2012"/>
    </row>
    <row r="64" spans="1:241" hidden="1">
      <c r="A64" s="1151"/>
      <c r="B64" s="1151"/>
      <c r="C64" s="1151"/>
      <c r="D64" s="1151" t="s">
        <v>1220</v>
      </c>
      <c r="E64" s="1152"/>
      <c r="F64" s="1703" t="s">
        <v>1208</v>
      </c>
      <c r="G64" s="1704"/>
      <c r="H64" s="1703" t="s">
        <v>1208</v>
      </c>
      <c r="I64" s="1704"/>
      <c r="J64" s="1703" t="s">
        <v>1208</v>
      </c>
      <c r="K64" s="1704"/>
      <c r="L64" s="1703" t="s">
        <v>1208</v>
      </c>
      <c r="M64" s="1704"/>
      <c r="N64" s="1703" t="s">
        <v>1208</v>
      </c>
      <c r="O64" s="1704"/>
      <c r="P64" s="1703" t="s">
        <v>1208</v>
      </c>
      <c r="Q64" s="1704"/>
      <c r="R64" s="1703" t="s">
        <v>1208</v>
      </c>
      <c r="S64" s="1704"/>
      <c r="T64" s="1703" t="s">
        <v>1208</v>
      </c>
      <c r="U64" s="1704"/>
      <c r="V64" s="1703" t="s">
        <v>1208</v>
      </c>
      <c r="W64" s="1704"/>
      <c r="X64" s="1703" t="s">
        <v>1208</v>
      </c>
      <c r="Y64" s="1704"/>
      <c r="Z64" s="1703" t="s">
        <v>1208</v>
      </c>
      <c r="AA64" s="1704"/>
      <c r="AB64" s="1703" t="s">
        <v>1208</v>
      </c>
      <c r="AC64" s="1704"/>
      <c r="AD64" s="1703" t="s">
        <v>1208</v>
      </c>
      <c r="AE64" s="1704"/>
      <c r="AF64" s="1703" t="s">
        <v>1208</v>
      </c>
      <c r="AG64" s="1704"/>
      <c r="AH64" s="1703" t="s">
        <v>1208</v>
      </c>
      <c r="AI64" s="1704"/>
      <c r="AJ64" s="1703" t="s">
        <v>1208</v>
      </c>
      <c r="AK64" s="1704"/>
      <c r="AL64" s="1703" t="s">
        <v>1208</v>
      </c>
      <c r="AM64" s="1704"/>
      <c r="AN64" s="1703" t="s">
        <v>1208</v>
      </c>
      <c r="AO64" s="1704"/>
      <c r="AP64" s="1703" t="s">
        <v>1208</v>
      </c>
      <c r="AQ64" s="1704"/>
      <c r="AR64" s="1703" t="s">
        <v>1208</v>
      </c>
      <c r="AS64" s="1704"/>
      <c r="AT64" s="1703" t="s">
        <v>1208</v>
      </c>
      <c r="AU64" s="1704"/>
      <c r="AV64" s="1703" t="s">
        <v>1208</v>
      </c>
      <c r="AW64" s="1704"/>
      <c r="AX64" s="1703" t="s">
        <v>1208</v>
      </c>
      <c r="AY64" s="1704"/>
      <c r="AZ64" s="1703" t="s">
        <v>1208</v>
      </c>
      <c r="BA64" s="1704"/>
      <c r="BB64" s="1703" t="s">
        <v>1208</v>
      </c>
      <c r="BC64" s="1704"/>
      <c r="BD64" s="1703" t="s">
        <v>1208</v>
      </c>
      <c r="BE64" s="1704"/>
      <c r="BF64" s="1703" t="s">
        <v>1208</v>
      </c>
      <c r="BG64" s="1704"/>
      <c r="BH64" s="1703" t="s">
        <v>1208</v>
      </c>
      <c r="BI64" s="1704"/>
      <c r="BJ64" s="1703" t="s">
        <v>1208</v>
      </c>
      <c r="BK64" s="1704"/>
      <c r="BL64" s="1703" t="s">
        <v>1208</v>
      </c>
      <c r="BM64" s="1704"/>
      <c r="BN64" s="1703" t="s">
        <v>1208</v>
      </c>
      <c r="BO64" s="1704"/>
      <c r="BP64" s="1703" t="s">
        <v>1208</v>
      </c>
      <c r="BQ64" s="1704"/>
      <c r="BR64" s="1703" t="s">
        <v>1208</v>
      </c>
      <c r="BS64" s="1704"/>
      <c r="BT64" s="1703" t="s">
        <v>1208</v>
      </c>
      <c r="BU64" s="1704"/>
      <c r="BV64" s="1703" t="s">
        <v>1208</v>
      </c>
      <c r="BW64" s="1704"/>
      <c r="BX64" s="1703" t="s">
        <v>1208</v>
      </c>
      <c r="BY64" s="1704"/>
      <c r="BZ64" s="1703" t="s">
        <v>1208</v>
      </c>
      <c r="CA64" s="1704"/>
      <c r="CB64" s="1703" t="s">
        <v>1208</v>
      </c>
      <c r="CC64" s="1704"/>
      <c r="CD64" s="1703" t="s">
        <v>1208</v>
      </c>
      <c r="CE64" s="1704"/>
      <c r="CF64" s="1703" t="s">
        <v>1208</v>
      </c>
      <c r="CG64" s="1704"/>
      <c r="CH64" s="1703" t="s">
        <v>1208</v>
      </c>
      <c r="CI64" s="1704"/>
      <c r="CJ64" s="1703" t="s">
        <v>1208</v>
      </c>
      <c r="CK64" s="1704"/>
      <c r="CL64" s="1703" t="s">
        <v>1208</v>
      </c>
      <c r="CM64" s="1704"/>
      <c r="CN64" s="1703" t="s">
        <v>1208</v>
      </c>
      <c r="CO64" s="1704"/>
      <c r="CP64" s="1703" t="s">
        <v>1208</v>
      </c>
      <c r="CQ64" s="1704"/>
      <c r="CR64" s="1703" t="s">
        <v>1208</v>
      </c>
      <c r="CS64" s="1704"/>
      <c r="CT64" s="1703" t="s">
        <v>1208</v>
      </c>
      <c r="CU64" s="1704"/>
      <c r="CV64" s="1703" t="s">
        <v>1208</v>
      </c>
      <c r="CW64" s="1704"/>
      <c r="CX64" s="1703" t="s">
        <v>1208</v>
      </c>
      <c r="CY64" s="1704"/>
      <c r="CZ64" s="1703" t="s">
        <v>1208</v>
      </c>
      <c r="DA64" s="1704"/>
      <c r="DB64" s="1703" t="s">
        <v>1208</v>
      </c>
      <c r="DC64" s="1704"/>
      <c r="DD64" s="1703" t="s">
        <v>1208</v>
      </c>
      <c r="DE64" s="1704"/>
      <c r="DF64" s="1703" t="s">
        <v>1208</v>
      </c>
      <c r="DG64" s="1704"/>
      <c r="DH64" s="1703" t="s">
        <v>1208</v>
      </c>
      <c r="DI64" s="1704"/>
      <c r="DJ64" s="1703" t="s">
        <v>1208</v>
      </c>
      <c r="DK64" s="1704"/>
      <c r="DL64" s="1703" t="s">
        <v>1208</v>
      </c>
      <c r="DM64" s="1704"/>
      <c r="DN64" s="1703" t="s">
        <v>1208</v>
      </c>
      <c r="DO64" s="1704"/>
      <c r="DP64" s="1703" t="s">
        <v>1208</v>
      </c>
      <c r="DQ64" s="1704"/>
      <c r="DR64" s="1703" t="s">
        <v>1208</v>
      </c>
      <c r="DS64" s="1704"/>
      <c r="DT64" s="1703" t="s">
        <v>1208</v>
      </c>
      <c r="DU64" s="1704"/>
      <c r="DV64" s="1703" t="s">
        <v>1208</v>
      </c>
      <c r="DW64" s="1704"/>
      <c r="DX64" s="1703" t="s">
        <v>1208</v>
      </c>
      <c r="DY64" s="1704"/>
      <c r="DZ64" s="1703" t="s">
        <v>1208</v>
      </c>
      <c r="EA64" s="1704"/>
      <c r="EB64" s="1703" t="s">
        <v>1208</v>
      </c>
      <c r="EC64" s="1704"/>
      <c r="ED64" s="1703" t="s">
        <v>1208</v>
      </c>
      <c r="EE64" s="1704"/>
      <c r="EF64" s="1703" t="s">
        <v>1208</v>
      </c>
      <c r="EG64" s="1704"/>
      <c r="EH64" s="1703" t="s">
        <v>1208</v>
      </c>
      <c r="EI64" s="1704"/>
      <c r="EJ64" s="1703" t="s">
        <v>1208</v>
      </c>
      <c r="EK64" s="1704"/>
      <c r="EL64" s="1703" t="s">
        <v>1208</v>
      </c>
      <c r="EM64" s="1704"/>
      <c r="EN64" s="1703" t="s">
        <v>1208</v>
      </c>
      <c r="EO64" s="1704"/>
      <c r="EP64" s="1703" t="s">
        <v>1208</v>
      </c>
      <c r="EQ64" s="1704"/>
      <c r="ER64" s="1703" t="s">
        <v>1208</v>
      </c>
      <c r="ES64" s="1704"/>
      <c r="ET64" s="1703" t="s">
        <v>1208</v>
      </c>
      <c r="EU64" s="1704"/>
      <c r="EV64" s="1703" t="s">
        <v>1208</v>
      </c>
      <c r="EW64" s="1704"/>
      <c r="EX64" s="1703" t="s">
        <v>1208</v>
      </c>
      <c r="EY64" s="1704"/>
      <c r="EZ64" s="1703" t="s">
        <v>1208</v>
      </c>
      <c r="FA64" s="1704"/>
      <c r="FB64" s="1703" t="s">
        <v>1208</v>
      </c>
      <c r="FC64" s="1704"/>
      <c r="FD64" s="1703" t="s">
        <v>1208</v>
      </c>
      <c r="FE64" s="1704"/>
      <c r="FF64" s="1703" t="s">
        <v>1208</v>
      </c>
      <c r="FG64" s="1704"/>
      <c r="FH64" s="1703" t="s">
        <v>1208</v>
      </c>
      <c r="FI64" s="1704"/>
      <c r="FJ64" s="1703" t="s">
        <v>1208</v>
      </c>
      <c r="FK64" s="1704"/>
      <c r="FL64" s="1703" t="s">
        <v>1208</v>
      </c>
      <c r="FM64" s="1704"/>
      <c r="FN64" s="1703" t="s">
        <v>1208</v>
      </c>
      <c r="FO64" s="1704"/>
      <c r="FP64" s="1703" t="s">
        <v>1208</v>
      </c>
      <c r="FQ64" s="1704"/>
      <c r="FR64" s="1703" t="s">
        <v>1208</v>
      </c>
      <c r="FS64" s="1704"/>
      <c r="FT64" s="1703" t="s">
        <v>1208</v>
      </c>
      <c r="FU64" s="1704"/>
      <c r="FV64" s="1703" t="s">
        <v>1208</v>
      </c>
      <c r="FW64" s="1704"/>
      <c r="FX64" s="1703" t="s">
        <v>1208</v>
      </c>
      <c r="FY64" s="1704"/>
      <c r="FZ64" s="1703" t="s">
        <v>1208</v>
      </c>
      <c r="GA64" s="1704"/>
      <c r="GB64" s="1703" t="s">
        <v>1208</v>
      </c>
      <c r="GC64" s="1704"/>
      <c r="GD64" s="1703" t="s">
        <v>1208</v>
      </c>
      <c r="GE64" s="1704"/>
      <c r="GF64" s="1703" t="s">
        <v>1208</v>
      </c>
      <c r="GG64" s="1704"/>
      <c r="GH64" s="1703" t="s">
        <v>1208</v>
      </c>
      <c r="GI64" s="1704"/>
      <c r="GJ64" s="1703" t="s">
        <v>1208</v>
      </c>
      <c r="GK64" s="1704"/>
      <c r="GL64" s="1703" t="s">
        <v>1208</v>
      </c>
      <c r="GM64" s="1704"/>
      <c r="GN64" s="1703" t="s">
        <v>1208</v>
      </c>
      <c r="GO64" s="1704"/>
      <c r="GP64" s="1703" t="s">
        <v>1208</v>
      </c>
      <c r="GQ64" s="1704"/>
      <c r="GR64" s="1703" t="s">
        <v>1208</v>
      </c>
      <c r="GS64" s="1704"/>
      <c r="GT64" s="1703" t="s">
        <v>1208</v>
      </c>
      <c r="GU64" s="1704"/>
      <c r="GV64" s="1703" t="s">
        <v>1208</v>
      </c>
      <c r="GW64" s="1704"/>
      <c r="GX64" s="1703" t="s">
        <v>1208</v>
      </c>
      <c r="GY64" s="1704"/>
      <c r="GZ64" s="1703" t="s">
        <v>1208</v>
      </c>
      <c r="HA64" s="1704"/>
      <c r="HB64" s="1703" t="s">
        <v>1208</v>
      </c>
      <c r="HC64" s="1704"/>
      <c r="HD64" s="1703" t="s">
        <v>1208</v>
      </c>
      <c r="HE64" s="1704"/>
      <c r="HF64" s="2020" t="s">
        <v>1208</v>
      </c>
      <c r="HG64" s="2021"/>
      <c r="HH64" s="1703" t="s">
        <v>1208</v>
      </c>
      <c r="HI64" s="1704"/>
      <c r="HJ64" s="1703" t="s">
        <v>1208</v>
      </c>
      <c r="HK64" s="1704"/>
      <c r="HL64" s="1703" t="s">
        <v>1208</v>
      </c>
      <c r="HM64" s="1704"/>
      <c r="HN64" s="1703" t="s">
        <v>1208</v>
      </c>
      <c r="HO64" s="1704"/>
      <c r="HP64" s="2020" t="s">
        <v>1208</v>
      </c>
      <c r="HQ64" s="2021"/>
      <c r="HR64" s="1703" t="s">
        <v>1208</v>
      </c>
      <c r="HS64" s="1704"/>
      <c r="HT64" s="2020" t="s">
        <v>1208</v>
      </c>
      <c r="HU64" s="2021"/>
      <c r="HV64" s="2020" t="s">
        <v>1208</v>
      </c>
      <c r="HW64" s="2021"/>
      <c r="HX64" s="2020" t="s">
        <v>1208</v>
      </c>
      <c r="HY64" s="2021"/>
      <c r="HZ64" s="2020" t="s">
        <v>1208</v>
      </c>
      <c r="IA64" s="2021"/>
      <c r="IB64" s="1703" t="s">
        <v>1208</v>
      </c>
      <c r="IC64" s="1704"/>
      <c r="ID64" s="2020" t="s">
        <v>1208</v>
      </c>
      <c r="IE64" s="2021"/>
      <c r="IF64" s="2020" t="s">
        <v>1208</v>
      </c>
      <c r="IG64" s="2021"/>
    </row>
    <row r="65" spans="1:241">
      <c r="A65" s="1149"/>
      <c r="B65" s="1149"/>
      <c r="C65" s="1149"/>
      <c r="D65" s="1149"/>
      <c r="E65" s="1143"/>
      <c r="F65" s="1356"/>
      <c r="G65" s="1356"/>
      <c r="H65" s="1356"/>
      <c r="I65" s="1356"/>
      <c r="J65" s="1356"/>
      <c r="K65" s="1356"/>
      <c r="L65" s="1356"/>
      <c r="M65" s="1356"/>
      <c r="N65" s="1356"/>
      <c r="O65" s="1356"/>
      <c r="P65" s="1356"/>
      <c r="Q65" s="1356"/>
      <c r="R65" s="1356"/>
      <c r="T65" s="1356"/>
      <c r="U65" s="1356"/>
      <c r="V65" s="1356"/>
      <c r="W65" s="1356"/>
      <c r="X65" s="1356"/>
      <c r="Y65" s="1356"/>
      <c r="Z65" s="1356"/>
      <c r="AA65" s="1356"/>
      <c r="AB65" s="1356"/>
      <c r="AC65" s="1356"/>
      <c r="AD65" s="1356"/>
      <c r="AE65" s="1356"/>
      <c r="AF65" s="1356"/>
      <c r="AG65" s="1356"/>
      <c r="AH65" s="1356"/>
      <c r="AI65" s="1356"/>
      <c r="AJ65" s="1356"/>
      <c r="AK65" s="1356"/>
      <c r="AL65" s="1356"/>
      <c r="AM65" s="1356"/>
      <c r="AN65" s="1356"/>
      <c r="AO65" s="1356"/>
      <c r="AP65" s="1356"/>
      <c r="AQ65" s="1356"/>
      <c r="AR65" s="1356"/>
      <c r="AS65" s="1356"/>
      <c r="AT65" s="1356"/>
      <c r="AU65" s="1356"/>
      <c r="AV65" s="1356"/>
      <c r="AW65" s="1356"/>
      <c r="AX65" s="1356"/>
      <c r="AY65" s="1356"/>
      <c r="AZ65" s="1356"/>
      <c r="BA65" s="1356"/>
      <c r="BB65" s="1356"/>
      <c r="BC65" s="1356"/>
      <c r="BD65" s="1356"/>
      <c r="BE65" s="1356"/>
      <c r="BF65" s="1356"/>
      <c r="BG65" s="1356"/>
      <c r="BH65" s="1356"/>
      <c r="BI65" s="1356"/>
      <c r="BJ65" s="1356"/>
      <c r="BK65" s="1356"/>
      <c r="BL65" s="1356"/>
      <c r="BM65" s="1356"/>
      <c r="BN65" s="1356"/>
      <c r="BO65" s="1356"/>
      <c r="BP65" s="1356"/>
      <c r="BQ65" s="1356"/>
      <c r="BR65" s="1356"/>
      <c r="BS65" s="1356"/>
      <c r="BT65" s="1356"/>
      <c r="BU65" s="1356"/>
      <c r="BV65" s="1356"/>
      <c r="BW65" s="1356"/>
      <c r="BX65" s="1356"/>
      <c r="BY65" s="1356"/>
      <c r="BZ65" s="1356"/>
      <c r="CA65" s="1356"/>
      <c r="CB65" s="1356"/>
      <c r="CC65" s="1356"/>
      <c r="CD65" s="1356"/>
      <c r="CE65" s="1356"/>
      <c r="CF65" s="1356"/>
      <c r="CG65" s="1356"/>
      <c r="CH65" s="1356"/>
      <c r="CI65" s="1356"/>
      <c r="CJ65" s="1356"/>
      <c r="CK65" s="1356"/>
      <c r="CL65" s="1356"/>
      <c r="CM65" s="1356"/>
      <c r="CN65" s="1356"/>
      <c r="CO65" s="1356"/>
      <c r="CP65" s="1356"/>
      <c r="CQ65" s="1356"/>
      <c r="CR65" s="1356"/>
      <c r="CS65" s="1356"/>
      <c r="CT65" s="1356"/>
      <c r="CU65" s="1356"/>
      <c r="CV65" s="1356"/>
      <c r="CW65" s="1356"/>
      <c r="CX65" s="1356"/>
      <c r="CY65" s="1356"/>
      <c r="CZ65" s="1356"/>
      <c r="DA65" s="1356"/>
      <c r="DB65" s="1356"/>
      <c r="DC65" s="1356"/>
      <c r="DD65" s="1356"/>
      <c r="DE65" s="1356"/>
      <c r="DF65" s="1356"/>
      <c r="DG65" s="1356"/>
      <c r="DH65" s="1356"/>
      <c r="DI65" s="1356"/>
      <c r="DJ65" s="1356"/>
      <c r="DK65" s="1356"/>
      <c r="DL65" s="1356"/>
      <c r="DM65" s="1356"/>
      <c r="DN65" s="1356"/>
      <c r="DO65" s="1356"/>
      <c r="DP65" s="1356"/>
      <c r="DQ65" s="1356"/>
      <c r="DR65" s="1356"/>
      <c r="DS65" s="1356"/>
      <c r="DT65" s="1356"/>
      <c r="DU65" s="1356"/>
      <c r="DV65" s="1356"/>
      <c r="DW65" s="1356"/>
      <c r="DX65" s="1356"/>
      <c r="DY65" s="1356"/>
      <c r="DZ65" s="1356"/>
      <c r="EA65" s="1356"/>
      <c r="EB65" s="1356"/>
      <c r="EC65" s="1356"/>
      <c r="ED65" s="1356"/>
      <c r="EE65" s="1356"/>
      <c r="EF65" s="1356"/>
      <c r="EG65" s="1356"/>
      <c r="EH65" s="1356"/>
      <c r="EI65" s="1356"/>
      <c r="EJ65" s="1356"/>
      <c r="EK65" s="1356"/>
      <c r="EL65" s="1356"/>
      <c r="EM65" s="1356"/>
      <c r="EN65" s="1356"/>
      <c r="EO65" s="1356"/>
      <c r="EP65" s="1356"/>
      <c r="EQ65" s="1356"/>
      <c r="ER65" s="1356"/>
      <c r="ES65" s="1356"/>
      <c r="ET65" s="1356"/>
      <c r="EU65" s="1356"/>
      <c r="EV65" s="1356"/>
      <c r="EW65" s="1356"/>
      <c r="EX65" s="1356"/>
      <c r="EY65" s="1356"/>
      <c r="EZ65" s="1356"/>
      <c r="FA65" s="1356"/>
      <c r="FB65" s="1356"/>
      <c r="FC65" s="1356"/>
      <c r="FD65" s="1356"/>
      <c r="FE65" s="1356"/>
      <c r="FF65" s="1356"/>
      <c r="FG65" s="1356"/>
      <c r="FH65" s="1356"/>
      <c r="FI65" s="1356"/>
      <c r="FJ65" s="1356"/>
      <c r="FK65" s="1356"/>
      <c r="FL65" s="1356"/>
      <c r="FM65" s="1356"/>
      <c r="FN65" s="1356"/>
      <c r="FO65" s="1356"/>
      <c r="FP65" s="1356"/>
      <c r="FQ65" s="1356"/>
      <c r="FR65" s="1356"/>
      <c r="FS65" s="1356"/>
      <c r="FT65" s="1356"/>
      <c r="FU65" s="1356"/>
      <c r="FV65" s="1356"/>
      <c r="FW65" s="1356"/>
      <c r="FX65" s="1356"/>
      <c r="FY65" s="1356"/>
      <c r="FZ65" s="1356"/>
      <c r="GA65" s="1356"/>
      <c r="GB65" s="1356"/>
      <c r="GC65" s="1356"/>
      <c r="GD65" s="1356"/>
      <c r="GE65" s="1356"/>
      <c r="GF65" s="1356"/>
      <c r="GG65" s="1356"/>
      <c r="GH65" s="1356"/>
      <c r="GI65" s="1356"/>
      <c r="GJ65" s="1356"/>
      <c r="GK65" s="1356"/>
      <c r="GL65" s="1356"/>
      <c r="GM65" s="1356"/>
      <c r="GN65" s="1356"/>
      <c r="GO65" s="1356"/>
      <c r="GP65" s="1356"/>
      <c r="GQ65" s="1356"/>
      <c r="GR65" s="1356"/>
      <c r="GS65" s="1356"/>
      <c r="GT65" s="1356"/>
      <c r="GU65" s="1356"/>
      <c r="GV65" s="1356"/>
      <c r="GW65" s="1356"/>
      <c r="GX65" s="1356"/>
      <c r="GY65" s="1356"/>
      <c r="GZ65" s="1356"/>
      <c r="HA65" s="1356"/>
      <c r="HB65" s="1356"/>
      <c r="HC65" s="1356"/>
      <c r="HD65" s="1356"/>
      <c r="HE65" s="1356"/>
      <c r="HF65" s="1535"/>
      <c r="HH65" s="1356"/>
      <c r="HI65" s="1356"/>
      <c r="HJ65" s="1356"/>
      <c r="HK65" s="1356"/>
      <c r="HL65" s="1356"/>
      <c r="HM65" s="1356"/>
      <c r="HN65" s="1356"/>
      <c r="HO65" s="1356"/>
      <c r="HP65" s="1535"/>
      <c r="HR65" s="1356"/>
      <c r="HS65" s="1356"/>
      <c r="HT65" s="1535"/>
      <c r="HV65" s="1535"/>
      <c r="HX65" s="1535"/>
      <c r="HZ65" s="1535"/>
      <c r="IB65" s="1356"/>
      <c r="IC65" s="1356"/>
      <c r="ID65" s="1535"/>
      <c r="IF65" s="1535"/>
    </row>
    <row r="66" spans="1:241">
      <c r="A66" s="1149"/>
      <c r="B66" s="1149" t="s">
        <v>1221</v>
      </c>
      <c r="C66" s="1154"/>
      <c r="D66" s="1154"/>
      <c r="E66" s="1143"/>
      <c r="F66" s="1537">
        <v>0</v>
      </c>
      <c r="G66" s="1356"/>
      <c r="H66" s="1537">
        <v>0</v>
      </c>
      <c r="I66" s="1356"/>
      <c r="J66" s="1537">
        <v>0</v>
      </c>
      <c r="K66" s="1356"/>
      <c r="L66" s="1537">
        <v>0</v>
      </c>
      <c r="M66" s="1356"/>
      <c r="N66" s="1537">
        <v>1</v>
      </c>
      <c r="O66" s="1356"/>
      <c r="P66" s="1537">
        <v>0</v>
      </c>
      <c r="Q66" s="1356"/>
      <c r="R66" s="1537">
        <v>0</v>
      </c>
      <c r="T66" s="1537">
        <v>0</v>
      </c>
      <c r="U66" s="1356"/>
      <c r="V66" s="1537">
        <v>0</v>
      </c>
      <c r="W66" s="1356"/>
      <c r="X66" s="1537">
        <v>0</v>
      </c>
      <c r="Y66" s="1356"/>
      <c r="Z66" s="1537">
        <v>1</v>
      </c>
      <c r="AA66" s="1356"/>
      <c r="AB66" s="1537">
        <v>0</v>
      </c>
      <c r="AC66" s="1356"/>
      <c r="AD66" s="1537">
        <v>1</v>
      </c>
      <c r="AE66" s="1356"/>
      <c r="AF66" s="1537">
        <v>0</v>
      </c>
      <c r="AG66" s="1356"/>
      <c r="AH66" s="1537">
        <v>1</v>
      </c>
      <c r="AI66" s="1356"/>
      <c r="AJ66" s="1537">
        <v>1</v>
      </c>
      <c r="AK66" s="1356"/>
      <c r="AL66" s="1537">
        <v>0</v>
      </c>
      <c r="AM66" s="1356"/>
      <c r="AN66" s="1537">
        <v>1</v>
      </c>
      <c r="AO66" s="1356"/>
      <c r="AP66" s="1537">
        <v>0</v>
      </c>
      <c r="AQ66" s="1356"/>
      <c r="AR66" s="1537">
        <v>0</v>
      </c>
      <c r="AS66" s="1356"/>
      <c r="AT66" s="1537">
        <v>0</v>
      </c>
      <c r="AU66" s="1356"/>
      <c r="AV66" s="1537">
        <v>1</v>
      </c>
      <c r="AW66" s="1356"/>
      <c r="AX66" s="1537">
        <v>1</v>
      </c>
      <c r="AY66" s="1356"/>
      <c r="AZ66" s="1537">
        <v>1</v>
      </c>
      <c r="BA66" s="1356"/>
      <c r="BB66" s="1537">
        <v>1</v>
      </c>
      <c r="BC66" s="1356"/>
      <c r="BD66" s="1537">
        <v>0</v>
      </c>
      <c r="BE66" s="1356"/>
      <c r="BF66" s="1537">
        <v>1</v>
      </c>
      <c r="BG66" s="1356"/>
      <c r="BH66" s="1537">
        <v>0</v>
      </c>
      <c r="BI66" s="1356"/>
      <c r="BJ66" s="1537">
        <v>0</v>
      </c>
      <c r="BK66" s="1356"/>
      <c r="BL66" s="1537">
        <v>0</v>
      </c>
      <c r="BM66" s="1356"/>
      <c r="BN66" s="1537">
        <v>1</v>
      </c>
      <c r="BO66" s="1356"/>
      <c r="BP66" s="1537">
        <v>0</v>
      </c>
      <c r="BQ66" s="1356"/>
      <c r="BR66" s="1537">
        <v>0</v>
      </c>
      <c r="BS66" s="1356"/>
      <c r="BT66" s="1537">
        <v>1</v>
      </c>
      <c r="BU66" s="1356"/>
      <c r="BV66" s="1537">
        <v>0</v>
      </c>
      <c r="BW66" s="1356"/>
      <c r="BX66" s="1537">
        <v>1</v>
      </c>
      <c r="BY66" s="1356"/>
      <c r="BZ66" s="1537">
        <v>1</v>
      </c>
      <c r="CA66" s="1356"/>
      <c r="CB66" s="1537">
        <v>0</v>
      </c>
      <c r="CC66" s="1356"/>
      <c r="CD66" s="1537">
        <v>1</v>
      </c>
      <c r="CE66" s="1356"/>
      <c r="CF66" s="1537">
        <v>0</v>
      </c>
      <c r="CG66" s="1356"/>
      <c r="CH66" s="1537">
        <v>1</v>
      </c>
      <c r="CI66" s="1356"/>
      <c r="CJ66" s="1537">
        <v>1</v>
      </c>
      <c r="CK66" s="1356"/>
      <c r="CL66" s="1537">
        <v>1</v>
      </c>
      <c r="CM66" s="1356"/>
      <c r="CN66" s="1537">
        <v>0</v>
      </c>
      <c r="CO66" s="1356"/>
      <c r="CP66" s="1537">
        <v>0</v>
      </c>
      <c r="CQ66" s="1356"/>
      <c r="CR66" s="1537">
        <v>0</v>
      </c>
      <c r="CS66" s="1356"/>
      <c r="CT66" s="1537">
        <v>1</v>
      </c>
      <c r="CU66" s="1356"/>
      <c r="CV66" s="1537">
        <v>0</v>
      </c>
      <c r="CW66" s="1356"/>
      <c r="CX66" s="1537">
        <v>1</v>
      </c>
      <c r="CY66" s="1356"/>
      <c r="CZ66" s="1537">
        <v>0</v>
      </c>
      <c r="DA66" s="1356"/>
      <c r="DB66" s="1537">
        <v>1</v>
      </c>
      <c r="DC66" s="1356"/>
      <c r="DD66" s="1537">
        <v>1</v>
      </c>
      <c r="DE66" s="1356"/>
      <c r="DF66" s="1537">
        <v>1</v>
      </c>
      <c r="DG66" s="1356"/>
      <c r="DH66" s="1537">
        <v>0</v>
      </c>
      <c r="DI66" s="1356"/>
      <c r="DJ66" s="1537">
        <v>1</v>
      </c>
      <c r="DK66" s="1356"/>
      <c r="DL66" s="1537">
        <v>1</v>
      </c>
      <c r="DM66" s="1356"/>
      <c r="DN66" s="1537">
        <v>0</v>
      </c>
      <c r="DO66" s="1356"/>
      <c r="DP66" s="1537">
        <v>1</v>
      </c>
      <c r="DQ66" s="1356"/>
      <c r="DR66" s="1537">
        <v>1</v>
      </c>
      <c r="DS66" s="1356"/>
      <c r="DT66" s="1537">
        <v>1</v>
      </c>
      <c r="DU66" s="1356"/>
      <c r="DV66" s="1537">
        <v>0</v>
      </c>
      <c r="DW66" s="1356"/>
      <c r="DX66" s="1537">
        <v>1</v>
      </c>
      <c r="DY66" s="1356"/>
      <c r="DZ66" s="1537">
        <v>1</v>
      </c>
      <c r="EA66" s="1356"/>
      <c r="EB66" s="1537">
        <v>1</v>
      </c>
      <c r="EC66" s="1356"/>
      <c r="ED66" s="1537">
        <v>0</v>
      </c>
      <c r="EE66" s="1356"/>
      <c r="EF66" s="1537">
        <v>1</v>
      </c>
      <c r="EG66" s="1356"/>
      <c r="EH66" s="1537">
        <v>0</v>
      </c>
      <c r="EI66" s="1356"/>
      <c r="EJ66" s="1537">
        <v>1</v>
      </c>
      <c r="EK66" s="1356"/>
      <c r="EL66" s="1537">
        <v>1</v>
      </c>
      <c r="EM66" s="1356"/>
      <c r="EN66" s="1537">
        <v>0</v>
      </c>
      <c r="EO66" s="1356"/>
      <c r="EP66" s="1537">
        <v>1</v>
      </c>
      <c r="EQ66" s="1356"/>
      <c r="ER66" s="1537">
        <v>0</v>
      </c>
      <c r="ES66" s="1356"/>
      <c r="ET66" s="1537">
        <v>0</v>
      </c>
      <c r="EU66" s="1356"/>
      <c r="EV66" s="1537">
        <v>1</v>
      </c>
      <c r="EW66" s="1356"/>
      <c r="EX66" s="1537">
        <v>1</v>
      </c>
      <c r="EY66" s="1356"/>
      <c r="EZ66" s="1537">
        <v>1</v>
      </c>
      <c r="FA66" s="1356"/>
      <c r="FB66" s="1537">
        <v>0</v>
      </c>
      <c r="FC66" s="1356"/>
      <c r="FD66" s="1537">
        <v>1</v>
      </c>
      <c r="FE66" s="1356"/>
      <c r="FF66" s="1537">
        <v>1</v>
      </c>
      <c r="FG66" s="1356"/>
      <c r="FH66" s="1537">
        <v>0</v>
      </c>
      <c r="FI66" s="1356"/>
      <c r="FJ66" s="1537">
        <v>1</v>
      </c>
      <c r="FK66" s="1356"/>
      <c r="FL66" s="1537">
        <v>1</v>
      </c>
      <c r="FM66" s="1356"/>
      <c r="FN66" s="1537">
        <v>1</v>
      </c>
      <c r="FO66" s="1356"/>
      <c r="FP66" s="1537">
        <v>0</v>
      </c>
      <c r="FQ66" s="1356"/>
      <c r="FR66" s="1537">
        <v>1</v>
      </c>
      <c r="FS66" s="1356"/>
      <c r="FT66" s="1537">
        <v>1</v>
      </c>
      <c r="FU66" s="1356"/>
      <c r="FV66" s="1537">
        <v>1</v>
      </c>
      <c r="FW66" s="1356"/>
      <c r="FX66" s="1537">
        <v>1</v>
      </c>
      <c r="FY66" s="1356"/>
      <c r="FZ66" s="1537">
        <v>0</v>
      </c>
      <c r="GA66" s="1356"/>
      <c r="GB66" s="1537">
        <v>1</v>
      </c>
      <c r="GC66" s="1356"/>
      <c r="GD66" s="1537">
        <v>1</v>
      </c>
      <c r="GE66" s="1356"/>
      <c r="GF66" s="1537">
        <v>0</v>
      </c>
      <c r="GG66" s="1356"/>
      <c r="GH66" s="1537">
        <v>0</v>
      </c>
      <c r="GI66" s="1356"/>
      <c r="GJ66" s="1537">
        <v>0</v>
      </c>
      <c r="GK66" s="1356"/>
      <c r="GL66" s="1537">
        <v>1</v>
      </c>
      <c r="GM66" s="1356"/>
      <c r="GN66" s="1537">
        <v>1</v>
      </c>
      <c r="GO66" s="1356"/>
      <c r="GP66" s="1537">
        <v>1</v>
      </c>
      <c r="GQ66" s="1356"/>
      <c r="GR66" s="1537">
        <v>0</v>
      </c>
      <c r="GS66" s="1356"/>
      <c r="GT66" s="1537">
        <v>1</v>
      </c>
      <c r="GU66" s="1356"/>
      <c r="GV66" s="1537">
        <v>0</v>
      </c>
      <c r="GW66" s="1356"/>
      <c r="GX66" s="1537">
        <v>0</v>
      </c>
      <c r="GY66" s="1356"/>
      <c r="GZ66" s="1537">
        <v>1</v>
      </c>
      <c r="HA66" s="1356"/>
      <c r="HB66" s="1537">
        <v>1</v>
      </c>
      <c r="HC66" s="1356"/>
      <c r="HD66" s="1537">
        <v>1</v>
      </c>
      <c r="HE66" s="1356"/>
      <c r="HF66" s="2012">
        <v>0</v>
      </c>
      <c r="HH66" s="1537">
        <v>0</v>
      </c>
      <c r="HI66" s="1356"/>
      <c r="HJ66" s="1537">
        <v>0</v>
      </c>
      <c r="HK66" s="1356"/>
      <c r="HL66" s="1537">
        <v>0</v>
      </c>
      <c r="HM66" s="1356"/>
      <c r="HN66" s="1537">
        <v>0</v>
      </c>
      <c r="HO66" s="1356"/>
      <c r="HP66" s="2012">
        <v>1</v>
      </c>
      <c r="HR66" s="1537">
        <v>1</v>
      </c>
      <c r="HS66" s="1356"/>
      <c r="HT66" s="2012">
        <v>1</v>
      </c>
      <c r="HV66" s="2012">
        <v>1</v>
      </c>
      <c r="HX66" s="2012">
        <v>0</v>
      </c>
      <c r="HZ66" s="2012">
        <v>0</v>
      </c>
      <c r="IB66" s="1537">
        <v>1</v>
      </c>
      <c r="IC66" s="1356"/>
      <c r="ID66" s="2012">
        <v>0</v>
      </c>
      <c r="IF66" s="2012">
        <v>1</v>
      </c>
    </row>
    <row r="67" spans="1:241">
      <c r="A67" s="1149"/>
      <c r="B67" s="1154"/>
      <c r="C67" s="1154"/>
      <c r="D67" s="1149" t="s">
        <v>1219</v>
      </c>
      <c r="E67" s="1143"/>
      <c r="F67" s="1537"/>
      <c r="G67" s="1356"/>
      <c r="H67" s="1537"/>
      <c r="I67" s="1356"/>
      <c r="J67" s="1537"/>
      <c r="K67" s="1356"/>
      <c r="L67" s="1537"/>
      <c r="M67" s="1356"/>
      <c r="N67" s="1537">
        <v>4560</v>
      </c>
      <c r="O67" s="1356"/>
      <c r="P67" s="1537">
        <v>0</v>
      </c>
      <c r="Q67" s="1356"/>
      <c r="R67" s="1537"/>
      <c r="T67" s="1537"/>
      <c r="U67" s="1356"/>
      <c r="V67" s="1537">
        <v>0</v>
      </c>
      <c r="W67" s="1356"/>
      <c r="X67" s="1537"/>
      <c r="Y67" s="1356"/>
      <c r="Z67" s="1537">
        <v>960</v>
      </c>
      <c r="AA67" s="1356"/>
      <c r="AB67" s="1537"/>
      <c r="AC67" s="1356"/>
      <c r="AD67" s="1537">
        <v>5352</v>
      </c>
      <c r="AE67" s="1356"/>
      <c r="AF67" s="1537"/>
      <c r="AG67" s="1356"/>
      <c r="AH67" s="1537">
        <v>1692</v>
      </c>
      <c r="AI67" s="1356"/>
      <c r="AJ67" s="1537">
        <v>7200</v>
      </c>
      <c r="AK67" s="1356"/>
      <c r="AL67" s="1537"/>
      <c r="AM67" s="1356"/>
      <c r="AN67" s="1537">
        <v>910</v>
      </c>
      <c r="AO67" s="1356"/>
      <c r="AP67" s="1537"/>
      <c r="AQ67" s="1356"/>
      <c r="AR67" s="1537"/>
      <c r="AS67" s="1356"/>
      <c r="AT67" s="1537"/>
      <c r="AU67" s="1356"/>
      <c r="AV67" s="1537">
        <v>2490</v>
      </c>
      <c r="AW67" s="1356"/>
      <c r="AX67" s="1537">
        <v>1740</v>
      </c>
      <c r="AY67" s="1356"/>
      <c r="AZ67" s="1537">
        <v>464</v>
      </c>
      <c r="BA67" s="1356"/>
      <c r="BB67" s="1537">
        <v>1935</v>
      </c>
      <c r="BC67" s="1356"/>
      <c r="BD67" s="1537"/>
      <c r="BE67" s="1356"/>
      <c r="BF67" s="1537">
        <v>1020</v>
      </c>
      <c r="BG67" s="1356"/>
      <c r="BH67" s="1537"/>
      <c r="BI67" s="1356"/>
      <c r="BJ67" s="1537"/>
      <c r="BK67" s="1356"/>
      <c r="BL67" s="1537"/>
      <c r="BM67" s="1356"/>
      <c r="BN67" s="1537">
        <v>3000</v>
      </c>
      <c r="BO67" s="1356"/>
      <c r="BP67" s="1537"/>
      <c r="BQ67" s="1356"/>
      <c r="BR67" s="1537"/>
      <c r="BS67" s="1356"/>
      <c r="BT67" s="1537">
        <v>1800</v>
      </c>
      <c r="BU67" s="1356"/>
      <c r="BV67" s="1537"/>
      <c r="BW67" s="1356"/>
      <c r="BX67" s="1537">
        <f>60*12</f>
        <v>720</v>
      </c>
      <c r="BY67" s="1356"/>
      <c r="BZ67" s="1537">
        <v>840</v>
      </c>
      <c r="CA67" s="1356"/>
      <c r="CB67" s="1537"/>
      <c r="CC67" s="1356"/>
      <c r="CD67" s="1537">
        <v>6500</v>
      </c>
      <c r="CE67" s="1356"/>
      <c r="CF67" s="1537"/>
      <c r="CG67" s="1356"/>
      <c r="CH67" s="1537">
        <v>1500</v>
      </c>
      <c r="CI67" s="1356"/>
      <c r="CJ67" s="1537">
        <v>3600</v>
      </c>
      <c r="CK67" s="1356"/>
      <c r="CL67" s="1537">
        <v>3000</v>
      </c>
      <c r="CM67" s="1356"/>
      <c r="CN67" s="1537"/>
      <c r="CO67" s="1356"/>
      <c r="CP67" s="1537"/>
      <c r="CQ67" s="1356"/>
      <c r="CR67" s="1537"/>
      <c r="CS67" s="1356"/>
      <c r="CT67" s="1537">
        <v>6600</v>
      </c>
      <c r="CU67" s="1356"/>
      <c r="CV67" s="1537"/>
      <c r="CW67" s="1356"/>
      <c r="CX67" s="1537">
        <v>4196</v>
      </c>
      <c r="CY67" s="1356"/>
      <c r="CZ67" s="1537"/>
      <c r="DA67" s="1356"/>
      <c r="DB67" s="1537">
        <v>1056</v>
      </c>
      <c r="DC67" s="1356"/>
      <c r="DD67" s="1537">
        <v>7980</v>
      </c>
      <c r="DE67" s="1356"/>
      <c r="DF67" s="1537">
        <v>1020</v>
      </c>
      <c r="DG67" s="1356"/>
      <c r="DH67" s="1537"/>
      <c r="DI67" s="1356"/>
      <c r="DJ67" s="1537">
        <v>0</v>
      </c>
      <c r="DK67" s="1356"/>
      <c r="DL67" s="1537">
        <v>2400</v>
      </c>
      <c r="DM67" s="1356"/>
      <c r="DN67" s="1537">
        <v>0</v>
      </c>
      <c r="DO67" s="1356"/>
      <c r="DP67" s="1537">
        <f>150*12</f>
        <v>1800</v>
      </c>
      <c r="DQ67" s="1356"/>
      <c r="DR67" s="1537">
        <f>(84*12)</f>
        <v>1008</v>
      </c>
      <c r="DS67" s="1356"/>
      <c r="DT67" s="1537">
        <f>1560+768</f>
        <v>2328</v>
      </c>
      <c r="DU67" s="1356"/>
      <c r="DV67" s="1537"/>
      <c r="DW67" s="1356"/>
      <c r="DX67" s="1537">
        <v>1500</v>
      </c>
      <c r="DY67" s="1356"/>
      <c r="DZ67" s="1537">
        <v>1308</v>
      </c>
      <c r="EA67" s="1356"/>
      <c r="EB67" s="1537">
        <v>5522</v>
      </c>
      <c r="EC67" s="1356"/>
      <c r="ED67" s="1537"/>
      <c r="EE67" s="1356"/>
      <c r="EF67" s="1537">
        <f>2520+1620</f>
        <v>4140</v>
      </c>
      <c r="EG67" s="1356"/>
      <c r="EH67" s="1537"/>
      <c r="EI67" s="1356"/>
      <c r="EJ67" s="1537">
        <f>30*12</f>
        <v>360</v>
      </c>
      <c r="EK67" s="1356"/>
      <c r="EL67" s="1537">
        <v>1500</v>
      </c>
      <c r="EM67" s="1356"/>
      <c r="EN67" s="1537"/>
      <c r="EO67" s="1356"/>
      <c r="EP67" s="1537">
        <v>5000</v>
      </c>
      <c r="EQ67" s="1356"/>
      <c r="ER67" s="1537"/>
      <c r="ES67" s="1356"/>
      <c r="ET67" s="1537"/>
      <c r="EU67" s="1356"/>
      <c r="EV67" s="1537">
        <v>3203</v>
      </c>
      <c r="EW67" s="1356"/>
      <c r="EX67" s="1537">
        <v>975</v>
      </c>
      <c r="EY67" s="1356"/>
      <c r="EZ67" s="1537">
        <v>4920</v>
      </c>
      <c r="FA67" s="1356"/>
      <c r="FB67" s="1537"/>
      <c r="FC67" s="1356"/>
      <c r="FD67" s="1537">
        <f>600+1140</f>
        <v>1740</v>
      </c>
      <c r="FE67" s="1356"/>
      <c r="FF67" s="1537">
        <v>860</v>
      </c>
      <c r="FG67" s="1356"/>
      <c r="FH67" s="1537"/>
      <c r="FI67" s="1356"/>
      <c r="FJ67" s="1537">
        <f>125*12</f>
        <v>1500</v>
      </c>
      <c r="FK67" s="1356"/>
      <c r="FL67" s="1537">
        <v>2440</v>
      </c>
      <c r="FM67" s="1356"/>
      <c r="FN67" s="1537">
        <f>175*12</f>
        <v>2100</v>
      </c>
      <c r="FO67" s="1356"/>
      <c r="FP67" s="1537"/>
      <c r="FQ67" s="1356"/>
      <c r="FR67" s="1537">
        <v>1800</v>
      </c>
      <c r="FS67" s="1356"/>
      <c r="FT67" s="1537">
        <v>1200</v>
      </c>
      <c r="FU67" s="1356"/>
      <c r="FV67" s="1537">
        <v>6000</v>
      </c>
      <c r="FW67" s="1356"/>
      <c r="FX67" s="1537">
        <f>(221.37*4)</f>
        <v>885.48</v>
      </c>
      <c r="FY67" s="1356"/>
      <c r="FZ67" s="1537"/>
      <c r="GA67" s="1356"/>
      <c r="GB67" s="1537">
        <v>3300</v>
      </c>
      <c r="GC67" s="1356"/>
      <c r="GD67" s="1537">
        <v>2316</v>
      </c>
      <c r="GE67" s="1356"/>
      <c r="GF67" s="1537"/>
      <c r="GG67" s="1356"/>
      <c r="GH67" s="1537">
        <v>0</v>
      </c>
      <c r="GI67" s="1356"/>
      <c r="GJ67" s="1537"/>
      <c r="GK67" s="1356"/>
      <c r="GL67" s="1537">
        <v>0</v>
      </c>
      <c r="GM67" s="1356"/>
      <c r="GN67" s="1537">
        <v>743</v>
      </c>
      <c r="GO67" s="1356"/>
      <c r="GP67" s="1537">
        <v>1452</v>
      </c>
      <c r="GQ67" s="1356"/>
      <c r="GR67" s="1537"/>
      <c r="GS67" s="1356"/>
      <c r="GT67" s="1537">
        <v>450</v>
      </c>
      <c r="GU67" s="1356"/>
      <c r="GV67" s="1537"/>
      <c r="GW67" s="1356"/>
      <c r="GX67" s="1537"/>
      <c r="GY67" s="1356"/>
      <c r="GZ67" s="1537">
        <v>1370</v>
      </c>
      <c r="HA67" s="1356"/>
      <c r="HB67" s="1537">
        <v>1500</v>
      </c>
      <c r="HC67" s="1356"/>
      <c r="HD67" s="1537">
        <v>2500</v>
      </c>
      <c r="HE67" s="1356"/>
      <c r="HF67" s="2012"/>
      <c r="HH67" s="1537"/>
      <c r="HI67" s="1356"/>
      <c r="HJ67" s="1537"/>
      <c r="HK67" s="1356"/>
      <c r="HL67" s="1537"/>
      <c r="HM67" s="1356"/>
      <c r="HN67" s="1537"/>
      <c r="HO67" s="1356"/>
      <c r="HP67" s="2012">
        <v>1908</v>
      </c>
      <c r="HR67" s="1537">
        <v>900</v>
      </c>
      <c r="HS67" s="1356"/>
      <c r="HT67" s="2012">
        <v>1524</v>
      </c>
      <c r="HV67" s="2012">
        <v>4788</v>
      </c>
      <c r="HX67" s="2012"/>
      <c r="HZ67" s="2012">
        <v>0</v>
      </c>
      <c r="IB67" s="1537">
        <v>1500</v>
      </c>
      <c r="IC67" s="1356"/>
      <c r="ID67" s="2012"/>
      <c r="IF67" s="2012">
        <v>600</v>
      </c>
    </row>
    <row r="68" spans="1:241">
      <c r="A68" s="1149"/>
      <c r="B68" s="1149"/>
      <c r="C68" s="1149"/>
      <c r="D68" s="1149"/>
      <c r="E68" s="1143"/>
      <c r="F68" s="1356"/>
      <c r="G68" s="1356"/>
      <c r="H68" s="1356"/>
      <c r="I68" s="1356"/>
      <c r="J68" s="1356"/>
      <c r="K68" s="1356"/>
      <c r="L68" s="1356"/>
      <c r="M68" s="1356"/>
      <c r="N68" s="1356"/>
      <c r="O68" s="1356"/>
      <c r="P68" s="1356"/>
      <c r="Q68" s="1356"/>
      <c r="R68" s="1356"/>
      <c r="T68" s="1356"/>
      <c r="U68" s="1356"/>
      <c r="V68" s="1356"/>
      <c r="W68" s="1356"/>
      <c r="X68" s="1356"/>
      <c r="Y68" s="1356"/>
      <c r="Z68" s="1356"/>
      <c r="AA68" s="1356"/>
      <c r="AB68" s="1356"/>
      <c r="AC68" s="1356"/>
      <c r="AD68" s="1356"/>
      <c r="AE68" s="1356"/>
      <c r="AF68" s="1356"/>
      <c r="AG68" s="1356"/>
      <c r="AH68" s="1356"/>
      <c r="AI68" s="1356"/>
      <c r="AJ68" s="1356"/>
      <c r="AK68" s="1356"/>
      <c r="AL68" s="1356"/>
      <c r="AM68" s="1356"/>
      <c r="AN68" s="1356"/>
      <c r="AO68" s="1356"/>
      <c r="AP68" s="1356"/>
      <c r="AQ68" s="1356"/>
      <c r="AR68" s="1356"/>
      <c r="AS68" s="1356"/>
      <c r="AT68" s="1356"/>
      <c r="AU68" s="1356"/>
      <c r="AV68" s="1356"/>
      <c r="AW68" s="1356"/>
      <c r="AX68" s="1356"/>
      <c r="AY68" s="1356"/>
      <c r="AZ68" s="1356"/>
      <c r="BA68" s="1356"/>
      <c r="BB68" s="1356"/>
      <c r="BC68" s="1356"/>
      <c r="BD68" s="1356"/>
      <c r="BE68" s="1356"/>
      <c r="BF68" s="1356"/>
      <c r="BG68" s="1356"/>
      <c r="BH68" s="1356"/>
      <c r="BI68" s="1356"/>
      <c r="BJ68" s="1356"/>
      <c r="BK68" s="1356"/>
      <c r="BL68" s="1356"/>
      <c r="BM68" s="1356"/>
      <c r="BN68" s="1356"/>
      <c r="BO68" s="1356"/>
      <c r="BP68" s="1356"/>
      <c r="BQ68" s="1356"/>
      <c r="BR68" s="1356"/>
      <c r="BS68" s="1356"/>
      <c r="BT68" s="1356"/>
      <c r="BU68" s="1356"/>
      <c r="BV68" s="1356"/>
      <c r="BW68" s="1356"/>
      <c r="BX68" s="1356"/>
      <c r="BY68" s="1356"/>
      <c r="BZ68" s="1356"/>
      <c r="CA68" s="1356"/>
      <c r="CB68" s="1356"/>
      <c r="CC68" s="1356"/>
      <c r="CD68" s="1356"/>
      <c r="CE68" s="1356"/>
      <c r="CF68" s="1356"/>
      <c r="CG68" s="1356"/>
      <c r="CH68" s="1356"/>
      <c r="CI68" s="1356"/>
      <c r="CJ68" s="1356"/>
      <c r="CK68" s="1356"/>
      <c r="CL68" s="1356"/>
      <c r="CM68" s="1356"/>
      <c r="CN68" s="1356"/>
      <c r="CO68" s="1356"/>
      <c r="CP68" s="1356"/>
      <c r="CQ68" s="1356"/>
      <c r="CR68" s="1356"/>
      <c r="CS68" s="1356"/>
      <c r="CT68" s="1356"/>
      <c r="CU68" s="1356"/>
      <c r="CV68" s="1356"/>
      <c r="CW68" s="1356"/>
      <c r="CX68" s="1356"/>
      <c r="CY68" s="1356"/>
      <c r="CZ68" s="1356"/>
      <c r="DA68" s="1356"/>
      <c r="DB68" s="1356"/>
      <c r="DC68" s="1356"/>
      <c r="DD68" s="1356"/>
      <c r="DE68" s="1356"/>
      <c r="DF68" s="1356"/>
      <c r="DG68" s="1356"/>
      <c r="DH68" s="1356"/>
      <c r="DI68" s="1356"/>
      <c r="DJ68" s="1356"/>
      <c r="DK68" s="1356"/>
      <c r="DL68" s="1356"/>
      <c r="DM68" s="1356"/>
      <c r="DN68" s="1356"/>
      <c r="DO68" s="1356"/>
      <c r="DP68" s="1356"/>
      <c r="DQ68" s="1356"/>
      <c r="DR68" s="1356"/>
      <c r="DS68" s="1356"/>
      <c r="DT68" s="1356"/>
      <c r="DU68" s="1356"/>
      <c r="DV68" s="1356"/>
      <c r="DW68" s="1356"/>
      <c r="DX68" s="1356"/>
      <c r="DY68" s="1356"/>
      <c r="DZ68" s="1356"/>
      <c r="EA68" s="1356"/>
      <c r="EB68" s="1356"/>
      <c r="EC68" s="1356"/>
      <c r="ED68" s="1356"/>
      <c r="EE68" s="1356"/>
      <c r="EF68" s="1356"/>
      <c r="EG68" s="1356"/>
      <c r="EH68" s="1356"/>
      <c r="EI68" s="1356"/>
      <c r="EJ68" s="1356"/>
      <c r="EK68" s="1356"/>
      <c r="EL68" s="1356"/>
      <c r="EM68" s="1356"/>
      <c r="EN68" s="1356"/>
      <c r="EO68" s="1356"/>
      <c r="EP68" s="1356"/>
      <c r="EQ68" s="1356"/>
      <c r="ER68" s="1356"/>
      <c r="ES68" s="1356"/>
      <c r="ET68" s="1356"/>
      <c r="EU68" s="1356"/>
      <c r="EV68" s="1356"/>
      <c r="EW68" s="1356"/>
      <c r="EX68" s="1356"/>
      <c r="EY68" s="1356"/>
      <c r="EZ68" s="1356"/>
      <c r="FA68" s="1356"/>
      <c r="FB68" s="1356"/>
      <c r="FC68" s="1356"/>
      <c r="FD68" s="1356"/>
      <c r="FE68" s="1356"/>
      <c r="FF68" s="1356"/>
      <c r="FG68" s="1356"/>
      <c r="FH68" s="1356"/>
      <c r="FI68" s="1356"/>
      <c r="FJ68" s="1356"/>
      <c r="FK68" s="1356"/>
      <c r="FL68" s="1356"/>
      <c r="FM68" s="1356"/>
      <c r="FN68" s="1356"/>
      <c r="FO68" s="1356"/>
      <c r="FP68" s="1356"/>
      <c r="FQ68" s="1356"/>
      <c r="FR68" s="1356"/>
      <c r="FS68" s="1356"/>
      <c r="FT68" s="1356"/>
      <c r="FU68" s="1356"/>
      <c r="FV68" s="1356"/>
      <c r="FW68" s="1356"/>
      <c r="FX68" s="1356"/>
      <c r="FY68" s="1356"/>
      <c r="FZ68" s="1356"/>
      <c r="GA68" s="1356"/>
      <c r="GB68" s="1356"/>
      <c r="GC68" s="1356"/>
      <c r="GD68" s="1356"/>
      <c r="GE68" s="1356"/>
      <c r="GF68" s="1356"/>
      <c r="GG68" s="1356"/>
      <c r="GH68" s="1356"/>
      <c r="GI68" s="1356"/>
      <c r="GJ68" s="1356"/>
      <c r="GK68" s="1356"/>
      <c r="GL68" s="1356"/>
      <c r="GM68" s="1356"/>
      <c r="GN68" s="1356"/>
      <c r="GO68" s="1356"/>
      <c r="GP68" s="1356"/>
      <c r="GQ68" s="1356"/>
      <c r="GR68" s="1356"/>
      <c r="GS68" s="1356"/>
      <c r="GT68" s="1356"/>
      <c r="GU68" s="1356"/>
      <c r="GV68" s="1356"/>
      <c r="GW68" s="1356"/>
      <c r="GX68" s="1356"/>
      <c r="GY68" s="1356"/>
      <c r="GZ68" s="1356"/>
      <c r="HA68" s="1356"/>
      <c r="HB68" s="1356"/>
      <c r="HC68" s="1356"/>
      <c r="HD68" s="1356"/>
      <c r="HE68" s="1356"/>
      <c r="HF68" s="1535"/>
      <c r="HH68" s="1356"/>
      <c r="HI68" s="1356"/>
      <c r="HJ68" s="1356"/>
      <c r="HK68" s="1356"/>
      <c r="HL68" s="1356"/>
      <c r="HM68" s="1356"/>
      <c r="HN68" s="1356"/>
      <c r="HO68" s="1356"/>
      <c r="HP68" s="1535"/>
      <c r="HR68" s="1356"/>
      <c r="HS68" s="1356"/>
      <c r="HT68" s="1535"/>
      <c r="HV68" s="1535"/>
      <c r="HX68" s="1535"/>
      <c r="HZ68" s="1535"/>
      <c r="IB68" s="1356"/>
      <c r="IC68" s="1356"/>
      <c r="ID68" s="1535"/>
      <c r="IF68" s="1535"/>
    </row>
    <row r="69" spans="1:241">
      <c r="A69" s="1149"/>
      <c r="B69" s="1149"/>
      <c r="C69" s="1149" t="s">
        <v>72</v>
      </c>
      <c r="D69" s="1149"/>
      <c r="E69" s="1143"/>
      <c r="F69" s="1702">
        <f>F46+F59+F63+F67</f>
        <v>12400</v>
      </c>
      <c r="G69" s="1356"/>
      <c r="H69" s="1702">
        <f>H46+H59+H63+H67</f>
        <v>22000</v>
      </c>
      <c r="I69" s="1356"/>
      <c r="J69" s="1702">
        <f>J46+J59+J63+J67</f>
        <v>15525</v>
      </c>
      <c r="K69" s="1356"/>
      <c r="L69" s="1702">
        <f>L46+L59+L63+L67</f>
        <v>19010</v>
      </c>
      <c r="M69" s="1356"/>
      <c r="N69" s="1702">
        <f>N46+N59+N63+N67</f>
        <v>30758</v>
      </c>
      <c r="O69" s="1356"/>
      <c r="P69" s="1702">
        <f>P46+P59+P63+P67</f>
        <v>18300</v>
      </c>
      <c r="Q69" s="1356"/>
      <c r="R69" s="1702">
        <f>R46+R59+R63+R67</f>
        <v>22350</v>
      </c>
      <c r="T69" s="1702">
        <f>T46+T59+T63+T67</f>
        <v>3863</v>
      </c>
      <c r="U69" s="1356"/>
      <c r="V69" s="1702">
        <f>V46+V59+V63+V67</f>
        <v>6424</v>
      </c>
      <c r="W69" s="1356"/>
      <c r="X69" s="1702">
        <f>X46+X59+X63+X67</f>
        <v>19305</v>
      </c>
      <c r="Y69" s="1356"/>
      <c r="Z69" s="1702">
        <f>Z46+Z59+Z63+Z67</f>
        <v>16968</v>
      </c>
      <c r="AA69" s="1356"/>
      <c r="AB69" s="1702">
        <f>AB46+AB59+AB63+AB67</f>
        <v>4800</v>
      </c>
      <c r="AC69" s="1356"/>
      <c r="AD69" s="1702">
        <f>AD46+AD59+AD63+AD67</f>
        <v>37441</v>
      </c>
      <c r="AE69" s="1356"/>
      <c r="AF69" s="1702">
        <f>AF46+AF59+AF63+AF67</f>
        <v>12260</v>
      </c>
      <c r="AG69" s="1356"/>
      <c r="AH69" s="1702">
        <f>AH46+AH59+AH63+AH67</f>
        <v>7857</v>
      </c>
      <c r="AI69" s="1356"/>
      <c r="AJ69" s="1702">
        <f>AJ46+AJ59+AJ63+AJ67</f>
        <v>32200</v>
      </c>
      <c r="AK69" s="1356"/>
      <c r="AL69" s="1702">
        <f>AL46+AL59+AL63+AL67</f>
        <v>4700</v>
      </c>
      <c r="AM69" s="1356"/>
      <c r="AN69" s="1702">
        <f>AN46+AN59+AN63+AN67</f>
        <v>15190</v>
      </c>
      <c r="AO69" s="1356"/>
      <c r="AP69" s="1702">
        <f>AP46+AP59+AP63+AP67</f>
        <v>21500</v>
      </c>
      <c r="AQ69" s="1356"/>
      <c r="AR69" s="1702">
        <f>AR46+AR59+AR63+AR67</f>
        <v>30160</v>
      </c>
      <c r="AS69" s="1356"/>
      <c r="AT69" s="1702">
        <f>AT46+AT59+AT63+AT67</f>
        <v>4950</v>
      </c>
      <c r="AU69" s="1356"/>
      <c r="AV69" s="1702">
        <f>AV46+AV59+AV63+AV67</f>
        <v>19263</v>
      </c>
      <c r="AW69" s="1356"/>
      <c r="AX69" s="1702">
        <f>AX46+AX59+AX63+AX67</f>
        <v>6938</v>
      </c>
      <c r="AY69" s="1356"/>
      <c r="AZ69" s="1702">
        <f>AZ46+AZ59+AZ63+AZ67</f>
        <v>7680</v>
      </c>
      <c r="BA69" s="1356"/>
      <c r="BB69" s="1702">
        <f>BB46+BB59+BB63+BB67</f>
        <v>25677</v>
      </c>
      <c r="BC69" s="1356"/>
      <c r="BD69" s="1702">
        <f>BD46+BD59+BD63+BD67</f>
        <v>8130</v>
      </c>
      <c r="BE69" s="1356"/>
      <c r="BF69" s="1702">
        <f>BF46+BF59+BF63+BF67</f>
        <v>8895.73</v>
      </c>
      <c r="BG69" s="1356"/>
      <c r="BH69" s="1702">
        <f>BH46+BH59+BH63+BH67</f>
        <v>15745</v>
      </c>
      <c r="BI69" s="1356"/>
      <c r="BJ69" s="1702">
        <f>BJ46+BJ59+BJ63+BJ67</f>
        <v>17808</v>
      </c>
      <c r="BK69" s="1356"/>
      <c r="BL69" s="1702">
        <f>BL46+BL59+BL63+BL67</f>
        <v>23090</v>
      </c>
      <c r="BM69" s="1356"/>
      <c r="BN69" s="1702">
        <f>BN46+BN59+BN63+BN67</f>
        <v>18067</v>
      </c>
      <c r="BO69" s="1356"/>
      <c r="BP69" s="1702">
        <f>BP46+BP59+BP63+BP67</f>
        <v>7848</v>
      </c>
      <c r="BQ69" s="1356"/>
      <c r="BR69" s="1702">
        <f>BR46+BR59+BR63+BR67</f>
        <v>16500</v>
      </c>
      <c r="BS69" s="1356"/>
      <c r="BT69" s="1702">
        <f>BT46+BT59+BT63+BT67</f>
        <v>12549</v>
      </c>
      <c r="BU69" s="1356"/>
      <c r="BV69" s="1702">
        <f>BV46+BV59+BV63+BV67</f>
        <v>5064</v>
      </c>
      <c r="BW69" s="1356"/>
      <c r="BX69" s="1702">
        <f>BX46+BX59+BX63+BX67</f>
        <v>5137</v>
      </c>
      <c r="BY69" s="1356"/>
      <c r="BZ69" s="1702">
        <f>BZ46+BZ59+BZ63+BZ67</f>
        <v>13181</v>
      </c>
      <c r="CA69" s="1356"/>
      <c r="CB69" s="1702">
        <f>CB46+CB59+CB63+CB67</f>
        <v>17700</v>
      </c>
      <c r="CC69" s="1356"/>
      <c r="CD69" s="1702">
        <f>CD46+CD59+CD63+CD67</f>
        <v>22920</v>
      </c>
      <c r="CE69" s="1356"/>
      <c r="CF69" s="1702">
        <v>19696</v>
      </c>
      <c r="CG69" s="1356"/>
      <c r="CH69" s="1702">
        <f>CH46+CH59+CH63+CH67</f>
        <v>15490</v>
      </c>
      <c r="CI69" s="1356"/>
      <c r="CJ69" s="1702">
        <v>12840</v>
      </c>
      <c r="CK69" s="1356"/>
      <c r="CL69" s="1702">
        <v>25077</v>
      </c>
      <c r="CM69" s="1356"/>
      <c r="CN69" s="1702">
        <f>CN46+CN59+CN63+CN67</f>
        <v>14462</v>
      </c>
      <c r="CO69" s="1356"/>
      <c r="CP69" s="1702">
        <f>CP46+CP59+CP63+CP67</f>
        <v>11774</v>
      </c>
      <c r="CQ69" s="1356"/>
      <c r="CR69" s="1702">
        <v>23542</v>
      </c>
      <c r="CS69" s="1356"/>
      <c r="CT69" s="1702">
        <f>CT46+CT59+CT63+CT67</f>
        <v>27435</v>
      </c>
      <c r="CU69" s="1356"/>
      <c r="CV69" s="1702">
        <f>CV46+CV59+CV63+CV67</f>
        <v>18440</v>
      </c>
      <c r="CW69" s="1356"/>
      <c r="CX69" s="1702">
        <f>CX46+CX59+CX63+CX67</f>
        <v>33871</v>
      </c>
      <c r="CY69" s="1356"/>
      <c r="CZ69" s="1702">
        <v>17325</v>
      </c>
      <c r="DA69" s="1356"/>
      <c r="DB69" s="1702">
        <v>16230</v>
      </c>
      <c r="DC69" s="1356"/>
      <c r="DD69" s="1702">
        <v>21854</v>
      </c>
      <c r="DE69" s="1356"/>
      <c r="DF69" s="1702">
        <v>32028</v>
      </c>
      <c r="DG69" s="1356"/>
      <c r="DH69" s="1702">
        <v>3192</v>
      </c>
      <c r="DI69" s="1356"/>
      <c r="DJ69" s="1702">
        <v>10487</v>
      </c>
      <c r="DK69" s="1356"/>
      <c r="DL69" s="1702">
        <v>16041</v>
      </c>
      <c r="DM69" s="1356"/>
      <c r="DN69" s="1702">
        <f>DN46+DN59+DN63+DN67</f>
        <v>20300</v>
      </c>
      <c r="DO69" s="1356"/>
      <c r="DP69" s="1702">
        <f>DP46+DP59+DP63+DP67</f>
        <v>22450</v>
      </c>
      <c r="DQ69" s="1356"/>
      <c r="DR69" s="1702">
        <f>DR46+DR59+DR63+DR67</f>
        <v>18438</v>
      </c>
      <c r="DS69" s="1356"/>
      <c r="DT69" s="1702">
        <f>DT46+DT59+DT63+DT67</f>
        <v>25441</v>
      </c>
      <c r="DU69" s="1356"/>
      <c r="DV69" s="1702">
        <f>DV46+DV59+DV63+DV67</f>
        <v>13228</v>
      </c>
      <c r="DW69" s="1356"/>
      <c r="DX69" s="1702">
        <f>DX46+DX59+DX63+DX67</f>
        <v>25875</v>
      </c>
      <c r="DY69" s="1356"/>
      <c r="DZ69" s="1702">
        <f>DZ46+DZ59+DZ63+DZ67</f>
        <v>16682</v>
      </c>
      <c r="EA69" s="1356"/>
      <c r="EB69" s="1702">
        <f>EB46+EB59+EB63+EB67</f>
        <v>35129</v>
      </c>
      <c r="EC69" s="1356"/>
      <c r="ED69" s="1702">
        <f>ED46+ED59+ED63+ED67</f>
        <v>16240</v>
      </c>
      <c r="EE69" s="1356"/>
      <c r="EF69" s="1702">
        <f>EF46+EF59+EF63+EF67</f>
        <v>24820</v>
      </c>
      <c r="EG69" s="1356"/>
      <c r="EH69" s="1702">
        <f>EH46+EH59+EH63+EH67</f>
        <v>22842</v>
      </c>
      <c r="EI69" s="1356"/>
      <c r="EJ69" s="1702">
        <f>EJ46+EJ59+EJ63+EJ67</f>
        <v>16340</v>
      </c>
      <c r="EK69" s="1356"/>
      <c r="EL69" s="1702">
        <f>EL46+EL59+EL63+EL67</f>
        <v>26205</v>
      </c>
      <c r="EM69" s="1356"/>
      <c r="EN69" s="1702">
        <f>EN46+EN59+EN63+EN67</f>
        <v>6434</v>
      </c>
      <c r="EO69" s="1356"/>
      <c r="EP69" s="1702">
        <f>EP46+EP59+EP63+EP67</f>
        <v>14000</v>
      </c>
      <c r="EQ69" s="1356"/>
      <c r="ER69" s="1702">
        <f>ER46+ER59+ER63+ER67</f>
        <v>7259</v>
      </c>
      <c r="ES69" s="1356"/>
      <c r="ET69" s="1702">
        <f>ET46+ET59+ET63+ET67</f>
        <v>16134</v>
      </c>
      <c r="EU69" s="1356"/>
      <c r="EV69" s="1702">
        <f>EV46+EV59+EV63+EV67</f>
        <v>6501</v>
      </c>
      <c r="EW69" s="1356"/>
      <c r="EX69" s="1702">
        <f>EX46+EX59+EX63+EX67</f>
        <v>8709</v>
      </c>
      <c r="EY69" s="1356"/>
      <c r="EZ69" s="1702">
        <f>EZ46+EZ59+EZ63+EZ67</f>
        <v>35138</v>
      </c>
      <c r="FA69" s="1356"/>
      <c r="FB69" s="1702">
        <f>FB46+FB59+FB63+FB67</f>
        <v>7465</v>
      </c>
      <c r="FC69" s="1356"/>
      <c r="FD69" s="1702">
        <f>FD46+FD59+FD63+FD67</f>
        <v>15040</v>
      </c>
      <c r="FE69" s="1356"/>
      <c r="FF69" s="1702">
        <f>FF46+FF59+FF63+FF67</f>
        <v>7312</v>
      </c>
      <c r="FG69" s="1356"/>
      <c r="FH69" s="1702">
        <f>FH46+FH59+FH63+FH67</f>
        <v>23187</v>
      </c>
      <c r="FI69" s="1356"/>
      <c r="FJ69" s="1702">
        <f>FJ46+FJ59+FJ63+FJ67</f>
        <v>18085.52</v>
      </c>
      <c r="FK69" s="1356"/>
      <c r="FL69" s="1702">
        <f>FL46+FL59+FL63+FL67</f>
        <v>30482</v>
      </c>
      <c r="FM69" s="1356"/>
      <c r="FN69" s="1702">
        <f>FN46+FN59+FN63+FN67</f>
        <v>26621</v>
      </c>
      <c r="FO69" s="1356"/>
      <c r="FP69" s="1702">
        <f>FP46+FP59+FP63+FP67</f>
        <v>6493</v>
      </c>
      <c r="FQ69" s="1356"/>
      <c r="FR69" s="1702">
        <f>FR46+FR59+FR63+FR67</f>
        <v>13116</v>
      </c>
      <c r="FS69" s="1356"/>
      <c r="FT69" s="1702">
        <f>FT46+FT59+FT63+FT67</f>
        <v>16057</v>
      </c>
      <c r="FU69" s="1356"/>
      <c r="FV69" s="1702">
        <f>FV46+FV59+FV63+FV67</f>
        <v>34100</v>
      </c>
      <c r="FW69" s="1356"/>
      <c r="FX69" s="1702">
        <f>FX46+FX59+FX63+FX67</f>
        <v>12645.48</v>
      </c>
      <c r="FY69" s="1356"/>
      <c r="FZ69" s="1702">
        <f>FZ46+FZ59+FZ63+FZ67</f>
        <v>13285</v>
      </c>
      <c r="GA69" s="1356"/>
      <c r="GB69" s="1702">
        <f>GB46+GB59+GB63+GB67</f>
        <v>18412</v>
      </c>
      <c r="GC69" s="1356"/>
      <c r="GD69" s="1702">
        <f>GD46+GD59+GD63+GD67</f>
        <v>21573</v>
      </c>
      <c r="GE69" s="1356"/>
      <c r="GF69" s="1702">
        <f>GF46+GF59+GF63+GF67</f>
        <v>13802</v>
      </c>
      <c r="GG69" s="1356"/>
      <c r="GH69" s="1702">
        <f>GH46+GH59+GH63+GH67</f>
        <v>13613</v>
      </c>
      <c r="GI69" s="1356"/>
      <c r="GJ69" s="1702">
        <f>GJ46+GJ59+GJ63+GJ67</f>
        <v>24040</v>
      </c>
      <c r="GK69" s="1356"/>
      <c r="GL69" s="1702">
        <f>GL46+GL59+GL63+GL67</f>
        <v>8906</v>
      </c>
      <c r="GM69" s="1356"/>
      <c r="GN69" s="1702">
        <f>GN46+GN59+GN63+GN67</f>
        <v>6327</v>
      </c>
      <c r="GO69" s="1356"/>
      <c r="GP69" s="1702">
        <f>GP46+GP59+GP63+GP67</f>
        <v>16128</v>
      </c>
      <c r="GQ69" s="1356"/>
      <c r="GR69" s="1702">
        <f>GR46+GR59+GR63+GR67</f>
        <v>9696</v>
      </c>
      <c r="GS69" s="1356"/>
      <c r="GT69" s="1702">
        <f>GT46+GT59+GT63+GT67</f>
        <v>5784</v>
      </c>
      <c r="GU69" s="1356"/>
      <c r="GV69" s="1702">
        <f>GV46+GV59+GV63+GV67</f>
        <v>11240</v>
      </c>
      <c r="GW69" s="1356"/>
      <c r="GX69" s="1702">
        <f>GX46+GX59+GX63+GX67</f>
        <v>6648</v>
      </c>
      <c r="GY69" s="1356"/>
      <c r="GZ69" s="1702">
        <f>GZ46+GZ59+GZ63+GZ67</f>
        <v>19125</v>
      </c>
      <c r="HA69" s="1356"/>
      <c r="HB69" s="1702">
        <f>HB46+HB59+HB63+HB67</f>
        <v>10425</v>
      </c>
      <c r="HC69" s="1356"/>
      <c r="HD69" s="1702">
        <f>HD46+HD59+HD63+HD67</f>
        <v>23744</v>
      </c>
      <c r="HE69" s="1356"/>
      <c r="HF69" s="2018">
        <f>HF46+HF59+HF63+HF67</f>
        <v>26674</v>
      </c>
      <c r="HH69" s="1702">
        <f>HH46+HH59+HH63+HH67</f>
        <v>25000</v>
      </c>
      <c r="HI69" s="1356"/>
      <c r="HJ69" s="1702">
        <f>HJ46+HJ59+HJ63+HJ67</f>
        <v>6348</v>
      </c>
      <c r="HK69" s="1356"/>
      <c r="HL69" s="1702">
        <f>HL46+HL59+HL63+HL67</f>
        <v>9566</v>
      </c>
      <c r="HM69" s="1356"/>
      <c r="HN69" s="1702">
        <f>HN46+HN59+HN63+HN67</f>
        <v>15250</v>
      </c>
      <c r="HO69" s="1356"/>
      <c r="HP69" s="2018">
        <f>HP46+HP59+HP63+HP67</f>
        <v>21229</v>
      </c>
      <c r="HR69" s="1702">
        <f>HR46+HR59+HR63+HR67</f>
        <v>7700</v>
      </c>
      <c r="HS69" s="1356"/>
      <c r="HT69" s="2018">
        <f>HT46+HT59+HT63+HT67</f>
        <v>19973</v>
      </c>
      <c r="HV69" s="2018">
        <f>HV46+HV59+HV63+HV67</f>
        <v>31465</v>
      </c>
      <c r="HX69" s="2018">
        <f>HX46+HX59+HX63+HX67</f>
        <v>20768</v>
      </c>
      <c r="HZ69" s="2018">
        <f>HZ46+HZ59+HZ63+HZ67</f>
        <v>16104</v>
      </c>
      <c r="IB69" s="1702">
        <f>IB46+IB59+IB63+IB67</f>
        <v>13150</v>
      </c>
      <c r="IC69" s="1356"/>
      <c r="ID69" s="2018">
        <f>ID46+ID59+ID63+ID67</f>
        <v>9598.32</v>
      </c>
      <c r="IF69" s="2018">
        <f>IF46+IF59+IF63+IF67</f>
        <v>7943</v>
      </c>
    </row>
    <row r="70" spans="1:241" hidden="1">
      <c r="A70" s="1151"/>
      <c r="B70" s="1151"/>
      <c r="C70" s="1151" t="s">
        <v>73</v>
      </c>
      <c r="D70" s="1151"/>
      <c r="E70" s="1152"/>
      <c r="F70" s="1703" t="s">
        <v>1208</v>
      </c>
      <c r="G70" s="1704"/>
      <c r="H70" s="1703" t="s">
        <v>1208</v>
      </c>
      <c r="I70" s="1704"/>
      <c r="J70" s="1703" t="s">
        <v>1208</v>
      </c>
      <c r="K70" s="1704"/>
      <c r="L70" s="1703" t="s">
        <v>1208</v>
      </c>
      <c r="M70" s="1704"/>
      <c r="N70" s="1703" t="s">
        <v>1208</v>
      </c>
      <c r="O70" s="1704"/>
      <c r="P70" s="1703" t="s">
        <v>1208</v>
      </c>
      <c r="Q70" s="1704"/>
      <c r="R70" s="1703" t="s">
        <v>1208</v>
      </c>
      <c r="S70" s="1704"/>
      <c r="T70" s="1703" t="s">
        <v>1208</v>
      </c>
      <c r="U70" s="1704"/>
      <c r="V70" s="1703" t="s">
        <v>1208</v>
      </c>
      <c r="W70" s="1704"/>
      <c r="X70" s="1703" t="s">
        <v>1208</v>
      </c>
      <c r="Y70" s="1704"/>
      <c r="Z70" s="1703" t="s">
        <v>1208</v>
      </c>
      <c r="AA70" s="1704"/>
      <c r="AB70" s="1703" t="s">
        <v>1208</v>
      </c>
      <c r="AC70" s="1704"/>
      <c r="AD70" s="1703" t="s">
        <v>1208</v>
      </c>
      <c r="AE70" s="1704"/>
      <c r="AF70" s="1703" t="s">
        <v>1208</v>
      </c>
      <c r="AG70" s="1704"/>
      <c r="AH70" s="1703" t="s">
        <v>1208</v>
      </c>
      <c r="AI70" s="1704"/>
      <c r="AJ70" s="1703" t="s">
        <v>1208</v>
      </c>
      <c r="AK70" s="1704"/>
      <c r="AL70" s="1703" t="s">
        <v>1208</v>
      </c>
      <c r="AM70" s="1704"/>
      <c r="AN70" s="1703" t="s">
        <v>1208</v>
      </c>
      <c r="AO70" s="1704"/>
      <c r="AP70" s="1703" t="s">
        <v>1208</v>
      </c>
      <c r="AQ70" s="1704"/>
      <c r="AR70" s="1703" t="s">
        <v>1208</v>
      </c>
      <c r="AS70" s="1704"/>
      <c r="AT70" s="1703" t="s">
        <v>1208</v>
      </c>
      <c r="AU70" s="1704"/>
      <c r="AV70" s="1703" t="s">
        <v>1208</v>
      </c>
      <c r="AW70" s="1704"/>
      <c r="AX70" s="1703" t="s">
        <v>1208</v>
      </c>
      <c r="AY70" s="1704"/>
      <c r="AZ70" s="1703" t="s">
        <v>1208</v>
      </c>
      <c r="BA70" s="1704"/>
      <c r="BB70" s="1703" t="s">
        <v>1208</v>
      </c>
      <c r="BC70" s="1704"/>
      <c r="BD70" s="1703" t="s">
        <v>1208</v>
      </c>
      <c r="BE70" s="1704"/>
      <c r="BF70" s="1703" t="s">
        <v>1208</v>
      </c>
      <c r="BG70" s="1704"/>
      <c r="BH70" s="1703" t="s">
        <v>1208</v>
      </c>
      <c r="BI70" s="1704"/>
      <c r="BJ70" s="1703" t="s">
        <v>1208</v>
      </c>
      <c r="BK70" s="1704"/>
      <c r="BL70" s="1703" t="s">
        <v>1208</v>
      </c>
      <c r="BM70" s="1704"/>
      <c r="BN70" s="1703" t="s">
        <v>1208</v>
      </c>
      <c r="BO70" s="1704"/>
      <c r="BP70" s="1703" t="s">
        <v>1208</v>
      </c>
      <c r="BQ70" s="1704"/>
      <c r="BR70" s="1703" t="s">
        <v>1208</v>
      </c>
      <c r="BS70" s="1704"/>
      <c r="BT70" s="1703" t="s">
        <v>1208</v>
      </c>
      <c r="BU70" s="1704"/>
      <c r="BV70" s="1703" t="s">
        <v>1208</v>
      </c>
      <c r="BW70" s="1704"/>
      <c r="BX70" s="1703" t="s">
        <v>1208</v>
      </c>
      <c r="BY70" s="1704"/>
      <c r="BZ70" s="1703" t="s">
        <v>1208</v>
      </c>
      <c r="CA70" s="1704"/>
      <c r="CB70" s="1703" t="s">
        <v>1208</v>
      </c>
      <c r="CC70" s="1704"/>
      <c r="CD70" s="1703" t="s">
        <v>1208</v>
      </c>
      <c r="CE70" s="1704"/>
      <c r="CF70" s="1703" t="s">
        <v>1208</v>
      </c>
      <c r="CG70" s="1704"/>
      <c r="CH70" s="1703" t="s">
        <v>1208</v>
      </c>
      <c r="CI70" s="1704"/>
      <c r="CJ70" s="1703" t="s">
        <v>1208</v>
      </c>
      <c r="CK70" s="1704"/>
      <c r="CL70" s="1703" t="s">
        <v>1208</v>
      </c>
      <c r="CM70" s="1704"/>
      <c r="CN70" s="1703" t="s">
        <v>1208</v>
      </c>
      <c r="CO70" s="1704"/>
      <c r="CP70" s="1703" t="s">
        <v>1208</v>
      </c>
      <c r="CQ70" s="1704"/>
      <c r="CR70" s="1703" t="s">
        <v>1208</v>
      </c>
      <c r="CS70" s="1704"/>
      <c r="CT70" s="1703" t="s">
        <v>1208</v>
      </c>
      <c r="CU70" s="1704"/>
      <c r="CV70" s="1703" t="s">
        <v>1208</v>
      </c>
      <c r="CW70" s="1704"/>
      <c r="CX70" s="1703" t="s">
        <v>1208</v>
      </c>
      <c r="CY70" s="1704"/>
      <c r="CZ70" s="1703" t="s">
        <v>1208</v>
      </c>
      <c r="DA70" s="1704"/>
      <c r="DB70" s="1703" t="s">
        <v>1208</v>
      </c>
      <c r="DC70" s="1704"/>
      <c r="DD70" s="1703" t="s">
        <v>1208</v>
      </c>
      <c r="DE70" s="1704"/>
      <c r="DF70" s="1703" t="s">
        <v>1208</v>
      </c>
      <c r="DG70" s="1704"/>
      <c r="DH70" s="1703" t="s">
        <v>1208</v>
      </c>
      <c r="DI70" s="1704"/>
      <c r="DJ70" s="1703" t="s">
        <v>1208</v>
      </c>
      <c r="DK70" s="1704"/>
      <c r="DL70" s="1703" t="s">
        <v>1208</v>
      </c>
      <c r="DM70" s="1704"/>
      <c r="DN70" s="1703" t="s">
        <v>1208</v>
      </c>
      <c r="DO70" s="1704"/>
      <c r="DP70" s="1703" t="s">
        <v>1208</v>
      </c>
      <c r="DQ70" s="1704"/>
      <c r="DR70" s="1703" t="s">
        <v>1208</v>
      </c>
      <c r="DS70" s="1704"/>
      <c r="DT70" s="1703" t="s">
        <v>1208</v>
      </c>
      <c r="DU70" s="1704"/>
      <c r="DV70" s="1703" t="s">
        <v>1208</v>
      </c>
      <c r="DW70" s="1704"/>
      <c r="DX70" s="1703" t="s">
        <v>1208</v>
      </c>
      <c r="DY70" s="1704"/>
      <c r="DZ70" s="1703" t="s">
        <v>1208</v>
      </c>
      <c r="EA70" s="1704"/>
      <c r="EB70" s="1703" t="s">
        <v>1208</v>
      </c>
      <c r="EC70" s="1704"/>
      <c r="ED70" s="1703" t="s">
        <v>1208</v>
      </c>
      <c r="EE70" s="1704"/>
      <c r="EF70" s="1703" t="s">
        <v>1208</v>
      </c>
      <c r="EG70" s="1704"/>
      <c r="EH70" s="1703" t="s">
        <v>1208</v>
      </c>
      <c r="EI70" s="1704"/>
      <c r="EJ70" s="1703" t="s">
        <v>1208</v>
      </c>
      <c r="EK70" s="1704"/>
      <c r="EL70" s="1703" t="s">
        <v>1208</v>
      </c>
      <c r="EM70" s="1704"/>
      <c r="EN70" s="1703" t="s">
        <v>1208</v>
      </c>
      <c r="EO70" s="1704"/>
      <c r="EP70" s="1703" t="s">
        <v>1208</v>
      </c>
      <c r="EQ70" s="1704"/>
      <c r="ER70" s="1703" t="s">
        <v>1208</v>
      </c>
      <c r="ES70" s="1704"/>
      <c r="ET70" s="1703" t="s">
        <v>1208</v>
      </c>
      <c r="EU70" s="1704"/>
      <c r="EV70" s="1703" t="s">
        <v>1208</v>
      </c>
      <c r="EW70" s="1704"/>
      <c r="EX70" s="1703" t="s">
        <v>1208</v>
      </c>
      <c r="EY70" s="1704"/>
      <c r="EZ70" s="1703" t="s">
        <v>1208</v>
      </c>
      <c r="FA70" s="1704"/>
      <c r="FB70" s="1703" t="s">
        <v>1208</v>
      </c>
      <c r="FC70" s="1704"/>
      <c r="FD70" s="1703" t="s">
        <v>1208</v>
      </c>
      <c r="FE70" s="1704"/>
      <c r="FF70" s="1703" t="s">
        <v>1208</v>
      </c>
      <c r="FG70" s="1704"/>
      <c r="FH70" s="1703" t="s">
        <v>1208</v>
      </c>
      <c r="FI70" s="1704"/>
      <c r="FJ70" s="1703" t="s">
        <v>1208</v>
      </c>
      <c r="FK70" s="1704"/>
      <c r="FL70" s="1703" t="s">
        <v>1208</v>
      </c>
      <c r="FM70" s="1704"/>
      <c r="FN70" s="1703" t="s">
        <v>1208</v>
      </c>
      <c r="FO70" s="1704"/>
      <c r="FP70" s="1703" t="s">
        <v>1208</v>
      </c>
      <c r="FQ70" s="1704"/>
      <c r="FR70" s="1703" t="s">
        <v>1208</v>
      </c>
      <c r="FS70" s="1704"/>
      <c r="FT70" s="1703" t="s">
        <v>1208</v>
      </c>
      <c r="FU70" s="1704"/>
      <c r="FV70" s="1703" t="s">
        <v>1208</v>
      </c>
      <c r="FW70" s="1704"/>
      <c r="FX70" s="1703" t="s">
        <v>1208</v>
      </c>
      <c r="FY70" s="1704"/>
      <c r="FZ70" s="1703" t="s">
        <v>1208</v>
      </c>
      <c r="GA70" s="1704"/>
      <c r="GB70" s="1703" t="s">
        <v>1208</v>
      </c>
      <c r="GC70" s="1704"/>
      <c r="GD70" s="1703" t="s">
        <v>1208</v>
      </c>
      <c r="GE70" s="1704"/>
      <c r="GF70" s="1703" t="s">
        <v>1208</v>
      </c>
      <c r="GG70" s="1704"/>
      <c r="GH70" s="1703" t="s">
        <v>1208</v>
      </c>
      <c r="GI70" s="1704"/>
      <c r="GJ70" s="1703" t="s">
        <v>1208</v>
      </c>
      <c r="GK70" s="1704"/>
      <c r="GL70" s="1703" t="s">
        <v>1208</v>
      </c>
      <c r="GM70" s="1704"/>
      <c r="GN70" s="1703" t="s">
        <v>1208</v>
      </c>
      <c r="GO70" s="1704"/>
      <c r="GP70" s="1703" t="s">
        <v>1208</v>
      </c>
      <c r="GQ70" s="1704"/>
      <c r="GR70" s="1703" t="s">
        <v>1208</v>
      </c>
      <c r="GS70" s="1704"/>
      <c r="GT70" s="1703" t="s">
        <v>1208</v>
      </c>
      <c r="GU70" s="1704"/>
      <c r="GV70" s="1703" t="s">
        <v>1208</v>
      </c>
      <c r="GW70" s="1704"/>
      <c r="GX70" s="1703" t="s">
        <v>1208</v>
      </c>
      <c r="GY70" s="1704"/>
      <c r="GZ70" s="1703" t="s">
        <v>1208</v>
      </c>
      <c r="HA70" s="1704"/>
      <c r="HB70" s="1703" t="s">
        <v>1208</v>
      </c>
      <c r="HC70" s="1704"/>
      <c r="HD70" s="1703" t="s">
        <v>1208</v>
      </c>
      <c r="HE70" s="1704"/>
      <c r="HF70" s="2020" t="s">
        <v>1208</v>
      </c>
      <c r="HG70" s="2021"/>
      <c r="HH70" s="1703" t="s">
        <v>1208</v>
      </c>
      <c r="HI70" s="1704"/>
      <c r="HJ70" s="1703" t="s">
        <v>1208</v>
      </c>
      <c r="HK70" s="1704"/>
      <c r="HL70" s="1703" t="s">
        <v>1208</v>
      </c>
      <c r="HM70" s="1704"/>
      <c r="HN70" s="1703" t="s">
        <v>1208</v>
      </c>
      <c r="HO70" s="1704"/>
      <c r="HP70" s="2020" t="s">
        <v>1208</v>
      </c>
      <c r="HQ70" s="2021"/>
      <c r="HR70" s="1703" t="s">
        <v>1208</v>
      </c>
      <c r="HS70" s="1704"/>
      <c r="HT70" s="2020" t="s">
        <v>1208</v>
      </c>
      <c r="HU70" s="2021"/>
      <c r="HV70" s="2020" t="s">
        <v>1208</v>
      </c>
      <c r="HW70" s="2021"/>
      <c r="HX70" s="2020" t="s">
        <v>1208</v>
      </c>
      <c r="HY70" s="2021"/>
      <c r="HZ70" s="2020" t="s">
        <v>1208</v>
      </c>
      <c r="IA70" s="2021"/>
      <c r="IB70" s="1703" t="s">
        <v>1208</v>
      </c>
      <c r="IC70" s="1704"/>
      <c r="ID70" s="2020" t="s">
        <v>1208</v>
      </c>
      <c r="IE70" s="2021"/>
      <c r="IF70" s="2020" t="s">
        <v>1208</v>
      </c>
      <c r="IG70" s="2021"/>
    </row>
    <row r="71" spans="1:241">
      <c r="A71" s="1149"/>
      <c r="B71" s="1149"/>
      <c r="C71" s="1149"/>
      <c r="D71" s="1149"/>
      <c r="E71" s="1143"/>
      <c r="F71" s="1356"/>
      <c r="G71" s="1356"/>
      <c r="H71" s="1356"/>
      <c r="I71" s="1356"/>
      <c r="J71" s="1356"/>
      <c r="K71" s="1356"/>
      <c r="L71" s="1356"/>
      <c r="M71" s="1356"/>
      <c r="N71" s="1356"/>
      <c r="O71" s="1356"/>
      <c r="P71" s="1356"/>
      <c r="Q71" s="1356"/>
      <c r="R71" s="1356"/>
      <c r="T71" s="1356"/>
      <c r="U71" s="1356"/>
      <c r="V71" s="1356"/>
      <c r="W71" s="1356"/>
      <c r="X71" s="1356"/>
      <c r="Y71" s="1356"/>
      <c r="Z71" s="1356"/>
      <c r="AA71" s="1356"/>
      <c r="AB71" s="1356"/>
      <c r="AC71" s="1356"/>
      <c r="AD71" s="1356"/>
      <c r="AE71" s="1356"/>
      <c r="AF71" s="1356"/>
      <c r="AG71" s="1356"/>
      <c r="AH71" s="1356"/>
      <c r="AI71" s="1356"/>
      <c r="AJ71" s="1356"/>
      <c r="AK71" s="1356"/>
      <c r="AL71" s="1356"/>
      <c r="AM71" s="1356"/>
      <c r="AN71" s="1356"/>
      <c r="AO71" s="1356"/>
      <c r="AP71" s="1356"/>
      <c r="AQ71" s="1356"/>
      <c r="AR71" s="1356"/>
      <c r="AS71" s="1356"/>
      <c r="AT71" s="1356"/>
      <c r="AU71" s="1356"/>
      <c r="AV71" s="1356"/>
      <c r="AW71" s="1356"/>
      <c r="AX71" s="1356"/>
      <c r="AY71" s="1356"/>
      <c r="AZ71" s="1356"/>
      <c r="BA71" s="1356"/>
      <c r="BB71" s="1356"/>
      <c r="BC71" s="1356"/>
      <c r="BD71" s="1356"/>
      <c r="BE71" s="1356"/>
      <c r="BF71" s="1356"/>
      <c r="BG71" s="1356"/>
      <c r="BH71" s="1356"/>
      <c r="BI71" s="1356"/>
      <c r="BJ71" s="1356"/>
      <c r="BK71" s="1356"/>
      <c r="BL71" s="1356"/>
      <c r="BM71" s="1356"/>
      <c r="BN71" s="1356"/>
      <c r="BO71" s="1356"/>
      <c r="BP71" s="1356"/>
      <c r="BQ71" s="1356"/>
      <c r="BR71" s="1356"/>
      <c r="BS71" s="1356"/>
      <c r="BT71" s="1356"/>
      <c r="BU71" s="1356"/>
      <c r="BV71" s="1356"/>
      <c r="BW71" s="1356"/>
      <c r="BX71" s="1356"/>
      <c r="BY71" s="1356"/>
      <c r="BZ71" s="1356"/>
      <c r="CA71" s="1356"/>
      <c r="CB71" s="1356"/>
      <c r="CC71" s="1356"/>
      <c r="CD71" s="1356"/>
      <c r="CE71" s="1356"/>
      <c r="CF71" s="1356"/>
      <c r="CG71" s="1356"/>
      <c r="CH71" s="1356"/>
      <c r="CI71" s="1356"/>
      <c r="CJ71" s="1356"/>
      <c r="CK71" s="1356"/>
      <c r="CL71" s="1356"/>
      <c r="CM71" s="1356"/>
      <c r="CN71" s="1356"/>
      <c r="CO71" s="1356"/>
      <c r="CP71" s="1356"/>
      <c r="CQ71" s="1356"/>
      <c r="CR71" s="1356"/>
      <c r="CS71" s="1356"/>
      <c r="CT71" s="1356"/>
      <c r="CU71" s="1356"/>
      <c r="CV71" s="1356"/>
      <c r="CW71" s="1356"/>
      <c r="CX71" s="1356"/>
      <c r="CY71" s="1356"/>
      <c r="CZ71" s="1356"/>
      <c r="DA71" s="1356"/>
      <c r="DB71" s="1356"/>
      <c r="DC71" s="1356"/>
      <c r="DD71" s="1356"/>
      <c r="DE71" s="1356"/>
      <c r="DF71" s="1356"/>
      <c r="DG71" s="1356"/>
      <c r="DH71" s="1356"/>
      <c r="DI71" s="1356"/>
      <c r="DJ71" s="1356"/>
      <c r="DK71" s="1356"/>
      <c r="DL71" s="1356"/>
      <c r="DM71" s="1356"/>
      <c r="DN71" s="1356"/>
      <c r="DO71" s="1356"/>
      <c r="DP71" s="1356"/>
      <c r="DQ71" s="1356"/>
      <c r="DR71" s="1356"/>
      <c r="DS71" s="1356"/>
      <c r="DT71" s="1356"/>
      <c r="DU71" s="1356"/>
      <c r="DV71" s="1356"/>
      <c r="DW71" s="1356"/>
      <c r="DX71" s="1356"/>
      <c r="DY71" s="1356"/>
      <c r="DZ71" s="1356"/>
      <c r="EA71" s="1356"/>
      <c r="EB71" s="1356"/>
      <c r="EC71" s="1356"/>
      <c r="ED71" s="1356"/>
      <c r="EE71" s="1356"/>
      <c r="EF71" s="1356"/>
      <c r="EG71" s="1356"/>
      <c r="EH71" s="1356"/>
      <c r="EI71" s="1356"/>
      <c r="EJ71" s="1356"/>
      <c r="EK71" s="1356"/>
      <c r="EL71" s="1356"/>
      <c r="EM71" s="1356"/>
      <c r="EN71" s="1356"/>
      <c r="EO71" s="1356"/>
      <c r="EP71" s="1356"/>
      <c r="EQ71" s="1356"/>
      <c r="ER71" s="1356"/>
      <c r="ES71" s="1356"/>
      <c r="ET71" s="1356"/>
      <c r="EU71" s="1356"/>
      <c r="EV71" s="1356"/>
      <c r="EW71" s="1356"/>
      <c r="EX71" s="1356"/>
      <c r="EY71" s="1356"/>
      <c r="EZ71" s="1356"/>
      <c r="FA71" s="1356"/>
      <c r="FB71" s="1356"/>
      <c r="FC71" s="1356"/>
      <c r="FD71" s="1356"/>
      <c r="FE71" s="1356"/>
      <c r="FF71" s="1356"/>
      <c r="FG71" s="1356"/>
      <c r="FH71" s="1356"/>
      <c r="FI71" s="1356"/>
      <c r="FJ71" s="1356"/>
      <c r="FK71" s="1356"/>
      <c r="FL71" s="1356"/>
      <c r="FM71" s="1356"/>
      <c r="FN71" s="1356"/>
      <c r="FO71" s="1356"/>
      <c r="FP71" s="1356"/>
      <c r="FQ71" s="1356"/>
      <c r="FR71" s="1356"/>
      <c r="FS71" s="1356"/>
      <c r="FT71" s="1356"/>
      <c r="FU71" s="1356"/>
      <c r="FV71" s="1356"/>
      <c r="FW71" s="1356"/>
      <c r="FX71" s="1356"/>
      <c r="FY71" s="1356"/>
      <c r="FZ71" s="1356"/>
      <c r="GA71" s="1356"/>
      <c r="GB71" s="1356"/>
      <c r="GC71" s="1356"/>
      <c r="GD71" s="1356"/>
      <c r="GE71" s="1356"/>
      <c r="GF71" s="1356"/>
      <c r="GG71" s="1356"/>
      <c r="GH71" s="1356"/>
      <c r="GI71" s="1356"/>
      <c r="GJ71" s="1356"/>
      <c r="GK71" s="1356"/>
      <c r="GL71" s="1356"/>
      <c r="GM71" s="1356"/>
      <c r="GN71" s="1356"/>
      <c r="GO71" s="1356"/>
      <c r="GP71" s="1356"/>
      <c r="GQ71" s="1356"/>
      <c r="GR71" s="1356"/>
      <c r="GS71" s="1356"/>
      <c r="GT71" s="1356"/>
      <c r="GU71" s="1356"/>
      <c r="GV71" s="1356"/>
      <c r="GW71" s="1356"/>
      <c r="GX71" s="1356"/>
      <c r="GY71" s="1356"/>
      <c r="GZ71" s="1356"/>
      <c r="HA71" s="1356"/>
      <c r="HB71" s="1356"/>
      <c r="HC71" s="1356"/>
      <c r="HD71" s="1356"/>
      <c r="HE71" s="1356"/>
      <c r="HF71" s="1535"/>
      <c r="HH71" s="1356"/>
      <c r="HI71" s="1356"/>
      <c r="HJ71" s="1356"/>
      <c r="HK71" s="1356"/>
      <c r="HL71" s="1356"/>
      <c r="HM71" s="1356"/>
      <c r="HN71" s="1356"/>
      <c r="HO71" s="1356"/>
      <c r="HP71" s="1535"/>
      <c r="HR71" s="1356"/>
      <c r="HS71" s="1356"/>
      <c r="HT71" s="1535"/>
      <c r="HV71" s="1535"/>
      <c r="HX71" s="1535"/>
      <c r="HZ71" s="1535"/>
      <c r="IB71" s="1356"/>
      <c r="IC71" s="1356"/>
      <c r="ID71" s="1535"/>
      <c r="IF71" s="1535"/>
    </row>
    <row r="72" spans="1:241">
      <c r="A72" s="1149"/>
      <c r="B72" s="1149"/>
      <c r="C72" s="1149" t="s">
        <v>709</v>
      </c>
      <c r="D72" s="1149"/>
      <c r="E72" s="1143"/>
      <c r="F72" s="1537">
        <v>720</v>
      </c>
      <c r="G72" s="1356"/>
      <c r="H72" s="1537">
        <v>1900</v>
      </c>
      <c r="I72" s="1356"/>
      <c r="J72" s="1537">
        <v>1500</v>
      </c>
      <c r="K72" s="1356"/>
      <c r="L72" s="1537">
        <v>0</v>
      </c>
      <c r="M72" s="1356"/>
      <c r="N72" s="1537">
        <v>0</v>
      </c>
      <c r="O72" s="1356"/>
      <c r="P72" s="1537">
        <v>0</v>
      </c>
      <c r="Q72" s="1356"/>
      <c r="R72" s="1537">
        <v>1200</v>
      </c>
      <c r="T72" s="1537">
        <v>500</v>
      </c>
      <c r="U72" s="1356"/>
      <c r="V72" s="1537">
        <v>600</v>
      </c>
      <c r="W72" s="1356"/>
      <c r="X72" s="1537"/>
      <c r="Y72" s="1356"/>
      <c r="Z72" s="1537">
        <v>1600</v>
      </c>
      <c r="AA72" s="1356"/>
      <c r="AB72" s="1537"/>
      <c r="AC72" s="1356"/>
      <c r="AD72" s="1537">
        <v>2000</v>
      </c>
      <c r="AE72" s="1356"/>
      <c r="AF72" s="1537">
        <v>0</v>
      </c>
      <c r="AG72" s="1356"/>
      <c r="AH72" s="1537">
        <v>0</v>
      </c>
      <c r="AI72" s="1356"/>
      <c r="AJ72" s="1537">
        <v>0</v>
      </c>
      <c r="AK72" s="1356"/>
      <c r="AL72" s="1537">
        <v>0</v>
      </c>
      <c r="AM72" s="1356"/>
      <c r="AN72" s="1537">
        <v>0</v>
      </c>
      <c r="AO72" s="1356"/>
      <c r="AP72" s="1537">
        <v>0</v>
      </c>
      <c r="AQ72" s="1356"/>
      <c r="AR72" s="1537">
        <v>1000</v>
      </c>
      <c r="AS72" s="1356"/>
      <c r="AT72" s="1537">
        <v>900</v>
      </c>
      <c r="AU72" s="1356"/>
      <c r="AV72" s="1537">
        <v>1800</v>
      </c>
      <c r="AW72" s="1356"/>
      <c r="AX72" s="1537">
        <v>1000</v>
      </c>
      <c r="AY72" s="1356"/>
      <c r="AZ72" s="1537">
        <v>700</v>
      </c>
      <c r="BA72" s="1356"/>
      <c r="BB72" s="1537">
        <v>0</v>
      </c>
      <c r="BC72" s="1356"/>
      <c r="BD72" s="1537"/>
      <c r="BE72" s="1356"/>
      <c r="BF72" s="1537">
        <v>800</v>
      </c>
      <c r="BG72" s="1356"/>
      <c r="BH72" s="1537">
        <v>1700</v>
      </c>
      <c r="BI72" s="1356"/>
      <c r="BJ72" s="1537">
        <v>0</v>
      </c>
      <c r="BK72" s="1356"/>
      <c r="BL72" s="1537">
        <v>1200</v>
      </c>
      <c r="BM72" s="1356"/>
      <c r="BN72" s="1537">
        <v>0</v>
      </c>
      <c r="BO72" s="1356"/>
      <c r="BP72" s="1537">
        <v>1500</v>
      </c>
      <c r="BQ72" s="1356"/>
      <c r="BR72" s="1537">
        <v>0</v>
      </c>
      <c r="BS72" s="1356"/>
      <c r="BT72" s="1537">
        <v>0</v>
      </c>
      <c r="BU72" s="1356"/>
      <c r="BV72" s="1537">
        <v>600</v>
      </c>
      <c r="BW72" s="1356"/>
      <c r="BX72" s="1537">
        <f>50*12</f>
        <v>600</v>
      </c>
      <c r="BY72" s="1356"/>
      <c r="BZ72" s="1537">
        <v>0</v>
      </c>
      <c r="CA72" s="1356"/>
      <c r="CB72" s="1537">
        <v>0</v>
      </c>
      <c r="CC72" s="1356"/>
      <c r="CD72" s="1537">
        <v>720</v>
      </c>
      <c r="CE72" s="1356"/>
      <c r="CF72" s="1537">
        <v>1500</v>
      </c>
      <c r="CG72" s="1356"/>
      <c r="CH72" s="1537">
        <v>0</v>
      </c>
      <c r="CI72" s="1356"/>
      <c r="CJ72" s="1537">
        <v>1200</v>
      </c>
      <c r="CK72" s="1356"/>
      <c r="CL72" s="1537"/>
      <c r="CM72" s="1356"/>
      <c r="CN72" s="1537">
        <v>0</v>
      </c>
      <c r="CO72" s="1356"/>
      <c r="CP72" s="1537">
        <v>1100</v>
      </c>
      <c r="CQ72" s="1356"/>
      <c r="CR72" s="1537" t="s">
        <v>288</v>
      </c>
      <c r="CS72" s="1356"/>
      <c r="CT72" s="1537">
        <v>0</v>
      </c>
      <c r="CU72" s="1356"/>
      <c r="CV72" s="1537">
        <v>0</v>
      </c>
      <c r="CW72" s="1356"/>
      <c r="CX72" s="1537">
        <v>1800</v>
      </c>
      <c r="CY72" s="1356"/>
      <c r="CZ72" s="1537">
        <v>0</v>
      </c>
      <c r="DA72" s="1356"/>
      <c r="DB72" s="1537">
        <v>0</v>
      </c>
      <c r="DC72" s="1356"/>
      <c r="DD72" s="1537">
        <v>1200</v>
      </c>
      <c r="DE72" s="1356"/>
      <c r="DF72" s="1537">
        <v>0</v>
      </c>
      <c r="DG72" s="1356"/>
      <c r="DH72" s="1537">
        <v>0</v>
      </c>
      <c r="DI72" s="1356"/>
      <c r="DJ72" s="1537">
        <v>1000</v>
      </c>
      <c r="DK72" s="1356"/>
      <c r="DL72" s="1537">
        <v>1200</v>
      </c>
      <c r="DM72" s="1356"/>
      <c r="DN72" s="1537">
        <v>0</v>
      </c>
      <c r="DO72" s="1356"/>
      <c r="DP72" s="1537">
        <v>0</v>
      </c>
      <c r="DQ72" s="1356"/>
      <c r="DR72" s="1537">
        <v>1000</v>
      </c>
      <c r="DS72" s="1356"/>
      <c r="DT72" s="1537">
        <v>0</v>
      </c>
      <c r="DU72" s="1356"/>
      <c r="DV72" s="1537">
        <v>1200</v>
      </c>
      <c r="DW72" s="1356"/>
      <c r="DX72" s="1537">
        <v>1200</v>
      </c>
      <c r="DY72" s="1356"/>
      <c r="DZ72" s="1537">
        <v>1400</v>
      </c>
      <c r="EA72" s="1356"/>
      <c r="EB72" s="1537">
        <v>2000</v>
      </c>
      <c r="EC72" s="1356"/>
      <c r="ED72" s="1537">
        <v>0</v>
      </c>
      <c r="EE72" s="1356"/>
      <c r="EF72" s="1537">
        <v>2000</v>
      </c>
      <c r="EG72" s="1356"/>
      <c r="EH72" s="1537">
        <v>2500</v>
      </c>
      <c r="EI72" s="1356"/>
      <c r="EJ72" s="1537">
        <v>1250</v>
      </c>
      <c r="EK72" s="1356"/>
      <c r="EL72" s="1537">
        <v>0</v>
      </c>
      <c r="EM72" s="1356"/>
      <c r="EN72" s="1537">
        <v>0</v>
      </c>
      <c r="EO72" s="1356"/>
      <c r="EP72" s="1537">
        <v>0</v>
      </c>
      <c r="EQ72" s="1356"/>
      <c r="ER72" s="1537">
        <v>750</v>
      </c>
      <c r="ES72" s="1356"/>
      <c r="ET72" s="1537">
        <v>0</v>
      </c>
      <c r="EU72" s="1356"/>
      <c r="EV72" s="1537"/>
      <c r="EW72" s="1356"/>
      <c r="EX72" s="1537">
        <v>1000</v>
      </c>
      <c r="EY72" s="1356"/>
      <c r="EZ72" s="1537">
        <v>0</v>
      </c>
      <c r="FA72" s="1356"/>
      <c r="FB72" s="1537">
        <v>0</v>
      </c>
      <c r="FC72" s="1356"/>
      <c r="FD72" s="1537">
        <v>0</v>
      </c>
      <c r="FE72" s="1356"/>
      <c r="FF72" s="1537">
        <v>750</v>
      </c>
      <c r="FG72" s="1356"/>
      <c r="FH72" s="1537">
        <v>0</v>
      </c>
      <c r="FI72" s="1356"/>
      <c r="FJ72" s="1537">
        <v>600</v>
      </c>
      <c r="FK72" s="1356"/>
      <c r="FL72" s="1537">
        <v>1</v>
      </c>
      <c r="FM72" s="1356"/>
      <c r="FN72" s="1537">
        <v>0</v>
      </c>
      <c r="FO72" s="1356"/>
      <c r="FP72" s="1537">
        <v>400</v>
      </c>
      <c r="FQ72" s="1356"/>
      <c r="FR72" s="1537">
        <v>750</v>
      </c>
      <c r="FS72" s="1356"/>
      <c r="FT72" s="1537">
        <v>0</v>
      </c>
      <c r="FU72" s="1356"/>
      <c r="FV72" s="1537">
        <v>2400</v>
      </c>
      <c r="FW72" s="1356"/>
      <c r="FX72" s="1537">
        <v>1</v>
      </c>
      <c r="FY72" s="1356"/>
      <c r="FZ72" s="1537">
        <v>1200</v>
      </c>
      <c r="GA72" s="1356"/>
      <c r="GB72" s="1537">
        <v>1200</v>
      </c>
      <c r="GC72" s="1356"/>
      <c r="GD72" s="1537">
        <v>1750</v>
      </c>
      <c r="GE72" s="1356"/>
      <c r="GF72" s="1537">
        <v>0</v>
      </c>
      <c r="GG72" s="1356"/>
      <c r="GH72" s="1537">
        <v>912</v>
      </c>
      <c r="GI72" s="1356"/>
      <c r="GJ72" s="1537">
        <v>1750</v>
      </c>
      <c r="GK72" s="1356"/>
      <c r="GL72" s="1537">
        <v>500</v>
      </c>
      <c r="GM72" s="1356"/>
      <c r="GN72" s="1537">
        <v>725</v>
      </c>
      <c r="GO72" s="1356"/>
      <c r="GP72" s="1537">
        <v>0</v>
      </c>
      <c r="GQ72" s="1356"/>
      <c r="GR72" s="1537">
        <v>0</v>
      </c>
      <c r="GS72" s="1356"/>
      <c r="GT72" s="1537">
        <v>500</v>
      </c>
      <c r="GU72" s="1356"/>
      <c r="GV72" s="1537">
        <v>750</v>
      </c>
      <c r="GW72" s="1356"/>
      <c r="GX72" s="1537">
        <v>750</v>
      </c>
      <c r="GY72" s="1356"/>
      <c r="GZ72" s="1537">
        <v>0</v>
      </c>
      <c r="HA72" s="1356"/>
      <c r="HB72" s="1537"/>
      <c r="HC72" s="1356"/>
      <c r="HD72" s="1537">
        <v>0</v>
      </c>
      <c r="HE72" s="1356"/>
      <c r="HF72" s="2012">
        <v>0</v>
      </c>
      <c r="HH72" s="1537">
        <v>0</v>
      </c>
      <c r="HI72" s="1356"/>
      <c r="HJ72" s="1537">
        <v>0</v>
      </c>
      <c r="HK72" s="1356"/>
      <c r="HL72" s="1537">
        <v>450</v>
      </c>
      <c r="HM72" s="1356"/>
      <c r="HN72" s="1537">
        <v>1200</v>
      </c>
      <c r="HO72" s="1356"/>
      <c r="HP72" s="2012"/>
      <c r="HR72" s="1537">
        <f>183.75*4</f>
        <v>735</v>
      </c>
      <c r="HS72" s="1356"/>
      <c r="HT72" s="2012">
        <v>900</v>
      </c>
      <c r="HV72" s="2012">
        <v>2500</v>
      </c>
      <c r="HX72" s="2012">
        <v>2600</v>
      </c>
      <c r="HZ72" s="2012">
        <v>0</v>
      </c>
      <c r="IB72" s="1537">
        <v>1200</v>
      </c>
      <c r="IC72" s="1356"/>
      <c r="ID72" s="2012">
        <v>1000</v>
      </c>
      <c r="IF72" s="2012">
        <v>1200</v>
      </c>
    </row>
    <row r="73" spans="1:241">
      <c r="A73" s="1149"/>
      <c r="B73" s="1149"/>
      <c r="C73" s="1149" t="s">
        <v>61</v>
      </c>
      <c r="D73" s="1149"/>
      <c r="E73" s="1143"/>
      <c r="F73" s="1537">
        <v>0</v>
      </c>
      <c r="G73" s="1356"/>
      <c r="H73" s="1537"/>
      <c r="I73" s="1356"/>
      <c r="J73" s="1537">
        <v>0</v>
      </c>
      <c r="K73" s="1356"/>
      <c r="L73" s="1537">
        <v>0</v>
      </c>
      <c r="M73" s="1356"/>
      <c r="N73" s="1537">
        <v>2400</v>
      </c>
      <c r="O73" s="1356"/>
      <c r="P73" s="1537">
        <v>0</v>
      </c>
      <c r="Q73" s="1356"/>
      <c r="R73" s="1537">
        <v>0</v>
      </c>
      <c r="T73" s="1537">
        <v>840</v>
      </c>
      <c r="U73" s="1356"/>
      <c r="V73" s="1537">
        <v>0</v>
      </c>
      <c r="W73" s="1356"/>
      <c r="X73" s="1537"/>
      <c r="Y73" s="1356"/>
      <c r="Z73" s="1537"/>
      <c r="AA73" s="1356"/>
      <c r="AB73" s="1537"/>
      <c r="AC73" s="1356"/>
      <c r="AD73" s="1537">
        <v>2100</v>
      </c>
      <c r="AE73" s="1356"/>
      <c r="AF73" s="1537">
        <v>0</v>
      </c>
      <c r="AG73" s="1356"/>
      <c r="AH73" s="1537">
        <v>875</v>
      </c>
      <c r="AI73" s="1356"/>
      <c r="AJ73" s="1537">
        <v>0</v>
      </c>
      <c r="AK73" s="1356"/>
      <c r="AL73" s="1537">
        <v>0</v>
      </c>
      <c r="AM73" s="1356"/>
      <c r="AN73" s="1537">
        <v>0</v>
      </c>
      <c r="AO73" s="1356"/>
      <c r="AP73" s="1537">
        <v>0</v>
      </c>
      <c r="AQ73" s="1356"/>
      <c r="AR73" s="1537">
        <v>0</v>
      </c>
      <c r="AS73" s="1356"/>
      <c r="AT73" s="1537">
        <v>0</v>
      </c>
      <c r="AU73" s="1356"/>
      <c r="AV73" s="1537">
        <v>642</v>
      </c>
      <c r="AW73" s="1356"/>
      <c r="AX73" s="1537">
        <v>630</v>
      </c>
      <c r="AY73" s="1356"/>
      <c r="AZ73" s="1537">
        <v>0</v>
      </c>
      <c r="BA73" s="1356"/>
      <c r="BB73" s="1537">
        <v>675</v>
      </c>
      <c r="BC73" s="1356"/>
      <c r="BD73" s="1537">
        <v>750</v>
      </c>
      <c r="BE73" s="1356"/>
      <c r="BF73" s="1537"/>
      <c r="BG73" s="1356"/>
      <c r="BH73" s="1537">
        <v>0</v>
      </c>
      <c r="BI73" s="1356"/>
      <c r="BJ73" s="1537">
        <v>920</v>
      </c>
      <c r="BK73" s="1356"/>
      <c r="BL73" s="1537">
        <v>0</v>
      </c>
      <c r="BM73" s="1356"/>
      <c r="BN73" s="1537">
        <v>0</v>
      </c>
      <c r="BO73" s="1356"/>
      <c r="BP73" s="1537">
        <v>0</v>
      </c>
      <c r="BQ73" s="1356"/>
      <c r="BR73" s="1537">
        <v>0</v>
      </c>
      <c r="BS73" s="1356"/>
      <c r="BT73" s="1537">
        <v>900</v>
      </c>
      <c r="BU73" s="1356"/>
      <c r="BV73" s="1537">
        <v>0</v>
      </c>
      <c r="BW73" s="1356"/>
      <c r="BX73" s="1537"/>
      <c r="BY73" s="1356"/>
      <c r="BZ73" s="1537">
        <v>600</v>
      </c>
      <c r="CA73" s="1356"/>
      <c r="CB73" s="1537">
        <v>0</v>
      </c>
      <c r="CC73" s="1356"/>
      <c r="CD73" s="1537">
        <v>0</v>
      </c>
      <c r="CE73" s="1356"/>
      <c r="CF73" s="1537">
        <v>0</v>
      </c>
      <c r="CG73" s="1356"/>
      <c r="CH73" s="1537">
        <v>720</v>
      </c>
      <c r="CI73" s="1356"/>
      <c r="CJ73" s="1537">
        <v>0</v>
      </c>
      <c r="CK73" s="1356"/>
      <c r="CL73" s="1537"/>
      <c r="CM73" s="1356"/>
      <c r="CN73" s="1537">
        <v>0.2</v>
      </c>
      <c r="CO73" s="1356"/>
      <c r="CP73" s="1537"/>
      <c r="CQ73" s="1356"/>
      <c r="CR73" s="1537" t="s">
        <v>288</v>
      </c>
      <c r="CS73" s="1356"/>
      <c r="CT73" s="1537"/>
      <c r="CU73" s="1356"/>
      <c r="CV73" s="1537">
        <v>760</v>
      </c>
      <c r="CW73" s="1356"/>
      <c r="CX73" s="1537">
        <v>2400</v>
      </c>
      <c r="CY73" s="1356"/>
      <c r="CZ73" s="1537">
        <v>0</v>
      </c>
      <c r="DA73" s="1356"/>
      <c r="DB73" s="1537">
        <v>0</v>
      </c>
      <c r="DC73" s="1356"/>
      <c r="DD73" s="1537">
        <v>550</v>
      </c>
      <c r="DE73" s="1356"/>
      <c r="DF73" s="1537">
        <v>0</v>
      </c>
      <c r="DG73" s="1356"/>
      <c r="DH73" s="1537">
        <v>0</v>
      </c>
      <c r="DI73" s="1356"/>
      <c r="DJ73" s="1537">
        <v>0</v>
      </c>
      <c r="DK73" s="1356"/>
      <c r="DL73" s="1537">
        <v>0</v>
      </c>
      <c r="DM73" s="1356"/>
      <c r="DN73" s="1537">
        <f>75*12</f>
        <v>900</v>
      </c>
      <c r="DO73" s="1356"/>
      <c r="DP73" s="1537">
        <v>0</v>
      </c>
      <c r="DQ73" s="1356"/>
      <c r="DR73" s="1537">
        <v>1200</v>
      </c>
      <c r="DS73" s="1356"/>
      <c r="DT73" s="1537">
        <v>1990</v>
      </c>
      <c r="DU73" s="1356"/>
      <c r="DV73" s="1537">
        <v>0</v>
      </c>
      <c r="DW73" s="1356"/>
      <c r="DX73" s="1537">
        <v>0</v>
      </c>
      <c r="DY73" s="1356"/>
      <c r="DZ73" s="1537">
        <v>708</v>
      </c>
      <c r="EA73" s="1356"/>
      <c r="EB73" s="1537">
        <v>0</v>
      </c>
      <c r="EC73" s="1356"/>
      <c r="ED73" s="1537">
        <v>0</v>
      </c>
      <c r="EE73" s="1356"/>
      <c r="EF73" s="1537">
        <v>1620</v>
      </c>
      <c r="EG73" s="1356"/>
      <c r="EH73" s="1537">
        <v>0</v>
      </c>
      <c r="EI73" s="1356"/>
      <c r="EJ73" s="1537"/>
      <c r="EK73" s="1356"/>
      <c r="EL73" s="1537">
        <v>0</v>
      </c>
      <c r="EM73" s="1356"/>
      <c r="EN73" s="1537">
        <v>0</v>
      </c>
      <c r="EO73" s="1356"/>
      <c r="EP73" s="1537">
        <v>0</v>
      </c>
      <c r="EQ73" s="1356"/>
      <c r="ER73" s="1537">
        <v>0</v>
      </c>
      <c r="ES73" s="1356"/>
      <c r="ET73" s="1537">
        <v>0</v>
      </c>
      <c r="EU73" s="1356"/>
      <c r="EV73" s="1537"/>
      <c r="EW73" s="1356"/>
      <c r="EX73" s="1537">
        <v>0</v>
      </c>
      <c r="EY73" s="1356"/>
      <c r="EZ73" s="1537">
        <v>0</v>
      </c>
      <c r="FA73" s="1356"/>
      <c r="FB73" s="1537">
        <v>0</v>
      </c>
      <c r="FC73" s="1356"/>
      <c r="FD73" s="1537">
        <v>0</v>
      </c>
      <c r="FE73" s="1356"/>
      <c r="FF73" s="1537"/>
      <c r="FG73" s="1356"/>
      <c r="FH73" s="1537">
        <v>0</v>
      </c>
      <c r="FI73" s="1356"/>
      <c r="FJ73" s="1537"/>
      <c r="FK73" s="1356"/>
      <c r="FL73" s="1537">
        <v>1200</v>
      </c>
      <c r="FM73" s="1356"/>
      <c r="FN73" s="1537">
        <v>2640</v>
      </c>
      <c r="FO73" s="1356"/>
      <c r="FP73" s="1537">
        <v>0</v>
      </c>
      <c r="FQ73" s="1356"/>
      <c r="FR73" s="1537">
        <v>0</v>
      </c>
      <c r="FS73" s="1356"/>
      <c r="FT73" s="1537">
        <v>0</v>
      </c>
      <c r="FU73" s="1356"/>
      <c r="FV73" s="1537">
        <v>4325</v>
      </c>
      <c r="FW73" s="1356"/>
      <c r="FX73" s="1537">
        <v>580</v>
      </c>
      <c r="FY73" s="1356"/>
      <c r="FZ73" s="1537">
        <v>0</v>
      </c>
      <c r="GA73" s="1356"/>
      <c r="GB73" s="1537">
        <v>0</v>
      </c>
      <c r="GC73" s="1356"/>
      <c r="GD73" s="1537">
        <v>0</v>
      </c>
      <c r="GE73" s="1356"/>
      <c r="GF73" s="1537">
        <v>900</v>
      </c>
      <c r="GG73" s="1356"/>
      <c r="GH73" s="1537">
        <v>0</v>
      </c>
      <c r="GI73" s="1356"/>
      <c r="GJ73" s="1537">
        <v>0</v>
      </c>
      <c r="GK73" s="1356"/>
      <c r="GL73" s="1537"/>
      <c r="GM73" s="1356"/>
      <c r="GN73" s="1537"/>
      <c r="GO73" s="1356"/>
      <c r="GP73" s="1537">
        <v>0</v>
      </c>
      <c r="GQ73" s="1356"/>
      <c r="GR73" s="1537">
        <v>0</v>
      </c>
      <c r="GS73" s="1356"/>
      <c r="GT73" s="1537">
        <v>0</v>
      </c>
      <c r="GU73" s="1356"/>
      <c r="GV73" s="1537">
        <v>0</v>
      </c>
      <c r="GW73" s="1356"/>
      <c r="GX73" s="1537">
        <v>0</v>
      </c>
      <c r="GY73" s="1356"/>
      <c r="GZ73" s="1537">
        <v>750</v>
      </c>
      <c r="HA73" s="1356"/>
      <c r="HB73" s="1537"/>
      <c r="HC73" s="1356"/>
      <c r="HD73" s="1537">
        <v>0</v>
      </c>
      <c r="HE73" s="1356"/>
      <c r="HF73" s="2012">
        <v>0</v>
      </c>
      <c r="HH73" s="1537">
        <v>1600</v>
      </c>
      <c r="HI73" s="1356"/>
      <c r="HJ73" s="1537">
        <v>480</v>
      </c>
      <c r="HK73" s="1356"/>
      <c r="HL73" s="1537">
        <v>0</v>
      </c>
      <c r="HM73" s="1356"/>
      <c r="HN73" s="1537">
        <v>0</v>
      </c>
      <c r="HO73" s="1356"/>
      <c r="HP73" s="2012"/>
      <c r="HR73" s="1537">
        <v>0</v>
      </c>
      <c r="HS73" s="1356"/>
      <c r="HT73" s="2012">
        <v>1008</v>
      </c>
      <c r="HV73" s="2012">
        <v>1770</v>
      </c>
      <c r="HX73" s="2012">
        <v>0</v>
      </c>
      <c r="HZ73" s="2012">
        <v>0</v>
      </c>
      <c r="IB73" s="1537">
        <v>0</v>
      </c>
      <c r="IC73" s="1356"/>
      <c r="ID73" s="2012"/>
      <c r="IF73" s="2012">
        <v>0</v>
      </c>
    </row>
    <row r="74" spans="1:241">
      <c r="A74" s="1149"/>
      <c r="B74" s="1149"/>
      <c r="C74" s="1149"/>
      <c r="D74" s="1149"/>
      <c r="E74" s="1143"/>
      <c r="F74" s="1356"/>
      <c r="G74" s="1356"/>
      <c r="H74" s="1356"/>
      <c r="I74" s="1356"/>
      <c r="J74" s="1356"/>
      <c r="K74" s="1356"/>
      <c r="L74" s="1356"/>
      <c r="M74" s="1356"/>
      <c r="N74" s="1356"/>
      <c r="O74" s="1356"/>
      <c r="P74" s="1356"/>
      <c r="Q74" s="1356"/>
      <c r="R74" s="1356"/>
      <c r="T74" s="1356"/>
      <c r="U74" s="1356"/>
      <c r="V74" s="1356"/>
      <c r="W74" s="1356"/>
      <c r="X74" s="1356"/>
      <c r="Y74" s="1356"/>
      <c r="Z74" s="1356"/>
      <c r="AA74" s="1356"/>
      <c r="AB74" s="1356"/>
      <c r="AC74" s="1356"/>
      <c r="AD74" s="1356"/>
      <c r="AE74" s="1356"/>
      <c r="AF74" s="1356"/>
      <c r="AG74" s="1356"/>
      <c r="AH74" s="1356"/>
      <c r="AI74" s="1356"/>
      <c r="AJ74" s="1356"/>
      <c r="AK74" s="1356"/>
      <c r="AL74" s="1356"/>
      <c r="AM74" s="1356"/>
      <c r="AN74" s="1356"/>
      <c r="AO74" s="1356"/>
      <c r="AP74" s="1356"/>
      <c r="AQ74" s="1356"/>
      <c r="AR74" s="1356"/>
      <c r="AS74" s="1356"/>
      <c r="AT74" s="1356"/>
      <c r="AU74" s="1356"/>
      <c r="AV74" s="1356"/>
      <c r="AW74" s="1356"/>
      <c r="AX74" s="1356"/>
      <c r="AY74" s="1356"/>
      <c r="AZ74" s="1356"/>
      <c r="BA74" s="1356"/>
      <c r="BB74" s="1356"/>
      <c r="BC74" s="1356"/>
      <c r="BD74" s="1356"/>
      <c r="BE74" s="1356"/>
      <c r="BF74" s="1356"/>
      <c r="BG74" s="1356"/>
      <c r="BH74" s="1356"/>
      <c r="BI74" s="1356"/>
      <c r="BJ74" s="1356"/>
      <c r="BK74" s="1356"/>
      <c r="BL74" s="1356"/>
      <c r="BM74" s="1356"/>
      <c r="BN74" s="1356"/>
      <c r="BO74" s="1356"/>
      <c r="BP74" s="1356"/>
      <c r="BQ74" s="1356"/>
      <c r="BR74" s="1356"/>
      <c r="BS74" s="1356"/>
      <c r="BT74" s="1356"/>
      <c r="BU74" s="1356"/>
      <c r="BV74" s="1356"/>
      <c r="BW74" s="1356"/>
      <c r="BX74" s="1356"/>
      <c r="BY74" s="1356"/>
      <c r="BZ74" s="1356"/>
      <c r="CA74" s="1356"/>
      <c r="CB74" s="1356"/>
      <c r="CC74" s="1356"/>
      <c r="CD74" s="1356"/>
      <c r="CE74" s="1356"/>
      <c r="CF74" s="1356"/>
      <c r="CG74" s="1356"/>
      <c r="CH74" s="1356"/>
      <c r="CI74" s="1356"/>
      <c r="CJ74" s="1356"/>
      <c r="CK74" s="1356"/>
      <c r="CL74" s="1356"/>
      <c r="CM74" s="1356"/>
      <c r="CN74" s="1356"/>
      <c r="CO74" s="1356"/>
      <c r="CP74" s="1356"/>
      <c r="CQ74" s="1356"/>
      <c r="CR74" s="1356"/>
      <c r="CS74" s="1356"/>
      <c r="CT74" s="1356"/>
      <c r="CU74" s="1356"/>
      <c r="CV74" s="1356"/>
      <c r="CW74" s="1356"/>
      <c r="CX74" s="1356"/>
      <c r="CY74" s="1356"/>
      <c r="CZ74" s="1356"/>
      <c r="DA74" s="1356"/>
      <c r="DB74" s="1356"/>
      <c r="DC74" s="1356"/>
      <c r="DD74" s="1356"/>
      <c r="DE74" s="1356"/>
      <c r="DF74" s="1356"/>
      <c r="DG74" s="1356"/>
      <c r="DH74" s="1356"/>
      <c r="DI74" s="1356"/>
      <c r="DJ74" s="1356"/>
      <c r="DK74" s="1356"/>
      <c r="DL74" s="1356"/>
      <c r="DM74" s="1356"/>
      <c r="DN74" s="1356"/>
      <c r="DO74" s="1356"/>
      <c r="DP74" s="1356"/>
      <c r="DQ74" s="1356"/>
      <c r="DR74" s="1356"/>
      <c r="DS74" s="1356"/>
      <c r="DT74" s="1356"/>
      <c r="DU74" s="1356"/>
      <c r="DV74" s="1356"/>
      <c r="DW74" s="1356"/>
      <c r="DX74" s="1356"/>
      <c r="DY74" s="1356"/>
      <c r="DZ74" s="1356"/>
      <c r="EA74" s="1356"/>
      <c r="EB74" s="1356"/>
      <c r="EC74" s="1356"/>
      <c r="ED74" s="1356"/>
      <c r="EE74" s="1356"/>
      <c r="EF74" s="1356"/>
      <c r="EG74" s="1356"/>
      <c r="EH74" s="1356"/>
      <c r="EI74" s="1356"/>
      <c r="EJ74" s="1356"/>
      <c r="EK74" s="1356"/>
      <c r="EL74" s="1356"/>
      <c r="EM74" s="1356"/>
      <c r="EN74" s="1356"/>
      <c r="EO74" s="1356"/>
      <c r="EP74" s="1356"/>
      <c r="EQ74" s="1356"/>
      <c r="ER74" s="1356"/>
      <c r="ES74" s="1356"/>
      <c r="ET74" s="1356"/>
      <c r="EU74" s="1356"/>
      <c r="EV74" s="1356"/>
      <c r="EW74" s="1356"/>
      <c r="EX74" s="1356"/>
      <c r="EY74" s="1356"/>
      <c r="EZ74" s="1356"/>
      <c r="FA74" s="1356"/>
      <c r="FB74" s="1356"/>
      <c r="FC74" s="1356"/>
      <c r="FD74" s="1356"/>
      <c r="FE74" s="1356"/>
      <c r="FF74" s="1356"/>
      <c r="FG74" s="1356"/>
      <c r="FH74" s="1356"/>
      <c r="FI74" s="1356"/>
      <c r="FJ74" s="1356"/>
      <c r="FK74" s="1356"/>
      <c r="FL74" s="1356"/>
      <c r="FM74" s="1356"/>
      <c r="FN74" s="1356"/>
      <c r="FO74" s="1356"/>
      <c r="FP74" s="1356"/>
      <c r="FQ74" s="1356"/>
      <c r="FR74" s="1356"/>
      <c r="FS74" s="1356"/>
      <c r="FT74" s="1356"/>
      <c r="FU74" s="1356"/>
      <c r="FV74" s="1356"/>
      <c r="FW74" s="1356"/>
      <c r="FX74" s="1356"/>
      <c r="FY74" s="1356"/>
      <c r="FZ74" s="1356"/>
      <c r="GA74" s="1356"/>
      <c r="GB74" s="1356"/>
      <c r="GC74" s="1356"/>
      <c r="GD74" s="1356"/>
      <c r="GE74" s="1356"/>
      <c r="GF74" s="1356"/>
      <c r="GG74" s="1356"/>
      <c r="GH74" s="1356"/>
      <c r="GI74" s="1356"/>
      <c r="GJ74" s="1356"/>
      <c r="GK74" s="1356"/>
      <c r="GL74" s="1356"/>
      <c r="GM74" s="1356"/>
      <c r="GN74" s="1356"/>
      <c r="GO74" s="1356"/>
      <c r="GP74" s="1356"/>
      <c r="GQ74" s="1356"/>
      <c r="GR74" s="1356"/>
      <c r="GS74" s="1356"/>
      <c r="GT74" s="1356"/>
      <c r="GU74" s="1356"/>
      <c r="GV74" s="1356"/>
      <c r="GW74" s="1356"/>
      <c r="GX74" s="1356"/>
      <c r="GY74" s="1356"/>
      <c r="GZ74" s="1356"/>
      <c r="HA74" s="1356"/>
      <c r="HB74" s="1356"/>
      <c r="HC74" s="1356"/>
      <c r="HD74" s="1356"/>
      <c r="HE74" s="1356"/>
      <c r="HF74" s="1535"/>
      <c r="HH74" s="1356"/>
      <c r="HI74" s="1356"/>
      <c r="HJ74" s="1356"/>
      <c r="HK74" s="1356"/>
      <c r="HL74" s="1356"/>
      <c r="HM74" s="1356"/>
      <c r="HN74" s="1356"/>
      <c r="HO74" s="1356"/>
      <c r="HP74" s="1535"/>
      <c r="HR74" s="1356"/>
      <c r="HS74" s="1356"/>
      <c r="HT74" s="1535"/>
      <c r="HV74" s="1535"/>
      <c r="HX74" s="1535"/>
      <c r="HZ74" s="1535"/>
      <c r="IB74" s="1356"/>
      <c r="IC74" s="1356"/>
      <c r="ID74" s="1535"/>
      <c r="IF74" s="1535"/>
    </row>
    <row r="75" spans="1:241">
      <c r="A75" s="1149"/>
      <c r="B75" s="1149"/>
      <c r="C75" s="1149" t="s">
        <v>74</v>
      </c>
      <c r="D75" s="1149"/>
      <c r="E75" s="1143"/>
      <c r="F75" s="1702">
        <f>F69+F72+F73</f>
        <v>13120</v>
      </c>
      <c r="G75" s="1356"/>
      <c r="H75" s="1702">
        <f>H69+H72+H73</f>
        <v>23900</v>
      </c>
      <c r="I75" s="1356"/>
      <c r="J75" s="1702">
        <f>J69+J72+J73</f>
        <v>17025</v>
      </c>
      <c r="K75" s="1356"/>
      <c r="L75" s="1702">
        <f>L69+L72+L73</f>
        <v>19010</v>
      </c>
      <c r="M75" s="1356"/>
      <c r="N75" s="1702">
        <f>N69+N72+N73</f>
        <v>33158</v>
      </c>
      <c r="O75" s="1356"/>
      <c r="P75" s="1702">
        <f>P69+P72+P73</f>
        <v>18300</v>
      </c>
      <c r="Q75" s="1356"/>
      <c r="R75" s="1702">
        <f>R69+R72+R73</f>
        <v>23550</v>
      </c>
      <c r="T75" s="1702">
        <f>T69+T72+T73</f>
        <v>5203</v>
      </c>
      <c r="U75" s="1356"/>
      <c r="V75" s="1702">
        <f>V69+V72+V73</f>
        <v>7024</v>
      </c>
      <c r="W75" s="1356"/>
      <c r="X75" s="1702">
        <f>X69+X72+X73</f>
        <v>19305</v>
      </c>
      <c r="Y75" s="1356"/>
      <c r="Z75" s="1702">
        <f>Z69+Z72+Z73</f>
        <v>18568</v>
      </c>
      <c r="AA75" s="1356"/>
      <c r="AB75" s="1702">
        <f>AB69+AB72+AB73</f>
        <v>4800</v>
      </c>
      <c r="AC75" s="1356"/>
      <c r="AD75" s="1702">
        <f>AD69+AD72+AD73</f>
        <v>41541</v>
      </c>
      <c r="AE75" s="1356"/>
      <c r="AF75" s="1702">
        <f>AF69+AF72+AF73</f>
        <v>12260</v>
      </c>
      <c r="AG75" s="1356"/>
      <c r="AH75" s="1702">
        <f>AH69+AH72+AH73</f>
        <v>8732</v>
      </c>
      <c r="AI75" s="1356"/>
      <c r="AJ75" s="1702">
        <f>AJ69+AJ72+AJ73</f>
        <v>32200</v>
      </c>
      <c r="AK75" s="1356"/>
      <c r="AL75" s="1702">
        <f>AL69+AL72+AL73</f>
        <v>4700</v>
      </c>
      <c r="AM75" s="1356"/>
      <c r="AN75" s="1702">
        <f>AN69+AN72+AN73</f>
        <v>15190</v>
      </c>
      <c r="AO75" s="1356"/>
      <c r="AP75" s="1702">
        <f>AP69+AP72+AP73</f>
        <v>21500</v>
      </c>
      <c r="AQ75" s="1356"/>
      <c r="AR75" s="1702">
        <f>AR69+AR72+AR73</f>
        <v>31160</v>
      </c>
      <c r="AS75" s="1356"/>
      <c r="AT75" s="1702">
        <f>AT69+AT72+AT73</f>
        <v>5850</v>
      </c>
      <c r="AU75" s="1356"/>
      <c r="AV75" s="1702">
        <f>AV69+AV72+AV73</f>
        <v>21705</v>
      </c>
      <c r="AW75" s="1356"/>
      <c r="AX75" s="1702">
        <f>AX69+AX72+AX73</f>
        <v>8568</v>
      </c>
      <c r="AY75" s="1356"/>
      <c r="AZ75" s="1702">
        <f>AZ69+AZ72+AZ73</f>
        <v>8380</v>
      </c>
      <c r="BA75" s="1356"/>
      <c r="BB75" s="1702">
        <f>BB69+BB72+BB73</f>
        <v>26352</v>
      </c>
      <c r="BC75" s="1356"/>
      <c r="BD75" s="1702">
        <f>BD69+BD72+BD73</f>
        <v>8880</v>
      </c>
      <c r="BE75" s="1356"/>
      <c r="BF75" s="1702">
        <f>BF69+BF72+BF73</f>
        <v>9695.73</v>
      </c>
      <c r="BG75" s="1356"/>
      <c r="BH75" s="1702">
        <f>BH69+BH72+BH73</f>
        <v>17445</v>
      </c>
      <c r="BI75" s="1356"/>
      <c r="BJ75" s="1702">
        <f>BJ69+BJ72+BJ73</f>
        <v>18728</v>
      </c>
      <c r="BK75" s="1356"/>
      <c r="BL75" s="1702">
        <f>BL69+BL72+BL73</f>
        <v>24290</v>
      </c>
      <c r="BM75" s="1356"/>
      <c r="BN75" s="1702">
        <f>BN69+BN72+BN73</f>
        <v>18067</v>
      </c>
      <c r="BO75" s="1356"/>
      <c r="BP75" s="1702">
        <f>BP69+BP72+BP73</f>
        <v>9348</v>
      </c>
      <c r="BQ75" s="1356"/>
      <c r="BR75" s="1702">
        <f>BR69+BR72+BR73</f>
        <v>16500</v>
      </c>
      <c r="BS75" s="1356"/>
      <c r="BT75" s="1702">
        <f>BT69+BT72+BT73</f>
        <v>13449</v>
      </c>
      <c r="BU75" s="1356"/>
      <c r="BV75" s="1702">
        <f>BV69+BV72+BV73</f>
        <v>5664</v>
      </c>
      <c r="BW75" s="1356"/>
      <c r="BX75" s="1702">
        <f>BX69+BX72+BX73</f>
        <v>5737</v>
      </c>
      <c r="BY75" s="1356"/>
      <c r="BZ75" s="1702">
        <f>BZ69+BZ72+BZ73</f>
        <v>13781</v>
      </c>
      <c r="CA75" s="1356"/>
      <c r="CB75" s="1702">
        <f>CB69+CB72+CB73</f>
        <v>17700</v>
      </c>
      <c r="CC75" s="1356"/>
      <c r="CD75" s="1702">
        <f>CD69+CD72+CD73</f>
        <v>23640</v>
      </c>
      <c r="CE75" s="1356"/>
      <c r="CF75" s="1702">
        <v>21196</v>
      </c>
      <c r="CG75" s="1356"/>
      <c r="CH75" s="1702">
        <f>CH69+CH72+CH73</f>
        <v>16210</v>
      </c>
      <c r="CI75" s="1356"/>
      <c r="CJ75" s="1702">
        <v>14040</v>
      </c>
      <c r="CK75" s="1356"/>
      <c r="CL75" s="1702">
        <v>25077</v>
      </c>
      <c r="CM75" s="1356"/>
      <c r="CN75" s="1702">
        <f>CN69+CN72+CN73</f>
        <v>14462.2</v>
      </c>
      <c r="CO75" s="1356"/>
      <c r="CP75" s="1702">
        <f>CP69+CP72+CP73</f>
        <v>12874</v>
      </c>
      <c r="CQ75" s="1356"/>
      <c r="CR75" s="1702">
        <v>23542</v>
      </c>
      <c r="CS75" s="1356"/>
      <c r="CT75" s="1702">
        <f>CT69+CT72+CT73</f>
        <v>27435</v>
      </c>
      <c r="CU75" s="1356"/>
      <c r="CV75" s="1702">
        <f>CV69+CV72+CV73</f>
        <v>19200</v>
      </c>
      <c r="CW75" s="1356"/>
      <c r="CX75" s="1702">
        <f>CX69+CX72+CX73</f>
        <v>38071</v>
      </c>
      <c r="CY75" s="1356"/>
      <c r="CZ75" s="1702">
        <v>17325</v>
      </c>
      <c r="DA75" s="1356"/>
      <c r="DB75" s="1702">
        <v>16230</v>
      </c>
      <c r="DC75" s="1356"/>
      <c r="DD75" s="1702">
        <v>23604</v>
      </c>
      <c r="DE75" s="1356"/>
      <c r="DF75" s="1702">
        <v>32028</v>
      </c>
      <c r="DG75" s="1356"/>
      <c r="DH75" s="1702">
        <v>3192</v>
      </c>
      <c r="DI75" s="1356"/>
      <c r="DJ75" s="1702">
        <v>11487</v>
      </c>
      <c r="DK75" s="1356"/>
      <c r="DL75" s="1702">
        <v>17241</v>
      </c>
      <c r="DM75" s="1356"/>
      <c r="DN75" s="1702">
        <f>DN69+DN72+DN73</f>
        <v>21200</v>
      </c>
      <c r="DO75" s="1356"/>
      <c r="DP75" s="1702">
        <f>DP69+DP72+DP73</f>
        <v>22450</v>
      </c>
      <c r="DQ75" s="1356"/>
      <c r="DR75" s="1702">
        <f>DR69+DR72+DR73</f>
        <v>20638</v>
      </c>
      <c r="DS75" s="1356"/>
      <c r="DT75" s="1702">
        <f>DT69+DT72+DT73</f>
        <v>27431</v>
      </c>
      <c r="DU75" s="1356"/>
      <c r="DV75" s="1702">
        <f>DV69+DV72+DV73</f>
        <v>14428</v>
      </c>
      <c r="DW75" s="1356"/>
      <c r="DX75" s="1702">
        <f>DX69+DX72+DX73</f>
        <v>27075</v>
      </c>
      <c r="DY75" s="1356"/>
      <c r="DZ75" s="1702">
        <f>DZ69+DZ72+DZ73</f>
        <v>18790</v>
      </c>
      <c r="EA75" s="1356"/>
      <c r="EB75" s="1702">
        <f>EB69+EB72+EB73</f>
        <v>37129</v>
      </c>
      <c r="EC75" s="1356"/>
      <c r="ED75" s="1702">
        <f>ED69+ED72+ED73</f>
        <v>16240</v>
      </c>
      <c r="EE75" s="1356"/>
      <c r="EF75" s="1702">
        <f>EF69+EF72+EF73</f>
        <v>28440</v>
      </c>
      <c r="EG75" s="1356"/>
      <c r="EH75" s="1702">
        <f>EH69+EH72+EH73</f>
        <v>25342</v>
      </c>
      <c r="EI75" s="1356"/>
      <c r="EJ75" s="1702">
        <f>EJ69+EJ72+EJ73</f>
        <v>17590</v>
      </c>
      <c r="EK75" s="1356"/>
      <c r="EL75" s="1702">
        <f>EL69+EL72+EL73</f>
        <v>26205</v>
      </c>
      <c r="EM75" s="1356"/>
      <c r="EN75" s="1702">
        <f>EN69+EN72+EN73</f>
        <v>6434</v>
      </c>
      <c r="EO75" s="1356"/>
      <c r="EP75" s="1702">
        <f>EP69+EP72+EP73</f>
        <v>14000</v>
      </c>
      <c r="EQ75" s="1356"/>
      <c r="ER75" s="1702">
        <f>ER69+ER72+ER73</f>
        <v>8009</v>
      </c>
      <c r="ES75" s="1356"/>
      <c r="ET75" s="1702">
        <f>ET69+ET72+ET73</f>
        <v>16134</v>
      </c>
      <c r="EU75" s="1356"/>
      <c r="EV75" s="1702">
        <f>EV69+EV72+EV73</f>
        <v>6501</v>
      </c>
      <c r="EW75" s="1356"/>
      <c r="EX75" s="1702">
        <f>EX69+EX72+EX73</f>
        <v>9709</v>
      </c>
      <c r="EY75" s="1356"/>
      <c r="EZ75" s="1702">
        <f>EZ69+EZ72+EZ73</f>
        <v>35138</v>
      </c>
      <c r="FA75" s="1356"/>
      <c r="FB75" s="1702">
        <f>FB69+FB72+FB73</f>
        <v>7465</v>
      </c>
      <c r="FC75" s="1356"/>
      <c r="FD75" s="1702">
        <f>FD69+FD72+FD73</f>
        <v>15040</v>
      </c>
      <c r="FE75" s="1356"/>
      <c r="FF75" s="1702">
        <f>FF69+FF72+FF73</f>
        <v>8062</v>
      </c>
      <c r="FG75" s="1356"/>
      <c r="FH75" s="1702">
        <f>FH69+FH72+FH73</f>
        <v>23187</v>
      </c>
      <c r="FI75" s="1356"/>
      <c r="FJ75" s="1702">
        <f>FJ69+FJ72+FJ73</f>
        <v>18685.52</v>
      </c>
      <c r="FK75" s="1356"/>
      <c r="FL75" s="1702">
        <f>FL69+FL72+FL73</f>
        <v>31683</v>
      </c>
      <c r="FM75" s="1356"/>
      <c r="FN75" s="1702">
        <f>FN69+FN72+FN73</f>
        <v>29261</v>
      </c>
      <c r="FO75" s="1356"/>
      <c r="FP75" s="1702">
        <f>FP69+FP72+FP73</f>
        <v>6893</v>
      </c>
      <c r="FQ75" s="1356"/>
      <c r="FR75" s="1702">
        <f>FR69+FR72+FR73</f>
        <v>13866</v>
      </c>
      <c r="FS75" s="1356"/>
      <c r="FT75" s="1702">
        <f>FT69+FT72+FT73</f>
        <v>16057</v>
      </c>
      <c r="FU75" s="1356"/>
      <c r="FV75" s="1702">
        <f>FV69+FV72+FV73</f>
        <v>40825</v>
      </c>
      <c r="FW75" s="1356"/>
      <c r="FX75" s="1702">
        <f>FX69+FX72+FX73</f>
        <v>13226.48</v>
      </c>
      <c r="FY75" s="1356"/>
      <c r="FZ75" s="1702">
        <f>FZ69+FZ72+FZ73</f>
        <v>14485</v>
      </c>
      <c r="GA75" s="1356"/>
      <c r="GB75" s="1702">
        <f>GB69+GB72+GB73</f>
        <v>19612</v>
      </c>
      <c r="GC75" s="1356"/>
      <c r="GD75" s="1702">
        <f>GD69+GD72+GD73</f>
        <v>23323</v>
      </c>
      <c r="GE75" s="1356"/>
      <c r="GF75" s="1702">
        <f>GF69+GF72+GF73</f>
        <v>14702</v>
      </c>
      <c r="GG75" s="1356"/>
      <c r="GH75" s="1702">
        <f>GH69+GH72+GH73</f>
        <v>14525</v>
      </c>
      <c r="GI75" s="1356"/>
      <c r="GJ75" s="1702">
        <f>GJ69+GJ72+GJ73</f>
        <v>25790</v>
      </c>
      <c r="GK75" s="1356"/>
      <c r="GL75" s="1702">
        <f>GL69+GL72+GL73</f>
        <v>9406</v>
      </c>
      <c r="GM75" s="1356"/>
      <c r="GN75" s="1702">
        <f>GN69+GN72+GN73</f>
        <v>7052</v>
      </c>
      <c r="GO75" s="1356"/>
      <c r="GP75" s="1702">
        <f>GP69+GP72+GP73</f>
        <v>16128</v>
      </c>
      <c r="GQ75" s="1356"/>
      <c r="GR75" s="1702">
        <f>GR69+GR72+GR73</f>
        <v>9696</v>
      </c>
      <c r="GS75" s="1356"/>
      <c r="GT75" s="1702">
        <f>GT69+GT72+GT73</f>
        <v>6284</v>
      </c>
      <c r="GU75" s="1356"/>
      <c r="GV75" s="1702">
        <f>GV69+GV72+GV73</f>
        <v>11990</v>
      </c>
      <c r="GW75" s="1356"/>
      <c r="GX75" s="1702">
        <f>GX69+GX72+GX73</f>
        <v>7398</v>
      </c>
      <c r="GY75" s="1356"/>
      <c r="GZ75" s="1702">
        <f>GZ69+GZ72+GZ73</f>
        <v>19875</v>
      </c>
      <c r="HA75" s="1356"/>
      <c r="HB75" s="1702">
        <f>HB69+HB72+HB73</f>
        <v>10425</v>
      </c>
      <c r="HC75" s="1356"/>
      <c r="HD75" s="1702">
        <f>HD69+HD72+HD73</f>
        <v>23744</v>
      </c>
      <c r="HE75" s="1356"/>
      <c r="HF75" s="2018">
        <f>HF69+HF72+HF73</f>
        <v>26674</v>
      </c>
      <c r="HH75" s="1702">
        <f>HH69+HH72+HH73</f>
        <v>26600</v>
      </c>
      <c r="HI75" s="1356"/>
      <c r="HJ75" s="1702">
        <f>HJ69+HJ72+HJ73</f>
        <v>6828</v>
      </c>
      <c r="HK75" s="1356"/>
      <c r="HL75" s="1702">
        <f>HL69+HL72+HL73</f>
        <v>10016</v>
      </c>
      <c r="HM75" s="1356"/>
      <c r="HN75" s="1702">
        <f>HN69+HN72+HN73</f>
        <v>16450</v>
      </c>
      <c r="HO75" s="1356"/>
      <c r="HP75" s="2018">
        <f>HP69+HP72+HP73</f>
        <v>21229</v>
      </c>
      <c r="HR75" s="1702">
        <f>HR69+HR72+HR73</f>
        <v>8435</v>
      </c>
      <c r="HS75" s="1356"/>
      <c r="HT75" s="2018">
        <f>HT69+HT72+HT73</f>
        <v>21881</v>
      </c>
      <c r="HV75" s="2018">
        <f>HV69+HV72+HV73</f>
        <v>35735</v>
      </c>
      <c r="HX75" s="2018">
        <f>HX69+HX72+HX73</f>
        <v>23368</v>
      </c>
      <c r="HZ75" s="2018">
        <f>HZ69+HZ72+HZ73</f>
        <v>16104</v>
      </c>
      <c r="IB75" s="1702">
        <f>IB69+IB72+IB73</f>
        <v>14350</v>
      </c>
      <c r="IC75" s="1356"/>
      <c r="ID75" s="2018">
        <f>ID69+ID72+ID73</f>
        <v>10598.32</v>
      </c>
      <c r="IF75" s="2018">
        <f>IF69+IF72+IF73</f>
        <v>9143</v>
      </c>
    </row>
    <row r="76" spans="1:241" hidden="1">
      <c r="A76" s="1151"/>
      <c r="B76" s="1151"/>
      <c r="C76" s="1151" t="s">
        <v>75</v>
      </c>
      <c r="D76" s="1151"/>
      <c r="E76" s="1152"/>
      <c r="F76" s="1703" t="s">
        <v>1208</v>
      </c>
      <c r="G76" s="1704"/>
      <c r="H76" s="1703" t="s">
        <v>1208</v>
      </c>
      <c r="I76" s="1704"/>
      <c r="J76" s="1703" t="s">
        <v>1208</v>
      </c>
      <c r="K76" s="1704"/>
      <c r="L76" s="1703" t="s">
        <v>1208</v>
      </c>
      <c r="M76" s="1704"/>
      <c r="N76" s="1703" t="s">
        <v>1208</v>
      </c>
      <c r="O76" s="1704"/>
      <c r="P76" s="1703" t="s">
        <v>1208</v>
      </c>
      <c r="Q76" s="1704"/>
      <c r="R76" s="1703" t="s">
        <v>1208</v>
      </c>
      <c r="S76" s="1704"/>
      <c r="T76" s="1703" t="s">
        <v>1208</v>
      </c>
      <c r="U76" s="1704"/>
      <c r="V76" s="1703" t="s">
        <v>1208</v>
      </c>
      <c r="W76" s="1704"/>
      <c r="X76" s="1703" t="s">
        <v>1208</v>
      </c>
      <c r="Y76" s="1704"/>
      <c r="Z76" s="1703" t="s">
        <v>1208</v>
      </c>
      <c r="AA76" s="1704"/>
      <c r="AB76" s="1703" t="s">
        <v>1208</v>
      </c>
      <c r="AC76" s="1704"/>
      <c r="AD76" s="1703" t="s">
        <v>1208</v>
      </c>
      <c r="AE76" s="1704"/>
      <c r="AF76" s="1703" t="s">
        <v>1208</v>
      </c>
      <c r="AG76" s="1704"/>
      <c r="AH76" s="1703" t="s">
        <v>1208</v>
      </c>
      <c r="AI76" s="1704"/>
      <c r="AJ76" s="1703" t="s">
        <v>1208</v>
      </c>
      <c r="AK76" s="1704"/>
      <c r="AL76" s="1703" t="s">
        <v>1208</v>
      </c>
      <c r="AM76" s="1704"/>
      <c r="AN76" s="1703" t="s">
        <v>1208</v>
      </c>
      <c r="AO76" s="1704"/>
      <c r="AP76" s="1703" t="s">
        <v>1208</v>
      </c>
      <c r="AQ76" s="1704"/>
      <c r="AR76" s="1703" t="s">
        <v>1208</v>
      </c>
      <c r="AS76" s="1704"/>
      <c r="AT76" s="1703" t="s">
        <v>1208</v>
      </c>
      <c r="AU76" s="1704"/>
      <c r="AV76" s="1703" t="s">
        <v>1208</v>
      </c>
      <c r="AW76" s="1704"/>
      <c r="AX76" s="1703" t="s">
        <v>1208</v>
      </c>
      <c r="AY76" s="1704"/>
      <c r="AZ76" s="1703" t="s">
        <v>1208</v>
      </c>
      <c r="BA76" s="1704"/>
      <c r="BB76" s="1703" t="s">
        <v>1208</v>
      </c>
      <c r="BC76" s="1704"/>
      <c r="BD76" s="1703" t="s">
        <v>1208</v>
      </c>
      <c r="BE76" s="1704"/>
      <c r="BF76" s="1703" t="s">
        <v>1208</v>
      </c>
      <c r="BG76" s="1704"/>
      <c r="BH76" s="1703" t="s">
        <v>1208</v>
      </c>
      <c r="BI76" s="1704"/>
      <c r="BJ76" s="1703" t="s">
        <v>1208</v>
      </c>
      <c r="BK76" s="1704"/>
      <c r="BL76" s="1703" t="s">
        <v>1208</v>
      </c>
      <c r="BM76" s="1704"/>
      <c r="BN76" s="1703" t="s">
        <v>1208</v>
      </c>
      <c r="BO76" s="1704"/>
      <c r="BP76" s="1703" t="s">
        <v>1208</v>
      </c>
      <c r="BQ76" s="1704"/>
      <c r="BR76" s="1703" t="s">
        <v>1208</v>
      </c>
      <c r="BS76" s="1704"/>
      <c r="BT76" s="1703" t="s">
        <v>1208</v>
      </c>
      <c r="BU76" s="1704"/>
      <c r="BV76" s="1703" t="s">
        <v>1208</v>
      </c>
      <c r="BW76" s="1704"/>
      <c r="BX76" s="1703" t="s">
        <v>1208</v>
      </c>
      <c r="BY76" s="1704"/>
      <c r="BZ76" s="1703" t="s">
        <v>1208</v>
      </c>
      <c r="CA76" s="1704"/>
      <c r="CB76" s="1703" t="s">
        <v>1208</v>
      </c>
      <c r="CC76" s="1704"/>
      <c r="CD76" s="1703" t="s">
        <v>1208</v>
      </c>
      <c r="CE76" s="1704"/>
      <c r="CF76" s="1703" t="s">
        <v>1208</v>
      </c>
      <c r="CG76" s="1704"/>
      <c r="CH76" s="1703" t="s">
        <v>1208</v>
      </c>
      <c r="CI76" s="1704"/>
      <c r="CJ76" s="1703" t="s">
        <v>1208</v>
      </c>
      <c r="CK76" s="1704"/>
      <c r="CL76" s="1703" t="s">
        <v>1208</v>
      </c>
      <c r="CM76" s="1704"/>
      <c r="CN76" s="1703" t="s">
        <v>1208</v>
      </c>
      <c r="CO76" s="1704"/>
      <c r="CP76" s="1703" t="s">
        <v>1208</v>
      </c>
      <c r="CQ76" s="1704"/>
      <c r="CR76" s="1703" t="s">
        <v>1208</v>
      </c>
      <c r="CS76" s="1704"/>
      <c r="CT76" s="1703" t="s">
        <v>1208</v>
      </c>
      <c r="CU76" s="1704"/>
      <c r="CV76" s="1703" t="s">
        <v>1208</v>
      </c>
      <c r="CW76" s="1704"/>
      <c r="CX76" s="1703" t="s">
        <v>1208</v>
      </c>
      <c r="CY76" s="1704"/>
      <c r="CZ76" s="1703" t="s">
        <v>1208</v>
      </c>
      <c r="DA76" s="1704"/>
      <c r="DB76" s="1703" t="s">
        <v>1208</v>
      </c>
      <c r="DC76" s="1704"/>
      <c r="DD76" s="1703" t="s">
        <v>1208</v>
      </c>
      <c r="DE76" s="1704"/>
      <c r="DF76" s="1703" t="s">
        <v>1208</v>
      </c>
      <c r="DG76" s="1704"/>
      <c r="DH76" s="1703" t="s">
        <v>1208</v>
      </c>
      <c r="DI76" s="1704"/>
      <c r="DJ76" s="1703" t="s">
        <v>1208</v>
      </c>
      <c r="DK76" s="1704"/>
      <c r="DL76" s="1703" t="s">
        <v>1208</v>
      </c>
      <c r="DM76" s="1704"/>
      <c r="DN76" s="1703" t="s">
        <v>1208</v>
      </c>
      <c r="DO76" s="1704"/>
      <c r="DP76" s="1703" t="s">
        <v>1208</v>
      </c>
      <c r="DQ76" s="1704"/>
      <c r="DR76" s="1703" t="s">
        <v>1208</v>
      </c>
      <c r="DS76" s="1704"/>
      <c r="DT76" s="1703" t="s">
        <v>1208</v>
      </c>
      <c r="DU76" s="1704"/>
      <c r="DV76" s="1703" t="s">
        <v>1208</v>
      </c>
      <c r="DW76" s="1704"/>
      <c r="DX76" s="1703" t="s">
        <v>1208</v>
      </c>
      <c r="DY76" s="1704"/>
      <c r="DZ76" s="1703" t="s">
        <v>1208</v>
      </c>
      <c r="EA76" s="1704"/>
      <c r="EB76" s="1703" t="s">
        <v>1208</v>
      </c>
      <c r="EC76" s="1704"/>
      <c r="ED76" s="1703" t="s">
        <v>1208</v>
      </c>
      <c r="EE76" s="1704"/>
      <c r="EF76" s="1703" t="s">
        <v>1208</v>
      </c>
      <c r="EG76" s="1704"/>
      <c r="EH76" s="1703" t="s">
        <v>1208</v>
      </c>
      <c r="EI76" s="1704"/>
      <c r="EJ76" s="1703" t="s">
        <v>1208</v>
      </c>
      <c r="EK76" s="1704"/>
      <c r="EL76" s="1703" t="s">
        <v>1208</v>
      </c>
      <c r="EM76" s="1704"/>
      <c r="EN76" s="1703" t="s">
        <v>1208</v>
      </c>
      <c r="EO76" s="1704"/>
      <c r="EP76" s="1703" t="s">
        <v>1208</v>
      </c>
      <c r="EQ76" s="1704"/>
      <c r="ER76" s="1703" t="s">
        <v>1208</v>
      </c>
      <c r="ES76" s="1704"/>
      <c r="ET76" s="1703" t="s">
        <v>1208</v>
      </c>
      <c r="EU76" s="1704"/>
      <c r="EV76" s="1703" t="s">
        <v>1208</v>
      </c>
      <c r="EW76" s="1704"/>
      <c r="EX76" s="1703" t="s">
        <v>1208</v>
      </c>
      <c r="EY76" s="1704"/>
      <c r="EZ76" s="1703" t="s">
        <v>1208</v>
      </c>
      <c r="FA76" s="1704"/>
      <c r="FB76" s="1703" t="s">
        <v>1208</v>
      </c>
      <c r="FC76" s="1704"/>
      <c r="FD76" s="1703" t="s">
        <v>1208</v>
      </c>
      <c r="FE76" s="1704"/>
      <c r="FF76" s="1703" t="s">
        <v>1208</v>
      </c>
      <c r="FG76" s="1704"/>
      <c r="FH76" s="1703" t="s">
        <v>1208</v>
      </c>
      <c r="FI76" s="1704"/>
      <c r="FJ76" s="1703" t="s">
        <v>1208</v>
      </c>
      <c r="FK76" s="1704"/>
      <c r="FL76" s="1703" t="s">
        <v>1208</v>
      </c>
      <c r="FM76" s="1704"/>
      <c r="FN76" s="1703" t="s">
        <v>1208</v>
      </c>
      <c r="FO76" s="1704"/>
      <c r="FP76" s="1703" t="s">
        <v>1208</v>
      </c>
      <c r="FQ76" s="1704"/>
      <c r="FR76" s="1703" t="s">
        <v>1208</v>
      </c>
      <c r="FS76" s="1704"/>
      <c r="FT76" s="1703" t="s">
        <v>1208</v>
      </c>
      <c r="FU76" s="1704"/>
      <c r="FV76" s="1703" t="s">
        <v>1208</v>
      </c>
      <c r="FW76" s="1704"/>
      <c r="FX76" s="1703" t="s">
        <v>1208</v>
      </c>
      <c r="FY76" s="1704"/>
      <c r="FZ76" s="1703" t="s">
        <v>1208</v>
      </c>
      <c r="GA76" s="1704"/>
      <c r="GB76" s="1703" t="s">
        <v>1208</v>
      </c>
      <c r="GC76" s="1704"/>
      <c r="GD76" s="1703" t="s">
        <v>1208</v>
      </c>
      <c r="GE76" s="1704"/>
      <c r="GF76" s="1703" t="s">
        <v>1208</v>
      </c>
      <c r="GG76" s="1704"/>
      <c r="GH76" s="1703" t="s">
        <v>1208</v>
      </c>
      <c r="GI76" s="1704"/>
      <c r="GJ76" s="1703" t="s">
        <v>1208</v>
      </c>
      <c r="GK76" s="1704"/>
      <c r="GL76" s="1703" t="s">
        <v>1208</v>
      </c>
      <c r="GM76" s="1704"/>
      <c r="GN76" s="1703" t="s">
        <v>1208</v>
      </c>
      <c r="GO76" s="1704"/>
      <c r="GP76" s="1703" t="s">
        <v>1208</v>
      </c>
      <c r="GQ76" s="1704"/>
      <c r="GR76" s="1703" t="s">
        <v>1208</v>
      </c>
      <c r="GS76" s="1704"/>
      <c r="GT76" s="1703" t="s">
        <v>1208</v>
      </c>
      <c r="GU76" s="1704"/>
      <c r="GV76" s="1703" t="s">
        <v>1208</v>
      </c>
      <c r="GW76" s="1704"/>
      <c r="GX76" s="1703" t="s">
        <v>1208</v>
      </c>
      <c r="GY76" s="1704"/>
      <c r="GZ76" s="1703" t="s">
        <v>1208</v>
      </c>
      <c r="HA76" s="1704"/>
      <c r="HB76" s="1703" t="s">
        <v>1208</v>
      </c>
      <c r="HC76" s="1704"/>
      <c r="HD76" s="1703" t="s">
        <v>1208</v>
      </c>
      <c r="HE76" s="1704"/>
      <c r="HF76" s="2020" t="s">
        <v>1208</v>
      </c>
      <c r="HG76" s="2021"/>
      <c r="HH76" s="1703" t="s">
        <v>1208</v>
      </c>
      <c r="HI76" s="1704"/>
      <c r="HJ76" s="1703" t="s">
        <v>1208</v>
      </c>
      <c r="HK76" s="1704"/>
      <c r="HL76" s="1703" t="s">
        <v>1208</v>
      </c>
      <c r="HM76" s="1704"/>
      <c r="HN76" s="1703" t="s">
        <v>1208</v>
      </c>
      <c r="HO76" s="1704"/>
      <c r="HP76" s="2020" t="s">
        <v>1208</v>
      </c>
      <c r="HQ76" s="2021"/>
      <c r="HR76" s="1703" t="s">
        <v>1208</v>
      </c>
      <c r="HS76" s="1704"/>
      <c r="HT76" s="2020" t="s">
        <v>1208</v>
      </c>
      <c r="HU76" s="2021"/>
      <c r="HV76" s="2020" t="s">
        <v>1208</v>
      </c>
      <c r="HW76" s="2021"/>
      <c r="HX76" s="2020" t="s">
        <v>1208</v>
      </c>
      <c r="HY76" s="2021"/>
      <c r="HZ76" s="2020" t="s">
        <v>1208</v>
      </c>
      <c r="IA76" s="2021"/>
      <c r="IB76" s="1703" t="s">
        <v>1208</v>
      </c>
      <c r="IC76" s="1704"/>
      <c r="ID76" s="2020" t="s">
        <v>1208</v>
      </c>
      <c r="IE76" s="2021"/>
      <c r="IF76" s="2020" t="s">
        <v>1208</v>
      </c>
      <c r="IG76" s="2021"/>
    </row>
    <row r="77" spans="1:241" ht="16.2" thickBot="1">
      <c r="A77" s="1149"/>
      <c r="B77" s="1149"/>
      <c r="C77" s="1149"/>
      <c r="D77" s="1149"/>
      <c r="E77" s="1143"/>
      <c r="F77" s="1699"/>
      <c r="G77" s="1356"/>
      <c r="H77" s="1699"/>
      <c r="I77" s="1356"/>
      <c r="J77" s="1699"/>
      <c r="K77" s="1356"/>
      <c r="L77" s="1699"/>
      <c r="M77" s="1356"/>
      <c r="N77" s="1699"/>
      <c r="O77" s="1356"/>
      <c r="P77" s="1699"/>
      <c r="Q77" s="1356"/>
      <c r="R77" s="1699"/>
      <c r="T77" s="1699"/>
      <c r="U77" s="1356"/>
      <c r="V77" s="1699"/>
      <c r="W77" s="1356"/>
      <c r="X77" s="1699"/>
      <c r="Y77" s="1356"/>
      <c r="Z77" s="1699"/>
      <c r="AA77" s="1356"/>
      <c r="AB77" s="1699"/>
      <c r="AC77" s="1356"/>
      <c r="AD77" s="1699"/>
      <c r="AE77" s="1356"/>
      <c r="AF77" s="1699"/>
      <c r="AG77" s="1356"/>
      <c r="AH77" s="1699"/>
      <c r="AI77" s="1356"/>
      <c r="AJ77" s="1699"/>
      <c r="AK77" s="1356"/>
      <c r="AL77" s="1699"/>
      <c r="AM77" s="1356"/>
      <c r="AN77" s="1699"/>
      <c r="AO77" s="1356"/>
      <c r="AP77" s="1699"/>
      <c r="AQ77" s="1356"/>
      <c r="AR77" s="1699"/>
      <c r="AS77" s="1356"/>
      <c r="AT77" s="1699"/>
      <c r="AU77" s="1356"/>
      <c r="AV77" s="1699"/>
      <c r="AW77" s="1356"/>
      <c r="AX77" s="1699"/>
      <c r="AY77" s="1356"/>
      <c r="AZ77" s="1699"/>
      <c r="BA77" s="1356"/>
      <c r="BB77" s="1699"/>
      <c r="BC77" s="1356"/>
      <c r="BD77" s="1699"/>
      <c r="BE77" s="1356"/>
      <c r="BF77" s="1699"/>
      <c r="BG77" s="1356"/>
      <c r="BH77" s="1699"/>
      <c r="BI77" s="1356"/>
      <c r="BJ77" s="1699"/>
      <c r="BK77" s="1356"/>
      <c r="BL77" s="1699"/>
      <c r="BM77" s="1356"/>
      <c r="BN77" s="1699"/>
      <c r="BO77" s="1356"/>
      <c r="BP77" s="1699"/>
      <c r="BQ77" s="1356"/>
      <c r="BR77" s="1699"/>
      <c r="BS77" s="1356"/>
      <c r="BT77" s="1699"/>
      <c r="BU77" s="1356"/>
      <c r="BV77" s="1699"/>
      <c r="BW77" s="1356"/>
      <c r="BX77" s="1699"/>
      <c r="BY77" s="1356"/>
      <c r="BZ77" s="1699"/>
      <c r="CA77" s="1356"/>
      <c r="CB77" s="1699"/>
      <c r="CC77" s="1356"/>
      <c r="CD77" s="1699"/>
      <c r="CE77" s="1356"/>
      <c r="CF77" s="1699"/>
      <c r="CG77" s="1356"/>
      <c r="CH77" s="1699"/>
      <c r="CI77" s="1356"/>
      <c r="CJ77" s="1699"/>
      <c r="CK77" s="1356"/>
      <c r="CL77" s="1699"/>
      <c r="CM77" s="1356"/>
      <c r="CN77" s="1699"/>
      <c r="CO77" s="1356"/>
      <c r="CP77" s="1699"/>
      <c r="CQ77" s="1356"/>
      <c r="CR77" s="1699"/>
      <c r="CS77" s="1356"/>
      <c r="CT77" s="1699"/>
      <c r="CU77" s="1356"/>
      <c r="CV77" s="1699"/>
      <c r="CW77" s="1356"/>
      <c r="CX77" s="1699"/>
      <c r="CY77" s="1356"/>
      <c r="CZ77" s="1699"/>
      <c r="DA77" s="1356"/>
      <c r="DB77" s="1699"/>
      <c r="DC77" s="1356"/>
      <c r="DD77" s="1699"/>
      <c r="DE77" s="1356"/>
      <c r="DF77" s="1699"/>
      <c r="DG77" s="1356"/>
      <c r="DH77" s="1699"/>
      <c r="DI77" s="1356"/>
      <c r="DJ77" s="1699"/>
      <c r="DK77" s="1356"/>
      <c r="DL77" s="1699"/>
      <c r="DM77" s="1356"/>
      <c r="DN77" s="1699"/>
      <c r="DO77" s="1356"/>
      <c r="DP77" s="1699"/>
      <c r="DQ77" s="1356"/>
      <c r="DR77" s="1699"/>
      <c r="DS77" s="1356"/>
      <c r="DT77" s="1699"/>
      <c r="DU77" s="1356"/>
      <c r="DV77" s="1699"/>
      <c r="DW77" s="1356"/>
      <c r="DX77" s="1699"/>
      <c r="DY77" s="1356"/>
      <c r="DZ77" s="1699"/>
      <c r="EA77" s="1356"/>
      <c r="EB77" s="1699"/>
      <c r="EC77" s="1356"/>
      <c r="ED77" s="1699"/>
      <c r="EE77" s="1356"/>
      <c r="EF77" s="1699"/>
      <c r="EG77" s="1356"/>
      <c r="EH77" s="1699"/>
      <c r="EI77" s="1356"/>
      <c r="EJ77" s="1699"/>
      <c r="EK77" s="1356"/>
      <c r="EL77" s="1699"/>
      <c r="EM77" s="1356"/>
      <c r="EN77" s="1699"/>
      <c r="EO77" s="1356"/>
      <c r="EP77" s="1699"/>
      <c r="EQ77" s="1356"/>
      <c r="ER77" s="1699"/>
      <c r="ES77" s="1356"/>
      <c r="ET77" s="1699"/>
      <c r="EU77" s="1356"/>
      <c r="EV77" s="1699"/>
      <c r="EW77" s="1356"/>
      <c r="EX77" s="1699"/>
      <c r="EY77" s="1356"/>
      <c r="EZ77" s="1699"/>
      <c r="FA77" s="1356"/>
      <c r="FB77" s="1699"/>
      <c r="FC77" s="1356"/>
      <c r="FD77" s="1699"/>
      <c r="FE77" s="1356"/>
      <c r="FF77" s="1699"/>
      <c r="FG77" s="1356"/>
      <c r="FH77" s="1699"/>
      <c r="FI77" s="1356"/>
      <c r="FJ77" s="1699"/>
      <c r="FK77" s="1356"/>
      <c r="FL77" s="1699"/>
      <c r="FM77" s="1356"/>
      <c r="FN77" s="1699"/>
      <c r="FO77" s="1356"/>
      <c r="FP77" s="1699"/>
      <c r="FQ77" s="1356"/>
      <c r="FR77" s="1699"/>
      <c r="FS77" s="1356"/>
      <c r="FT77" s="1699"/>
      <c r="FU77" s="1356"/>
      <c r="FV77" s="1699"/>
      <c r="FW77" s="1356"/>
      <c r="FX77" s="1699"/>
      <c r="FY77" s="1356"/>
      <c r="FZ77" s="1699"/>
      <c r="GA77" s="1356"/>
      <c r="GB77" s="1699"/>
      <c r="GC77" s="1356"/>
      <c r="GD77" s="1699"/>
      <c r="GE77" s="1356"/>
      <c r="GF77" s="1699"/>
      <c r="GG77" s="1356"/>
      <c r="GH77" s="1699"/>
      <c r="GI77" s="1356"/>
      <c r="GJ77" s="1699"/>
      <c r="GK77" s="1356"/>
      <c r="GL77" s="1699"/>
      <c r="GM77" s="1356"/>
      <c r="GN77" s="1699"/>
      <c r="GO77" s="1356"/>
      <c r="GP77" s="1699"/>
      <c r="GQ77" s="1356"/>
      <c r="GR77" s="1699"/>
      <c r="GS77" s="1356"/>
      <c r="GT77" s="1699"/>
      <c r="GU77" s="1356"/>
      <c r="GV77" s="1699"/>
      <c r="GW77" s="1356"/>
      <c r="GX77" s="1699"/>
      <c r="GY77" s="1356"/>
      <c r="GZ77" s="1699"/>
      <c r="HA77" s="1356"/>
      <c r="HB77" s="1699"/>
      <c r="HC77" s="1356"/>
      <c r="HD77" s="1699"/>
      <c r="HE77" s="1356"/>
      <c r="HF77" s="2015"/>
      <c r="HH77" s="1699"/>
      <c r="HI77" s="1356"/>
      <c r="HJ77" s="1699"/>
      <c r="HK77" s="1356"/>
      <c r="HL77" s="1699"/>
      <c r="HM77" s="1356"/>
      <c r="HN77" s="1699"/>
      <c r="HO77" s="1356"/>
      <c r="HP77" s="2015"/>
      <c r="HR77" s="1699"/>
      <c r="HS77" s="1356"/>
      <c r="HT77" s="2015"/>
      <c r="HV77" s="2015"/>
      <c r="HX77" s="2015"/>
      <c r="HZ77" s="2015"/>
      <c r="IB77" s="1699"/>
      <c r="IC77" s="1356"/>
      <c r="ID77" s="2015"/>
      <c r="IF77" s="2015"/>
    </row>
    <row r="78" spans="1:241" ht="21.6" thickBot="1">
      <c r="A78" s="1149"/>
      <c r="B78" s="1147" t="s">
        <v>64</v>
      </c>
      <c r="C78" s="1148"/>
      <c r="D78" s="1148"/>
      <c r="E78" s="1148"/>
      <c r="F78" s="1932"/>
      <c r="G78" s="1356"/>
      <c r="H78" s="1538"/>
      <c r="I78" s="1356"/>
      <c r="J78" s="1538"/>
      <c r="K78" s="1356"/>
      <c r="L78" s="1538"/>
      <c r="M78" s="1356"/>
      <c r="N78" s="1538"/>
      <c r="O78" s="1356"/>
      <c r="P78" s="1538"/>
      <c r="Q78" s="1356"/>
      <c r="R78" s="1538"/>
      <c r="T78" s="1538"/>
      <c r="U78" s="1356"/>
      <c r="V78" s="1538"/>
      <c r="W78" s="1356"/>
      <c r="X78" s="1538"/>
      <c r="Y78" s="1356"/>
      <c r="Z78" s="1538"/>
      <c r="AA78" s="1356"/>
      <c r="AB78" s="1538"/>
      <c r="AC78" s="1356"/>
      <c r="AD78" s="1538"/>
      <c r="AE78" s="1356"/>
      <c r="AF78" s="1538"/>
      <c r="AG78" s="1356"/>
      <c r="AH78" s="1538"/>
      <c r="AI78" s="1356"/>
      <c r="AJ78" s="1538"/>
      <c r="AK78" s="1356"/>
      <c r="AL78" s="1538"/>
      <c r="AM78" s="1356"/>
      <c r="AN78" s="1538"/>
      <c r="AO78" s="1356"/>
      <c r="AP78" s="1538"/>
      <c r="AQ78" s="1356"/>
      <c r="AR78" s="1538"/>
      <c r="AS78" s="1356"/>
      <c r="AT78" s="1538"/>
      <c r="AU78" s="1356"/>
      <c r="AV78" s="1538"/>
      <c r="AW78" s="1356"/>
      <c r="AX78" s="1538"/>
      <c r="AY78" s="1356"/>
      <c r="AZ78" s="1538"/>
      <c r="BA78" s="1356"/>
      <c r="BB78" s="1538"/>
      <c r="BC78" s="1356"/>
      <c r="BD78" s="1538"/>
      <c r="BE78" s="1356"/>
      <c r="BF78" s="1538"/>
      <c r="BG78" s="1356"/>
      <c r="BH78" s="1538"/>
      <c r="BI78" s="1356"/>
      <c r="BJ78" s="1538"/>
      <c r="BK78" s="1356"/>
      <c r="BL78" s="1538"/>
      <c r="BM78" s="1356"/>
      <c r="BN78" s="1538"/>
      <c r="BO78" s="1356"/>
      <c r="BP78" s="1538"/>
      <c r="BQ78" s="1356"/>
      <c r="BR78" s="1538"/>
      <c r="BS78" s="1356"/>
      <c r="BT78" s="1538"/>
      <c r="BU78" s="1356"/>
      <c r="BV78" s="1538"/>
      <c r="BW78" s="1356"/>
      <c r="BX78" s="1538"/>
      <c r="BY78" s="1356"/>
      <c r="BZ78" s="1538"/>
      <c r="CA78" s="1356"/>
      <c r="CB78" s="1538"/>
      <c r="CC78" s="1356"/>
      <c r="CD78" s="1538"/>
      <c r="CE78" s="1356"/>
      <c r="CF78" s="1538"/>
      <c r="CG78" s="1356"/>
      <c r="CH78" s="1538"/>
      <c r="CI78" s="1356"/>
      <c r="CJ78" s="1538"/>
      <c r="CK78" s="1356"/>
      <c r="CL78" s="1538"/>
      <c r="CM78" s="1356"/>
      <c r="CN78" s="1538"/>
      <c r="CO78" s="1356"/>
      <c r="CP78" s="1538"/>
      <c r="CQ78" s="1356"/>
      <c r="CR78" s="1538"/>
      <c r="CS78" s="1356"/>
      <c r="CT78" s="1538"/>
      <c r="CU78" s="1356"/>
      <c r="CV78" s="1538"/>
      <c r="CW78" s="1356"/>
      <c r="CX78" s="1538"/>
      <c r="CY78" s="1356"/>
      <c r="CZ78" s="1538"/>
      <c r="DA78" s="1356"/>
      <c r="DB78" s="1538"/>
      <c r="DC78" s="1356"/>
      <c r="DD78" s="1538"/>
      <c r="DE78" s="1356"/>
      <c r="DF78" s="1538"/>
      <c r="DG78" s="1356"/>
      <c r="DH78" s="1538"/>
      <c r="DI78" s="1356"/>
      <c r="DJ78" s="1538"/>
      <c r="DK78" s="1356"/>
      <c r="DL78" s="1538"/>
      <c r="DM78" s="1356"/>
      <c r="DN78" s="1538"/>
      <c r="DO78" s="1356"/>
      <c r="DP78" s="1538"/>
      <c r="DQ78" s="1356"/>
      <c r="DR78" s="1538"/>
      <c r="DS78" s="1356"/>
      <c r="DT78" s="1538"/>
      <c r="DU78" s="1356"/>
      <c r="DV78" s="1538"/>
      <c r="DW78" s="1356"/>
      <c r="DX78" s="1538"/>
      <c r="DY78" s="1356"/>
      <c r="DZ78" s="1538"/>
      <c r="EA78" s="1356"/>
      <c r="EB78" s="1538"/>
      <c r="EC78" s="1356"/>
      <c r="ED78" s="1538"/>
      <c r="EE78" s="1356"/>
      <c r="EF78" s="1538"/>
      <c r="EG78" s="1356"/>
      <c r="EH78" s="1538"/>
      <c r="EI78" s="1356"/>
      <c r="EJ78" s="1538"/>
      <c r="EK78" s="1356"/>
      <c r="EL78" s="1538"/>
      <c r="EM78" s="1356"/>
      <c r="EN78" s="1538"/>
      <c r="EO78" s="1356"/>
      <c r="EP78" s="1538"/>
      <c r="EQ78" s="1356"/>
      <c r="ER78" s="1538"/>
      <c r="ES78" s="1356"/>
      <c r="ET78" s="1538"/>
      <c r="EU78" s="1356"/>
      <c r="EV78" s="1538"/>
      <c r="EW78" s="1356"/>
      <c r="EX78" s="1538"/>
      <c r="EY78" s="1356"/>
      <c r="EZ78" s="1538"/>
      <c r="FA78" s="1356"/>
      <c r="FB78" s="1538"/>
      <c r="FC78" s="1356"/>
      <c r="FD78" s="1538"/>
      <c r="FE78" s="1356"/>
      <c r="FF78" s="1538"/>
      <c r="FG78" s="1356"/>
      <c r="FH78" s="1538"/>
      <c r="FI78" s="1356"/>
      <c r="FJ78" s="1538"/>
      <c r="FK78" s="1356"/>
      <c r="FL78" s="1538"/>
      <c r="FM78" s="1356"/>
      <c r="FN78" s="1538"/>
      <c r="FO78" s="1356"/>
      <c r="FP78" s="1538"/>
      <c r="FQ78" s="1356"/>
      <c r="FR78" s="1538"/>
      <c r="FS78" s="1356"/>
      <c r="FT78" s="1538"/>
      <c r="FU78" s="1356"/>
      <c r="FV78" s="1538"/>
      <c r="FW78" s="1356"/>
      <c r="FX78" s="1538"/>
      <c r="FY78" s="1356"/>
      <c r="FZ78" s="1538"/>
      <c r="GA78" s="1356"/>
      <c r="GB78" s="1538"/>
      <c r="GC78" s="1356"/>
      <c r="GD78" s="1538"/>
      <c r="GE78" s="1356"/>
      <c r="GF78" s="1538"/>
      <c r="GG78" s="1356"/>
      <c r="GH78" s="1538"/>
      <c r="GI78" s="1356"/>
      <c r="GJ78" s="1538"/>
      <c r="GK78" s="1356"/>
      <c r="GL78" s="1538"/>
      <c r="GM78" s="1356"/>
      <c r="GN78" s="1538"/>
      <c r="GO78" s="1356"/>
      <c r="GP78" s="1538"/>
      <c r="GQ78" s="1356"/>
      <c r="GR78" s="1538"/>
      <c r="GS78" s="1356"/>
      <c r="GT78" s="1538"/>
      <c r="GU78" s="1356"/>
      <c r="GV78" s="1538"/>
      <c r="GW78" s="1356"/>
      <c r="GX78" s="1538"/>
      <c r="GY78" s="1356"/>
      <c r="GZ78" s="1538"/>
      <c r="HA78" s="1356"/>
      <c r="HB78" s="1538"/>
      <c r="HC78" s="1356"/>
      <c r="HD78" s="1538"/>
      <c r="HE78" s="1356"/>
      <c r="HF78" s="1535"/>
      <c r="HH78" s="1538"/>
      <c r="HI78" s="1356"/>
      <c r="HJ78" s="1538"/>
      <c r="HK78" s="1356"/>
      <c r="HL78" s="1538"/>
      <c r="HM78" s="1356"/>
      <c r="HN78" s="1538"/>
      <c r="HO78" s="1356"/>
      <c r="HP78" s="2077"/>
      <c r="HR78" s="1538"/>
      <c r="HS78" s="1356"/>
      <c r="HT78" s="1538"/>
      <c r="HV78" s="1538"/>
      <c r="HX78" s="1538"/>
      <c r="HZ78" s="1538"/>
      <c r="IB78" s="1538"/>
      <c r="IC78" s="1356"/>
      <c r="ID78" s="1538"/>
      <c r="IF78" s="1005"/>
    </row>
    <row r="79" spans="1:241">
      <c r="A79" s="1149"/>
      <c r="B79" s="1149"/>
      <c r="C79" s="1149"/>
      <c r="D79" s="1149"/>
      <c r="E79" s="1143"/>
      <c r="F79" s="1699"/>
      <c r="G79" s="1356"/>
      <c r="H79" s="1699"/>
      <c r="I79" s="1356"/>
      <c r="J79" s="1699"/>
      <c r="K79" s="1356"/>
      <c r="L79" s="1699"/>
      <c r="M79" s="1356"/>
      <c r="N79" s="1699"/>
      <c r="O79" s="1356"/>
      <c r="P79" s="1699"/>
      <c r="Q79" s="1356"/>
      <c r="R79" s="1699"/>
      <c r="T79" s="1699"/>
      <c r="U79" s="1356"/>
      <c r="V79" s="1699"/>
      <c r="W79" s="1356"/>
      <c r="X79" s="1699"/>
      <c r="Y79" s="1356"/>
      <c r="Z79" s="1699"/>
      <c r="AA79" s="1356"/>
      <c r="AB79" s="1699"/>
      <c r="AC79" s="1356"/>
      <c r="AD79" s="1699"/>
      <c r="AE79" s="1356"/>
      <c r="AF79" s="1699"/>
      <c r="AG79" s="1356"/>
      <c r="AH79" s="1699"/>
      <c r="AI79" s="1356"/>
      <c r="AJ79" s="1699"/>
      <c r="AK79" s="1356"/>
      <c r="AL79" s="1699"/>
      <c r="AM79" s="1356"/>
      <c r="AN79" s="1699"/>
      <c r="AO79" s="1356"/>
      <c r="AP79" s="1699"/>
      <c r="AQ79" s="1356"/>
      <c r="AR79" s="1699"/>
      <c r="AS79" s="1356"/>
      <c r="AT79" s="1699"/>
      <c r="AU79" s="1356"/>
      <c r="AV79" s="1699"/>
      <c r="AW79" s="1356"/>
      <c r="AX79" s="1699"/>
      <c r="AY79" s="1356"/>
      <c r="AZ79" s="1699"/>
      <c r="BA79" s="1356"/>
      <c r="BB79" s="1699"/>
      <c r="BC79" s="1356"/>
      <c r="BD79" s="1699"/>
      <c r="BE79" s="1356"/>
      <c r="BF79" s="1699"/>
      <c r="BG79" s="1356"/>
      <c r="BH79" s="1699"/>
      <c r="BI79" s="1356"/>
      <c r="BJ79" s="1699"/>
      <c r="BK79" s="1356"/>
      <c r="BL79" s="1699"/>
      <c r="BM79" s="1356"/>
      <c r="BN79" s="1699"/>
      <c r="BO79" s="1356"/>
      <c r="BP79" s="1699"/>
      <c r="BQ79" s="1356"/>
      <c r="BR79" s="1699"/>
      <c r="BS79" s="1356"/>
      <c r="BT79" s="1699"/>
      <c r="BU79" s="1356"/>
      <c r="BV79" s="1699"/>
      <c r="BW79" s="1356"/>
      <c r="BX79" s="1699"/>
      <c r="BY79" s="1356"/>
      <c r="BZ79" s="1699"/>
      <c r="CA79" s="1356"/>
      <c r="CB79" s="1699"/>
      <c r="CC79" s="1356"/>
      <c r="CD79" s="1699"/>
      <c r="CE79" s="1356"/>
      <c r="CF79" s="1699"/>
      <c r="CG79" s="1356"/>
      <c r="CH79" s="1699"/>
      <c r="CI79" s="1356"/>
      <c r="CJ79" s="1699"/>
      <c r="CK79" s="1356"/>
      <c r="CL79" s="1699"/>
      <c r="CM79" s="1356"/>
      <c r="CN79" s="1699"/>
      <c r="CO79" s="1356"/>
      <c r="CP79" s="1699"/>
      <c r="CQ79" s="1356"/>
      <c r="CR79" s="1699"/>
      <c r="CS79" s="1356"/>
      <c r="CT79" s="1699"/>
      <c r="CU79" s="1356"/>
      <c r="CV79" s="1699"/>
      <c r="CW79" s="1356"/>
      <c r="CX79" s="1699"/>
      <c r="CY79" s="1356"/>
      <c r="CZ79" s="1699"/>
      <c r="DA79" s="1356"/>
      <c r="DB79" s="1699"/>
      <c r="DC79" s="1356"/>
      <c r="DD79" s="1699"/>
      <c r="DE79" s="1356"/>
      <c r="DF79" s="1699"/>
      <c r="DG79" s="1356"/>
      <c r="DH79" s="1699"/>
      <c r="DI79" s="1356"/>
      <c r="DJ79" s="1699"/>
      <c r="DK79" s="1356"/>
      <c r="DL79" s="1699"/>
      <c r="DM79" s="1356"/>
      <c r="DN79" s="1699"/>
      <c r="DO79" s="1356"/>
      <c r="DP79" s="1699"/>
      <c r="DQ79" s="1356"/>
      <c r="DR79" s="1699"/>
      <c r="DS79" s="1356"/>
      <c r="DT79" s="1699"/>
      <c r="DU79" s="1356"/>
      <c r="DV79" s="1699"/>
      <c r="DW79" s="1356"/>
      <c r="DX79" s="1699"/>
      <c r="DY79" s="1356"/>
      <c r="DZ79" s="1699"/>
      <c r="EA79" s="1356"/>
      <c r="EB79" s="1699"/>
      <c r="EC79" s="1356"/>
      <c r="ED79" s="1699"/>
      <c r="EE79" s="1356"/>
      <c r="EF79" s="1699"/>
      <c r="EG79" s="1356"/>
      <c r="EH79" s="1699"/>
      <c r="EI79" s="1356"/>
      <c r="EJ79" s="1699"/>
      <c r="EK79" s="1356"/>
      <c r="EL79" s="1699"/>
      <c r="EM79" s="1356"/>
      <c r="EN79" s="1699"/>
      <c r="EO79" s="1356"/>
      <c r="EP79" s="1699"/>
      <c r="EQ79" s="1356"/>
      <c r="ER79" s="1699"/>
      <c r="ES79" s="1356"/>
      <c r="ET79" s="1699"/>
      <c r="EU79" s="1356"/>
      <c r="EV79" s="1699"/>
      <c r="EW79" s="1356"/>
      <c r="EX79" s="1699"/>
      <c r="EY79" s="1356"/>
      <c r="EZ79" s="1699"/>
      <c r="FA79" s="1356"/>
      <c r="FB79" s="1699"/>
      <c r="FC79" s="1356"/>
      <c r="FD79" s="1699"/>
      <c r="FE79" s="1356"/>
      <c r="FF79" s="1699"/>
      <c r="FG79" s="1356"/>
      <c r="FH79" s="1699"/>
      <c r="FI79" s="1356"/>
      <c r="FJ79" s="1699"/>
      <c r="FK79" s="1356"/>
      <c r="FL79" s="1699"/>
      <c r="FM79" s="1356"/>
      <c r="FN79" s="1699"/>
      <c r="FO79" s="1356"/>
      <c r="FP79" s="1699"/>
      <c r="FQ79" s="1356"/>
      <c r="FR79" s="1699"/>
      <c r="FS79" s="1356"/>
      <c r="FT79" s="1699"/>
      <c r="FU79" s="1356"/>
      <c r="FV79" s="1699"/>
      <c r="FW79" s="1356"/>
      <c r="FX79" s="1699"/>
      <c r="FY79" s="1356"/>
      <c r="FZ79" s="1699"/>
      <c r="GA79" s="1356"/>
      <c r="GB79" s="1699"/>
      <c r="GC79" s="1356"/>
      <c r="GD79" s="1699"/>
      <c r="GE79" s="1356"/>
      <c r="GF79" s="1699"/>
      <c r="GG79" s="1356"/>
      <c r="GH79" s="1699"/>
      <c r="GI79" s="1356"/>
      <c r="GJ79" s="1699"/>
      <c r="GK79" s="1356"/>
      <c r="GL79" s="1699"/>
      <c r="GM79" s="1356"/>
      <c r="GN79" s="1699"/>
      <c r="GO79" s="1356"/>
      <c r="GP79" s="1699"/>
      <c r="GQ79" s="1356"/>
      <c r="GR79" s="1699"/>
      <c r="GS79" s="1356"/>
      <c r="GT79" s="1699"/>
      <c r="GU79" s="1356"/>
      <c r="GV79" s="1699"/>
      <c r="GW79" s="1356"/>
      <c r="GX79" s="1699"/>
      <c r="GY79" s="1356"/>
      <c r="GZ79" s="1699"/>
      <c r="HA79" s="1356"/>
      <c r="HB79" s="1699"/>
      <c r="HC79" s="1356"/>
      <c r="HD79" s="1699"/>
      <c r="HE79" s="1356"/>
      <c r="HF79" s="2015"/>
      <c r="HH79" s="1699"/>
      <c r="HI79" s="1356"/>
      <c r="HJ79" s="1699"/>
      <c r="HK79" s="1356"/>
      <c r="HL79" s="1699"/>
      <c r="HM79" s="1356"/>
      <c r="HN79" s="1699"/>
      <c r="HO79" s="1356"/>
      <c r="HP79" s="2015"/>
      <c r="HR79" s="1699"/>
      <c r="HS79" s="1356"/>
      <c r="HT79" s="2015"/>
      <c r="HV79" s="2015"/>
      <c r="HX79" s="2015"/>
      <c r="HZ79" s="2015"/>
      <c r="IB79" s="1699"/>
      <c r="IC79" s="1356"/>
      <c r="ID79" s="2015"/>
      <c r="IF79" s="2015"/>
    </row>
    <row r="80" spans="1:241" hidden="1">
      <c r="A80" s="1151"/>
      <c r="B80" s="1151" t="s">
        <v>52</v>
      </c>
      <c r="C80" s="1151"/>
      <c r="D80" s="1151"/>
      <c r="E80" s="1152"/>
      <c r="F80" s="1705"/>
      <c r="G80" s="1704"/>
      <c r="H80" s="1705"/>
      <c r="I80" s="1704"/>
      <c r="J80" s="1705"/>
      <c r="K80" s="1704"/>
      <c r="L80" s="1705"/>
      <c r="M80" s="1704"/>
      <c r="N80" s="1705"/>
      <c r="O80" s="1704"/>
      <c r="P80" s="1705"/>
      <c r="Q80" s="1704"/>
      <c r="R80" s="1705"/>
      <c r="S80" s="1704"/>
      <c r="T80" s="1705"/>
      <c r="U80" s="1704"/>
      <c r="V80" s="1705"/>
      <c r="W80" s="1704"/>
      <c r="X80" s="1705"/>
      <c r="Y80" s="1704"/>
      <c r="Z80" s="1705"/>
      <c r="AA80" s="1704"/>
      <c r="AB80" s="1705"/>
      <c r="AC80" s="1704"/>
      <c r="AD80" s="1705"/>
      <c r="AE80" s="1704"/>
      <c r="AF80" s="1705"/>
      <c r="AG80" s="1704"/>
      <c r="AH80" s="1705"/>
      <c r="AI80" s="1704"/>
      <c r="AJ80" s="1705"/>
      <c r="AK80" s="1704"/>
      <c r="AL80" s="1705"/>
      <c r="AM80" s="1704"/>
      <c r="AN80" s="1705"/>
      <c r="AO80" s="1704"/>
      <c r="AP80" s="1705"/>
      <c r="AQ80" s="1704"/>
      <c r="AR80" s="1705"/>
      <c r="AS80" s="1704"/>
      <c r="AT80" s="1705"/>
      <c r="AU80" s="1704"/>
      <c r="AV80" s="1705"/>
      <c r="AW80" s="1704"/>
      <c r="AX80" s="1705"/>
      <c r="AY80" s="1704"/>
      <c r="AZ80" s="1705"/>
      <c r="BA80" s="1704"/>
      <c r="BB80" s="1705"/>
      <c r="BC80" s="1704"/>
      <c r="BD80" s="1705"/>
      <c r="BE80" s="1704"/>
      <c r="BF80" s="1705"/>
      <c r="BG80" s="1704"/>
      <c r="BH80" s="1705"/>
      <c r="BI80" s="1704"/>
      <c r="BJ80" s="1705"/>
      <c r="BK80" s="1704"/>
      <c r="BL80" s="1705"/>
      <c r="BM80" s="1704"/>
      <c r="BN80" s="1705"/>
      <c r="BO80" s="1704"/>
      <c r="BP80" s="1705"/>
      <c r="BQ80" s="1704"/>
      <c r="BR80" s="1705"/>
      <c r="BS80" s="1704"/>
      <c r="BT80" s="1705"/>
      <c r="BU80" s="1704"/>
      <c r="BV80" s="1705"/>
      <c r="BW80" s="1704"/>
      <c r="BX80" s="1705"/>
      <c r="BY80" s="1704"/>
      <c r="BZ80" s="1705"/>
      <c r="CA80" s="1704"/>
      <c r="CB80" s="1705"/>
      <c r="CC80" s="1704"/>
      <c r="CD80" s="1705"/>
      <c r="CE80" s="1704"/>
      <c r="CF80" s="1705"/>
      <c r="CG80" s="1704"/>
      <c r="CH80" s="1705"/>
      <c r="CI80" s="1704"/>
      <c r="CJ80" s="1705"/>
      <c r="CK80" s="1704"/>
      <c r="CL80" s="1705"/>
      <c r="CM80" s="1704"/>
      <c r="CN80" s="1705"/>
      <c r="CO80" s="1704"/>
      <c r="CP80" s="1705"/>
      <c r="CQ80" s="1704"/>
      <c r="CR80" s="1705"/>
      <c r="CS80" s="1704"/>
      <c r="CT80" s="1705"/>
      <c r="CU80" s="1704"/>
      <c r="CV80" s="1705"/>
      <c r="CW80" s="1704"/>
      <c r="CX80" s="1705"/>
      <c r="CY80" s="1704"/>
      <c r="CZ80" s="1705"/>
      <c r="DA80" s="1704"/>
      <c r="DB80" s="1705"/>
      <c r="DC80" s="1704"/>
      <c r="DD80" s="1705"/>
      <c r="DE80" s="1704"/>
      <c r="DF80" s="1705"/>
      <c r="DG80" s="1704"/>
      <c r="DH80" s="1705"/>
      <c r="DI80" s="1704"/>
      <c r="DJ80" s="1705"/>
      <c r="DK80" s="1704"/>
      <c r="DL80" s="1705"/>
      <c r="DM80" s="1704"/>
      <c r="DN80" s="1705"/>
      <c r="DO80" s="1704"/>
      <c r="DP80" s="1705"/>
      <c r="DQ80" s="1704"/>
      <c r="DR80" s="1705"/>
      <c r="DS80" s="1704"/>
      <c r="DT80" s="1705"/>
      <c r="DU80" s="1704"/>
      <c r="DV80" s="1705"/>
      <c r="DW80" s="1704"/>
      <c r="DX80" s="1705"/>
      <c r="DY80" s="1704"/>
      <c r="DZ80" s="1705"/>
      <c r="EA80" s="1704"/>
      <c r="EB80" s="1705"/>
      <c r="EC80" s="1704"/>
      <c r="ED80" s="1705"/>
      <c r="EE80" s="1704"/>
      <c r="EF80" s="1705"/>
      <c r="EG80" s="1704"/>
      <c r="EH80" s="1705"/>
      <c r="EI80" s="1704"/>
      <c r="EJ80" s="1705"/>
      <c r="EK80" s="1704"/>
      <c r="EL80" s="1705"/>
      <c r="EM80" s="1704"/>
      <c r="EN80" s="1705"/>
      <c r="EO80" s="1704"/>
      <c r="EP80" s="1705"/>
      <c r="EQ80" s="1704"/>
      <c r="ER80" s="1705"/>
      <c r="ES80" s="1704"/>
      <c r="ET80" s="1705"/>
      <c r="EU80" s="1704"/>
      <c r="EV80" s="1705"/>
      <c r="EW80" s="1704"/>
      <c r="EX80" s="1705"/>
      <c r="EY80" s="1704"/>
      <c r="EZ80" s="1705"/>
      <c r="FA80" s="1704"/>
      <c r="FB80" s="1705"/>
      <c r="FC80" s="1704"/>
      <c r="FD80" s="1705"/>
      <c r="FE80" s="1704"/>
      <c r="FF80" s="1705"/>
      <c r="FG80" s="1704"/>
      <c r="FH80" s="1705"/>
      <c r="FI80" s="1704"/>
      <c r="FJ80" s="1705"/>
      <c r="FK80" s="1704"/>
      <c r="FL80" s="1705"/>
      <c r="FM80" s="1704"/>
      <c r="FN80" s="1705"/>
      <c r="FO80" s="1704"/>
      <c r="FP80" s="1705"/>
      <c r="FQ80" s="1704"/>
      <c r="FR80" s="1705"/>
      <c r="FS80" s="1704"/>
      <c r="FT80" s="1705"/>
      <c r="FU80" s="1704"/>
      <c r="FV80" s="1705"/>
      <c r="FW80" s="1704"/>
      <c r="FX80" s="1705"/>
      <c r="FY80" s="1704"/>
      <c r="FZ80" s="1705"/>
      <c r="GA80" s="1704"/>
      <c r="GB80" s="1705"/>
      <c r="GC80" s="1704"/>
      <c r="GD80" s="1705"/>
      <c r="GE80" s="1704"/>
      <c r="GF80" s="1705"/>
      <c r="GG80" s="1704"/>
      <c r="GH80" s="1705"/>
      <c r="GI80" s="1704"/>
      <c r="GJ80" s="1705"/>
      <c r="GK80" s="1704"/>
      <c r="GL80" s="1705"/>
      <c r="GM80" s="1704"/>
      <c r="GN80" s="1705"/>
      <c r="GO80" s="1704"/>
      <c r="GP80" s="1705"/>
      <c r="GQ80" s="1704"/>
      <c r="GR80" s="1705"/>
      <c r="GS80" s="1704"/>
      <c r="GT80" s="1705"/>
      <c r="GU80" s="1704"/>
      <c r="GV80" s="1705"/>
      <c r="GW80" s="1704"/>
      <c r="GX80" s="1705"/>
      <c r="GY80" s="1704"/>
      <c r="GZ80" s="1705"/>
      <c r="HA80" s="1704"/>
      <c r="HB80" s="1705"/>
      <c r="HC80" s="1704"/>
      <c r="HD80" s="1705"/>
      <c r="HE80" s="1704"/>
      <c r="HF80" s="2024"/>
      <c r="HG80" s="2027"/>
      <c r="HH80" s="1705"/>
      <c r="HI80" s="1704"/>
      <c r="HJ80" s="1705"/>
      <c r="HK80" s="1704"/>
      <c r="HL80" s="1705"/>
      <c r="HM80" s="1704"/>
      <c r="HN80" s="1705"/>
      <c r="HO80" s="1704"/>
      <c r="HP80" s="2024"/>
      <c r="HQ80" s="2027"/>
      <c r="HR80" s="1705"/>
      <c r="HS80" s="1704"/>
      <c r="HT80" s="2024"/>
      <c r="HU80" s="2027"/>
      <c r="HV80" s="2024"/>
      <c r="HW80" s="2027"/>
      <c r="HX80" s="2024"/>
      <c r="HY80" s="2027"/>
      <c r="HZ80" s="2024"/>
      <c r="IA80" s="2027"/>
      <c r="IB80" s="1705"/>
      <c r="IC80" s="1704"/>
      <c r="ID80" s="2024"/>
      <c r="IE80" s="2027"/>
      <c r="IF80" s="2024"/>
      <c r="IG80" s="2027"/>
    </row>
    <row r="81" spans="1:241" s="1008" customFormat="1" hidden="1">
      <c r="A81" s="1151"/>
      <c r="B81" s="1151"/>
      <c r="C81" s="1151" t="s">
        <v>53</v>
      </c>
      <c r="D81" s="1151"/>
      <c r="E81" s="1152"/>
      <c r="F81" s="1703" t="s">
        <v>1208</v>
      </c>
      <c r="G81" s="1704"/>
      <c r="H81" s="1703" t="s">
        <v>1208</v>
      </c>
      <c r="I81" s="1704"/>
      <c r="J81" s="1703" t="s">
        <v>1208</v>
      </c>
      <c r="K81" s="1704"/>
      <c r="L81" s="1703" t="s">
        <v>1208</v>
      </c>
      <c r="M81" s="1704"/>
      <c r="N81" s="1703" t="s">
        <v>1208</v>
      </c>
      <c r="O81" s="1704"/>
      <c r="P81" s="1703" t="s">
        <v>1208</v>
      </c>
      <c r="Q81" s="1704"/>
      <c r="R81" s="1703" t="s">
        <v>1208</v>
      </c>
      <c r="S81" s="1704"/>
      <c r="T81" s="1703" t="s">
        <v>1208</v>
      </c>
      <c r="U81" s="1704"/>
      <c r="V81" s="1703" t="s">
        <v>1208</v>
      </c>
      <c r="W81" s="1704"/>
      <c r="X81" s="1703" t="s">
        <v>1208</v>
      </c>
      <c r="Y81" s="1704"/>
      <c r="Z81" s="1703" t="s">
        <v>1208</v>
      </c>
      <c r="AA81" s="1704"/>
      <c r="AB81" s="1703" t="s">
        <v>1208</v>
      </c>
      <c r="AC81" s="1704"/>
      <c r="AD81" s="1703" t="s">
        <v>1208</v>
      </c>
      <c r="AE81" s="1704"/>
      <c r="AF81" s="1703" t="s">
        <v>1208</v>
      </c>
      <c r="AG81" s="1704"/>
      <c r="AH81" s="1703" t="s">
        <v>1208</v>
      </c>
      <c r="AI81" s="1704"/>
      <c r="AJ81" s="1703" t="s">
        <v>1208</v>
      </c>
      <c r="AK81" s="1704"/>
      <c r="AL81" s="1703" t="s">
        <v>1208</v>
      </c>
      <c r="AM81" s="1704"/>
      <c r="AN81" s="1703" t="s">
        <v>1208</v>
      </c>
      <c r="AO81" s="1704"/>
      <c r="AP81" s="1703" t="s">
        <v>1208</v>
      </c>
      <c r="AQ81" s="1704"/>
      <c r="AR81" s="1703" t="s">
        <v>1208</v>
      </c>
      <c r="AS81" s="1704"/>
      <c r="AT81" s="1703" t="s">
        <v>1208</v>
      </c>
      <c r="AU81" s="1704"/>
      <c r="AV81" s="1703" t="s">
        <v>1208</v>
      </c>
      <c r="AW81" s="1704"/>
      <c r="AX81" s="1703" t="s">
        <v>1208</v>
      </c>
      <c r="AY81" s="1704"/>
      <c r="AZ81" s="1703" t="s">
        <v>1208</v>
      </c>
      <c r="BA81" s="1704"/>
      <c r="BB81" s="1703" t="s">
        <v>1208</v>
      </c>
      <c r="BC81" s="1704"/>
      <c r="BD81" s="1703" t="s">
        <v>1208</v>
      </c>
      <c r="BE81" s="1704"/>
      <c r="BF81" s="1703" t="s">
        <v>1208</v>
      </c>
      <c r="BG81" s="1704"/>
      <c r="BH81" s="1703" t="s">
        <v>1208</v>
      </c>
      <c r="BI81" s="1704"/>
      <c r="BJ81" s="1703" t="s">
        <v>1208</v>
      </c>
      <c r="BK81" s="1704"/>
      <c r="BL81" s="1703" t="s">
        <v>1208</v>
      </c>
      <c r="BM81" s="1704"/>
      <c r="BN81" s="1703" t="s">
        <v>1208</v>
      </c>
      <c r="BO81" s="1704"/>
      <c r="BP81" s="1703" t="s">
        <v>1208</v>
      </c>
      <c r="BQ81" s="1704"/>
      <c r="BR81" s="1703" t="s">
        <v>1208</v>
      </c>
      <c r="BS81" s="1704"/>
      <c r="BT81" s="1703" t="s">
        <v>1208</v>
      </c>
      <c r="BU81" s="1704"/>
      <c r="BV81" s="1703" t="s">
        <v>1208</v>
      </c>
      <c r="BW81" s="1704"/>
      <c r="BX81" s="1703" t="s">
        <v>1208</v>
      </c>
      <c r="BY81" s="1704"/>
      <c r="BZ81" s="1703" t="s">
        <v>1208</v>
      </c>
      <c r="CA81" s="1704"/>
      <c r="CB81" s="1703" t="s">
        <v>1208</v>
      </c>
      <c r="CC81" s="1704"/>
      <c r="CD81" s="1703" t="s">
        <v>1208</v>
      </c>
      <c r="CE81" s="1704"/>
      <c r="CF81" s="1703" t="s">
        <v>1208</v>
      </c>
      <c r="CG81" s="1704"/>
      <c r="CH81" s="1703" t="s">
        <v>1208</v>
      </c>
      <c r="CI81" s="1704"/>
      <c r="CJ81" s="1703" t="s">
        <v>1208</v>
      </c>
      <c r="CK81" s="1704"/>
      <c r="CL81" s="1703" t="s">
        <v>1208</v>
      </c>
      <c r="CM81" s="1704"/>
      <c r="CN81" s="1703" t="s">
        <v>1208</v>
      </c>
      <c r="CO81" s="1704"/>
      <c r="CP81" s="1703" t="s">
        <v>1208</v>
      </c>
      <c r="CQ81" s="1704"/>
      <c r="CR81" s="1703" t="s">
        <v>1208</v>
      </c>
      <c r="CS81" s="1704"/>
      <c r="CT81" s="1703" t="s">
        <v>1208</v>
      </c>
      <c r="CU81" s="1704"/>
      <c r="CV81" s="1703" t="s">
        <v>1208</v>
      </c>
      <c r="CW81" s="1704"/>
      <c r="CX81" s="1703" t="s">
        <v>1208</v>
      </c>
      <c r="CY81" s="1704"/>
      <c r="CZ81" s="1703" t="s">
        <v>1208</v>
      </c>
      <c r="DA81" s="1704"/>
      <c r="DB81" s="1703" t="s">
        <v>1208</v>
      </c>
      <c r="DC81" s="1704"/>
      <c r="DD81" s="1703" t="s">
        <v>1208</v>
      </c>
      <c r="DE81" s="1704"/>
      <c r="DF81" s="1703" t="s">
        <v>1208</v>
      </c>
      <c r="DG81" s="1704"/>
      <c r="DH81" s="1703" t="s">
        <v>1208</v>
      </c>
      <c r="DI81" s="1704"/>
      <c r="DJ81" s="1703" t="s">
        <v>1208</v>
      </c>
      <c r="DK81" s="1704"/>
      <c r="DL81" s="1703" t="s">
        <v>1208</v>
      </c>
      <c r="DM81" s="1704"/>
      <c r="DN81" s="1703" t="s">
        <v>1208</v>
      </c>
      <c r="DO81" s="1704"/>
      <c r="DP81" s="1703" t="s">
        <v>1208</v>
      </c>
      <c r="DQ81" s="1704"/>
      <c r="DR81" s="1703" t="s">
        <v>1208</v>
      </c>
      <c r="DS81" s="1704"/>
      <c r="DT81" s="1703" t="s">
        <v>1208</v>
      </c>
      <c r="DU81" s="1704"/>
      <c r="DV81" s="1703" t="s">
        <v>1208</v>
      </c>
      <c r="DW81" s="1704"/>
      <c r="DX81" s="1703" t="s">
        <v>1208</v>
      </c>
      <c r="DY81" s="1704"/>
      <c r="DZ81" s="1703" t="s">
        <v>1208</v>
      </c>
      <c r="EA81" s="1704"/>
      <c r="EB81" s="1703" t="s">
        <v>1208</v>
      </c>
      <c r="EC81" s="1704"/>
      <c r="ED81" s="1703" t="s">
        <v>1208</v>
      </c>
      <c r="EE81" s="1704"/>
      <c r="EF81" s="1703" t="s">
        <v>1208</v>
      </c>
      <c r="EG81" s="1704"/>
      <c r="EH81" s="1703" t="s">
        <v>1208</v>
      </c>
      <c r="EI81" s="1704"/>
      <c r="EJ81" s="1703" t="s">
        <v>1208</v>
      </c>
      <c r="EK81" s="1704"/>
      <c r="EL81" s="1703" t="s">
        <v>1208</v>
      </c>
      <c r="EM81" s="1704"/>
      <c r="EN81" s="1703" t="s">
        <v>1208</v>
      </c>
      <c r="EO81" s="1704"/>
      <c r="EP81" s="1703" t="s">
        <v>1208</v>
      </c>
      <c r="EQ81" s="1704"/>
      <c r="ER81" s="1703" t="s">
        <v>1208</v>
      </c>
      <c r="ES81" s="1704"/>
      <c r="ET81" s="1703" t="s">
        <v>1208</v>
      </c>
      <c r="EU81" s="1704"/>
      <c r="EV81" s="1703" t="s">
        <v>1208</v>
      </c>
      <c r="EW81" s="1704"/>
      <c r="EX81" s="1703" t="s">
        <v>1208</v>
      </c>
      <c r="EY81" s="1704"/>
      <c r="EZ81" s="1703" t="s">
        <v>1208</v>
      </c>
      <c r="FA81" s="1704"/>
      <c r="FB81" s="1703" t="s">
        <v>1208</v>
      </c>
      <c r="FC81" s="1704"/>
      <c r="FD81" s="1703" t="s">
        <v>1208</v>
      </c>
      <c r="FE81" s="1704"/>
      <c r="FF81" s="1703" t="s">
        <v>1208</v>
      </c>
      <c r="FG81" s="1704"/>
      <c r="FH81" s="1703" t="s">
        <v>1208</v>
      </c>
      <c r="FI81" s="1704"/>
      <c r="FJ81" s="1703" t="s">
        <v>1208</v>
      </c>
      <c r="FK81" s="1704"/>
      <c r="FL81" s="1703" t="s">
        <v>1208</v>
      </c>
      <c r="FM81" s="1704"/>
      <c r="FN81" s="1703" t="s">
        <v>1208</v>
      </c>
      <c r="FO81" s="1704"/>
      <c r="FP81" s="1703" t="s">
        <v>1208</v>
      </c>
      <c r="FQ81" s="1704"/>
      <c r="FR81" s="1703" t="s">
        <v>1208</v>
      </c>
      <c r="FS81" s="1704"/>
      <c r="FT81" s="1703" t="s">
        <v>1208</v>
      </c>
      <c r="FU81" s="1704"/>
      <c r="FV81" s="1703" t="s">
        <v>1208</v>
      </c>
      <c r="FW81" s="1704"/>
      <c r="FX81" s="1703" t="s">
        <v>1208</v>
      </c>
      <c r="FY81" s="1704"/>
      <c r="FZ81" s="1703" t="s">
        <v>1208</v>
      </c>
      <c r="GA81" s="1704"/>
      <c r="GB81" s="1703" t="s">
        <v>1208</v>
      </c>
      <c r="GC81" s="1704"/>
      <c r="GD81" s="1703" t="s">
        <v>1208</v>
      </c>
      <c r="GE81" s="1704"/>
      <c r="GF81" s="1703" t="s">
        <v>1208</v>
      </c>
      <c r="GG81" s="1704"/>
      <c r="GH81" s="1703" t="s">
        <v>1208</v>
      </c>
      <c r="GI81" s="1704"/>
      <c r="GJ81" s="1703" t="s">
        <v>1208</v>
      </c>
      <c r="GK81" s="1704"/>
      <c r="GL81" s="1703" t="s">
        <v>1208</v>
      </c>
      <c r="GM81" s="1704"/>
      <c r="GN81" s="1703" t="s">
        <v>1208</v>
      </c>
      <c r="GO81" s="1704"/>
      <c r="GP81" s="1703" t="s">
        <v>1208</v>
      </c>
      <c r="GQ81" s="1704"/>
      <c r="GR81" s="1703" t="s">
        <v>1208</v>
      </c>
      <c r="GS81" s="1704"/>
      <c r="GT81" s="1703" t="s">
        <v>1208</v>
      </c>
      <c r="GU81" s="1704"/>
      <c r="GV81" s="1703" t="s">
        <v>1208</v>
      </c>
      <c r="GW81" s="1704"/>
      <c r="GX81" s="1703" t="s">
        <v>1208</v>
      </c>
      <c r="GY81" s="1704"/>
      <c r="GZ81" s="1703" t="s">
        <v>1208</v>
      </c>
      <c r="HA81" s="1704"/>
      <c r="HB81" s="1703" t="s">
        <v>1208</v>
      </c>
      <c r="HC81" s="1704"/>
      <c r="HD81" s="1703" t="s">
        <v>1208</v>
      </c>
      <c r="HE81" s="1704"/>
      <c r="HF81" s="2020" t="s">
        <v>1208</v>
      </c>
      <c r="HG81" s="2021"/>
      <c r="HH81" s="1703" t="s">
        <v>1208</v>
      </c>
      <c r="HI81" s="1704"/>
      <c r="HJ81" s="1703" t="s">
        <v>1208</v>
      </c>
      <c r="HK81" s="1704"/>
      <c r="HL81" s="1703" t="s">
        <v>1208</v>
      </c>
      <c r="HM81" s="1704"/>
      <c r="HN81" s="1703" t="s">
        <v>1208</v>
      </c>
      <c r="HO81" s="1704"/>
      <c r="HP81" s="2020" t="s">
        <v>1208</v>
      </c>
      <c r="HQ81" s="2021"/>
      <c r="HR81" s="1703" t="s">
        <v>1208</v>
      </c>
      <c r="HS81" s="1704"/>
      <c r="HT81" s="2020" t="s">
        <v>1208</v>
      </c>
      <c r="HU81" s="2021"/>
      <c r="HV81" s="2020" t="s">
        <v>1208</v>
      </c>
      <c r="HW81" s="2021"/>
      <c r="HX81" s="2020" t="s">
        <v>1208</v>
      </c>
      <c r="HY81" s="2021"/>
      <c r="HZ81" s="2020" t="s">
        <v>1208</v>
      </c>
      <c r="IA81" s="2021"/>
      <c r="IB81" s="1703" t="s">
        <v>1208</v>
      </c>
      <c r="IC81" s="1704"/>
      <c r="ID81" s="2020" t="s">
        <v>1208</v>
      </c>
      <c r="IE81" s="2021"/>
      <c r="IF81" s="2020" t="s">
        <v>1208</v>
      </c>
      <c r="IG81" s="2021"/>
    </row>
    <row r="82" spans="1:241" hidden="1">
      <c r="A82" s="1151"/>
      <c r="B82" s="1151"/>
      <c r="C82" s="1151" t="s">
        <v>54</v>
      </c>
      <c r="D82" s="1151"/>
      <c r="E82" s="1152"/>
      <c r="F82" s="1703" t="s">
        <v>1208</v>
      </c>
      <c r="G82" s="1704"/>
      <c r="H82" s="1703" t="s">
        <v>1208</v>
      </c>
      <c r="I82" s="1704"/>
      <c r="J82" s="1703" t="s">
        <v>1208</v>
      </c>
      <c r="K82" s="1704"/>
      <c r="L82" s="1703" t="s">
        <v>1208</v>
      </c>
      <c r="M82" s="1704"/>
      <c r="N82" s="1703" t="s">
        <v>1208</v>
      </c>
      <c r="O82" s="1704"/>
      <c r="P82" s="1703" t="s">
        <v>1208</v>
      </c>
      <c r="Q82" s="1704"/>
      <c r="R82" s="1703" t="s">
        <v>1208</v>
      </c>
      <c r="S82" s="1704"/>
      <c r="T82" s="1703" t="s">
        <v>1208</v>
      </c>
      <c r="U82" s="1704"/>
      <c r="V82" s="1703" t="s">
        <v>1208</v>
      </c>
      <c r="W82" s="1704"/>
      <c r="X82" s="1703" t="s">
        <v>1208</v>
      </c>
      <c r="Y82" s="1704"/>
      <c r="Z82" s="1703" t="s">
        <v>1208</v>
      </c>
      <c r="AA82" s="1704"/>
      <c r="AB82" s="1703" t="s">
        <v>1208</v>
      </c>
      <c r="AC82" s="1704"/>
      <c r="AD82" s="1703" t="s">
        <v>1208</v>
      </c>
      <c r="AE82" s="1704"/>
      <c r="AF82" s="1703" t="s">
        <v>1208</v>
      </c>
      <c r="AG82" s="1704"/>
      <c r="AH82" s="1703" t="s">
        <v>1208</v>
      </c>
      <c r="AI82" s="1704"/>
      <c r="AJ82" s="1703" t="s">
        <v>1208</v>
      </c>
      <c r="AK82" s="1704"/>
      <c r="AL82" s="1703" t="s">
        <v>1208</v>
      </c>
      <c r="AM82" s="1704"/>
      <c r="AN82" s="1703" t="s">
        <v>1208</v>
      </c>
      <c r="AO82" s="1704"/>
      <c r="AP82" s="1703" t="s">
        <v>1208</v>
      </c>
      <c r="AQ82" s="1704"/>
      <c r="AR82" s="1703" t="s">
        <v>1208</v>
      </c>
      <c r="AS82" s="1704"/>
      <c r="AT82" s="1703" t="s">
        <v>1208</v>
      </c>
      <c r="AU82" s="1704"/>
      <c r="AV82" s="1703" t="s">
        <v>1208</v>
      </c>
      <c r="AW82" s="1704"/>
      <c r="AX82" s="1703" t="s">
        <v>1208</v>
      </c>
      <c r="AY82" s="1704"/>
      <c r="AZ82" s="1703" t="s">
        <v>1208</v>
      </c>
      <c r="BA82" s="1704"/>
      <c r="BB82" s="1703" t="s">
        <v>1208</v>
      </c>
      <c r="BC82" s="1704"/>
      <c r="BD82" s="1703" t="s">
        <v>1208</v>
      </c>
      <c r="BE82" s="1704"/>
      <c r="BF82" s="1703" t="s">
        <v>1208</v>
      </c>
      <c r="BG82" s="1704"/>
      <c r="BH82" s="1703" t="s">
        <v>1208</v>
      </c>
      <c r="BI82" s="1704"/>
      <c r="BJ82" s="1703" t="s">
        <v>1208</v>
      </c>
      <c r="BK82" s="1704"/>
      <c r="BL82" s="1703" t="s">
        <v>1208</v>
      </c>
      <c r="BM82" s="1704"/>
      <c r="BN82" s="1703" t="s">
        <v>1208</v>
      </c>
      <c r="BO82" s="1704"/>
      <c r="BP82" s="1703" t="s">
        <v>1208</v>
      </c>
      <c r="BQ82" s="1704"/>
      <c r="BR82" s="1703" t="s">
        <v>1208</v>
      </c>
      <c r="BS82" s="1704"/>
      <c r="BT82" s="1703" t="s">
        <v>1208</v>
      </c>
      <c r="BU82" s="1704"/>
      <c r="BV82" s="1703" t="s">
        <v>1208</v>
      </c>
      <c r="BW82" s="1704"/>
      <c r="BX82" s="1703" t="s">
        <v>1208</v>
      </c>
      <c r="BY82" s="1704"/>
      <c r="BZ82" s="1703" t="s">
        <v>1208</v>
      </c>
      <c r="CA82" s="1704"/>
      <c r="CB82" s="1703" t="s">
        <v>1208</v>
      </c>
      <c r="CC82" s="1704"/>
      <c r="CD82" s="1703" t="s">
        <v>1208</v>
      </c>
      <c r="CE82" s="1704"/>
      <c r="CF82" s="1703" t="s">
        <v>1208</v>
      </c>
      <c r="CG82" s="1704"/>
      <c r="CH82" s="1703" t="s">
        <v>1208</v>
      </c>
      <c r="CI82" s="1704"/>
      <c r="CJ82" s="1703" t="s">
        <v>1208</v>
      </c>
      <c r="CK82" s="1704"/>
      <c r="CL82" s="1703" t="s">
        <v>1208</v>
      </c>
      <c r="CM82" s="1704"/>
      <c r="CN82" s="1703" t="s">
        <v>1208</v>
      </c>
      <c r="CO82" s="1704"/>
      <c r="CP82" s="1703" t="s">
        <v>1208</v>
      </c>
      <c r="CQ82" s="1704"/>
      <c r="CR82" s="1703" t="s">
        <v>1208</v>
      </c>
      <c r="CS82" s="1704"/>
      <c r="CT82" s="1703" t="s">
        <v>1208</v>
      </c>
      <c r="CU82" s="1704"/>
      <c r="CV82" s="1703" t="s">
        <v>1208</v>
      </c>
      <c r="CW82" s="1704"/>
      <c r="CX82" s="1703" t="s">
        <v>1208</v>
      </c>
      <c r="CY82" s="1704"/>
      <c r="CZ82" s="1703" t="s">
        <v>1208</v>
      </c>
      <c r="DA82" s="1704"/>
      <c r="DB82" s="1703" t="s">
        <v>1208</v>
      </c>
      <c r="DC82" s="1704"/>
      <c r="DD82" s="1703" t="s">
        <v>1208</v>
      </c>
      <c r="DE82" s="1704"/>
      <c r="DF82" s="1703" t="s">
        <v>1208</v>
      </c>
      <c r="DG82" s="1704"/>
      <c r="DH82" s="1703" t="s">
        <v>1208</v>
      </c>
      <c r="DI82" s="1704"/>
      <c r="DJ82" s="1703" t="s">
        <v>1208</v>
      </c>
      <c r="DK82" s="1704"/>
      <c r="DL82" s="1703" t="s">
        <v>1208</v>
      </c>
      <c r="DM82" s="1704"/>
      <c r="DN82" s="1703" t="s">
        <v>1208</v>
      </c>
      <c r="DO82" s="1704"/>
      <c r="DP82" s="1703" t="s">
        <v>1208</v>
      </c>
      <c r="DQ82" s="1704"/>
      <c r="DR82" s="1703" t="s">
        <v>1208</v>
      </c>
      <c r="DS82" s="1704"/>
      <c r="DT82" s="1703" t="s">
        <v>1208</v>
      </c>
      <c r="DU82" s="1704"/>
      <c r="DV82" s="1703" t="s">
        <v>1208</v>
      </c>
      <c r="DW82" s="1704"/>
      <c r="DX82" s="1703" t="s">
        <v>1208</v>
      </c>
      <c r="DY82" s="1704"/>
      <c r="DZ82" s="1703" t="s">
        <v>1208</v>
      </c>
      <c r="EA82" s="1704"/>
      <c r="EB82" s="1703" t="s">
        <v>1208</v>
      </c>
      <c r="EC82" s="1704"/>
      <c r="ED82" s="1703" t="s">
        <v>1208</v>
      </c>
      <c r="EE82" s="1704"/>
      <c r="EF82" s="1703" t="s">
        <v>1208</v>
      </c>
      <c r="EG82" s="1704"/>
      <c r="EH82" s="1703" t="s">
        <v>1208</v>
      </c>
      <c r="EI82" s="1704"/>
      <c r="EJ82" s="1703" t="s">
        <v>1208</v>
      </c>
      <c r="EK82" s="1704"/>
      <c r="EL82" s="1703" t="s">
        <v>1208</v>
      </c>
      <c r="EM82" s="1704"/>
      <c r="EN82" s="1703" t="s">
        <v>1208</v>
      </c>
      <c r="EO82" s="1704"/>
      <c r="EP82" s="1703" t="s">
        <v>1208</v>
      </c>
      <c r="EQ82" s="1704"/>
      <c r="ER82" s="1703" t="s">
        <v>1208</v>
      </c>
      <c r="ES82" s="1704"/>
      <c r="ET82" s="1703" t="s">
        <v>1208</v>
      </c>
      <c r="EU82" s="1704"/>
      <c r="EV82" s="1703" t="s">
        <v>1208</v>
      </c>
      <c r="EW82" s="1704"/>
      <c r="EX82" s="1703" t="s">
        <v>1208</v>
      </c>
      <c r="EY82" s="1704"/>
      <c r="EZ82" s="1703" t="s">
        <v>1208</v>
      </c>
      <c r="FA82" s="1704"/>
      <c r="FB82" s="1703" t="s">
        <v>1208</v>
      </c>
      <c r="FC82" s="1704"/>
      <c r="FD82" s="1703" t="s">
        <v>1208</v>
      </c>
      <c r="FE82" s="1704"/>
      <c r="FF82" s="1703" t="s">
        <v>1208</v>
      </c>
      <c r="FG82" s="1704"/>
      <c r="FH82" s="1703" t="s">
        <v>1208</v>
      </c>
      <c r="FI82" s="1704"/>
      <c r="FJ82" s="1703" t="s">
        <v>1208</v>
      </c>
      <c r="FK82" s="1704"/>
      <c r="FL82" s="1703" t="s">
        <v>1208</v>
      </c>
      <c r="FM82" s="1704"/>
      <c r="FN82" s="1703" t="s">
        <v>1208</v>
      </c>
      <c r="FO82" s="1704"/>
      <c r="FP82" s="1703" t="s">
        <v>1208</v>
      </c>
      <c r="FQ82" s="1704"/>
      <c r="FR82" s="1703" t="s">
        <v>1208</v>
      </c>
      <c r="FS82" s="1704"/>
      <c r="FT82" s="1703" t="s">
        <v>1208</v>
      </c>
      <c r="FU82" s="1704"/>
      <c r="FV82" s="1703" t="s">
        <v>1208</v>
      </c>
      <c r="FW82" s="1704"/>
      <c r="FX82" s="1703" t="s">
        <v>1208</v>
      </c>
      <c r="FY82" s="1704"/>
      <c r="FZ82" s="1703" t="s">
        <v>1208</v>
      </c>
      <c r="GA82" s="1704"/>
      <c r="GB82" s="1703" t="s">
        <v>1208</v>
      </c>
      <c r="GC82" s="1704"/>
      <c r="GD82" s="1703" t="s">
        <v>1208</v>
      </c>
      <c r="GE82" s="1704"/>
      <c r="GF82" s="1703" t="s">
        <v>1208</v>
      </c>
      <c r="GG82" s="1704"/>
      <c r="GH82" s="1703" t="s">
        <v>1208</v>
      </c>
      <c r="GI82" s="1704"/>
      <c r="GJ82" s="1703" t="s">
        <v>1208</v>
      </c>
      <c r="GK82" s="1704"/>
      <c r="GL82" s="1703" t="s">
        <v>1208</v>
      </c>
      <c r="GM82" s="1704"/>
      <c r="GN82" s="1703" t="s">
        <v>1208</v>
      </c>
      <c r="GO82" s="1704"/>
      <c r="GP82" s="1703" t="s">
        <v>1208</v>
      </c>
      <c r="GQ82" s="1704"/>
      <c r="GR82" s="1703" t="s">
        <v>1208</v>
      </c>
      <c r="GS82" s="1704"/>
      <c r="GT82" s="1703" t="s">
        <v>1208</v>
      </c>
      <c r="GU82" s="1704"/>
      <c r="GV82" s="1703" t="s">
        <v>1208</v>
      </c>
      <c r="GW82" s="1704"/>
      <c r="GX82" s="1703" t="s">
        <v>1208</v>
      </c>
      <c r="GY82" s="1704"/>
      <c r="GZ82" s="1703" t="s">
        <v>1208</v>
      </c>
      <c r="HA82" s="1704"/>
      <c r="HB82" s="1703" t="s">
        <v>1208</v>
      </c>
      <c r="HC82" s="1704"/>
      <c r="HD82" s="1703" t="s">
        <v>1208</v>
      </c>
      <c r="HE82" s="1704"/>
      <c r="HF82" s="2020" t="s">
        <v>1208</v>
      </c>
      <c r="HG82" s="2021"/>
      <c r="HH82" s="1703" t="s">
        <v>1208</v>
      </c>
      <c r="HI82" s="1704"/>
      <c r="HJ82" s="1703" t="s">
        <v>1208</v>
      </c>
      <c r="HK82" s="1704"/>
      <c r="HL82" s="1703" t="s">
        <v>1208</v>
      </c>
      <c r="HM82" s="1704"/>
      <c r="HN82" s="1703" t="s">
        <v>1208</v>
      </c>
      <c r="HO82" s="1704"/>
      <c r="HP82" s="2020" t="s">
        <v>1208</v>
      </c>
      <c r="HQ82" s="2021"/>
      <c r="HR82" s="1703" t="s">
        <v>1208</v>
      </c>
      <c r="HS82" s="1704"/>
      <c r="HT82" s="2020" t="s">
        <v>1208</v>
      </c>
      <c r="HU82" s="2021"/>
      <c r="HV82" s="2020" t="s">
        <v>1208</v>
      </c>
      <c r="HW82" s="2021"/>
      <c r="HX82" s="2020" t="s">
        <v>1208</v>
      </c>
      <c r="HY82" s="2021"/>
      <c r="HZ82" s="2020" t="s">
        <v>1208</v>
      </c>
      <c r="IA82" s="2021"/>
      <c r="IB82" s="1703" t="s">
        <v>1208</v>
      </c>
      <c r="IC82" s="1704"/>
      <c r="ID82" s="2020" t="s">
        <v>1208</v>
      </c>
      <c r="IE82" s="2021"/>
      <c r="IF82" s="2020" t="s">
        <v>1208</v>
      </c>
      <c r="IG82" s="2021"/>
    </row>
    <row r="83" spans="1:241" hidden="1">
      <c r="A83" s="1151"/>
      <c r="B83" s="1151"/>
      <c r="C83" s="1151" t="s">
        <v>55</v>
      </c>
      <c r="D83" s="1151"/>
      <c r="E83" s="1152"/>
      <c r="F83" s="1703" t="s">
        <v>1208</v>
      </c>
      <c r="G83" s="1704"/>
      <c r="H83" s="1703" t="s">
        <v>1208</v>
      </c>
      <c r="I83" s="1704"/>
      <c r="J83" s="1703" t="s">
        <v>1208</v>
      </c>
      <c r="K83" s="1704"/>
      <c r="L83" s="1703" t="s">
        <v>1208</v>
      </c>
      <c r="M83" s="1704"/>
      <c r="N83" s="1703" t="s">
        <v>1208</v>
      </c>
      <c r="O83" s="1704"/>
      <c r="P83" s="1703" t="s">
        <v>1208</v>
      </c>
      <c r="Q83" s="1704"/>
      <c r="R83" s="1703" t="s">
        <v>1208</v>
      </c>
      <c r="S83" s="1704"/>
      <c r="T83" s="1703" t="s">
        <v>1208</v>
      </c>
      <c r="U83" s="1704"/>
      <c r="V83" s="1703" t="s">
        <v>1208</v>
      </c>
      <c r="W83" s="1704"/>
      <c r="X83" s="1703" t="s">
        <v>1208</v>
      </c>
      <c r="Y83" s="1704"/>
      <c r="Z83" s="1703" t="s">
        <v>1208</v>
      </c>
      <c r="AA83" s="1704"/>
      <c r="AB83" s="1703" t="s">
        <v>1208</v>
      </c>
      <c r="AC83" s="1704"/>
      <c r="AD83" s="1703" t="s">
        <v>1208</v>
      </c>
      <c r="AE83" s="1704"/>
      <c r="AF83" s="1703" t="s">
        <v>1208</v>
      </c>
      <c r="AG83" s="1704"/>
      <c r="AH83" s="1703" t="s">
        <v>1208</v>
      </c>
      <c r="AI83" s="1704"/>
      <c r="AJ83" s="1703" t="s">
        <v>1208</v>
      </c>
      <c r="AK83" s="1704"/>
      <c r="AL83" s="1703" t="s">
        <v>1208</v>
      </c>
      <c r="AM83" s="1704"/>
      <c r="AN83" s="1703" t="s">
        <v>1208</v>
      </c>
      <c r="AO83" s="1704"/>
      <c r="AP83" s="1703" t="s">
        <v>1208</v>
      </c>
      <c r="AQ83" s="1704"/>
      <c r="AR83" s="1703" t="s">
        <v>1208</v>
      </c>
      <c r="AS83" s="1704"/>
      <c r="AT83" s="1703" t="s">
        <v>1208</v>
      </c>
      <c r="AU83" s="1704"/>
      <c r="AV83" s="1703" t="s">
        <v>1208</v>
      </c>
      <c r="AW83" s="1704"/>
      <c r="AX83" s="1703" t="s">
        <v>1208</v>
      </c>
      <c r="AY83" s="1704"/>
      <c r="AZ83" s="1703" t="s">
        <v>1208</v>
      </c>
      <c r="BA83" s="1704"/>
      <c r="BB83" s="1703" t="s">
        <v>1208</v>
      </c>
      <c r="BC83" s="1704"/>
      <c r="BD83" s="1703" t="s">
        <v>1208</v>
      </c>
      <c r="BE83" s="1704"/>
      <c r="BF83" s="1703" t="s">
        <v>1208</v>
      </c>
      <c r="BG83" s="1704"/>
      <c r="BH83" s="1703" t="s">
        <v>1208</v>
      </c>
      <c r="BI83" s="1704"/>
      <c r="BJ83" s="1703" t="s">
        <v>1208</v>
      </c>
      <c r="BK83" s="1704"/>
      <c r="BL83" s="1703" t="s">
        <v>1208</v>
      </c>
      <c r="BM83" s="1704"/>
      <c r="BN83" s="1703" t="s">
        <v>1208</v>
      </c>
      <c r="BO83" s="1704"/>
      <c r="BP83" s="1703" t="s">
        <v>1208</v>
      </c>
      <c r="BQ83" s="1704"/>
      <c r="BR83" s="1703" t="s">
        <v>1208</v>
      </c>
      <c r="BS83" s="1704"/>
      <c r="BT83" s="1703" t="s">
        <v>1208</v>
      </c>
      <c r="BU83" s="1704"/>
      <c r="BV83" s="1703" t="s">
        <v>1208</v>
      </c>
      <c r="BW83" s="1704"/>
      <c r="BX83" s="1703" t="s">
        <v>1208</v>
      </c>
      <c r="BY83" s="1704"/>
      <c r="BZ83" s="1703" t="s">
        <v>1208</v>
      </c>
      <c r="CA83" s="1704"/>
      <c r="CB83" s="1703" t="s">
        <v>1208</v>
      </c>
      <c r="CC83" s="1704"/>
      <c r="CD83" s="1703" t="s">
        <v>1208</v>
      </c>
      <c r="CE83" s="1704"/>
      <c r="CF83" s="1703" t="s">
        <v>1208</v>
      </c>
      <c r="CG83" s="1704"/>
      <c r="CH83" s="1703" t="s">
        <v>1208</v>
      </c>
      <c r="CI83" s="1704"/>
      <c r="CJ83" s="1703" t="s">
        <v>1208</v>
      </c>
      <c r="CK83" s="1704"/>
      <c r="CL83" s="1703" t="s">
        <v>1208</v>
      </c>
      <c r="CM83" s="1704"/>
      <c r="CN83" s="1703" t="s">
        <v>1208</v>
      </c>
      <c r="CO83" s="1704"/>
      <c r="CP83" s="1703" t="s">
        <v>1208</v>
      </c>
      <c r="CQ83" s="1704"/>
      <c r="CR83" s="1703" t="s">
        <v>1208</v>
      </c>
      <c r="CS83" s="1704"/>
      <c r="CT83" s="1703" t="s">
        <v>1208</v>
      </c>
      <c r="CU83" s="1704"/>
      <c r="CV83" s="1703" t="s">
        <v>1208</v>
      </c>
      <c r="CW83" s="1704"/>
      <c r="CX83" s="1703" t="s">
        <v>1208</v>
      </c>
      <c r="CY83" s="1704"/>
      <c r="CZ83" s="1703" t="s">
        <v>1208</v>
      </c>
      <c r="DA83" s="1704"/>
      <c r="DB83" s="1703" t="s">
        <v>1208</v>
      </c>
      <c r="DC83" s="1704"/>
      <c r="DD83" s="1703" t="s">
        <v>1208</v>
      </c>
      <c r="DE83" s="1704"/>
      <c r="DF83" s="1703" t="s">
        <v>1208</v>
      </c>
      <c r="DG83" s="1704"/>
      <c r="DH83" s="1703" t="s">
        <v>1208</v>
      </c>
      <c r="DI83" s="1704"/>
      <c r="DJ83" s="1703" t="s">
        <v>1208</v>
      </c>
      <c r="DK83" s="1704"/>
      <c r="DL83" s="1703" t="s">
        <v>1208</v>
      </c>
      <c r="DM83" s="1704"/>
      <c r="DN83" s="1703" t="s">
        <v>1208</v>
      </c>
      <c r="DO83" s="1704"/>
      <c r="DP83" s="1703" t="s">
        <v>1208</v>
      </c>
      <c r="DQ83" s="1704"/>
      <c r="DR83" s="1703" t="s">
        <v>1208</v>
      </c>
      <c r="DS83" s="1704"/>
      <c r="DT83" s="1703" t="s">
        <v>1208</v>
      </c>
      <c r="DU83" s="1704"/>
      <c r="DV83" s="1703" t="s">
        <v>1208</v>
      </c>
      <c r="DW83" s="1704"/>
      <c r="DX83" s="1703" t="s">
        <v>1208</v>
      </c>
      <c r="DY83" s="1704"/>
      <c r="DZ83" s="1703" t="s">
        <v>1208</v>
      </c>
      <c r="EA83" s="1704"/>
      <c r="EB83" s="1703" t="s">
        <v>1208</v>
      </c>
      <c r="EC83" s="1704"/>
      <c r="ED83" s="1703" t="s">
        <v>1208</v>
      </c>
      <c r="EE83" s="1704"/>
      <c r="EF83" s="1703" t="s">
        <v>1208</v>
      </c>
      <c r="EG83" s="1704"/>
      <c r="EH83" s="1703" t="s">
        <v>1208</v>
      </c>
      <c r="EI83" s="1704"/>
      <c r="EJ83" s="1703" t="s">
        <v>1208</v>
      </c>
      <c r="EK83" s="1704"/>
      <c r="EL83" s="1703" t="s">
        <v>1208</v>
      </c>
      <c r="EM83" s="1704"/>
      <c r="EN83" s="1703" t="s">
        <v>1208</v>
      </c>
      <c r="EO83" s="1704"/>
      <c r="EP83" s="1703" t="s">
        <v>1208</v>
      </c>
      <c r="EQ83" s="1704"/>
      <c r="ER83" s="1703" t="s">
        <v>1208</v>
      </c>
      <c r="ES83" s="1704"/>
      <c r="ET83" s="1703" t="s">
        <v>1208</v>
      </c>
      <c r="EU83" s="1704"/>
      <c r="EV83" s="1703" t="s">
        <v>1208</v>
      </c>
      <c r="EW83" s="1704"/>
      <c r="EX83" s="1703" t="s">
        <v>1208</v>
      </c>
      <c r="EY83" s="1704"/>
      <c r="EZ83" s="1703" t="s">
        <v>1208</v>
      </c>
      <c r="FA83" s="1704"/>
      <c r="FB83" s="1703" t="s">
        <v>1208</v>
      </c>
      <c r="FC83" s="1704"/>
      <c r="FD83" s="1703" t="s">
        <v>1208</v>
      </c>
      <c r="FE83" s="1704"/>
      <c r="FF83" s="1703" t="s">
        <v>1208</v>
      </c>
      <c r="FG83" s="1704"/>
      <c r="FH83" s="1703" t="s">
        <v>1208</v>
      </c>
      <c r="FI83" s="1704"/>
      <c r="FJ83" s="1703" t="s">
        <v>1208</v>
      </c>
      <c r="FK83" s="1704"/>
      <c r="FL83" s="1703" t="s">
        <v>1208</v>
      </c>
      <c r="FM83" s="1704"/>
      <c r="FN83" s="1703" t="s">
        <v>1208</v>
      </c>
      <c r="FO83" s="1704"/>
      <c r="FP83" s="1703" t="s">
        <v>1208</v>
      </c>
      <c r="FQ83" s="1704"/>
      <c r="FR83" s="1703" t="s">
        <v>1208</v>
      </c>
      <c r="FS83" s="1704"/>
      <c r="FT83" s="1703" t="s">
        <v>1208</v>
      </c>
      <c r="FU83" s="1704"/>
      <c r="FV83" s="1703" t="s">
        <v>1208</v>
      </c>
      <c r="FW83" s="1704"/>
      <c r="FX83" s="1703" t="s">
        <v>1208</v>
      </c>
      <c r="FY83" s="1704"/>
      <c r="FZ83" s="1703" t="s">
        <v>1208</v>
      </c>
      <c r="GA83" s="1704"/>
      <c r="GB83" s="1703" t="s">
        <v>1208</v>
      </c>
      <c r="GC83" s="1704"/>
      <c r="GD83" s="1703" t="s">
        <v>1208</v>
      </c>
      <c r="GE83" s="1704"/>
      <c r="GF83" s="1703" t="s">
        <v>1208</v>
      </c>
      <c r="GG83" s="1704"/>
      <c r="GH83" s="1703" t="s">
        <v>1208</v>
      </c>
      <c r="GI83" s="1704"/>
      <c r="GJ83" s="1703" t="s">
        <v>1208</v>
      </c>
      <c r="GK83" s="1704"/>
      <c r="GL83" s="1703" t="s">
        <v>1208</v>
      </c>
      <c r="GM83" s="1704"/>
      <c r="GN83" s="1703" t="s">
        <v>1208</v>
      </c>
      <c r="GO83" s="1704"/>
      <c r="GP83" s="1703" t="s">
        <v>1208</v>
      </c>
      <c r="GQ83" s="1704"/>
      <c r="GR83" s="1703" t="s">
        <v>1208</v>
      </c>
      <c r="GS83" s="1704"/>
      <c r="GT83" s="1703" t="s">
        <v>1208</v>
      </c>
      <c r="GU83" s="1704"/>
      <c r="GV83" s="1703" t="s">
        <v>1208</v>
      </c>
      <c r="GW83" s="1704"/>
      <c r="GX83" s="1703" t="s">
        <v>1208</v>
      </c>
      <c r="GY83" s="1704"/>
      <c r="GZ83" s="1703" t="s">
        <v>1208</v>
      </c>
      <c r="HA83" s="1704"/>
      <c r="HB83" s="1703" t="s">
        <v>1208</v>
      </c>
      <c r="HC83" s="1704"/>
      <c r="HD83" s="1703" t="s">
        <v>1208</v>
      </c>
      <c r="HE83" s="1704"/>
      <c r="HF83" s="2020" t="s">
        <v>1208</v>
      </c>
      <c r="HG83" s="2021"/>
      <c r="HH83" s="1703" t="s">
        <v>1208</v>
      </c>
      <c r="HI83" s="1704"/>
      <c r="HJ83" s="1703" t="s">
        <v>1208</v>
      </c>
      <c r="HK83" s="1704"/>
      <c r="HL83" s="1703" t="s">
        <v>1208</v>
      </c>
      <c r="HM83" s="1704"/>
      <c r="HN83" s="1703" t="s">
        <v>1208</v>
      </c>
      <c r="HO83" s="1704"/>
      <c r="HP83" s="2020" t="s">
        <v>1208</v>
      </c>
      <c r="HQ83" s="2021"/>
      <c r="HR83" s="1703" t="s">
        <v>1208</v>
      </c>
      <c r="HS83" s="1704"/>
      <c r="HT83" s="2020" t="s">
        <v>1208</v>
      </c>
      <c r="HU83" s="2021"/>
      <c r="HV83" s="2020" t="s">
        <v>1208</v>
      </c>
      <c r="HW83" s="2021"/>
      <c r="HX83" s="2020" t="s">
        <v>1208</v>
      </c>
      <c r="HY83" s="2021"/>
      <c r="HZ83" s="2020" t="s">
        <v>1208</v>
      </c>
      <c r="IA83" s="2021"/>
      <c r="IB83" s="1703" t="s">
        <v>1208</v>
      </c>
      <c r="IC83" s="1704"/>
      <c r="ID83" s="2020" t="s">
        <v>1208</v>
      </c>
      <c r="IE83" s="2021"/>
      <c r="IF83" s="2020" t="s">
        <v>1208</v>
      </c>
      <c r="IG83" s="2021"/>
    </row>
    <row r="84" spans="1:241" hidden="1">
      <c r="A84" s="1151"/>
      <c r="B84" s="1151"/>
      <c r="C84" s="1151" t="s">
        <v>56</v>
      </c>
      <c r="D84" s="1151"/>
      <c r="E84" s="1152"/>
      <c r="F84" s="1703" t="s">
        <v>1208</v>
      </c>
      <c r="G84" s="1704"/>
      <c r="H84" s="1703" t="s">
        <v>1208</v>
      </c>
      <c r="I84" s="1704"/>
      <c r="J84" s="1703" t="s">
        <v>1208</v>
      </c>
      <c r="K84" s="1704"/>
      <c r="L84" s="1703" t="s">
        <v>1208</v>
      </c>
      <c r="M84" s="1704"/>
      <c r="N84" s="1703" t="s">
        <v>1208</v>
      </c>
      <c r="O84" s="1704"/>
      <c r="P84" s="1703" t="s">
        <v>1208</v>
      </c>
      <c r="Q84" s="1704"/>
      <c r="R84" s="1703" t="s">
        <v>1208</v>
      </c>
      <c r="S84" s="1704"/>
      <c r="T84" s="1703" t="s">
        <v>1208</v>
      </c>
      <c r="U84" s="1704"/>
      <c r="V84" s="1703" t="s">
        <v>1208</v>
      </c>
      <c r="W84" s="1704"/>
      <c r="X84" s="1703" t="s">
        <v>1208</v>
      </c>
      <c r="Y84" s="1704"/>
      <c r="Z84" s="1703" t="s">
        <v>1208</v>
      </c>
      <c r="AA84" s="1704"/>
      <c r="AB84" s="1703" t="s">
        <v>1208</v>
      </c>
      <c r="AC84" s="1704"/>
      <c r="AD84" s="1703" t="s">
        <v>1208</v>
      </c>
      <c r="AE84" s="1704"/>
      <c r="AF84" s="1703" t="s">
        <v>1208</v>
      </c>
      <c r="AG84" s="1704"/>
      <c r="AH84" s="1703" t="s">
        <v>1208</v>
      </c>
      <c r="AI84" s="1704"/>
      <c r="AJ84" s="1703" t="s">
        <v>1208</v>
      </c>
      <c r="AK84" s="1704"/>
      <c r="AL84" s="1703" t="s">
        <v>1208</v>
      </c>
      <c r="AM84" s="1704"/>
      <c r="AN84" s="1703" t="s">
        <v>1208</v>
      </c>
      <c r="AO84" s="1704"/>
      <c r="AP84" s="1703" t="s">
        <v>1208</v>
      </c>
      <c r="AQ84" s="1704"/>
      <c r="AR84" s="1703" t="s">
        <v>1208</v>
      </c>
      <c r="AS84" s="1704"/>
      <c r="AT84" s="1703" t="s">
        <v>1208</v>
      </c>
      <c r="AU84" s="1704"/>
      <c r="AV84" s="1703" t="s">
        <v>1208</v>
      </c>
      <c r="AW84" s="1704"/>
      <c r="AX84" s="1703" t="s">
        <v>1208</v>
      </c>
      <c r="AY84" s="1704"/>
      <c r="AZ84" s="1703" t="s">
        <v>1208</v>
      </c>
      <c r="BA84" s="1704"/>
      <c r="BB84" s="1703" t="s">
        <v>1208</v>
      </c>
      <c r="BC84" s="1704"/>
      <c r="BD84" s="1703" t="s">
        <v>1208</v>
      </c>
      <c r="BE84" s="1704"/>
      <c r="BF84" s="1703" t="s">
        <v>1208</v>
      </c>
      <c r="BG84" s="1704"/>
      <c r="BH84" s="1703" t="s">
        <v>1208</v>
      </c>
      <c r="BI84" s="1704"/>
      <c r="BJ84" s="1703" t="s">
        <v>1208</v>
      </c>
      <c r="BK84" s="1704"/>
      <c r="BL84" s="1703" t="s">
        <v>1208</v>
      </c>
      <c r="BM84" s="1704"/>
      <c r="BN84" s="1703" t="s">
        <v>1208</v>
      </c>
      <c r="BO84" s="1704"/>
      <c r="BP84" s="1703" t="s">
        <v>1208</v>
      </c>
      <c r="BQ84" s="1704"/>
      <c r="BR84" s="1703" t="s">
        <v>1208</v>
      </c>
      <c r="BS84" s="1704"/>
      <c r="BT84" s="1703" t="s">
        <v>1208</v>
      </c>
      <c r="BU84" s="1704"/>
      <c r="BV84" s="1703" t="s">
        <v>1208</v>
      </c>
      <c r="BW84" s="1704"/>
      <c r="BX84" s="1703" t="s">
        <v>1208</v>
      </c>
      <c r="BY84" s="1704"/>
      <c r="BZ84" s="1703" t="s">
        <v>1208</v>
      </c>
      <c r="CA84" s="1704"/>
      <c r="CB84" s="1703" t="s">
        <v>1208</v>
      </c>
      <c r="CC84" s="1704"/>
      <c r="CD84" s="1703" t="s">
        <v>1208</v>
      </c>
      <c r="CE84" s="1704"/>
      <c r="CF84" s="1703" t="s">
        <v>1208</v>
      </c>
      <c r="CG84" s="1704"/>
      <c r="CH84" s="1703" t="s">
        <v>1208</v>
      </c>
      <c r="CI84" s="1704"/>
      <c r="CJ84" s="1703" t="s">
        <v>1208</v>
      </c>
      <c r="CK84" s="1704"/>
      <c r="CL84" s="1703" t="s">
        <v>1208</v>
      </c>
      <c r="CM84" s="1704"/>
      <c r="CN84" s="1703" t="s">
        <v>1208</v>
      </c>
      <c r="CO84" s="1704"/>
      <c r="CP84" s="1703" t="s">
        <v>1208</v>
      </c>
      <c r="CQ84" s="1704"/>
      <c r="CR84" s="1703" t="s">
        <v>1208</v>
      </c>
      <c r="CS84" s="1704"/>
      <c r="CT84" s="1703" t="s">
        <v>1208</v>
      </c>
      <c r="CU84" s="1704"/>
      <c r="CV84" s="1703" t="s">
        <v>1208</v>
      </c>
      <c r="CW84" s="1704"/>
      <c r="CX84" s="1703" t="s">
        <v>1208</v>
      </c>
      <c r="CY84" s="1704"/>
      <c r="CZ84" s="1703" t="s">
        <v>1208</v>
      </c>
      <c r="DA84" s="1704"/>
      <c r="DB84" s="1703" t="s">
        <v>1208</v>
      </c>
      <c r="DC84" s="1704"/>
      <c r="DD84" s="1703" t="s">
        <v>1208</v>
      </c>
      <c r="DE84" s="1704"/>
      <c r="DF84" s="1703" t="s">
        <v>1208</v>
      </c>
      <c r="DG84" s="1704"/>
      <c r="DH84" s="1703" t="s">
        <v>1208</v>
      </c>
      <c r="DI84" s="1704"/>
      <c r="DJ84" s="1703" t="s">
        <v>1208</v>
      </c>
      <c r="DK84" s="1704"/>
      <c r="DL84" s="1703" t="s">
        <v>1208</v>
      </c>
      <c r="DM84" s="1704"/>
      <c r="DN84" s="1703" t="s">
        <v>1208</v>
      </c>
      <c r="DO84" s="1704"/>
      <c r="DP84" s="1703" t="s">
        <v>1208</v>
      </c>
      <c r="DQ84" s="1704"/>
      <c r="DR84" s="1703" t="s">
        <v>1208</v>
      </c>
      <c r="DS84" s="1704"/>
      <c r="DT84" s="1703" t="s">
        <v>1208</v>
      </c>
      <c r="DU84" s="1704"/>
      <c r="DV84" s="1703" t="s">
        <v>1208</v>
      </c>
      <c r="DW84" s="1704"/>
      <c r="DX84" s="1703" t="s">
        <v>1208</v>
      </c>
      <c r="DY84" s="1704"/>
      <c r="DZ84" s="1703" t="s">
        <v>1208</v>
      </c>
      <c r="EA84" s="1704"/>
      <c r="EB84" s="1703" t="s">
        <v>1208</v>
      </c>
      <c r="EC84" s="1704"/>
      <c r="ED84" s="1703" t="s">
        <v>1208</v>
      </c>
      <c r="EE84" s="1704"/>
      <c r="EF84" s="1703" t="s">
        <v>1208</v>
      </c>
      <c r="EG84" s="1704"/>
      <c r="EH84" s="1703" t="s">
        <v>1208</v>
      </c>
      <c r="EI84" s="1704"/>
      <c r="EJ84" s="1703" t="s">
        <v>1208</v>
      </c>
      <c r="EK84" s="1704"/>
      <c r="EL84" s="1703" t="s">
        <v>1208</v>
      </c>
      <c r="EM84" s="1704"/>
      <c r="EN84" s="1703" t="s">
        <v>1208</v>
      </c>
      <c r="EO84" s="1704"/>
      <c r="EP84" s="1703" t="s">
        <v>1208</v>
      </c>
      <c r="EQ84" s="1704"/>
      <c r="ER84" s="1703" t="s">
        <v>1208</v>
      </c>
      <c r="ES84" s="1704"/>
      <c r="ET84" s="1703" t="s">
        <v>1208</v>
      </c>
      <c r="EU84" s="1704"/>
      <c r="EV84" s="1703" t="s">
        <v>1208</v>
      </c>
      <c r="EW84" s="1704"/>
      <c r="EX84" s="1703" t="s">
        <v>1208</v>
      </c>
      <c r="EY84" s="1704"/>
      <c r="EZ84" s="1703" t="s">
        <v>1208</v>
      </c>
      <c r="FA84" s="1704"/>
      <c r="FB84" s="1703" t="s">
        <v>1208</v>
      </c>
      <c r="FC84" s="1704"/>
      <c r="FD84" s="1703" t="s">
        <v>1208</v>
      </c>
      <c r="FE84" s="1704"/>
      <c r="FF84" s="1703" t="s">
        <v>1208</v>
      </c>
      <c r="FG84" s="1704"/>
      <c r="FH84" s="1703" t="s">
        <v>1208</v>
      </c>
      <c r="FI84" s="1704"/>
      <c r="FJ84" s="1703" t="s">
        <v>1208</v>
      </c>
      <c r="FK84" s="1704"/>
      <c r="FL84" s="1703" t="s">
        <v>1208</v>
      </c>
      <c r="FM84" s="1704"/>
      <c r="FN84" s="1703" t="s">
        <v>1208</v>
      </c>
      <c r="FO84" s="1704"/>
      <c r="FP84" s="1703" t="s">
        <v>1208</v>
      </c>
      <c r="FQ84" s="1704"/>
      <c r="FR84" s="1703" t="s">
        <v>1208</v>
      </c>
      <c r="FS84" s="1704"/>
      <c r="FT84" s="1703" t="s">
        <v>1208</v>
      </c>
      <c r="FU84" s="1704"/>
      <c r="FV84" s="1703" t="s">
        <v>1208</v>
      </c>
      <c r="FW84" s="1704"/>
      <c r="FX84" s="1703" t="s">
        <v>1208</v>
      </c>
      <c r="FY84" s="1704"/>
      <c r="FZ84" s="1703" t="s">
        <v>1208</v>
      </c>
      <c r="GA84" s="1704"/>
      <c r="GB84" s="1703" t="s">
        <v>1208</v>
      </c>
      <c r="GC84" s="1704"/>
      <c r="GD84" s="1703" t="s">
        <v>1208</v>
      </c>
      <c r="GE84" s="1704"/>
      <c r="GF84" s="1703" t="s">
        <v>1208</v>
      </c>
      <c r="GG84" s="1704"/>
      <c r="GH84" s="1703" t="s">
        <v>1208</v>
      </c>
      <c r="GI84" s="1704"/>
      <c r="GJ84" s="1703" t="s">
        <v>1208</v>
      </c>
      <c r="GK84" s="1704"/>
      <c r="GL84" s="1703" t="s">
        <v>1208</v>
      </c>
      <c r="GM84" s="1704"/>
      <c r="GN84" s="1703" t="s">
        <v>1208</v>
      </c>
      <c r="GO84" s="1704"/>
      <c r="GP84" s="1703" t="s">
        <v>1208</v>
      </c>
      <c r="GQ84" s="1704"/>
      <c r="GR84" s="1703" t="s">
        <v>1208</v>
      </c>
      <c r="GS84" s="1704"/>
      <c r="GT84" s="1703" t="s">
        <v>1208</v>
      </c>
      <c r="GU84" s="1704"/>
      <c r="GV84" s="1703" t="s">
        <v>1208</v>
      </c>
      <c r="GW84" s="1704"/>
      <c r="GX84" s="1703" t="s">
        <v>1208</v>
      </c>
      <c r="GY84" s="1704"/>
      <c r="GZ84" s="1703" t="s">
        <v>1208</v>
      </c>
      <c r="HA84" s="1704"/>
      <c r="HB84" s="1703" t="s">
        <v>1208</v>
      </c>
      <c r="HC84" s="1704"/>
      <c r="HD84" s="1703" t="s">
        <v>1208</v>
      </c>
      <c r="HE84" s="1704"/>
      <c r="HF84" s="2020" t="s">
        <v>1208</v>
      </c>
      <c r="HG84" s="2021"/>
      <c r="HH84" s="1703" t="s">
        <v>1208</v>
      </c>
      <c r="HI84" s="1704"/>
      <c r="HJ84" s="1703" t="s">
        <v>1208</v>
      </c>
      <c r="HK84" s="1704"/>
      <c r="HL84" s="1703" t="s">
        <v>1208</v>
      </c>
      <c r="HM84" s="1704"/>
      <c r="HN84" s="1703" t="s">
        <v>1208</v>
      </c>
      <c r="HO84" s="1704"/>
      <c r="HP84" s="2020" t="s">
        <v>1208</v>
      </c>
      <c r="HQ84" s="2021"/>
      <c r="HR84" s="1703" t="s">
        <v>1208</v>
      </c>
      <c r="HS84" s="1704"/>
      <c r="HT84" s="2020" t="s">
        <v>1208</v>
      </c>
      <c r="HU84" s="2021"/>
      <c r="HV84" s="2020" t="s">
        <v>1208</v>
      </c>
      <c r="HW84" s="2021"/>
      <c r="HX84" s="2020" t="s">
        <v>1208</v>
      </c>
      <c r="HY84" s="2021"/>
      <c r="HZ84" s="2020" t="s">
        <v>1208</v>
      </c>
      <c r="IA84" s="2021"/>
      <c r="IB84" s="1703" t="s">
        <v>1208</v>
      </c>
      <c r="IC84" s="1704"/>
      <c r="ID84" s="2020" t="s">
        <v>1208</v>
      </c>
      <c r="IE84" s="2021"/>
      <c r="IF84" s="2020" t="s">
        <v>1208</v>
      </c>
      <c r="IG84" s="2021"/>
    </row>
    <row r="85" spans="1:241" hidden="1">
      <c r="A85" s="1151"/>
      <c r="B85" s="1151"/>
      <c r="C85" s="1151"/>
      <c r="D85" s="1151"/>
      <c r="E85" s="1152"/>
      <c r="F85" s="1539" t="str">
        <f>IF(OR(SUM(F81:F84)&gt;100%,SUM(F81:F84)&lt;100%),"Must = 100.00%: RE-ENTER",+SUM(F81:F84))</f>
        <v>Must = 100.00%: RE-ENTER</v>
      </c>
      <c r="G85" s="1704"/>
      <c r="H85" s="1539" t="str">
        <f>IF(OR(SUM(H81:H84)&gt;100%,SUM(H81:H84)&lt;100%),"Must = 100.00%: RE-ENTER",+SUM(H81:H84))</f>
        <v>Must = 100.00%: RE-ENTER</v>
      </c>
      <c r="I85" s="1704"/>
      <c r="J85" s="1539" t="str">
        <f>IF(OR(SUM(J81:J84)&gt;100%,SUM(J81:J84)&lt;100%),"Must = 100.00%: RE-ENTER",+SUM(J81:J84))</f>
        <v>Must = 100.00%: RE-ENTER</v>
      </c>
      <c r="K85" s="1704"/>
      <c r="L85" s="1539" t="str">
        <f>IF(OR(SUM(L81:L84)&gt;100%,SUM(L81:L84)&lt;100%),"Must = 100.00%: RE-ENTER",+SUM(L81:L84))</f>
        <v>Must = 100.00%: RE-ENTER</v>
      </c>
      <c r="M85" s="1704"/>
      <c r="N85" s="1539" t="str">
        <f>IF(OR(SUM(N81:N84)&gt;100%,SUM(N81:N84)&lt;100%),"Must = 100.00%: RE-ENTER",+SUM(N81:N84))</f>
        <v>Must = 100.00%: RE-ENTER</v>
      </c>
      <c r="O85" s="1704"/>
      <c r="P85" s="1539" t="str">
        <f>IF(OR(SUM(P81:P84)&gt;100%,SUM(P81:P84)&lt;100%),"Must = 100.00%: RE-ENTER",+SUM(P81:P84))</f>
        <v>Must = 100.00%: RE-ENTER</v>
      </c>
      <c r="Q85" s="1704"/>
      <c r="R85" s="1539" t="str">
        <f>IF(OR(SUM(R81:R84)&gt;100%,SUM(R81:R84)&lt;100%),"Must = 100.00%: RE-ENTER",+SUM(R81:R84))</f>
        <v>Must = 100.00%: RE-ENTER</v>
      </c>
      <c r="S85" s="1704"/>
      <c r="T85" s="1539" t="str">
        <f>IF(OR(SUM(T81:T84)&gt;100%,SUM(T81:T84)&lt;100%),"Must = 100.00%: RE-ENTER",+SUM(T81:T84))</f>
        <v>Must = 100.00%: RE-ENTER</v>
      </c>
      <c r="U85" s="1704"/>
      <c r="V85" s="1539" t="str">
        <f>IF(OR(SUM(V81:V84)&gt;100%,SUM(V81:V84)&lt;100%),"Must = 100.00%: RE-ENTER",+SUM(V81:V84))</f>
        <v>Must = 100.00%: RE-ENTER</v>
      </c>
      <c r="W85" s="1704"/>
      <c r="X85" s="1539" t="str">
        <f>IF(OR(SUM(X81:X84)&gt;100%,SUM(X81:X84)&lt;100%),"Must = 100.00%: RE-ENTER",+SUM(X81:X84))</f>
        <v>Must = 100.00%: RE-ENTER</v>
      </c>
      <c r="Y85" s="1704"/>
      <c r="Z85" s="1539" t="str">
        <f>IF(OR(SUM(Z81:Z84)&gt;100%,SUM(Z81:Z84)&lt;100%),"Must = 100.00%: RE-ENTER",+SUM(Z81:Z84))</f>
        <v>Must = 100.00%: RE-ENTER</v>
      </c>
      <c r="AA85" s="1704"/>
      <c r="AB85" s="1539" t="str">
        <f>IF(OR(SUM(AB81:AB84)&gt;100%,SUM(AB81:AB84)&lt;100%),"Must = 100.00%: RE-ENTER",+SUM(AB81:AB84))</f>
        <v>Must = 100.00%: RE-ENTER</v>
      </c>
      <c r="AC85" s="1704"/>
      <c r="AD85" s="1539" t="str">
        <f>IF(OR(SUM(AD81:AD84)&gt;100%,SUM(AD81:AD84)&lt;100%),"Must = 100.00%: RE-ENTER",+SUM(AD81:AD84))</f>
        <v>Must = 100.00%: RE-ENTER</v>
      </c>
      <c r="AE85" s="1704"/>
      <c r="AF85" s="1539" t="str">
        <f>IF(OR(SUM(AF81:AF84)&gt;100%,SUM(AF81:AF84)&lt;100%),"Must = 100.00%: RE-ENTER",+SUM(AF81:AF84))</f>
        <v>Must = 100.00%: RE-ENTER</v>
      </c>
      <c r="AG85" s="1704"/>
      <c r="AH85" s="1539" t="str">
        <f>IF(OR(SUM(AH81:AH84)&gt;100%,SUM(AH81:AH84)&lt;100%),"Must = 100.00%: RE-ENTER",+SUM(AH81:AH84))</f>
        <v>Must = 100.00%: RE-ENTER</v>
      </c>
      <c r="AI85" s="1704"/>
      <c r="AJ85" s="1539" t="str">
        <f>IF(OR(SUM(AJ81:AJ84)&gt;100%,SUM(AJ81:AJ84)&lt;100%),"Must = 100.00%: RE-ENTER",+SUM(AJ81:AJ84))</f>
        <v>Must = 100.00%: RE-ENTER</v>
      </c>
      <c r="AK85" s="1704"/>
      <c r="AL85" s="1539" t="str">
        <f>IF(OR(SUM(AL81:AL84)&gt;100%,SUM(AL81:AL84)&lt;100%),"Must = 100.00%: RE-ENTER",+SUM(AL81:AL84))</f>
        <v>Must = 100.00%: RE-ENTER</v>
      </c>
      <c r="AM85" s="1704"/>
      <c r="AN85" s="1539" t="str">
        <f>IF(OR(SUM(AN81:AN84)&gt;100%,SUM(AN81:AN84)&lt;100%),"Must = 100.00%: RE-ENTER",+SUM(AN81:AN84))</f>
        <v>Must = 100.00%: RE-ENTER</v>
      </c>
      <c r="AO85" s="1704"/>
      <c r="AP85" s="1539" t="str">
        <f>IF(OR(SUM(AP81:AP84)&gt;100%,SUM(AP81:AP84)&lt;100%),"Must = 100.00%: RE-ENTER",+SUM(AP81:AP84))</f>
        <v>Must = 100.00%: RE-ENTER</v>
      </c>
      <c r="AQ85" s="1704"/>
      <c r="AR85" s="1539" t="str">
        <f>IF(OR(SUM(AR81:AR84)&gt;100%,SUM(AR81:AR84)&lt;100%),"Must = 100.00%: RE-ENTER",+SUM(AR81:AR84))</f>
        <v>Must = 100.00%: RE-ENTER</v>
      </c>
      <c r="AS85" s="1704"/>
      <c r="AT85" s="1539" t="str">
        <f>IF(OR(SUM(AT81:AT84)&gt;100%,SUM(AT81:AT84)&lt;100%),"Must = 100.00%: RE-ENTER",+SUM(AT81:AT84))</f>
        <v>Must = 100.00%: RE-ENTER</v>
      </c>
      <c r="AU85" s="1704"/>
      <c r="AV85" s="1539" t="str">
        <f>IF(OR(SUM(AV81:AV84)&gt;100%,SUM(AV81:AV84)&lt;100%),"Must = 100.00%: RE-ENTER",+SUM(AV81:AV84))</f>
        <v>Must = 100.00%: RE-ENTER</v>
      </c>
      <c r="AW85" s="1704"/>
      <c r="AX85" s="1539" t="str">
        <f>IF(OR(SUM(AX81:AX84)&gt;100%,SUM(AX81:AX84)&lt;100%),"Must = 100.00%: RE-ENTER",+SUM(AX81:AX84))</f>
        <v>Must = 100.00%: RE-ENTER</v>
      </c>
      <c r="AY85" s="1704"/>
      <c r="AZ85" s="1539" t="str">
        <f>IF(OR(SUM(AZ81:AZ84)&gt;100%,SUM(AZ81:AZ84)&lt;100%),"Must = 100.00%: RE-ENTER",+SUM(AZ81:AZ84))</f>
        <v>Must = 100.00%: RE-ENTER</v>
      </c>
      <c r="BA85" s="1704"/>
      <c r="BB85" s="1539" t="str">
        <f>IF(OR(SUM(BB81:BB84)&gt;100%,SUM(BB81:BB84)&lt;100%),"Must = 100.00%: RE-ENTER",+SUM(BB81:BB84))</f>
        <v>Must = 100.00%: RE-ENTER</v>
      </c>
      <c r="BC85" s="1704"/>
      <c r="BD85" s="1539" t="str">
        <f>IF(OR(SUM(BD81:BD84)&gt;100%,SUM(BD81:BD84)&lt;100%),"Must = 100.00%: RE-ENTER",+SUM(BD81:BD84))</f>
        <v>Must = 100.00%: RE-ENTER</v>
      </c>
      <c r="BE85" s="1704"/>
      <c r="BF85" s="1539" t="str">
        <f>IF(OR(SUM(BF81:BF84)&gt;100%,SUM(BF81:BF84)&lt;100%),"Must = 100.00%: RE-ENTER",+SUM(BF81:BF84))</f>
        <v>Must = 100.00%: RE-ENTER</v>
      </c>
      <c r="BG85" s="1704"/>
      <c r="BH85" s="1539" t="str">
        <f>IF(OR(SUM(BH81:BH84)&gt;100%,SUM(BH81:BH84)&lt;100%),"Must = 100.00%: RE-ENTER",+SUM(BH81:BH84))</f>
        <v>Must = 100.00%: RE-ENTER</v>
      </c>
      <c r="BI85" s="1704"/>
      <c r="BJ85" s="1539" t="str">
        <f>IF(OR(SUM(BJ81:BJ84)&gt;100%,SUM(BJ81:BJ84)&lt;100%),"Must = 100.00%: RE-ENTER",+SUM(BJ81:BJ84))</f>
        <v>Must = 100.00%: RE-ENTER</v>
      </c>
      <c r="BK85" s="1704"/>
      <c r="BL85" s="1539" t="str">
        <f>IF(OR(SUM(BL81:BL84)&gt;100%,SUM(BL81:BL84)&lt;100%),"Must = 100.00%: RE-ENTER",+SUM(BL81:BL84))</f>
        <v>Must = 100.00%: RE-ENTER</v>
      </c>
      <c r="BM85" s="1704"/>
      <c r="BN85" s="1539" t="str">
        <f>IF(OR(SUM(BN81:BN84)&gt;100%,SUM(BN81:BN84)&lt;100%),"Must = 100.00%: RE-ENTER",+SUM(BN81:BN84))</f>
        <v>Must = 100.00%: RE-ENTER</v>
      </c>
      <c r="BO85" s="1704"/>
      <c r="BP85" s="1539" t="str">
        <f>IF(OR(SUM(BP81:BP84)&gt;100%,SUM(BP81:BP84)&lt;100%),"Must = 100.00%: RE-ENTER",+SUM(BP81:BP84))</f>
        <v>Must = 100.00%: RE-ENTER</v>
      </c>
      <c r="BQ85" s="1704"/>
      <c r="BR85" s="1539" t="str">
        <f>IF(OR(SUM(BR81:BR84)&gt;100%,SUM(BR81:BR84)&lt;100%),"Must = 100.00%: RE-ENTER",+SUM(BR81:BR84))</f>
        <v>Must = 100.00%: RE-ENTER</v>
      </c>
      <c r="BS85" s="1704"/>
      <c r="BT85" s="1539" t="str">
        <f>IF(OR(SUM(BT81:BT84)&gt;100%,SUM(BT81:BT84)&lt;100%),"Must = 100.00%: RE-ENTER",+SUM(BT81:BT84))</f>
        <v>Must = 100.00%: RE-ENTER</v>
      </c>
      <c r="BU85" s="1704"/>
      <c r="BV85" s="1539" t="str">
        <f>IF(OR(SUM(BV81:BV84)&gt;100%,SUM(BV81:BV84)&lt;100%),"Must = 100.00%: RE-ENTER",+SUM(BV81:BV84))</f>
        <v>Must = 100.00%: RE-ENTER</v>
      </c>
      <c r="BW85" s="1704"/>
      <c r="BX85" s="1539" t="str">
        <f>IF(OR(SUM(BX81:BX84)&gt;100%,SUM(BX81:BX84)&lt;100%),"Must = 100.00%: RE-ENTER",+SUM(BX81:BX84))</f>
        <v>Must = 100.00%: RE-ENTER</v>
      </c>
      <c r="BY85" s="1704"/>
      <c r="BZ85" s="1539" t="str">
        <f>IF(OR(SUM(BZ81:BZ84)&gt;100%,SUM(BZ81:BZ84)&lt;100%),"Must = 100.00%: RE-ENTER",+SUM(BZ81:BZ84))</f>
        <v>Must = 100.00%: RE-ENTER</v>
      </c>
      <c r="CA85" s="1704"/>
      <c r="CB85" s="1539" t="str">
        <f>IF(OR(SUM(CB81:CB84)&gt;100%,SUM(CB81:CB84)&lt;100%),"Must = 100.00%: RE-ENTER",+SUM(CB81:CB84))</f>
        <v>Must = 100.00%: RE-ENTER</v>
      </c>
      <c r="CC85" s="1704"/>
      <c r="CD85" s="1539" t="str">
        <f>IF(OR(SUM(CD81:CD84)&gt;100%,SUM(CD81:CD84)&lt;100%),"Must = 100.00%: RE-ENTER",+SUM(CD81:CD84))</f>
        <v>Must = 100.00%: RE-ENTER</v>
      </c>
      <c r="CE85" s="1704"/>
      <c r="CF85" s="1539" t="s">
        <v>1291</v>
      </c>
      <c r="CG85" s="1704"/>
      <c r="CH85" s="1539" t="s">
        <v>1291</v>
      </c>
      <c r="CI85" s="1704"/>
      <c r="CJ85" s="1539" t="s">
        <v>1291</v>
      </c>
      <c r="CK85" s="1704"/>
      <c r="CL85" s="1539" t="s">
        <v>1291</v>
      </c>
      <c r="CM85" s="1704"/>
      <c r="CN85" s="1539" t="str">
        <f>IF(OR(SUM(CN81:CN84)&gt;100%,SUM(CN81:CN84)&lt;100%),"Must = 100.00%: RE-ENTER",+SUM(CN81:CN84))</f>
        <v>Must = 100.00%: RE-ENTER</v>
      </c>
      <c r="CO85" s="1704"/>
      <c r="CP85" s="1539" t="str">
        <f>IF(OR(SUM(CP81:CP84)&gt;100%,SUM(CP81:CP84)&lt;100%),"Must = 100.00%: RE-ENTER",+SUM(CP81:CP84))</f>
        <v>Must = 100.00%: RE-ENTER</v>
      </c>
      <c r="CQ85" s="1704"/>
      <c r="CR85" s="1539" t="s">
        <v>1291</v>
      </c>
      <c r="CS85" s="1704"/>
      <c r="CT85" s="1539" t="str">
        <f>IF(OR(SUM(CT81:CT84)&gt;100%,SUM(CT81:CT84)&lt;100%),"Must = 100.00%: RE-ENTER",+SUM(CT81:CT84))</f>
        <v>Must = 100.00%: RE-ENTER</v>
      </c>
      <c r="CU85" s="1704"/>
      <c r="CV85" s="1539" t="str">
        <f>IF(OR(SUM(CV81:CV84)&gt;100%,SUM(CV81:CV84)&lt;100%),"Must = 100.00%: RE-ENTER",+SUM(CV81:CV84))</f>
        <v>Must = 100.00%: RE-ENTER</v>
      </c>
      <c r="CW85" s="1704"/>
      <c r="CX85" s="1539" t="s">
        <v>1291</v>
      </c>
      <c r="CY85" s="1704"/>
      <c r="CZ85" s="1539" t="s">
        <v>1291</v>
      </c>
      <c r="DA85" s="1704"/>
      <c r="DB85" s="1539" t="s">
        <v>1291</v>
      </c>
      <c r="DC85" s="1704"/>
      <c r="DD85" s="1539" t="s">
        <v>1291</v>
      </c>
      <c r="DE85" s="1704"/>
      <c r="DF85" s="1539" t="s">
        <v>1291</v>
      </c>
      <c r="DG85" s="1704"/>
      <c r="DH85" s="1539" t="s">
        <v>1291</v>
      </c>
      <c r="DI85" s="1704"/>
      <c r="DJ85" s="1539" t="s">
        <v>1291</v>
      </c>
      <c r="DK85" s="1704"/>
      <c r="DL85" s="1539" t="s">
        <v>1291</v>
      </c>
      <c r="DM85" s="1704"/>
      <c r="DN85" s="1539" t="str">
        <f>IF(OR(SUM(DN81:DN84)&gt;100%,SUM(DN81:DN84)&lt;100%),"Must = 100.00%: RE-ENTER",+SUM(DN81:DN84))</f>
        <v>Must = 100.00%: RE-ENTER</v>
      </c>
      <c r="DO85" s="1704"/>
      <c r="DP85" s="1539" t="str">
        <f>IF(OR(SUM(DP81:DP84)&gt;100%,SUM(DP81:DP84)&lt;100%),"Must = 100.00%: RE-ENTER",+SUM(DP81:DP84))</f>
        <v>Must = 100.00%: RE-ENTER</v>
      </c>
      <c r="DQ85" s="1704"/>
      <c r="DR85" s="1539" t="str">
        <f>IF(OR(SUM(DR81:DR84)&gt;100%,SUM(DR81:DR84)&lt;100%),"Must = 100.00%: RE-ENTER",+SUM(DR81:DR84))</f>
        <v>Must = 100.00%: RE-ENTER</v>
      </c>
      <c r="DS85" s="1704"/>
      <c r="DT85" s="1539" t="str">
        <f>IF(OR(SUM(DT81:DT84)&gt;100%,SUM(DT81:DT84)&lt;100%),"Must = 100.00%: RE-ENTER",+SUM(DT81:DT84))</f>
        <v>Must = 100.00%: RE-ENTER</v>
      </c>
      <c r="DU85" s="1704"/>
      <c r="DV85" s="1539" t="str">
        <f>IF(OR(SUM(DV81:DV84)&gt;100%,SUM(DV81:DV84)&lt;100%),"Must = 100.00%: RE-ENTER",+SUM(DV81:DV84))</f>
        <v>Must = 100.00%: RE-ENTER</v>
      </c>
      <c r="DW85" s="1704"/>
      <c r="DX85" s="1539" t="str">
        <f>IF(OR(SUM(DX81:DX84)&gt;100%,SUM(DX81:DX84)&lt;100%),"Must = 100.00%: RE-ENTER",+SUM(DX81:DX84))</f>
        <v>Must = 100.00%: RE-ENTER</v>
      </c>
      <c r="DY85" s="1704"/>
      <c r="DZ85" s="1539" t="str">
        <f>IF(OR(SUM(DZ81:DZ84)&gt;100%,SUM(DZ81:DZ84)&lt;100%),"Must = 100.00%: RE-ENTER",+SUM(DZ81:DZ84))</f>
        <v>Must = 100.00%: RE-ENTER</v>
      </c>
      <c r="EA85" s="1704"/>
      <c r="EB85" s="1539" t="str">
        <f>IF(OR(SUM(EB81:EB84)&gt;100%,SUM(EB81:EB84)&lt;100%),"Must = 100.00%: RE-ENTER",+SUM(EB81:EB84))</f>
        <v>Must = 100.00%: RE-ENTER</v>
      </c>
      <c r="EC85" s="1704"/>
      <c r="ED85" s="1539" t="str">
        <f>IF(OR(SUM(ED81:ED84)&gt;100%,SUM(ED81:ED84)&lt;100%),"Must = 100.00%: RE-ENTER",+SUM(ED81:ED84))</f>
        <v>Must = 100.00%: RE-ENTER</v>
      </c>
      <c r="EE85" s="1704"/>
      <c r="EF85" s="1539" t="str">
        <f>IF(OR(SUM(EF81:EF84)&gt;100%,SUM(EF81:EF84)&lt;100%),"Must = 100.00%: RE-ENTER",+SUM(EF81:EF84))</f>
        <v>Must = 100.00%: RE-ENTER</v>
      </c>
      <c r="EG85" s="1704"/>
      <c r="EH85" s="1539" t="str">
        <f>IF(OR(SUM(EH81:EH84)&gt;100%,SUM(EH81:EH84)&lt;100%),"Must = 100.00%: RE-ENTER",+SUM(EH81:EH84))</f>
        <v>Must = 100.00%: RE-ENTER</v>
      </c>
      <c r="EI85" s="1704"/>
      <c r="EJ85" s="1539" t="str">
        <f>IF(OR(SUM(EJ81:EJ84)&gt;100%,SUM(EJ81:EJ84)&lt;100%),"Must = 100.00%: RE-ENTER",+SUM(EJ81:EJ84))</f>
        <v>Must = 100.00%: RE-ENTER</v>
      </c>
      <c r="EK85" s="1704"/>
      <c r="EL85" s="1539" t="str">
        <f>IF(OR(SUM(EL81:EL84)&gt;100%,SUM(EL81:EL84)&lt;100%),"Must = 100.00%: RE-ENTER",+SUM(EL81:EL84))</f>
        <v>Must = 100.00%: RE-ENTER</v>
      </c>
      <c r="EM85" s="1704"/>
      <c r="EN85" s="1539" t="str">
        <f>IF(OR(SUM(EN81:EN84)&gt;100%,SUM(EN81:EN84)&lt;100%),"Must = 100.00%: RE-ENTER",+SUM(EN81:EN84))</f>
        <v>Must = 100.00%: RE-ENTER</v>
      </c>
      <c r="EO85" s="1704"/>
      <c r="EP85" s="1709" t="str">
        <f>IF(OR(SUM(EP81:EP84)&gt;100%,SUM(EP81:EP84)&lt;100%),"Must = 100.00%: RE-ENTER",+SUM(EP81:EP84))</f>
        <v>Must = 100.00%: RE-ENTER</v>
      </c>
      <c r="EQ85" s="1704"/>
      <c r="ER85" s="1539" t="str">
        <f>IF(OR(SUM(ER81:ER84)&gt;100%,SUM(ER81:ER84)&lt;100%),"Must = 100.00%: RE-ENTER",+SUM(ER81:ER84))</f>
        <v>Must = 100.00%: RE-ENTER</v>
      </c>
      <c r="ES85" s="1704"/>
      <c r="ET85" s="1539" t="str">
        <f>IF(OR(SUM(ET81:ET84)&gt;100%,SUM(ET81:ET84)&lt;100%),"Must = 100.00%: RE-ENTER",+SUM(ET81:ET84))</f>
        <v>Must = 100.00%: RE-ENTER</v>
      </c>
      <c r="EU85" s="1704"/>
      <c r="EV85" s="1539" t="str">
        <f>IF(OR(SUM(EV81:EV84)&gt;100%,SUM(EV81:EV84)&lt;100%),"Must = 100.00%: RE-ENTER",+SUM(EV81:EV84))</f>
        <v>Must = 100.00%: RE-ENTER</v>
      </c>
      <c r="EW85" s="1704"/>
      <c r="EX85" s="1539" t="str">
        <f>IF(OR(SUM(EX81:EX84)&gt;100%,SUM(EX81:EX84)&lt;100%),"Must = 100.00%: RE-ENTER",+SUM(EX81:EX84))</f>
        <v>Must = 100.00%: RE-ENTER</v>
      </c>
      <c r="EY85" s="1704"/>
      <c r="EZ85" s="1539" t="str">
        <f>IF(OR(SUM(EZ81:EZ84)&gt;100%,SUM(EZ81:EZ84)&lt;100%),"Must = 100.00%: RE-ENTER",+SUM(EZ81:EZ84))</f>
        <v>Must = 100.00%: RE-ENTER</v>
      </c>
      <c r="FA85" s="1704"/>
      <c r="FB85" s="1539" t="str">
        <f>IF(OR(SUM(FB81:FB84)&gt;100%,SUM(FB81:FB84)&lt;100%),"Must = 100.00%: RE-ENTER",+SUM(FB81:FB84))</f>
        <v>Must = 100.00%: RE-ENTER</v>
      </c>
      <c r="FC85" s="1704"/>
      <c r="FD85" s="1539" t="str">
        <f>IF(OR(SUM(FD81:FD84)&gt;100%,SUM(FD81:FD84)&lt;100%),"Must = 100.00%: RE-ENTER",+SUM(FD81:FD84))</f>
        <v>Must = 100.00%: RE-ENTER</v>
      </c>
      <c r="FE85" s="1704"/>
      <c r="FF85" s="1539" t="str">
        <f>IF(OR(SUM(FF81:FF84)&gt;100%,SUM(FF81:FF84)&lt;100%),"Must = 100.00%: RE-ENTER",+SUM(FF81:FF84))</f>
        <v>Must = 100.00%: RE-ENTER</v>
      </c>
      <c r="FG85" s="1704"/>
      <c r="FH85" s="1539" t="str">
        <f>IF(OR(SUM(FH81:FH84)&gt;100%,SUM(FH81:FH84)&lt;100%),"Must = 100.00%: RE-ENTER",+SUM(FH81:FH84))</f>
        <v>Must = 100.00%: RE-ENTER</v>
      </c>
      <c r="FI85" s="1704"/>
      <c r="FJ85" s="1539" t="str">
        <f>IF(OR(SUM(FJ81:FJ84)&gt;100%,SUM(FJ81:FJ84)&lt;100%),"Must = 100.00%: RE-ENTER",+SUM(FJ81:FJ84))</f>
        <v>Must = 100.00%: RE-ENTER</v>
      </c>
      <c r="FK85" s="1704"/>
      <c r="FL85" s="1539" t="str">
        <f>IF(OR(SUM(FL81:FL84)&gt;100%,SUM(FL81:FL84)&lt;100%),"Must = 100.00%: RE-ENTER",+SUM(FL81:FL84))</f>
        <v>Must = 100.00%: RE-ENTER</v>
      </c>
      <c r="FM85" s="1704"/>
      <c r="FN85" s="1539" t="str">
        <f>IF(OR(SUM(FN81:FN84)&gt;100%,SUM(FN81:FN84)&lt;100%),"Must = 100.00%: RE-ENTER",+SUM(FN81:FN84))</f>
        <v>Must = 100.00%: RE-ENTER</v>
      </c>
      <c r="FO85" s="1704"/>
      <c r="FP85" s="1539" t="str">
        <f>IF(OR(SUM(FP81:FP84)&gt;100%,SUM(FP81:FP84)&lt;100%),"Must = 100.00%: RE-ENTER",+SUM(FP81:FP84))</f>
        <v>Must = 100.00%: RE-ENTER</v>
      </c>
      <c r="FQ85" s="1704"/>
      <c r="FR85" s="1539" t="str">
        <f>IF(OR(SUM(FR81:FR84)&gt;100%,SUM(FR81:FR84)&lt;100%),"Must = 100.00%: RE-ENTER",+SUM(FR81:FR84))</f>
        <v>Must = 100.00%: RE-ENTER</v>
      </c>
      <c r="FS85" s="1704"/>
      <c r="FT85" s="1539" t="str">
        <f>IF(OR(SUM(FT81:FT84)&gt;100%,SUM(FT81:FT84)&lt;100%),"Must = 100.00%: RE-ENTER",+SUM(FT81:FT84))</f>
        <v>Must = 100.00%: RE-ENTER</v>
      </c>
      <c r="FU85" s="1704"/>
      <c r="FV85" s="1539" t="str">
        <f>IF(OR(SUM(FV81:FV84)&gt;100%,SUM(FV81:FV84)&lt;100%),"Must = 100.00%: RE-ENTER",+SUM(FV81:FV84))</f>
        <v>Must = 100.00%: RE-ENTER</v>
      </c>
      <c r="FW85" s="1704"/>
      <c r="FX85" s="1539" t="str">
        <f>IF(OR(SUM(FX81:FX84)&gt;100%,SUM(FX81:FX84)&lt;100%),"Must = 100.00%: RE-ENTER",+SUM(FX81:FX84))</f>
        <v>Must = 100.00%: RE-ENTER</v>
      </c>
      <c r="FY85" s="1704"/>
      <c r="FZ85" s="1539" t="str">
        <f>IF(OR(SUM(FZ81:FZ84)&gt;100%,SUM(FZ81:FZ84)&lt;100%),"Must = 100.00%: RE-ENTER",+SUM(FZ81:FZ84))</f>
        <v>Must = 100.00%: RE-ENTER</v>
      </c>
      <c r="GA85" s="1704"/>
      <c r="GB85" s="1539" t="str">
        <f>IF(OR(SUM(GB81:GB84)&gt;100%,SUM(GB81:GB84)&lt;100%),"Must = 100.00%: RE-ENTER",+SUM(GB81:GB84))</f>
        <v>Must = 100.00%: RE-ENTER</v>
      </c>
      <c r="GC85" s="1704"/>
      <c r="GD85" s="1539" t="str">
        <f>IF(OR(SUM(GD81:GD84)&gt;100%,SUM(GD81:GD84)&lt;100%),"Must = 100.00%: RE-ENTER",+SUM(GD81:GD84))</f>
        <v>Must = 100.00%: RE-ENTER</v>
      </c>
      <c r="GE85" s="1704"/>
      <c r="GF85" s="1539" t="str">
        <f>IF(OR(SUM(GF81:GF84)&gt;100%,SUM(GF81:GF84)&lt;100%),"Must = 100.00%: RE-ENTER",+SUM(GF81:GF84))</f>
        <v>Must = 100.00%: RE-ENTER</v>
      </c>
      <c r="GG85" s="1704"/>
      <c r="GH85" s="1539" t="str">
        <f>IF(OR(SUM(GH81:GH84)&gt;100%,SUM(GH81:GH84)&lt;100%),"Must = 100.00%: RE-ENTER",+SUM(GH81:GH84))</f>
        <v>Must = 100.00%: RE-ENTER</v>
      </c>
      <c r="GI85" s="1704"/>
      <c r="GJ85" s="1539" t="str">
        <f>IF(OR(SUM(GJ81:GJ84)&gt;100%,SUM(GJ81:GJ84)&lt;100%),"Must = 100.00%: RE-ENTER",+SUM(GJ81:GJ84))</f>
        <v>Must = 100.00%: RE-ENTER</v>
      </c>
      <c r="GK85" s="1704"/>
      <c r="GL85" s="1539" t="str">
        <f>IF(OR(SUM(GL81:GL84)&gt;100%,SUM(GL81:GL84)&lt;100%),"Must = 100.00%: RE-ENTER",+SUM(GL81:GL84))</f>
        <v>Must = 100.00%: RE-ENTER</v>
      </c>
      <c r="GM85" s="1704"/>
      <c r="GN85" s="1539" t="str">
        <f>IF(OR(SUM(GN81:GN84)&gt;100%,SUM(GN81:GN84)&lt;100%),"Must = 100.00%: RE-ENTER",+SUM(GN81:GN84))</f>
        <v>Must = 100.00%: RE-ENTER</v>
      </c>
      <c r="GO85" s="1704"/>
      <c r="GP85" s="1539" t="str">
        <f>IF(OR(SUM(GP81:GP84)&gt;100%,SUM(GP81:GP84)&lt;100%),"Must = 100.00%: RE-ENTER",+SUM(GP81:GP84))</f>
        <v>Must = 100.00%: RE-ENTER</v>
      </c>
      <c r="GQ85" s="1704"/>
      <c r="GR85" s="1539" t="str">
        <f>IF(OR(SUM(GR81:GR84)&gt;100%,SUM(GR81:GR84)&lt;100%),"Must = 100.00%: RE-ENTER",+SUM(GR81:GR84))</f>
        <v>Must = 100.00%: RE-ENTER</v>
      </c>
      <c r="GS85" s="1704"/>
      <c r="GT85" s="1539" t="str">
        <f>IF(OR(SUM(GT81:GT84)&gt;100%,SUM(GT81:GT84)&lt;100%),"Must = 100.00%: RE-ENTER",+SUM(GT81:GT84))</f>
        <v>Must = 100.00%: RE-ENTER</v>
      </c>
      <c r="GU85" s="1704"/>
      <c r="GV85" s="1539" t="str">
        <f>IF(OR(SUM(GV81:GV84)&gt;100%,SUM(GV81:GV84)&lt;100%),"Must = 100.00%: RE-ENTER",+SUM(GV81:GV84))</f>
        <v>Must = 100.00%: RE-ENTER</v>
      </c>
      <c r="GW85" s="1704"/>
      <c r="GX85" s="1539" t="str">
        <f>IF(OR(SUM(GX81:GX84)&gt;100%,SUM(GX81:GX84)&lt;100%),"Must = 100.00%: RE-ENTER",+SUM(GX81:GX84))</f>
        <v>Must = 100.00%: RE-ENTER</v>
      </c>
      <c r="GY85" s="1704"/>
      <c r="GZ85" s="1539" t="str">
        <f>IF(OR(SUM(GZ81:GZ84)&gt;100%,SUM(GZ81:GZ84)&lt;100%),"Must = 100.00%: RE-ENTER",+SUM(GZ81:GZ84))</f>
        <v>Must = 100.00%: RE-ENTER</v>
      </c>
      <c r="HA85" s="1704"/>
      <c r="HB85" s="1539" t="str">
        <f>IF(OR(SUM(HB81:HB84)&gt;100%,SUM(HB81:HB84)&lt;100%),"Must = 100.00%: RE-ENTER",+SUM(HB81:HB84))</f>
        <v>Must = 100.00%: RE-ENTER</v>
      </c>
      <c r="HC85" s="1704"/>
      <c r="HD85" s="1539" t="str">
        <f>IF(OR(SUM(HD81:HD84)&gt;100%,SUM(HD81:HD84)&lt;100%),"Must = 100.00%: RE-ENTER",+SUM(HD81:HD84))</f>
        <v>Must = 100.00%: RE-ENTER</v>
      </c>
      <c r="HE85" s="1704"/>
      <c r="HF85" s="1539" t="str">
        <f>IF(OR(SUM(HF81:HF84)&gt;100%,SUM(HF81:HF84)&lt;100%),"Must = 100.00%: RE-ENTER",+SUM(HF81:HF84))</f>
        <v>Must = 100.00%: RE-ENTER</v>
      </c>
      <c r="HG85" s="2027"/>
      <c r="HH85" s="1539" t="str">
        <f>IF(OR(SUM(HH81:HH84)&gt;100%,SUM(HH81:HH84)&lt;100%),"Must = 100.00%: RE-ENTER",+SUM(HH81:HH84))</f>
        <v>Must = 100.00%: RE-ENTER</v>
      </c>
      <c r="HI85" s="1704"/>
      <c r="HJ85" s="1539" t="str">
        <f>IF(OR(SUM(HJ81:HJ84)&gt;100%,SUM(HJ81:HJ84)&lt;100%),"Must = 100.00%: RE-ENTER",+SUM(HJ81:HJ84))</f>
        <v>Must = 100.00%: RE-ENTER</v>
      </c>
      <c r="HK85" s="1704"/>
      <c r="HL85" s="1539" t="str">
        <f>IF(OR(SUM(HL81:HL84)&gt;100%,SUM(HL81:HL84)&lt;100%),"Must = 100.00%: RE-ENTER",+SUM(HL81:HL84))</f>
        <v>Must = 100.00%: RE-ENTER</v>
      </c>
      <c r="HM85" s="1704"/>
      <c r="HN85" s="1539" t="str">
        <f>IF(OR(SUM(HN81:HN84)&gt;100%,SUM(HN81:HN84)&lt;100%),"Must = 100.00%: RE-ENTER",+SUM(HN81:HN84))</f>
        <v>Must = 100.00%: RE-ENTER</v>
      </c>
      <c r="HO85" s="1704"/>
      <c r="HP85" s="1539" t="str">
        <f>IF(OR(SUM(HP81:HP84)&gt;100%,SUM(HP81:HP84)&lt;100%),"Must = 100.00%: RE-ENTER",+SUM(HP81:HP84))</f>
        <v>Must = 100.00%: RE-ENTER</v>
      </c>
      <c r="HQ85" s="2027"/>
      <c r="HR85" s="1539" t="str">
        <f>IF(OR(SUM(HR81:HR84)&gt;100%,SUM(HR81:HR84)&lt;100%),"Must = 100.00%: RE-ENTER",+SUM(HR81:HR84))</f>
        <v>Must = 100.00%: RE-ENTER</v>
      </c>
      <c r="HS85" s="1704"/>
      <c r="HT85" s="1539" t="str">
        <f>IF(OR(SUM(HT81:HT84)&gt;100%,SUM(HT81:HT84)&lt;100%),"Must = 100.00%: RE-ENTER",+SUM(HT81:HT84))</f>
        <v>Must = 100.00%: RE-ENTER</v>
      </c>
      <c r="HU85" s="2027"/>
      <c r="HV85" s="1539" t="str">
        <f>IF(OR(SUM(HV81:HV84)&gt;100%,SUM(HV81:HV84)&lt;100%),"Must = 100.00%: RE-ENTER",+SUM(HV81:HV84))</f>
        <v>Must = 100.00%: RE-ENTER</v>
      </c>
      <c r="HW85" s="2027"/>
      <c r="HX85" s="1539" t="str">
        <f>IF(OR(SUM(HX81:HX84)&gt;100%,SUM(HX81:HX84)&lt;100%),"Must = 100.00%: RE-ENTER",+SUM(HX81:HX84))</f>
        <v>Must = 100.00%: RE-ENTER</v>
      </c>
      <c r="HY85" s="2027"/>
      <c r="HZ85" s="1539" t="str">
        <f>IF(OR(SUM(HZ81:HZ84)&gt;100%,SUM(HZ81:HZ84)&lt;100%),"Must = 100.00%: RE-ENTER",+SUM(HZ81:HZ84))</f>
        <v>Must = 100.00%: RE-ENTER</v>
      </c>
      <c r="IA85" s="2027"/>
      <c r="IB85" s="1539" t="str">
        <f>IF(OR(SUM(IB81:IB84)&gt;100%,SUM(IB81:IB84)&lt;100%),"Must = 100.00%: RE-ENTER",+SUM(IB81:IB84))</f>
        <v>Must = 100.00%: RE-ENTER</v>
      </c>
      <c r="IC85" s="1704"/>
      <c r="ID85" s="1539" t="str">
        <f>IF(OR(SUM(ID81:ID84)&gt;100%,SUM(ID81:ID84)&lt;100%),"Must = 100.00%: RE-ENTER",+SUM(ID81:ID84))</f>
        <v>Must = 100.00%: RE-ENTER</v>
      </c>
      <c r="IE85" s="2027"/>
      <c r="IF85" s="1539" t="str">
        <f>IF(OR(SUM(IF81:IF84)&gt;100%,SUM(IF81:IF84)&lt;100%),"Must = 100.00%: RE-ENTER",+SUM(IF81:IF84))</f>
        <v>Must = 100.00%: RE-ENTER</v>
      </c>
      <c r="IG85" s="2027"/>
    </row>
    <row r="86" spans="1:241" hidden="1">
      <c r="A86" s="1149"/>
      <c r="B86" s="1149"/>
      <c r="C86" s="1149"/>
      <c r="D86" s="1149"/>
      <c r="E86" s="1150"/>
      <c r="F86" s="1699"/>
      <c r="G86" s="1356"/>
      <c r="H86" s="1699"/>
      <c r="I86" s="1356"/>
      <c r="J86" s="1699"/>
      <c r="K86" s="1356"/>
      <c r="L86" s="1699"/>
      <c r="M86" s="1356"/>
      <c r="N86" s="1699"/>
      <c r="O86" s="1356"/>
      <c r="P86" s="1699"/>
      <c r="Q86" s="1356"/>
      <c r="R86" s="1699"/>
      <c r="T86" s="1699"/>
      <c r="U86" s="1356"/>
      <c r="V86" s="1699"/>
      <c r="W86" s="1356"/>
      <c r="X86" s="1699"/>
      <c r="Y86" s="1356"/>
      <c r="Z86" s="1699"/>
      <c r="AA86" s="1356"/>
      <c r="AB86" s="1699"/>
      <c r="AC86" s="1356"/>
      <c r="AD86" s="1699"/>
      <c r="AE86" s="1356"/>
      <c r="AF86" s="1699"/>
      <c r="AG86" s="1356"/>
      <c r="AH86" s="1699"/>
      <c r="AI86" s="1356"/>
      <c r="AJ86" s="1699"/>
      <c r="AK86" s="1356"/>
      <c r="AL86" s="1699"/>
      <c r="AM86" s="1356"/>
      <c r="AN86" s="1699"/>
      <c r="AO86" s="1356"/>
      <c r="AP86" s="1699"/>
      <c r="AQ86" s="1356"/>
      <c r="AR86" s="1699"/>
      <c r="AS86" s="1356"/>
      <c r="AT86" s="1699"/>
      <c r="AU86" s="1356"/>
      <c r="AV86" s="1699"/>
      <c r="AW86" s="1356"/>
      <c r="AX86" s="1699"/>
      <c r="AY86" s="1356"/>
      <c r="AZ86" s="1699"/>
      <c r="BA86" s="1356"/>
      <c r="BB86" s="1699"/>
      <c r="BC86" s="1356"/>
      <c r="BD86" s="1699"/>
      <c r="BE86" s="1356"/>
      <c r="BF86" s="1699"/>
      <c r="BG86" s="1356"/>
      <c r="BH86" s="1699"/>
      <c r="BI86" s="1356"/>
      <c r="BJ86" s="1699"/>
      <c r="BK86" s="1356"/>
      <c r="BL86" s="1699"/>
      <c r="BM86" s="1356"/>
      <c r="BN86" s="1699"/>
      <c r="BO86" s="1356"/>
      <c r="BP86" s="1699"/>
      <c r="BQ86" s="1356"/>
      <c r="BR86" s="1699"/>
      <c r="BS86" s="1356"/>
      <c r="BT86" s="1699"/>
      <c r="BU86" s="1356"/>
      <c r="BV86" s="1699"/>
      <c r="BW86" s="1356"/>
      <c r="BX86" s="1699"/>
      <c r="BY86" s="1356"/>
      <c r="BZ86" s="1699"/>
      <c r="CA86" s="1356"/>
      <c r="CB86" s="1699"/>
      <c r="CC86" s="1356"/>
      <c r="CD86" s="1699"/>
      <c r="CE86" s="1356"/>
      <c r="CF86" s="1699"/>
      <c r="CG86" s="1356"/>
      <c r="CH86" s="1699"/>
      <c r="CI86" s="1356"/>
      <c r="CJ86" s="1699"/>
      <c r="CK86" s="1356"/>
      <c r="CL86" s="1699"/>
      <c r="CM86" s="1356"/>
      <c r="CN86" s="1699"/>
      <c r="CO86" s="1356"/>
      <c r="CP86" s="1699"/>
      <c r="CQ86" s="1356"/>
      <c r="CR86" s="1699"/>
      <c r="CS86" s="1356"/>
      <c r="CT86" s="1699"/>
      <c r="CU86" s="1356"/>
      <c r="CV86" s="1699"/>
      <c r="CW86" s="1356"/>
      <c r="CX86" s="1699"/>
      <c r="CY86" s="1356"/>
      <c r="CZ86" s="1699"/>
      <c r="DA86" s="1356"/>
      <c r="DB86" s="1699"/>
      <c r="DC86" s="1356"/>
      <c r="DD86" s="1699"/>
      <c r="DE86" s="1356"/>
      <c r="DF86" s="1699"/>
      <c r="DG86" s="1356"/>
      <c r="DH86" s="1699"/>
      <c r="DI86" s="1356"/>
      <c r="DJ86" s="1699"/>
      <c r="DK86" s="1356"/>
      <c r="DL86" s="1699"/>
      <c r="DM86" s="1356"/>
      <c r="DN86" s="1699"/>
      <c r="DO86" s="1356"/>
      <c r="DP86" s="1699"/>
      <c r="DQ86" s="1356"/>
      <c r="DR86" s="1699"/>
      <c r="DS86" s="1356"/>
      <c r="DT86" s="1699"/>
      <c r="DU86" s="1356"/>
      <c r="DV86" s="1699"/>
      <c r="DW86" s="1356"/>
      <c r="DX86" s="1699"/>
      <c r="DY86" s="1356"/>
      <c r="DZ86" s="1699"/>
      <c r="EA86" s="1356"/>
      <c r="EB86" s="1699"/>
      <c r="EC86" s="1356"/>
      <c r="ED86" s="1699"/>
      <c r="EE86" s="1356"/>
      <c r="EF86" s="1699"/>
      <c r="EG86" s="1356"/>
      <c r="EH86" s="1699"/>
      <c r="EI86" s="1356"/>
      <c r="EJ86" s="1699"/>
      <c r="EK86" s="1356"/>
      <c r="EL86" s="1699"/>
      <c r="EM86" s="1356"/>
      <c r="EN86" s="1699"/>
      <c r="EO86" s="1356"/>
      <c r="EP86" s="1699"/>
      <c r="EQ86" s="1356"/>
      <c r="ER86" s="1699"/>
      <c r="ES86" s="1356"/>
      <c r="ET86" s="1699"/>
      <c r="EU86" s="1356"/>
      <c r="EV86" s="1699"/>
      <c r="EW86" s="1356"/>
      <c r="EX86" s="1699"/>
      <c r="EY86" s="1356"/>
      <c r="EZ86" s="1699"/>
      <c r="FA86" s="1356"/>
      <c r="FB86" s="1699"/>
      <c r="FC86" s="1356"/>
      <c r="FD86" s="1699"/>
      <c r="FE86" s="1356"/>
      <c r="FF86" s="1699"/>
      <c r="FG86" s="1356"/>
      <c r="FH86" s="1699"/>
      <c r="FI86" s="1356"/>
      <c r="FJ86" s="1699"/>
      <c r="FK86" s="1356"/>
      <c r="FL86" s="1699"/>
      <c r="FM86" s="1356"/>
      <c r="FN86" s="1699"/>
      <c r="FO86" s="1356"/>
      <c r="FP86" s="1699"/>
      <c r="FQ86" s="1356"/>
      <c r="FR86" s="1699"/>
      <c r="FS86" s="1356"/>
      <c r="FT86" s="1699"/>
      <c r="FU86" s="1356"/>
      <c r="FV86" s="1699"/>
      <c r="FW86" s="1356"/>
      <c r="FX86" s="1699"/>
      <c r="FY86" s="1356"/>
      <c r="FZ86" s="1699"/>
      <c r="GA86" s="1356"/>
      <c r="GB86" s="1699"/>
      <c r="GC86" s="1356"/>
      <c r="GD86" s="1699"/>
      <c r="GE86" s="1356"/>
      <c r="GF86" s="1699"/>
      <c r="GG86" s="1356"/>
      <c r="GH86" s="1699"/>
      <c r="GI86" s="1356"/>
      <c r="GJ86" s="1699"/>
      <c r="GK86" s="1356"/>
      <c r="GL86" s="1699"/>
      <c r="GM86" s="1356"/>
      <c r="GN86" s="1699"/>
      <c r="GO86" s="1356"/>
      <c r="GP86" s="1699"/>
      <c r="GQ86" s="1356"/>
      <c r="GR86" s="1699"/>
      <c r="GS86" s="1356"/>
      <c r="GT86" s="1699"/>
      <c r="GU86" s="1356"/>
      <c r="GV86" s="1699"/>
      <c r="GW86" s="1356"/>
      <c r="GX86" s="1699"/>
      <c r="GY86" s="1356"/>
      <c r="GZ86" s="1699"/>
      <c r="HA86" s="1356"/>
      <c r="HB86" s="1699"/>
      <c r="HC86" s="1356"/>
      <c r="HD86" s="1699"/>
      <c r="HE86" s="1356"/>
      <c r="HF86" s="2014"/>
      <c r="HG86" s="2008"/>
      <c r="HH86" s="1699"/>
      <c r="HI86" s="1356"/>
      <c r="HJ86" s="1699"/>
      <c r="HK86" s="1356"/>
      <c r="HL86" s="1699"/>
      <c r="HM86" s="1356"/>
      <c r="HN86" s="1699"/>
      <c r="HO86" s="1356"/>
      <c r="HP86" s="2014"/>
      <c r="HQ86" s="2008"/>
      <c r="HR86" s="1699"/>
      <c r="HS86" s="1356"/>
      <c r="HT86" s="2014"/>
      <c r="HU86" s="2008"/>
      <c r="HV86" s="2014"/>
      <c r="HW86" s="2008"/>
      <c r="HX86" s="2014"/>
      <c r="HY86" s="2008"/>
      <c r="HZ86" s="2014"/>
      <c r="IA86" s="2008"/>
      <c r="IB86" s="1699"/>
      <c r="IC86" s="1356"/>
      <c r="ID86" s="2014"/>
      <c r="IE86" s="2008"/>
      <c r="IF86" s="2014"/>
      <c r="IG86" s="2008"/>
    </row>
    <row r="87" spans="1:241">
      <c r="A87" s="1149"/>
      <c r="B87" s="1149" t="s">
        <v>1174</v>
      </c>
      <c r="C87" s="1149"/>
      <c r="D87" s="1149"/>
      <c r="E87" s="1150"/>
      <c r="F87" s="1537">
        <v>0</v>
      </c>
      <c r="G87" s="1356"/>
      <c r="H87" s="1537">
        <v>0</v>
      </c>
      <c r="I87" s="1356"/>
      <c r="J87" s="1537">
        <v>0</v>
      </c>
      <c r="K87" s="1356"/>
      <c r="L87" s="1537">
        <v>1</v>
      </c>
      <c r="M87" s="1356"/>
      <c r="N87" s="1537">
        <v>0</v>
      </c>
      <c r="O87" s="1356"/>
      <c r="P87" s="1537">
        <v>1</v>
      </c>
      <c r="Q87" s="1356"/>
      <c r="R87" s="1537">
        <v>0</v>
      </c>
      <c r="T87" s="1537">
        <v>0</v>
      </c>
      <c r="U87" s="1356"/>
      <c r="V87" s="1537">
        <v>0</v>
      </c>
      <c r="W87" s="1356"/>
      <c r="X87" s="1537">
        <v>1</v>
      </c>
      <c r="Y87" s="1356"/>
      <c r="Z87" s="1537">
        <v>0</v>
      </c>
      <c r="AA87" s="1356"/>
      <c r="AB87" s="1537">
        <v>1</v>
      </c>
      <c r="AC87" s="1356"/>
      <c r="AD87" s="1537">
        <v>0</v>
      </c>
      <c r="AE87" s="1356"/>
      <c r="AF87" s="1537">
        <v>1</v>
      </c>
      <c r="AG87" s="1356"/>
      <c r="AH87" s="1537">
        <v>0</v>
      </c>
      <c r="AI87" s="1356"/>
      <c r="AJ87" s="1537">
        <v>0</v>
      </c>
      <c r="AK87" s="1356"/>
      <c r="AL87" s="1537">
        <v>0</v>
      </c>
      <c r="AM87" s="1356"/>
      <c r="AN87" s="1537">
        <v>1</v>
      </c>
      <c r="AO87" s="1356"/>
      <c r="AP87" s="1537">
        <v>1</v>
      </c>
      <c r="AQ87" s="1356"/>
      <c r="AR87" s="1537">
        <v>1</v>
      </c>
      <c r="AS87" s="1356"/>
      <c r="AT87" s="1537">
        <v>0</v>
      </c>
      <c r="AU87" s="1356"/>
      <c r="AV87" s="1537">
        <v>0</v>
      </c>
      <c r="AW87" s="1356"/>
      <c r="AX87" s="1537">
        <v>0</v>
      </c>
      <c r="AY87" s="1356"/>
      <c r="AZ87" s="1537">
        <v>0</v>
      </c>
      <c r="BA87" s="1356"/>
      <c r="BB87" s="1537">
        <v>1</v>
      </c>
      <c r="BC87" s="1356"/>
      <c r="BD87" s="1537"/>
      <c r="BE87" s="1356"/>
      <c r="BF87" s="1537">
        <v>0</v>
      </c>
      <c r="BG87" s="1356"/>
      <c r="BH87" s="1537">
        <v>0</v>
      </c>
      <c r="BI87" s="1356"/>
      <c r="BJ87" s="1537">
        <v>0</v>
      </c>
      <c r="BK87" s="1356"/>
      <c r="BL87" s="1537">
        <v>0</v>
      </c>
      <c r="BM87" s="1356"/>
      <c r="BN87" s="1537">
        <v>1</v>
      </c>
      <c r="BO87" s="1356"/>
      <c r="BP87" s="1537">
        <v>0</v>
      </c>
      <c r="BQ87" s="1356"/>
      <c r="BR87" s="1537">
        <v>0</v>
      </c>
      <c r="BS87" s="1356"/>
      <c r="BT87" s="1537">
        <v>1</v>
      </c>
      <c r="BU87" s="1356"/>
      <c r="BV87" s="1537">
        <v>0</v>
      </c>
      <c r="BW87" s="1356"/>
      <c r="BX87" s="1537">
        <v>1</v>
      </c>
      <c r="BY87" s="1356"/>
      <c r="BZ87" s="1537">
        <v>1</v>
      </c>
      <c r="CA87" s="1356"/>
      <c r="CB87" s="1537">
        <v>1</v>
      </c>
      <c r="CC87" s="1356"/>
      <c r="CD87" s="1537">
        <v>0</v>
      </c>
      <c r="CE87" s="1356"/>
      <c r="CF87" s="1537">
        <v>0</v>
      </c>
      <c r="CG87" s="1356"/>
      <c r="CH87" s="1537">
        <v>1</v>
      </c>
      <c r="CI87" s="1356"/>
      <c r="CJ87" s="1537">
        <v>0</v>
      </c>
      <c r="CK87" s="1356"/>
      <c r="CL87" s="1537">
        <v>1</v>
      </c>
      <c r="CM87" s="1356"/>
      <c r="CN87" s="1537">
        <v>1</v>
      </c>
      <c r="CO87" s="1356"/>
      <c r="CP87" s="1537">
        <v>0</v>
      </c>
      <c r="CQ87" s="1356"/>
      <c r="CR87" s="1537">
        <v>1</v>
      </c>
      <c r="CS87" s="1356"/>
      <c r="CT87" s="1537">
        <v>1</v>
      </c>
      <c r="CU87" s="1356"/>
      <c r="CV87" s="1537">
        <v>1</v>
      </c>
      <c r="CW87" s="1356"/>
      <c r="CX87" s="1537">
        <v>0</v>
      </c>
      <c r="CY87" s="1356"/>
      <c r="CZ87" s="1537">
        <v>0</v>
      </c>
      <c r="DA87" s="1356"/>
      <c r="DB87" s="1537">
        <v>0</v>
      </c>
      <c r="DC87" s="1356"/>
      <c r="DD87" s="1537">
        <v>1</v>
      </c>
      <c r="DE87" s="1356"/>
      <c r="DF87" s="1537">
        <v>1</v>
      </c>
      <c r="DG87" s="1356"/>
      <c r="DH87" s="1537">
        <v>1</v>
      </c>
      <c r="DI87" s="1356"/>
      <c r="DJ87" s="1537">
        <v>1</v>
      </c>
      <c r="DK87" s="1356"/>
      <c r="DL87" s="1537">
        <v>1</v>
      </c>
      <c r="DM87" s="1356"/>
      <c r="DN87" s="1537">
        <v>0</v>
      </c>
      <c r="DO87" s="1356"/>
      <c r="DP87" s="1537">
        <v>0</v>
      </c>
      <c r="DQ87" s="1356"/>
      <c r="DR87" s="1537">
        <v>0</v>
      </c>
      <c r="DS87" s="1356"/>
      <c r="DT87" s="1537">
        <v>1</v>
      </c>
      <c r="DU87" s="1356"/>
      <c r="DV87" s="1537">
        <v>0</v>
      </c>
      <c r="DW87" s="1356"/>
      <c r="DX87" s="1537"/>
      <c r="DY87" s="1356"/>
      <c r="DZ87" s="1537">
        <v>0</v>
      </c>
      <c r="EA87" s="1356"/>
      <c r="EB87" s="1537">
        <v>0</v>
      </c>
      <c r="EC87" s="1356"/>
      <c r="ED87" s="1537">
        <v>1</v>
      </c>
      <c r="EE87" s="1356"/>
      <c r="EF87" s="1537">
        <v>0</v>
      </c>
      <c r="EG87" s="1356"/>
      <c r="EH87" s="1537">
        <v>1</v>
      </c>
      <c r="EI87" s="1356"/>
      <c r="EJ87" s="1537">
        <v>0</v>
      </c>
      <c r="EK87" s="1356"/>
      <c r="EL87" s="1537">
        <v>1</v>
      </c>
      <c r="EM87" s="1356"/>
      <c r="EN87" s="1537">
        <v>1</v>
      </c>
      <c r="EO87" s="1356"/>
      <c r="EP87" s="1537">
        <v>1</v>
      </c>
      <c r="EQ87" s="1356"/>
      <c r="ER87" s="1537">
        <v>1</v>
      </c>
      <c r="ES87" s="1356"/>
      <c r="ET87" s="1537">
        <v>0</v>
      </c>
      <c r="EU87" s="1356"/>
      <c r="EV87" s="1537">
        <v>0</v>
      </c>
      <c r="EW87" s="1356"/>
      <c r="EX87" s="1537">
        <v>0</v>
      </c>
      <c r="EY87" s="1356"/>
      <c r="EZ87" s="1537">
        <v>1</v>
      </c>
      <c r="FA87" s="1356"/>
      <c r="FB87" s="1537">
        <v>1</v>
      </c>
      <c r="FC87" s="1356"/>
      <c r="FD87" s="1537">
        <v>0</v>
      </c>
      <c r="FE87" s="1356"/>
      <c r="FF87" s="1537">
        <v>0</v>
      </c>
      <c r="FG87" s="1356"/>
      <c r="FH87" s="1537">
        <v>1</v>
      </c>
      <c r="FI87" s="1356"/>
      <c r="FJ87" s="1537">
        <v>0</v>
      </c>
      <c r="FK87" s="1356"/>
      <c r="FL87" s="1537">
        <v>0</v>
      </c>
      <c r="FM87" s="1356"/>
      <c r="FN87" s="1537">
        <v>0</v>
      </c>
      <c r="FO87" s="1356"/>
      <c r="FP87" s="1537">
        <v>0</v>
      </c>
      <c r="FQ87" s="1356"/>
      <c r="FR87" s="1537">
        <v>0</v>
      </c>
      <c r="FS87" s="1356"/>
      <c r="FT87" s="1537">
        <v>1</v>
      </c>
      <c r="FU87" s="1356"/>
      <c r="FV87" s="1537">
        <v>1</v>
      </c>
      <c r="FW87" s="1356"/>
      <c r="FX87" s="1537">
        <v>0</v>
      </c>
      <c r="FY87" s="1356"/>
      <c r="FZ87" s="1537">
        <v>1</v>
      </c>
      <c r="GA87" s="1356"/>
      <c r="GB87" s="1537">
        <v>1</v>
      </c>
      <c r="GC87" s="1356"/>
      <c r="GD87" s="1537">
        <v>1</v>
      </c>
      <c r="GE87" s="1356"/>
      <c r="GF87" s="1537">
        <v>1</v>
      </c>
      <c r="GG87" s="1356"/>
      <c r="GH87" s="1537">
        <v>0</v>
      </c>
      <c r="GI87" s="1356"/>
      <c r="GJ87" s="1537">
        <v>1</v>
      </c>
      <c r="GK87" s="1356"/>
      <c r="GL87" s="1537">
        <v>1</v>
      </c>
      <c r="GM87" s="1356"/>
      <c r="GN87" s="1537">
        <v>1</v>
      </c>
      <c r="GO87" s="1356"/>
      <c r="GP87" s="1537">
        <v>1</v>
      </c>
      <c r="GQ87" s="1356"/>
      <c r="GR87" s="1537"/>
      <c r="GS87" s="1356"/>
      <c r="GT87" s="1537">
        <v>1</v>
      </c>
      <c r="GU87" s="1356"/>
      <c r="GV87" s="1537">
        <v>0</v>
      </c>
      <c r="GW87" s="1356"/>
      <c r="GX87" s="1537">
        <v>0</v>
      </c>
      <c r="GY87" s="1356"/>
      <c r="GZ87" s="1537">
        <v>1</v>
      </c>
      <c r="HA87" s="1356"/>
      <c r="HB87" s="1537">
        <v>0</v>
      </c>
      <c r="HC87" s="1356"/>
      <c r="HD87" s="1537">
        <v>0</v>
      </c>
      <c r="HE87" s="1356"/>
      <c r="HF87" s="2012">
        <v>0</v>
      </c>
      <c r="HG87" s="2008"/>
      <c r="HH87" s="1537">
        <v>1</v>
      </c>
      <c r="HI87" s="1356"/>
      <c r="HJ87" s="1537">
        <v>1</v>
      </c>
      <c r="HK87" s="1356"/>
      <c r="HL87" s="1537">
        <v>1</v>
      </c>
      <c r="HM87" s="1356"/>
      <c r="HN87" s="1537">
        <v>0</v>
      </c>
      <c r="HO87" s="1356"/>
      <c r="HP87" s="2012">
        <v>0</v>
      </c>
      <c r="HQ87" s="2008"/>
      <c r="HR87" s="1537">
        <v>1</v>
      </c>
      <c r="HS87" s="1356"/>
      <c r="HT87" s="2012">
        <v>1</v>
      </c>
      <c r="HU87" s="2008"/>
      <c r="HV87" s="2012">
        <v>0</v>
      </c>
      <c r="HW87" s="2008"/>
      <c r="HX87" s="2012">
        <v>1</v>
      </c>
      <c r="HY87" s="2008"/>
      <c r="HZ87" s="2012">
        <v>1</v>
      </c>
      <c r="IA87" s="2008"/>
      <c r="IB87" s="1537">
        <v>0</v>
      </c>
      <c r="IC87" s="1356"/>
      <c r="ID87" s="2012">
        <v>0</v>
      </c>
      <c r="IE87" s="2008"/>
      <c r="IF87" s="2012">
        <v>1</v>
      </c>
      <c r="IG87" s="2008"/>
    </row>
    <row r="88" spans="1:241">
      <c r="A88" s="1149"/>
      <c r="B88" s="1149" t="s">
        <v>1222</v>
      </c>
      <c r="C88" s="1149"/>
      <c r="D88" s="1149"/>
      <c r="E88" s="1149" t="s">
        <v>1168</v>
      </c>
      <c r="F88" s="1537"/>
      <c r="G88" s="1356"/>
      <c r="H88" s="1537"/>
      <c r="I88" s="1356"/>
      <c r="J88" s="1537"/>
      <c r="K88" s="1356"/>
      <c r="L88" s="1537"/>
      <c r="M88" s="1356"/>
      <c r="N88" s="1537"/>
      <c r="O88" s="1356"/>
      <c r="P88" s="1537">
        <v>0</v>
      </c>
      <c r="Q88" s="1356"/>
      <c r="R88" s="1537"/>
      <c r="T88" s="1537"/>
      <c r="U88" s="1356"/>
      <c r="V88" s="1537"/>
      <c r="W88" s="1356"/>
      <c r="X88" s="1537">
        <v>1</v>
      </c>
      <c r="Y88" s="1356"/>
      <c r="Z88" s="1537"/>
      <c r="AA88" s="1356"/>
      <c r="AB88" s="1537">
        <v>1</v>
      </c>
      <c r="AC88" s="1356"/>
      <c r="AD88" s="1537"/>
      <c r="AE88" s="1356"/>
      <c r="AF88" s="1537"/>
      <c r="AG88" s="1356"/>
      <c r="AH88" s="1537"/>
      <c r="AI88" s="1356"/>
      <c r="AJ88" s="1537"/>
      <c r="AK88" s="1356"/>
      <c r="AL88" s="1537"/>
      <c r="AM88" s="1356"/>
      <c r="AN88" s="1537">
        <v>1</v>
      </c>
      <c r="AO88" s="1356"/>
      <c r="AP88" s="1537">
        <v>1</v>
      </c>
      <c r="AQ88" s="1356"/>
      <c r="AR88" s="1537">
        <v>1</v>
      </c>
      <c r="AS88" s="1356"/>
      <c r="AT88" s="1537"/>
      <c r="AU88" s="1356"/>
      <c r="AV88" s="1537"/>
      <c r="AW88" s="1356"/>
      <c r="AX88" s="1537"/>
      <c r="AY88" s="1356"/>
      <c r="AZ88" s="1537">
        <v>0</v>
      </c>
      <c r="BA88" s="1356"/>
      <c r="BB88" s="1537">
        <v>0</v>
      </c>
      <c r="BC88" s="1356"/>
      <c r="BD88" s="1537"/>
      <c r="BE88" s="1356"/>
      <c r="BF88" s="1537"/>
      <c r="BG88" s="1356"/>
      <c r="BH88" s="1537"/>
      <c r="BI88" s="1356"/>
      <c r="BJ88" s="1537">
        <v>0</v>
      </c>
      <c r="BK88" s="1356"/>
      <c r="BL88" s="1537"/>
      <c r="BM88" s="1356"/>
      <c r="BN88" s="1537">
        <v>0</v>
      </c>
      <c r="BO88" s="1356"/>
      <c r="BP88" s="1537"/>
      <c r="BQ88" s="1356"/>
      <c r="BR88" s="1537">
        <v>0</v>
      </c>
      <c r="BS88" s="1356"/>
      <c r="BT88" s="1537"/>
      <c r="BU88" s="1356"/>
      <c r="BV88" s="1537"/>
      <c r="BW88" s="1356"/>
      <c r="BX88" s="1537"/>
      <c r="BY88" s="1356"/>
      <c r="BZ88" s="1537">
        <v>0</v>
      </c>
      <c r="CA88" s="1356"/>
      <c r="CB88" s="1537">
        <v>1</v>
      </c>
      <c r="CC88" s="1356"/>
      <c r="CD88" s="1537">
        <v>0</v>
      </c>
      <c r="CE88" s="1356"/>
      <c r="CF88" s="1537"/>
      <c r="CG88" s="1356"/>
      <c r="CH88" s="1537"/>
      <c r="CI88" s="1356"/>
      <c r="CJ88" s="1537"/>
      <c r="CK88" s="1356"/>
      <c r="CL88" s="1537"/>
      <c r="CM88" s="1356"/>
      <c r="CN88" s="1537">
        <v>0</v>
      </c>
      <c r="CO88" s="1356"/>
      <c r="CP88" s="1537"/>
      <c r="CQ88" s="1356"/>
      <c r="CR88" s="1537"/>
      <c r="CS88" s="1356"/>
      <c r="CT88" s="1537">
        <v>0</v>
      </c>
      <c r="CU88" s="1356"/>
      <c r="CV88" s="1537">
        <v>1</v>
      </c>
      <c r="CW88" s="1356"/>
      <c r="CX88" s="1537"/>
      <c r="CY88" s="1356"/>
      <c r="CZ88" s="1537"/>
      <c r="DA88" s="1356"/>
      <c r="DB88" s="1537"/>
      <c r="DC88" s="1356"/>
      <c r="DD88" s="1537">
        <v>1</v>
      </c>
      <c r="DE88" s="1356"/>
      <c r="DF88" s="1537"/>
      <c r="DG88" s="1356"/>
      <c r="DH88" s="1537">
        <v>0</v>
      </c>
      <c r="DI88" s="1356"/>
      <c r="DJ88" s="1537">
        <v>1</v>
      </c>
      <c r="DK88" s="1356"/>
      <c r="DL88" s="1537">
        <v>1</v>
      </c>
      <c r="DM88" s="1356"/>
      <c r="DN88" s="1537"/>
      <c r="DO88" s="1356"/>
      <c r="DP88" s="1537">
        <v>0</v>
      </c>
      <c r="DQ88" s="1356"/>
      <c r="DR88" s="1537"/>
      <c r="DS88" s="1356"/>
      <c r="DT88" s="1537">
        <v>1</v>
      </c>
      <c r="DU88" s="1356"/>
      <c r="DV88" s="1537"/>
      <c r="DW88" s="1356"/>
      <c r="DX88" s="1537">
        <v>1</v>
      </c>
      <c r="DY88" s="1356"/>
      <c r="DZ88" s="1537"/>
      <c r="EA88" s="1356"/>
      <c r="EB88" s="1537"/>
      <c r="EC88" s="1356"/>
      <c r="ED88" s="1537">
        <v>1</v>
      </c>
      <c r="EE88" s="1356"/>
      <c r="EF88" s="1537"/>
      <c r="EG88" s="1356"/>
      <c r="EH88" s="1537"/>
      <c r="EI88" s="1356"/>
      <c r="EJ88" s="1537">
        <v>0</v>
      </c>
      <c r="EK88" s="1356"/>
      <c r="EL88" s="1537"/>
      <c r="EM88" s="1356"/>
      <c r="EN88" s="1537">
        <v>1</v>
      </c>
      <c r="EO88" s="1356"/>
      <c r="EP88" s="1537">
        <v>1</v>
      </c>
      <c r="EQ88" s="1356"/>
      <c r="ER88" s="1537"/>
      <c r="ES88" s="1356"/>
      <c r="ET88" s="1537">
        <v>0</v>
      </c>
      <c r="EU88" s="1356"/>
      <c r="EV88" s="1537">
        <v>0</v>
      </c>
      <c r="EW88" s="1356"/>
      <c r="EX88" s="1537"/>
      <c r="EY88" s="1356"/>
      <c r="EZ88" s="1537">
        <v>1</v>
      </c>
      <c r="FA88" s="1356"/>
      <c r="FB88" s="1537">
        <v>1</v>
      </c>
      <c r="FC88" s="1356"/>
      <c r="FD88" s="1537">
        <v>0</v>
      </c>
      <c r="FE88" s="1356"/>
      <c r="FF88" s="1537">
        <v>0</v>
      </c>
      <c r="FG88" s="1356"/>
      <c r="FH88" s="1537"/>
      <c r="FI88" s="1356"/>
      <c r="FJ88" s="1537"/>
      <c r="FK88" s="1356"/>
      <c r="FL88" s="1537"/>
      <c r="FM88" s="1356"/>
      <c r="FN88" s="1537"/>
      <c r="FO88" s="1356"/>
      <c r="FP88" s="1537"/>
      <c r="FQ88" s="1356"/>
      <c r="FR88" s="1537"/>
      <c r="FS88" s="1356"/>
      <c r="FT88" s="1537">
        <v>1</v>
      </c>
      <c r="FU88" s="1356"/>
      <c r="FV88" s="1537">
        <v>1</v>
      </c>
      <c r="FW88" s="1356"/>
      <c r="FX88" s="1537"/>
      <c r="FY88" s="1356"/>
      <c r="FZ88" s="1537"/>
      <c r="GA88" s="1356"/>
      <c r="GB88" s="1537">
        <v>1</v>
      </c>
      <c r="GC88" s="1356"/>
      <c r="GD88" s="1537">
        <v>1</v>
      </c>
      <c r="GE88" s="1356"/>
      <c r="GF88" s="1537"/>
      <c r="GG88" s="1356"/>
      <c r="GH88" s="1537">
        <v>0</v>
      </c>
      <c r="GI88" s="1356"/>
      <c r="GJ88" s="1537">
        <v>0</v>
      </c>
      <c r="GK88" s="1356"/>
      <c r="GL88" s="1537">
        <v>1</v>
      </c>
      <c r="GM88" s="1356"/>
      <c r="GN88" s="1537">
        <v>1</v>
      </c>
      <c r="GO88" s="1356"/>
      <c r="GP88" s="1537"/>
      <c r="GQ88" s="1356"/>
      <c r="GR88" s="1537"/>
      <c r="GS88" s="1356"/>
      <c r="GT88" s="1537"/>
      <c r="GU88" s="1356"/>
      <c r="GV88" s="1537"/>
      <c r="GW88" s="1356"/>
      <c r="GX88" s="1537"/>
      <c r="GY88" s="1356"/>
      <c r="GZ88" s="1537"/>
      <c r="HA88" s="1356"/>
      <c r="HB88" s="1537">
        <v>0</v>
      </c>
      <c r="HC88" s="1356"/>
      <c r="HD88" s="1537"/>
      <c r="HE88" s="1356"/>
      <c r="HF88" s="2012"/>
      <c r="HH88" s="1537">
        <v>1</v>
      </c>
      <c r="HI88" s="1356"/>
      <c r="HJ88" s="1537">
        <v>0</v>
      </c>
      <c r="HK88" s="1356"/>
      <c r="HL88" s="1537">
        <v>1</v>
      </c>
      <c r="HM88" s="1356"/>
      <c r="HN88" s="1537">
        <v>0</v>
      </c>
      <c r="HO88" s="1356"/>
      <c r="HP88" s="2012">
        <v>0</v>
      </c>
      <c r="HR88" s="1537"/>
      <c r="HS88" s="1356"/>
      <c r="HT88" s="2012"/>
      <c r="HV88" s="2012"/>
      <c r="HX88" s="2012">
        <v>1</v>
      </c>
      <c r="HZ88" s="2012">
        <v>1</v>
      </c>
      <c r="IB88" s="1537">
        <v>0</v>
      </c>
      <c r="IC88" s="1356"/>
      <c r="ID88" s="2012">
        <v>0</v>
      </c>
      <c r="IF88" s="2012">
        <v>0</v>
      </c>
    </row>
    <row r="89" spans="1:241">
      <c r="A89" s="1149"/>
      <c r="B89" s="1149"/>
      <c r="C89" s="1149"/>
      <c r="D89" s="1149"/>
      <c r="E89" s="1149" t="s">
        <v>1169</v>
      </c>
      <c r="F89" s="1537"/>
      <c r="G89" s="1356"/>
      <c r="H89" s="1537"/>
      <c r="I89" s="1356"/>
      <c r="J89" s="1537"/>
      <c r="K89" s="1356"/>
      <c r="L89" s="1537"/>
      <c r="M89" s="1356"/>
      <c r="N89" s="1537"/>
      <c r="O89" s="1356"/>
      <c r="P89" s="1537">
        <v>1</v>
      </c>
      <c r="Q89" s="1356"/>
      <c r="R89" s="1537"/>
      <c r="T89" s="1537"/>
      <c r="U89" s="1356"/>
      <c r="V89" s="1537"/>
      <c r="W89" s="1356"/>
      <c r="X89" s="1537">
        <v>0</v>
      </c>
      <c r="Y89" s="1356"/>
      <c r="Z89" s="1537"/>
      <c r="AA89" s="1356"/>
      <c r="AB89" s="1537">
        <v>0</v>
      </c>
      <c r="AC89" s="1356"/>
      <c r="AD89" s="1537"/>
      <c r="AE89" s="1356"/>
      <c r="AF89" s="1537">
        <v>1</v>
      </c>
      <c r="AG89" s="1356"/>
      <c r="AH89" s="1537"/>
      <c r="AI89" s="1356"/>
      <c r="AJ89" s="1537"/>
      <c r="AK89" s="1356"/>
      <c r="AL89" s="1537"/>
      <c r="AM89" s="1356"/>
      <c r="AN89" s="1537"/>
      <c r="AO89" s="1356"/>
      <c r="AP89" s="1537">
        <v>0</v>
      </c>
      <c r="AQ89" s="1356"/>
      <c r="AR89" s="1537">
        <v>0</v>
      </c>
      <c r="AS89" s="1356"/>
      <c r="AT89" s="1537"/>
      <c r="AU89" s="1356"/>
      <c r="AV89" s="1537"/>
      <c r="AW89" s="1356"/>
      <c r="AX89" s="1537"/>
      <c r="AY89" s="1356"/>
      <c r="AZ89" s="1537">
        <v>0</v>
      </c>
      <c r="BA89" s="1356"/>
      <c r="BB89" s="1537">
        <v>1</v>
      </c>
      <c r="BC89" s="1356"/>
      <c r="BD89" s="1537"/>
      <c r="BE89" s="1356"/>
      <c r="BF89" s="1537"/>
      <c r="BG89" s="1356"/>
      <c r="BH89" s="1537"/>
      <c r="BI89" s="1356"/>
      <c r="BJ89" s="1537">
        <v>0</v>
      </c>
      <c r="BK89" s="1356"/>
      <c r="BL89" s="1537"/>
      <c r="BM89" s="1356"/>
      <c r="BN89" s="1537">
        <v>1</v>
      </c>
      <c r="BO89" s="1356"/>
      <c r="BP89" s="1537"/>
      <c r="BQ89" s="1356"/>
      <c r="BR89" s="1537">
        <v>0</v>
      </c>
      <c r="BS89" s="1356"/>
      <c r="BT89" s="1537">
        <v>1</v>
      </c>
      <c r="BU89" s="1356"/>
      <c r="BV89" s="1537"/>
      <c r="BW89" s="1356"/>
      <c r="BX89" s="1537"/>
      <c r="BY89" s="1356"/>
      <c r="BZ89" s="1537">
        <v>1</v>
      </c>
      <c r="CA89" s="1356"/>
      <c r="CB89" s="1537">
        <v>1</v>
      </c>
      <c r="CC89" s="1356"/>
      <c r="CD89" s="1537">
        <v>0</v>
      </c>
      <c r="CE89" s="1356"/>
      <c r="CF89" s="1537"/>
      <c r="CG89" s="1356"/>
      <c r="CH89" s="1537"/>
      <c r="CI89" s="1356"/>
      <c r="CJ89" s="1537"/>
      <c r="CK89" s="1356"/>
      <c r="CL89" s="1537">
        <v>1</v>
      </c>
      <c r="CM89" s="1356"/>
      <c r="CN89" s="1537">
        <v>0</v>
      </c>
      <c r="CO89" s="1356"/>
      <c r="CP89" s="1537"/>
      <c r="CQ89" s="1356"/>
      <c r="CR89" s="1537">
        <v>1</v>
      </c>
      <c r="CS89" s="1356"/>
      <c r="CT89" s="1537">
        <v>1</v>
      </c>
      <c r="CU89" s="1356"/>
      <c r="CV89" s="1537"/>
      <c r="CW89" s="1356"/>
      <c r="CX89" s="1537"/>
      <c r="CY89" s="1356"/>
      <c r="CZ89" s="1537"/>
      <c r="DA89" s="1356"/>
      <c r="DB89" s="1537"/>
      <c r="DC89" s="1356"/>
      <c r="DD89" s="1537"/>
      <c r="DE89" s="1356"/>
      <c r="DF89" s="1537">
        <v>1</v>
      </c>
      <c r="DG89" s="1356"/>
      <c r="DH89" s="1537">
        <v>1</v>
      </c>
      <c r="DI89" s="1356"/>
      <c r="DJ89" s="1537">
        <v>0</v>
      </c>
      <c r="DK89" s="1356"/>
      <c r="DL89" s="1537"/>
      <c r="DM89" s="1356"/>
      <c r="DN89" s="1537"/>
      <c r="DO89" s="1356"/>
      <c r="DP89" s="1537">
        <v>0</v>
      </c>
      <c r="DQ89" s="1356"/>
      <c r="DR89" s="1537"/>
      <c r="DS89" s="1356"/>
      <c r="DT89" s="1537">
        <v>1</v>
      </c>
      <c r="DU89" s="1356"/>
      <c r="DV89" s="1537"/>
      <c r="DW89" s="1356"/>
      <c r="DX89" s="1537"/>
      <c r="DY89" s="1356"/>
      <c r="DZ89" s="1537"/>
      <c r="EA89" s="1356"/>
      <c r="EB89" s="1537"/>
      <c r="EC89" s="1356"/>
      <c r="ED89" s="1537">
        <v>0</v>
      </c>
      <c r="EE89" s="1356"/>
      <c r="EF89" s="1537"/>
      <c r="EG89" s="1356"/>
      <c r="EH89" s="1537"/>
      <c r="EI89" s="1356"/>
      <c r="EJ89" s="1537">
        <v>0</v>
      </c>
      <c r="EK89" s="1356"/>
      <c r="EL89" s="1537">
        <v>1</v>
      </c>
      <c r="EM89" s="1356"/>
      <c r="EN89" s="1537"/>
      <c r="EO89" s="1356"/>
      <c r="EP89" s="1537"/>
      <c r="EQ89" s="1356"/>
      <c r="ER89" s="1537"/>
      <c r="ES89" s="1356"/>
      <c r="ET89" s="1537">
        <v>0</v>
      </c>
      <c r="EU89" s="1356"/>
      <c r="EV89" s="1537">
        <v>0</v>
      </c>
      <c r="EW89" s="1356"/>
      <c r="EX89" s="1537"/>
      <c r="EY89" s="1356"/>
      <c r="EZ89" s="1537"/>
      <c r="FA89" s="1356"/>
      <c r="FB89" s="1537"/>
      <c r="FC89" s="1356"/>
      <c r="FD89" s="1537">
        <v>0</v>
      </c>
      <c r="FE89" s="1356"/>
      <c r="FF89" s="1537">
        <v>0</v>
      </c>
      <c r="FG89" s="1356"/>
      <c r="FH89" s="1537">
        <v>1</v>
      </c>
      <c r="FI89" s="1356"/>
      <c r="FJ89" s="1537">
        <v>0</v>
      </c>
      <c r="FK89" s="1356"/>
      <c r="FL89" s="1537"/>
      <c r="FM89" s="1356"/>
      <c r="FN89" s="1537"/>
      <c r="FO89" s="1356"/>
      <c r="FP89" s="1537"/>
      <c r="FQ89" s="1356"/>
      <c r="FR89" s="1537"/>
      <c r="FS89" s="1356"/>
      <c r="FT89" s="1537">
        <v>0</v>
      </c>
      <c r="FU89" s="1356"/>
      <c r="FV89" s="1537">
        <v>1</v>
      </c>
      <c r="FW89" s="1356"/>
      <c r="FX89" s="1537"/>
      <c r="FY89" s="1356"/>
      <c r="FZ89" s="1537">
        <v>1</v>
      </c>
      <c r="GA89" s="1356"/>
      <c r="GB89" s="1537"/>
      <c r="GC89" s="1356"/>
      <c r="GD89" s="1537"/>
      <c r="GE89" s="1356"/>
      <c r="GF89" s="1537">
        <v>1</v>
      </c>
      <c r="GG89" s="1356"/>
      <c r="GH89" s="1537">
        <v>0</v>
      </c>
      <c r="GI89" s="1356"/>
      <c r="GJ89" s="1537">
        <v>1</v>
      </c>
      <c r="GK89" s="1356"/>
      <c r="GL89" s="1537"/>
      <c r="GM89" s="1356"/>
      <c r="GN89" s="1537"/>
      <c r="GO89" s="1356"/>
      <c r="GP89" s="1537"/>
      <c r="GQ89" s="1356"/>
      <c r="GR89" s="1537"/>
      <c r="GS89" s="1356"/>
      <c r="GT89" s="1537">
        <v>1</v>
      </c>
      <c r="GU89" s="1356"/>
      <c r="GV89" s="1537"/>
      <c r="GW89" s="1356"/>
      <c r="GX89" s="1537"/>
      <c r="GY89" s="1356"/>
      <c r="GZ89" s="1537">
        <v>1</v>
      </c>
      <c r="HA89" s="1356"/>
      <c r="HB89" s="1537">
        <v>0</v>
      </c>
      <c r="HC89" s="1356"/>
      <c r="HD89" s="1537"/>
      <c r="HE89" s="1356"/>
      <c r="HF89" s="2012"/>
      <c r="HH89" s="1537">
        <v>0</v>
      </c>
      <c r="HI89" s="1356"/>
      <c r="HJ89" s="1537">
        <v>0</v>
      </c>
      <c r="HK89" s="1356"/>
      <c r="HL89" s="1537">
        <v>0</v>
      </c>
      <c r="HM89" s="1356"/>
      <c r="HN89" s="1537">
        <v>0</v>
      </c>
      <c r="HO89" s="1356"/>
      <c r="HP89" s="2012">
        <v>0</v>
      </c>
      <c r="HR89" s="1537"/>
      <c r="HS89" s="1356"/>
      <c r="HT89" s="2012">
        <v>1</v>
      </c>
      <c r="HV89" s="2012"/>
      <c r="HX89" s="2012">
        <v>0</v>
      </c>
      <c r="HZ89" s="2012"/>
      <c r="IB89" s="1537"/>
      <c r="IC89" s="1356"/>
      <c r="ID89" s="2012">
        <v>0</v>
      </c>
      <c r="IF89" s="2012">
        <v>1</v>
      </c>
    </row>
    <row r="90" spans="1:241">
      <c r="A90" s="1149"/>
      <c r="B90" s="1149"/>
      <c r="C90" s="1149"/>
      <c r="D90" s="1149"/>
      <c r="E90" s="1149" t="s">
        <v>1170</v>
      </c>
      <c r="F90" s="1537"/>
      <c r="G90" s="1356"/>
      <c r="H90" s="1537"/>
      <c r="I90" s="1356"/>
      <c r="J90" s="1537"/>
      <c r="K90" s="1356"/>
      <c r="L90" s="1537">
        <v>1</v>
      </c>
      <c r="M90" s="1356"/>
      <c r="N90" s="1537"/>
      <c r="O90" s="1356"/>
      <c r="P90" s="1537">
        <v>0</v>
      </c>
      <c r="Q90" s="1356"/>
      <c r="R90" s="1537"/>
      <c r="T90" s="1537"/>
      <c r="U90" s="1356"/>
      <c r="V90" s="1537"/>
      <c r="W90" s="1356"/>
      <c r="X90" s="1537">
        <v>0</v>
      </c>
      <c r="Y90" s="1356"/>
      <c r="Z90" s="1537"/>
      <c r="AA90" s="1356"/>
      <c r="AB90" s="1537">
        <v>0</v>
      </c>
      <c r="AC90" s="1356"/>
      <c r="AD90" s="1537"/>
      <c r="AE90" s="1356"/>
      <c r="AF90" s="1537"/>
      <c r="AG90" s="1356"/>
      <c r="AH90" s="1537"/>
      <c r="AI90" s="1356"/>
      <c r="AJ90" s="1537"/>
      <c r="AK90" s="1356"/>
      <c r="AL90" s="1537"/>
      <c r="AM90" s="1356"/>
      <c r="AN90" s="1537">
        <v>1</v>
      </c>
      <c r="AO90" s="1356"/>
      <c r="AP90" s="1537">
        <v>0</v>
      </c>
      <c r="AQ90" s="1356"/>
      <c r="AR90" s="1537">
        <v>0</v>
      </c>
      <c r="AS90" s="1356"/>
      <c r="AT90" s="1537"/>
      <c r="AU90" s="1356"/>
      <c r="AV90" s="1537"/>
      <c r="AW90" s="1356"/>
      <c r="AX90" s="1537"/>
      <c r="AY90" s="1356"/>
      <c r="AZ90" s="1537">
        <v>0</v>
      </c>
      <c r="BA90" s="1356"/>
      <c r="BB90" s="1537">
        <v>0</v>
      </c>
      <c r="BC90" s="1356"/>
      <c r="BD90" s="1537"/>
      <c r="BE90" s="1356"/>
      <c r="BF90" s="1537"/>
      <c r="BG90" s="1356"/>
      <c r="BH90" s="1537"/>
      <c r="BI90" s="1356"/>
      <c r="BJ90" s="1537">
        <v>0</v>
      </c>
      <c r="BK90" s="1356"/>
      <c r="BL90" s="1537"/>
      <c r="BM90" s="1356"/>
      <c r="BN90" s="1537">
        <v>0</v>
      </c>
      <c r="BO90" s="1356"/>
      <c r="BP90" s="1537"/>
      <c r="BQ90" s="1356"/>
      <c r="BR90" s="1537">
        <v>0</v>
      </c>
      <c r="BS90" s="1356"/>
      <c r="BT90" s="1537"/>
      <c r="BU90" s="1356"/>
      <c r="BV90" s="1537"/>
      <c r="BW90" s="1356"/>
      <c r="BX90" s="1537"/>
      <c r="BY90" s="1356"/>
      <c r="BZ90" s="1537">
        <v>0</v>
      </c>
      <c r="CA90" s="1356"/>
      <c r="CB90" s="1537">
        <v>0</v>
      </c>
      <c r="CC90" s="1356"/>
      <c r="CD90" s="1537">
        <v>0</v>
      </c>
      <c r="CE90" s="1356"/>
      <c r="CF90" s="1537"/>
      <c r="CG90" s="1356"/>
      <c r="CH90" s="1537"/>
      <c r="CI90" s="1356"/>
      <c r="CJ90" s="1537"/>
      <c r="CK90" s="1356"/>
      <c r="CL90" s="1537"/>
      <c r="CM90" s="1356"/>
      <c r="CN90" s="1537">
        <v>0</v>
      </c>
      <c r="CO90" s="1356"/>
      <c r="CP90" s="1537"/>
      <c r="CQ90" s="1356"/>
      <c r="CR90" s="1537"/>
      <c r="CS90" s="1356"/>
      <c r="CT90" s="1537">
        <v>0</v>
      </c>
      <c r="CU90" s="1356"/>
      <c r="CV90" s="1537"/>
      <c r="CW90" s="1356"/>
      <c r="CX90" s="1537"/>
      <c r="CY90" s="1356"/>
      <c r="CZ90" s="1537"/>
      <c r="DA90" s="1356"/>
      <c r="DB90" s="1537"/>
      <c r="DC90" s="1356"/>
      <c r="DD90" s="1537"/>
      <c r="DE90" s="1356"/>
      <c r="DF90" s="1537"/>
      <c r="DG90" s="1356"/>
      <c r="DH90" s="1537">
        <v>1</v>
      </c>
      <c r="DI90" s="1356"/>
      <c r="DJ90" s="1537">
        <v>1</v>
      </c>
      <c r="DK90" s="1356"/>
      <c r="DL90" s="1537">
        <v>1</v>
      </c>
      <c r="DM90" s="1356"/>
      <c r="DN90" s="1537"/>
      <c r="DO90" s="1356"/>
      <c r="DP90" s="1537">
        <v>0</v>
      </c>
      <c r="DQ90" s="1356"/>
      <c r="DR90" s="1537"/>
      <c r="DS90" s="1356"/>
      <c r="DT90" s="1537"/>
      <c r="DU90" s="1356"/>
      <c r="DV90" s="1537"/>
      <c r="DW90" s="1356"/>
      <c r="DX90" s="1537"/>
      <c r="DY90" s="1356"/>
      <c r="DZ90" s="1537"/>
      <c r="EA90" s="1356"/>
      <c r="EB90" s="1537"/>
      <c r="EC90" s="1356"/>
      <c r="ED90" s="1537">
        <v>0</v>
      </c>
      <c r="EE90" s="1356"/>
      <c r="EF90" s="1537"/>
      <c r="EG90" s="1356"/>
      <c r="EH90" s="1537">
        <v>1</v>
      </c>
      <c r="EI90" s="1356"/>
      <c r="EJ90" s="1537">
        <v>0</v>
      </c>
      <c r="EK90" s="1356"/>
      <c r="EL90" s="1537"/>
      <c r="EM90" s="1356"/>
      <c r="EN90" s="1537"/>
      <c r="EO90" s="1356"/>
      <c r="EP90" s="1537"/>
      <c r="EQ90" s="1356"/>
      <c r="ER90" s="1537">
        <v>1</v>
      </c>
      <c r="ES90" s="1356"/>
      <c r="ET90" s="1537">
        <v>0</v>
      </c>
      <c r="EU90" s="1356"/>
      <c r="EV90" s="1537">
        <v>0</v>
      </c>
      <c r="EW90" s="1356"/>
      <c r="EX90" s="1537"/>
      <c r="EY90" s="1356"/>
      <c r="EZ90" s="1537"/>
      <c r="FA90" s="1356"/>
      <c r="FB90" s="1537"/>
      <c r="FC90" s="1356"/>
      <c r="FD90" s="1537">
        <v>0</v>
      </c>
      <c r="FE90" s="1356"/>
      <c r="FF90" s="1537">
        <v>0</v>
      </c>
      <c r="FG90" s="1356"/>
      <c r="FH90" s="1537"/>
      <c r="FI90" s="1356"/>
      <c r="FJ90" s="1537"/>
      <c r="FK90" s="1356"/>
      <c r="FL90" s="1537"/>
      <c r="FM90" s="1356"/>
      <c r="FN90" s="1537"/>
      <c r="FO90" s="1356"/>
      <c r="FP90" s="1537"/>
      <c r="FQ90" s="1356"/>
      <c r="FR90" s="1537"/>
      <c r="FS90" s="1356"/>
      <c r="FT90" s="1537">
        <v>0</v>
      </c>
      <c r="FU90" s="1356"/>
      <c r="FV90" s="1537">
        <v>0</v>
      </c>
      <c r="FW90" s="1356"/>
      <c r="FX90" s="1537"/>
      <c r="FY90" s="1356"/>
      <c r="FZ90" s="1537"/>
      <c r="GA90" s="1356"/>
      <c r="GB90" s="1537"/>
      <c r="GC90" s="1356"/>
      <c r="GD90" s="1537"/>
      <c r="GE90" s="1356"/>
      <c r="GF90" s="1537"/>
      <c r="GG90" s="1356"/>
      <c r="GH90" s="1537">
        <v>0</v>
      </c>
      <c r="GI90" s="1356"/>
      <c r="GJ90" s="1537">
        <v>0</v>
      </c>
      <c r="GK90" s="1356"/>
      <c r="GL90" s="1537"/>
      <c r="GM90" s="1356"/>
      <c r="GN90" s="1537"/>
      <c r="GO90" s="1356"/>
      <c r="GP90" s="1537"/>
      <c r="GQ90" s="1356"/>
      <c r="GR90" s="1537"/>
      <c r="GS90" s="1356"/>
      <c r="GT90" s="1537"/>
      <c r="GU90" s="1356"/>
      <c r="GV90" s="1537"/>
      <c r="GW90" s="1356"/>
      <c r="GX90" s="1537"/>
      <c r="GY90" s="1356"/>
      <c r="GZ90" s="1537"/>
      <c r="HA90" s="1356"/>
      <c r="HB90" s="1537">
        <v>0</v>
      </c>
      <c r="HC90" s="1356"/>
      <c r="HD90" s="1537"/>
      <c r="HE90" s="1356"/>
      <c r="HF90" s="2012"/>
      <c r="HH90" s="1537">
        <v>1</v>
      </c>
      <c r="HI90" s="1356"/>
      <c r="HJ90" s="1537">
        <v>0</v>
      </c>
      <c r="HK90" s="1356"/>
      <c r="HL90" s="1537">
        <v>0</v>
      </c>
      <c r="HM90" s="1356"/>
      <c r="HN90" s="1537">
        <v>0</v>
      </c>
      <c r="HO90" s="1356"/>
      <c r="HP90" s="2012">
        <v>0</v>
      </c>
      <c r="HR90" s="1537"/>
      <c r="HS90" s="1356"/>
      <c r="HT90" s="2012"/>
      <c r="HV90" s="2012"/>
      <c r="HX90" s="2012">
        <v>1</v>
      </c>
      <c r="HZ90" s="2012"/>
      <c r="IB90" s="1537"/>
      <c r="IC90" s="1356"/>
      <c r="ID90" s="2012">
        <v>0</v>
      </c>
      <c r="IF90" s="2012">
        <v>0</v>
      </c>
    </row>
    <row r="91" spans="1:241">
      <c r="A91" s="1149"/>
      <c r="B91" s="1149"/>
      <c r="C91" s="1149"/>
      <c r="D91" s="1149"/>
      <c r="E91" s="1149" t="s">
        <v>1171</v>
      </c>
      <c r="F91" s="1537"/>
      <c r="G91" s="1356"/>
      <c r="H91" s="1537"/>
      <c r="I91" s="1356"/>
      <c r="J91" s="1537"/>
      <c r="K91" s="1356"/>
      <c r="L91" s="1537"/>
      <c r="M91" s="1356"/>
      <c r="N91" s="1537"/>
      <c r="O91" s="1356"/>
      <c r="P91" s="1537">
        <v>0</v>
      </c>
      <c r="Q91" s="1356"/>
      <c r="R91" s="1537"/>
      <c r="T91" s="1537"/>
      <c r="U91" s="1356"/>
      <c r="V91" s="1537"/>
      <c r="W91" s="1356"/>
      <c r="X91" s="1537">
        <v>0</v>
      </c>
      <c r="Y91" s="1356"/>
      <c r="Z91" s="1537"/>
      <c r="AA91" s="1356"/>
      <c r="AB91" s="1537">
        <v>0</v>
      </c>
      <c r="AC91" s="1356"/>
      <c r="AD91" s="1537"/>
      <c r="AE91" s="1356"/>
      <c r="AF91" s="1537"/>
      <c r="AG91" s="1356"/>
      <c r="AH91" s="1537"/>
      <c r="AI91" s="1356"/>
      <c r="AJ91" s="1537"/>
      <c r="AK91" s="1356"/>
      <c r="AL91" s="1537"/>
      <c r="AM91" s="1356"/>
      <c r="AN91" s="1537"/>
      <c r="AO91" s="1356"/>
      <c r="AP91" s="1537">
        <v>0</v>
      </c>
      <c r="AQ91" s="1356"/>
      <c r="AR91" s="1537">
        <v>0</v>
      </c>
      <c r="AS91" s="1356"/>
      <c r="AT91" s="1537"/>
      <c r="AU91" s="1356"/>
      <c r="AV91" s="1537"/>
      <c r="AW91" s="1356"/>
      <c r="AX91" s="1537"/>
      <c r="AY91" s="1356"/>
      <c r="AZ91" s="1537">
        <v>0</v>
      </c>
      <c r="BA91" s="1356"/>
      <c r="BB91" s="1537">
        <v>0</v>
      </c>
      <c r="BC91" s="1356"/>
      <c r="BD91" s="1537"/>
      <c r="BE91" s="1356"/>
      <c r="BF91" s="1537"/>
      <c r="BG91" s="1356"/>
      <c r="BH91" s="1537"/>
      <c r="BI91" s="1356"/>
      <c r="BJ91" s="1537">
        <v>0</v>
      </c>
      <c r="BK91" s="1356"/>
      <c r="BL91" s="1537"/>
      <c r="BM91" s="1356"/>
      <c r="BN91" s="1537">
        <v>0</v>
      </c>
      <c r="BO91" s="1356"/>
      <c r="BP91" s="1537"/>
      <c r="BQ91" s="1356"/>
      <c r="BR91" s="1537">
        <v>0</v>
      </c>
      <c r="BS91" s="1356"/>
      <c r="BT91" s="1537"/>
      <c r="BU91" s="1356"/>
      <c r="BV91" s="1537"/>
      <c r="BW91" s="1356"/>
      <c r="BX91" s="1537">
        <v>1</v>
      </c>
      <c r="BY91" s="1356"/>
      <c r="BZ91" s="1537">
        <v>0</v>
      </c>
      <c r="CA91" s="1356"/>
      <c r="CB91" s="1537">
        <v>0</v>
      </c>
      <c r="CC91" s="1356"/>
      <c r="CD91" s="1537">
        <v>0</v>
      </c>
      <c r="CE91" s="1356"/>
      <c r="CF91" s="1537"/>
      <c r="CG91" s="1356"/>
      <c r="CH91" s="1537"/>
      <c r="CI91" s="1356"/>
      <c r="CJ91" s="1537"/>
      <c r="CK91" s="1356"/>
      <c r="CL91" s="1537"/>
      <c r="CM91" s="1356"/>
      <c r="CN91" s="1537">
        <v>0</v>
      </c>
      <c r="CO91" s="1356"/>
      <c r="CP91" s="1537"/>
      <c r="CQ91" s="1356"/>
      <c r="CR91" s="1537"/>
      <c r="CS91" s="1356"/>
      <c r="CT91" s="1537">
        <v>0</v>
      </c>
      <c r="CU91" s="1356"/>
      <c r="CV91" s="1537"/>
      <c r="CW91" s="1356"/>
      <c r="CX91" s="1537"/>
      <c r="CY91" s="1356"/>
      <c r="CZ91" s="1537"/>
      <c r="DA91" s="1356"/>
      <c r="DB91" s="1537"/>
      <c r="DC91" s="1356"/>
      <c r="DD91" s="1537"/>
      <c r="DE91" s="1356"/>
      <c r="DF91" s="1537"/>
      <c r="DG91" s="1356"/>
      <c r="DH91" s="1537">
        <v>0</v>
      </c>
      <c r="DI91" s="1356"/>
      <c r="DJ91" s="1537">
        <v>0</v>
      </c>
      <c r="DK91" s="1356"/>
      <c r="DL91" s="1537"/>
      <c r="DM91" s="1356"/>
      <c r="DN91" s="1537"/>
      <c r="DO91" s="1356"/>
      <c r="DP91" s="1537">
        <v>0</v>
      </c>
      <c r="DQ91" s="1356"/>
      <c r="DR91" s="1537"/>
      <c r="DS91" s="1356"/>
      <c r="DT91" s="1537"/>
      <c r="DU91" s="1356"/>
      <c r="DV91" s="1537"/>
      <c r="DW91" s="1356"/>
      <c r="DX91" s="1537"/>
      <c r="DY91" s="1356"/>
      <c r="DZ91" s="1537"/>
      <c r="EA91" s="1356"/>
      <c r="EB91" s="1537"/>
      <c r="EC91" s="1356"/>
      <c r="ED91" s="1537">
        <v>0</v>
      </c>
      <c r="EE91" s="1356"/>
      <c r="EF91" s="1537"/>
      <c r="EG91" s="1356"/>
      <c r="EH91" s="1537"/>
      <c r="EI91" s="1356"/>
      <c r="EJ91" s="1537">
        <v>0</v>
      </c>
      <c r="EK91" s="1356"/>
      <c r="EL91" s="1537"/>
      <c r="EM91" s="1356"/>
      <c r="EN91" s="1537"/>
      <c r="EO91" s="1356"/>
      <c r="EP91" s="1537"/>
      <c r="EQ91" s="1356"/>
      <c r="ER91" s="1537"/>
      <c r="ES91" s="1356"/>
      <c r="ET91" s="1537">
        <v>0</v>
      </c>
      <c r="EU91" s="1356"/>
      <c r="EV91" s="1537">
        <v>0</v>
      </c>
      <c r="EW91" s="1356"/>
      <c r="EX91" s="1537"/>
      <c r="EY91" s="1356"/>
      <c r="EZ91" s="1537"/>
      <c r="FA91" s="1356"/>
      <c r="FB91" s="1537"/>
      <c r="FC91" s="1356"/>
      <c r="FD91" s="1537">
        <v>0</v>
      </c>
      <c r="FE91" s="1356"/>
      <c r="FF91" s="1537">
        <v>0</v>
      </c>
      <c r="FG91" s="1356"/>
      <c r="FH91" s="1537"/>
      <c r="FI91" s="1356"/>
      <c r="FJ91" s="1537"/>
      <c r="FK91" s="1356"/>
      <c r="FL91" s="1537"/>
      <c r="FM91" s="1356"/>
      <c r="FN91" s="1537"/>
      <c r="FO91" s="1356"/>
      <c r="FP91" s="1537"/>
      <c r="FQ91" s="1356"/>
      <c r="FR91" s="1537"/>
      <c r="FS91" s="1356"/>
      <c r="FT91" s="1537">
        <v>0</v>
      </c>
      <c r="FU91" s="1356"/>
      <c r="FV91" s="1537">
        <v>0</v>
      </c>
      <c r="FW91" s="1356"/>
      <c r="FX91" s="1537"/>
      <c r="FY91" s="1356"/>
      <c r="FZ91" s="1537"/>
      <c r="GA91" s="1356"/>
      <c r="GB91" s="1537"/>
      <c r="GC91" s="1356"/>
      <c r="GD91" s="1537"/>
      <c r="GE91" s="1356"/>
      <c r="GF91" s="1537"/>
      <c r="GG91" s="1356"/>
      <c r="GH91" s="1537">
        <v>0</v>
      </c>
      <c r="GI91" s="1356"/>
      <c r="GJ91" s="1537">
        <v>0</v>
      </c>
      <c r="GK91" s="1356"/>
      <c r="GL91" s="1537"/>
      <c r="GM91" s="1356"/>
      <c r="GN91" s="1537"/>
      <c r="GO91" s="1356"/>
      <c r="GP91" s="1537"/>
      <c r="GQ91" s="1356"/>
      <c r="GR91" s="1537"/>
      <c r="GS91" s="1356"/>
      <c r="GT91" s="1537"/>
      <c r="GU91" s="1356"/>
      <c r="GV91" s="1537"/>
      <c r="GW91" s="1356"/>
      <c r="GX91" s="1537"/>
      <c r="GY91" s="1356"/>
      <c r="GZ91" s="1537"/>
      <c r="HA91" s="1356"/>
      <c r="HB91" s="1537">
        <v>0</v>
      </c>
      <c r="HC91" s="1356"/>
      <c r="HD91" s="1537"/>
      <c r="HE91" s="1356"/>
      <c r="HF91" s="2012"/>
      <c r="HH91" s="1537">
        <v>0</v>
      </c>
      <c r="HI91" s="1356"/>
      <c r="HJ91" s="1537">
        <v>0</v>
      </c>
      <c r="HK91" s="1356"/>
      <c r="HL91" s="1537">
        <v>0</v>
      </c>
      <c r="HM91" s="1356"/>
      <c r="HN91" s="1537">
        <v>0</v>
      </c>
      <c r="HO91" s="1356"/>
      <c r="HP91" s="2012">
        <v>0</v>
      </c>
      <c r="HR91" s="1537"/>
      <c r="HS91" s="1356"/>
      <c r="HT91" s="2012"/>
      <c r="HV91" s="2012"/>
      <c r="HX91" s="2012">
        <v>0</v>
      </c>
      <c r="HZ91" s="2012"/>
      <c r="IB91" s="1537"/>
      <c r="IC91" s="1356"/>
      <c r="ID91" s="2012">
        <v>0</v>
      </c>
      <c r="IF91" s="2012">
        <v>0</v>
      </c>
    </row>
    <row r="92" spans="1:241">
      <c r="A92" s="1149"/>
      <c r="B92" s="1149"/>
      <c r="C92" s="1149"/>
      <c r="D92" s="1149"/>
      <c r="E92" s="1149" t="s">
        <v>1223</v>
      </c>
      <c r="F92" s="1537"/>
      <c r="G92" s="1356"/>
      <c r="H92" s="1537"/>
      <c r="I92" s="1356"/>
      <c r="J92" s="1537"/>
      <c r="K92" s="1356"/>
      <c r="L92" s="1537"/>
      <c r="M92" s="1356"/>
      <c r="N92" s="1537"/>
      <c r="O92" s="1356"/>
      <c r="P92" s="1537">
        <v>0</v>
      </c>
      <c r="Q92" s="1356"/>
      <c r="R92" s="1537"/>
      <c r="T92" s="1537"/>
      <c r="U92" s="1356"/>
      <c r="V92" s="1537"/>
      <c r="W92" s="1356"/>
      <c r="X92" s="1537">
        <v>0</v>
      </c>
      <c r="Y92" s="1356"/>
      <c r="Z92" s="1537"/>
      <c r="AA92" s="1356"/>
      <c r="AB92" s="1537">
        <v>0</v>
      </c>
      <c r="AC92" s="1356"/>
      <c r="AD92" s="1537"/>
      <c r="AE92" s="1356"/>
      <c r="AF92" s="1537"/>
      <c r="AG92" s="1356"/>
      <c r="AH92" s="1537"/>
      <c r="AI92" s="1356"/>
      <c r="AJ92" s="1537"/>
      <c r="AK92" s="1356"/>
      <c r="AL92" s="1537"/>
      <c r="AM92" s="1356"/>
      <c r="AN92" s="1537"/>
      <c r="AO92" s="1356"/>
      <c r="AP92" s="1537">
        <v>0</v>
      </c>
      <c r="AQ92" s="1356"/>
      <c r="AR92" s="1537">
        <v>0</v>
      </c>
      <c r="AS92" s="1356"/>
      <c r="AT92" s="1537"/>
      <c r="AU92" s="1356"/>
      <c r="AV92" s="1537"/>
      <c r="AW92" s="1356"/>
      <c r="AX92" s="1537"/>
      <c r="AY92" s="1356"/>
      <c r="AZ92" s="1537">
        <v>0</v>
      </c>
      <c r="BA92" s="1356"/>
      <c r="BB92" s="1537">
        <v>0</v>
      </c>
      <c r="BC92" s="1356"/>
      <c r="BD92" s="1537"/>
      <c r="BE92" s="1356"/>
      <c r="BF92" s="1537"/>
      <c r="BG92" s="1356"/>
      <c r="BH92" s="1537"/>
      <c r="BI92" s="1356"/>
      <c r="BJ92" s="1537">
        <v>0</v>
      </c>
      <c r="BK92" s="1356"/>
      <c r="BL92" s="1537"/>
      <c r="BM92" s="1356"/>
      <c r="BN92" s="1537">
        <v>1</v>
      </c>
      <c r="BO92" s="1356"/>
      <c r="BP92" s="1537"/>
      <c r="BQ92" s="1356"/>
      <c r="BR92" s="1537">
        <v>0</v>
      </c>
      <c r="BS92" s="1356"/>
      <c r="BT92" s="1537"/>
      <c r="BU92" s="1356"/>
      <c r="BV92" s="1537"/>
      <c r="BW92" s="1356"/>
      <c r="BX92" s="1537"/>
      <c r="BY92" s="1356"/>
      <c r="BZ92" s="1537">
        <v>1</v>
      </c>
      <c r="CA92" s="1356"/>
      <c r="CB92" s="1537">
        <v>0</v>
      </c>
      <c r="CC92" s="1356"/>
      <c r="CD92" s="1537">
        <v>0</v>
      </c>
      <c r="CE92" s="1356"/>
      <c r="CF92" s="1537"/>
      <c r="CG92" s="1356"/>
      <c r="CH92" s="1537"/>
      <c r="CI92" s="1356"/>
      <c r="CJ92" s="1537"/>
      <c r="CK92" s="1356"/>
      <c r="CL92" s="1537"/>
      <c r="CM92" s="1356"/>
      <c r="CN92" s="1537">
        <v>1</v>
      </c>
      <c r="CO92" s="1356"/>
      <c r="CP92" s="1537"/>
      <c r="CQ92" s="1356"/>
      <c r="CR92" s="1537"/>
      <c r="CS92" s="1356"/>
      <c r="CT92" s="1537">
        <v>0</v>
      </c>
      <c r="CU92" s="1356"/>
      <c r="CV92" s="1537"/>
      <c r="CW92" s="1356"/>
      <c r="CX92" s="1537"/>
      <c r="CY92" s="1356"/>
      <c r="CZ92" s="1537"/>
      <c r="DA92" s="1356"/>
      <c r="DB92" s="1537"/>
      <c r="DC92" s="1356"/>
      <c r="DD92" s="1537"/>
      <c r="DE92" s="1356"/>
      <c r="DF92" s="1537"/>
      <c r="DG92" s="1356"/>
      <c r="DH92" s="1537">
        <v>1</v>
      </c>
      <c r="DI92" s="1356"/>
      <c r="DJ92" s="1537">
        <v>0</v>
      </c>
      <c r="DK92" s="1356"/>
      <c r="DL92" s="1537">
        <v>1</v>
      </c>
      <c r="DM92" s="1356"/>
      <c r="DN92" s="1537"/>
      <c r="DO92" s="1356"/>
      <c r="DP92" s="1537">
        <v>0</v>
      </c>
      <c r="DQ92" s="1356"/>
      <c r="DR92" s="1537"/>
      <c r="DS92" s="1356"/>
      <c r="DT92" s="1537"/>
      <c r="DU92" s="1356"/>
      <c r="DV92" s="1537"/>
      <c r="DW92" s="1356"/>
      <c r="DX92" s="1537"/>
      <c r="DY92" s="1356"/>
      <c r="DZ92" s="1537"/>
      <c r="EA92" s="1356"/>
      <c r="EB92" s="1537"/>
      <c r="EC92" s="1356"/>
      <c r="ED92" s="1537">
        <v>0</v>
      </c>
      <c r="EE92" s="1356"/>
      <c r="EF92" s="1537"/>
      <c r="EG92" s="1356"/>
      <c r="EH92" s="1537"/>
      <c r="EI92" s="1356"/>
      <c r="EJ92" s="1537">
        <v>0</v>
      </c>
      <c r="EK92" s="1356"/>
      <c r="EL92" s="1537"/>
      <c r="EM92" s="1356"/>
      <c r="EN92" s="1537">
        <v>1</v>
      </c>
      <c r="EO92" s="1356"/>
      <c r="EP92" s="1537"/>
      <c r="EQ92" s="1356"/>
      <c r="ER92" s="1537"/>
      <c r="ES92" s="1356"/>
      <c r="ET92" s="1537">
        <v>0</v>
      </c>
      <c r="EU92" s="1356"/>
      <c r="EV92" s="1537">
        <v>0</v>
      </c>
      <c r="EW92" s="1356"/>
      <c r="EX92" s="1537"/>
      <c r="EY92" s="1356"/>
      <c r="EZ92" s="1537"/>
      <c r="FA92" s="1356"/>
      <c r="FB92" s="1537"/>
      <c r="FC92" s="1356"/>
      <c r="FD92" s="1537">
        <v>0</v>
      </c>
      <c r="FE92" s="1356"/>
      <c r="FF92" s="1537">
        <v>0</v>
      </c>
      <c r="FG92" s="1356"/>
      <c r="FH92" s="1537"/>
      <c r="FI92" s="1356"/>
      <c r="FJ92" s="1537"/>
      <c r="FK92" s="1356"/>
      <c r="FL92" s="1537"/>
      <c r="FM92" s="1356"/>
      <c r="FN92" s="1537"/>
      <c r="FO92" s="1356"/>
      <c r="FP92" s="1537"/>
      <c r="FQ92" s="1356"/>
      <c r="FR92" s="1537"/>
      <c r="FS92" s="1356"/>
      <c r="FT92" s="1537">
        <v>0</v>
      </c>
      <c r="FU92" s="1356"/>
      <c r="FV92" s="1537">
        <v>0</v>
      </c>
      <c r="FW92" s="1356"/>
      <c r="FX92" s="1537"/>
      <c r="FY92" s="1356"/>
      <c r="FZ92" s="1537"/>
      <c r="GA92" s="1356"/>
      <c r="GB92" s="1537"/>
      <c r="GC92" s="1356"/>
      <c r="GD92" s="1537">
        <v>1</v>
      </c>
      <c r="GE92" s="1356"/>
      <c r="GF92" s="1537"/>
      <c r="GG92" s="1356"/>
      <c r="GH92" s="1537">
        <v>0</v>
      </c>
      <c r="GI92" s="1356"/>
      <c r="GJ92" s="1537">
        <v>0</v>
      </c>
      <c r="GK92" s="1356"/>
      <c r="GL92" s="1537"/>
      <c r="GM92" s="1356"/>
      <c r="GN92" s="1537"/>
      <c r="GO92" s="1356"/>
      <c r="GP92" s="1537">
        <v>1</v>
      </c>
      <c r="GQ92" s="1356"/>
      <c r="GR92" s="1537"/>
      <c r="GS92" s="1356"/>
      <c r="GT92" s="1537"/>
      <c r="GU92" s="1356"/>
      <c r="GV92" s="1537"/>
      <c r="GW92" s="1356"/>
      <c r="GX92" s="1537"/>
      <c r="GY92" s="1356"/>
      <c r="GZ92" s="1537">
        <v>1</v>
      </c>
      <c r="HA92" s="1356"/>
      <c r="HB92" s="1537">
        <v>0</v>
      </c>
      <c r="HC92" s="1356"/>
      <c r="HD92" s="1537"/>
      <c r="HE92" s="1356"/>
      <c r="HF92" s="2012"/>
      <c r="HH92" s="1537">
        <v>0</v>
      </c>
      <c r="HI92" s="1356"/>
      <c r="HJ92" s="1537">
        <v>0</v>
      </c>
      <c r="HK92" s="1356"/>
      <c r="HL92" s="1537">
        <v>0</v>
      </c>
      <c r="HM92" s="1356"/>
      <c r="HN92" s="1537">
        <v>0</v>
      </c>
      <c r="HO92" s="1356"/>
      <c r="HP92" s="2012">
        <v>0</v>
      </c>
      <c r="HR92" s="1537"/>
      <c r="HS92" s="1356"/>
      <c r="HT92" s="2012"/>
      <c r="HV92" s="2012"/>
      <c r="HX92" s="2012">
        <v>0</v>
      </c>
      <c r="HZ92" s="2012"/>
      <c r="IB92" s="1537"/>
      <c r="IC92" s="1356"/>
      <c r="ID92" s="2012">
        <v>0</v>
      </c>
      <c r="IF92" s="2012">
        <v>1</v>
      </c>
    </row>
    <row r="93" spans="1:241">
      <c r="A93" s="1149"/>
      <c r="B93" s="1149"/>
      <c r="C93" s="1149"/>
      <c r="D93" s="1149"/>
      <c r="E93" s="1149" t="s">
        <v>1173</v>
      </c>
      <c r="F93" s="1537"/>
      <c r="G93" s="1356"/>
      <c r="H93" s="1537"/>
      <c r="I93" s="1356"/>
      <c r="J93" s="1537"/>
      <c r="K93" s="1356"/>
      <c r="L93" s="1537">
        <v>1</v>
      </c>
      <c r="M93" s="1356"/>
      <c r="N93" s="1537"/>
      <c r="O93" s="1356"/>
      <c r="P93" s="1537">
        <v>0</v>
      </c>
      <c r="Q93" s="1356"/>
      <c r="R93" s="1537"/>
      <c r="T93" s="1537"/>
      <c r="U93" s="1356"/>
      <c r="V93" s="1537"/>
      <c r="W93" s="1356"/>
      <c r="X93" s="1537">
        <v>0</v>
      </c>
      <c r="Y93" s="1356"/>
      <c r="Z93" s="1537"/>
      <c r="AA93" s="1356"/>
      <c r="AB93" s="1537">
        <v>0</v>
      </c>
      <c r="AC93" s="1356"/>
      <c r="AD93" s="1537"/>
      <c r="AE93" s="1356"/>
      <c r="AF93" s="1537"/>
      <c r="AG93" s="1356"/>
      <c r="AH93" s="1537"/>
      <c r="AI93" s="1356"/>
      <c r="AJ93" s="1537"/>
      <c r="AK93" s="1356"/>
      <c r="AL93" s="1537"/>
      <c r="AM93" s="1356"/>
      <c r="AN93" s="1537"/>
      <c r="AO93" s="1356"/>
      <c r="AP93" s="1537">
        <v>0</v>
      </c>
      <c r="AQ93" s="1356"/>
      <c r="AR93" s="1537">
        <v>0</v>
      </c>
      <c r="AS93" s="1356"/>
      <c r="AT93" s="1537"/>
      <c r="AU93" s="1356"/>
      <c r="AV93" s="1537"/>
      <c r="AW93" s="1356"/>
      <c r="AX93" s="1537"/>
      <c r="AY93" s="1356"/>
      <c r="AZ93" s="1537">
        <v>0</v>
      </c>
      <c r="BA93" s="1356"/>
      <c r="BB93" s="1537">
        <v>0</v>
      </c>
      <c r="BC93" s="1356"/>
      <c r="BD93" s="1537"/>
      <c r="BE93" s="1356"/>
      <c r="BF93" s="1537"/>
      <c r="BG93" s="1356"/>
      <c r="BH93" s="1537"/>
      <c r="BI93" s="1356"/>
      <c r="BJ93" s="1537">
        <v>0</v>
      </c>
      <c r="BK93" s="1356"/>
      <c r="BL93" s="1537"/>
      <c r="BM93" s="1356"/>
      <c r="BN93" s="1537">
        <v>0</v>
      </c>
      <c r="BO93" s="1356"/>
      <c r="BP93" s="1537"/>
      <c r="BQ93" s="1356"/>
      <c r="BR93" s="1537">
        <v>0</v>
      </c>
      <c r="BS93" s="1356"/>
      <c r="BT93" s="1537"/>
      <c r="BU93" s="1356"/>
      <c r="BV93" s="1537"/>
      <c r="BW93" s="1356"/>
      <c r="BX93" s="1537"/>
      <c r="BY93" s="1356"/>
      <c r="BZ93" s="1537">
        <v>0</v>
      </c>
      <c r="CA93" s="1356"/>
      <c r="CB93" s="1537">
        <v>0</v>
      </c>
      <c r="CC93" s="1356"/>
      <c r="CD93" s="1537">
        <v>0</v>
      </c>
      <c r="CE93" s="1356"/>
      <c r="CF93" s="1537"/>
      <c r="CG93" s="1356"/>
      <c r="CH93" s="1537">
        <v>1</v>
      </c>
      <c r="CI93" s="1356"/>
      <c r="CJ93" s="1537"/>
      <c r="CK93" s="1356"/>
      <c r="CL93" s="1537"/>
      <c r="CM93" s="1356"/>
      <c r="CN93" s="1537">
        <v>0</v>
      </c>
      <c r="CO93" s="1356"/>
      <c r="CP93" s="1537"/>
      <c r="CQ93" s="1356"/>
      <c r="CR93" s="1537"/>
      <c r="CS93" s="1356"/>
      <c r="CT93" s="1537">
        <v>0</v>
      </c>
      <c r="CU93" s="1356"/>
      <c r="CV93" s="1537"/>
      <c r="CW93" s="1356"/>
      <c r="CX93" s="1537"/>
      <c r="CY93" s="1356"/>
      <c r="CZ93" s="1537"/>
      <c r="DA93" s="1356"/>
      <c r="DB93" s="1537"/>
      <c r="DC93" s="1356"/>
      <c r="DD93" s="1537"/>
      <c r="DE93" s="1356"/>
      <c r="DF93" s="1537"/>
      <c r="DG93" s="1356"/>
      <c r="DH93" s="1537">
        <v>0</v>
      </c>
      <c r="DI93" s="1356"/>
      <c r="DJ93" s="1537">
        <v>1</v>
      </c>
      <c r="DK93" s="1356"/>
      <c r="DL93" s="1537">
        <v>1</v>
      </c>
      <c r="DM93" s="1356"/>
      <c r="DN93" s="1537"/>
      <c r="DO93" s="1356"/>
      <c r="DP93" s="1537">
        <v>0</v>
      </c>
      <c r="DQ93" s="1356"/>
      <c r="DR93" s="1537"/>
      <c r="DS93" s="1356"/>
      <c r="DT93" s="1537"/>
      <c r="DU93" s="1356"/>
      <c r="DV93" s="1537"/>
      <c r="DW93" s="1356"/>
      <c r="DX93" s="1537"/>
      <c r="DY93" s="1356"/>
      <c r="DZ93" s="1537"/>
      <c r="EA93" s="1356"/>
      <c r="EB93" s="1537"/>
      <c r="EC93" s="1356"/>
      <c r="ED93" s="1537">
        <v>0</v>
      </c>
      <c r="EE93" s="1356"/>
      <c r="EF93" s="1537"/>
      <c r="EG93" s="1356"/>
      <c r="EH93" s="1537"/>
      <c r="EI93" s="1356"/>
      <c r="EJ93" s="1537">
        <v>0</v>
      </c>
      <c r="EK93" s="1356"/>
      <c r="EL93" s="1537"/>
      <c r="EM93" s="1356"/>
      <c r="EN93" s="1537">
        <v>1</v>
      </c>
      <c r="EO93" s="1356"/>
      <c r="EP93" s="1537"/>
      <c r="EQ93" s="1356"/>
      <c r="ER93" s="1537">
        <v>1</v>
      </c>
      <c r="ES93" s="1356"/>
      <c r="ET93" s="1537">
        <v>0</v>
      </c>
      <c r="EU93" s="1356"/>
      <c r="EV93" s="1537">
        <v>0</v>
      </c>
      <c r="EW93" s="1356"/>
      <c r="EX93" s="1537"/>
      <c r="EY93" s="1356"/>
      <c r="EZ93" s="1537"/>
      <c r="FA93" s="1356"/>
      <c r="FB93" s="1537"/>
      <c r="FC93" s="1356"/>
      <c r="FD93" s="1537">
        <v>0</v>
      </c>
      <c r="FE93" s="1356"/>
      <c r="FF93" s="1537">
        <v>0</v>
      </c>
      <c r="FG93" s="1356"/>
      <c r="FH93" s="1537"/>
      <c r="FI93" s="1356"/>
      <c r="FJ93" s="1537"/>
      <c r="FK93" s="1356"/>
      <c r="FL93" s="1537"/>
      <c r="FM93" s="1356"/>
      <c r="FN93" s="1537"/>
      <c r="FO93" s="1356"/>
      <c r="FP93" s="1537"/>
      <c r="FQ93" s="1356"/>
      <c r="FR93" s="1537"/>
      <c r="FS93" s="1356"/>
      <c r="FT93" s="1537">
        <v>0</v>
      </c>
      <c r="FU93" s="1356"/>
      <c r="FV93" s="1537">
        <v>0</v>
      </c>
      <c r="FW93" s="1356"/>
      <c r="FX93" s="1537"/>
      <c r="FY93" s="1356"/>
      <c r="FZ93" s="1537"/>
      <c r="GA93" s="1356"/>
      <c r="GB93" s="1537"/>
      <c r="GC93" s="1356"/>
      <c r="GD93" s="1537"/>
      <c r="GE93" s="1356"/>
      <c r="GF93" s="1537"/>
      <c r="GG93" s="1356"/>
      <c r="GH93" s="1537">
        <v>0</v>
      </c>
      <c r="GI93" s="1356"/>
      <c r="GJ93" s="1537">
        <v>0</v>
      </c>
      <c r="GK93" s="1356"/>
      <c r="GL93" s="1537"/>
      <c r="GM93" s="1356"/>
      <c r="GN93" s="1537"/>
      <c r="GO93" s="1356"/>
      <c r="GP93" s="1537"/>
      <c r="GQ93" s="1356"/>
      <c r="GR93" s="1537"/>
      <c r="GS93" s="1356"/>
      <c r="GT93" s="1537"/>
      <c r="GU93" s="1356"/>
      <c r="GV93" s="1537"/>
      <c r="GW93" s="1356"/>
      <c r="GX93" s="1537"/>
      <c r="GY93" s="1356"/>
      <c r="GZ93" s="1537"/>
      <c r="HA93" s="1356"/>
      <c r="HB93" s="1537">
        <v>0</v>
      </c>
      <c r="HC93" s="1356"/>
      <c r="HD93" s="1537"/>
      <c r="HE93" s="1356"/>
      <c r="HF93" s="2012"/>
      <c r="HH93" s="1537">
        <v>0</v>
      </c>
      <c r="HI93" s="1356"/>
      <c r="HJ93" s="1537">
        <v>1</v>
      </c>
      <c r="HK93" s="1356"/>
      <c r="HL93" s="1537">
        <v>0</v>
      </c>
      <c r="HM93" s="1356"/>
      <c r="HN93" s="1537">
        <v>0</v>
      </c>
      <c r="HO93" s="1356"/>
      <c r="HP93" s="2012">
        <v>0</v>
      </c>
      <c r="HR93" s="1537">
        <v>1</v>
      </c>
      <c r="HS93" s="1356"/>
      <c r="HT93" s="2012"/>
      <c r="HV93" s="2012"/>
      <c r="HX93" s="2012">
        <v>1</v>
      </c>
      <c r="HZ93" s="2012"/>
      <c r="IB93" s="1537"/>
      <c r="IC93" s="1356"/>
      <c r="ID93" s="2012">
        <v>0</v>
      </c>
      <c r="IF93" s="2012">
        <v>1</v>
      </c>
    </row>
    <row r="94" spans="1:241">
      <c r="A94" s="1149"/>
      <c r="B94" s="1149"/>
      <c r="C94" s="1149"/>
      <c r="D94" s="1149"/>
      <c r="E94" s="1150"/>
      <c r="F94" s="1699"/>
      <c r="G94" s="1356"/>
      <c r="H94" s="1699"/>
      <c r="I94" s="1356"/>
      <c r="J94" s="1699"/>
      <c r="K94" s="1356"/>
      <c r="L94" s="1699"/>
      <c r="M94" s="1356"/>
      <c r="N94" s="1699"/>
      <c r="O94" s="1356"/>
      <c r="P94" s="1699"/>
      <c r="Q94" s="1356"/>
      <c r="R94" s="1699"/>
      <c r="T94" s="1699"/>
      <c r="U94" s="1356"/>
      <c r="V94" s="1699"/>
      <c r="W94" s="1356"/>
      <c r="X94" s="1699"/>
      <c r="Y94" s="1356"/>
      <c r="Z94" s="1699"/>
      <c r="AA94" s="1356"/>
      <c r="AB94" s="1699"/>
      <c r="AC94" s="1356"/>
      <c r="AD94" s="1699"/>
      <c r="AE94" s="1356"/>
      <c r="AF94" s="1699"/>
      <c r="AG94" s="1356"/>
      <c r="AH94" s="1699"/>
      <c r="AI94" s="1356"/>
      <c r="AJ94" s="1699"/>
      <c r="AK94" s="1356"/>
      <c r="AL94" s="1699"/>
      <c r="AM94" s="1356"/>
      <c r="AN94" s="1699"/>
      <c r="AO94" s="1356"/>
      <c r="AP94" s="1699"/>
      <c r="AQ94" s="1356"/>
      <c r="AR94" s="1699"/>
      <c r="AS94" s="1356"/>
      <c r="AT94" s="1699"/>
      <c r="AU94" s="1356"/>
      <c r="AV94" s="1699"/>
      <c r="AW94" s="1356"/>
      <c r="AX94" s="1699"/>
      <c r="AY94" s="1356"/>
      <c r="AZ94" s="1699"/>
      <c r="BA94" s="1356"/>
      <c r="BB94" s="1699"/>
      <c r="BC94" s="1356"/>
      <c r="BD94" s="1699"/>
      <c r="BE94" s="1356"/>
      <c r="BF94" s="1699"/>
      <c r="BG94" s="1356"/>
      <c r="BH94" s="1699"/>
      <c r="BI94" s="1356"/>
      <c r="BJ94" s="1699"/>
      <c r="BK94" s="1356"/>
      <c r="BL94" s="1699"/>
      <c r="BM94" s="1356"/>
      <c r="BN94" s="1699"/>
      <c r="BO94" s="1356"/>
      <c r="BP94" s="1699"/>
      <c r="BQ94" s="1356"/>
      <c r="BR94" s="1699"/>
      <c r="BS94" s="1356"/>
      <c r="BT94" s="1699"/>
      <c r="BU94" s="1356"/>
      <c r="BV94" s="1699"/>
      <c r="BW94" s="1356"/>
      <c r="BX94" s="1699"/>
      <c r="BY94" s="1356"/>
      <c r="BZ94" s="1699"/>
      <c r="CA94" s="1356"/>
      <c r="CB94" s="1699"/>
      <c r="CC94" s="1356"/>
      <c r="CD94" s="1699"/>
      <c r="CE94" s="1356"/>
      <c r="CF94" s="1699"/>
      <c r="CG94" s="1356"/>
      <c r="CH94" s="1699"/>
      <c r="CI94" s="1356"/>
      <c r="CJ94" s="1699"/>
      <c r="CK94" s="1356"/>
      <c r="CL94" s="1699"/>
      <c r="CM94" s="1356"/>
      <c r="CN94" s="1699"/>
      <c r="CO94" s="1356"/>
      <c r="CP94" s="1699"/>
      <c r="CQ94" s="1356"/>
      <c r="CR94" s="1699"/>
      <c r="CS94" s="1356"/>
      <c r="CT94" s="1699"/>
      <c r="CU94" s="1356"/>
      <c r="CV94" s="1699"/>
      <c r="CW94" s="1356"/>
      <c r="CX94" s="1699"/>
      <c r="CY94" s="1356"/>
      <c r="CZ94" s="1699"/>
      <c r="DA94" s="1356"/>
      <c r="DB94" s="1699"/>
      <c r="DC94" s="1356"/>
      <c r="DD94" s="1699"/>
      <c r="DE94" s="1356"/>
      <c r="DF94" s="1699"/>
      <c r="DG94" s="1356"/>
      <c r="DH94" s="1699"/>
      <c r="DI94" s="1356"/>
      <c r="DJ94" s="1699"/>
      <c r="DK94" s="1356"/>
      <c r="DL94" s="1699"/>
      <c r="DM94" s="1356"/>
      <c r="DN94" s="1699"/>
      <c r="DO94" s="1356"/>
      <c r="DP94" s="1699"/>
      <c r="DQ94" s="1356"/>
      <c r="DR94" s="1699"/>
      <c r="DS94" s="1356"/>
      <c r="DT94" s="1699"/>
      <c r="DU94" s="1356"/>
      <c r="DV94" s="1699"/>
      <c r="DW94" s="1356"/>
      <c r="DX94" s="1699"/>
      <c r="DY94" s="1356"/>
      <c r="DZ94" s="1699"/>
      <c r="EA94" s="1356"/>
      <c r="EB94" s="1699"/>
      <c r="EC94" s="1356"/>
      <c r="ED94" s="1699"/>
      <c r="EE94" s="1356"/>
      <c r="EF94" s="1699"/>
      <c r="EG94" s="1356"/>
      <c r="EH94" s="1699"/>
      <c r="EI94" s="1356"/>
      <c r="EJ94" s="1699"/>
      <c r="EK94" s="1356"/>
      <c r="EL94" s="1699"/>
      <c r="EM94" s="1356"/>
      <c r="EN94" s="1699"/>
      <c r="EO94" s="1356"/>
      <c r="EP94" s="1699"/>
      <c r="EQ94" s="1356"/>
      <c r="ER94" s="1699"/>
      <c r="ES94" s="1356"/>
      <c r="ET94" s="1699"/>
      <c r="EU94" s="1356"/>
      <c r="EV94" s="1699"/>
      <c r="EW94" s="1356"/>
      <c r="EX94" s="1699"/>
      <c r="EY94" s="1356"/>
      <c r="EZ94" s="1699"/>
      <c r="FA94" s="1356"/>
      <c r="FB94" s="1699"/>
      <c r="FC94" s="1356"/>
      <c r="FD94" s="1699"/>
      <c r="FE94" s="1356"/>
      <c r="FF94" s="1699"/>
      <c r="FG94" s="1356"/>
      <c r="FH94" s="1699"/>
      <c r="FI94" s="1356"/>
      <c r="FJ94" s="1699"/>
      <c r="FK94" s="1356"/>
      <c r="FL94" s="1699"/>
      <c r="FM94" s="1356"/>
      <c r="FN94" s="1699"/>
      <c r="FO94" s="1356"/>
      <c r="FP94" s="1699"/>
      <c r="FQ94" s="1356"/>
      <c r="FR94" s="1699"/>
      <c r="FS94" s="1356"/>
      <c r="FT94" s="1699"/>
      <c r="FU94" s="1356"/>
      <c r="FV94" s="1699"/>
      <c r="FW94" s="1356"/>
      <c r="FX94" s="1699"/>
      <c r="FY94" s="1356"/>
      <c r="FZ94" s="1699"/>
      <c r="GA94" s="1356"/>
      <c r="GB94" s="1699"/>
      <c r="GC94" s="1356"/>
      <c r="GD94" s="1699"/>
      <c r="GE94" s="1356"/>
      <c r="GF94" s="1699"/>
      <c r="GG94" s="1356"/>
      <c r="GH94" s="1699"/>
      <c r="GI94" s="1356"/>
      <c r="GJ94" s="1699"/>
      <c r="GK94" s="1356"/>
      <c r="GL94" s="1699"/>
      <c r="GM94" s="1356"/>
      <c r="GN94" s="1699"/>
      <c r="GO94" s="1356"/>
      <c r="GP94" s="1699"/>
      <c r="GQ94" s="1356"/>
      <c r="GR94" s="1699"/>
      <c r="GS94" s="1356"/>
      <c r="GT94" s="1699"/>
      <c r="GU94" s="1356"/>
      <c r="GV94" s="1699"/>
      <c r="GW94" s="1356"/>
      <c r="GX94" s="1699"/>
      <c r="GY94" s="1356"/>
      <c r="GZ94" s="1699"/>
      <c r="HA94" s="1356"/>
      <c r="HB94" s="1699"/>
      <c r="HC94" s="1356"/>
      <c r="HD94" s="1699"/>
      <c r="HE94" s="1356"/>
      <c r="HF94" s="2014"/>
      <c r="HG94" s="2008"/>
      <c r="HH94" s="1699"/>
      <c r="HI94" s="1356"/>
      <c r="HJ94" s="1699"/>
      <c r="HK94" s="1356"/>
      <c r="HL94" s="1699"/>
      <c r="HM94" s="1356"/>
      <c r="HN94" s="1699"/>
      <c r="HO94" s="1356"/>
      <c r="HP94" s="2014"/>
      <c r="HQ94" s="2008"/>
      <c r="HR94" s="1699"/>
      <c r="HS94" s="1356"/>
      <c r="HT94" s="2014"/>
      <c r="HU94" s="2008"/>
      <c r="HV94" s="2014"/>
      <c r="HW94" s="2008"/>
      <c r="HX94" s="2014"/>
      <c r="HY94" s="2008"/>
      <c r="HZ94" s="2014"/>
      <c r="IA94" s="2008"/>
      <c r="IB94" s="1699"/>
      <c r="IC94" s="1356"/>
      <c r="ID94" s="2014"/>
      <c r="IE94" s="2008"/>
      <c r="IF94" s="2014"/>
      <c r="IG94" s="2008"/>
    </row>
    <row r="95" spans="1:241">
      <c r="A95" s="1149"/>
      <c r="B95" s="1149" t="s">
        <v>88</v>
      </c>
      <c r="C95" s="1149"/>
      <c r="D95" s="1149"/>
      <c r="E95" s="1143"/>
      <c r="F95" s="1537">
        <v>0</v>
      </c>
      <c r="G95" s="1356"/>
      <c r="H95" s="1537">
        <v>1</v>
      </c>
      <c r="I95" s="1356"/>
      <c r="J95" s="1537">
        <v>0</v>
      </c>
      <c r="K95" s="1356"/>
      <c r="L95" s="1537">
        <v>1</v>
      </c>
      <c r="M95" s="1356"/>
      <c r="N95" s="1537">
        <v>1</v>
      </c>
      <c r="O95" s="1356"/>
      <c r="P95" s="1537">
        <v>1</v>
      </c>
      <c r="Q95" s="1356"/>
      <c r="R95" s="1537">
        <v>1</v>
      </c>
      <c r="T95" s="1537">
        <v>1</v>
      </c>
      <c r="U95" s="1356"/>
      <c r="V95" s="1537">
        <v>1</v>
      </c>
      <c r="W95" s="1356"/>
      <c r="X95" s="1537">
        <v>0</v>
      </c>
      <c r="Y95" s="1356"/>
      <c r="Z95" s="1537">
        <v>0</v>
      </c>
      <c r="AA95" s="1356"/>
      <c r="AB95" s="1537">
        <v>1</v>
      </c>
      <c r="AC95" s="1356"/>
      <c r="AD95" s="1537">
        <v>0</v>
      </c>
      <c r="AE95" s="1356"/>
      <c r="AF95" s="1537">
        <v>1</v>
      </c>
      <c r="AG95" s="1356"/>
      <c r="AH95" s="1537">
        <v>0</v>
      </c>
      <c r="AI95" s="1356"/>
      <c r="AJ95" s="1537">
        <v>0</v>
      </c>
      <c r="AK95" s="1356"/>
      <c r="AL95" s="1537">
        <v>0</v>
      </c>
      <c r="AM95" s="1356"/>
      <c r="AN95" s="1537">
        <v>0</v>
      </c>
      <c r="AO95" s="1356"/>
      <c r="AP95" s="1537">
        <v>0</v>
      </c>
      <c r="AQ95" s="1356"/>
      <c r="AR95" s="1537">
        <v>1</v>
      </c>
      <c r="AS95" s="1356"/>
      <c r="AT95" s="1537">
        <v>0</v>
      </c>
      <c r="AU95" s="1356"/>
      <c r="AV95" s="1537">
        <v>0</v>
      </c>
      <c r="AW95" s="1356"/>
      <c r="AX95" s="1537">
        <v>1</v>
      </c>
      <c r="AY95" s="1356"/>
      <c r="AZ95" s="1537">
        <v>0</v>
      </c>
      <c r="BA95" s="1356"/>
      <c r="BB95" s="1537">
        <v>1</v>
      </c>
      <c r="BC95" s="1356"/>
      <c r="BD95" s="1537">
        <v>1</v>
      </c>
      <c r="BE95" s="1356"/>
      <c r="BF95" s="1537">
        <v>0</v>
      </c>
      <c r="BG95" s="1356"/>
      <c r="BH95" s="1537">
        <v>1</v>
      </c>
      <c r="BI95" s="1356"/>
      <c r="BJ95" s="1537">
        <v>0</v>
      </c>
      <c r="BK95" s="1356"/>
      <c r="BL95" s="1537">
        <v>0</v>
      </c>
      <c r="BM95" s="1356"/>
      <c r="BN95" s="1537">
        <v>0</v>
      </c>
      <c r="BO95" s="1356"/>
      <c r="BP95" s="1537">
        <v>0</v>
      </c>
      <c r="BQ95" s="1356"/>
      <c r="BR95" s="1537">
        <v>0</v>
      </c>
      <c r="BS95" s="1356"/>
      <c r="BT95" s="1537">
        <v>1</v>
      </c>
      <c r="BU95" s="1356"/>
      <c r="BV95" s="1537">
        <v>1</v>
      </c>
      <c r="BW95" s="1356"/>
      <c r="BX95" s="1537">
        <v>0</v>
      </c>
      <c r="BY95" s="1356"/>
      <c r="BZ95" s="1537">
        <v>1</v>
      </c>
      <c r="CA95" s="1356"/>
      <c r="CB95" s="1537">
        <v>1</v>
      </c>
      <c r="CC95" s="1356"/>
      <c r="CD95" s="1537">
        <v>1</v>
      </c>
      <c r="CE95" s="1356"/>
      <c r="CF95" s="1537">
        <v>0</v>
      </c>
      <c r="CG95" s="1356"/>
      <c r="CH95" s="1537">
        <v>1</v>
      </c>
      <c r="CI95" s="1356"/>
      <c r="CJ95" s="1537">
        <v>0</v>
      </c>
      <c r="CK95" s="1356"/>
      <c r="CL95" s="1537">
        <v>1</v>
      </c>
      <c r="CM95" s="1356"/>
      <c r="CN95" s="1537">
        <v>0</v>
      </c>
      <c r="CO95" s="1356"/>
      <c r="CP95" s="1537">
        <v>0</v>
      </c>
      <c r="CQ95" s="1356"/>
      <c r="CR95" s="1537">
        <v>1</v>
      </c>
      <c r="CS95" s="1356"/>
      <c r="CT95" s="1537">
        <v>1</v>
      </c>
      <c r="CU95" s="1356"/>
      <c r="CV95" s="1537">
        <v>0</v>
      </c>
      <c r="CW95" s="1356"/>
      <c r="CX95" s="1537">
        <v>1</v>
      </c>
      <c r="CY95" s="1356"/>
      <c r="CZ95" s="1537">
        <v>1</v>
      </c>
      <c r="DA95" s="1356"/>
      <c r="DB95" s="1537">
        <v>1</v>
      </c>
      <c r="DC95" s="1356"/>
      <c r="DD95" s="1537">
        <v>1</v>
      </c>
      <c r="DE95" s="1356"/>
      <c r="DF95" s="1537">
        <v>1</v>
      </c>
      <c r="DG95" s="1356"/>
      <c r="DH95" s="1537">
        <v>1</v>
      </c>
      <c r="DI95" s="1356"/>
      <c r="DJ95" s="1537">
        <v>1</v>
      </c>
      <c r="DK95" s="1356"/>
      <c r="DL95" s="1537">
        <v>0</v>
      </c>
      <c r="DM95" s="1356"/>
      <c r="DN95" s="1537">
        <v>0</v>
      </c>
      <c r="DO95" s="1356"/>
      <c r="DP95" s="1537">
        <v>1</v>
      </c>
      <c r="DQ95" s="1356"/>
      <c r="DR95" s="1537">
        <v>0</v>
      </c>
      <c r="DS95" s="1356"/>
      <c r="DT95" s="1537">
        <v>0</v>
      </c>
      <c r="DU95" s="1356"/>
      <c r="DV95" s="1537">
        <v>1</v>
      </c>
      <c r="DW95" s="1356"/>
      <c r="DX95" s="1537">
        <v>0</v>
      </c>
      <c r="DY95" s="1356"/>
      <c r="DZ95" s="1537">
        <v>1</v>
      </c>
      <c r="EA95" s="1356"/>
      <c r="EB95" s="1537">
        <v>1</v>
      </c>
      <c r="EC95" s="1356"/>
      <c r="ED95" s="1537">
        <v>1</v>
      </c>
      <c r="EE95" s="1356"/>
      <c r="EF95" s="1537">
        <v>1</v>
      </c>
      <c r="EG95" s="1356"/>
      <c r="EH95" s="1537">
        <v>1</v>
      </c>
      <c r="EI95" s="1356"/>
      <c r="EJ95" s="1537">
        <v>0</v>
      </c>
      <c r="EK95" s="1356"/>
      <c r="EL95" s="1537">
        <v>1</v>
      </c>
      <c r="EM95" s="1356"/>
      <c r="EN95" s="1537">
        <v>0</v>
      </c>
      <c r="EO95" s="1356"/>
      <c r="EP95" s="1537">
        <v>1</v>
      </c>
      <c r="EQ95" s="1356"/>
      <c r="ER95" s="1537">
        <v>0</v>
      </c>
      <c r="ES95" s="1356"/>
      <c r="ET95" s="1537">
        <v>1</v>
      </c>
      <c r="EU95" s="1356"/>
      <c r="EV95" s="1537">
        <v>0</v>
      </c>
      <c r="EW95" s="1356"/>
      <c r="EX95" s="1537">
        <v>1</v>
      </c>
      <c r="EY95" s="1356"/>
      <c r="EZ95" s="1537">
        <v>1</v>
      </c>
      <c r="FA95" s="1356"/>
      <c r="FB95" s="1537">
        <v>0</v>
      </c>
      <c r="FC95" s="1356"/>
      <c r="FD95" s="1537">
        <v>0</v>
      </c>
      <c r="FE95" s="1356"/>
      <c r="FF95" s="1537">
        <v>0</v>
      </c>
      <c r="FG95" s="1356"/>
      <c r="FH95" s="1537">
        <v>0</v>
      </c>
      <c r="FI95" s="1356"/>
      <c r="FJ95" s="1537">
        <v>0</v>
      </c>
      <c r="FK95" s="1356"/>
      <c r="FL95" s="1537">
        <v>1</v>
      </c>
      <c r="FM95" s="1356"/>
      <c r="FN95" s="1537">
        <v>1</v>
      </c>
      <c r="FO95" s="1356"/>
      <c r="FP95" s="1537">
        <v>0</v>
      </c>
      <c r="FQ95" s="1356"/>
      <c r="FR95" s="1537">
        <v>0</v>
      </c>
      <c r="FS95" s="1356"/>
      <c r="FT95" s="1537">
        <v>1</v>
      </c>
      <c r="FU95" s="1356"/>
      <c r="FV95" s="1537">
        <v>1</v>
      </c>
      <c r="FW95" s="1356"/>
      <c r="FX95" s="1537">
        <v>1</v>
      </c>
      <c r="FY95" s="1356"/>
      <c r="FZ95" s="1537">
        <v>1</v>
      </c>
      <c r="GA95" s="1356"/>
      <c r="GB95" s="1537">
        <v>1</v>
      </c>
      <c r="GC95" s="1356"/>
      <c r="GD95" s="1537">
        <v>1</v>
      </c>
      <c r="GE95" s="1356"/>
      <c r="GF95" s="1537">
        <v>1</v>
      </c>
      <c r="GG95" s="1356"/>
      <c r="GH95" s="1537">
        <v>1</v>
      </c>
      <c r="GI95" s="1356"/>
      <c r="GJ95" s="1537">
        <v>0</v>
      </c>
      <c r="GK95" s="1356"/>
      <c r="GL95" s="1537">
        <v>0</v>
      </c>
      <c r="GM95" s="1356"/>
      <c r="GN95" s="1537">
        <v>0</v>
      </c>
      <c r="GO95" s="1356"/>
      <c r="GP95" s="1537">
        <v>1</v>
      </c>
      <c r="GQ95" s="1356"/>
      <c r="GR95" s="1537">
        <v>0</v>
      </c>
      <c r="GS95" s="1356"/>
      <c r="GT95" s="1537">
        <v>0</v>
      </c>
      <c r="GU95" s="1356"/>
      <c r="GV95" s="1537">
        <v>0</v>
      </c>
      <c r="GW95" s="1356"/>
      <c r="GX95" s="1537">
        <v>1</v>
      </c>
      <c r="GY95" s="1356"/>
      <c r="GZ95" s="1537">
        <v>0</v>
      </c>
      <c r="HA95" s="1356"/>
      <c r="HB95" s="1537">
        <v>1</v>
      </c>
      <c r="HC95" s="1356"/>
      <c r="HD95" s="1537">
        <v>1</v>
      </c>
      <c r="HE95" s="1356"/>
      <c r="HF95" s="2012">
        <v>0</v>
      </c>
      <c r="HH95" s="1537">
        <v>0</v>
      </c>
      <c r="HI95" s="1356"/>
      <c r="HJ95" s="1537">
        <v>1</v>
      </c>
      <c r="HK95" s="1356"/>
      <c r="HL95" s="1537">
        <v>1</v>
      </c>
      <c r="HM95" s="1356"/>
      <c r="HN95" s="1537">
        <v>1</v>
      </c>
      <c r="HO95" s="1356"/>
      <c r="HP95" s="2012">
        <v>0</v>
      </c>
      <c r="HR95" s="1537">
        <v>1</v>
      </c>
      <c r="HS95" s="1356"/>
      <c r="HT95" s="2012">
        <v>0</v>
      </c>
      <c r="HV95" s="2012">
        <v>1</v>
      </c>
      <c r="HX95" s="2012">
        <v>1</v>
      </c>
      <c r="HZ95" s="2012">
        <v>1</v>
      </c>
      <c r="IB95" s="1537">
        <v>0</v>
      </c>
      <c r="IC95" s="1356"/>
      <c r="ID95" s="2012">
        <v>1</v>
      </c>
      <c r="IF95" s="2012">
        <v>1</v>
      </c>
    </row>
    <row r="96" spans="1:241">
      <c r="A96" s="1149"/>
      <c r="B96" s="1149" t="s">
        <v>1224</v>
      </c>
      <c r="C96" s="1149"/>
      <c r="D96" s="1149"/>
      <c r="E96" s="1143"/>
      <c r="F96" s="1537"/>
      <c r="G96" s="1356"/>
      <c r="H96" s="1537">
        <v>1900000</v>
      </c>
      <c r="I96" s="1356"/>
      <c r="J96" s="1537"/>
      <c r="K96" s="1356"/>
      <c r="L96" s="1537">
        <v>27485000</v>
      </c>
      <c r="M96" s="1356"/>
      <c r="N96" s="1537">
        <v>16387625</v>
      </c>
      <c r="O96" s="1356"/>
      <c r="P96" s="1537">
        <v>14750000</v>
      </c>
      <c r="Q96" s="1356"/>
      <c r="R96" s="1537">
        <v>13000000</v>
      </c>
      <c r="T96" s="1537">
        <v>175000</v>
      </c>
      <c r="U96" s="1356"/>
      <c r="V96" s="1537">
        <v>14200000</v>
      </c>
      <c r="W96" s="1356"/>
      <c r="X96" s="1537">
        <v>0</v>
      </c>
      <c r="Y96" s="1356"/>
      <c r="Z96" s="1537"/>
      <c r="AA96" s="1356"/>
      <c r="AB96" s="1537">
        <v>9738020</v>
      </c>
      <c r="AC96" s="1356"/>
      <c r="AD96" s="1537"/>
      <c r="AE96" s="1356"/>
      <c r="AF96" s="1537">
        <v>2700000</v>
      </c>
      <c r="AG96" s="1356"/>
      <c r="AH96" s="1537"/>
      <c r="AI96" s="1356"/>
      <c r="AJ96" s="1537"/>
      <c r="AK96" s="1356"/>
      <c r="AL96" s="1537"/>
      <c r="AM96" s="1356"/>
      <c r="AN96" s="1537"/>
      <c r="AO96" s="1356"/>
      <c r="AP96" s="1537">
        <v>0</v>
      </c>
      <c r="AQ96" s="1356"/>
      <c r="AR96" s="1537">
        <v>4000000</v>
      </c>
      <c r="AS96" s="1356"/>
      <c r="AT96" s="1537"/>
      <c r="AU96" s="1356"/>
      <c r="AV96" s="1537"/>
      <c r="AW96" s="1356"/>
      <c r="AX96" s="1710">
        <v>500000</v>
      </c>
      <c r="AY96" s="1356"/>
      <c r="AZ96" s="1537"/>
      <c r="BA96" s="1356"/>
      <c r="BB96" s="1537">
        <v>1500000</v>
      </c>
      <c r="BC96" s="1356"/>
      <c r="BD96" s="1537">
        <v>815000</v>
      </c>
      <c r="BE96" s="1356"/>
      <c r="BF96" s="1537"/>
      <c r="BG96" s="1356"/>
      <c r="BH96" s="1537">
        <v>2000000</v>
      </c>
      <c r="BI96" s="1356"/>
      <c r="BJ96" s="1537"/>
      <c r="BK96" s="1356"/>
      <c r="BL96" s="1537"/>
      <c r="BM96" s="1356"/>
      <c r="BN96" s="1537"/>
      <c r="BO96" s="1356"/>
      <c r="BP96" s="1537"/>
      <c r="BQ96" s="1356"/>
      <c r="BR96" s="1537">
        <v>0</v>
      </c>
      <c r="BS96" s="1356"/>
      <c r="BT96" s="1537">
        <v>9500000</v>
      </c>
      <c r="BU96" s="1356"/>
      <c r="BV96" s="1537">
        <v>528451</v>
      </c>
      <c r="BW96" s="1356"/>
      <c r="BX96" s="1537">
        <v>3600000</v>
      </c>
      <c r="BY96" s="1356"/>
      <c r="BZ96" s="1537">
        <v>22000000</v>
      </c>
      <c r="CA96" s="1356"/>
      <c r="CB96" s="1537">
        <v>4450000</v>
      </c>
      <c r="CC96" s="1356"/>
      <c r="CD96" s="1537">
        <v>5200000</v>
      </c>
      <c r="CE96" s="1356"/>
      <c r="CF96" s="1537"/>
      <c r="CG96" s="1356"/>
      <c r="CH96" s="1537">
        <v>400000</v>
      </c>
      <c r="CI96" s="1356"/>
      <c r="CJ96" s="1537"/>
      <c r="CK96" s="1356"/>
      <c r="CL96" s="1537">
        <v>15000000</v>
      </c>
      <c r="CM96" s="1356"/>
      <c r="CN96" s="1537">
        <v>0</v>
      </c>
      <c r="CO96" s="1356"/>
      <c r="CP96" s="1537">
        <v>0</v>
      </c>
      <c r="CQ96" s="1356"/>
      <c r="CR96" s="1537"/>
      <c r="CS96" s="1356"/>
      <c r="CT96" s="1537">
        <v>3500000</v>
      </c>
      <c r="CU96" s="1356"/>
      <c r="CV96" s="1537"/>
      <c r="CW96" s="1356"/>
      <c r="CX96" s="1537">
        <v>20000000</v>
      </c>
      <c r="CY96" s="1356"/>
      <c r="CZ96" s="1537">
        <v>2457000</v>
      </c>
      <c r="DA96" s="1356"/>
      <c r="DB96" s="1537">
        <v>500000</v>
      </c>
      <c r="DC96" s="1356"/>
      <c r="DD96" s="1537">
        <v>8000000</v>
      </c>
      <c r="DE96" s="1356"/>
      <c r="DF96" s="1537">
        <v>62000000</v>
      </c>
      <c r="DG96" s="1356"/>
      <c r="DH96" s="1537">
        <v>1773400</v>
      </c>
      <c r="DI96" s="1356"/>
      <c r="DJ96" s="1537">
        <v>200000</v>
      </c>
      <c r="DK96" s="1356"/>
      <c r="DL96" s="1537"/>
      <c r="DM96" s="1356"/>
      <c r="DN96" s="1537">
        <v>0</v>
      </c>
      <c r="DO96" s="1356"/>
      <c r="DP96" s="1537">
        <v>3750000</v>
      </c>
      <c r="DQ96" s="1356"/>
      <c r="DR96" s="1537"/>
      <c r="DS96" s="1356"/>
      <c r="DT96" s="1537"/>
      <c r="DU96" s="1356"/>
      <c r="DV96" s="1537">
        <v>9300000</v>
      </c>
      <c r="DW96" s="1356"/>
      <c r="DX96" s="1537"/>
      <c r="DY96" s="1356"/>
      <c r="DZ96" s="1537">
        <v>7800000</v>
      </c>
      <c r="EA96" s="1356"/>
      <c r="EB96" s="1537">
        <v>700000</v>
      </c>
      <c r="EC96" s="1356"/>
      <c r="ED96" s="1537">
        <v>1000000</v>
      </c>
      <c r="EE96" s="1356"/>
      <c r="EF96" s="1537">
        <v>6685000</v>
      </c>
      <c r="EG96" s="1356"/>
      <c r="EH96" s="1537">
        <v>1250000</v>
      </c>
      <c r="EI96" s="1356"/>
      <c r="EJ96" s="1537">
        <v>0</v>
      </c>
      <c r="EK96" s="1356"/>
      <c r="EL96" s="1537">
        <v>19000000</v>
      </c>
      <c r="EM96" s="1356"/>
      <c r="EN96" s="1537"/>
      <c r="EO96" s="1356"/>
      <c r="EP96" s="1537">
        <v>12000000</v>
      </c>
      <c r="EQ96" s="1356"/>
      <c r="ER96" s="1537"/>
      <c r="ES96" s="1356"/>
      <c r="ET96" s="1537">
        <v>1500000</v>
      </c>
      <c r="EU96" s="1356"/>
      <c r="EV96" s="1537"/>
      <c r="EW96" s="1356"/>
      <c r="EX96" s="1537">
        <v>17300000</v>
      </c>
      <c r="EY96" s="1356"/>
      <c r="EZ96" s="1537">
        <v>13500000</v>
      </c>
      <c r="FA96" s="1356"/>
      <c r="FB96" s="1537">
        <v>0</v>
      </c>
      <c r="FC96" s="1356"/>
      <c r="FD96" s="1537">
        <v>0</v>
      </c>
      <c r="FE96" s="1356"/>
      <c r="FF96" s="1537"/>
      <c r="FG96" s="1356"/>
      <c r="FH96" s="1537"/>
      <c r="FI96" s="1356"/>
      <c r="FJ96" s="1537">
        <v>0</v>
      </c>
      <c r="FK96" s="1356"/>
      <c r="FL96" s="1537">
        <v>75000</v>
      </c>
      <c r="FM96" s="1356"/>
      <c r="FN96" s="1537">
        <v>12000000</v>
      </c>
      <c r="FO96" s="1356"/>
      <c r="FP96" s="1537"/>
      <c r="FQ96" s="1356"/>
      <c r="FR96" s="1537"/>
      <c r="FS96" s="1356"/>
      <c r="FT96" s="1537">
        <v>5856000</v>
      </c>
      <c r="FU96" s="1356"/>
      <c r="FV96" s="1537">
        <v>16000000</v>
      </c>
      <c r="FW96" s="1356"/>
      <c r="FX96" s="1537">
        <v>16000000</v>
      </c>
      <c r="FY96" s="1356"/>
      <c r="FZ96" s="1537">
        <v>7965000</v>
      </c>
      <c r="GA96" s="1356"/>
      <c r="GB96" s="1537">
        <v>13099974</v>
      </c>
      <c r="GC96" s="1356"/>
      <c r="GD96" s="1537">
        <v>6500000</v>
      </c>
      <c r="GE96" s="1356"/>
      <c r="GF96" s="1537">
        <v>5000000</v>
      </c>
      <c r="GG96" s="1356"/>
      <c r="GH96" s="1537">
        <v>175000</v>
      </c>
      <c r="GI96" s="1356"/>
      <c r="GJ96" s="1537"/>
      <c r="GK96" s="1356"/>
      <c r="GL96" s="1537"/>
      <c r="GM96" s="1356"/>
      <c r="GN96" s="1537">
        <v>0</v>
      </c>
      <c r="GO96" s="1356"/>
      <c r="GP96" s="1537">
        <v>13000000</v>
      </c>
      <c r="GQ96" s="1356"/>
      <c r="GR96" s="1537"/>
      <c r="GS96" s="1356"/>
      <c r="GT96" s="1537"/>
      <c r="GU96" s="1356"/>
      <c r="GV96" s="1537"/>
      <c r="GW96" s="1356"/>
      <c r="GX96" s="1537">
        <v>8300000</v>
      </c>
      <c r="GY96" s="1356"/>
      <c r="GZ96" s="1537">
        <v>0</v>
      </c>
      <c r="HA96" s="1356"/>
      <c r="HB96" s="1537">
        <v>7900000</v>
      </c>
      <c r="HC96" s="1356"/>
      <c r="HD96" s="1537">
        <v>40000000</v>
      </c>
      <c r="HE96" s="1356"/>
      <c r="HF96" s="2012">
        <v>0</v>
      </c>
      <c r="HH96" s="1537">
        <v>0</v>
      </c>
      <c r="HI96" s="1356"/>
      <c r="HJ96" s="1537">
        <v>1800000</v>
      </c>
      <c r="HK96" s="1356"/>
      <c r="HL96" s="1537">
        <v>92000</v>
      </c>
      <c r="HM96" s="1356"/>
      <c r="HN96" s="1537">
        <v>975000</v>
      </c>
      <c r="HO96" s="1356"/>
      <c r="HP96" s="2012">
        <v>0</v>
      </c>
      <c r="HR96" s="1537">
        <v>300000</v>
      </c>
      <c r="HS96" s="1356"/>
      <c r="HT96" s="2012"/>
      <c r="HV96" s="2012">
        <v>1396000</v>
      </c>
      <c r="HX96" s="2012">
        <v>3200000</v>
      </c>
      <c r="HZ96" s="2012">
        <v>5000000</v>
      </c>
      <c r="IB96" s="1537"/>
      <c r="IC96" s="1356"/>
      <c r="ID96" s="2012">
        <v>5500000</v>
      </c>
      <c r="IF96" s="2012">
        <v>1200000</v>
      </c>
    </row>
    <row r="97" spans="1:241">
      <c r="A97" s="1149"/>
      <c r="B97" s="1149" t="s">
        <v>896</v>
      </c>
      <c r="C97" s="1149"/>
      <c r="D97" s="1149"/>
      <c r="E97" s="1143"/>
      <c r="F97" s="1537">
        <v>550000</v>
      </c>
      <c r="G97" s="1356"/>
      <c r="H97" s="1537">
        <v>2100000</v>
      </c>
      <c r="I97" s="1356"/>
      <c r="J97" s="1537">
        <v>200000</v>
      </c>
      <c r="K97" s="1356"/>
      <c r="L97" s="1785">
        <v>2570200</v>
      </c>
      <c r="M97" s="1356"/>
      <c r="N97" s="1537">
        <v>343388</v>
      </c>
      <c r="O97" s="1356"/>
      <c r="P97" s="1537">
        <v>6285310</v>
      </c>
      <c r="Q97" s="1356"/>
      <c r="R97" s="1537">
        <v>4051656</v>
      </c>
      <c r="T97" s="1537">
        <v>250000</v>
      </c>
      <c r="U97" s="1356"/>
      <c r="V97" s="1537">
        <v>0</v>
      </c>
      <c r="W97" s="1356"/>
      <c r="X97" s="1537">
        <v>5000000</v>
      </c>
      <c r="Y97" s="1356"/>
      <c r="Z97" s="1537">
        <v>2300000</v>
      </c>
      <c r="AA97" s="1356"/>
      <c r="AB97" s="1537">
        <v>456530</v>
      </c>
      <c r="AC97" s="1356"/>
      <c r="AD97" s="1537">
        <v>0</v>
      </c>
      <c r="AE97" s="1356"/>
      <c r="AF97" s="1537">
        <v>601000</v>
      </c>
      <c r="AG97" s="1356"/>
      <c r="AH97" s="1537">
        <v>175000</v>
      </c>
      <c r="AI97" s="1356"/>
      <c r="AJ97" s="1537">
        <v>750000</v>
      </c>
      <c r="AK97" s="1356"/>
      <c r="AL97" s="1537">
        <v>2125000</v>
      </c>
      <c r="AM97" s="1356"/>
      <c r="AN97" s="1537">
        <v>1092134</v>
      </c>
      <c r="AO97" s="1356"/>
      <c r="AP97" s="1537">
        <v>3095000</v>
      </c>
      <c r="AQ97" s="1356"/>
      <c r="AR97" s="1537">
        <v>2800000</v>
      </c>
      <c r="AS97" s="1356"/>
      <c r="AT97" s="1537">
        <v>400000</v>
      </c>
      <c r="AU97" s="1356"/>
      <c r="AV97" s="1537">
        <v>1033827</v>
      </c>
      <c r="AW97" s="1356"/>
      <c r="AX97" s="1710">
        <v>755000</v>
      </c>
      <c r="AY97" s="1356"/>
      <c r="AZ97" s="1537">
        <v>166733</v>
      </c>
      <c r="BA97" s="1356"/>
      <c r="BB97" s="1537">
        <v>1280571</v>
      </c>
      <c r="BC97" s="1356"/>
      <c r="BD97" s="1537">
        <v>1552577</v>
      </c>
      <c r="BE97" s="1356"/>
      <c r="BF97" s="1537">
        <v>1043082</v>
      </c>
      <c r="BG97" s="1356"/>
      <c r="BH97" s="1537">
        <v>1036672</v>
      </c>
      <c r="BI97" s="1356"/>
      <c r="BJ97" s="1537">
        <v>423300</v>
      </c>
      <c r="BK97" s="1356"/>
      <c r="BL97" s="1537">
        <v>2156570</v>
      </c>
      <c r="BM97" s="1356"/>
      <c r="BN97" s="1537">
        <v>4000000</v>
      </c>
      <c r="BO97" s="1356"/>
      <c r="BP97" s="1537">
        <v>759500</v>
      </c>
      <c r="BQ97" s="1356"/>
      <c r="BR97" s="1537"/>
      <c r="BS97" s="1356"/>
      <c r="BT97" s="1537">
        <v>405576</v>
      </c>
      <c r="BU97" s="1356"/>
      <c r="BV97" s="1537">
        <v>599148</v>
      </c>
      <c r="BW97" s="1356"/>
      <c r="BX97" s="1537"/>
      <c r="BY97" s="1356"/>
      <c r="BZ97" s="1537">
        <v>2237100</v>
      </c>
      <c r="CA97" s="1356"/>
      <c r="CB97" s="1537">
        <v>1224900</v>
      </c>
      <c r="CC97" s="1356"/>
      <c r="CD97" s="1537">
        <v>200000</v>
      </c>
      <c r="CE97" s="1356"/>
      <c r="CF97" s="1537">
        <v>1000000</v>
      </c>
      <c r="CG97" s="1356"/>
      <c r="CH97" s="1537">
        <v>737128</v>
      </c>
      <c r="CI97" s="1356"/>
      <c r="CJ97" s="1537">
        <v>720000</v>
      </c>
      <c r="CK97" s="1356"/>
      <c r="CL97" s="1537">
        <v>5100000</v>
      </c>
      <c r="CM97" s="1356"/>
      <c r="CN97" s="1537">
        <v>2907054</v>
      </c>
      <c r="CO97" s="1356"/>
      <c r="CP97" s="1537">
        <v>1753481</v>
      </c>
      <c r="CQ97" s="1356"/>
      <c r="CR97" s="1537">
        <v>3500000</v>
      </c>
      <c r="CS97" s="1356"/>
      <c r="CT97" s="1537">
        <v>1600000</v>
      </c>
      <c r="CU97" s="1356"/>
      <c r="CV97" s="1537">
        <v>5709818</v>
      </c>
      <c r="CW97" s="1356"/>
      <c r="CX97" s="1537">
        <v>3782877</v>
      </c>
      <c r="CY97" s="1356"/>
      <c r="CZ97" s="1537">
        <v>640000</v>
      </c>
      <c r="DA97" s="1356"/>
      <c r="DB97" s="1537">
        <v>700000</v>
      </c>
      <c r="DC97" s="1356"/>
      <c r="DD97" s="1537">
        <v>1559000</v>
      </c>
      <c r="DE97" s="1356"/>
      <c r="DF97" s="1537">
        <v>4993666</v>
      </c>
      <c r="DG97" s="1356"/>
      <c r="DH97" s="1537">
        <v>6995200</v>
      </c>
      <c r="DI97" s="1356"/>
      <c r="DJ97" s="1537">
        <v>400000</v>
      </c>
      <c r="DK97" s="1356"/>
      <c r="DL97" s="1537">
        <v>1092000</v>
      </c>
      <c r="DM97" s="1356"/>
      <c r="DN97" s="1537">
        <v>0</v>
      </c>
      <c r="DO97" s="1356"/>
      <c r="DP97" s="1537">
        <v>750000</v>
      </c>
      <c r="DQ97" s="1356"/>
      <c r="DR97" s="1537">
        <v>2407234</v>
      </c>
      <c r="DS97" s="1356"/>
      <c r="DT97" s="1537">
        <v>3000000</v>
      </c>
      <c r="DU97" s="1356"/>
      <c r="DV97" s="1537">
        <v>2203816</v>
      </c>
      <c r="DW97" s="1356"/>
      <c r="DX97" s="1537">
        <v>979631</v>
      </c>
      <c r="DY97" s="1356"/>
      <c r="DZ97" s="1537">
        <v>6700000</v>
      </c>
      <c r="EA97" s="1356"/>
      <c r="EB97" s="1537">
        <v>3169530</v>
      </c>
      <c r="EC97" s="1356"/>
      <c r="ED97" s="1537">
        <v>1200000</v>
      </c>
      <c r="EE97" s="1356"/>
      <c r="EF97" s="1537">
        <v>804000</v>
      </c>
      <c r="EG97" s="1356"/>
      <c r="EH97" s="1537">
        <v>3000000</v>
      </c>
      <c r="EI97" s="1356"/>
      <c r="EJ97" s="1537">
        <v>1103000</v>
      </c>
      <c r="EK97" s="1356"/>
      <c r="EL97" s="1537">
        <v>4222000</v>
      </c>
      <c r="EM97" s="1356"/>
      <c r="EN97" s="1537">
        <v>0</v>
      </c>
      <c r="EO97" s="1356"/>
      <c r="EP97" s="1537">
        <v>500000</v>
      </c>
      <c r="EQ97" s="1356"/>
      <c r="ER97" s="1537">
        <v>818975</v>
      </c>
      <c r="ES97" s="1356"/>
      <c r="ET97" s="1537">
        <v>655000</v>
      </c>
      <c r="EU97" s="1356"/>
      <c r="EV97" s="1537">
        <f>80751+3650+51000+667972+1967636</f>
        <v>2771009</v>
      </c>
      <c r="EW97" s="1356"/>
      <c r="EX97" s="1537">
        <v>56430</v>
      </c>
      <c r="EY97" s="1356"/>
      <c r="EZ97" s="1537">
        <v>750000</v>
      </c>
      <c r="FA97" s="1356"/>
      <c r="FB97" s="1537">
        <v>300000</v>
      </c>
      <c r="FC97" s="1356"/>
      <c r="FD97" s="1537">
        <v>660000</v>
      </c>
      <c r="FE97" s="1356"/>
      <c r="FF97" s="1537">
        <v>140000</v>
      </c>
      <c r="FG97" s="1356"/>
      <c r="FH97" s="1537">
        <v>3000000</v>
      </c>
      <c r="FI97" s="1356"/>
      <c r="FJ97" s="1537">
        <v>0</v>
      </c>
      <c r="FK97" s="1356"/>
      <c r="FL97" s="1537">
        <v>1158274</v>
      </c>
      <c r="FM97" s="1356"/>
      <c r="FN97" s="1537">
        <v>500000</v>
      </c>
      <c r="FO97" s="1356"/>
      <c r="FP97" s="1537">
        <v>1724290</v>
      </c>
      <c r="FQ97" s="1356"/>
      <c r="FR97" s="1537">
        <v>972466</v>
      </c>
      <c r="FS97" s="1356"/>
      <c r="FT97" s="1537">
        <v>2150000</v>
      </c>
      <c r="FU97" s="1356"/>
      <c r="FV97" s="1537">
        <v>2800000</v>
      </c>
      <c r="FW97" s="1356"/>
      <c r="FX97" s="1537">
        <v>1098625</v>
      </c>
      <c r="FY97" s="1356"/>
      <c r="FZ97" s="1537">
        <v>777475</v>
      </c>
      <c r="GA97" s="1356"/>
      <c r="GB97" s="1537">
        <v>821320</v>
      </c>
      <c r="GC97" s="1356"/>
      <c r="GD97" s="1537">
        <v>2932973</v>
      </c>
      <c r="GE97" s="1356"/>
      <c r="GF97" s="1537">
        <v>1000000</v>
      </c>
      <c r="GG97" s="1356"/>
      <c r="GH97" s="1537">
        <v>2907700</v>
      </c>
      <c r="GI97" s="1356"/>
      <c r="GJ97" s="1537">
        <v>10809256</v>
      </c>
      <c r="GK97" s="1356"/>
      <c r="GL97" s="1537">
        <v>855000</v>
      </c>
      <c r="GM97" s="1356"/>
      <c r="GN97" s="1537">
        <v>846341</v>
      </c>
      <c r="GO97" s="1356"/>
      <c r="GP97" s="1537">
        <v>4127000</v>
      </c>
      <c r="GQ97" s="1356"/>
      <c r="GR97" s="1537">
        <v>1210000</v>
      </c>
      <c r="GS97" s="1356"/>
      <c r="GT97" s="1537">
        <v>722300</v>
      </c>
      <c r="GU97" s="1356"/>
      <c r="GV97" s="1537">
        <v>850000</v>
      </c>
      <c r="GW97" s="1356"/>
      <c r="GX97" s="1537">
        <v>25000</v>
      </c>
      <c r="GY97" s="1356"/>
      <c r="GZ97" s="1537">
        <v>2128000</v>
      </c>
      <c r="HA97" s="1356"/>
      <c r="HB97" s="1537">
        <v>752000</v>
      </c>
      <c r="HC97" s="1356"/>
      <c r="HD97" s="1537">
        <v>750000</v>
      </c>
      <c r="HE97" s="1356"/>
      <c r="HF97" s="2012">
        <v>1500000</v>
      </c>
      <c r="HH97" s="1537"/>
      <c r="HI97" s="1356"/>
      <c r="HJ97" s="1537">
        <v>902000</v>
      </c>
      <c r="HK97" s="1356"/>
      <c r="HL97" s="1537">
        <v>76000</v>
      </c>
      <c r="HM97" s="1356"/>
      <c r="HN97" s="1537">
        <v>503500</v>
      </c>
      <c r="HO97" s="1356"/>
      <c r="HP97" s="2012">
        <v>1480000</v>
      </c>
      <c r="HR97" s="1537">
        <v>263700</v>
      </c>
      <c r="HS97" s="1356"/>
      <c r="HT97" s="2012">
        <v>2874994</v>
      </c>
      <c r="HV97" s="2012">
        <v>4396560</v>
      </c>
      <c r="HX97" s="2012">
        <v>1000000</v>
      </c>
      <c r="HZ97" s="2012">
        <v>1610000</v>
      </c>
      <c r="IB97" s="1537">
        <v>165469</v>
      </c>
      <c r="IC97" s="1356"/>
      <c r="ID97" s="2012">
        <v>1155000</v>
      </c>
      <c r="IF97" s="2012"/>
    </row>
    <row r="98" spans="1:241">
      <c r="A98" s="1149"/>
      <c r="B98" s="1149" t="s">
        <v>1225</v>
      </c>
      <c r="C98" s="1149"/>
      <c r="D98" s="1149"/>
      <c r="E98" s="1143"/>
      <c r="F98" s="1702">
        <f>F97+F96</f>
        <v>550000</v>
      </c>
      <c r="G98" s="1356"/>
      <c r="H98" s="1702">
        <f>H97+H96</f>
        <v>4000000</v>
      </c>
      <c r="I98" s="1356"/>
      <c r="J98" s="1702">
        <f>J97+J96</f>
        <v>200000</v>
      </c>
      <c r="K98" s="1356"/>
      <c r="L98" s="1702">
        <f>L97+L96</f>
        <v>30055200</v>
      </c>
      <c r="M98" s="1356"/>
      <c r="N98" s="1702">
        <f>N97+N96</f>
        <v>16731013</v>
      </c>
      <c r="O98" s="1356"/>
      <c r="P98" s="1702">
        <f>P97+P96</f>
        <v>21035310</v>
      </c>
      <c r="Q98" s="1356"/>
      <c r="R98" s="1702">
        <f>R97+R96</f>
        <v>17051656</v>
      </c>
      <c r="T98" s="1702">
        <f>T97+T96</f>
        <v>425000</v>
      </c>
      <c r="U98" s="1356"/>
      <c r="V98" s="1702">
        <f>V97+V96</f>
        <v>14200000</v>
      </c>
      <c r="W98" s="1356"/>
      <c r="X98" s="1702">
        <f>X97+X96</f>
        <v>5000000</v>
      </c>
      <c r="Y98" s="1356"/>
      <c r="Z98" s="1702">
        <f>Z97+Z96</f>
        <v>2300000</v>
      </c>
      <c r="AA98" s="1356"/>
      <c r="AB98" s="1702">
        <f>AB97+AB96</f>
        <v>10194550</v>
      </c>
      <c r="AC98" s="1356"/>
      <c r="AD98" s="1702">
        <f>AD97+AD96</f>
        <v>0</v>
      </c>
      <c r="AE98" s="1356"/>
      <c r="AF98" s="1702">
        <f>AF97+AF96</f>
        <v>3301000</v>
      </c>
      <c r="AG98" s="1356"/>
      <c r="AH98" s="1702">
        <f>AH97+AH96</f>
        <v>175000</v>
      </c>
      <c r="AI98" s="1356"/>
      <c r="AJ98" s="1702">
        <f>AJ97+AJ96</f>
        <v>750000</v>
      </c>
      <c r="AK98" s="1356"/>
      <c r="AL98" s="1702">
        <f>AL97+AL96</f>
        <v>2125000</v>
      </c>
      <c r="AM98" s="1356"/>
      <c r="AN98" s="1702">
        <f>AN97+AN96</f>
        <v>1092134</v>
      </c>
      <c r="AO98" s="1356"/>
      <c r="AP98" s="1702">
        <f>AP97+AP96</f>
        <v>3095000</v>
      </c>
      <c r="AQ98" s="1356"/>
      <c r="AR98" s="1702">
        <f>AR97+AR96</f>
        <v>6800000</v>
      </c>
      <c r="AS98" s="1356"/>
      <c r="AT98" s="1702">
        <f>AT97+AT96</f>
        <v>400000</v>
      </c>
      <c r="AU98" s="1356"/>
      <c r="AV98" s="1702">
        <f>AV97+AV96</f>
        <v>1033827</v>
      </c>
      <c r="AW98" s="1356"/>
      <c r="AX98" s="1702">
        <f>AX97+AX96</f>
        <v>1255000</v>
      </c>
      <c r="AY98" s="1356"/>
      <c r="AZ98" s="1702">
        <f>AZ97+AZ96</f>
        <v>166733</v>
      </c>
      <c r="BA98" s="1356"/>
      <c r="BB98" s="1702">
        <f>BB97+BB96</f>
        <v>2780571</v>
      </c>
      <c r="BC98" s="1356"/>
      <c r="BD98" s="1702">
        <f>BD97+BD96</f>
        <v>2367577</v>
      </c>
      <c r="BE98" s="1356"/>
      <c r="BF98" s="1702">
        <f>BF97+BF96</f>
        <v>1043082</v>
      </c>
      <c r="BG98" s="1356"/>
      <c r="BH98" s="1702">
        <f>BH97+BH96</f>
        <v>3036672</v>
      </c>
      <c r="BI98" s="1356"/>
      <c r="BJ98" s="1702">
        <f>BJ97+BJ96</f>
        <v>423300</v>
      </c>
      <c r="BK98" s="1356"/>
      <c r="BL98" s="1702">
        <f>BL97+BL96</f>
        <v>2156570</v>
      </c>
      <c r="BM98" s="1356"/>
      <c r="BN98" s="1702">
        <f>BN97+BN96</f>
        <v>4000000</v>
      </c>
      <c r="BO98" s="1356"/>
      <c r="BP98" s="1702">
        <f>BP97+BP96</f>
        <v>759500</v>
      </c>
      <c r="BQ98" s="1356"/>
      <c r="BR98" s="1702">
        <f>BR97+BR96</f>
        <v>0</v>
      </c>
      <c r="BS98" s="1356"/>
      <c r="BT98" s="1702">
        <f>BT97+BT96</f>
        <v>9905576</v>
      </c>
      <c r="BU98" s="1356"/>
      <c r="BV98" s="1702">
        <f>BV97+BV96</f>
        <v>1127599</v>
      </c>
      <c r="BW98" s="1356"/>
      <c r="BX98" s="1702">
        <f>BX97+BX96</f>
        <v>3600000</v>
      </c>
      <c r="BY98" s="1356"/>
      <c r="BZ98" s="1702">
        <f>BZ97+BZ96</f>
        <v>24237100</v>
      </c>
      <c r="CA98" s="1356"/>
      <c r="CB98" s="1702">
        <f>CB97+CB96</f>
        <v>5674900</v>
      </c>
      <c r="CC98" s="1356"/>
      <c r="CD98" s="1702">
        <f>CD97+CD96</f>
        <v>5400000</v>
      </c>
      <c r="CE98" s="1356"/>
      <c r="CF98" s="1702">
        <v>1000000</v>
      </c>
      <c r="CG98" s="1356"/>
      <c r="CH98" s="1702">
        <f>CH97+CH96</f>
        <v>1137128</v>
      </c>
      <c r="CI98" s="1356"/>
      <c r="CJ98" s="1702">
        <v>720000</v>
      </c>
      <c r="CK98" s="1356"/>
      <c r="CL98" s="1702">
        <v>20100000</v>
      </c>
      <c r="CM98" s="1356"/>
      <c r="CN98" s="1702">
        <f>CN97+CN96</f>
        <v>2907054</v>
      </c>
      <c r="CO98" s="1356"/>
      <c r="CP98" s="1702">
        <f>CP97+CP96</f>
        <v>1753481</v>
      </c>
      <c r="CQ98" s="1356"/>
      <c r="CR98" s="1702">
        <v>3500000</v>
      </c>
      <c r="CS98" s="1356"/>
      <c r="CT98" s="1702">
        <f>CT97+CT96</f>
        <v>5100000</v>
      </c>
      <c r="CU98" s="1356"/>
      <c r="CV98" s="1702">
        <f>CV97+CV96</f>
        <v>5709818</v>
      </c>
      <c r="CW98" s="1356"/>
      <c r="CX98" s="1702">
        <f>CX97+CX96</f>
        <v>23782877</v>
      </c>
      <c r="CY98" s="1356"/>
      <c r="CZ98" s="1702">
        <v>3097000</v>
      </c>
      <c r="DA98" s="1356"/>
      <c r="DB98" s="1702">
        <v>1200000</v>
      </c>
      <c r="DC98" s="1356"/>
      <c r="DD98" s="1702">
        <v>9559000</v>
      </c>
      <c r="DE98" s="1356"/>
      <c r="DF98" s="1702">
        <v>66993666</v>
      </c>
      <c r="DG98" s="1356"/>
      <c r="DH98" s="1702">
        <v>8768600</v>
      </c>
      <c r="DI98" s="1356"/>
      <c r="DJ98" s="1702">
        <v>600000</v>
      </c>
      <c r="DK98" s="1356"/>
      <c r="DL98" s="1702">
        <v>1092000</v>
      </c>
      <c r="DM98" s="1356"/>
      <c r="DN98" s="1702">
        <f>DN97+DN96</f>
        <v>0</v>
      </c>
      <c r="DO98" s="1356"/>
      <c r="DP98" s="1702">
        <f>DP97+DP96</f>
        <v>4500000</v>
      </c>
      <c r="DQ98" s="1356"/>
      <c r="DR98" s="1702">
        <f>DR97+DR96</f>
        <v>2407234</v>
      </c>
      <c r="DS98" s="1356"/>
      <c r="DT98" s="1702">
        <f>DT97+DT96</f>
        <v>3000000</v>
      </c>
      <c r="DU98" s="1356"/>
      <c r="DV98" s="1702">
        <f>DV97+DV96</f>
        <v>11503816</v>
      </c>
      <c r="DW98" s="1356"/>
      <c r="DX98" s="1702">
        <f>DX97+DX96</f>
        <v>979631</v>
      </c>
      <c r="DY98" s="1356"/>
      <c r="DZ98" s="1702">
        <f>DZ97+DZ96</f>
        <v>14500000</v>
      </c>
      <c r="EA98" s="1356"/>
      <c r="EB98" s="1702">
        <f>EB97+EB96</f>
        <v>3869530</v>
      </c>
      <c r="EC98" s="1356"/>
      <c r="ED98" s="1702">
        <f>ED97+ED96</f>
        <v>2200000</v>
      </c>
      <c r="EE98" s="1356"/>
      <c r="EF98" s="1702">
        <f>EF97+EF96</f>
        <v>7489000</v>
      </c>
      <c r="EG98" s="1356"/>
      <c r="EH98" s="1702">
        <f>EH97+EH96</f>
        <v>4250000</v>
      </c>
      <c r="EI98" s="1356"/>
      <c r="EJ98" s="1702">
        <f>EJ97+EJ96</f>
        <v>1103000</v>
      </c>
      <c r="EK98" s="1356"/>
      <c r="EL98" s="1702">
        <f>EL97+EL96</f>
        <v>23222000</v>
      </c>
      <c r="EM98" s="1356"/>
      <c r="EN98" s="1702">
        <f>EN97+EN96</f>
        <v>0</v>
      </c>
      <c r="EO98" s="1356"/>
      <c r="EP98" s="1702">
        <f>EP97+EP96</f>
        <v>12500000</v>
      </c>
      <c r="EQ98" s="1356"/>
      <c r="ER98" s="1702">
        <f>ER97+ER96</f>
        <v>818975</v>
      </c>
      <c r="ES98" s="1356"/>
      <c r="ET98" s="1702">
        <f>ET97+ET96</f>
        <v>2155000</v>
      </c>
      <c r="EU98" s="1356"/>
      <c r="EV98" s="1702">
        <f>EV97+EV96</f>
        <v>2771009</v>
      </c>
      <c r="EW98" s="1356"/>
      <c r="EX98" s="1702">
        <f>EX97+EX96</f>
        <v>17356430</v>
      </c>
      <c r="EY98" s="1356"/>
      <c r="EZ98" s="1702">
        <f>EZ97+EZ96</f>
        <v>14250000</v>
      </c>
      <c r="FA98" s="1356"/>
      <c r="FB98" s="1702">
        <f>FB97+FB96</f>
        <v>300000</v>
      </c>
      <c r="FC98" s="1356"/>
      <c r="FD98" s="1702">
        <f>FD97+FD96</f>
        <v>660000</v>
      </c>
      <c r="FE98" s="1356"/>
      <c r="FF98" s="1702">
        <f>FF97+FF96</f>
        <v>140000</v>
      </c>
      <c r="FG98" s="1356"/>
      <c r="FH98" s="1702">
        <f>FH97+FH96</f>
        <v>3000000</v>
      </c>
      <c r="FI98" s="1356"/>
      <c r="FJ98" s="1702">
        <f>FJ97+FJ96</f>
        <v>0</v>
      </c>
      <c r="FK98" s="1356"/>
      <c r="FL98" s="1702">
        <f>FL97+FL96</f>
        <v>1233274</v>
      </c>
      <c r="FM98" s="1356"/>
      <c r="FN98" s="1702">
        <f>FN97+FN96</f>
        <v>12500000</v>
      </c>
      <c r="FO98" s="1356"/>
      <c r="FP98" s="1702">
        <f>FP97+FP96</f>
        <v>1724290</v>
      </c>
      <c r="FQ98" s="1356"/>
      <c r="FR98" s="1702">
        <f>FR97+FR96</f>
        <v>972466</v>
      </c>
      <c r="FS98" s="1356"/>
      <c r="FT98" s="1702">
        <f>FT97+FT96</f>
        <v>8006000</v>
      </c>
      <c r="FU98" s="1356"/>
      <c r="FV98" s="1702">
        <f>FV97+FV96</f>
        <v>18800000</v>
      </c>
      <c r="FW98" s="1356"/>
      <c r="FX98" s="1702">
        <f>FX97+FX96</f>
        <v>17098625</v>
      </c>
      <c r="FY98" s="1356"/>
      <c r="FZ98" s="1702">
        <f>FZ97+FZ96</f>
        <v>8742475</v>
      </c>
      <c r="GA98" s="1356"/>
      <c r="GB98" s="1702">
        <f>GB97+GB96</f>
        <v>13921294</v>
      </c>
      <c r="GC98" s="1356"/>
      <c r="GD98" s="1702">
        <f>GD97+GD96</f>
        <v>9432973</v>
      </c>
      <c r="GE98" s="1356"/>
      <c r="GF98" s="1702">
        <f>GF97+GF96</f>
        <v>6000000</v>
      </c>
      <c r="GG98" s="1356"/>
      <c r="GH98" s="1702">
        <f>GH97+GH96</f>
        <v>3082700</v>
      </c>
      <c r="GI98" s="1356"/>
      <c r="GJ98" s="1702">
        <f>GJ97+GJ96</f>
        <v>10809256</v>
      </c>
      <c r="GK98" s="1356"/>
      <c r="GL98" s="1702">
        <f>GL97+GL96</f>
        <v>855000</v>
      </c>
      <c r="GM98" s="1356"/>
      <c r="GN98" s="1702">
        <f>GN97+GN96</f>
        <v>846341</v>
      </c>
      <c r="GO98" s="1356"/>
      <c r="GP98" s="1702">
        <f>GP97+GP96</f>
        <v>17127000</v>
      </c>
      <c r="GQ98" s="1356"/>
      <c r="GR98" s="1702">
        <f>GR97+GR96</f>
        <v>1210000</v>
      </c>
      <c r="GS98" s="1356"/>
      <c r="GT98" s="1702">
        <f>GT97+GT96</f>
        <v>722300</v>
      </c>
      <c r="GU98" s="1356"/>
      <c r="GV98" s="1702">
        <f>GV97+GV96</f>
        <v>850000</v>
      </c>
      <c r="GW98" s="1356"/>
      <c r="GX98" s="1702">
        <f>GX97+GX96</f>
        <v>8325000</v>
      </c>
      <c r="GY98" s="1356"/>
      <c r="GZ98" s="1702">
        <f>GZ97+GZ96</f>
        <v>2128000</v>
      </c>
      <c r="HA98" s="1356"/>
      <c r="HB98" s="1702">
        <f>HB97+HB96</f>
        <v>8652000</v>
      </c>
      <c r="HC98" s="1356"/>
      <c r="HD98" s="1702">
        <f>HD97+HD96</f>
        <v>40750000</v>
      </c>
      <c r="HE98" s="1356"/>
      <c r="HF98" s="2018">
        <f>HF97+HF96</f>
        <v>1500000</v>
      </c>
      <c r="HH98" s="1702">
        <f>HH97+HH96</f>
        <v>0</v>
      </c>
      <c r="HI98" s="1356"/>
      <c r="HJ98" s="1702">
        <f>HJ97+HJ96</f>
        <v>2702000</v>
      </c>
      <c r="HK98" s="1356"/>
      <c r="HL98" s="1702">
        <f>HL97+HL96</f>
        <v>168000</v>
      </c>
      <c r="HM98" s="1356"/>
      <c r="HN98" s="1702">
        <f>HN97+HN96</f>
        <v>1478500</v>
      </c>
      <c r="HO98" s="1356"/>
      <c r="HP98" s="2018">
        <f>HP97+HP96</f>
        <v>1480000</v>
      </c>
      <c r="HR98" s="1702">
        <f>HR97+HR96</f>
        <v>563700</v>
      </c>
      <c r="HS98" s="1356"/>
      <c r="HT98" s="2018">
        <f>HT97+HT96</f>
        <v>2874994</v>
      </c>
      <c r="HV98" s="2018">
        <f>HV97+HV96</f>
        <v>5792560</v>
      </c>
      <c r="HX98" s="2018">
        <f>HX97+HX96</f>
        <v>4200000</v>
      </c>
      <c r="HZ98" s="2018">
        <f>HZ97+HZ96</f>
        <v>6610000</v>
      </c>
      <c r="IB98" s="1702">
        <f>IB97+IB96</f>
        <v>165469</v>
      </c>
      <c r="IC98" s="1356"/>
      <c r="ID98" s="2018">
        <f>ID97+ID96</f>
        <v>6655000</v>
      </c>
      <c r="IF98" s="2018">
        <f>IF97+IF96</f>
        <v>1200000</v>
      </c>
    </row>
    <row r="99" spans="1:241">
      <c r="A99" s="1149"/>
      <c r="B99" s="1149"/>
      <c r="C99" s="1149"/>
      <c r="D99" s="1149"/>
      <c r="E99" s="1143"/>
      <c r="F99" s="1699"/>
      <c r="G99" s="1356"/>
      <c r="H99" s="1699"/>
      <c r="I99" s="1356"/>
      <c r="J99" s="1699"/>
      <c r="K99" s="1356"/>
      <c r="L99" s="1699"/>
      <c r="M99" s="1356"/>
      <c r="N99" s="1699"/>
      <c r="O99" s="1356"/>
      <c r="P99" s="1699"/>
      <c r="Q99" s="1356"/>
      <c r="R99" s="1699"/>
      <c r="T99" s="1699"/>
      <c r="U99" s="1356"/>
      <c r="V99" s="1699"/>
      <c r="W99" s="1356"/>
      <c r="X99" s="1699"/>
      <c r="Y99" s="1356"/>
      <c r="Z99" s="1699"/>
      <c r="AA99" s="1356"/>
      <c r="AB99" s="1699"/>
      <c r="AC99" s="1356"/>
      <c r="AD99" s="1699"/>
      <c r="AE99" s="1356"/>
      <c r="AF99" s="1699"/>
      <c r="AG99" s="1356"/>
      <c r="AH99" s="1699"/>
      <c r="AI99" s="1356"/>
      <c r="AJ99" s="1699"/>
      <c r="AK99" s="1356"/>
      <c r="AL99" s="1699"/>
      <c r="AM99" s="1356"/>
      <c r="AN99" s="1699"/>
      <c r="AO99" s="1356"/>
      <c r="AP99" s="1699"/>
      <c r="AQ99" s="1356"/>
      <c r="AR99" s="1699"/>
      <c r="AS99" s="1356"/>
      <c r="AT99" s="1699"/>
      <c r="AU99" s="1356"/>
      <c r="AV99" s="1699"/>
      <c r="AW99" s="1356"/>
      <c r="AX99" s="1699"/>
      <c r="AY99" s="1356"/>
      <c r="AZ99" s="1699"/>
      <c r="BA99" s="1356"/>
      <c r="BB99" s="1699"/>
      <c r="BC99" s="1356"/>
      <c r="BD99" s="1699"/>
      <c r="BE99" s="1356"/>
      <c r="BF99" s="1699"/>
      <c r="BG99" s="1356"/>
      <c r="BH99" s="1699"/>
      <c r="BI99" s="1356"/>
      <c r="BJ99" s="1699"/>
      <c r="BK99" s="1356"/>
      <c r="BL99" s="1699"/>
      <c r="BM99" s="1356"/>
      <c r="BN99" s="1699"/>
      <c r="BO99" s="1356"/>
      <c r="BP99" s="1699"/>
      <c r="BQ99" s="1356"/>
      <c r="BR99" s="1699"/>
      <c r="BS99" s="1356"/>
      <c r="BT99" s="1699"/>
      <c r="BU99" s="1356"/>
      <c r="BV99" s="1699"/>
      <c r="BW99" s="1356"/>
      <c r="BX99" s="1699"/>
      <c r="BY99" s="1356"/>
      <c r="BZ99" s="1699"/>
      <c r="CA99" s="1356"/>
      <c r="CB99" s="1699"/>
      <c r="CC99" s="1356"/>
      <c r="CD99" s="1699"/>
      <c r="CE99" s="1356"/>
      <c r="CF99" s="1699"/>
      <c r="CG99" s="1356"/>
      <c r="CH99" s="1699"/>
      <c r="CI99" s="1356"/>
      <c r="CJ99" s="1699"/>
      <c r="CK99" s="1356"/>
      <c r="CL99" s="1699"/>
      <c r="CM99" s="1356"/>
      <c r="CN99" s="1699"/>
      <c r="CO99" s="1356"/>
      <c r="CP99" s="1699"/>
      <c r="CQ99" s="1356"/>
      <c r="CR99" s="1699"/>
      <c r="CS99" s="1356"/>
      <c r="CT99" s="1699"/>
      <c r="CU99" s="1356"/>
      <c r="CV99" s="1699"/>
      <c r="CW99" s="1356"/>
      <c r="CX99" s="1699"/>
      <c r="CY99" s="1356"/>
      <c r="CZ99" s="1699"/>
      <c r="DA99" s="1356"/>
      <c r="DB99" s="1699"/>
      <c r="DC99" s="1356"/>
      <c r="DD99" s="1699"/>
      <c r="DE99" s="1356"/>
      <c r="DF99" s="1699"/>
      <c r="DG99" s="1356"/>
      <c r="DH99" s="1699"/>
      <c r="DI99" s="1356"/>
      <c r="DJ99" s="1699"/>
      <c r="DK99" s="1356"/>
      <c r="DL99" s="1699"/>
      <c r="DM99" s="1356"/>
      <c r="DN99" s="1699"/>
      <c r="DO99" s="1356"/>
      <c r="DP99" s="1699"/>
      <c r="DQ99" s="1356"/>
      <c r="DR99" s="1699"/>
      <c r="DS99" s="1356"/>
      <c r="DT99" s="1699"/>
      <c r="DU99" s="1356"/>
      <c r="DV99" s="1699"/>
      <c r="DW99" s="1356"/>
      <c r="DX99" s="1699"/>
      <c r="DY99" s="1356"/>
      <c r="DZ99" s="1699"/>
      <c r="EA99" s="1356"/>
      <c r="EB99" s="1699"/>
      <c r="EC99" s="1356"/>
      <c r="ED99" s="1699"/>
      <c r="EE99" s="1356"/>
      <c r="EF99" s="1699"/>
      <c r="EG99" s="1356"/>
      <c r="EH99" s="1699"/>
      <c r="EI99" s="1356"/>
      <c r="EJ99" s="1699"/>
      <c r="EK99" s="1356"/>
      <c r="EL99" s="1699"/>
      <c r="EM99" s="1356"/>
      <c r="EN99" s="1699"/>
      <c r="EO99" s="1356"/>
      <c r="EP99" s="1699"/>
      <c r="EQ99" s="1356"/>
      <c r="ER99" s="1699"/>
      <c r="ES99" s="1356"/>
      <c r="ET99" s="1699"/>
      <c r="EU99" s="1356"/>
      <c r="EV99" s="1699"/>
      <c r="EW99" s="1356"/>
      <c r="EX99" s="1699"/>
      <c r="EY99" s="1356"/>
      <c r="EZ99" s="1699"/>
      <c r="FA99" s="1356"/>
      <c r="FB99" s="1699"/>
      <c r="FC99" s="1356"/>
      <c r="FD99" s="1699"/>
      <c r="FE99" s="1356"/>
      <c r="FF99" s="1699"/>
      <c r="FG99" s="1356"/>
      <c r="FH99" s="1699"/>
      <c r="FI99" s="1356"/>
      <c r="FJ99" s="1699"/>
      <c r="FK99" s="1356"/>
      <c r="FL99" s="1699"/>
      <c r="FM99" s="1356"/>
      <c r="FN99" s="1699"/>
      <c r="FO99" s="1356"/>
      <c r="FP99" s="1699"/>
      <c r="FQ99" s="1356"/>
      <c r="FR99" s="1699"/>
      <c r="FS99" s="1356"/>
      <c r="FT99" s="1699"/>
      <c r="FU99" s="1356"/>
      <c r="FV99" s="1699"/>
      <c r="FW99" s="1356"/>
      <c r="FX99" s="1699"/>
      <c r="FY99" s="1356"/>
      <c r="FZ99" s="1699"/>
      <c r="GA99" s="1356"/>
      <c r="GB99" s="1699"/>
      <c r="GC99" s="1356"/>
      <c r="GD99" s="1699"/>
      <c r="GE99" s="1356"/>
      <c r="GF99" s="1699"/>
      <c r="GG99" s="1356"/>
      <c r="GH99" s="1699"/>
      <c r="GI99" s="1356"/>
      <c r="GJ99" s="1699"/>
      <c r="GK99" s="1356"/>
      <c r="GL99" s="1699"/>
      <c r="GM99" s="1356"/>
      <c r="GN99" s="1699"/>
      <c r="GO99" s="1356"/>
      <c r="GP99" s="1699"/>
      <c r="GQ99" s="1356"/>
      <c r="GR99" s="1699"/>
      <c r="GS99" s="1356"/>
      <c r="GT99" s="1699"/>
      <c r="GU99" s="1356"/>
      <c r="GV99" s="1699"/>
      <c r="GW99" s="1356"/>
      <c r="GX99" s="1699"/>
      <c r="GY99" s="1356"/>
      <c r="GZ99" s="1699"/>
      <c r="HA99" s="1356"/>
      <c r="HB99" s="1699"/>
      <c r="HC99" s="1356"/>
      <c r="HD99" s="1699"/>
      <c r="HE99" s="1356"/>
      <c r="HF99" s="2015"/>
      <c r="HH99" s="1699"/>
      <c r="HI99" s="1356"/>
      <c r="HJ99" s="1699"/>
      <c r="HK99" s="1356"/>
      <c r="HL99" s="1699"/>
      <c r="HM99" s="1356"/>
      <c r="HN99" s="1699"/>
      <c r="HO99" s="1356"/>
      <c r="HP99" s="2015"/>
      <c r="HR99" s="1699"/>
      <c r="HS99" s="1356"/>
      <c r="HT99" s="2015"/>
      <c r="HV99" s="2015"/>
      <c r="HX99" s="2015"/>
      <c r="HZ99" s="2015"/>
      <c r="IB99" s="1699"/>
      <c r="IC99" s="1356"/>
      <c r="ID99" s="2015"/>
      <c r="IF99" s="2015"/>
    </row>
    <row r="100" spans="1:241">
      <c r="A100" s="1149"/>
      <c r="B100" s="1149" t="s">
        <v>1226</v>
      </c>
      <c r="C100" s="1149"/>
      <c r="D100" s="1149"/>
      <c r="E100" s="1143"/>
      <c r="F100" s="1537">
        <v>21099662</v>
      </c>
      <c r="G100" s="1356"/>
      <c r="H100" s="1537">
        <v>26239085</v>
      </c>
      <c r="I100" s="1356"/>
      <c r="J100" s="1537">
        <v>19505327</v>
      </c>
      <c r="K100" s="1356"/>
      <c r="L100" s="1537">
        <v>136656508</v>
      </c>
      <c r="M100" s="1356"/>
      <c r="N100" s="1537">
        <v>20960882</v>
      </c>
      <c r="O100" s="1356"/>
      <c r="P100" s="1537">
        <v>91972883</v>
      </c>
      <c r="Q100" s="1356"/>
      <c r="R100" s="1537">
        <v>45359020</v>
      </c>
      <c r="T100" s="1537">
        <v>8370531</v>
      </c>
      <c r="U100" s="1356"/>
      <c r="V100" s="1537">
        <v>12308431</v>
      </c>
      <c r="W100" s="1356"/>
      <c r="X100" s="1537">
        <v>45613523</v>
      </c>
      <c r="Y100" s="1356"/>
      <c r="Z100" s="1537">
        <v>21445260</v>
      </c>
      <c r="AA100" s="1356"/>
      <c r="AB100" s="1537">
        <v>19244487</v>
      </c>
      <c r="AC100" s="1356"/>
      <c r="AD100" s="1537">
        <v>38184117</v>
      </c>
      <c r="AE100" s="1356"/>
      <c r="AF100" s="1537">
        <v>21070049</v>
      </c>
      <c r="AG100" s="1356"/>
      <c r="AH100" s="1537">
        <v>7350957</v>
      </c>
      <c r="AI100" s="1356"/>
      <c r="AJ100" s="1537">
        <v>31632128</v>
      </c>
      <c r="AK100" s="1356"/>
      <c r="AL100" s="1537">
        <v>11901051</v>
      </c>
      <c r="AM100" s="1356"/>
      <c r="AN100" s="1537">
        <v>28509896</v>
      </c>
      <c r="AO100" s="1356"/>
      <c r="AP100" s="1537">
        <v>39847855</v>
      </c>
      <c r="AQ100" s="1356"/>
      <c r="AR100" s="1537">
        <v>56530974</v>
      </c>
      <c r="AS100" s="1356"/>
      <c r="AT100" s="1537">
        <v>22464314</v>
      </c>
      <c r="AU100" s="1356"/>
      <c r="AV100" s="1537">
        <v>21397313</v>
      </c>
      <c r="AW100" s="1356"/>
      <c r="AX100" s="1537">
        <v>31713802</v>
      </c>
      <c r="AY100" s="1356"/>
      <c r="AZ100" s="1537">
        <v>15211883</v>
      </c>
      <c r="BA100" s="1356"/>
      <c r="BB100" s="1537">
        <v>26205285</v>
      </c>
      <c r="BC100" s="1356"/>
      <c r="BD100" s="1537">
        <v>16511224</v>
      </c>
      <c r="BE100" s="1356"/>
      <c r="BF100" s="1537">
        <v>9134072</v>
      </c>
      <c r="BG100" s="1356"/>
      <c r="BH100" s="1537">
        <v>24391271</v>
      </c>
      <c r="BI100" s="1356"/>
      <c r="BJ100" s="1537">
        <v>34954350</v>
      </c>
      <c r="BK100" s="1356"/>
      <c r="BL100" s="1537">
        <v>45974981</v>
      </c>
      <c r="BM100" s="1356"/>
      <c r="BN100" s="1537">
        <v>13735075</v>
      </c>
      <c r="BO100" s="1356"/>
      <c r="BP100" s="1537">
        <v>11933583</v>
      </c>
      <c r="BQ100" s="1356"/>
      <c r="BR100" s="1537">
        <v>16469225</v>
      </c>
      <c r="BS100" s="1356"/>
      <c r="BT100" s="1537">
        <v>7566394</v>
      </c>
      <c r="BU100" s="1356"/>
      <c r="BV100" s="1537">
        <v>5488534</v>
      </c>
      <c r="BW100" s="1356"/>
      <c r="BX100" s="1537">
        <v>20852120</v>
      </c>
      <c r="BY100" s="1356"/>
      <c r="BZ100" s="1537">
        <v>44366361</v>
      </c>
      <c r="CA100" s="1356"/>
      <c r="CB100" s="1537">
        <v>18576959</v>
      </c>
      <c r="CC100" s="1356"/>
      <c r="CD100" s="1537">
        <v>16236929</v>
      </c>
      <c r="CE100" s="1356"/>
      <c r="CF100" s="1537">
        <v>22172290</v>
      </c>
      <c r="CG100" s="1356"/>
      <c r="CH100" s="1537">
        <v>13941477</v>
      </c>
      <c r="CI100" s="1356"/>
      <c r="CJ100" s="1537">
        <v>9915123</v>
      </c>
      <c r="CK100" s="1356"/>
      <c r="CL100" s="1537">
        <v>72269582</v>
      </c>
      <c r="CM100" s="1356"/>
      <c r="CN100" s="1537">
        <v>36080936</v>
      </c>
      <c r="CO100" s="1356"/>
      <c r="CP100" s="1537">
        <v>16959377</v>
      </c>
      <c r="CQ100" s="1356"/>
      <c r="CR100" s="1537">
        <v>34996470</v>
      </c>
      <c r="CS100" s="1356"/>
      <c r="CT100" s="1537">
        <v>16860399</v>
      </c>
      <c r="CU100" s="1356"/>
      <c r="CV100" s="1537">
        <v>34457112</v>
      </c>
      <c r="CW100" s="1356"/>
      <c r="CX100" s="1537">
        <v>46220500</v>
      </c>
      <c r="CY100" s="1356"/>
      <c r="CZ100" s="1537">
        <v>32979138</v>
      </c>
      <c r="DA100" s="1356"/>
      <c r="DB100" s="1537">
        <v>13481959</v>
      </c>
      <c r="DC100" s="1356"/>
      <c r="DD100" s="1537">
        <v>10537922</v>
      </c>
      <c r="DE100" s="1356"/>
      <c r="DF100" s="1537">
        <v>37204841</v>
      </c>
      <c r="DG100" s="1356"/>
      <c r="DH100" s="1537">
        <v>19534959</v>
      </c>
      <c r="DI100" s="1356"/>
      <c r="DJ100" s="1537">
        <v>9947559</v>
      </c>
      <c r="DK100" s="1356"/>
      <c r="DL100" s="1537">
        <v>40268621</v>
      </c>
      <c r="DM100" s="1356"/>
      <c r="DN100" s="1537">
        <v>23901281</v>
      </c>
      <c r="DO100" s="1356"/>
      <c r="DP100" s="1537">
        <v>5839196</v>
      </c>
      <c r="DQ100" s="1356"/>
      <c r="DR100" s="1537">
        <v>28247900</v>
      </c>
      <c r="DS100" s="1356"/>
      <c r="DT100" s="1537">
        <v>85361013</v>
      </c>
      <c r="DU100" s="1356"/>
      <c r="DV100" s="1537">
        <v>20921901</v>
      </c>
      <c r="DW100" s="1356"/>
      <c r="DX100" s="1537">
        <v>32084176</v>
      </c>
      <c r="DY100" s="1356"/>
      <c r="DZ100" s="1537">
        <v>36591855</v>
      </c>
      <c r="EA100" s="1356"/>
      <c r="EB100" s="1537">
        <v>32313987</v>
      </c>
      <c r="EC100" s="1356"/>
      <c r="ED100" s="1537">
        <v>12772224</v>
      </c>
      <c r="EE100" s="1356"/>
      <c r="EF100" s="1537">
        <v>14567288</v>
      </c>
      <c r="EG100" s="1356"/>
      <c r="EH100" s="1537">
        <v>68637678</v>
      </c>
      <c r="EI100" s="1356"/>
      <c r="EJ100" s="1537">
        <v>34717604</v>
      </c>
      <c r="EK100" s="1356"/>
      <c r="EL100" s="1537">
        <v>89055497</v>
      </c>
      <c r="EM100" s="1356"/>
      <c r="EN100" s="1537">
        <v>16415432</v>
      </c>
      <c r="EO100" s="1356"/>
      <c r="EP100" s="1537">
        <v>28731716</v>
      </c>
      <c r="EQ100" s="1356"/>
      <c r="ER100" s="1537">
        <v>9707283</v>
      </c>
      <c r="ES100" s="1356"/>
      <c r="ET100" s="1537">
        <v>41315092</v>
      </c>
      <c r="EU100" s="1356"/>
      <c r="EV100" s="1537">
        <v>12590156</v>
      </c>
      <c r="EW100" s="1356"/>
      <c r="EX100" s="1537">
        <v>16035017</v>
      </c>
      <c r="EY100" s="1356"/>
      <c r="EZ100" s="1537">
        <v>16772334</v>
      </c>
      <c r="FA100" s="1356"/>
      <c r="FB100" s="1537">
        <v>14386856</v>
      </c>
      <c r="FC100" s="1356"/>
      <c r="FD100" s="1537">
        <v>19099652</v>
      </c>
      <c r="FE100" s="1356"/>
      <c r="FF100" s="1537">
        <v>11631841</v>
      </c>
      <c r="FG100" s="1356"/>
      <c r="FH100" s="1537">
        <v>31474841</v>
      </c>
      <c r="FI100" s="1356"/>
      <c r="FJ100" s="1537">
        <v>28369847</v>
      </c>
      <c r="FK100" s="1356"/>
      <c r="FL100" s="1537">
        <v>13238491</v>
      </c>
      <c r="FM100" s="1356"/>
      <c r="FN100" s="1537">
        <f>33492195+492414</f>
        <v>33984609</v>
      </c>
      <c r="FO100" s="1356"/>
      <c r="FP100" s="1537">
        <v>7744315</v>
      </c>
      <c r="FQ100" s="1356"/>
      <c r="FR100" s="1537">
        <v>42649391</v>
      </c>
      <c r="FS100" s="1356"/>
      <c r="FT100" s="1537">
        <v>46388122</v>
      </c>
      <c r="FU100" s="1356"/>
      <c r="FV100" s="1537">
        <v>47411710</v>
      </c>
      <c r="FW100" s="1356"/>
      <c r="FX100" s="1537">
        <v>6962733</v>
      </c>
      <c r="FY100" s="1356"/>
      <c r="FZ100" s="1537">
        <v>18302215</v>
      </c>
      <c r="GA100" s="1356"/>
      <c r="GB100" s="1537">
        <v>7654106</v>
      </c>
      <c r="GC100" s="1356"/>
      <c r="GD100" s="1537">
        <v>28929821</v>
      </c>
      <c r="GE100" s="1356"/>
      <c r="GF100" s="1537">
        <v>23793213</v>
      </c>
      <c r="GG100" s="1356"/>
      <c r="GH100" s="1537">
        <v>2593091</v>
      </c>
      <c r="GI100" s="1356"/>
      <c r="GJ100" s="1537">
        <v>102095351</v>
      </c>
      <c r="GK100" s="1356"/>
      <c r="GL100" s="1537">
        <v>8554245</v>
      </c>
      <c r="GM100" s="1356"/>
      <c r="GN100" s="1537">
        <v>7991813</v>
      </c>
      <c r="GO100" s="1356"/>
      <c r="GP100" s="1537">
        <v>18570991</v>
      </c>
      <c r="GQ100" s="1356"/>
      <c r="GR100" s="1537">
        <v>19007338</v>
      </c>
      <c r="GS100" s="1356"/>
      <c r="GT100" s="1537">
        <v>2003541</v>
      </c>
      <c r="GU100" s="1356"/>
      <c r="GV100" s="1537">
        <v>15034847</v>
      </c>
      <c r="GW100" s="1356"/>
      <c r="GX100" s="1537">
        <v>5549153</v>
      </c>
      <c r="GY100" s="1356"/>
      <c r="GZ100" s="1537">
        <f>52852902+675198</f>
        <v>53528100</v>
      </c>
      <c r="HA100" s="1356"/>
      <c r="HB100" s="1537">
        <v>9296412</v>
      </c>
      <c r="HC100" s="1356"/>
      <c r="HD100" s="1537">
        <v>19709492</v>
      </c>
      <c r="HE100" s="1356"/>
      <c r="HF100" s="2012">
        <v>55989016</v>
      </c>
      <c r="HH100" s="1537">
        <v>50406820</v>
      </c>
      <c r="HI100" s="1356"/>
      <c r="HJ100" s="1537">
        <v>15452205</v>
      </c>
      <c r="HK100" s="1356"/>
      <c r="HL100" s="1537">
        <v>8016308</v>
      </c>
      <c r="HM100" s="1356"/>
      <c r="HN100" s="1537">
        <v>19016352</v>
      </c>
      <c r="HO100" s="1356"/>
      <c r="HP100" s="2012">
        <v>54936147</v>
      </c>
      <c r="HR100" s="1537">
        <v>10163643</v>
      </c>
      <c r="HS100" s="1356"/>
      <c r="HT100" s="2012">
        <v>49898482</v>
      </c>
      <c r="HV100" s="2012">
        <v>32344574</v>
      </c>
      <c r="HX100" s="2012">
        <v>29075658</v>
      </c>
      <c r="HZ100" s="2012">
        <v>26656179</v>
      </c>
      <c r="IB100" s="1537">
        <v>13159503</v>
      </c>
      <c r="IC100" s="1356"/>
      <c r="ID100" s="2012">
        <v>17294617</v>
      </c>
      <c r="IF100" s="2012">
        <v>12850506</v>
      </c>
    </row>
    <row r="101" spans="1:241">
      <c r="A101" s="1149"/>
      <c r="B101" s="1149" t="s">
        <v>1227</v>
      </c>
      <c r="C101" s="1149"/>
      <c r="D101" s="1149"/>
      <c r="E101" s="1143"/>
      <c r="F101" s="1537">
        <f>1077202-100345</f>
        <v>976857</v>
      </c>
      <c r="G101" s="1356"/>
      <c r="H101" s="1537">
        <v>1065112</v>
      </c>
      <c r="I101" s="1356"/>
      <c r="J101" s="1537">
        <v>503654</v>
      </c>
      <c r="K101" s="1356"/>
      <c r="L101" s="1537">
        <v>42090725</v>
      </c>
      <c r="M101" s="1356"/>
      <c r="N101" s="1537">
        <v>1233189</v>
      </c>
      <c r="O101" s="1356"/>
      <c r="P101" s="1537">
        <v>19867590</v>
      </c>
      <c r="Q101" s="1356"/>
      <c r="R101" s="1537">
        <v>3429948</v>
      </c>
      <c r="T101" s="1537">
        <v>584461</v>
      </c>
      <c r="U101" s="1356"/>
      <c r="V101" s="1537">
        <v>947367</v>
      </c>
      <c r="W101" s="1356"/>
      <c r="X101" s="1537">
        <v>3983420</v>
      </c>
      <c r="Y101" s="1356"/>
      <c r="Z101" s="1537">
        <v>200410</v>
      </c>
      <c r="AA101" s="1356"/>
      <c r="AB101" s="1537">
        <v>1277321</v>
      </c>
      <c r="AC101" s="1356"/>
      <c r="AD101" s="1537">
        <v>7518237</v>
      </c>
      <c r="AE101" s="1356"/>
      <c r="AF101" s="1537">
        <v>815676</v>
      </c>
      <c r="AG101" s="1356"/>
      <c r="AH101" s="1537">
        <v>130995</v>
      </c>
      <c r="AI101" s="1356"/>
      <c r="AJ101" s="1537">
        <f>821005+136320</f>
        <v>957325</v>
      </c>
      <c r="AK101" s="1356"/>
      <c r="AL101" s="1537">
        <v>851206</v>
      </c>
      <c r="AM101" s="1356"/>
      <c r="AN101" s="1537">
        <v>10048934</v>
      </c>
      <c r="AO101" s="1356"/>
      <c r="AP101" s="1537">
        <v>6713306</v>
      </c>
      <c r="AQ101" s="1356"/>
      <c r="AR101" s="1537">
        <v>6343820</v>
      </c>
      <c r="AS101" s="1356"/>
      <c r="AT101" s="1537">
        <v>455750</v>
      </c>
      <c r="AU101" s="1356"/>
      <c r="AV101" s="1537">
        <v>2007647</v>
      </c>
      <c r="AW101" s="1356"/>
      <c r="AX101" s="1537">
        <v>1822424</v>
      </c>
      <c r="AY101" s="1356"/>
      <c r="AZ101" s="1537">
        <v>544435</v>
      </c>
      <c r="BA101" s="1356"/>
      <c r="BB101" s="1537">
        <v>2706438</v>
      </c>
      <c r="BC101" s="1356"/>
      <c r="BD101" s="1537">
        <v>657958</v>
      </c>
      <c r="BE101" s="1356"/>
      <c r="BF101" s="1537">
        <v>888925</v>
      </c>
      <c r="BG101" s="1356"/>
      <c r="BH101" s="1537">
        <v>1871574</v>
      </c>
      <c r="BI101" s="1356"/>
      <c r="BJ101" s="1537">
        <v>1975909</v>
      </c>
      <c r="BK101" s="1356"/>
      <c r="BL101" s="1537">
        <v>3178498</v>
      </c>
      <c r="BM101" s="1356"/>
      <c r="BN101" s="1537">
        <v>4030764</v>
      </c>
      <c r="BO101" s="1356"/>
      <c r="BP101" s="1537">
        <v>512951</v>
      </c>
      <c r="BQ101" s="1356"/>
      <c r="BR101" s="1537">
        <v>2592880</v>
      </c>
      <c r="BS101" s="1356"/>
      <c r="BT101" s="1537">
        <v>1112605</v>
      </c>
      <c r="BU101" s="1356"/>
      <c r="BV101" s="1537">
        <v>1004335</v>
      </c>
      <c r="BW101" s="1356"/>
      <c r="BX101" s="1537">
        <v>4893490</v>
      </c>
      <c r="BY101" s="1356"/>
      <c r="BZ101" s="1537">
        <v>2991411</v>
      </c>
      <c r="CA101" s="1356"/>
      <c r="CB101" s="1537">
        <v>1823351</v>
      </c>
      <c r="CC101" s="1356"/>
      <c r="CD101" s="1537">
        <v>439433</v>
      </c>
      <c r="CE101" s="1356"/>
      <c r="CF101" s="1537">
        <v>2092682</v>
      </c>
      <c r="CG101" s="1356"/>
      <c r="CH101" s="1537">
        <v>2528117</v>
      </c>
      <c r="CI101" s="1356"/>
      <c r="CJ101" s="1537">
        <v>434858</v>
      </c>
      <c r="CK101" s="1356"/>
      <c r="CL101" s="1537">
        <v>6385676</v>
      </c>
      <c r="CM101" s="1356"/>
      <c r="CN101" s="1537">
        <v>1598032</v>
      </c>
      <c r="CO101" s="1356"/>
      <c r="CP101" s="1537">
        <v>1958160</v>
      </c>
      <c r="CQ101" s="1356"/>
      <c r="CR101" s="1537">
        <v>1043118</v>
      </c>
      <c r="CS101" s="1356"/>
      <c r="CT101" s="1537">
        <v>1551402</v>
      </c>
      <c r="CU101" s="1356"/>
      <c r="CV101" s="1537">
        <v>4318452</v>
      </c>
      <c r="CW101" s="1356"/>
      <c r="CX101" s="1537">
        <v>2900619</v>
      </c>
      <c r="CY101" s="1356"/>
      <c r="CZ101" s="1537">
        <v>3200015</v>
      </c>
      <c r="DA101" s="1356"/>
      <c r="DB101" s="1537">
        <v>946206</v>
      </c>
      <c r="DC101" s="1356"/>
      <c r="DD101" s="1537">
        <v>1742272</v>
      </c>
      <c r="DE101" s="1356"/>
      <c r="DF101" s="1537">
        <v>10845933</v>
      </c>
      <c r="DG101" s="1356"/>
      <c r="DH101" s="1537">
        <v>4586882</v>
      </c>
      <c r="DI101" s="1356"/>
      <c r="DJ101" s="1537">
        <v>565039</v>
      </c>
      <c r="DK101" s="1356"/>
      <c r="DL101" s="1537">
        <v>16697665</v>
      </c>
      <c r="DM101" s="1356"/>
      <c r="DN101" s="1537">
        <v>821959</v>
      </c>
      <c r="DO101" s="1356"/>
      <c r="DP101" s="1537">
        <v>2268634</v>
      </c>
      <c r="DQ101" s="1356"/>
      <c r="DR101" s="1537">
        <v>5492435</v>
      </c>
      <c r="DS101" s="1356"/>
      <c r="DT101" s="1537">
        <v>27957249</v>
      </c>
      <c r="DU101" s="1356"/>
      <c r="DV101" s="1537">
        <v>2977400</v>
      </c>
      <c r="DW101" s="1356"/>
      <c r="DX101" s="1537">
        <v>1572616</v>
      </c>
      <c r="DY101" s="1356"/>
      <c r="DZ101" s="1537">
        <v>2895613</v>
      </c>
      <c r="EA101" s="1356"/>
      <c r="EB101" s="1537">
        <v>2138485</v>
      </c>
      <c r="EC101" s="1356"/>
      <c r="ED101" s="1537">
        <v>3554593</v>
      </c>
      <c r="EE101" s="1356"/>
      <c r="EF101" s="1537">
        <v>1188341</v>
      </c>
      <c r="EG101" s="1356"/>
      <c r="EH101" s="1537">
        <v>5000113</v>
      </c>
      <c r="EI101" s="1356"/>
      <c r="EJ101" s="1537">
        <v>708174</v>
      </c>
      <c r="EK101" s="1356"/>
      <c r="EL101" s="1537">
        <v>10785609</v>
      </c>
      <c r="EM101" s="1356"/>
      <c r="EN101" s="1537">
        <v>2079136</v>
      </c>
      <c r="EO101" s="1356"/>
      <c r="EP101" s="1537">
        <v>4653601</v>
      </c>
      <c r="EQ101" s="1356"/>
      <c r="ER101" s="1537">
        <v>4545213</v>
      </c>
      <c r="ES101" s="1356"/>
      <c r="ET101" s="1537">
        <v>1987051</v>
      </c>
      <c r="EU101" s="1356"/>
      <c r="EV101" s="1537">
        <v>616457</v>
      </c>
      <c r="EW101" s="1356"/>
      <c r="EX101" s="1537">
        <v>277559</v>
      </c>
      <c r="EY101" s="1356"/>
      <c r="EZ101" s="1537">
        <v>3589461</v>
      </c>
      <c r="FA101" s="1356"/>
      <c r="FB101" s="1537">
        <v>5927321</v>
      </c>
      <c r="FC101" s="1356"/>
      <c r="FD101" s="1537">
        <v>1401950</v>
      </c>
      <c r="FE101" s="1356"/>
      <c r="FF101" s="1537">
        <f>902347+23858</f>
        <v>926205</v>
      </c>
      <c r="FG101" s="1356"/>
      <c r="FH101" s="1537">
        <v>20751179</v>
      </c>
      <c r="FI101" s="1356"/>
      <c r="FJ101" s="1537">
        <v>1898009</v>
      </c>
      <c r="FK101" s="1356"/>
      <c r="FL101" s="1537">
        <v>684229</v>
      </c>
      <c r="FM101" s="1356"/>
      <c r="FN101" s="1537">
        <f>1050357+151315</f>
        <v>1201672</v>
      </c>
      <c r="FO101" s="1356"/>
      <c r="FP101" s="1537">
        <v>632541</v>
      </c>
      <c r="FQ101" s="1356"/>
      <c r="FR101" s="1537">
        <v>1111303</v>
      </c>
      <c r="FS101" s="1356"/>
      <c r="FT101" s="1537">
        <v>6295999</v>
      </c>
      <c r="FU101" s="1356"/>
      <c r="FV101" s="1537">
        <v>11295923</v>
      </c>
      <c r="FW101" s="1356"/>
      <c r="FX101" s="1537">
        <v>590502</v>
      </c>
      <c r="FY101" s="1356"/>
      <c r="FZ101" s="1537">
        <v>1160391</v>
      </c>
      <c r="GA101" s="1356"/>
      <c r="GB101" s="1537">
        <v>2959400</v>
      </c>
      <c r="GC101" s="1356"/>
      <c r="GD101" s="1537">
        <v>5581735</v>
      </c>
      <c r="GE101" s="1356"/>
      <c r="GF101" s="1537">
        <f>3328362+115789-51331</f>
        <v>3392820</v>
      </c>
      <c r="GG101" s="1356"/>
      <c r="GH101" s="1537">
        <v>261893</v>
      </c>
      <c r="GI101" s="1356"/>
      <c r="GJ101" s="1537">
        <v>17632000</v>
      </c>
      <c r="GK101" s="1356"/>
      <c r="GL101" s="1537">
        <v>3087643</v>
      </c>
      <c r="GM101" s="1356"/>
      <c r="GN101" s="1537">
        <v>842611</v>
      </c>
      <c r="GO101" s="1356"/>
      <c r="GP101" s="1537">
        <v>2596694</v>
      </c>
      <c r="GQ101" s="1356"/>
      <c r="GR101" s="1537">
        <v>1439884</v>
      </c>
      <c r="GS101" s="1356"/>
      <c r="GT101" s="1537">
        <v>1477740</v>
      </c>
      <c r="GU101" s="1356"/>
      <c r="GV101" s="1537">
        <v>670154</v>
      </c>
      <c r="GW101" s="1356"/>
      <c r="GX101" s="1537">
        <v>743290</v>
      </c>
      <c r="GY101" s="1356"/>
      <c r="GZ101" s="1537">
        <v>3974390</v>
      </c>
      <c r="HA101" s="1356"/>
      <c r="HB101" s="1537">
        <v>1273622</v>
      </c>
      <c r="HC101" s="1356"/>
      <c r="HD101" s="1537">
        <v>1729786</v>
      </c>
      <c r="HE101" s="1356"/>
      <c r="HF101" s="2012">
        <v>3243526</v>
      </c>
      <c r="HH101" s="1537">
        <v>13514717</v>
      </c>
      <c r="HI101" s="1356"/>
      <c r="HJ101" s="1537">
        <v>698138</v>
      </c>
      <c r="HK101" s="1356"/>
      <c r="HL101" s="1537">
        <v>287900</v>
      </c>
      <c r="HM101" s="1356"/>
      <c r="HN101" s="1537">
        <v>592103</v>
      </c>
      <c r="HO101" s="1356"/>
      <c r="HP101" s="2012">
        <v>2319418</v>
      </c>
      <c r="HR101" s="1537">
        <v>385817</v>
      </c>
      <c r="HS101" s="1356"/>
      <c r="HT101" s="2012">
        <v>6630243</v>
      </c>
      <c r="HV101" s="2012">
        <f>3873121+1309366+28933</f>
        <v>5211420</v>
      </c>
      <c r="HX101" s="2012">
        <v>3300630</v>
      </c>
      <c r="HZ101" s="2012">
        <v>3014203</v>
      </c>
      <c r="IB101" s="1537">
        <v>697190</v>
      </c>
      <c r="IC101" s="1356"/>
      <c r="ID101" s="2012">
        <v>1482037</v>
      </c>
      <c r="IF101" s="2012">
        <v>2760412</v>
      </c>
    </row>
    <row r="102" spans="1:241">
      <c r="A102" s="1149"/>
      <c r="B102" s="1149" t="s">
        <v>49</v>
      </c>
      <c r="C102" s="1149"/>
      <c r="D102" s="1149"/>
      <c r="E102" s="1143"/>
      <c r="F102" s="1701">
        <v>1550917</v>
      </c>
      <c r="G102" s="1356"/>
      <c r="H102" s="1701">
        <v>2227131</v>
      </c>
      <c r="I102" s="1356"/>
      <c r="J102" s="1701">
        <v>909700</v>
      </c>
      <c r="K102" s="1356"/>
      <c r="L102" s="1701">
        <v>9352002</v>
      </c>
      <c r="M102" s="1356"/>
      <c r="N102" s="1701">
        <v>1429029</v>
      </c>
      <c r="O102" s="1356"/>
      <c r="P102" s="1701">
        <v>8171161</v>
      </c>
      <c r="Q102" s="1356"/>
      <c r="R102" s="1701">
        <v>4482544</v>
      </c>
      <c r="T102" s="1701">
        <v>667829</v>
      </c>
      <c r="U102" s="1356"/>
      <c r="V102" s="1701">
        <v>1331933</v>
      </c>
      <c r="W102" s="1356"/>
      <c r="X102" s="1537">
        <v>3742821</v>
      </c>
      <c r="Y102" s="1356"/>
      <c r="Z102" s="1701">
        <v>2679966</v>
      </c>
      <c r="AA102" s="1356"/>
      <c r="AB102" s="1701">
        <v>1127719</v>
      </c>
      <c r="AC102" s="1356"/>
      <c r="AD102" s="1701">
        <v>3715694</v>
      </c>
      <c r="AE102" s="1356"/>
      <c r="AF102" s="1701">
        <v>1497294</v>
      </c>
      <c r="AG102" s="1356"/>
      <c r="AH102" s="1701">
        <v>683100</v>
      </c>
      <c r="AI102" s="1356"/>
      <c r="AJ102" s="1701">
        <v>2530424</v>
      </c>
      <c r="AK102" s="1356"/>
      <c r="AL102" s="1701">
        <v>2021136</v>
      </c>
      <c r="AM102" s="1356"/>
      <c r="AN102" s="1701">
        <v>1414442</v>
      </c>
      <c r="AO102" s="1356"/>
      <c r="AP102" s="1701">
        <v>2745927</v>
      </c>
      <c r="AQ102" s="1356"/>
      <c r="AR102" s="1701">
        <v>4609647</v>
      </c>
      <c r="AS102" s="1356"/>
      <c r="AT102" s="1701">
        <v>1343585</v>
      </c>
      <c r="AU102" s="1356"/>
      <c r="AV102" s="1701">
        <v>2659555</v>
      </c>
      <c r="AW102" s="1356"/>
      <c r="AX102" s="1701">
        <v>1549039</v>
      </c>
      <c r="AY102" s="1356"/>
      <c r="AZ102" s="1701">
        <v>1208515</v>
      </c>
      <c r="BA102" s="1356"/>
      <c r="BB102" s="1701">
        <v>1451269</v>
      </c>
      <c r="BC102" s="1356"/>
      <c r="BD102" s="1701">
        <v>1111258</v>
      </c>
      <c r="BE102" s="1356"/>
      <c r="BF102" s="1701">
        <v>1166335</v>
      </c>
      <c r="BG102" s="1356"/>
      <c r="BH102" s="1701">
        <v>1403284</v>
      </c>
      <c r="BI102" s="1356"/>
      <c r="BJ102" s="1701">
        <v>3445247</v>
      </c>
      <c r="BK102" s="1356"/>
      <c r="BL102" s="1701">
        <v>4821812</v>
      </c>
      <c r="BM102" s="1356"/>
      <c r="BN102" s="1701">
        <v>648753</v>
      </c>
      <c r="BO102" s="1356"/>
      <c r="BP102" s="1701">
        <v>931230</v>
      </c>
      <c r="BQ102" s="1356"/>
      <c r="BR102" s="1701">
        <v>1784412</v>
      </c>
      <c r="BS102" s="1356"/>
      <c r="BT102" s="1701">
        <v>517294</v>
      </c>
      <c r="BU102" s="1356"/>
      <c r="BV102" s="1701">
        <v>688768</v>
      </c>
      <c r="BW102" s="1356"/>
      <c r="BX102" s="1701">
        <v>1194270</v>
      </c>
      <c r="BY102" s="1356"/>
      <c r="BZ102" s="1701">
        <v>3608390</v>
      </c>
      <c r="CA102" s="1356"/>
      <c r="CB102" s="1701">
        <v>1663399</v>
      </c>
      <c r="CC102" s="1356"/>
      <c r="CD102" s="1701">
        <v>1895192</v>
      </c>
      <c r="CE102" s="1356"/>
      <c r="CF102" s="1701">
        <v>2243338</v>
      </c>
      <c r="CG102" s="1356"/>
      <c r="CH102" s="1701">
        <v>773334</v>
      </c>
      <c r="CI102" s="1356"/>
      <c r="CJ102" s="1701">
        <v>741227</v>
      </c>
      <c r="CK102" s="1356"/>
      <c r="CL102" s="1701">
        <v>4469882</v>
      </c>
      <c r="CM102" s="1356"/>
      <c r="CN102" s="1701">
        <v>2301824</v>
      </c>
      <c r="CO102" s="1356"/>
      <c r="CP102" s="1701">
        <v>1484404</v>
      </c>
      <c r="CQ102" s="1356"/>
      <c r="CR102" s="1701">
        <v>2147540</v>
      </c>
      <c r="CS102" s="1356"/>
      <c r="CT102" s="1701">
        <v>1321717</v>
      </c>
      <c r="CU102" s="1356"/>
      <c r="CV102" s="1701">
        <v>5539439</v>
      </c>
      <c r="CW102" s="1356"/>
      <c r="CX102" s="1701">
        <v>4832533</v>
      </c>
      <c r="CY102" s="1356"/>
      <c r="CZ102" s="1701">
        <v>0</v>
      </c>
      <c r="DA102" s="1356"/>
      <c r="DB102" s="1701">
        <v>1618863</v>
      </c>
      <c r="DC102" s="1356"/>
      <c r="DD102" s="1701">
        <v>916538</v>
      </c>
      <c r="DE102" s="1356"/>
      <c r="DF102" s="1701">
        <v>7330867</v>
      </c>
      <c r="DG102" s="1356"/>
      <c r="DH102" s="1701">
        <v>1862670</v>
      </c>
      <c r="DI102" s="1356"/>
      <c r="DJ102" s="1701">
        <v>1141399</v>
      </c>
      <c r="DK102" s="1356"/>
      <c r="DL102" s="1701">
        <v>3022890</v>
      </c>
      <c r="DM102" s="1356"/>
      <c r="DN102" s="1701">
        <v>944221</v>
      </c>
      <c r="DO102" s="1356"/>
      <c r="DP102" s="1701">
        <v>829891</v>
      </c>
      <c r="DQ102" s="1356"/>
      <c r="DR102" s="1701">
        <v>1989264</v>
      </c>
      <c r="DS102" s="1356"/>
      <c r="DT102" s="1701">
        <v>3617022</v>
      </c>
      <c r="DU102" s="1356"/>
      <c r="DV102" s="1701">
        <v>1708434</v>
      </c>
      <c r="DW102" s="1356"/>
      <c r="DX102" s="1701">
        <v>1960016</v>
      </c>
      <c r="DY102" s="1356"/>
      <c r="DZ102" s="1701">
        <v>4205876</v>
      </c>
      <c r="EA102" s="1356"/>
      <c r="EB102" s="1701">
        <v>3835603</v>
      </c>
      <c r="EC102" s="1356"/>
      <c r="ED102" s="1701">
        <v>1214708</v>
      </c>
      <c r="EE102" s="1356"/>
      <c r="EF102" s="1701">
        <v>1447047</v>
      </c>
      <c r="EG102" s="1356"/>
      <c r="EH102" s="1701">
        <v>4779565</v>
      </c>
      <c r="EI102" s="1356"/>
      <c r="EJ102" s="1701">
        <v>2335033</v>
      </c>
      <c r="EK102" s="1356"/>
      <c r="EL102" s="1701">
        <v>6048637</v>
      </c>
      <c r="EM102" s="1356"/>
      <c r="EN102" s="1701">
        <v>941975</v>
      </c>
      <c r="EO102" s="1356"/>
      <c r="EP102" s="1701">
        <v>2343278</v>
      </c>
      <c r="EQ102" s="1356"/>
      <c r="ER102" s="1701">
        <v>722759</v>
      </c>
      <c r="ES102" s="1356"/>
      <c r="ET102" s="1701">
        <v>2690558</v>
      </c>
      <c r="EU102" s="1356"/>
      <c r="EV102" s="1701">
        <v>1531615</v>
      </c>
      <c r="EW102" s="1356"/>
      <c r="EX102" s="1701">
        <v>385830</v>
      </c>
      <c r="EY102" s="1356"/>
      <c r="EZ102" s="1701">
        <v>1631733</v>
      </c>
      <c r="FA102" s="1356"/>
      <c r="FB102" s="1701">
        <v>334195</v>
      </c>
      <c r="FC102" s="1356"/>
      <c r="FD102" s="1701">
        <v>1402906</v>
      </c>
      <c r="FE102" s="1356"/>
      <c r="FF102" s="1701">
        <v>1630967</v>
      </c>
      <c r="FG102" s="1356"/>
      <c r="FH102" s="1701">
        <v>1390887</v>
      </c>
      <c r="FI102" s="1356"/>
      <c r="FJ102" s="1701">
        <v>1516570</v>
      </c>
      <c r="FK102" s="1356"/>
      <c r="FL102" s="1701">
        <v>961981</v>
      </c>
      <c r="FM102" s="1356"/>
      <c r="FN102" s="1701">
        <v>2444446</v>
      </c>
      <c r="FO102" s="1356"/>
      <c r="FP102" s="1701">
        <v>809806</v>
      </c>
      <c r="FQ102" s="1356"/>
      <c r="FR102" s="1701">
        <v>3210822</v>
      </c>
      <c r="FS102" s="1356"/>
      <c r="FT102" s="1701">
        <v>2880009</v>
      </c>
      <c r="FU102" s="1356"/>
      <c r="FV102" s="1701">
        <v>5367008</v>
      </c>
      <c r="FW102" s="1356"/>
      <c r="FX102" s="1701">
        <v>1098098</v>
      </c>
      <c r="FY102" s="1356"/>
      <c r="FZ102" s="1701">
        <v>1236431</v>
      </c>
      <c r="GA102" s="1356"/>
      <c r="GB102" s="1701">
        <v>511716</v>
      </c>
      <c r="GC102" s="1356"/>
      <c r="GD102" s="1701">
        <v>4697333</v>
      </c>
      <c r="GE102" s="1356"/>
      <c r="GF102" s="1537">
        <v>2149808</v>
      </c>
      <c r="GG102" s="1356"/>
      <c r="GH102" s="1701">
        <v>486074</v>
      </c>
      <c r="GI102" s="1356"/>
      <c r="GJ102" s="1701">
        <v>7593106</v>
      </c>
      <c r="GK102" s="1356"/>
      <c r="GL102" s="1701">
        <v>1062140</v>
      </c>
      <c r="GM102" s="1356"/>
      <c r="GN102" s="1701">
        <v>1213129</v>
      </c>
      <c r="GO102" s="1356"/>
      <c r="GP102" s="1701">
        <v>2286186</v>
      </c>
      <c r="GQ102" s="1356"/>
      <c r="GR102" s="1701">
        <v>1508600</v>
      </c>
      <c r="GS102" s="1356"/>
      <c r="GT102" s="1701">
        <v>419828</v>
      </c>
      <c r="GU102" s="1356"/>
      <c r="GV102" s="1701">
        <v>1057626</v>
      </c>
      <c r="GW102" s="1356"/>
      <c r="GX102" s="1701">
        <v>1057823</v>
      </c>
      <c r="GY102" s="1356"/>
      <c r="GZ102" s="1701">
        <f>2533019+345155</f>
        <v>2878174</v>
      </c>
      <c r="HA102" s="1356"/>
      <c r="HB102" s="1701">
        <v>509143</v>
      </c>
      <c r="HC102" s="1356"/>
      <c r="HD102" s="1701">
        <v>1332497</v>
      </c>
      <c r="HE102" s="1356"/>
      <c r="HF102" s="2016">
        <v>4127363</v>
      </c>
      <c r="HH102" s="1701">
        <v>1989644</v>
      </c>
      <c r="HI102" s="1356"/>
      <c r="HJ102" s="1701">
        <v>1613530</v>
      </c>
      <c r="HK102" s="1356"/>
      <c r="HL102" s="1701">
        <v>731233</v>
      </c>
      <c r="HM102" s="1356"/>
      <c r="HN102" s="1701">
        <v>1263392</v>
      </c>
      <c r="HO102" s="1356"/>
      <c r="HP102" s="2016">
        <v>3647394</v>
      </c>
      <c r="HR102" s="1701">
        <v>864140</v>
      </c>
      <c r="HS102" s="1356"/>
      <c r="HT102" s="2016">
        <v>3380952</v>
      </c>
      <c r="HV102" s="2016">
        <v>3570943</v>
      </c>
      <c r="HX102" s="2016">
        <v>1322271</v>
      </c>
      <c r="HZ102" s="2016">
        <v>2311287</v>
      </c>
      <c r="IB102" s="1701">
        <v>1160518</v>
      </c>
      <c r="IC102" s="1356"/>
      <c r="ID102" s="2016">
        <v>1226836</v>
      </c>
      <c r="IF102" s="2016">
        <v>648118</v>
      </c>
    </row>
    <row r="103" spans="1:241">
      <c r="A103" s="1149"/>
      <c r="B103" s="1149"/>
      <c r="C103" s="1149"/>
      <c r="D103" s="1149"/>
      <c r="E103" s="1143"/>
      <c r="F103" s="1699"/>
      <c r="G103" s="1356"/>
      <c r="H103" s="1699"/>
      <c r="I103" s="1356"/>
      <c r="J103" s="1699"/>
      <c r="K103" s="1356"/>
      <c r="L103" s="1699"/>
      <c r="M103" s="1356"/>
      <c r="N103" s="1699"/>
      <c r="O103" s="1356"/>
      <c r="P103" s="1699"/>
      <c r="Q103" s="1356"/>
      <c r="R103" s="1699"/>
      <c r="T103" s="1699"/>
      <c r="U103" s="1356"/>
      <c r="V103" s="1699"/>
      <c r="W103" s="1356"/>
      <c r="X103" s="1699"/>
      <c r="Y103" s="1356"/>
      <c r="Z103" s="1699"/>
      <c r="AA103" s="1356"/>
      <c r="AB103" s="1699"/>
      <c r="AC103" s="1356"/>
      <c r="AD103" s="1699"/>
      <c r="AE103" s="1356"/>
      <c r="AF103" s="1699"/>
      <c r="AG103" s="1356"/>
      <c r="AH103" s="1699"/>
      <c r="AI103" s="1356"/>
      <c r="AJ103" s="1699"/>
      <c r="AK103" s="1356"/>
      <c r="AL103" s="1699"/>
      <c r="AM103" s="1356"/>
      <c r="AN103" s="1699"/>
      <c r="AO103" s="1356"/>
      <c r="AP103" s="1699"/>
      <c r="AQ103" s="1356"/>
      <c r="AR103" s="1699"/>
      <c r="AS103" s="1356"/>
      <c r="AT103" s="1699"/>
      <c r="AU103" s="1356"/>
      <c r="AV103" s="1699"/>
      <c r="AW103" s="1356"/>
      <c r="AX103" s="1699"/>
      <c r="AY103" s="1356"/>
      <c r="AZ103" s="1699"/>
      <c r="BA103" s="1356"/>
      <c r="BB103" s="1699"/>
      <c r="BC103" s="1356"/>
      <c r="BD103" s="1699"/>
      <c r="BE103" s="1356"/>
      <c r="BF103" s="1699"/>
      <c r="BG103" s="1356"/>
      <c r="BH103" s="1699"/>
      <c r="BI103" s="1356"/>
      <c r="BJ103" s="1699"/>
      <c r="BK103" s="1356"/>
      <c r="BL103" s="1699"/>
      <c r="BM103" s="1356"/>
      <c r="BN103" s="1699"/>
      <c r="BO103" s="1356"/>
      <c r="BP103" s="1699"/>
      <c r="BQ103" s="1356"/>
      <c r="BR103" s="1699"/>
      <c r="BS103" s="1356"/>
      <c r="BT103" s="1699"/>
      <c r="BU103" s="1356"/>
      <c r="BV103" s="1699"/>
      <c r="BW103" s="1356"/>
      <c r="BX103" s="1699"/>
      <c r="BY103" s="1356"/>
      <c r="BZ103" s="1699"/>
      <c r="CA103" s="1356"/>
      <c r="CB103" s="1699"/>
      <c r="CC103" s="1356"/>
      <c r="CD103" s="1699"/>
      <c r="CE103" s="1356"/>
      <c r="CF103" s="1699"/>
      <c r="CG103" s="1356"/>
      <c r="CH103" s="1699"/>
      <c r="CI103" s="1356"/>
      <c r="CJ103" s="1699"/>
      <c r="CK103" s="1356"/>
      <c r="CL103" s="1699"/>
      <c r="CM103" s="1356"/>
      <c r="CN103" s="1699"/>
      <c r="CO103" s="1356"/>
      <c r="CP103" s="1699"/>
      <c r="CQ103" s="1356"/>
      <c r="CR103" s="1699"/>
      <c r="CS103" s="1356"/>
      <c r="CT103" s="1699"/>
      <c r="CU103" s="1356"/>
      <c r="CV103" s="1699"/>
      <c r="CW103" s="1356"/>
      <c r="CX103" s="1699"/>
      <c r="CY103" s="1356"/>
      <c r="CZ103" s="1699"/>
      <c r="DA103" s="1356"/>
      <c r="DB103" s="1699"/>
      <c r="DC103" s="1356"/>
      <c r="DD103" s="1699"/>
      <c r="DE103" s="1356"/>
      <c r="DF103" s="1699"/>
      <c r="DG103" s="1356"/>
      <c r="DH103" s="1699"/>
      <c r="DI103" s="1356"/>
      <c r="DJ103" s="1699"/>
      <c r="DK103" s="1356"/>
      <c r="DL103" s="1699"/>
      <c r="DM103" s="1356"/>
      <c r="DN103" s="1699"/>
      <c r="DO103" s="1356"/>
      <c r="DP103" s="1699"/>
      <c r="DQ103" s="1356"/>
      <c r="DR103" s="1699"/>
      <c r="DS103" s="1356"/>
      <c r="DT103" s="1699"/>
      <c r="DU103" s="1356"/>
      <c r="DV103" s="1699"/>
      <c r="DW103" s="1356"/>
      <c r="DX103" s="1699"/>
      <c r="DY103" s="1356"/>
      <c r="DZ103" s="1699"/>
      <c r="EA103" s="1356"/>
      <c r="EB103" s="1699"/>
      <c r="EC103" s="1356"/>
      <c r="ED103" s="1699"/>
      <c r="EE103" s="1356"/>
      <c r="EF103" s="1699"/>
      <c r="EG103" s="1356"/>
      <c r="EH103" s="1699"/>
      <c r="EI103" s="1356"/>
      <c r="EJ103" s="1699"/>
      <c r="EK103" s="1356"/>
      <c r="EL103" s="1699"/>
      <c r="EM103" s="1356"/>
      <c r="EN103" s="1699"/>
      <c r="EO103" s="1356"/>
      <c r="EP103" s="1699"/>
      <c r="EQ103" s="1356"/>
      <c r="ER103" s="1699"/>
      <c r="ES103" s="1356"/>
      <c r="ET103" s="1699"/>
      <c r="EU103" s="1356"/>
      <c r="EV103" s="1699"/>
      <c r="EW103" s="1356"/>
      <c r="EX103" s="1699"/>
      <c r="EY103" s="1356"/>
      <c r="EZ103" s="1699"/>
      <c r="FA103" s="1356"/>
      <c r="FB103" s="1699"/>
      <c r="FC103" s="1356"/>
      <c r="FD103" s="1699"/>
      <c r="FE103" s="1356"/>
      <c r="FF103" s="1699"/>
      <c r="FG103" s="1356"/>
      <c r="FH103" s="1699"/>
      <c r="FI103" s="1356"/>
      <c r="FJ103" s="1699"/>
      <c r="FK103" s="1356"/>
      <c r="FL103" s="1699"/>
      <c r="FM103" s="1356"/>
      <c r="FN103" s="1699"/>
      <c r="FO103" s="1356"/>
      <c r="FP103" s="1699"/>
      <c r="FQ103" s="1356"/>
      <c r="FR103" s="1699"/>
      <c r="FS103" s="1356"/>
      <c r="FT103" s="1699"/>
      <c r="FU103" s="1356"/>
      <c r="FV103" s="1699"/>
      <c r="FW103" s="1356"/>
      <c r="FX103" s="1699"/>
      <c r="FY103" s="1356"/>
      <c r="FZ103" s="1699"/>
      <c r="GA103" s="1356"/>
      <c r="GB103" s="1699"/>
      <c r="GC103" s="1356"/>
      <c r="GD103" s="1699"/>
      <c r="GE103" s="1356"/>
      <c r="GF103" s="1699"/>
      <c r="GG103" s="1356"/>
      <c r="GH103" s="1699"/>
      <c r="GI103" s="1356"/>
      <c r="GJ103" s="1699"/>
      <c r="GK103" s="1356"/>
      <c r="GL103" s="1699"/>
      <c r="GM103" s="1356"/>
      <c r="GN103" s="1699"/>
      <c r="GO103" s="1356"/>
      <c r="GP103" s="1699"/>
      <c r="GQ103" s="1356"/>
      <c r="GR103" s="1699"/>
      <c r="GS103" s="1356"/>
      <c r="GT103" s="1699"/>
      <c r="GU103" s="1356"/>
      <c r="GV103" s="1699"/>
      <c r="GW103" s="1356"/>
      <c r="GX103" s="1699"/>
      <c r="GY103" s="1356"/>
      <c r="GZ103" s="1699"/>
      <c r="HA103" s="1356"/>
      <c r="HB103" s="1699"/>
      <c r="HC103" s="1356"/>
      <c r="HD103" s="1699"/>
      <c r="HE103" s="1356"/>
      <c r="HF103" s="2015"/>
      <c r="HH103" s="1699"/>
      <c r="HI103" s="1356"/>
      <c r="HJ103" s="1699"/>
      <c r="HK103" s="1356"/>
      <c r="HL103" s="1699"/>
      <c r="HM103" s="1356"/>
      <c r="HN103" s="1699"/>
      <c r="HO103" s="1356"/>
      <c r="HP103" s="2015"/>
      <c r="HR103" s="1699"/>
      <c r="HS103" s="1356"/>
      <c r="HT103" s="2015"/>
      <c r="HV103" s="2015"/>
      <c r="HX103" s="2015"/>
      <c r="HZ103" s="2015"/>
      <c r="IB103" s="1699"/>
      <c r="IC103" s="1356"/>
      <c r="ID103" s="2015"/>
      <c r="IF103" s="2015"/>
    </row>
    <row r="104" spans="1:241">
      <c r="A104" s="1149"/>
      <c r="B104" s="1149"/>
      <c r="C104" s="1149" t="s">
        <v>76</v>
      </c>
      <c r="D104" s="1149"/>
      <c r="E104" s="1143"/>
      <c r="F104" s="1540">
        <f>+F101/F102</f>
        <v>0.62985769064366437</v>
      </c>
      <c r="G104" s="1356"/>
      <c r="H104" s="1540">
        <f>+H101/H102</f>
        <v>0.47824398295385406</v>
      </c>
      <c r="I104" s="1356"/>
      <c r="J104" s="1540">
        <f>+J101/J102</f>
        <v>0.55364845553479169</v>
      </c>
      <c r="K104" s="1356"/>
      <c r="L104" s="1540">
        <f>+L101/L102</f>
        <v>4.5007181350046759</v>
      </c>
      <c r="M104" s="1356"/>
      <c r="N104" s="1540">
        <f>+N101/N102</f>
        <v>0.86295589522675886</v>
      </c>
      <c r="O104" s="1356"/>
      <c r="P104" s="1540">
        <f>+P101/P102</f>
        <v>2.4314280430895927</v>
      </c>
      <c r="Q104" s="1356"/>
      <c r="R104" s="1540">
        <f>+R101/R102</f>
        <v>0.76517888056425098</v>
      </c>
      <c r="T104" s="1540">
        <f>+T101/T102</f>
        <v>0.87516564869150637</v>
      </c>
      <c r="U104" s="1356"/>
      <c r="V104" s="1540">
        <f>+V101/V102</f>
        <v>0.71127226369494556</v>
      </c>
      <c r="W104" s="1356"/>
      <c r="X104" s="1540">
        <f>+X101/X102</f>
        <v>1.0642827963186057</v>
      </c>
      <c r="Y104" s="1356"/>
      <c r="Z104" s="1540">
        <f>+Z101/Z102</f>
        <v>7.4780799457903571E-2</v>
      </c>
      <c r="AA104" s="1356"/>
      <c r="AB104" s="1540">
        <f>+AB101/AB102</f>
        <v>1.1326589336527983</v>
      </c>
      <c r="AC104" s="1356"/>
      <c r="AD104" s="1540">
        <f>+AD101/AD102</f>
        <v>2.0233735609014092</v>
      </c>
      <c r="AE104" s="1356"/>
      <c r="AF104" s="1540">
        <f>+AF101/AF102</f>
        <v>0.54476675923365747</v>
      </c>
      <c r="AG104" s="1356"/>
      <c r="AH104" s="1540">
        <f>+AH101/AH102</f>
        <v>0.19176548089591569</v>
      </c>
      <c r="AI104" s="1356"/>
      <c r="AJ104" s="1540">
        <f>+AJ101/AJ102</f>
        <v>0.37832592482524668</v>
      </c>
      <c r="AK104" s="1356"/>
      <c r="AL104" s="1540">
        <f>+AL101/AL102</f>
        <v>0.42115226288582264</v>
      </c>
      <c r="AM104" s="1356"/>
      <c r="AN104" s="1540">
        <f>+AN101/AN102</f>
        <v>7.1045217831484075</v>
      </c>
      <c r="AO104" s="1356"/>
      <c r="AP104" s="1540">
        <f>+AP101/AP102</f>
        <v>2.4448231872151007</v>
      </c>
      <c r="AQ104" s="1356"/>
      <c r="AR104" s="1540">
        <f>+AR101/AR102</f>
        <v>1.3762051627814451</v>
      </c>
      <c r="AS104" s="1356"/>
      <c r="AT104" s="1540">
        <f>+AT101/AT102</f>
        <v>0.33920444184774318</v>
      </c>
      <c r="AU104" s="1356"/>
      <c r="AV104" s="1540">
        <f>+AV101/AV102</f>
        <v>0.75488079772743932</v>
      </c>
      <c r="AW104" s="1356"/>
      <c r="AX104" s="1540">
        <f>+AX101/AX102</f>
        <v>1.1764868411963805</v>
      </c>
      <c r="AY104" s="1356"/>
      <c r="AZ104" s="1540">
        <f>+AZ101/AZ102</f>
        <v>0.45049916633223419</v>
      </c>
      <c r="BA104" s="1356"/>
      <c r="BB104" s="1540">
        <f>+BB101/BB102</f>
        <v>1.8648768767196158</v>
      </c>
      <c r="BC104" s="1356"/>
      <c r="BD104" s="1540">
        <f>+BD101/BD102</f>
        <v>0.59208392650491604</v>
      </c>
      <c r="BE104" s="1356"/>
      <c r="BF104" s="1540">
        <f>+BF101/BF102</f>
        <v>0.76215238332040114</v>
      </c>
      <c r="BG104" s="1356"/>
      <c r="BH104" s="1540">
        <f>+BH101/BH102</f>
        <v>1.3337100686674972</v>
      </c>
      <c r="BI104" s="1356"/>
      <c r="BJ104" s="1540">
        <f>+BJ101/BJ102</f>
        <v>0.57351737045268447</v>
      </c>
      <c r="BK104" s="1356"/>
      <c r="BL104" s="1540">
        <f>+BL101/BL102</f>
        <v>0.65919160680673572</v>
      </c>
      <c r="BM104" s="1356"/>
      <c r="BN104" s="1540">
        <f>+BN101/BN102</f>
        <v>6.213094968346967</v>
      </c>
      <c r="BO104" s="1356"/>
      <c r="BP104" s="1540">
        <f>+BP101/BP102</f>
        <v>0.55083169571427038</v>
      </c>
      <c r="BQ104" s="1356"/>
      <c r="BR104" s="1540">
        <f>+BR101/BR102</f>
        <v>1.453072496710401</v>
      </c>
      <c r="BS104" s="1356"/>
      <c r="BT104" s="1540">
        <f>+BT101/BT102</f>
        <v>2.1508175234972762</v>
      </c>
      <c r="BU104" s="1356"/>
      <c r="BV104" s="1540">
        <f>+BV101/BV102</f>
        <v>1.4581615289908938</v>
      </c>
      <c r="BW104" s="1356"/>
      <c r="BX104" s="1540">
        <f>+BX101/BX102</f>
        <v>4.0974737705878903</v>
      </c>
      <c r="BY104" s="1356"/>
      <c r="BZ104" s="1540">
        <f>+BZ101/BZ102</f>
        <v>0.82901543347587148</v>
      </c>
      <c r="CA104" s="1356"/>
      <c r="CB104" s="1540">
        <f>+CB101/CB102</f>
        <v>1.0961597307681441</v>
      </c>
      <c r="CC104" s="1356"/>
      <c r="CD104" s="1540">
        <f>+CD101/CD102</f>
        <v>0.23186727255074949</v>
      </c>
      <c r="CE104" s="1356"/>
      <c r="CF104" s="1540">
        <v>0.93284293316477496</v>
      </c>
      <c r="CG104" s="1356"/>
      <c r="CH104" s="1540">
        <f>+CH101/CH102</f>
        <v>3.2691139921431103</v>
      </c>
      <c r="CI104" s="1356"/>
      <c r="CJ104" s="1540">
        <v>0.58667317839204458</v>
      </c>
      <c r="CK104" s="1356"/>
      <c r="CL104" s="1540">
        <v>1.4286005760331033</v>
      </c>
      <c r="CM104" s="1356"/>
      <c r="CN104" s="1540">
        <f>+CN101/CN102</f>
        <v>0.69424595451259519</v>
      </c>
      <c r="CO104" s="1356"/>
      <c r="CP104" s="1540">
        <f>+CP101/CP102</f>
        <v>1.3191557015475572</v>
      </c>
      <c r="CQ104" s="1356"/>
      <c r="CR104" s="1540">
        <v>0.48572692476042356</v>
      </c>
      <c r="CS104" s="1356"/>
      <c r="CT104" s="1540">
        <f>+CT101/CT102</f>
        <v>1.1737777451602727</v>
      </c>
      <c r="CU104" s="1356"/>
      <c r="CV104" s="1540">
        <f>+CV101/CV102</f>
        <v>0.77958291444314132</v>
      </c>
      <c r="CW104" s="1356"/>
      <c r="CX104" s="1540">
        <f>+CX101/CX102</f>
        <v>0.60022745835362112</v>
      </c>
      <c r="CY104" s="1356"/>
      <c r="CZ104" s="1540" t="e">
        <v>#DIV/0!</v>
      </c>
      <c r="DA104" s="1356"/>
      <c r="DB104" s="1540">
        <v>0.58448800176420113</v>
      </c>
      <c r="DC104" s="1356"/>
      <c r="DD104" s="1540">
        <v>1.900927184688469</v>
      </c>
      <c r="DE104" s="1356"/>
      <c r="DF104" s="1540">
        <v>1.479488442499366</v>
      </c>
      <c r="DG104" s="1356"/>
      <c r="DH104" s="1540">
        <v>2.4625306683416817</v>
      </c>
      <c r="DI104" s="1356"/>
      <c r="DJ104" s="1540">
        <v>0.49504073509789304</v>
      </c>
      <c r="DK104" s="1356"/>
      <c r="DL104" s="1540">
        <v>5.5237421804961473</v>
      </c>
      <c r="DM104" s="1356"/>
      <c r="DN104" s="1540">
        <f>+DN101/DN102</f>
        <v>0.87051548313371552</v>
      </c>
      <c r="DO104" s="1356"/>
      <c r="DP104" s="1540">
        <f>+DP101/DP102</f>
        <v>2.7336529737037756</v>
      </c>
      <c r="DQ104" s="1356"/>
      <c r="DR104" s="1540">
        <f>+DR101/DR102</f>
        <v>2.7610387560424359</v>
      </c>
      <c r="DS104" s="1356"/>
      <c r="DT104" s="1540">
        <f>+DT101/DT102</f>
        <v>7.7293555305994825</v>
      </c>
      <c r="DU104" s="1356"/>
      <c r="DV104" s="1540">
        <f>+DV101/DV102</f>
        <v>1.7427655970321358</v>
      </c>
      <c r="DW104" s="1356"/>
      <c r="DX104" s="1540">
        <f>+DX101/DX102</f>
        <v>0.80234855225671631</v>
      </c>
      <c r="DY104" s="1356"/>
      <c r="DZ104" s="1540">
        <f>+DZ101/DZ102</f>
        <v>0.68846846649782356</v>
      </c>
      <c r="EA104" s="1356"/>
      <c r="EB104" s="1540">
        <f>+EB101/EB102</f>
        <v>0.55753554265131189</v>
      </c>
      <c r="EC104" s="1356"/>
      <c r="ED104" s="1540">
        <f>+ED101/ED102</f>
        <v>2.9262942205040225</v>
      </c>
      <c r="EE104" s="1356"/>
      <c r="EF104" s="1540">
        <f>+EF101/EF102</f>
        <v>0.82121797011430864</v>
      </c>
      <c r="EG104" s="1356"/>
      <c r="EH104" s="1540">
        <f>+EH101/EH102</f>
        <v>1.0461439482463362</v>
      </c>
      <c r="EI104" s="1356"/>
      <c r="EJ104" s="1540">
        <f>+EJ101/EJ102</f>
        <v>0.30328222342039707</v>
      </c>
      <c r="EK104" s="1356"/>
      <c r="EL104" s="1540">
        <f>+EL101/EL102</f>
        <v>1.7831470131204765</v>
      </c>
      <c r="EM104" s="1356"/>
      <c r="EN104" s="1540">
        <f>+EN101/EN102</f>
        <v>2.2072093208418484</v>
      </c>
      <c r="EO104" s="1356"/>
      <c r="EP104" s="1707">
        <f>+EP101/EP102</f>
        <v>1.9859363677719843</v>
      </c>
      <c r="EQ104" s="1356"/>
      <c r="ER104" s="1540">
        <f>+ER101/ER102</f>
        <v>6.2886978923818315</v>
      </c>
      <c r="ES104" s="1356"/>
      <c r="ET104" s="1540">
        <f>+ET101/ET102</f>
        <v>0.73852747273985542</v>
      </c>
      <c r="EU104" s="1356"/>
      <c r="EV104" s="1540">
        <f>+EV101/EV102</f>
        <v>0.40248822321536415</v>
      </c>
      <c r="EW104" s="1356"/>
      <c r="EX104" s="1540">
        <f>+EX101/EX102</f>
        <v>0.71938159292952852</v>
      </c>
      <c r="EY104" s="1356"/>
      <c r="EZ104" s="1540">
        <f>+EZ101/EZ102</f>
        <v>2.1997845235709517</v>
      </c>
      <c r="FA104" s="1356"/>
      <c r="FB104" s="1540">
        <f>+FB101/FB102</f>
        <v>17.736115142357008</v>
      </c>
      <c r="FC104" s="1356"/>
      <c r="FD104" s="1540">
        <f>+FD101/FD102</f>
        <v>0.99931855733741248</v>
      </c>
      <c r="FE104" s="1356"/>
      <c r="FF104" s="1540">
        <f>+FF101/FF102</f>
        <v>0.5678870265308863</v>
      </c>
      <c r="FG104" s="1356"/>
      <c r="FH104" s="1540">
        <f>+FH101/FH102</f>
        <v>14.919385255595889</v>
      </c>
      <c r="FI104" s="1356"/>
      <c r="FJ104" s="1540">
        <f>+FJ101/FJ102</f>
        <v>1.2515142723382369</v>
      </c>
      <c r="FK104" s="1356"/>
      <c r="FL104" s="1540">
        <f>+FL101/FL102</f>
        <v>0.71127080472483339</v>
      </c>
      <c r="FM104" s="1356"/>
      <c r="FN104" s="1540">
        <f>+FN101/FN102</f>
        <v>0.49159277807732304</v>
      </c>
      <c r="FO104" s="1356"/>
      <c r="FP104" s="1540">
        <f>+FP101/FP102</f>
        <v>0.78110189353993431</v>
      </c>
      <c r="FQ104" s="1356"/>
      <c r="FR104" s="1540">
        <f>+FR101/FR102</f>
        <v>0.34611168105861989</v>
      </c>
      <c r="FS104" s="1356"/>
      <c r="FT104" s="1540">
        <f>+FT101/FT102</f>
        <v>2.1861039323141003</v>
      </c>
      <c r="FU104" s="1356"/>
      <c r="FV104" s="1540">
        <f>+FV101/FV102</f>
        <v>2.1046965087437917</v>
      </c>
      <c r="FW104" s="1356"/>
      <c r="FX104" s="1540">
        <f>+FX101/FX102</f>
        <v>0.53774981832222624</v>
      </c>
      <c r="FY104" s="1356"/>
      <c r="FZ104" s="1540">
        <f>+FZ101/FZ102</f>
        <v>0.93850040964679793</v>
      </c>
      <c r="GA104" s="1356"/>
      <c r="GB104" s="1540">
        <f>+GB101/GB102</f>
        <v>5.7832860414761313</v>
      </c>
      <c r="GC104" s="1356"/>
      <c r="GD104" s="1540">
        <f>+GD101/GD102</f>
        <v>1.1882774757506014</v>
      </c>
      <c r="GE104" s="1356"/>
      <c r="GF104" s="1540">
        <f>+GF101/GF102</f>
        <v>1.5781967505935415</v>
      </c>
      <c r="GG104" s="1356"/>
      <c r="GH104" s="1540">
        <f>+GH101/GH102</f>
        <v>0.53879244724054365</v>
      </c>
      <c r="GI104" s="1356"/>
      <c r="GJ104" s="1540">
        <f>+GJ101/GJ102</f>
        <v>2.3221063949324559</v>
      </c>
      <c r="GK104" s="1356"/>
      <c r="GL104" s="1540">
        <f>+GL101/GL102</f>
        <v>2.9070019018208524</v>
      </c>
      <c r="GM104" s="1356"/>
      <c r="GN104" s="1540">
        <f>+GN101/GN102</f>
        <v>0.69457658666143507</v>
      </c>
      <c r="GO104" s="1356"/>
      <c r="GP104" s="1540">
        <f>+GP101/GP102</f>
        <v>1.1358192203084088</v>
      </c>
      <c r="GQ104" s="1356"/>
      <c r="GR104" s="1540">
        <f>+GR101/GR102</f>
        <v>0.95445048389235054</v>
      </c>
      <c r="GS104" s="1356"/>
      <c r="GT104" s="1540">
        <f>+GT101/GT102</f>
        <v>3.5198700420172071</v>
      </c>
      <c r="GU104" s="1356"/>
      <c r="GV104" s="1540">
        <f>+GV101/GV102</f>
        <v>0.63363986891396396</v>
      </c>
      <c r="GW104" s="1356"/>
      <c r="GX104" s="1540">
        <f>+GX101/GX102</f>
        <v>0.70266008585557316</v>
      </c>
      <c r="GY104" s="1356"/>
      <c r="GZ104" s="1540">
        <f>+GZ101/GZ102</f>
        <v>1.3808720390080655</v>
      </c>
      <c r="HA104" s="1356"/>
      <c r="HB104" s="1540">
        <f>+HB101/HB102</f>
        <v>2.5015015427885681</v>
      </c>
      <c r="HC104" s="1356"/>
      <c r="HD104" s="1540">
        <f>+HD101/HD102</f>
        <v>1.2981537669503196</v>
      </c>
      <c r="HE104" s="1356"/>
      <c r="HF104" s="1540">
        <f>+HF101/HF102</f>
        <v>0.78585915510702598</v>
      </c>
      <c r="HH104" s="1540">
        <f>+HH101/HH102</f>
        <v>6.7925302214868593</v>
      </c>
      <c r="HI104" s="1356"/>
      <c r="HJ104" s="1540">
        <f>+HJ101/HJ102</f>
        <v>0.43267742155398414</v>
      </c>
      <c r="HK104" s="1356"/>
      <c r="HL104" s="1540">
        <f>+HL101/HL102</f>
        <v>0.39371855482452239</v>
      </c>
      <c r="HM104" s="1356"/>
      <c r="HN104" s="1540">
        <f>+HN101/HN102</f>
        <v>0.46866134976317725</v>
      </c>
      <c r="HO104" s="1356"/>
      <c r="HP104" s="1540">
        <f>+HP101/HP102</f>
        <v>0.63591100933981903</v>
      </c>
      <c r="HR104" s="1540">
        <f>+HR101/HR102</f>
        <v>0.4464751082000602</v>
      </c>
      <c r="HS104" s="1356"/>
      <c r="HT104" s="1540">
        <f>+HT101/HT102</f>
        <v>1.9610580096966772</v>
      </c>
      <c r="HV104" s="1540">
        <f>+HV101/HV102</f>
        <v>1.4593960194828088</v>
      </c>
      <c r="HX104" s="1540">
        <f>+HX101/HX102</f>
        <v>2.4961827038481523</v>
      </c>
      <c r="HZ104" s="1540">
        <f>+HZ101/HZ102</f>
        <v>1.3041232006237218</v>
      </c>
      <c r="IB104" s="1540">
        <f>+IB101/IB102</f>
        <v>0.60075759273014295</v>
      </c>
      <c r="IC104" s="1356"/>
      <c r="ID104" s="1540">
        <f>+ID101/ID102</f>
        <v>1.2080155782843021</v>
      </c>
      <c r="IF104" s="1540">
        <f>+IF101/IF102</f>
        <v>4.2591194813290176</v>
      </c>
    </row>
    <row r="105" spans="1:241">
      <c r="A105" s="1149"/>
      <c r="B105" s="1149"/>
      <c r="C105" s="1149"/>
      <c r="D105" s="1149"/>
      <c r="E105" s="1143"/>
      <c r="F105" s="1711"/>
      <c r="G105" s="1356"/>
      <c r="H105" s="1711"/>
      <c r="I105" s="1356"/>
      <c r="J105" s="1711"/>
      <c r="K105" s="1356"/>
      <c r="L105" s="1711"/>
      <c r="M105" s="1356"/>
      <c r="N105" s="1711"/>
      <c r="O105" s="1356"/>
      <c r="P105" s="1711"/>
      <c r="Q105" s="1356"/>
      <c r="R105" s="1711"/>
      <c r="T105" s="1711"/>
      <c r="U105" s="1356"/>
      <c r="V105" s="1711"/>
      <c r="W105" s="1356"/>
      <c r="X105" s="1711"/>
      <c r="Y105" s="1356"/>
      <c r="Z105" s="1711"/>
      <c r="AA105" s="1356"/>
      <c r="AB105" s="1711"/>
      <c r="AC105" s="1356"/>
      <c r="AD105" s="1711"/>
      <c r="AE105" s="1356"/>
      <c r="AF105" s="1711"/>
      <c r="AG105" s="1356"/>
      <c r="AH105" s="1711"/>
      <c r="AI105" s="1356"/>
      <c r="AJ105" s="1711"/>
      <c r="AK105" s="1356"/>
      <c r="AL105" s="1711"/>
      <c r="AM105" s="1356"/>
      <c r="AN105" s="1711"/>
      <c r="AO105" s="1356"/>
      <c r="AP105" s="1711"/>
      <c r="AQ105" s="1356"/>
      <c r="AR105" s="1711"/>
      <c r="AS105" s="1356"/>
      <c r="AT105" s="1711"/>
      <c r="AU105" s="1356"/>
      <c r="AV105" s="1711"/>
      <c r="AW105" s="1356"/>
      <c r="AX105" s="1711"/>
      <c r="AY105" s="1356"/>
      <c r="AZ105" s="1711"/>
      <c r="BA105" s="1356"/>
      <c r="BB105" s="1711"/>
      <c r="BC105" s="1356"/>
      <c r="BD105" s="1711"/>
      <c r="BE105" s="1356"/>
      <c r="BF105" s="1711"/>
      <c r="BG105" s="1356"/>
      <c r="BH105" s="1711"/>
      <c r="BI105" s="1356"/>
      <c r="BJ105" s="1711"/>
      <c r="BK105" s="1356"/>
      <c r="BL105" s="1711"/>
      <c r="BM105" s="1356"/>
      <c r="BN105" s="1711"/>
      <c r="BO105" s="1356"/>
      <c r="BP105" s="1711"/>
      <c r="BQ105" s="1356"/>
      <c r="BR105" s="1711"/>
      <c r="BS105" s="1356"/>
      <c r="BT105" s="1711"/>
      <c r="BU105" s="1356"/>
      <c r="BV105" s="1711"/>
      <c r="BW105" s="1356"/>
      <c r="BX105" s="1711"/>
      <c r="BY105" s="1356"/>
      <c r="BZ105" s="1711"/>
      <c r="CA105" s="1356"/>
      <c r="CB105" s="1711"/>
      <c r="CC105" s="1356"/>
      <c r="CD105" s="1711"/>
      <c r="CE105" s="1356"/>
      <c r="CF105" s="1711"/>
      <c r="CG105" s="1356"/>
      <c r="CH105" s="1711"/>
      <c r="CI105" s="1356"/>
      <c r="CJ105" s="1711"/>
      <c r="CK105" s="1356"/>
      <c r="CL105" s="1711"/>
      <c r="CM105" s="1356"/>
      <c r="CN105" s="1711"/>
      <c r="CO105" s="1356"/>
      <c r="CP105" s="1711"/>
      <c r="CQ105" s="1356"/>
      <c r="CR105" s="1711"/>
      <c r="CS105" s="1356"/>
      <c r="CT105" s="1711"/>
      <c r="CU105" s="1356"/>
      <c r="CV105" s="1711"/>
      <c r="CW105" s="1356"/>
      <c r="CX105" s="1711"/>
      <c r="CY105" s="1356"/>
      <c r="CZ105" s="1711"/>
      <c r="DA105" s="1356"/>
      <c r="DB105" s="1711"/>
      <c r="DC105" s="1356"/>
      <c r="DD105" s="1711"/>
      <c r="DE105" s="1356"/>
      <c r="DF105" s="1711"/>
      <c r="DG105" s="1356"/>
      <c r="DH105" s="1711"/>
      <c r="DI105" s="1356"/>
      <c r="DJ105" s="1711"/>
      <c r="DK105" s="1356"/>
      <c r="DL105" s="1711"/>
      <c r="DM105" s="1356"/>
      <c r="DN105" s="1711"/>
      <c r="DO105" s="1356"/>
      <c r="DP105" s="1711"/>
      <c r="DQ105" s="1356"/>
      <c r="DR105" s="1711"/>
      <c r="DS105" s="1356"/>
      <c r="DT105" s="1711"/>
      <c r="DU105" s="1356"/>
      <c r="DV105" s="1711"/>
      <c r="DW105" s="1356"/>
      <c r="DX105" s="1711"/>
      <c r="DY105" s="1356"/>
      <c r="DZ105" s="1711"/>
      <c r="EA105" s="1356"/>
      <c r="EB105" s="1711"/>
      <c r="EC105" s="1356"/>
      <c r="ED105" s="1711"/>
      <c r="EE105" s="1356"/>
      <c r="EF105" s="1711"/>
      <c r="EG105" s="1356"/>
      <c r="EH105" s="1711"/>
      <c r="EI105" s="1356"/>
      <c r="EJ105" s="1711"/>
      <c r="EK105" s="1356"/>
      <c r="EL105" s="1711"/>
      <c r="EM105" s="1356"/>
      <c r="EN105" s="1711"/>
      <c r="EO105" s="1356"/>
      <c r="EP105" s="1711"/>
      <c r="EQ105" s="1356"/>
      <c r="ER105" s="1711"/>
      <c r="ES105" s="1356"/>
      <c r="ET105" s="1711"/>
      <c r="EU105" s="1356"/>
      <c r="EV105" s="1711"/>
      <c r="EW105" s="1356"/>
      <c r="EX105" s="1711"/>
      <c r="EY105" s="1356"/>
      <c r="EZ105" s="1711"/>
      <c r="FA105" s="1356"/>
      <c r="FB105" s="1711"/>
      <c r="FC105" s="1356"/>
      <c r="FD105" s="1711"/>
      <c r="FE105" s="1356"/>
      <c r="FF105" s="1711"/>
      <c r="FG105" s="1356"/>
      <c r="FH105" s="1711"/>
      <c r="FI105" s="1356"/>
      <c r="FJ105" s="1711"/>
      <c r="FK105" s="1356"/>
      <c r="FL105" s="1711"/>
      <c r="FM105" s="1356"/>
      <c r="FN105" s="1711"/>
      <c r="FO105" s="1356"/>
      <c r="FP105" s="1711"/>
      <c r="FQ105" s="1356"/>
      <c r="FR105" s="1711"/>
      <c r="FS105" s="1356"/>
      <c r="FT105" s="1711"/>
      <c r="FU105" s="1356"/>
      <c r="FV105" s="1711"/>
      <c r="FW105" s="1356"/>
      <c r="FX105" s="1711"/>
      <c r="FY105" s="1356"/>
      <c r="FZ105" s="1711"/>
      <c r="GA105" s="1356"/>
      <c r="GB105" s="1711"/>
      <c r="GC105" s="1356"/>
      <c r="GD105" s="1711"/>
      <c r="GE105" s="1356"/>
      <c r="GF105" s="1711"/>
      <c r="GG105" s="1356"/>
      <c r="GH105" s="1711"/>
      <c r="GI105" s="1356"/>
      <c r="GJ105" s="1711"/>
      <c r="GK105" s="1356"/>
      <c r="GL105" s="1711"/>
      <c r="GM105" s="1356"/>
      <c r="GN105" s="1711"/>
      <c r="GO105" s="1356"/>
      <c r="GP105" s="1711"/>
      <c r="GQ105" s="1356"/>
      <c r="GR105" s="1711"/>
      <c r="GS105" s="1356"/>
      <c r="GT105" s="1711"/>
      <c r="GU105" s="1356"/>
      <c r="GV105" s="1711"/>
      <c r="GW105" s="1356"/>
      <c r="GX105" s="1711"/>
      <c r="GY105" s="1356"/>
      <c r="GZ105" s="1711"/>
      <c r="HA105" s="1356"/>
      <c r="HB105" s="1711"/>
      <c r="HC105" s="1356"/>
      <c r="HD105" s="1711"/>
      <c r="HE105" s="1356"/>
      <c r="HF105" s="2029"/>
      <c r="HH105" s="1711"/>
      <c r="HI105" s="1356"/>
      <c r="HJ105" s="1711"/>
      <c r="HK105" s="1356"/>
      <c r="HL105" s="1711"/>
      <c r="HM105" s="1356"/>
      <c r="HN105" s="1711"/>
      <c r="HO105" s="1356"/>
      <c r="HP105" s="2029"/>
      <c r="HR105" s="1711"/>
      <c r="HS105" s="1356"/>
      <c r="HT105" s="2029"/>
      <c r="HV105" s="2029"/>
      <c r="HX105" s="2029"/>
      <c r="HZ105" s="2029"/>
      <c r="IB105" s="1711"/>
      <c r="IC105" s="1356"/>
      <c r="ID105" s="2029"/>
      <c r="IF105" s="2029"/>
    </row>
    <row r="106" spans="1:241">
      <c r="A106" s="1149"/>
      <c r="B106" s="1149" t="s">
        <v>89</v>
      </c>
      <c r="C106" s="1149"/>
      <c r="D106" s="1149"/>
      <c r="E106" s="1143"/>
      <c r="F106" s="1537">
        <v>1</v>
      </c>
      <c r="G106" s="1356"/>
      <c r="H106" s="1537">
        <v>1</v>
      </c>
      <c r="I106" s="1356"/>
      <c r="J106" s="1537">
        <v>1</v>
      </c>
      <c r="K106" s="1356"/>
      <c r="L106" s="1537">
        <v>0</v>
      </c>
      <c r="M106" s="1356"/>
      <c r="N106" s="1537">
        <v>1</v>
      </c>
      <c r="O106" s="1356"/>
      <c r="P106" s="1537">
        <v>1</v>
      </c>
      <c r="Q106" s="1356"/>
      <c r="R106" s="1537">
        <v>1</v>
      </c>
      <c r="T106" s="1537">
        <v>1</v>
      </c>
      <c r="U106" s="1356"/>
      <c r="V106" s="1537">
        <v>0</v>
      </c>
      <c r="W106" s="1356"/>
      <c r="X106" s="1537">
        <v>0</v>
      </c>
      <c r="Y106" s="1356"/>
      <c r="Z106" s="1537">
        <v>1</v>
      </c>
      <c r="AA106" s="1356"/>
      <c r="AB106" s="1537">
        <v>1</v>
      </c>
      <c r="AC106" s="1356"/>
      <c r="AD106" s="1537">
        <v>0</v>
      </c>
      <c r="AE106" s="1356"/>
      <c r="AF106" s="1537">
        <v>1</v>
      </c>
      <c r="AG106" s="1356"/>
      <c r="AH106" s="1537">
        <v>1</v>
      </c>
      <c r="AI106" s="1356"/>
      <c r="AJ106" s="1537">
        <v>1</v>
      </c>
      <c r="AK106" s="1356"/>
      <c r="AL106" s="1537">
        <v>1</v>
      </c>
      <c r="AM106" s="1356"/>
      <c r="AN106" s="1537">
        <v>1</v>
      </c>
      <c r="AO106" s="1356"/>
      <c r="AP106" s="1537">
        <v>1</v>
      </c>
      <c r="AQ106" s="1356"/>
      <c r="AR106" s="1537">
        <v>1</v>
      </c>
      <c r="AS106" s="1356"/>
      <c r="AT106" s="1537">
        <v>1</v>
      </c>
      <c r="AU106" s="1356"/>
      <c r="AV106" s="1537">
        <v>1</v>
      </c>
      <c r="AW106" s="1356"/>
      <c r="AX106" s="1537">
        <v>1</v>
      </c>
      <c r="AY106" s="1356"/>
      <c r="AZ106" s="1537">
        <v>1</v>
      </c>
      <c r="BA106" s="1356"/>
      <c r="BB106" s="1537">
        <v>0</v>
      </c>
      <c r="BC106" s="1356"/>
      <c r="BD106" s="1537">
        <v>1</v>
      </c>
      <c r="BE106" s="1356"/>
      <c r="BF106" s="1537">
        <v>1</v>
      </c>
      <c r="BG106" s="1356"/>
      <c r="BH106" s="1537">
        <v>1</v>
      </c>
      <c r="BI106" s="1356"/>
      <c r="BJ106" s="1537">
        <v>1</v>
      </c>
      <c r="BK106" s="1356"/>
      <c r="BL106" s="1537">
        <v>0</v>
      </c>
      <c r="BM106" s="1356"/>
      <c r="BN106" s="1537">
        <v>1</v>
      </c>
      <c r="BO106" s="1356"/>
      <c r="BP106" s="1537">
        <v>1</v>
      </c>
      <c r="BQ106" s="1356"/>
      <c r="BR106" s="1537">
        <v>0</v>
      </c>
      <c r="BS106" s="1356"/>
      <c r="BT106" s="1537">
        <v>1</v>
      </c>
      <c r="BU106" s="1356"/>
      <c r="BV106" s="1537">
        <v>1</v>
      </c>
      <c r="BW106" s="1356"/>
      <c r="BX106" s="1537">
        <v>1</v>
      </c>
      <c r="BY106" s="1356"/>
      <c r="BZ106" s="1537">
        <v>1</v>
      </c>
      <c r="CA106" s="1356"/>
      <c r="CB106" s="1537">
        <v>1</v>
      </c>
      <c r="CC106" s="1356"/>
      <c r="CD106" s="1537">
        <v>1</v>
      </c>
      <c r="CE106" s="1356"/>
      <c r="CF106" s="1537">
        <v>1</v>
      </c>
      <c r="CG106" s="1356"/>
      <c r="CH106" s="1537">
        <v>1</v>
      </c>
      <c r="CI106" s="1356"/>
      <c r="CJ106" s="1537">
        <v>1</v>
      </c>
      <c r="CK106" s="1356"/>
      <c r="CL106" s="1537">
        <v>1</v>
      </c>
      <c r="CM106" s="1356"/>
      <c r="CN106" s="1537">
        <v>1</v>
      </c>
      <c r="CO106" s="1356"/>
      <c r="CP106" s="1537">
        <v>1</v>
      </c>
      <c r="CQ106" s="1356"/>
      <c r="CR106" s="1537">
        <v>0</v>
      </c>
      <c r="CS106" s="1356"/>
      <c r="CT106" s="1537">
        <v>1</v>
      </c>
      <c r="CU106" s="1356"/>
      <c r="CV106" s="1537">
        <v>1</v>
      </c>
      <c r="CW106" s="1356"/>
      <c r="CX106" s="1537">
        <v>1</v>
      </c>
      <c r="CY106" s="1356"/>
      <c r="CZ106" s="1537">
        <v>0</v>
      </c>
      <c r="DA106" s="1356"/>
      <c r="DB106" s="1537">
        <v>1</v>
      </c>
      <c r="DC106" s="1356"/>
      <c r="DD106" s="1537">
        <v>1</v>
      </c>
      <c r="DE106" s="1356"/>
      <c r="DF106" s="1537">
        <v>1</v>
      </c>
      <c r="DG106" s="1356"/>
      <c r="DH106" s="1537">
        <v>0</v>
      </c>
      <c r="DI106" s="1356"/>
      <c r="DJ106" s="1537">
        <v>1</v>
      </c>
      <c r="DK106" s="1356"/>
      <c r="DL106" s="1537">
        <v>1</v>
      </c>
      <c r="DM106" s="1356"/>
      <c r="DN106" s="1537">
        <v>1</v>
      </c>
      <c r="DO106" s="1356"/>
      <c r="DP106" s="1537">
        <v>1</v>
      </c>
      <c r="DQ106" s="1356"/>
      <c r="DR106" s="1537">
        <v>1</v>
      </c>
      <c r="DS106" s="1356"/>
      <c r="DT106" s="1537">
        <v>1</v>
      </c>
      <c r="DU106" s="1356"/>
      <c r="DV106" s="1537">
        <v>1</v>
      </c>
      <c r="DW106" s="1356"/>
      <c r="DX106" s="1537">
        <v>1</v>
      </c>
      <c r="DY106" s="1356"/>
      <c r="DZ106" s="1537">
        <v>1</v>
      </c>
      <c r="EA106" s="1356"/>
      <c r="EB106" s="1537">
        <v>1</v>
      </c>
      <c r="EC106" s="1356"/>
      <c r="ED106" s="1537">
        <v>0</v>
      </c>
      <c r="EE106" s="1356"/>
      <c r="EF106" s="1537">
        <v>1</v>
      </c>
      <c r="EG106" s="1356"/>
      <c r="EH106" s="1537">
        <v>1</v>
      </c>
      <c r="EI106" s="1356"/>
      <c r="EJ106" s="1537">
        <v>1</v>
      </c>
      <c r="EK106" s="1356"/>
      <c r="EL106" s="1537">
        <v>1</v>
      </c>
      <c r="EM106" s="1356"/>
      <c r="EN106" s="1537">
        <v>0</v>
      </c>
      <c r="EO106" s="1356"/>
      <c r="EP106" s="1537">
        <v>0</v>
      </c>
      <c r="EQ106" s="1356"/>
      <c r="ER106" s="1537">
        <v>1</v>
      </c>
      <c r="ES106" s="1356"/>
      <c r="ET106" s="1537">
        <v>1</v>
      </c>
      <c r="EU106" s="1356"/>
      <c r="EV106" s="1537">
        <v>1</v>
      </c>
      <c r="EW106" s="1356"/>
      <c r="EX106" s="1537">
        <v>1</v>
      </c>
      <c r="EY106" s="1356"/>
      <c r="EZ106" s="1537">
        <v>1</v>
      </c>
      <c r="FA106" s="1356"/>
      <c r="FB106" s="1537">
        <v>1</v>
      </c>
      <c r="FC106" s="1356"/>
      <c r="FD106" s="1537">
        <v>1</v>
      </c>
      <c r="FE106" s="1356"/>
      <c r="FF106" s="1537">
        <v>1</v>
      </c>
      <c r="FG106" s="1356"/>
      <c r="FH106" s="1537">
        <v>1</v>
      </c>
      <c r="FI106" s="1356"/>
      <c r="FJ106" s="1537">
        <v>1</v>
      </c>
      <c r="FK106" s="1356"/>
      <c r="FL106" s="1537">
        <v>0</v>
      </c>
      <c r="FM106" s="1356"/>
      <c r="FN106" s="1537">
        <v>1</v>
      </c>
      <c r="FO106" s="1356"/>
      <c r="FP106" s="1537">
        <v>0</v>
      </c>
      <c r="FQ106" s="1356"/>
      <c r="FR106" s="1537">
        <v>1</v>
      </c>
      <c r="FS106" s="1356"/>
      <c r="FT106" s="1537">
        <v>1</v>
      </c>
      <c r="FU106" s="1356"/>
      <c r="FV106" s="1537">
        <v>1</v>
      </c>
      <c r="FW106" s="1356"/>
      <c r="FX106" s="1537">
        <v>1</v>
      </c>
      <c r="FY106" s="1356"/>
      <c r="FZ106" s="1537">
        <v>1</v>
      </c>
      <c r="GA106" s="1356"/>
      <c r="GB106" s="1537">
        <v>1</v>
      </c>
      <c r="GC106" s="1356"/>
      <c r="GD106" s="1537">
        <v>1</v>
      </c>
      <c r="GE106" s="1356"/>
      <c r="GF106" s="1537">
        <v>1</v>
      </c>
      <c r="GG106" s="1356"/>
      <c r="GH106" s="1537">
        <v>1</v>
      </c>
      <c r="GI106" s="1356"/>
      <c r="GJ106" s="1537">
        <v>1</v>
      </c>
      <c r="GK106" s="1356"/>
      <c r="GL106" s="1537">
        <v>1</v>
      </c>
      <c r="GM106" s="1356"/>
      <c r="GN106" s="1537">
        <v>0</v>
      </c>
      <c r="GO106" s="1356"/>
      <c r="GP106" s="1537">
        <v>1</v>
      </c>
      <c r="GQ106" s="1356"/>
      <c r="GR106" s="1537">
        <v>0</v>
      </c>
      <c r="GS106" s="1356"/>
      <c r="GT106" s="1537">
        <v>1</v>
      </c>
      <c r="GU106" s="1356"/>
      <c r="GV106" s="1537">
        <v>1</v>
      </c>
      <c r="GW106" s="1356"/>
      <c r="GX106" s="1537">
        <v>1</v>
      </c>
      <c r="GY106" s="1356"/>
      <c r="GZ106" s="1537">
        <v>1</v>
      </c>
      <c r="HA106" s="1356"/>
      <c r="HB106" s="1537">
        <v>1</v>
      </c>
      <c r="HC106" s="1356"/>
      <c r="HD106" s="1537">
        <v>0</v>
      </c>
      <c r="HE106" s="1356"/>
      <c r="HF106" s="2012">
        <v>1</v>
      </c>
      <c r="HG106" s="2008"/>
      <c r="HH106" s="1537">
        <v>1</v>
      </c>
      <c r="HI106" s="1356"/>
      <c r="HJ106" s="1537">
        <v>1</v>
      </c>
      <c r="HK106" s="1356"/>
      <c r="HL106" s="1537">
        <v>1</v>
      </c>
      <c r="HM106" s="1356"/>
      <c r="HN106" s="1537">
        <v>0</v>
      </c>
      <c r="HO106" s="1356"/>
      <c r="HP106" s="2012">
        <v>1</v>
      </c>
      <c r="HQ106" s="2008"/>
      <c r="HR106" s="1537">
        <v>1</v>
      </c>
      <c r="HS106" s="1356"/>
      <c r="HT106" s="2012">
        <v>1</v>
      </c>
      <c r="HU106" s="2008"/>
      <c r="HV106" s="2012">
        <v>1</v>
      </c>
      <c r="HW106" s="2008"/>
      <c r="HX106" s="2012">
        <v>1</v>
      </c>
      <c r="HY106" s="2008"/>
      <c r="HZ106" s="2012">
        <v>1</v>
      </c>
      <c r="IA106" s="2008"/>
      <c r="IB106" s="1537">
        <v>1</v>
      </c>
      <c r="IC106" s="1356"/>
      <c r="ID106" s="2012">
        <v>0</v>
      </c>
      <c r="IE106" s="2008"/>
      <c r="IF106" s="2012">
        <v>1</v>
      </c>
      <c r="IG106" s="2008"/>
    </row>
    <row r="107" spans="1:241">
      <c r="A107" s="1149"/>
      <c r="B107" s="1149" t="s">
        <v>1228</v>
      </c>
      <c r="C107" s="1149"/>
      <c r="D107" s="1149"/>
      <c r="E107" s="1143"/>
      <c r="F107" s="1537">
        <v>3197917</v>
      </c>
      <c r="G107" s="1356"/>
      <c r="H107" s="1537">
        <v>1174174</v>
      </c>
      <c r="I107" s="1356"/>
      <c r="J107" s="1537">
        <v>7947660</v>
      </c>
      <c r="K107" s="1356"/>
      <c r="L107" s="1537"/>
      <c r="M107" s="1356"/>
      <c r="N107" s="1537">
        <v>4289877</v>
      </c>
      <c r="O107" s="1356"/>
      <c r="P107" s="1537">
        <v>7338</v>
      </c>
      <c r="Q107" s="1356"/>
      <c r="R107" s="1537">
        <v>30072748</v>
      </c>
      <c r="T107" s="1537">
        <v>888889</v>
      </c>
      <c r="U107" s="1356"/>
      <c r="V107" s="1537"/>
      <c r="W107" s="1356"/>
      <c r="X107" s="1537"/>
      <c r="Y107" s="1356"/>
      <c r="Z107" s="1537">
        <v>899610</v>
      </c>
      <c r="AA107" s="1356"/>
      <c r="AB107" s="1537">
        <v>5773132</v>
      </c>
      <c r="AC107" s="1356"/>
      <c r="AD107" s="1537"/>
      <c r="AE107" s="1356"/>
      <c r="AF107" s="1537">
        <v>1549806</v>
      </c>
      <c r="AG107" s="1356"/>
      <c r="AH107" s="1537">
        <v>884735</v>
      </c>
      <c r="AI107" s="1356"/>
      <c r="AJ107" s="1537">
        <v>22958271</v>
      </c>
      <c r="AK107" s="1356"/>
      <c r="AL107" s="1537">
        <v>3842281</v>
      </c>
      <c r="AM107" s="1356"/>
      <c r="AN107" s="1537">
        <v>6292550</v>
      </c>
      <c r="AO107" s="1356"/>
      <c r="AP107" s="1537">
        <v>6837</v>
      </c>
      <c r="AQ107" s="1356"/>
      <c r="AR107" s="1537">
        <v>23145917</v>
      </c>
      <c r="AS107" s="1356"/>
      <c r="AT107" s="1537">
        <v>13569366</v>
      </c>
      <c r="AU107" s="1356"/>
      <c r="AV107" s="1537">
        <v>1595020</v>
      </c>
      <c r="AW107" s="1356"/>
      <c r="AX107" s="1537">
        <v>18702236</v>
      </c>
      <c r="AY107" s="1356"/>
      <c r="AZ107" s="1537">
        <v>1343881</v>
      </c>
      <c r="BA107" s="1356"/>
      <c r="BB107" s="1537">
        <v>0</v>
      </c>
      <c r="BC107" s="1356"/>
      <c r="BD107" s="1537">
        <v>3492110</v>
      </c>
      <c r="BE107" s="1356"/>
      <c r="BF107" s="1537">
        <v>3011730</v>
      </c>
      <c r="BG107" s="1356"/>
      <c r="BH107" s="1537">
        <v>6514086</v>
      </c>
      <c r="BI107" s="1356"/>
      <c r="BJ107" s="1537">
        <v>20670067</v>
      </c>
      <c r="BK107" s="1356"/>
      <c r="BL107" s="1537"/>
      <c r="BM107" s="1356"/>
      <c r="BN107" s="1537">
        <f>4888889+236358</f>
        <v>5125247</v>
      </c>
      <c r="BO107" s="1356"/>
      <c r="BP107" s="1537">
        <v>9554898</v>
      </c>
      <c r="BQ107" s="1356"/>
      <c r="BR107" s="1537"/>
      <c r="BS107" s="1356"/>
      <c r="BT107" s="1537">
        <v>921753</v>
      </c>
      <c r="BU107" s="1356"/>
      <c r="BV107" s="1537">
        <v>81702</v>
      </c>
      <c r="BW107" s="1356"/>
      <c r="BX107" s="1537">
        <v>9789261</v>
      </c>
      <c r="BY107" s="1356"/>
      <c r="BZ107" s="1537">
        <v>13486075</v>
      </c>
      <c r="CA107" s="1356"/>
      <c r="CB107" s="1537">
        <v>106327</v>
      </c>
      <c r="CC107" s="1356"/>
      <c r="CD107" s="1537">
        <v>7604085</v>
      </c>
      <c r="CE107" s="1356"/>
      <c r="CF107" s="1537">
        <v>7914035</v>
      </c>
      <c r="CG107" s="1356"/>
      <c r="CH107" s="1537">
        <v>1816232</v>
      </c>
      <c r="CI107" s="1356"/>
      <c r="CJ107" s="1537">
        <v>2965556</v>
      </c>
      <c r="CK107" s="1356"/>
      <c r="CL107" s="1537">
        <v>15934559</v>
      </c>
      <c r="CM107" s="1356"/>
      <c r="CN107" s="1537">
        <v>1293109</v>
      </c>
      <c r="CO107" s="1356"/>
      <c r="CP107" s="1537">
        <v>1873323</v>
      </c>
      <c r="CQ107" s="1356"/>
      <c r="CR107" s="1537"/>
      <c r="CS107" s="1356"/>
      <c r="CT107" s="1537">
        <v>125000</v>
      </c>
      <c r="CU107" s="1356"/>
      <c r="CV107" s="1537">
        <v>7363</v>
      </c>
      <c r="CW107" s="1356"/>
      <c r="CX107" s="1537">
        <v>17910930</v>
      </c>
      <c r="CY107" s="1356"/>
      <c r="CZ107" s="1537"/>
      <c r="DA107" s="1356"/>
      <c r="DB107" s="1537">
        <v>5404213</v>
      </c>
      <c r="DC107" s="1356"/>
      <c r="DD107" s="1537">
        <v>4636121</v>
      </c>
      <c r="DE107" s="1356"/>
      <c r="DF107" s="1537">
        <v>13694375</v>
      </c>
      <c r="DG107" s="1356"/>
      <c r="DH107" s="1537"/>
      <c r="DI107" s="1356"/>
      <c r="DJ107" s="1537">
        <v>173862</v>
      </c>
      <c r="DK107" s="1356"/>
      <c r="DL107" s="1537">
        <v>13500000</v>
      </c>
      <c r="DM107" s="1356"/>
      <c r="DN107" s="1537">
        <v>46669</v>
      </c>
      <c r="DO107" s="1356"/>
      <c r="DP107" s="1537">
        <v>1976786</v>
      </c>
      <c r="DQ107" s="1356"/>
      <c r="DR107" s="1537">
        <v>3430850</v>
      </c>
      <c r="DS107" s="1356"/>
      <c r="DT107" s="1537">
        <v>30186285</v>
      </c>
      <c r="DU107" s="1356"/>
      <c r="DV107" s="1537">
        <v>2559861</v>
      </c>
      <c r="DW107" s="1356"/>
      <c r="DX107" s="1537">
        <v>4970256</v>
      </c>
      <c r="DY107" s="1356"/>
      <c r="DZ107" s="1537">
        <v>8918703</v>
      </c>
      <c r="EA107" s="1356"/>
      <c r="EB107" s="1537">
        <v>20217295</v>
      </c>
      <c r="EC107" s="1356"/>
      <c r="ED107" s="1537"/>
      <c r="EE107" s="1356"/>
      <c r="EF107" s="1537">
        <v>8681597</v>
      </c>
      <c r="EG107" s="1356"/>
      <c r="EH107" s="1537">
        <v>12750000</v>
      </c>
      <c r="EI107" s="1356"/>
      <c r="EJ107" s="1537">
        <v>10011250</v>
      </c>
      <c r="EK107" s="1356"/>
      <c r="EL107" s="1537">
        <v>29655272</v>
      </c>
      <c r="EM107" s="1356"/>
      <c r="EN107" s="1537"/>
      <c r="EO107" s="1356"/>
      <c r="EP107" s="1537"/>
      <c r="EQ107" s="1356"/>
      <c r="ER107" s="1537">
        <v>6715</v>
      </c>
      <c r="ES107" s="1356"/>
      <c r="ET107" s="1537">
        <v>7647690</v>
      </c>
      <c r="EU107" s="1356"/>
      <c r="EV107" s="1537">
        <v>706801</v>
      </c>
      <c r="EW107" s="1356"/>
      <c r="EX107" s="1537">
        <f>881950+178414</f>
        <v>1060364</v>
      </c>
      <c r="EY107" s="1356"/>
      <c r="EZ107" s="1537">
        <v>6006719</v>
      </c>
      <c r="FA107" s="1356"/>
      <c r="FB107" s="1537">
        <v>8704982</v>
      </c>
      <c r="FC107" s="1356"/>
      <c r="FD107" s="1537">
        <v>5384950</v>
      </c>
      <c r="FE107" s="1356"/>
      <c r="FF107" s="1537">
        <v>127163</v>
      </c>
      <c r="FG107" s="1356"/>
      <c r="FH107" s="1537">
        <f>2900000</f>
        <v>2900000</v>
      </c>
      <c r="FI107" s="1356"/>
      <c r="FJ107" s="1537">
        <v>5643414</v>
      </c>
      <c r="FK107" s="1356"/>
      <c r="FL107" s="1537"/>
      <c r="FM107" s="1356"/>
      <c r="FN107" s="1537">
        <v>1011648</v>
      </c>
      <c r="FO107" s="1356"/>
      <c r="FP107" s="1537"/>
      <c r="FQ107" s="1356"/>
      <c r="FR107" s="1537">
        <v>17030432</v>
      </c>
      <c r="FS107" s="1356"/>
      <c r="FT107" s="1537">
        <v>7287075</v>
      </c>
      <c r="FU107" s="1356"/>
      <c r="FV107" s="1537">
        <v>22276282</v>
      </c>
      <c r="FW107" s="1356"/>
      <c r="FX107" s="1537">
        <v>372421</v>
      </c>
      <c r="FY107" s="1356"/>
      <c r="FZ107" s="1537">
        <v>3358236</v>
      </c>
      <c r="GA107" s="1356"/>
      <c r="GB107" s="1537">
        <v>509140</v>
      </c>
      <c r="GC107" s="1356"/>
      <c r="GD107" s="1537">
        <f>8653419+356464+1079982</f>
        <v>10089865</v>
      </c>
      <c r="GE107" s="1356"/>
      <c r="GF107" s="1537">
        <f>597413+865846</f>
        <v>1463259</v>
      </c>
      <c r="GG107" s="1356"/>
      <c r="GH107" s="1537">
        <v>178062</v>
      </c>
      <c r="GI107" s="1356"/>
      <c r="GJ107" s="1537">
        <v>349272</v>
      </c>
      <c r="GK107" s="1356"/>
      <c r="GL107" s="1537">
        <v>142167</v>
      </c>
      <c r="GM107" s="1356"/>
      <c r="GN107" s="1537"/>
      <c r="GO107" s="1356"/>
      <c r="GP107" s="1537">
        <v>1345504</v>
      </c>
      <c r="GQ107" s="1356"/>
      <c r="GR107" s="1537"/>
      <c r="GS107" s="1356"/>
      <c r="GT107" s="1537">
        <v>429529</v>
      </c>
      <c r="GU107" s="1356"/>
      <c r="GV107" s="1537">
        <v>302003</v>
      </c>
      <c r="GW107" s="1356"/>
      <c r="GX107" s="1537">
        <v>472332</v>
      </c>
      <c r="GY107" s="1356"/>
      <c r="GZ107" s="1537">
        <f>365564+334470</f>
        <v>700034</v>
      </c>
      <c r="HA107" s="1356"/>
      <c r="HB107" s="1537">
        <v>2073043</v>
      </c>
      <c r="HC107" s="1356"/>
      <c r="HD107" s="1537"/>
      <c r="HE107" s="1356"/>
      <c r="HF107" s="2012">
        <v>936793</v>
      </c>
      <c r="HG107" s="2008"/>
      <c r="HH107" s="1537">
        <v>10763364</v>
      </c>
      <c r="HI107" s="1356"/>
      <c r="HJ107" s="1537">
        <f>6535+239</f>
        <v>6774</v>
      </c>
      <c r="HK107" s="1356"/>
      <c r="HL107" s="1537">
        <f>1881298+941250</f>
        <v>2822548</v>
      </c>
      <c r="HM107" s="1356"/>
      <c r="HN107" s="1537"/>
      <c r="HO107" s="1356"/>
      <c r="HP107" s="2012">
        <v>1333864</v>
      </c>
      <c r="HQ107" s="2008"/>
      <c r="HR107" s="1537">
        <v>4578357</v>
      </c>
      <c r="HS107" s="1356"/>
      <c r="HT107" s="2012">
        <f>607806+8622896</f>
        <v>9230702</v>
      </c>
      <c r="HU107" s="2008"/>
      <c r="HV107" s="2012">
        <v>12882052</v>
      </c>
      <c r="HW107" s="2008"/>
      <c r="HX107" s="2012">
        <v>7535169</v>
      </c>
      <c r="HY107" s="2008"/>
      <c r="HZ107" s="2012">
        <f>1128516+132105+4485646+128647</f>
        <v>5874914</v>
      </c>
      <c r="IA107" s="2008"/>
      <c r="IB107" s="1537">
        <v>7685233</v>
      </c>
      <c r="IC107" s="1356"/>
      <c r="ID107" s="2012">
        <v>0</v>
      </c>
      <c r="IE107" s="2008"/>
      <c r="IF107" s="2012">
        <v>1767488</v>
      </c>
      <c r="IG107" s="2008"/>
    </row>
    <row r="108" spans="1:241">
      <c r="A108" s="1149"/>
      <c r="B108" s="1149"/>
      <c r="C108" s="1149"/>
      <c r="D108" s="1149"/>
      <c r="E108" s="1143"/>
      <c r="F108" s="1699"/>
      <c r="G108" s="1356"/>
      <c r="H108" s="1699"/>
      <c r="I108" s="1356"/>
      <c r="J108" s="1699"/>
      <c r="K108" s="1356"/>
      <c r="L108" s="1699"/>
      <c r="M108" s="1356"/>
      <c r="N108" s="1699"/>
      <c r="O108" s="1356"/>
      <c r="P108" s="1699"/>
      <c r="Q108" s="1356"/>
      <c r="R108" s="1699"/>
      <c r="T108" s="1699"/>
      <c r="U108" s="1356"/>
      <c r="V108" s="1699"/>
      <c r="W108" s="1356"/>
      <c r="X108" s="1699"/>
      <c r="Y108" s="1356"/>
      <c r="Z108" s="1699"/>
      <c r="AA108" s="1356"/>
      <c r="AB108" s="1699"/>
      <c r="AC108" s="1356"/>
      <c r="AD108" s="1699"/>
      <c r="AE108" s="1356"/>
      <c r="AF108" s="1699"/>
      <c r="AG108" s="1356"/>
      <c r="AH108" s="1699"/>
      <c r="AI108" s="1356"/>
      <c r="AJ108" s="1699"/>
      <c r="AK108" s="1356"/>
      <c r="AL108" s="1699"/>
      <c r="AM108" s="1356"/>
      <c r="AN108" s="1699"/>
      <c r="AO108" s="1356"/>
      <c r="AP108" s="1699"/>
      <c r="AQ108" s="1356"/>
      <c r="AR108" s="1699"/>
      <c r="AS108" s="1356"/>
      <c r="AT108" s="1699"/>
      <c r="AU108" s="1356"/>
      <c r="AV108" s="1699"/>
      <c r="AW108" s="1356"/>
      <c r="AX108" s="1699"/>
      <c r="AY108" s="1356"/>
      <c r="AZ108" s="1699"/>
      <c r="BA108" s="1356"/>
      <c r="BB108" s="1699"/>
      <c r="BC108" s="1356"/>
      <c r="BD108" s="1699"/>
      <c r="BE108" s="1356"/>
      <c r="BF108" s="1699"/>
      <c r="BG108" s="1356"/>
      <c r="BH108" s="1699"/>
      <c r="BI108" s="1356"/>
      <c r="BJ108" s="1699"/>
      <c r="BK108" s="1356"/>
      <c r="BL108" s="1699"/>
      <c r="BM108" s="1356"/>
      <c r="BN108" s="1699"/>
      <c r="BO108" s="1356"/>
      <c r="BP108" s="1699"/>
      <c r="BQ108" s="1356"/>
      <c r="BR108" s="1699"/>
      <c r="BS108" s="1356"/>
      <c r="BT108" s="1699"/>
      <c r="BU108" s="1356"/>
      <c r="BV108" s="1699"/>
      <c r="BW108" s="1356"/>
      <c r="BX108" s="1699"/>
      <c r="BY108" s="1356"/>
      <c r="BZ108" s="1699"/>
      <c r="CA108" s="1356"/>
      <c r="CB108" s="1699"/>
      <c r="CC108" s="1356"/>
      <c r="CD108" s="1699"/>
      <c r="CE108" s="1356"/>
      <c r="CF108" s="1699"/>
      <c r="CG108" s="1356"/>
      <c r="CH108" s="1699"/>
      <c r="CI108" s="1356"/>
      <c r="CJ108" s="1699"/>
      <c r="CK108" s="1356"/>
      <c r="CL108" s="1699"/>
      <c r="CM108" s="1356"/>
      <c r="CN108" s="1699"/>
      <c r="CO108" s="1356"/>
      <c r="CP108" s="1699"/>
      <c r="CQ108" s="1356"/>
      <c r="CR108" s="1699"/>
      <c r="CS108" s="1356"/>
      <c r="CT108" s="1699"/>
      <c r="CU108" s="1356"/>
      <c r="CV108" s="1699"/>
      <c r="CW108" s="1356"/>
      <c r="CX108" s="1699"/>
      <c r="CY108" s="1356"/>
      <c r="CZ108" s="1699"/>
      <c r="DA108" s="1356"/>
      <c r="DB108" s="1699"/>
      <c r="DC108" s="1356"/>
      <c r="DD108" s="1699"/>
      <c r="DE108" s="1356"/>
      <c r="DF108" s="1699"/>
      <c r="DG108" s="1356"/>
      <c r="DH108" s="1699"/>
      <c r="DI108" s="1356"/>
      <c r="DJ108" s="1699"/>
      <c r="DK108" s="1356"/>
      <c r="DL108" s="1699"/>
      <c r="DM108" s="1356"/>
      <c r="DN108" s="1699"/>
      <c r="DO108" s="1356"/>
      <c r="DP108" s="1699"/>
      <c r="DQ108" s="1356"/>
      <c r="DR108" s="1699"/>
      <c r="DS108" s="1356"/>
      <c r="DT108" s="1699"/>
      <c r="DU108" s="1356"/>
      <c r="DV108" s="1699"/>
      <c r="DW108" s="1356"/>
      <c r="DX108" s="1699"/>
      <c r="DY108" s="1356"/>
      <c r="DZ108" s="1699"/>
      <c r="EA108" s="1356"/>
      <c r="EB108" s="1699"/>
      <c r="EC108" s="1356"/>
      <c r="ED108" s="1699"/>
      <c r="EE108" s="1356"/>
      <c r="EF108" s="1699"/>
      <c r="EG108" s="1356"/>
      <c r="EH108" s="1699"/>
      <c r="EI108" s="1356"/>
      <c r="EJ108" s="1699"/>
      <c r="EK108" s="1356"/>
      <c r="EL108" s="1699"/>
      <c r="EM108" s="1356"/>
      <c r="EN108" s="1699"/>
      <c r="EO108" s="1356"/>
      <c r="EP108" s="1699"/>
      <c r="EQ108" s="1356"/>
      <c r="ER108" s="1699"/>
      <c r="ES108" s="1356"/>
      <c r="ET108" s="1699"/>
      <c r="EU108" s="1356"/>
      <c r="EV108" s="1699"/>
      <c r="EW108" s="1356"/>
      <c r="EX108" s="1699"/>
      <c r="EY108" s="1356"/>
      <c r="EZ108" s="1699"/>
      <c r="FA108" s="1356"/>
      <c r="FB108" s="1699"/>
      <c r="FC108" s="1356"/>
      <c r="FD108" s="1699"/>
      <c r="FE108" s="1356"/>
      <c r="FF108" s="1699"/>
      <c r="FG108" s="1356"/>
      <c r="FH108" s="1699"/>
      <c r="FI108" s="1356"/>
      <c r="FJ108" s="1699"/>
      <c r="FK108" s="1356"/>
      <c r="FL108" s="1699"/>
      <c r="FM108" s="1356"/>
      <c r="FN108" s="1699"/>
      <c r="FO108" s="1356"/>
      <c r="FP108" s="1699"/>
      <c r="FQ108" s="1356"/>
      <c r="FR108" s="1699"/>
      <c r="FS108" s="1356"/>
      <c r="FT108" s="1699"/>
      <c r="FU108" s="1356"/>
      <c r="FV108" s="1699"/>
      <c r="FW108" s="1356"/>
      <c r="FX108" s="1699"/>
      <c r="FY108" s="1356"/>
      <c r="FZ108" s="1699"/>
      <c r="GA108" s="1356"/>
      <c r="GB108" s="1699"/>
      <c r="GC108" s="1356"/>
      <c r="GD108" s="1699"/>
      <c r="GE108" s="1356"/>
      <c r="GF108" s="1699"/>
      <c r="GG108" s="1356"/>
      <c r="GH108" s="1699"/>
      <c r="GI108" s="1356"/>
      <c r="GJ108" s="1699"/>
      <c r="GK108" s="1356"/>
      <c r="GL108" s="1699"/>
      <c r="GM108" s="1356"/>
      <c r="GN108" s="1699"/>
      <c r="GO108" s="1356"/>
      <c r="GP108" s="1699"/>
      <c r="GQ108" s="1356"/>
      <c r="GR108" s="1699"/>
      <c r="GS108" s="1356"/>
      <c r="GT108" s="1699"/>
      <c r="GU108" s="1356"/>
      <c r="GV108" s="1699"/>
      <c r="GW108" s="1356"/>
      <c r="GX108" s="1699"/>
      <c r="GY108" s="1356"/>
      <c r="GZ108" s="1699"/>
      <c r="HA108" s="1356"/>
      <c r="HB108" s="1699"/>
      <c r="HC108" s="1356"/>
      <c r="HD108" s="1699"/>
      <c r="HE108" s="1356"/>
      <c r="HF108" s="2014"/>
      <c r="HH108" s="1699"/>
      <c r="HI108" s="1356"/>
      <c r="HJ108" s="1699"/>
      <c r="HK108" s="1356"/>
      <c r="HL108" s="1699"/>
      <c r="HM108" s="1356"/>
      <c r="HN108" s="1699"/>
      <c r="HO108" s="1356"/>
      <c r="HP108" s="2014"/>
      <c r="HR108" s="1699"/>
      <c r="HS108" s="1356"/>
      <c r="HT108" s="2014"/>
      <c r="HV108" s="2014"/>
      <c r="HX108" s="2014"/>
      <c r="HZ108" s="2014"/>
      <c r="IB108" s="1699"/>
      <c r="IC108" s="1356"/>
      <c r="ID108" s="2014"/>
      <c r="IF108" s="2014"/>
    </row>
    <row r="109" spans="1:241" ht="15.75" hidden="1" customHeight="1">
      <c r="A109" s="1151"/>
      <c r="B109" s="1149" t="s">
        <v>94</v>
      </c>
      <c r="C109" s="1151"/>
      <c r="D109" s="1151"/>
      <c r="E109" s="1152"/>
      <c r="F109" s="1703" t="s">
        <v>1208</v>
      </c>
      <c r="G109" s="1704"/>
      <c r="H109" s="1703" t="s">
        <v>1208</v>
      </c>
      <c r="I109" s="1704"/>
      <c r="J109" s="1703" t="s">
        <v>1208</v>
      </c>
      <c r="K109" s="1704"/>
      <c r="L109" s="1703" t="s">
        <v>1208</v>
      </c>
      <c r="M109" s="1704"/>
      <c r="N109" s="1703" t="s">
        <v>1208</v>
      </c>
      <c r="O109" s="1704"/>
      <c r="P109" s="1703" t="s">
        <v>1208</v>
      </c>
      <c r="Q109" s="1704"/>
      <c r="R109" s="1703" t="s">
        <v>1208</v>
      </c>
      <c r="S109" s="1704"/>
      <c r="T109" s="1703" t="s">
        <v>1208</v>
      </c>
      <c r="U109" s="1704"/>
      <c r="V109" s="1703" t="s">
        <v>1208</v>
      </c>
      <c r="W109" s="1704"/>
      <c r="X109" s="1703" t="s">
        <v>1208</v>
      </c>
      <c r="Y109" s="1704"/>
      <c r="Z109" s="1703" t="s">
        <v>1208</v>
      </c>
      <c r="AA109" s="1704"/>
      <c r="AB109" s="1703" t="s">
        <v>1208</v>
      </c>
      <c r="AC109" s="1704"/>
      <c r="AD109" s="1703" t="s">
        <v>1208</v>
      </c>
      <c r="AE109" s="1704"/>
      <c r="AF109" s="1703" t="s">
        <v>1208</v>
      </c>
      <c r="AG109" s="1704"/>
      <c r="AH109" s="1703" t="s">
        <v>1208</v>
      </c>
      <c r="AI109" s="1704"/>
      <c r="AJ109" s="1703" t="s">
        <v>1208</v>
      </c>
      <c r="AK109" s="1704"/>
      <c r="AL109" s="1703" t="s">
        <v>1208</v>
      </c>
      <c r="AM109" s="1704"/>
      <c r="AN109" s="1703" t="s">
        <v>1208</v>
      </c>
      <c r="AO109" s="1704"/>
      <c r="AP109" s="1703" t="s">
        <v>1208</v>
      </c>
      <c r="AQ109" s="1704"/>
      <c r="AR109" s="1703" t="s">
        <v>1208</v>
      </c>
      <c r="AS109" s="1704"/>
      <c r="AT109" s="1703" t="s">
        <v>1208</v>
      </c>
      <c r="AU109" s="1704"/>
      <c r="AV109" s="1703" t="s">
        <v>1208</v>
      </c>
      <c r="AW109" s="1704"/>
      <c r="AX109" s="1703" t="s">
        <v>1208</v>
      </c>
      <c r="AY109" s="1704"/>
      <c r="AZ109" s="1703" t="s">
        <v>1208</v>
      </c>
      <c r="BA109" s="1704"/>
      <c r="BB109" s="1703" t="s">
        <v>1208</v>
      </c>
      <c r="BC109" s="1704"/>
      <c r="BD109" s="1703" t="s">
        <v>1208</v>
      </c>
      <c r="BE109" s="1704"/>
      <c r="BF109" s="1703" t="s">
        <v>1208</v>
      </c>
      <c r="BG109" s="1704"/>
      <c r="BH109" s="1703" t="s">
        <v>1208</v>
      </c>
      <c r="BI109" s="1704"/>
      <c r="BJ109" s="1703" t="s">
        <v>1208</v>
      </c>
      <c r="BK109" s="1704"/>
      <c r="BL109" s="1703" t="s">
        <v>1208</v>
      </c>
      <c r="BM109" s="1704"/>
      <c r="BN109" s="1703" t="s">
        <v>1208</v>
      </c>
      <c r="BO109" s="1704"/>
      <c r="BP109" s="1703" t="s">
        <v>1208</v>
      </c>
      <c r="BQ109" s="1704"/>
      <c r="BR109" s="1703" t="s">
        <v>1208</v>
      </c>
      <c r="BS109" s="1704"/>
      <c r="BT109" s="1703" t="s">
        <v>1208</v>
      </c>
      <c r="BU109" s="1704"/>
      <c r="BV109" s="1703" t="s">
        <v>1208</v>
      </c>
      <c r="BW109" s="1704"/>
      <c r="BX109" s="1703" t="s">
        <v>1208</v>
      </c>
      <c r="BY109" s="1704"/>
      <c r="BZ109" s="1703" t="s">
        <v>1208</v>
      </c>
      <c r="CA109" s="1704"/>
      <c r="CB109" s="1703" t="s">
        <v>1208</v>
      </c>
      <c r="CC109" s="1704"/>
      <c r="CD109" s="1703" t="s">
        <v>1208</v>
      </c>
      <c r="CE109" s="1704"/>
      <c r="CF109" s="1703" t="s">
        <v>1208</v>
      </c>
      <c r="CG109" s="1704"/>
      <c r="CH109" s="1703" t="s">
        <v>1208</v>
      </c>
      <c r="CI109" s="1704"/>
      <c r="CJ109" s="1703" t="s">
        <v>1208</v>
      </c>
      <c r="CK109" s="1704"/>
      <c r="CL109" s="1703" t="s">
        <v>1208</v>
      </c>
      <c r="CM109" s="1704"/>
      <c r="CN109" s="1703" t="s">
        <v>1208</v>
      </c>
      <c r="CO109" s="1704"/>
      <c r="CP109" s="1703" t="s">
        <v>1208</v>
      </c>
      <c r="CQ109" s="1704"/>
      <c r="CR109" s="1703" t="s">
        <v>1208</v>
      </c>
      <c r="CS109" s="1704"/>
      <c r="CT109" s="1703" t="s">
        <v>1208</v>
      </c>
      <c r="CU109" s="1704"/>
      <c r="CV109" s="1703" t="s">
        <v>1208</v>
      </c>
      <c r="CW109" s="1704"/>
      <c r="CX109" s="1703" t="s">
        <v>1208</v>
      </c>
      <c r="CY109" s="1704"/>
      <c r="CZ109" s="1703" t="s">
        <v>1208</v>
      </c>
      <c r="DA109" s="1704"/>
      <c r="DB109" s="1703" t="s">
        <v>1208</v>
      </c>
      <c r="DC109" s="1704"/>
      <c r="DD109" s="1703" t="s">
        <v>1208</v>
      </c>
      <c r="DE109" s="1704"/>
      <c r="DF109" s="1703" t="s">
        <v>1208</v>
      </c>
      <c r="DG109" s="1704"/>
      <c r="DH109" s="1703" t="s">
        <v>1208</v>
      </c>
      <c r="DI109" s="1704"/>
      <c r="DJ109" s="1703" t="s">
        <v>1208</v>
      </c>
      <c r="DK109" s="1704"/>
      <c r="DL109" s="1703" t="s">
        <v>1208</v>
      </c>
      <c r="DM109" s="1704"/>
      <c r="DN109" s="1703" t="s">
        <v>1208</v>
      </c>
      <c r="DO109" s="1704"/>
      <c r="DP109" s="1703" t="s">
        <v>1208</v>
      </c>
      <c r="DQ109" s="1704"/>
      <c r="DR109" s="1703" t="s">
        <v>1208</v>
      </c>
      <c r="DS109" s="1704"/>
      <c r="DT109" s="1703" t="s">
        <v>1208</v>
      </c>
      <c r="DU109" s="1704"/>
      <c r="DV109" s="1703" t="s">
        <v>1208</v>
      </c>
      <c r="DW109" s="1704"/>
      <c r="DX109" s="1703" t="s">
        <v>1208</v>
      </c>
      <c r="DY109" s="1704"/>
      <c r="DZ109" s="1703" t="s">
        <v>1208</v>
      </c>
      <c r="EA109" s="1704"/>
      <c r="EB109" s="1703" t="s">
        <v>1208</v>
      </c>
      <c r="EC109" s="1704"/>
      <c r="ED109" s="1703" t="s">
        <v>1208</v>
      </c>
      <c r="EE109" s="1704"/>
      <c r="EF109" s="1703" t="s">
        <v>1208</v>
      </c>
      <c r="EG109" s="1704"/>
      <c r="EH109" s="1703" t="s">
        <v>1208</v>
      </c>
      <c r="EI109" s="1704"/>
      <c r="EJ109" s="1703" t="s">
        <v>1208</v>
      </c>
      <c r="EK109" s="1704"/>
      <c r="EL109" s="1703" t="s">
        <v>1208</v>
      </c>
      <c r="EM109" s="1704"/>
      <c r="EN109" s="1703" t="s">
        <v>1208</v>
      </c>
      <c r="EO109" s="1704"/>
      <c r="EP109" s="1703" t="s">
        <v>1208</v>
      </c>
      <c r="EQ109" s="1704"/>
      <c r="ER109" s="1703" t="s">
        <v>1208</v>
      </c>
      <c r="ES109" s="1704"/>
      <c r="ET109" s="1703" t="s">
        <v>1208</v>
      </c>
      <c r="EU109" s="1704"/>
      <c r="EV109" s="1703" t="s">
        <v>1208</v>
      </c>
      <c r="EW109" s="1704"/>
      <c r="EX109" s="1703" t="s">
        <v>1208</v>
      </c>
      <c r="EY109" s="1704"/>
      <c r="EZ109" s="1703" t="s">
        <v>1208</v>
      </c>
      <c r="FA109" s="1704"/>
      <c r="FB109" s="1703" t="s">
        <v>1208</v>
      </c>
      <c r="FC109" s="1704"/>
      <c r="FD109" s="1703" t="s">
        <v>1208</v>
      </c>
      <c r="FE109" s="1704"/>
      <c r="FF109" s="1703" t="s">
        <v>1208</v>
      </c>
      <c r="FG109" s="1704"/>
      <c r="FH109" s="1703" t="s">
        <v>1208</v>
      </c>
      <c r="FI109" s="1704"/>
      <c r="FJ109" s="1703" t="s">
        <v>1208</v>
      </c>
      <c r="FK109" s="1704"/>
      <c r="FL109" s="1703" t="s">
        <v>1208</v>
      </c>
      <c r="FM109" s="1704"/>
      <c r="FN109" s="1703" t="s">
        <v>1208</v>
      </c>
      <c r="FO109" s="1704"/>
      <c r="FP109" s="1703" t="s">
        <v>1208</v>
      </c>
      <c r="FQ109" s="1704"/>
      <c r="FR109" s="1703" t="s">
        <v>1208</v>
      </c>
      <c r="FS109" s="1704"/>
      <c r="FT109" s="1703" t="s">
        <v>1208</v>
      </c>
      <c r="FU109" s="1704"/>
      <c r="FV109" s="1703" t="s">
        <v>1208</v>
      </c>
      <c r="FW109" s="1704"/>
      <c r="FX109" s="1703" t="s">
        <v>1208</v>
      </c>
      <c r="FY109" s="1704"/>
      <c r="FZ109" s="1703" t="s">
        <v>1208</v>
      </c>
      <c r="GA109" s="1704"/>
      <c r="GB109" s="1703" t="s">
        <v>1208</v>
      </c>
      <c r="GC109" s="1704"/>
      <c r="GD109" s="1703" t="s">
        <v>1208</v>
      </c>
      <c r="GE109" s="1704"/>
      <c r="GF109" s="1703" t="s">
        <v>1208</v>
      </c>
      <c r="GG109" s="1704"/>
      <c r="GH109" s="1703" t="s">
        <v>1208</v>
      </c>
      <c r="GI109" s="1704"/>
      <c r="GJ109" s="1703" t="s">
        <v>1208</v>
      </c>
      <c r="GK109" s="1704"/>
      <c r="GL109" s="1703" t="s">
        <v>1208</v>
      </c>
      <c r="GM109" s="1704"/>
      <c r="GN109" s="1703" t="s">
        <v>1208</v>
      </c>
      <c r="GO109" s="1704"/>
      <c r="GP109" s="1703" t="s">
        <v>1208</v>
      </c>
      <c r="GQ109" s="1704"/>
      <c r="GR109" s="1703" t="s">
        <v>1208</v>
      </c>
      <c r="GS109" s="1704"/>
      <c r="GT109" s="1703" t="s">
        <v>1208</v>
      </c>
      <c r="GU109" s="1704"/>
      <c r="GV109" s="1703" t="s">
        <v>1208</v>
      </c>
      <c r="GW109" s="1704"/>
      <c r="GX109" s="1703" t="s">
        <v>1208</v>
      </c>
      <c r="GY109" s="1704"/>
      <c r="GZ109" s="1703" t="s">
        <v>1208</v>
      </c>
      <c r="HA109" s="1704"/>
      <c r="HB109" s="1703" t="s">
        <v>1208</v>
      </c>
      <c r="HC109" s="1704"/>
      <c r="HD109" s="1703" t="s">
        <v>1208</v>
      </c>
      <c r="HE109" s="1704"/>
      <c r="HF109" s="2020" t="s">
        <v>1208</v>
      </c>
      <c r="HG109" s="2027"/>
      <c r="HH109" s="1703" t="s">
        <v>1208</v>
      </c>
      <c r="HI109" s="1704"/>
      <c r="HJ109" s="1703" t="s">
        <v>1208</v>
      </c>
      <c r="HK109" s="1704"/>
      <c r="HL109" s="1703" t="s">
        <v>1208</v>
      </c>
      <c r="HM109" s="1704"/>
      <c r="HN109" s="1703" t="s">
        <v>1208</v>
      </c>
      <c r="HO109" s="1704"/>
      <c r="HP109" s="2020" t="s">
        <v>1208</v>
      </c>
      <c r="HQ109" s="2027"/>
      <c r="HR109" s="1703" t="s">
        <v>1208</v>
      </c>
      <c r="HS109" s="1704"/>
      <c r="HT109" s="2020" t="s">
        <v>1208</v>
      </c>
      <c r="HU109" s="2027"/>
      <c r="HV109" s="2020" t="s">
        <v>1208</v>
      </c>
      <c r="HW109" s="2027"/>
      <c r="HX109" s="2020" t="s">
        <v>1208</v>
      </c>
      <c r="HY109" s="2027"/>
      <c r="HZ109" s="2020" t="s">
        <v>1208</v>
      </c>
      <c r="IA109" s="2027"/>
      <c r="IB109" s="1703" t="s">
        <v>1208</v>
      </c>
      <c r="IC109" s="1704"/>
      <c r="ID109" s="2020" t="s">
        <v>1208</v>
      </c>
      <c r="IE109" s="2027"/>
      <c r="IF109" s="2020" t="s">
        <v>1208</v>
      </c>
      <c r="IG109" s="2027"/>
    </row>
    <row r="110" spans="1:241" ht="15.75" hidden="1" customHeight="1">
      <c r="A110" s="1151"/>
      <c r="B110" s="1149"/>
      <c r="C110" s="1151"/>
      <c r="D110" s="1151"/>
      <c r="E110" s="1152"/>
      <c r="F110" s="1704"/>
      <c r="G110" s="1704"/>
      <c r="H110" s="1704"/>
      <c r="I110" s="1704"/>
      <c r="J110" s="1704"/>
      <c r="K110" s="1704"/>
      <c r="L110" s="1704"/>
      <c r="M110" s="1704"/>
      <c r="N110" s="1704"/>
      <c r="O110" s="1704"/>
      <c r="P110" s="1704"/>
      <c r="Q110" s="1704"/>
      <c r="R110" s="1704"/>
      <c r="S110" s="1704"/>
      <c r="T110" s="1704"/>
      <c r="U110" s="1704"/>
      <c r="V110" s="1704"/>
      <c r="W110" s="1704"/>
      <c r="X110" s="1704"/>
      <c r="Y110" s="1704"/>
      <c r="Z110" s="1704"/>
      <c r="AA110" s="1704"/>
      <c r="AB110" s="1704"/>
      <c r="AC110" s="1704"/>
      <c r="AD110" s="1704"/>
      <c r="AE110" s="1704"/>
      <c r="AF110" s="1704"/>
      <c r="AG110" s="1704"/>
      <c r="AH110" s="1704"/>
      <c r="AI110" s="1704"/>
      <c r="AJ110" s="1704"/>
      <c r="AK110" s="1704"/>
      <c r="AL110" s="1704"/>
      <c r="AM110" s="1704"/>
      <c r="AN110" s="1704"/>
      <c r="AO110" s="1704"/>
      <c r="AP110" s="1704"/>
      <c r="AQ110" s="1704"/>
      <c r="AR110" s="1704"/>
      <c r="AS110" s="1704"/>
      <c r="AT110" s="1704"/>
      <c r="AU110" s="1704"/>
      <c r="AV110" s="1704"/>
      <c r="AW110" s="1704"/>
      <c r="AX110" s="1704"/>
      <c r="AY110" s="1704"/>
      <c r="AZ110" s="1704"/>
      <c r="BA110" s="1704"/>
      <c r="BB110" s="1704"/>
      <c r="BC110" s="1704"/>
      <c r="BD110" s="1704"/>
      <c r="BE110" s="1704"/>
      <c r="BF110" s="1704"/>
      <c r="BG110" s="1704"/>
      <c r="BH110" s="1704"/>
      <c r="BI110" s="1704"/>
      <c r="BJ110" s="1704"/>
      <c r="BK110" s="1704"/>
      <c r="BL110" s="1704"/>
      <c r="BM110" s="1704"/>
      <c r="BN110" s="1704"/>
      <c r="BO110" s="1704"/>
      <c r="BP110" s="1704"/>
      <c r="BQ110" s="1704"/>
      <c r="BR110" s="1704"/>
      <c r="BS110" s="1704"/>
      <c r="BT110" s="1704"/>
      <c r="BU110" s="1704"/>
      <c r="BV110" s="1704"/>
      <c r="BW110" s="1704"/>
      <c r="BX110" s="1704"/>
      <c r="BY110" s="1704"/>
      <c r="BZ110" s="1704"/>
      <c r="CA110" s="1704"/>
      <c r="CB110" s="1704"/>
      <c r="CC110" s="1704"/>
      <c r="CD110" s="1704"/>
      <c r="CE110" s="1704"/>
      <c r="CF110" s="1704"/>
      <c r="CG110" s="1704"/>
      <c r="CH110" s="1704"/>
      <c r="CI110" s="1704"/>
      <c r="CJ110" s="1704"/>
      <c r="CK110" s="1704"/>
      <c r="CL110" s="1704"/>
      <c r="CM110" s="1704"/>
      <c r="CN110" s="1704"/>
      <c r="CO110" s="1704"/>
      <c r="CP110" s="1704"/>
      <c r="CQ110" s="1704"/>
      <c r="CR110" s="1704"/>
      <c r="CS110" s="1704"/>
      <c r="CT110" s="1704"/>
      <c r="CU110" s="1704"/>
      <c r="CV110" s="1704"/>
      <c r="CW110" s="1704"/>
      <c r="CX110" s="1704"/>
      <c r="CY110" s="1704"/>
      <c r="CZ110" s="1704"/>
      <c r="DA110" s="1704"/>
      <c r="DB110" s="1704"/>
      <c r="DC110" s="1704"/>
      <c r="DD110" s="1704"/>
      <c r="DE110" s="1704"/>
      <c r="DF110" s="1704"/>
      <c r="DG110" s="1704"/>
      <c r="DH110" s="1704"/>
      <c r="DI110" s="1704"/>
      <c r="DJ110" s="1704"/>
      <c r="DK110" s="1704"/>
      <c r="DL110" s="1704"/>
      <c r="DM110" s="1704"/>
      <c r="DN110" s="1704"/>
      <c r="DO110" s="1704"/>
      <c r="DP110" s="1704"/>
      <c r="DQ110" s="1704"/>
      <c r="DR110" s="1704"/>
      <c r="DS110" s="1704"/>
      <c r="DT110" s="1704"/>
      <c r="DU110" s="1704"/>
      <c r="DV110" s="1704"/>
      <c r="DW110" s="1704"/>
      <c r="DX110" s="1704"/>
      <c r="DY110" s="1704"/>
      <c r="DZ110" s="1704"/>
      <c r="EA110" s="1704"/>
      <c r="EB110" s="1704"/>
      <c r="EC110" s="1704"/>
      <c r="ED110" s="1704"/>
      <c r="EE110" s="1704"/>
      <c r="EF110" s="1704"/>
      <c r="EG110" s="1704"/>
      <c r="EH110" s="1704"/>
      <c r="EI110" s="1704"/>
      <c r="EJ110" s="1704"/>
      <c r="EK110" s="1704"/>
      <c r="EL110" s="1704"/>
      <c r="EM110" s="1704"/>
      <c r="EN110" s="1704"/>
      <c r="EO110" s="1704"/>
      <c r="EP110" s="1704"/>
      <c r="EQ110" s="1704"/>
      <c r="ER110" s="1704"/>
      <c r="ES110" s="1704"/>
      <c r="ET110" s="1704"/>
      <c r="EU110" s="1704"/>
      <c r="EV110" s="1704"/>
      <c r="EW110" s="1704"/>
      <c r="EX110" s="1704"/>
      <c r="EY110" s="1704"/>
      <c r="EZ110" s="1704"/>
      <c r="FA110" s="1704"/>
      <c r="FB110" s="1704"/>
      <c r="FC110" s="1704"/>
      <c r="FD110" s="1704"/>
      <c r="FE110" s="1704"/>
      <c r="FF110" s="1704"/>
      <c r="FG110" s="1704"/>
      <c r="FH110" s="1704"/>
      <c r="FI110" s="1704"/>
      <c r="FJ110" s="1704"/>
      <c r="FK110" s="1704"/>
      <c r="FL110" s="1704"/>
      <c r="FM110" s="1704"/>
      <c r="FN110" s="1704"/>
      <c r="FO110" s="1704"/>
      <c r="FP110" s="1704"/>
      <c r="FQ110" s="1704"/>
      <c r="FR110" s="1704"/>
      <c r="FS110" s="1704"/>
      <c r="FT110" s="1704"/>
      <c r="FU110" s="1704"/>
      <c r="FV110" s="1704"/>
      <c r="FW110" s="1704"/>
      <c r="FX110" s="1704"/>
      <c r="FY110" s="1704"/>
      <c r="FZ110" s="1704"/>
      <c r="GA110" s="1704"/>
      <c r="GB110" s="1704"/>
      <c r="GC110" s="1704"/>
      <c r="GD110" s="1704"/>
      <c r="GE110" s="1704"/>
      <c r="GF110" s="1704"/>
      <c r="GG110" s="1704"/>
      <c r="GH110" s="1704"/>
      <c r="GI110" s="1704"/>
      <c r="GJ110" s="1704"/>
      <c r="GK110" s="1704"/>
      <c r="GL110" s="1704"/>
      <c r="GM110" s="1704"/>
      <c r="GN110" s="1704"/>
      <c r="GO110" s="1704"/>
      <c r="GP110" s="1704"/>
      <c r="GQ110" s="1704"/>
      <c r="GR110" s="1704"/>
      <c r="GS110" s="1704"/>
      <c r="GT110" s="1704"/>
      <c r="GU110" s="1704"/>
      <c r="GV110" s="1704"/>
      <c r="GW110" s="1704"/>
      <c r="GX110" s="1704"/>
      <c r="GY110" s="1704"/>
      <c r="GZ110" s="1704"/>
      <c r="HA110" s="1704"/>
      <c r="HB110" s="1704"/>
      <c r="HC110" s="1704"/>
      <c r="HD110" s="1704"/>
      <c r="HE110" s="1704"/>
      <c r="HF110" s="2021"/>
      <c r="HG110" s="2021"/>
      <c r="HH110" s="1704"/>
      <c r="HI110" s="1704"/>
      <c r="HJ110" s="1704"/>
      <c r="HK110" s="1704"/>
      <c r="HL110" s="1704"/>
      <c r="HM110" s="1704"/>
      <c r="HN110" s="1704"/>
      <c r="HO110" s="1704"/>
      <c r="HP110" s="2021"/>
      <c r="HQ110" s="2021"/>
      <c r="HR110" s="1704"/>
      <c r="HS110" s="1704"/>
      <c r="HT110" s="2021"/>
      <c r="HU110" s="2021"/>
      <c r="HV110" s="2021"/>
      <c r="HW110" s="2021"/>
      <c r="HX110" s="2021"/>
      <c r="HY110" s="2021"/>
      <c r="HZ110" s="2021"/>
      <c r="IA110" s="2021"/>
      <c r="IB110" s="1704"/>
      <c r="IC110" s="1704"/>
      <c r="ID110" s="2021"/>
      <c r="IE110" s="2021"/>
      <c r="IF110" s="2021"/>
      <c r="IG110" s="2021"/>
    </row>
    <row r="111" spans="1:241">
      <c r="A111" s="1149"/>
      <c r="B111" s="1149"/>
      <c r="C111" s="1149"/>
      <c r="D111" s="1149"/>
      <c r="E111" s="1143"/>
      <c r="F111" s="1356"/>
      <c r="G111" s="1356"/>
      <c r="H111" s="1356"/>
      <c r="I111" s="1356"/>
      <c r="J111" s="1356"/>
      <c r="K111" s="1356"/>
      <c r="L111" s="1356"/>
      <c r="M111" s="1356"/>
      <c r="N111" s="1356"/>
      <c r="O111" s="1356"/>
      <c r="P111" s="1356"/>
      <c r="Q111" s="1356"/>
      <c r="R111" s="1356"/>
      <c r="T111" s="1356"/>
      <c r="U111" s="1356"/>
      <c r="V111" s="1356"/>
      <c r="W111" s="1356"/>
      <c r="X111" s="1356"/>
      <c r="Y111" s="1356"/>
      <c r="Z111" s="1356"/>
      <c r="AA111" s="1356"/>
      <c r="AB111" s="1356"/>
      <c r="AC111" s="1356"/>
      <c r="AD111" s="1356"/>
      <c r="AE111" s="1356"/>
      <c r="AF111" s="1356"/>
      <c r="AG111" s="1356"/>
      <c r="AH111" s="1356"/>
      <c r="AI111" s="1356"/>
      <c r="AJ111" s="1356"/>
      <c r="AK111" s="1356"/>
      <c r="AL111" s="1356"/>
      <c r="AM111" s="1356"/>
      <c r="AN111" s="1356"/>
      <c r="AO111" s="1356"/>
      <c r="AP111" s="1356"/>
      <c r="AQ111" s="1356"/>
      <c r="AR111" s="1356"/>
      <c r="AS111" s="1356"/>
      <c r="AT111" s="1356"/>
      <c r="AU111" s="1356"/>
      <c r="AV111" s="1356"/>
      <c r="AW111" s="1356"/>
      <c r="AX111" s="1356"/>
      <c r="AY111" s="1356"/>
      <c r="AZ111" s="1356"/>
      <c r="BA111" s="1356"/>
      <c r="BB111" s="1356"/>
      <c r="BC111" s="1356"/>
      <c r="BD111" s="1356"/>
      <c r="BE111" s="1356"/>
      <c r="BF111" s="1356"/>
      <c r="BG111" s="1356"/>
      <c r="BH111" s="1356"/>
      <c r="BI111" s="1356"/>
      <c r="BJ111" s="1356"/>
      <c r="BK111" s="1356"/>
      <c r="BL111" s="1356"/>
      <c r="BM111" s="1356"/>
      <c r="BN111" s="1356"/>
      <c r="BO111" s="1356"/>
      <c r="BP111" s="1356"/>
      <c r="BQ111" s="1356"/>
      <c r="BR111" s="1356"/>
      <c r="BS111" s="1356"/>
      <c r="BT111" s="1356"/>
      <c r="BU111" s="1356"/>
      <c r="BV111" s="1356"/>
      <c r="BW111" s="1356"/>
      <c r="BX111" s="1356"/>
      <c r="BY111" s="1356"/>
      <c r="BZ111" s="1356"/>
      <c r="CA111" s="1356"/>
      <c r="CB111" s="1356"/>
      <c r="CC111" s="1356"/>
      <c r="CD111" s="1356"/>
      <c r="CE111" s="1356"/>
      <c r="CF111" s="1356"/>
      <c r="CG111" s="1356"/>
      <c r="CH111" s="1356"/>
      <c r="CI111" s="1356"/>
      <c r="CJ111" s="1356"/>
      <c r="CK111" s="1356"/>
      <c r="CL111" s="1356"/>
      <c r="CM111" s="1356"/>
      <c r="CN111" s="1356"/>
      <c r="CO111" s="1356"/>
      <c r="CP111" s="1356"/>
      <c r="CQ111" s="1356"/>
      <c r="CR111" s="1356"/>
      <c r="CS111" s="1356"/>
      <c r="CT111" s="1356"/>
      <c r="CU111" s="1356"/>
      <c r="CV111" s="1356"/>
      <c r="CW111" s="1356"/>
      <c r="CX111" s="1356"/>
      <c r="CY111" s="1356"/>
      <c r="CZ111" s="1356"/>
      <c r="DA111" s="1356"/>
      <c r="DB111" s="1356"/>
      <c r="DC111" s="1356"/>
      <c r="DD111" s="1356"/>
      <c r="DE111" s="1356"/>
      <c r="DF111" s="1356"/>
      <c r="DG111" s="1356"/>
      <c r="DH111" s="1356"/>
      <c r="DI111" s="1356"/>
      <c r="DJ111" s="1356"/>
      <c r="DK111" s="1356"/>
      <c r="DL111" s="1356"/>
      <c r="DM111" s="1356"/>
      <c r="DN111" s="1356"/>
      <c r="DO111" s="1356"/>
      <c r="DP111" s="1356"/>
      <c r="DQ111" s="1356"/>
      <c r="DR111" s="1356"/>
      <c r="DS111" s="1356"/>
      <c r="DT111" s="1356"/>
      <c r="DU111" s="1356"/>
      <c r="DV111" s="1356"/>
      <c r="DW111" s="1356"/>
      <c r="DX111" s="1356"/>
      <c r="DY111" s="1356"/>
      <c r="DZ111" s="1356"/>
      <c r="EA111" s="1356"/>
      <c r="EB111" s="1356"/>
      <c r="EC111" s="1356"/>
      <c r="ED111" s="1356"/>
      <c r="EE111" s="1356"/>
      <c r="EF111" s="1356"/>
      <c r="EG111" s="1356"/>
      <c r="EH111" s="1356"/>
      <c r="EI111" s="1356"/>
      <c r="EJ111" s="1356"/>
      <c r="EK111" s="1356"/>
      <c r="EL111" s="1356"/>
      <c r="EM111" s="1356"/>
      <c r="EN111" s="1356"/>
      <c r="EO111" s="1356"/>
      <c r="EP111" s="1356"/>
      <c r="EQ111" s="1356"/>
      <c r="ER111" s="1356"/>
      <c r="ES111" s="1356"/>
      <c r="ET111" s="1356"/>
      <c r="EU111" s="1356"/>
      <c r="EV111" s="1356"/>
      <c r="EW111" s="1356"/>
      <c r="EX111" s="1356"/>
      <c r="EY111" s="1356"/>
      <c r="EZ111" s="1356"/>
      <c r="FA111" s="1356"/>
      <c r="FB111" s="1356"/>
      <c r="FC111" s="1356"/>
      <c r="FD111" s="1356"/>
      <c r="FE111" s="1356"/>
      <c r="FF111" s="1356"/>
      <c r="FG111" s="1356"/>
      <c r="FH111" s="1356"/>
      <c r="FI111" s="1356"/>
      <c r="FJ111" s="1356"/>
      <c r="FK111" s="1356"/>
      <c r="FL111" s="1356"/>
      <c r="FM111" s="1356"/>
      <c r="FN111" s="1356"/>
      <c r="FO111" s="1356"/>
      <c r="FP111" s="1356"/>
      <c r="FQ111" s="1356"/>
      <c r="FR111" s="1356"/>
      <c r="FS111" s="1356"/>
      <c r="FT111" s="1356"/>
      <c r="FU111" s="1356"/>
      <c r="FV111" s="1356"/>
      <c r="FW111" s="1356"/>
      <c r="FX111" s="1356"/>
      <c r="FY111" s="1356"/>
      <c r="FZ111" s="1356"/>
      <c r="GA111" s="1356"/>
      <c r="GB111" s="1356"/>
      <c r="GC111" s="1356"/>
      <c r="GD111" s="1356"/>
      <c r="GE111" s="1356"/>
      <c r="GF111" s="1356"/>
      <c r="GG111" s="1356"/>
      <c r="GH111" s="1356"/>
      <c r="GI111" s="1356"/>
      <c r="GJ111" s="1356"/>
      <c r="GK111" s="1356"/>
      <c r="GL111" s="1356"/>
      <c r="GM111" s="1356"/>
      <c r="GN111" s="1356"/>
      <c r="GO111" s="1356"/>
      <c r="GP111" s="1356"/>
      <c r="GQ111" s="1356"/>
      <c r="GR111" s="1356"/>
      <c r="GS111" s="1356"/>
      <c r="GT111" s="1356"/>
      <c r="GU111" s="1356"/>
      <c r="GV111" s="1356"/>
      <c r="GW111" s="1356"/>
      <c r="GX111" s="1356"/>
      <c r="GY111" s="1356"/>
      <c r="GZ111" s="1356"/>
      <c r="HA111" s="1356"/>
      <c r="HB111" s="1356"/>
      <c r="HC111" s="1356"/>
      <c r="HD111" s="1356"/>
      <c r="HE111" s="1356"/>
      <c r="HF111" s="1535"/>
      <c r="HH111" s="1356"/>
      <c r="HI111" s="1356"/>
      <c r="HJ111" s="1356"/>
      <c r="HK111" s="1356"/>
      <c r="HL111" s="1356"/>
      <c r="HM111" s="1356"/>
      <c r="HN111" s="1356"/>
      <c r="HO111" s="1356"/>
      <c r="HP111" s="1535"/>
      <c r="HR111" s="1356"/>
      <c r="HS111" s="1356"/>
      <c r="HT111" s="1535"/>
      <c r="HV111" s="1535"/>
      <c r="HX111" s="1535"/>
      <c r="HZ111" s="1535"/>
      <c r="IB111" s="1356"/>
      <c r="IC111" s="1356"/>
      <c r="ID111" s="1535"/>
      <c r="IF111" s="1535"/>
    </row>
    <row r="112" spans="1:241">
      <c r="A112" s="1149"/>
      <c r="B112" s="1149" t="s">
        <v>1176</v>
      </c>
      <c r="C112" s="1149"/>
      <c r="D112" s="1149"/>
      <c r="E112" s="1143"/>
      <c r="F112" s="1537">
        <v>6602696</v>
      </c>
      <c r="G112" s="1356"/>
      <c r="H112" s="1537">
        <v>3258756</v>
      </c>
      <c r="I112" s="1356"/>
      <c r="J112" s="1537">
        <v>1985365</v>
      </c>
      <c r="K112" s="1356"/>
      <c r="L112" s="1537">
        <v>42850887</v>
      </c>
      <c r="M112" s="1356"/>
      <c r="N112" s="1537">
        <v>1608572</v>
      </c>
      <c r="O112" s="1356"/>
      <c r="P112" s="1537">
        <v>10017967</v>
      </c>
      <c r="Q112" s="1356"/>
      <c r="R112" s="1537">
        <v>8361279</v>
      </c>
      <c r="T112" s="1537">
        <v>2935133</v>
      </c>
      <c r="U112" s="1356"/>
      <c r="V112" s="1537">
        <v>5280153</v>
      </c>
      <c r="W112" s="1356"/>
      <c r="X112" s="1537">
        <v>6741135</v>
      </c>
      <c r="Y112" s="1356"/>
      <c r="Z112" s="1537">
        <v>4673453</v>
      </c>
      <c r="AA112" s="1356"/>
      <c r="AB112" s="1537">
        <v>14817671</v>
      </c>
      <c r="AC112" s="1356"/>
      <c r="AD112" s="1537">
        <v>16125548</v>
      </c>
      <c r="AE112" s="1356"/>
      <c r="AF112" s="1537">
        <v>6430043</v>
      </c>
      <c r="AG112" s="1356"/>
      <c r="AH112" s="1537">
        <v>1653324</v>
      </c>
      <c r="AI112" s="1356"/>
      <c r="AJ112" s="1537">
        <v>5235575</v>
      </c>
      <c r="AK112" s="1356"/>
      <c r="AL112" s="1537">
        <v>8154373</v>
      </c>
      <c r="AM112" s="1356"/>
      <c r="AN112" s="1537">
        <v>7402388</v>
      </c>
      <c r="AO112" s="1356"/>
      <c r="AP112" s="1537">
        <v>6098711</v>
      </c>
      <c r="AQ112" s="1356"/>
      <c r="AR112" s="1537">
        <v>16566153</v>
      </c>
      <c r="AS112" s="1356"/>
      <c r="AT112" s="1537">
        <v>2496466</v>
      </c>
      <c r="AU112" s="1356"/>
      <c r="AV112" s="1537">
        <v>2763483</v>
      </c>
      <c r="AW112" s="1356"/>
      <c r="AX112" s="1537">
        <v>3879192</v>
      </c>
      <c r="AY112" s="1356"/>
      <c r="AZ112" s="1537">
        <v>5051774</v>
      </c>
      <c r="BA112" s="1356"/>
      <c r="BB112" s="1537">
        <v>4733047</v>
      </c>
      <c r="BC112" s="1356"/>
      <c r="BD112" s="1537">
        <v>3588099</v>
      </c>
      <c r="BE112" s="1356"/>
      <c r="BF112" s="1537">
        <v>1940879</v>
      </c>
      <c r="BG112" s="1356"/>
      <c r="BH112" s="1537">
        <v>3914656</v>
      </c>
      <c r="BI112" s="1356"/>
      <c r="BJ112" s="1537">
        <v>3919218</v>
      </c>
      <c r="BK112" s="1356"/>
      <c r="BL112" s="1537">
        <v>26148056</v>
      </c>
      <c r="BM112" s="1356"/>
      <c r="BN112" s="1537">
        <v>811511</v>
      </c>
      <c r="BO112" s="1356"/>
      <c r="BP112" s="1537">
        <v>7355753</v>
      </c>
      <c r="BQ112" s="1356"/>
      <c r="BR112" s="1537">
        <v>585315</v>
      </c>
      <c r="BS112" s="1356"/>
      <c r="BT112" s="1537">
        <v>912981</v>
      </c>
      <c r="BU112" s="1356"/>
      <c r="BV112" s="1537">
        <v>5452843</v>
      </c>
      <c r="BW112" s="1356"/>
      <c r="BX112" s="1537">
        <v>2193977</v>
      </c>
      <c r="BY112" s="1356"/>
      <c r="BZ112" s="1537">
        <v>8765123</v>
      </c>
      <c r="CA112" s="1356"/>
      <c r="CB112" s="1537">
        <v>4882781</v>
      </c>
      <c r="CC112" s="1356"/>
      <c r="CD112" s="1537">
        <v>5952457</v>
      </c>
      <c r="CE112" s="1356"/>
      <c r="CF112" s="1537">
        <v>2321015</v>
      </c>
      <c r="CG112" s="1356"/>
      <c r="CH112" s="1537">
        <v>1288887</v>
      </c>
      <c r="CI112" s="1356"/>
      <c r="CJ112" s="1537">
        <v>1376842</v>
      </c>
      <c r="CK112" s="1356"/>
      <c r="CL112" s="1537">
        <v>7517252</v>
      </c>
      <c r="CM112" s="1356"/>
      <c r="CN112" s="1537">
        <v>12725577</v>
      </c>
      <c r="CO112" s="1356"/>
      <c r="CP112" s="1537">
        <v>8747418</v>
      </c>
      <c r="CQ112" s="1356"/>
      <c r="CR112" s="1537">
        <v>16376040</v>
      </c>
      <c r="CS112" s="1356"/>
      <c r="CT112" s="1537">
        <v>9694106</v>
      </c>
      <c r="CU112" s="1356"/>
      <c r="CV112" s="1537">
        <v>24790344</v>
      </c>
      <c r="CW112" s="1356"/>
      <c r="CX112" s="1537">
        <v>12808961</v>
      </c>
      <c r="CY112" s="1356"/>
      <c r="CZ112" s="1537">
        <v>1702060</v>
      </c>
      <c r="DA112" s="1356"/>
      <c r="DB112" s="1537">
        <v>6743067</v>
      </c>
      <c r="DC112" s="1356"/>
      <c r="DD112" s="1537">
        <v>2035892</v>
      </c>
      <c r="DE112" s="1356"/>
      <c r="DF112" s="1537">
        <v>12095250</v>
      </c>
      <c r="DG112" s="1356"/>
      <c r="DH112" s="1537">
        <v>2599639</v>
      </c>
      <c r="DI112" s="1356"/>
      <c r="DJ112" s="1537">
        <v>1414885</v>
      </c>
      <c r="DK112" s="1356"/>
      <c r="DL112" s="1537">
        <v>2455912</v>
      </c>
      <c r="DM112" s="1356"/>
      <c r="DN112" s="1537">
        <v>2134612</v>
      </c>
      <c r="DO112" s="1356"/>
      <c r="DP112" s="1537">
        <v>2872735</v>
      </c>
      <c r="DQ112" s="1356"/>
      <c r="DR112" s="1537">
        <v>2919371</v>
      </c>
      <c r="DS112" s="1356"/>
      <c r="DT112" s="1537">
        <v>15904879</v>
      </c>
      <c r="DU112" s="1356"/>
      <c r="DV112" s="1537">
        <v>4481514</v>
      </c>
      <c r="DW112" s="1356"/>
      <c r="DX112" s="1537">
        <v>6029098</v>
      </c>
      <c r="DY112" s="1356"/>
      <c r="DZ112" s="1537">
        <v>36975428</v>
      </c>
      <c r="EA112" s="1356"/>
      <c r="EB112" s="1537">
        <v>14361402</v>
      </c>
      <c r="EC112" s="1356"/>
      <c r="ED112" s="1537">
        <v>6901088</v>
      </c>
      <c r="EE112" s="1356"/>
      <c r="EF112" s="1537">
        <v>8463032</v>
      </c>
      <c r="EG112" s="1356"/>
      <c r="EH112" s="1537">
        <v>35637678</v>
      </c>
      <c r="EI112" s="1356"/>
      <c r="EJ112" s="1537">
        <v>1978681</v>
      </c>
      <c r="EK112" s="1356"/>
      <c r="EL112" s="1537">
        <v>25106966</v>
      </c>
      <c r="EM112" s="1356"/>
      <c r="EN112" s="1537">
        <v>18570246</v>
      </c>
      <c r="EO112" s="1356"/>
      <c r="EP112" s="1537">
        <v>14180795</v>
      </c>
      <c r="EQ112" s="1356"/>
      <c r="ER112" s="1537">
        <v>5013087</v>
      </c>
      <c r="ES112" s="1356"/>
      <c r="ET112" s="1537">
        <v>3340697</v>
      </c>
      <c r="EU112" s="1356"/>
      <c r="EV112" s="1537">
        <v>9520082</v>
      </c>
      <c r="EW112" s="1356"/>
      <c r="EX112" s="1537">
        <v>5957936</v>
      </c>
      <c r="EY112" s="1356"/>
      <c r="EZ112" s="1537">
        <v>2571763</v>
      </c>
      <c r="FA112" s="1356"/>
      <c r="FB112" s="1537">
        <v>5704513</v>
      </c>
      <c r="FC112" s="1356"/>
      <c r="FD112" s="1537">
        <v>8376888</v>
      </c>
      <c r="FE112" s="1356"/>
      <c r="FF112" s="1537">
        <v>9052651</v>
      </c>
      <c r="FG112" s="1356"/>
      <c r="FH112" s="1537">
        <v>3105476</v>
      </c>
      <c r="FI112" s="1356"/>
      <c r="FJ112" s="1537">
        <v>1613338</v>
      </c>
      <c r="FK112" s="1356"/>
      <c r="FL112" s="1537">
        <v>2284795</v>
      </c>
      <c r="FM112" s="1356"/>
      <c r="FN112" s="1537">
        <v>9516910</v>
      </c>
      <c r="FO112" s="1356"/>
      <c r="FP112" s="1537">
        <v>3703172</v>
      </c>
      <c r="FQ112" s="1356"/>
      <c r="FR112" s="1537">
        <v>2462224</v>
      </c>
      <c r="FS112" s="1356"/>
      <c r="FT112" s="1537">
        <v>5993459</v>
      </c>
      <c r="FU112" s="1356"/>
      <c r="FV112" s="1537">
        <v>22729625</v>
      </c>
      <c r="FW112" s="1356"/>
      <c r="FX112" s="1537">
        <v>5608261</v>
      </c>
      <c r="FY112" s="1356"/>
      <c r="FZ112" s="1537">
        <v>7546104</v>
      </c>
      <c r="GA112" s="1356"/>
      <c r="GB112" s="1537">
        <v>1285871</v>
      </c>
      <c r="GC112" s="1356"/>
      <c r="GD112" s="1537">
        <v>6716444</v>
      </c>
      <c r="GE112" s="1356"/>
      <c r="GF112" s="1537">
        <v>8391172</v>
      </c>
      <c r="GG112" s="1356"/>
      <c r="GH112" s="1537">
        <v>3770604</v>
      </c>
      <c r="GI112" s="1356"/>
      <c r="GJ112" s="1537">
        <v>25450233</v>
      </c>
      <c r="GK112" s="1356"/>
      <c r="GL112" s="1537">
        <v>4009666</v>
      </c>
      <c r="GM112" s="1356"/>
      <c r="GN112" s="1537">
        <v>4174368</v>
      </c>
      <c r="GO112" s="1356"/>
      <c r="GP112" s="1537">
        <v>1397807</v>
      </c>
      <c r="GQ112" s="1356"/>
      <c r="GR112" s="1537">
        <v>7873684</v>
      </c>
      <c r="GS112" s="1356"/>
      <c r="GT112" s="1537">
        <v>1380303</v>
      </c>
      <c r="GU112" s="1356"/>
      <c r="GV112" s="1537">
        <v>4980134</v>
      </c>
      <c r="GW112" s="1356"/>
      <c r="GX112" s="1537">
        <v>2151278</v>
      </c>
      <c r="GY112" s="1356"/>
      <c r="GZ112" s="1537">
        <v>6923014</v>
      </c>
      <c r="HA112" s="1356"/>
      <c r="HB112" s="1537">
        <v>3237553</v>
      </c>
      <c r="HC112" s="1356"/>
      <c r="HD112" s="1537">
        <v>1073059</v>
      </c>
      <c r="HE112" s="1356"/>
      <c r="HF112" s="2012">
        <v>25841258</v>
      </c>
      <c r="HH112" s="1537">
        <v>8149613</v>
      </c>
      <c r="HI112" s="1356"/>
      <c r="HJ112" s="1537">
        <v>2338851</v>
      </c>
      <c r="HK112" s="1356"/>
      <c r="HL112" s="1537">
        <v>2199902</v>
      </c>
      <c r="HM112" s="1356"/>
      <c r="HN112" s="1537">
        <v>9146105</v>
      </c>
      <c r="HO112" s="1356"/>
      <c r="HP112" s="2012">
        <v>12288020</v>
      </c>
      <c r="HR112" s="1537">
        <v>891434</v>
      </c>
      <c r="HS112" s="1356"/>
      <c r="HT112" s="2012">
        <v>8553523</v>
      </c>
      <c r="HV112" s="2012">
        <v>14923552</v>
      </c>
      <c r="HX112" s="2012">
        <v>7307924</v>
      </c>
      <c r="HZ112" s="2012">
        <v>6599784</v>
      </c>
      <c r="IB112" s="1537">
        <v>6324648</v>
      </c>
      <c r="IC112" s="1356"/>
      <c r="ID112" s="2012">
        <v>4843567</v>
      </c>
      <c r="IF112" s="2012">
        <v>4577532</v>
      </c>
    </row>
    <row r="113" spans="1:241">
      <c r="A113" s="1149"/>
      <c r="B113" s="1149" t="s">
        <v>1229</v>
      </c>
      <c r="C113" s="1149"/>
      <c r="D113" s="1149"/>
      <c r="E113" s="1143"/>
      <c r="F113" s="1537">
        <v>3756114</v>
      </c>
      <c r="G113" s="1356"/>
      <c r="H113" s="1537">
        <v>4479011</v>
      </c>
      <c r="I113" s="1356"/>
      <c r="J113" s="1537">
        <v>2011423</v>
      </c>
      <c r="K113" s="1356"/>
      <c r="L113" s="1537">
        <v>77585439</v>
      </c>
      <c r="M113" s="1356"/>
      <c r="N113" s="1537">
        <v>2099408</v>
      </c>
      <c r="O113" s="1356"/>
      <c r="P113" s="1537">
        <v>8814178</v>
      </c>
      <c r="Q113" s="1356"/>
      <c r="R113" s="1537">
        <v>9845047</v>
      </c>
      <c r="T113" s="1537">
        <v>4075730</v>
      </c>
      <c r="U113" s="1356"/>
      <c r="V113" s="1537">
        <v>3095824</v>
      </c>
      <c r="W113" s="1356"/>
      <c r="X113" s="1537">
        <v>2432305</v>
      </c>
      <c r="Y113" s="1356"/>
      <c r="Z113" s="1537">
        <v>2953569</v>
      </c>
      <c r="AA113" s="1356"/>
      <c r="AB113" s="1537">
        <v>3486073</v>
      </c>
      <c r="AC113" s="1356"/>
      <c r="AD113" s="1537">
        <v>8123997</v>
      </c>
      <c r="AE113" s="1356"/>
      <c r="AF113" s="1537">
        <v>6071439</v>
      </c>
      <c r="AG113" s="1356"/>
      <c r="AH113" s="1537">
        <v>1294928</v>
      </c>
      <c r="AI113" s="1356"/>
      <c r="AJ113" s="1537">
        <v>2280610</v>
      </c>
      <c r="AK113" s="1356"/>
      <c r="AL113" s="1537">
        <v>3753510</v>
      </c>
      <c r="AM113" s="1356"/>
      <c r="AN113" s="1537">
        <v>6259098</v>
      </c>
      <c r="AO113" s="1356"/>
      <c r="AP113" s="1537">
        <v>8912989</v>
      </c>
      <c r="AQ113" s="1356"/>
      <c r="AR113" s="1537">
        <v>4307113</v>
      </c>
      <c r="AS113" s="1356"/>
      <c r="AT113" s="1537">
        <v>1382460</v>
      </c>
      <c r="AU113" s="1356"/>
      <c r="AV113" s="1537">
        <v>3498081</v>
      </c>
      <c r="AW113" s="1356"/>
      <c r="AX113" s="1537">
        <v>2834519</v>
      </c>
      <c r="AY113" s="1356"/>
      <c r="AZ113" s="1537">
        <v>2060233</v>
      </c>
      <c r="BA113" s="1356"/>
      <c r="BB113" s="1537">
        <v>6206150</v>
      </c>
      <c r="BC113" s="1356"/>
      <c r="BD113" s="1537">
        <v>2934401</v>
      </c>
      <c r="BE113" s="1356"/>
      <c r="BF113" s="1537">
        <v>1541089</v>
      </c>
      <c r="BG113" s="1356"/>
      <c r="BH113" s="1537">
        <v>2215953</v>
      </c>
      <c r="BI113" s="1356"/>
      <c r="BJ113" s="1537">
        <v>4863837</v>
      </c>
      <c r="BK113" s="1356"/>
      <c r="BL113" s="1537">
        <v>14553925</v>
      </c>
      <c r="BM113" s="1356"/>
      <c r="BN113" s="1537">
        <v>1119158</v>
      </c>
      <c r="BO113" s="1356"/>
      <c r="BP113" s="1537">
        <v>1850160</v>
      </c>
      <c r="BQ113" s="1356"/>
      <c r="BR113" s="1537">
        <v>936824</v>
      </c>
      <c r="BS113" s="1356"/>
      <c r="BT113" s="1537">
        <v>912036</v>
      </c>
      <c r="BU113" s="1356"/>
      <c r="BV113" s="1537">
        <v>4286112</v>
      </c>
      <c r="BW113" s="1356"/>
      <c r="BX113" s="1537">
        <v>2047966</v>
      </c>
      <c r="BY113" s="1356"/>
      <c r="BZ113" s="1537">
        <v>6865882</v>
      </c>
      <c r="CA113" s="1356"/>
      <c r="CB113" s="1537">
        <v>7210745</v>
      </c>
      <c r="CC113" s="1356"/>
      <c r="CD113" s="1537">
        <v>7188981</v>
      </c>
      <c r="CE113" s="1356"/>
      <c r="CF113" s="1537">
        <v>3486213</v>
      </c>
      <c r="CG113" s="1356"/>
      <c r="CH113" s="1537">
        <v>1334277</v>
      </c>
      <c r="CI113" s="1356"/>
      <c r="CJ113" s="1537">
        <v>1366993</v>
      </c>
      <c r="CK113" s="1356"/>
      <c r="CL113" s="1537">
        <v>7768450</v>
      </c>
      <c r="CM113" s="1356"/>
      <c r="CN113" s="1537">
        <v>12591457</v>
      </c>
      <c r="CO113" s="1356"/>
      <c r="CP113" s="1537">
        <v>7790373</v>
      </c>
      <c r="CQ113" s="1356"/>
      <c r="CR113" s="1537">
        <v>13077512</v>
      </c>
      <c r="CS113" s="1356"/>
      <c r="CT113" s="1537">
        <v>8600704</v>
      </c>
      <c r="CU113" s="1356"/>
      <c r="CV113" s="1537">
        <v>17102548</v>
      </c>
      <c r="CW113" s="1356"/>
      <c r="CX113" s="1537">
        <v>12930670</v>
      </c>
      <c r="CY113" s="1356"/>
      <c r="CZ113" s="1537">
        <v>1556027</v>
      </c>
      <c r="DA113" s="1356"/>
      <c r="DB113" s="1537">
        <v>7289521</v>
      </c>
      <c r="DC113" s="1356"/>
      <c r="DD113" s="1537">
        <v>1309855</v>
      </c>
      <c r="DE113" s="1356"/>
      <c r="DF113" s="1537">
        <v>7479006</v>
      </c>
      <c r="DG113" s="1356"/>
      <c r="DH113" s="1537">
        <v>1843629</v>
      </c>
      <c r="DI113" s="1356"/>
      <c r="DJ113" s="1537">
        <v>1351422</v>
      </c>
      <c r="DK113" s="1356"/>
      <c r="DL113" s="1537">
        <v>3206789</v>
      </c>
      <c r="DM113" s="1356"/>
      <c r="DN113" s="1537">
        <v>731497</v>
      </c>
      <c r="DO113" s="1356"/>
      <c r="DP113" s="1537">
        <v>4716403</v>
      </c>
      <c r="DQ113" s="1356"/>
      <c r="DR113" s="1537">
        <v>4371993</v>
      </c>
      <c r="DS113" s="1356"/>
      <c r="DT113" s="1537">
        <v>17190437</v>
      </c>
      <c r="DU113" s="1356"/>
      <c r="DV113" s="1537">
        <v>2914837</v>
      </c>
      <c r="DW113" s="1356"/>
      <c r="DX113" s="1537">
        <v>6230476</v>
      </c>
      <c r="DY113" s="1356"/>
      <c r="DZ113" s="1537">
        <v>35961423</v>
      </c>
      <c r="EA113" s="1356"/>
      <c r="EB113" s="1537">
        <v>5249473</v>
      </c>
      <c r="EC113" s="1356"/>
      <c r="ED113" s="1537">
        <v>6625405</v>
      </c>
      <c r="EE113" s="1356"/>
      <c r="EF113" s="1537">
        <v>4277396</v>
      </c>
      <c r="EG113" s="1356"/>
      <c r="EH113" s="1537">
        <v>37333415</v>
      </c>
      <c r="EI113" s="1356"/>
      <c r="EJ113" s="1537">
        <v>4410261</v>
      </c>
      <c r="EK113" s="1356"/>
      <c r="EL113" s="1537">
        <v>9826972</v>
      </c>
      <c r="EM113" s="1356"/>
      <c r="EN113" s="1537">
        <v>18519908</v>
      </c>
      <c r="EO113" s="1356"/>
      <c r="EP113" s="1537">
        <v>6624584</v>
      </c>
      <c r="EQ113" s="1356"/>
      <c r="ER113" s="1537">
        <v>7328931</v>
      </c>
      <c r="ES113" s="1356"/>
      <c r="ET113" s="1537">
        <v>2595950</v>
      </c>
      <c r="EU113" s="1356"/>
      <c r="EV113" s="1537">
        <v>10055612</v>
      </c>
      <c r="EW113" s="1356"/>
      <c r="EX113" s="1537">
        <v>5894372</v>
      </c>
      <c r="EY113" s="1356"/>
      <c r="EZ113" s="1537">
        <v>3449084</v>
      </c>
      <c r="FA113" s="1356"/>
      <c r="FB113" s="1537">
        <v>6797707</v>
      </c>
      <c r="FC113" s="1356"/>
      <c r="FD113" s="1537">
        <v>6054679</v>
      </c>
      <c r="FE113" s="1356"/>
      <c r="FF113" s="1537">
        <v>9646282</v>
      </c>
      <c r="FG113" s="1356"/>
      <c r="FH113" s="1537">
        <f>11558198-85673</f>
        <v>11472525</v>
      </c>
      <c r="FI113" s="1356"/>
      <c r="FJ113" s="1537">
        <v>2156302</v>
      </c>
      <c r="FK113" s="1356"/>
      <c r="FL113" s="1537">
        <v>3002164</v>
      </c>
      <c r="FM113" s="1356"/>
      <c r="FN113" s="1537">
        <f>13348014-100222</f>
        <v>13247792</v>
      </c>
      <c r="FO113" s="1356"/>
      <c r="FP113" s="1537">
        <v>2448065</v>
      </c>
      <c r="FQ113" s="1356"/>
      <c r="FR113" s="1537">
        <f>5055037-434041</f>
        <v>4620996</v>
      </c>
      <c r="FS113" s="1356"/>
      <c r="FT113" s="1537">
        <v>8534671</v>
      </c>
      <c r="FU113" s="1356"/>
      <c r="FV113" s="1537">
        <v>10896241</v>
      </c>
      <c r="FW113" s="1356"/>
      <c r="FX113" s="1537">
        <v>2803375</v>
      </c>
      <c r="FY113" s="1356"/>
      <c r="FZ113" s="1537">
        <v>4436740</v>
      </c>
      <c r="GA113" s="1356"/>
      <c r="GB113" s="1537">
        <v>2752063</v>
      </c>
      <c r="GC113" s="1356"/>
      <c r="GD113" s="1537">
        <v>5147268</v>
      </c>
      <c r="GE113" s="1356"/>
      <c r="GF113" s="1537">
        <v>11209518</v>
      </c>
      <c r="GG113" s="1356"/>
      <c r="GH113" s="1537">
        <v>1361733</v>
      </c>
      <c r="GI113" s="1356"/>
      <c r="GJ113" s="1537">
        <v>31202553</v>
      </c>
      <c r="GK113" s="1356"/>
      <c r="GL113" s="1537">
        <v>3514048</v>
      </c>
      <c r="GM113" s="1356"/>
      <c r="GN113" s="1537">
        <v>5386292</v>
      </c>
      <c r="GO113" s="1356"/>
      <c r="GP113" s="1537">
        <v>1807201</v>
      </c>
      <c r="GQ113" s="1356"/>
      <c r="GR113" s="1537">
        <v>7113496</v>
      </c>
      <c r="GS113" s="1356"/>
      <c r="GT113" s="1537">
        <v>1853126</v>
      </c>
      <c r="GU113" s="1356"/>
      <c r="GV113" s="1537">
        <v>4332377</v>
      </c>
      <c r="GW113" s="1356"/>
      <c r="GX113" s="1537">
        <v>2184927</v>
      </c>
      <c r="GY113" s="1356"/>
      <c r="GZ113" s="1537">
        <v>13809065</v>
      </c>
      <c r="HA113" s="1356"/>
      <c r="HB113" s="1537">
        <v>1879743</v>
      </c>
      <c r="HC113" s="1356"/>
      <c r="HD113" s="1537">
        <v>1106666</v>
      </c>
      <c r="HE113" s="1356"/>
      <c r="HF113" s="2012">
        <v>34269897</v>
      </c>
      <c r="HH113" s="1537">
        <v>11937765</v>
      </c>
      <c r="HI113" s="1356"/>
      <c r="HJ113" s="1537">
        <v>603247</v>
      </c>
      <c r="HK113" s="1356"/>
      <c r="HL113" s="1537">
        <v>1507052</v>
      </c>
      <c r="HM113" s="1356"/>
      <c r="HN113" s="1537">
        <v>5845849</v>
      </c>
      <c r="HO113" s="1356"/>
      <c r="HP113" s="2012">
        <v>8784207</v>
      </c>
      <c r="HR113" s="1537">
        <v>872611</v>
      </c>
      <c r="HS113" s="1356"/>
      <c r="HT113" s="2012">
        <v>7189958</v>
      </c>
      <c r="HV113" s="2012">
        <v>16123183</v>
      </c>
      <c r="HX113" s="2012">
        <v>1799050</v>
      </c>
      <c r="HZ113" s="2012">
        <v>8214828</v>
      </c>
      <c r="IB113" s="1537">
        <v>6509025</v>
      </c>
      <c r="IC113" s="1356"/>
      <c r="ID113" s="2012">
        <v>5384034</v>
      </c>
      <c r="IF113" s="2012">
        <v>5810866</v>
      </c>
    </row>
    <row r="114" spans="1:241">
      <c r="A114" s="1149"/>
      <c r="B114" s="1149" t="s">
        <v>1230</v>
      </c>
      <c r="C114" s="1149"/>
      <c r="D114" s="1149"/>
      <c r="E114" s="1143"/>
      <c r="F114" s="1544">
        <f>F112/F113</f>
        <v>1.7578529299163976</v>
      </c>
      <c r="G114" s="1713"/>
      <c r="H114" s="1544">
        <f>H112/H113</f>
        <v>0.72756150855624158</v>
      </c>
      <c r="I114" s="1713"/>
      <c r="J114" s="1544">
        <f>J112/J113</f>
        <v>0.9870449925251924</v>
      </c>
      <c r="K114" s="1713"/>
      <c r="L114" s="1544">
        <f>L112/L113</f>
        <v>0.55230578768781602</v>
      </c>
      <c r="M114" s="1713"/>
      <c r="N114" s="1544">
        <f>N112/N113</f>
        <v>0.76620266284590699</v>
      </c>
      <c r="O114" s="1713"/>
      <c r="P114" s="1544">
        <f>P112/P113</f>
        <v>1.1365741649419832</v>
      </c>
      <c r="Q114" s="1713"/>
      <c r="R114" s="1544">
        <f>R112/R113</f>
        <v>0.84928787033723663</v>
      </c>
      <c r="S114" s="1713"/>
      <c r="T114" s="1544">
        <f>T112/T113</f>
        <v>0.72014902851759066</v>
      </c>
      <c r="U114" s="1713"/>
      <c r="V114" s="1544">
        <f>V112/V113</f>
        <v>1.7055727328168526</v>
      </c>
      <c r="W114" s="1713"/>
      <c r="X114" s="1544">
        <f>X112/X113</f>
        <v>2.7715006958420099</v>
      </c>
      <c r="Y114" s="1713"/>
      <c r="Z114" s="1544">
        <f>Z112/Z113</f>
        <v>1.5823070326103774</v>
      </c>
      <c r="AA114" s="1713"/>
      <c r="AB114" s="1544">
        <f>AB112/AB113</f>
        <v>4.2505337667914587</v>
      </c>
      <c r="AC114" s="1713"/>
      <c r="AD114" s="1544">
        <f>AD112/AD113</f>
        <v>1.9849278624795159</v>
      </c>
      <c r="AE114" s="1713"/>
      <c r="AF114" s="1544">
        <f>AF112/AF113</f>
        <v>1.0590640867840391</v>
      </c>
      <c r="AG114" s="1713"/>
      <c r="AH114" s="1544">
        <f>AH112/AH113</f>
        <v>1.2767690558857328</v>
      </c>
      <c r="AI114" s="1713"/>
      <c r="AJ114" s="1544">
        <f>AJ112/AJ113</f>
        <v>2.2956906266305945</v>
      </c>
      <c r="AK114" s="1713"/>
      <c r="AL114" s="1544">
        <f>AL112/AL113</f>
        <v>2.1724660384546732</v>
      </c>
      <c r="AM114" s="1713"/>
      <c r="AN114" s="1544">
        <f>AN112/AN113</f>
        <v>1.1826605047564362</v>
      </c>
      <c r="AO114" s="1713"/>
      <c r="AP114" s="1544">
        <f>AP112/AP113</f>
        <v>0.68424980665857438</v>
      </c>
      <c r="AQ114" s="1713"/>
      <c r="AR114" s="1544">
        <f>AR112/AR113</f>
        <v>3.8462313387180695</v>
      </c>
      <c r="AS114" s="1713"/>
      <c r="AT114" s="1544">
        <f>AT112/AT113</f>
        <v>1.8058142731073594</v>
      </c>
      <c r="AU114" s="1713"/>
      <c r="AV114" s="1544">
        <f>AV112/AV113</f>
        <v>0.78999971698768556</v>
      </c>
      <c r="AW114" s="1713"/>
      <c r="AX114" s="1544">
        <f>AX112/AX113</f>
        <v>1.3685538886844646</v>
      </c>
      <c r="AY114" s="1713"/>
      <c r="AZ114" s="1544">
        <f>AZ112/AZ113</f>
        <v>2.4520401333247257</v>
      </c>
      <c r="BA114" s="1713"/>
      <c r="BB114" s="1544">
        <f>BB112/BB113</f>
        <v>0.76263818953779716</v>
      </c>
      <c r="BC114" s="1713"/>
      <c r="BD114" s="1544">
        <f>BD112/BD113</f>
        <v>1.2227705075073243</v>
      </c>
      <c r="BE114" s="1713"/>
      <c r="BF114" s="1544">
        <f>BF112/BF113</f>
        <v>1.2594204487865399</v>
      </c>
      <c r="BG114" s="1713"/>
      <c r="BH114" s="1544">
        <f>BH112/BH113</f>
        <v>1.7665789843015625</v>
      </c>
      <c r="BI114" s="1713"/>
      <c r="BJ114" s="1544">
        <f>BJ112/BJ113</f>
        <v>0.80578728275639167</v>
      </c>
      <c r="BK114" s="1713"/>
      <c r="BL114" s="1544">
        <f>BL112/BL113</f>
        <v>1.7966325922388633</v>
      </c>
      <c r="BM114" s="1713"/>
      <c r="BN114" s="1544">
        <f>BN112/BN113</f>
        <v>0.72510851908309637</v>
      </c>
      <c r="BO114" s="1713"/>
      <c r="BP114" s="1544">
        <f>BP112/BP113</f>
        <v>3.9757388550179442</v>
      </c>
      <c r="BQ114" s="1713"/>
      <c r="BR114" s="1544">
        <f>BR112/BR113</f>
        <v>0.62478651272811114</v>
      </c>
      <c r="BS114" s="1713"/>
      <c r="BT114" s="1544">
        <f>BT112/BT113</f>
        <v>1.0010361433101325</v>
      </c>
      <c r="BU114" s="1713"/>
      <c r="BV114" s="1544">
        <f>BV112/BV113</f>
        <v>1.2722119720623259</v>
      </c>
      <c r="BW114" s="1713"/>
      <c r="BX114" s="1544">
        <f>BX112/BX113</f>
        <v>1.0712956172123951</v>
      </c>
      <c r="BY114" s="1713"/>
      <c r="BZ114" s="1544">
        <f>BZ112/BZ113</f>
        <v>1.2766201050353037</v>
      </c>
      <c r="CA114" s="1713"/>
      <c r="CB114" s="1544">
        <f>CB112/CB113</f>
        <v>0.67715347027248918</v>
      </c>
      <c r="CC114" s="1713"/>
      <c r="CD114" s="1544">
        <f>CD112/CD113</f>
        <v>0.82799731978704627</v>
      </c>
      <c r="CE114" s="1713"/>
      <c r="CF114" s="1544">
        <v>0.66576970483444353</v>
      </c>
      <c r="CG114" s="1713"/>
      <c r="CH114" s="1544">
        <v>0.96598157653920436</v>
      </c>
      <c r="CI114" s="1713"/>
      <c r="CJ114" s="1544">
        <v>1.0072048649846781</v>
      </c>
      <c r="CK114" s="1713"/>
      <c r="CL114" s="1544">
        <v>0.96766433458411905</v>
      </c>
      <c r="CM114" s="1713"/>
      <c r="CN114" s="1544">
        <f>CN112/CN113</f>
        <v>1.0106516664433671</v>
      </c>
      <c r="CO114" s="1713"/>
      <c r="CP114" s="1544">
        <f>CP112/CP113</f>
        <v>1.1228497018050356</v>
      </c>
      <c r="CQ114" s="1713"/>
      <c r="CR114" s="1544">
        <v>1.2522290172626107</v>
      </c>
      <c r="CS114" s="1713"/>
      <c r="CT114" s="1544">
        <f>CT112/CT113</f>
        <v>1.127129360573274</v>
      </c>
      <c r="CU114" s="1713"/>
      <c r="CV114" s="1544">
        <f>CV112/CV113</f>
        <v>1.4495117335732663</v>
      </c>
      <c r="CW114" s="1713"/>
      <c r="CX114" s="1544">
        <f>CX112/CX113</f>
        <v>0.99058757202836356</v>
      </c>
      <c r="CY114" s="1713"/>
      <c r="CZ114" s="1544">
        <v>1.0938499139153754</v>
      </c>
      <c r="DA114" s="1713"/>
      <c r="DB114" s="1544">
        <v>0.92503567792726027</v>
      </c>
      <c r="DC114" s="1713"/>
      <c r="DD114" s="1544">
        <v>1.5542880700535555</v>
      </c>
      <c r="DE114" s="1713"/>
      <c r="DF114" s="1544">
        <v>1.6172269416550809</v>
      </c>
      <c r="DG114" s="1713"/>
      <c r="DH114" s="1544">
        <v>1.4100662334992562</v>
      </c>
      <c r="DI114" s="1713"/>
      <c r="DJ114" s="1544">
        <v>1.0469601649225779</v>
      </c>
      <c r="DK114" s="1713"/>
      <c r="DL114" s="1544">
        <v>0.76584770622576037</v>
      </c>
      <c r="DM114" s="1713"/>
      <c r="DN114" s="1544">
        <f>DN112/DN113</f>
        <v>2.9181418379022745</v>
      </c>
      <c r="DO114" s="1713"/>
      <c r="DP114" s="1544">
        <f>DP112/DP113</f>
        <v>0.60909447305499553</v>
      </c>
      <c r="DQ114" s="1713"/>
      <c r="DR114" s="1544">
        <f>DR112/DR113</f>
        <v>0.66774374981844664</v>
      </c>
      <c r="DS114" s="1713"/>
      <c r="DT114" s="1544">
        <f>DT112/DT113</f>
        <v>0.92521667715602574</v>
      </c>
      <c r="DU114" s="1713"/>
      <c r="DV114" s="1544">
        <f>DV112/DV113</f>
        <v>1.5374835711225019</v>
      </c>
      <c r="DW114" s="1713"/>
      <c r="DX114" s="1544">
        <f>DX112/DX113</f>
        <v>0.96767855297091265</v>
      </c>
      <c r="DY114" s="1713"/>
      <c r="DZ114" s="1544">
        <f>DZ112/DZ113</f>
        <v>1.0281970210133231</v>
      </c>
      <c r="EA114" s="1713"/>
      <c r="EB114" s="1544">
        <f>EB112/EB113</f>
        <v>2.7357797630352607</v>
      </c>
      <c r="EC114" s="1713"/>
      <c r="ED114" s="1544">
        <f>ED112/ED113</f>
        <v>1.041609984597168</v>
      </c>
      <c r="EE114" s="1713"/>
      <c r="EF114" s="1544">
        <f>EF112/EF113</f>
        <v>1.9785476958411146</v>
      </c>
      <c r="EG114" s="1713"/>
      <c r="EH114" s="1544">
        <f>EH112/EH113</f>
        <v>0.95457857257365819</v>
      </c>
      <c r="EI114" s="1713"/>
      <c r="EJ114" s="1544">
        <f>EJ112/EJ113</f>
        <v>0.44865394587757956</v>
      </c>
      <c r="EK114" s="1713"/>
      <c r="EL114" s="1544">
        <f>EL112/EL113</f>
        <v>2.554903585763753</v>
      </c>
      <c r="EM114" s="1713"/>
      <c r="EN114" s="1544">
        <f>EN112/EN113</f>
        <v>1.002718048059418</v>
      </c>
      <c r="EO114" s="1713"/>
      <c r="EP114" s="1712">
        <f>EP112/EP113</f>
        <v>2.1406317740102625</v>
      </c>
      <c r="EQ114" s="1713"/>
      <c r="ER114" s="1544">
        <f>ER112/ER113</f>
        <v>0.68401339840694364</v>
      </c>
      <c r="ES114" s="1713"/>
      <c r="ET114" s="1544">
        <f>ET112/ET113</f>
        <v>1.2868880371347675</v>
      </c>
      <c r="EU114" s="1713"/>
      <c r="EV114" s="1544">
        <f>EV112/EV113</f>
        <v>0.94674317187258217</v>
      </c>
      <c r="EW114" s="1713"/>
      <c r="EX114" s="1544">
        <f>EX112/EX113</f>
        <v>1.0107838460144694</v>
      </c>
      <c r="EY114" s="1713"/>
      <c r="EZ114" s="1544">
        <f>EZ112/EZ113</f>
        <v>0.74563652262455771</v>
      </c>
      <c r="FA114" s="1713"/>
      <c r="FB114" s="1544">
        <f>FB112/FB113</f>
        <v>0.83918194767735654</v>
      </c>
      <c r="FC114" s="1713"/>
      <c r="FD114" s="1544">
        <f>FD112/FD113</f>
        <v>1.3835395732787816</v>
      </c>
      <c r="FE114" s="1713"/>
      <c r="FF114" s="1544">
        <f>FF112/FF113</f>
        <v>0.93846012380728661</v>
      </c>
      <c r="FG114" s="1713"/>
      <c r="FH114" s="1544">
        <f>FH112/FH113</f>
        <v>0.27068810048354658</v>
      </c>
      <c r="FI114" s="1713"/>
      <c r="FJ114" s="1544">
        <f>FJ112/FJ113</f>
        <v>0.7481966811698918</v>
      </c>
      <c r="FK114" s="1713"/>
      <c r="FL114" s="1544">
        <f>FL112/FL113</f>
        <v>0.76104936305944648</v>
      </c>
      <c r="FM114" s="1713"/>
      <c r="FN114" s="1544">
        <f>FN112/FN113</f>
        <v>0.71837706992984185</v>
      </c>
      <c r="FO114" s="1713"/>
      <c r="FP114" s="1544">
        <f>FP112/FP113</f>
        <v>1.5126934946580259</v>
      </c>
      <c r="FQ114" s="1713"/>
      <c r="FR114" s="1544">
        <f>FR112/FR113</f>
        <v>0.53283404703228476</v>
      </c>
      <c r="FS114" s="1713"/>
      <c r="FT114" s="1544">
        <f>FT112/FT113</f>
        <v>0.70224839364048131</v>
      </c>
      <c r="FU114" s="1713"/>
      <c r="FV114" s="1544">
        <f>FV112/FV113</f>
        <v>2.086006082281036</v>
      </c>
      <c r="FW114" s="1713"/>
      <c r="FX114" s="1544">
        <f>FX112/FX113</f>
        <v>2.0005389931778659</v>
      </c>
      <c r="FY114" s="1713"/>
      <c r="FZ114" s="1544">
        <f>FZ112/FZ113</f>
        <v>1.7008217745461758</v>
      </c>
      <c r="GA114" s="1713"/>
      <c r="GB114" s="1544">
        <f>GB112/GB113</f>
        <v>0.4672389403876292</v>
      </c>
      <c r="GC114" s="1713"/>
      <c r="GD114" s="1544">
        <f>GD112/GD113</f>
        <v>1.3048560906484761</v>
      </c>
      <c r="GE114" s="1713"/>
      <c r="GF114" s="1544">
        <f>GF112/GF113</f>
        <v>0.74857563010291794</v>
      </c>
      <c r="GG114" s="1713"/>
      <c r="GH114" s="1544">
        <f>GH112/GH113</f>
        <v>2.7689745346554719</v>
      </c>
      <c r="GI114" s="1713"/>
      <c r="GJ114" s="1544">
        <f>GJ112/GJ113</f>
        <v>0.8156458543632632</v>
      </c>
      <c r="GK114" s="1713"/>
      <c r="GL114" s="1544">
        <f>GL112/GL113</f>
        <v>1.1410390523976905</v>
      </c>
      <c r="GM114" s="1713"/>
      <c r="GN114" s="1544">
        <f>GN112/GN113</f>
        <v>0.77499845905123599</v>
      </c>
      <c r="GO114" s="1713"/>
      <c r="GP114" s="1544">
        <f>GP112/GP113</f>
        <v>0.77346515412508077</v>
      </c>
      <c r="GQ114" s="1713"/>
      <c r="GR114" s="1544">
        <f>GR112/GR113</f>
        <v>1.106865597450255</v>
      </c>
      <c r="GS114" s="1713"/>
      <c r="GT114" s="1544">
        <f>GT112/GT113</f>
        <v>0.74485113262670755</v>
      </c>
      <c r="GU114" s="1713"/>
      <c r="GV114" s="1544">
        <f>GV112/GV113</f>
        <v>1.1495153815099655</v>
      </c>
      <c r="GW114" s="1713"/>
      <c r="GX114" s="1544">
        <f>GX112/GX113</f>
        <v>0.98459948547480081</v>
      </c>
      <c r="GY114" s="1713"/>
      <c r="GZ114" s="1544">
        <f>GZ112/GZ113</f>
        <v>0.50133835998309806</v>
      </c>
      <c r="HA114" s="1713"/>
      <c r="HB114" s="1544">
        <f>HB112/HB113</f>
        <v>1.7223381068582249</v>
      </c>
      <c r="HC114" s="1713"/>
      <c r="HD114" s="1544">
        <f>HD112/HD113</f>
        <v>0.96963221062181359</v>
      </c>
      <c r="HE114" s="1713"/>
      <c r="HF114" s="1544">
        <f>HF112/HF113</f>
        <v>0.75405123044285771</v>
      </c>
      <c r="HG114" s="2030"/>
      <c r="HH114" s="1544">
        <f>HH112/HH113</f>
        <v>0.68267493957202208</v>
      </c>
      <c r="HI114" s="1713"/>
      <c r="HJ114" s="1544">
        <f>HJ112/HJ113</f>
        <v>3.8771034087198113</v>
      </c>
      <c r="HK114" s="1713"/>
      <c r="HL114" s="1544">
        <f>HL112/HL113</f>
        <v>1.4597386155222249</v>
      </c>
      <c r="HM114" s="1713"/>
      <c r="HN114" s="1544">
        <f>HN112/HN113</f>
        <v>1.5645469118343631</v>
      </c>
      <c r="HO114" s="1713"/>
      <c r="HP114" s="1544">
        <f>HP112/HP113</f>
        <v>1.3988764153668054</v>
      </c>
      <c r="HQ114" s="2030"/>
      <c r="HR114" s="1544">
        <f>HR112/HR113</f>
        <v>1.0215708947056592</v>
      </c>
      <c r="HS114" s="1713"/>
      <c r="HT114" s="1544">
        <f>HT112/HT113</f>
        <v>1.1896485348036803</v>
      </c>
      <c r="HU114" s="2030"/>
      <c r="HV114" s="1544">
        <f>HV112/HV113</f>
        <v>0.92559589505372486</v>
      </c>
      <c r="HW114" s="2030"/>
      <c r="HX114" s="1544">
        <f>HX112/HX113</f>
        <v>4.0621016647675159</v>
      </c>
      <c r="HY114" s="2030"/>
      <c r="HZ114" s="1544">
        <f>HZ112/HZ113</f>
        <v>0.80339892691605963</v>
      </c>
      <c r="IA114" s="2030"/>
      <c r="IB114" s="1544">
        <f>IB112/IB113</f>
        <v>0.97167363775680693</v>
      </c>
      <c r="IC114" s="1713"/>
      <c r="ID114" s="1544">
        <f>ID112/ID113</f>
        <v>0.89961671861656145</v>
      </c>
      <c r="IE114" s="2030"/>
      <c r="IF114" s="1544">
        <f>IF112/IF113</f>
        <v>0.78775383910074681</v>
      </c>
      <c r="IG114" s="2030"/>
    </row>
    <row r="115" spans="1:241">
      <c r="A115" s="1149"/>
      <c r="B115" s="1149" t="s">
        <v>90</v>
      </c>
      <c r="C115" s="1149"/>
      <c r="D115" s="1149"/>
      <c r="E115" s="1143"/>
      <c r="F115" s="1540" t="str">
        <f>IF(F112&gt;F113,"1","0")</f>
        <v>1</v>
      </c>
      <c r="G115" s="1356"/>
      <c r="H115" s="1540" t="str">
        <f>IF(H112&gt;H113,"1","0")</f>
        <v>0</v>
      </c>
      <c r="I115" s="1356"/>
      <c r="J115" s="1540" t="str">
        <f>IF(J112&gt;J113,"1","0")</f>
        <v>0</v>
      </c>
      <c r="K115" s="1356"/>
      <c r="L115" s="1540" t="str">
        <f>IF(L112&gt;L113,"1","0")</f>
        <v>0</v>
      </c>
      <c r="M115" s="1356"/>
      <c r="N115" s="1540" t="str">
        <f>IF(N112&gt;N113,"1","0")</f>
        <v>0</v>
      </c>
      <c r="O115" s="1356"/>
      <c r="P115" s="1540" t="str">
        <f>IF(P112&gt;P113,"1","0")</f>
        <v>1</v>
      </c>
      <c r="Q115" s="1356"/>
      <c r="R115" s="1540" t="str">
        <f>IF(R112&gt;R113,"1","0")</f>
        <v>0</v>
      </c>
      <c r="T115" s="1540" t="str">
        <f>IF(T112&gt;T113,"1","0")</f>
        <v>0</v>
      </c>
      <c r="U115" s="1356"/>
      <c r="V115" s="1540" t="str">
        <f>IF(V112&gt;V113,"1","0")</f>
        <v>1</v>
      </c>
      <c r="W115" s="1356"/>
      <c r="X115" s="1540" t="str">
        <f>IF(X112&gt;X113,"1","0")</f>
        <v>1</v>
      </c>
      <c r="Y115" s="1356"/>
      <c r="Z115" s="1540" t="str">
        <f>IF(Z112&gt;Z113,"1","0")</f>
        <v>1</v>
      </c>
      <c r="AA115" s="1356"/>
      <c r="AB115" s="1540" t="str">
        <f>IF(AB112&gt;AB113,"1","0")</f>
        <v>1</v>
      </c>
      <c r="AC115" s="1356"/>
      <c r="AD115" s="1540" t="str">
        <f>IF(AD112&gt;AD113,"1","0")</f>
        <v>1</v>
      </c>
      <c r="AE115" s="1356"/>
      <c r="AF115" s="1540" t="str">
        <f>IF(AF112&gt;AF113,"1","0")</f>
        <v>1</v>
      </c>
      <c r="AG115" s="1356"/>
      <c r="AH115" s="1540" t="str">
        <f>IF(AH112&gt;AH113,"1","0")</f>
        <v>1</v>
      </c>
      <c r="AI115" s="1356"/>
      <c r="AJ115" s="1540" t="str">
        <f>IF(AJ112&gt;AJ113,"1","0")</f>
        <v>1</v>
      </c>
      <c r="AK115" s="1356"/>
      <c r="AL115" s="1540" t="str">
        <f>IF(AL112&gt;AL113,"1","0")</f>
        <v>1</v>
      </c>
      <c r="AM115" s="1356"/>
      <c r="AN115" s="1540" t="str">
        <f>IF(AN112&gt;AN113,"1","0")</f>
        <v>1</v>
      </c>
      <c r="AO115" s="1356"/>
      <c r="AP115" s="1540" t="str">
        <f>IF(AP112&gt;AP113,"1","0")</f>
        <v>0</v>
      </c>
      <c r="AQ115" s="1356"/>
      <c r="AR115" s="1540" t="str">
        <f>IF(AR112&gt;AR113,"1","0")</f>
        <v>1</v>
      </c>
      <c r="AS115" s="1356"/>
      <c r="AT115" s="1540" t="str">
        <f>IF(AT112&gt;AT113,"1","0")</f>
        <v>1</v>
      </c>
      <c r="AU115" s="1356"/>
      <c r="AV115" s="1540" t="str">
        <f>IF(AV112&gt;AV113,"1","0")</f>
        <v>0</v>
      </c>
      <c r="AW115" s="1356"/>
      <c r="AX115" s="1540" t="str">
        <f>IF(AX112&gt;AX113,"1","0")</f>
        <v>1</v>
      </c>
      <c r="AY115" s="1356"/>
      <c r="AZ115" s="1540" t="str">
        <f>IF(AZ112&gt;AZ113,"1","0")</f>
        <v>1</v>
      </c>
      <c r="BA115" s="1356"/>
      <c r="BB115" s="1540" t="str">
        <f>IF(BB112&gt;BB113,"1","0")</f>
        <v>0</v>
      </c>
      <c r="BC115" s="1356"/>
      <c r="BD115" s="1540" t="str">
        <f>IF(BD112&gt;BD113,"1","0")</f>
        <v>1</v>
      </c>
      <c r="BE115" s="1356"/>
      <c r="BF115" s="1540" t="str">
        <f>IF(BF112&gt;BF113,"1","0")</f>
        <v>1</v>
      </c>
      <c r="BG115" s="1356"/>
      <c r="BH115" s="1540" t="str">
        <f>IF(BH112&gt;BH113,"1","0")</f>
        <v>1</v>
      </c>
      <c r="BI115" s="1356"/>
      <c r="BJ115" s="1540" t="str">
        <f>IF(BJ112&gt;BJ113,"1","0")</f>
        <v>0</v>
      </c>
      <c r="BK115" s="1356"/>
      <c r="BL115" s="1540" t="str">
        <f>IF(BL112&gt;BL113,"1","0")</f>
        <v>1</v>
      </c>
      <c r="BM115" s="1356"/>
      <c r="BN115" s="1540" t="str">
        <f>IF(BN112&gt;BN113,"1","0")</f>
        <v>0</v>
      </c>
      <c r="BO115" s="1356"/>
      <c r="BP115" s="1540" t="str">
        <f>IF(BP112&gt;BP113,"1","0")</f>
        <v>1</v>
      </c>
      <c r="BQ115" s="1356"/>
      <c r="BR115" s="1540" t="str">
        <f>IF(BR112&gt;BR113,"1","0")</f>
        <v>0</v>
      </c>
      <c r="BS115" s="1356"/>
      <c r="BT115" s="1540" t="str">
        <f>IF(BT112&gt;BT113,"1","0")</f>
        <v>1</v>
      </c>
      <c r="BU115" s="1356"/>
      <c r="BV115" s="1540" t="str">
        <f>IF(BV112&gt;BV113,"1","0")</f>
        <v>1</v>
      </c>
      <c r="BW115" s="1356"/>
      <c r="BX115" s="1540" t="str">
        <f>IF(BX112&gt;BX113,"1","0")</f>
        <v>1</v>
      </c>
      <c r="BY115" s="1356"/>
      <c r="BZ115" s="1540" t="str">
        <f>IF(BZ112&gt;BZ113,"1","0")</f>
        <v>1</v>
      </c>
      <c r="CA115" s="1356"/>
      <c r="CB115" s="1540" t="str">
        <f>IF(CB112&gt;CB113,"1","0")</f>
        <v>0</v>
      </c>
      <c r="CC115" s="1356"/>
      <c r="CD115" s="1540" t="str">
        <f>IF(CD112&gt;CD113,"1","0")</f>
        <v>0</v>
      </c>
      <c r="CE115" s="1356"/>
      <c r="CF115" s="1540" t="s">
        <v>1631</v>
      </c>
      <c r="CG115" s="1356"/>
      <c r="CH115" s="1540" t="s">
        <v>1631</v>
      </c>
      <c r="CI115" s="1356"/>
      <c r="CJ115" s="1540" t="s">
        <v>2153</v>
      </c>
      <c r="CK115" s="1356"/>
      <c r="CL115" s="1540" t="s">
        <v>1631</v>
      </c>
      <c r="CM115" s="1356"/>
      <c r="CN115" s="1540" t="str">
        <f>IF(CN112&gt;CN113,"1","0")</f>
        <v>1</v>
      </c>
      <c r="CO115" s="1356"/>
      <c r="CP115" s="1540" t="str">
        <f>IF(CP112&gt;CP113,"1","0")</f>
        <v>1</v>
      </c>
      <c r="CQ115" s="1356"/>
      <c r="CR115" s="1540" t="s">
        <v>2153</v>
      </c>
      <c r="CS115" s="1356"/>
      <c r="CT115" s="1540" t="str">
        <f>IF(CT112&gt;CT113,"1","0")</f>
        <v>1</v>
      </c>
      <c r="CU115" s="1356"/>
      <c r="CV115" s="1540" t="str">
        <f>IF(CV112&gt;CV113,"1","0")</f>
        <v>1</v>
      </c>
      <c r="CW115" s="1356"/>
      <c r="CX115" s="1540" t="str">
        <f>IF(CX112&gt;CX113,"1","0")</f>
        <v>0</v>
      </c>
      <c r="CY115" s="1356"/>
      <c r="CZ115" s="1540" t="s">
        <v>2153</v>
      </c>
      <c r="DA115" s="1356"/>
      <c r="DB115" s="1540" t="s">
        <v>1631</v>
      </c>
      <c r="DC115" s="1356"/>
      <c r="DD115" s="1540" t="s">
        <v>2153</v>
      </c>
      <c r="DE115" s="1356"/>
      <c r="DF115" s="1540" t="s">
        <v>2153</v>
      </c>
      <c r="DG115" s="1356"/>
      <c r="DH115" s="1540" t="s">
        <v>2153</v>
      </c>
      <c r="DI115" s="1356"/>
      <c r="DJ115" s="1540" t="s">
        <v>2153</v>
      </c>
      <c r="DK115" s="1356"/>
      <c r="DL115" s="1540" t="s">
        <v>1631</v>
      </c>
      <c r="DM115" s="1356"/>
      <c r="DN115" s="1540" t="str">
        <f>IF(DN112&gt;DN113,"1","0")</f>
        <v>1</v>
      </c>
      <c r="DO115" s="1356"/>
      <c r="DP115" s="1540" t="str">
        <f>IF(DP112&gt;DP113,"1","0")</f>
        <v>0</v>
      </c>
      <c r="DQ115" s="1356"/>
      <c r="DR115" s="1540" t="str">
        <f>IF(DR112&gt;DR113,"1","0")</f>
        <v>0</v>
      </c>
      <c r="DS115" s="1356"/>
      <c r="DT115" s="1540" t="str">
        <f>IF(DT112&gt;DT113,"1","0")</f>
        <v>0</v>
      </c>
      <c r="DU115" s="1356"/>
      <c r="DV115" s="1540" t="str">
        <f>IF(DV112&gt;DV113,"1","0")</f>
        <v>1</v>
      </c>
      <c r="DW115" s="1356"/>
      <c r="DX115" s="1540" t="str">
        <f>IF(DX112&gt;DX113,"1","0")</f>
        <v>0</v>
      </c>
      <c r="DY115" s="1356"/>
      <c r="DZ115" s="1540" t="str">
        <f>IF(DZ112&gt;DZ113,"1","0")</f>
        <v>1</v>
      </c>
      <c r="EA115" s="1356"/>
      <c r="EB115" s="1540" t="str">
        <f>IF(EB112&gt;EB113,"1","0")</f>
        <v>1</v>
      </c>
      <c r="EC115" s="1356"/>
      <c r="ED115" s="1540" t="str">
        <f>IF(ED112&gt;ED113,"1","0")</f>
        <v>1</v>
      </c>
      <c r="EE115" s="1356"/>
      <c r="EF115" s="1540" t="str">
        <f>IF(EF112&gt;EF113,"1","0")</f>
        <v>1</v>
      </c>
      <c r="EG115" s="1356"/>
      <c r="EH115" s="1540" t="str">
        <f>IF(EH112&gt;EH113,"1","0")</f>
        <v>0</v>
      </c>
      <c r="EI115" s="1356"/>
      <c r="EJ115" s="1540" t="str">
        <f>IF(EJ112&gt;EJ113,"1","0")</f>
        <v>0</v>
      </c>
      <c r="EK115" s="1356"/>
      <c r="EL115" s="1540" t="str">
        <f>IF(EL112&gt;EL113,"1","0")</f>
        <v>1</v>
      </c>
      <c r="EM115" s="1356"/>
      <c r="EN115" s="1540" t="str">
        <f>IF(EN112&gt;EN113,"1","0")</f>
        <v>1</v>
      </c>
      <c r="EO115" s="1356"/>
      <c r="EP115" s="1707" t="str">
        <f>IF(EP112&gt;EP113,"1","0")</f>
        <v>1</v>
      </c>
      <c r="EQ115" s="1356"/>
      <c r="ER115" s="1540" t="str">
        <f>IF(ER112&gt;ER113,"1","0")</f>
        <v>0</v>
      </c>
      <c r="ES115" s="1356"/>
      <c r="ET115" s="1540" t="str">
        <f>IF(ET112&gt;ET113,"1","0")</f>
        <v>1</v>
      </c>
      <c r="EU115" s="1356"/>
      <c r="EV115" s="1540" t="str">
        <f>IF(EV112&gt;EV113,"1","0")</f>
        <v>0</v>
      </c>
      <c r="EW115" s="1356"/>
      <c r="EX115" s="1540" t="str">
        <f>IF(EX112&gt;EX113,"1","0")</f>
        <v>1</v>
      </c>
      <c r="EY115" s="1356"/>
      <c r="EZ115" s="1540" t="str">
        <f>IF(EZ112&gt;EZ113,"1","0")</f>
        <v>0</v>
      </c>
      <c r="FA115" s="1356"/>
      <c r="FB115" s="1540" t="str">
        <f>IF(FB112&gt;FB113,"1","0")</f>
        <v>0</v>
      </c>
      <c r="FC115" s="1356"/>
      <c r="FD115" s="1540" t="str">
        <f>IF(FD112&gt;FD113,"1","0")</f>
        <v>1</v>
      </c>
      <c r="FE115" s="1356"/>
      <c r="FF115" s="1540" t="str">
        <f>IF(FF112&gt;FF113,"1","0")</f>
        <v>0</v>
      </c>
      <c r="FG115" s="1356"/>
      <c r="FH115" s="1540" t="str">
        <f>IF(FH112&gt;FH113,"1","0")</f>
        <v>0</v>
      </c>
      <c r="FI115" s="1356"/>
      <c r="FJ115" s="1540" t="str">
        <f>IF(FJ112&gt;FJ113,"1","0")</f>
        <v>0</v>
      </c>
      <c r="FK115" s="1356"/>
      <c r="FL115" s="1540" t="str">
        <f>IF(FL112&gt;FL113,"1","0")</f>
        <v>0</v>
      </c>
      <c r="FM115" s="1356"/>
      <c r="FN115" s="1540" t="str">
        <f>IF(FN112&gt;FN113,"1","0")</f>
        <v>0</v>
      </c>
      <c r="FO115" s="1356"/>
      <c r="FP115" s="1540" t="str">
        <f>IF(FP112&gt;FP113,"1","0")</f>
        <v>1</v>
      </c>
      <c r="FQ115" s="1356"/>
      <c r="FR115" s="1540" t="str">
        <f>IF(FR112&gt;FR113,"1","0")</f>
        <v>0</v>
      </c>
      <c r="FS115" s="1356"/>
      <c r="FT115" s="1540" t="str">
        <f>IF(FT112&gt;FT113,"1","0")</f>
        <v>0</v>
      </c>
      <c r="FU115" s="1356"/>
      <c r="FV115" s="1540" t="str">
        <f>IF(FV112&gt;FV113,"1","0")</f>
        <v>1</v>
      </c>
      <c r="FW115" s="1356"/>
      <c r="FX115" s="1540" t="str">
        <f>IF(FX112&gt;FX113,"1","0")</f>
        <v>1</v>
      </c>
      <c r="FY115" s="1356"/>
      <c r="FZ115" s="1540" t="str">
        <f>IF(FZ112&gt;FZ113,"1","0")</f>
        <v>1</v>
      </c>
      <c r="GA115" s="1356"/>
      <c r="GB115" s="1540" t="str">
        <f>IF(GB112&gt;GB113,"1","0")</f>
        <v>0</v>
      </c>
      <c r="GC115" s="1356"/>
      <c r="GD115" s="1540" t="str">
        <f>IF(GD112&gt;GD113,"1","0")</f>
        <v>1</v>
      </c>
      <c r="GE115" s="1356"/>
      <c r="GF115" s="1540" t="str">
        <f>IF(GF112&gt;GF113,"1","0")</f>
        <v>0</v>
      </c>
      <c r="GG115" s="1356"/>
      <c r="GH115" s="1540" t="str">
        <f>IF(GH112&gt;GH113,"1","0")</f>
        <v>1</v>
      </c>
      <c r="GI115" s="1356"/>
      <c r="GJ115" s="1540" t="str">
        <f>IF(GJ112&gt;GJ113,"1","0")</f>
        <v>0</v>
      </c>
      <c r="GK115" s="1356"/>
      <c r="GL115" s="1540" t="str">
        <f>IF(GL112&gt;GL113,"1","0")</f>
        <v>1</v>
      </c>
      <c r="GM115" s="1356"/>
      <c r="GN115" s="1540" t="str">
        <f>IF(GN112&gt;GN113,"1","0")</f>
        <v>0</v>
      </c>
      <c r="GO115" s="1356"/>
      <c r="GP115" s="1540" t="str">
        <f>IF(GP112&gt;GP113,"1","0")</f>
        <v>0</v>
      </c>
      <c r="GQ115" s="1356"/>
      <c r="GR115" s="1540" t="str">
        <f>IF(GR112&gt;GR113,"1","0")</f>
        <v>1</v>
      </c>
      <c r="GS115" s="1356"/>
      <c r="GT115" s="1540" t="str">
        <f>IF(GT112&gt;GT113,"1","0")</f>
        <v>0</v>
      </c>
      <c r="GU115" s="1356"/>
      <c r="GV115" s="1540" t="str">
        <f>IF(GV112&gt;GV113,"1","0")</f>
        <v>1</v>
      </c>
      <c r="GW115" s="1356"/>
      <c r="GX115" s="1540" t="str">
        <f>IF(GX112&gt;GX113,"1","0")</f>
        <v>0</v>
      </c>
      <c r="GY115" s="1356"/>
      <c r="GZ115" s="1540" t="str">
        <f>IF(GZ112&gt;GZ113,"1","0")</f>
        <v>0</v>
      </c>
      <c r="HA115" s="1356"/>
      <c r="HB115" s="1540" t="str">
        <f>IF(HB112&gt;HB113,"1","0")</f>
        <v>1</v>
      </c>
      <c r="HC115" s="1356"/>
      <c r="HD115" s="1540" t="str">
        <f>IF(HD112&gt;HD113,"1","0")</f>
        <v>0</v>
      </c>
      <c r="HE115" s="1356"/>
      <c r="HF115" s="1540" t="str">
        <f>IF(HF112&gt;HF113,"1","0")</f>
        <v>0</v>
      </c>
      <c r="HH115" s="1540" t="str">
        <f>IF(HH112&gt;HH113,"1","0")</f>
        <v>0</v>
      </c>
      <c r="HI115" s="1356"/>
      <c r="HJ115" s="1540" t="str">
        <f>IF(HJ112&gt;HJ113,"1","0")</f>
        <v>1</v>
      </c>
      <c r="HK115" s="1356"/>
      <c r="HL115" s="1540" t="str">
        <f>IF(HL112&gt;HL113,"1","0")</f>
        <v>1</v>
      </c>
      <c r="HM115" s="1356"/>
      <c r="HN115" s="1540" t="str">
        <f>IF(HN112&gt;HN113,"1","0")</f>
        <v>1</v>
      </c>
      <c r="HO115" s="1356"/>
      <c r="HP115" s="1540" t="str">
        <f>IF(HP112&gt;HP113,"1","0")</f>
        <v>1</v>
      </c>
      <c r="HR115" s="1540" t="str">
        <f>IF(HR112&gt;HR113,"1","0")</f>
        <v>1</v>
      </c>
      <c r="HS115" s="1356"/>
      <c r="HT115" s="1540" t="str">
        <f>IF(HT112&gt;HT113,"1","0")</f>
        <v>1</v>
      </c>
      <c r="HV115" s="1540" t="str">
        <f>IF(HV112&gt;HV113,"1","0")</f>
        <v>0</v>
      </c>
      <c r="HX115" s="1540" t="str">
        <f>IF(HX112&gt;HX113,"1","0")</f>
        <v>1</v>
      </c>
      <c r="HZ115" s="1540" t="str">
        <f>IF(HZ112&gt;HZ113,"1","0")</f>
        <v>0</v>
      </c>
      <c r="IB115" s="1540" t="str">
        <f>IF(IB112&gt;IB113,"1","0")</f>
        <v>0</v>
      </c>
      <c r="IC115" s="1356"/>
      <c r="ID115" s="1540" t="str">
        <f>IF(ID112&gt;ID113,"1","0")</f>
        <v>0</v>
      </c>
      <c r="IF115" s="1540" t="str">
        <f>IF(IF112&gt;IF113,"1","0")</f>
        <v>0</v>
      </c>
    </row>
    <row r="116" spans="1:241">
      <c r="A116" s="1149"/>
      <c r="B116" s="1149"/>
      <c r="C116" s="1149"/>
      <c r="D116" s="1149"/>
      <c r="E116" s="1143"/>
      <c r="F116" s="1699"/>
      <c r="G116" s="1356"/>
      <c r="H116" s="1699"/>
      <c r="I116" s="1356"/>
      <c r="J116" s="1699"/>
      <c r="K116" s="1356"/>
      <c r="L116" s="1699"/>
      <c r="M116" s="1356"/>
      <c r="N116" s="1699"/>
      <c r="O116" s="1356"/>
      <c r="P116" s="1699"/>
      <c r="Q116" s="1356"/>
      <c r="R116" s="1699"/>
      <c r="T116" s="1699"/>
      <c r="U116" s="1356"/>
      <c r="V116" s="1699"/>
      <c r="W116" s="1356"/>
      <c r="X116" s="1699"/>
      <c r="Y116" s="1356"/>
      <c r="Z116" s="1699"/>
      <c r="AA116" s="1356"/>
      <c r="AB116" s="1699"/>
      <c r="AC116" s="1356"/>
      <c r="AD116" s="1699"/>
      <c r="AE116" s="1356"/>
      <c r="AF116" s="1699"/>
      <c r="AG116" s="1356"/>
      <c r="AH116" s="1699"/>
      <c r="AI116" s="1356"/>
      <c r="AJ116" s="1699"/>
      <c r="AK116" s="1356"/>
      <c r="AL116" s="1699"/>
      <c r="AM116" s="1356"/>
      <c r="AN116" s="1699"/>
      <c r="AO116" s="1356"/>
      <c r="AP116" s="1699"/>
      <c r="AQ116" s="1356"/>
      <c r="AR116" s="1699"/>
      <c r="AS116" s="1356"/>
      <c r="AT116" s="1699"/>
      <c r="AU116" s="1356"/>
      <c r="AV116" s="1699"/>
      <c r="AW116" s="1356"/>
      <c r="AX116" s="1699"/>
      <c r="AY116" s="1356"/>
      <c r="AZ116" s="1699"/>
      <c r="BA116" s="1356"/>
      <c r="BB116" s="1699"/>
      <c r="BC116" s="1356"/>
      <c r="BD116" s="1699"/>
      <c r="BE116" s="1356"/>
      <c r="BF116" s="1699"/>
      <c r="BG116" s="1356"/>
      <c r="BH116" s="1699"/>
      <c r="BI116" s="1356"/>
      <c r="BJ116" s="1699"/>
      <c r="BK116" s="1356"/>
      <c r="BL116" s="1699"/>
      <c r="BM116" s="1356"/>
      <c r="BN116" s="1699"/>
      <c r="BO116" s="1356"/>
      <c r="BP116" s="1699"/>
      <c r="BQ116" s="1356"/>
      <c r="BR116" s="1699"/>
      <c r="BS116" s="1356"/>
      <c r="BT116" s="1699"/>
      <c r="BU116" s="1356"/>
      <c r="BV116" s="1699"/>
      <c r="BW116" s="1356"/>
      <c r="BX116" s="1699"/>
      <c r="BY116" s="1356"/>
      <c r="BZ116" s="1699"/>
      <c r="CA116" s="1356"/>
      <c r="CB116" s="1699"/>
      <c r="CC116" s="1356"/>
      <c r="CD116" s="1699"/>
      <c r="CE116" s="1356"/>
      <c r="CF116" s="1699"/>
      <c r="CG116" s="1356"/>
      <c r="CH116" s="1699"/>
      <c r="CI116" s="1356"/>
      <c r="CJ116" s="1699"/>
      <c r="CK116" s="1356"/>
      <c r="CL116" s="1699"/>
      <c r="CM116" s="1356"/>
      <c r="CN116" s="1699"/>
      <c r="CO116" s="1356"/>
      <c r="CP116" s="1699"/>
      <c r="CQ116" s="1356"/>
      <c r="CR116" s="1699"/>
      <c r="CS116" s="1356"/>
      <c r="CT116" s="1699"/>
      <c r="CU116" s="1356"/>
      <c r="CV116" s="1699"/>
      <c r="CW116" s="1356"/>
      <c r="CX116" s="1699"/>
      <c r="CY116" s="1356"/>
      <c r="CZ116" s="1699"/>
      <c r="DA116" s="1356"/>
      <c r="DB116" s="1699"/>
      <c r="DC116" s="1356"/>
      <c r="DD116" s="1699"/>
      <c r="DE116" s="1356"/>
      <c r="DF116" s="1699"/>
      <c r="DG116" s="1356"/>
      <c r="DH116" s="1699"/>
      <c r="DI116" s="1356"/>
      <c r="DJ116" s="1699"/>
      <c r="DK116" s="1356"/>
      <c r="DL116" s="1699"/>
      <c r="DM116" s="1356"/>
      <c r="DN116" s="1699"/>
      <c r="DO116" s="1356"/>
      <c r="DP116" s="1699"/>
      <c r="DQ116" s="1356"/>
      <c r="DR116" s="1699"/>
      <c r="DS116" s="1356"/>
      <c r="DT116" s="1699"/>
      <c r="DU116" s="1356"/>
      <c r="DV116" s="1699"/>
      <c r="DW116" s="1356"/>
      <c r="DX116" s="1699"/>
      <c r="DY116" s="1356"/>
      <c r="DZ116" s="1699"/>
      <c r="EA116" s="1356"/>
      <c r="EB116" s="1699"/>
      <c r="EC116" s="1356"/>
      <c r="ED116" s="1699"/>
      <c r="EE116" s="1356"/>
      <c r="EF116" s="1699"/>
      <c r="EG116" s="1356"/>
      <c r="EH116" s="1699"/>
      <c r="EI116" s="1356"/>
      <c r="EJ116" s="1699"/>
      <c r="EK116" s="1356"/>
      <c r="EL116" s="1699"/>
      <c r="EM116" s="1356"/>
      <c r="EN116" s="1699"/>
      <c r="EO116" s="1356"/>
      <c r="EP116" s="1699"/>
      <c r="EQ116" s="1356"/>
      <c r="ER116" s="1699"/>
      <c r="ES116" s="1356"/>
      <c r="ET116" s="1699"/>
      <c r="EU116" s="1356"/>
      <c r="EV116" s="1699"/>
      <c r="EW116" s="1356"/>
      <c r="EX116" s="1699"/>
      <c r="EY116" s="1356"/>
      <c r="EZ116" s="1699"/>
      <c r="FA116" s="1356"/>
      <c r="FB116" s="1699"/>
      <c r="FC116" s="1356"/>
      <c r="FD116" s="1699"/>
      <c r="FE116" s="1356"/>
      <c r="FF116" s="1699"/>
      <c r="FG116" s="1356"/>
      <c r="FH116" s="1699"/>
      <c r="FI116" s="1356"/>
      <c r="FJ116" s="1699"/>
      <c r="FK116" s="1356"/>
      <c r="FL116" s="1699"/>
      <c r="FM116" s="1356"/>
      <c r="FN116" s="1699"/>
      <c r="FO116" s="1356"/>
      <c r="FP116" s="1699"/>
      <c r="FQ116" s="1356"/>
      <c r="FR116" s="1699"/>
      <c r="FS116" s="1356"/>
      <c r="FT116" s="1699"/>
      <c r="FU116" s="1356"/>
      <c r="FV116" s="1699"/>
      <c r="FW116" s="1356"/>
      <c r="FX116" s="1699"/>
      <c r="FY116" s="1356"/>
      <c r="FZ116" s="1699"/>
      <c r="GA116" s="1356"/>
      <c r="GB116" s="1699"/>
      <c r="GC116" s="1356"/>
      <c r="GD116" s="1699"/>
      <c r="GE116" s="1356"/>
      <c r="GF116" s="1699"/>
      <c r="GG116" s="1356"/>
      <c r="GH116" s="1699"/>
      <c r="GI116" s="1356"/>
      <c r="GJ116" s="1699"/>
      <c r="GK116" s="1356"/>
      <c r="GL116" s="1699"/>
      <c r="GM116" s="1356"/>
      <c r="GN116" s="1699"/>
      <c r="GO116" s="1356"/>
      <c r="GP116" s="1699"/>
      <c r="GQ116" s="1356"/>
      <c r="GR116" s="1699"/>
      <c r="GS116" s="1356"/>
      <c r="GT116" s="1699"/>
      <c r="GU116" s="1356"/>
      <c r="GV116" s="1699"/>
      <c r="GW116" s="1356"/>
      <c r="GX116" s="1699"/>
      <c r="GY116" s="1356"/>
      <c r="GZ116" s="1699"/>
      <c r="HA116" s="1356"/>
      <c r="HB116" s="1699"/>
      <c r="HC116" s="1356"/>
      <c r="HD116" s="1699"/>
      <c r="HE116" s="1356"/>
      <c r="HF116" s="2015"/>
      <c r="HH116" s="1699"/>
      <c r="HI116" s="1356"/>
      <c r="HJ116" s="1699"/>
      <c r="HK116" s="1356"/>
      <c r="HL116" s="1699"/>
      <c r="HM116" s="1356"/>
      <c r="HN116" s="1699"/>
      <c r="HO116" s="1356"/>
      <c r="HP116" s="2015"/>
      <c r="HR116" s="1699"/>
      <c r="HS116" s="1356"/>
      <c r="HT116" s="2015"/>
      <c r="HV116" s="2015"/>
      <c r="HX116" s="2015"/>
      <c r="HZ116" s="2015"/>
      <c r="IB116" s="1699"/>
      <c r="IC116" s="1356"/>
      <c r="ID116" s="2015"/>
      <c r="IF116" s="2015"/>
    </row>
    <row r="117" spans="1:241">
      <c r="A117" s="1149"/>
      <c r="B117" s="1149" t="s">
        <v>1231</v>
      </c>
      <c r="C117" s="1149"/>
      <c r="D117" s="1149"/>
      <c r="E117" s="1143"/>
      <c r="F117" s="1537">
        <v>4100505</v>
      </c>
      <c r="G117" s="1356"/>
      <c r="H117" s="1537">
        <v>4865711</v>
      </c>
      <c r="I117" s="1356"/>
      <c r="J117" s="1537">
        <v>10034367</v>
      </c>
      <c r="K117" s="1356"/>
      <c r="L117" s="1537">
        <v>88659850</v>
      </c>
      <c r="M117" s="1356"/>
      <c r="N117" s="1537">
        <v>6545751</v>
      </c>
      <c r="O117" s="1356"/>
      <c r="P117" s="1537">
        <v>10212727</v>
      </c>
      <c r="Q117" s="1356"/>
      <c r="R117" s="1537">
        <v>39311422</v>
      </c>
      <c r="T117" s="1537">
        <v>4986330</v>
      </c>
      <c r="U117" s="1356"/>
      <c r="V117" s="1537">
        <v>3236467</v>
      </c>
      <c r="W117" s="1356"/>
      <c r="X117" s="1537">
        <v>3816703</v>
      </c>
      <c r="Y117" s="1356"/>
      <c r="Z117" s="1537">
        <v>3459013</v>
      </c>
      <c r="AA117" s="1356"/>
      <c r="AB117" s="1537">
        <v>8722718</v>
      </c>
      <c r="AC117" s="1356"/>
      <c r="AD117" s="1537">
        <v>10888642</v>
      </c>
      <c r="AE117" s="1356"/>
      <c r="AF117" s="1537">
        <v>6859558</v>
      </c>
      <c r="AG117" s="1356"/>
      <c r="AH117" s="1537">
        <v>1514528</v>
      </c>
      <c r="AI117" s="1356"/>
      <c r="AJ117" s="1537">
        <v>24239894</v>
      </c>
      <c r="AK117" s="1356"/>
      <c r="AL117" s="1537">
        <v>7329394</v>
      </c>
      <c r="AM117" s="1356"/>
      <c r="AN117" s="1537">
        <v>12007720</v>
      </c>
      <c r="AO117" s="1356"/>
      <c r="AP117" s="1537">
        <v>8595325</v>
      </c>
      <c r="AQ117" s="1356"/>
      <c r="AR117" s="1537">
        <v>25963127</v>
      </c>
      <c r="AS117" s="1356"/>
      <c r="AT117" s="1537">
        <v>15604261</v>
      </c>
      <c r="AU117" s="1356"/>
      <c r="AV117" s="1537">
        <v>4009821</v>
      </c>
      <c r="AW117" s="1356"/>
      <c r="AX117" s="1537">
        <v>20433570</v>
      </c>
      <c r="AY117" s="1356"/>
      <c r="AZ117" s="1537">
        <v>3217793</v>
      </c>
      <c r="BA117" s="1356"/>
      <c r="BB117" s="1537">
        <v>6206150</v>
      </c>
      <c r="BC117" s="1356"/>
      <c r="BD117" s="1537">
        <v>6314175</v>
      </c>
      <c r="BE117" s="1356"/>
      <c r="BF117" s="1537">
        <v>4290058</v>
      </c>
      <c r="BG117" s="1356"/>
      <c r="BH117" s="1537">
        <v>7575139</v>
      </c>
      <c r="BI117" s="1356"/>
      <c r="BJ117" s="1537">
        <v>29711526</v>
      </c>
      <c r="BK117" s="1356"/>
      <c r="BL117" s="1537">
        <v>14553925</v>
      </c>
      <c r="BM117" s="1356"/>
      <c r="BN117" s="1537">
        <v>5953367</v>
      </c>
      <c r="BO117" s="1356"/>
      <c r="BP117" s="1537">
        <v>10930491</v>
      </c>
      <c r="BQ117" s="1356"/>
      <c r="BR117" s="1537">
        <v>1875914</v>
      </c>
      <c r="BS117" s="1356"/>
      <c r="BT117" s="1537">
        <v>1708037</v>
      </c>
      <c r="BU117" s="1356"/>
      <c r="BV117" s="1537">
        <v>3731556</v>
      </c>
      <c r="BW117" s="1356"/>
      <c r="BX117" s="1537">
        <v>10978818</v>
      </c>
      <c r="BY117" s="1356"/>
      <c r="BZ117" s="1537">
        <v>19971029</v>
      </c>
      <c r="CA117" s="1356"/>
      <c r="CB117" s="1537">
        <v>7234535</v>
      </c>
      <c r="CC117" s="1356"/>
      <c r="CD117" s="1537">
        <v>14660554</v>
      </c>
      <c r="CE117" s="1356"/>
      <c r="CF117" s="1537">
        <v>10556102</v>
      </c>
      <c r="CG117" s="1356"/>
      <c r="CH117" s="1537">
        <v>3070704</v>
      </c>
      <c r="CI117" s="1356"/>
      <c r="CJ117" s="1537">
        <v>4030109</v>
      </c>
      <c r="CK117" s="1356"/>
      <c r="CL117" s="1537">
        <v>22739287</v>
      </c>
      <c r="CM117" s="1356"/>
      <c r="CN117" s="1537">
        <v>13851809</v>
      </c>
      <c r="CO117" s="1356"/>
      <c r="CP117" s="1537">
        <v>9528053</v>
      </c>
      <c r="CQ117" s="1356"/>
      <c r="CR117" s="1537">
        <v>16023087</v>
      </c>
      <c r="CS117" s="1356"/>
      <c r="CT117" s="1537">
        <v>10468664</v>
      </c>
      <c r="CU117" s="1356"/>
      <c r="CV117" s="1537">
        <v>18972948</v>
      </c>
      <c r="CW117" s="1356"/>
      <c r="CX117" s="1537">
        <v>29249282</v>
      </c>
      <c r="CY117" s="1356"/>
      <c r="CZ117" s="1537">
        <v>1698027</v>
      </c>
      <c r="DA117" s="1356"/>
      <c r="DB117" s="1537">
        <v>13078875</v>
      </c>
      <c r="DC117" s="1356"/>
      <c r="DD117" s="1537">
        <v>6009575</v>
      </c>
      <c r="DE117" s="1356"/>
      <c r="DF117" s="1537">
        <v>22423513</v>
      </c>
      <c r="DG117" s="1356"/>
      <c r="DH117" s="1537">
        <v>2391124</v>
      </c>
      <c r="DI117" s="1356"/>
      <c r="DJ117" s="1537">
        <v>1464115</v>
      </c>
      <c r="DK117" s="1356"/>
      <c r="DL117" s="1537">
        <v>16489251</v>
      </c>
      <c r="DM117" s="1356"/>
      <c r="DN117" s="1537">
        <v>842158</v>
      </c>
      <c r="DO117" s="1356"/>
      <c r="DP117" s="1537">
        <v>6536334</v>
      </c>
      <c r="DQ117" s="1356"/>
      <c r="DR117" s="1537">
        <v>7713355</v>
      </c>
      <c r="DS117" s="1356"/>
      <c r="DT117" s="1537">
        <v>48018268</v>
      </c>
      <c r="DU117" s="1356"/>
      <c r="DV117" s="1537">
        <v>4808010</v>
      </c>
      <c r="DW117" s="1356"/>
      <c r="DX117" s="1537">
        <v>10262210</v>
      </c>
      <c r="DY117" s="1356"/>
      <c r="DZ117" s="1537">
        <v>43939010</v>
      </c>
      <c r="EA117" s="1356"/>
      <c r="EB117" s="1537">
        <v>23740845</v>
      </c>
      <c r="EC117" s="1356"/>
      <c r="ED117" s="1537">
        <v>6625405</v>
      </c>
      <c r="EE117" s="1356"/>
      <c r="EF117" s="1537">
        <v>12125502</v>
      </c>
      <c r="EG117" s="1356"/>
      <c r="EH117" s="1537">
        <v>50083415</v>
      </c>
      <c r="EI117" s="1356"/>
      <c r="EJ117" s="1537">
        <v>13320975</v>
      </c>
      <c r="EK117" s="1356"/>
      <c r="EL117" s="1537">
        <v>35435244</v>
      </c>
      <c r="EM117" s="1356"/>
      <c r="EN117" s="1537">
        <v>19130427</v>
      </c>
      <c r="EO117" s="1356"/>
      <c r="EP117" s="1537">
        <v>13252666</v>
      </c>
      <c r="EQ117" s="1356"/>
      <c r="ER117" s="1537">
        <v>7328931</v>
      </c>
      <c r="ES117" s="1356"/>
      <c r="ET117" s="1537">
        <v>14441610</v>
      </c>
      <c r="EU117" s="1356"/>
      <c r="EV117" s="1537">
        <v>12750158</v>
      </c>
      <c r="EW117" s="1356"/>
      <c r="EX117" s="1537">
        <v>6955271</v>
      </c>
      <c r="EY117" s="1356"/>
      <c r="EZ117" s="1537">
        <v>8640919</v>
      </c>
      <c r="FA117" s="1356"/>
      <c r="FB117" s="1537">
        <v>15096756</v>
      </c>
      <c r="FC117" s="1356"/>
      <c r="FD117" s="1537">
        <v>10890054</v>
      </c>
      <c r="FE117" s="1356"/>
      <c r="FF117" s="1537">
        <v>9689977</v>
      </c>
      <c r="FG117" s="1356"/>
      <c r="FH117" s="1537">
        <f>14756522-85673-269324</f>
        <v>14401525</v>
      </c>
      <c r="FI117" s="1356"/>
      <c r="FJ117" s="1537">
        <v>7133006</v>
      </c>
      <c r="FK117" s="1356"/>
      <c r="FL117" s="1537">
        <v>3235554</v>
      </c>
      <c r="FM117" s="1356"/>
      <c r="FN117" s="1537">
        <f>14384760-100222-101038</f>
        <v>14183500</v>
      </c>
      <c r="FO117" s="1356"/>
      <c r="FP117" s="1537">
        <v>2448065</v>
      </c>
      <c r="FQ117" s="1356"/>
      <c r="FR117" s="1537">
        <f>21434698-434041-448954</f>
        <v>20551703</v>
      </c>
      <c r="FS117" s="1356"/>
      <c r="FT117" s="1537">
        <v>16580382</v>
      </c>
      <c r="FU117" s="1356"/>
      <c r="FV117" s="1537">
        <v>29762333</v>
      </c>
      <c r="FW117" s="1356"/>
      <c r="FX117" s="1537">
        <v>3000397</v>
      </c>
      <c r="FY117" s="1356"/>
      <c r="FZ117" s="1537">
        <v>7180069</v>
      </c>
      <c r="GA117" s="1356"/>
      <c r="GB117" s="1537">
        <v>3256556</v>
      </c>
      <c r="GC117" s="1356"/>
      <c r="GD117" s="1537">
        <v>12764137</v>
      </c>
      <c r="GE117" s="1356"/>
      <c r="GF117" s="1537">
        <v>12075364</v>
      </c>
      <c r="GG117" s="1356"/>
      <c r="GH117" s="1537">
        <v>2625492</v>
      </c>
      <c r="GI117" s="1356"/>
      <c r="GJ117" s="1537">
        <v>34459937</v>
      </c>
      <c r="GK117" s="1356"/>
      <c r="GL117" s="1537">
        <v>3798273</v>
      </c>
      <c r="GM117" s="1356"/>
      <c r="GN117" s="1537">
        <v>4629960</v>
      </c>
      <c r="GO117" s="1356"/>
      <c r="GP117" s="1537">
        <v>2417884</v>
      </c>
      <c r="GQ117" s="1356"/>
      <c r="GR117" s="1537">
        <v>9841303</v>
      </c>
      <c r="GS117" s="1356"/>
      <c r="GT117" s="1537">
        <v>282655</v>
      </c>
      <c r="GU117" s="1356"/>
      <c r="GV117" s="1537">
        <v>8509477</v>
      </c>
      <c r="GW117" s="1356"/>
      <c r="GX117" s="1537">
        <v>2574103</v>
      </c>
      <c r="GY117" s="1356"/>
      <c r="GZ117" s="1537">
        <v>14143535</v>
      </c>
      <c r="HA117" s="1356"/>
      <c r="HB117" s="1537">
        <v>3952789</v>
      </c>
      <c r="HC117" s="1356"/>
      <c r="HD117" s="1537">
        <v>1136666</v>
      </c>
      <c r="HE117" s="1356"/>
      <c r="HF117" s="2012">
        <v>36689472</v>
      </c>
      <c r="HH117" s="1537">
        <v>36405000</v>
      </c>
      <c r="HI117" s="1356"/>
      <c r="HJ117" s="1537">
        <v>1281210</v>
      </c>
      <c r="HK117" s="1356"/>
      <c r="HL117" s="1537">
        <v>3715908</v>
      </c>
      <c r="HM117" s="1356"/>
      <c r="HN117" s="1537">
        <v>5981849</v>
      </c>
      <c r="HO117" s="1356"/>
      <c r="HP117" s="2012">
        <v>10726713</v>
      </c>
      <c r="HR117" s="1537">
        <v>5128775</v>
      </c>
      <c r="HS117" s="1356"/>
      <c r="HT117" s="2012">
        <v>16278843</v>
      </c>
      <c r="HV117" s="2012">
        <v>26931438</v>
      </c>
      <c r="HX117" s="2012">
        <v>8811692</v>
      </c>
      <c r="HZ117" s="2012">
        <v>15780197</v>
      </c>
      <c r="IB117" s="1537">
        <v>13542491</v>
      </c>
      <c r="IC117" s="1356"/>
      <c r="ID117" s="2012">
        <v>5384034</v>
      </c>
      <c r="IF117" s="2012">
        <v>7578354</v>
      </c>
    </row>
    <row r="118" spans="1:241">
      <c r="A118" s="1149"/>
      <c r="B118" s="1149" t="s">
        <v>1232</v>
      </c>
      <c r="C118" s="1149"/>
      <c r="D118" s="1149"/>
      <c r="E118" s="1143"/>
      <c r="F118" s="1537">
        <v>23926860</v>
      </c>
      <c r="G118" s="1356"/>
      <c r="H118" s="1537">
        <v>33013478</v>
      </c>
      <c r="I118" s="1356"/>
      <c r="J118" s="1537">
        <v>14983129</v>
      </c>
      <c r="K118" s="1356"/>
      <c r="L118" s="1537">
        <v>97122341</v>
      </c>
      <c r="M118" s="1356"/>
      <c r="N118" s="1537">
        <v>15522574</v>
      </c>
      <c r="O118" s="1356"/>
      <c r="P118" s="1537">
        <v>103917338</v>
      </c>
      <c r="Q118" s="1356"/>
      <c r="R118" s="1537">
        <v>25075155</v>
      </c>
      <c r="T118" s="1537">
        <v>10008332</v>
      </c>
      <c r="U118" s="1356"/>
      <c r="V118" s="1537">
        <v>18972240</v>
      </c>
      <c r="W118" s="1356"/>
      <c r="X118" s="1537">
        <v>62969545</v>
      </c>
      <c r="Y118" s="1356"/>
      <c r="Z118" s="1537">
        <v>22675734</v>
      </c>
      <c r="AA118" s="1356"/>
      <c r="AB118" s="1537">
        <v>25761770</v>
      </c>
      <c r="AC118" s="1356"/>
      <c r="AD118" s="1537">
        <v>52998574</v>
      </c>
      <c r="AE118" s="1356"/>
      <c r="AF118" s="1537">
        <v>23005703</v>
      </c>
      <c r="AG118" s="1356"/>
      <c r="AH118" s="1537">
        <v>9421975</v>
      </c>
      <c r="AI118" s="1356"/>
      <c r="AJ118" s="1537">
        <v>40998246</v>
      </c>
      <c r="AK118" s="1356"/>
      <c r="AL118" s="1537">
        <v>12949182</v>
      </c>
      <c r="AM118" s="1356"/>
      <c r="AN118" s="1537">
        <v>26983313</v>
      </c>
      <c r="AO118" s="1356"/>
      <c r="AP118" s="1537">
        <v>33461815</v>
      </c>
      <c r="AQ118" s="1356"/>
      <c r="AR118" s="1537">
        <v>49482957</v>
      </c>
      <c r="AS118" s="1356"/>
      <c r="AT118" s="1537">
        <v>11106308</v>
      </c>
      <c r="AU118" s="1356"/>
      <c r="AV118" s="1537">
        <v>27942459</v>
      </c>
      <c r="AW118" s="1356"/>
      <c r="AX118" s="1537">
        <v>16198427</v>
      </c>
      <c r="AY118" s="1356"/>
      <c r="AZ118" s="1537">
        <v>23599620</v>
      </c>
      <c r="BA118" s="1356"/>
      <c r="BB118" s="1537">
        <v>35052681</v>
      </c>
      <c r="BC118" s="1356"/>
      <c r="BD118" s="1537">
        <v>16821120</v>
      </c>
      <c r="BE118" s="1356"/>
      <c r="BF118" s="1537">
        <v>8251828</v>
      </c>
      <c r="BG118" s="1356"/>
      <c r="BH118" s="1537">
        <v>26444406</v>
      </c>
      <c r="BI118" s="1356"/>
      <c r="BJ118" s="1537">
        <v>14478044</v>
      </c>
      <c r="BK118" s="1356"/>
      <c r="BL118" s="1537">
        <v>60529679</v>
      </c>
      <c r="BM118" s="1356"/>
      <c r="BN118" s="1537">
        <v>10168804</v>
      </c>
      <c r="BO118" s="1356"/>
      <c r="BP118" s="1537">
        <v>8864219</v>
      </c>
      <c r="BQ118" s="1356"/>
      <c r="BR118" s="1537">
        <v>17054540</v>
      </c>
      <c r="BS118" s="1356"/>
      <c r="BT118" s="1537">
        <v>9000625</v>
      </c>
      <c r="BU118" s="1356"/>
      <c r="BV118" s="1537">
        <v>10453688</v>
      </c>
      <c r="BW118" s="1356"/>
      <c r="BX118" s="1537">
        <v>15306825</v>
      </c>
      <c r="BY118" s="1356"/>
      <c r="BZ118" s="1537">
        <v>44613777</v>
      </c>
      <c r="CA118" s="1356"/>
      <c r="CB118" s="1537">
        <v>16257125</v>
      </c>
      <c r="CC118" s="1356"/>
      <c r="CD118" s="1537">
        <v>14904909</v>
      </c>
      <c r="CE118" s="1356"/>
      <c r="CF118" s="1537">
        <v>16850753</v>
      </c>
      <c r="CG118" s="1356"/>
      <c r="CH118" s="1537">
        <v>13423208</v>
      </c>
      <c r="CI118" s="1356"/>
      <c r="CJ118" s="1537">
        <v>10070959</v>
      </c>
      <c r="CK118" s="1356"/>
      <c r="CL118" s="1537">
        <v>65704189</v>
      </c>
      <c r="CM118" s="1356"/>
      <c r="CN118" s="1537">
        <v>36227758</v>
      </c>
      <c r="CO118" s="1356"/>
      <c r="CP118" s="1537">
        <v>19308886</v>
      </c>
      <c r="CQ118" s="1356"/>
      <c r="CR118" s="1537">
        <v>36051655</v>
      </c>
      <c r="CS118" s="1356"/>
      <c r="CT118" s="1537">
        <v>25172935</v>
      </c>
      <c r="CU118" s="1356"/>
      <c r="CV118" s="1537">
        <v>42393298</v>
      </c>
      <c r="CW118" s="1356"/>
      <c r="CX118" s="1537">
        <v>42306865</v>
      </c>
      <c r="CY118" s="1356"/>
      <c r="CZ118" s="1537">
        <v>32990524</v>
      </c>
      <c r="DA118" s="1356"/>
      <c r="DB118" s="1537">
        <v>16998780</v>
      </c>
      <c r="DC118" s="1356"/>
      <c r="DD118" s="1537">
        <v>14688734</v>
      </c>
      <c r="DE118" s="1356"/>
      <c r="DF118" s="1537">
        <v>58531647</v>
      </c>
      <c r="DG118" s="1356"/>
      <c r="DH118" s="1537">
        <v>30297881</v>
      </c>
      <c r="DI118" s="1356"/>
      <c r="DJ118" s="1537">
        <v>9942734</v>
      </c>
      <c r="DK118" s="1356"/>
      <c r="DL118" s="1537">
        <v>32436312</v>
      </c>
      <c r="DM118" s="1356"/>
      <c r="DN118" s="1537">
        <v>26655500</v>
      </c>
      <c r="DO118" s="1356"/>
      <c r="DP118" s="1537">
        <v>5775570</v>
      </c>
      <c r="DQ118" s="1356"/>
      <c r="DR118" s="1537">
        <v>23453916</v>
      </c>
      <c r="DS118" s="1356"/>
      <c r="DT118" s="1537">
        <v>54862851</v>
      </c>
      <c r="DU118" s="1356"/>
      <c r="DV118" s="1537">
        <v>21063592</v>
      </c>
      <c r="DW118" s="1356"/>
      <c r="DX118" s="1537">
        <v>29952434</v>
      </c>
      <c r="DY118" s="1356"/>
      <c r="DZ118" s="1537">
        <v>40970473</v>
      </c>
      <c r="EA118" s="1356"/>
      <c r="EB118" s="1537">
        <v>24337028</v>
      </c>
      <c r="EC118" s="1356"/>
      <c r="ED118" s="1537">
        <v>13783800</v>
      </c>
      <c r="EE118" s="1356"/>
      <c r="EF118" s="1537">
        <v>11920518</v>
      </c>
      <c r="EG118" s="1356"/>
      <c r="EH118" s="1537">
        <v>121694036</v>
      </c>
      <c r="EI118" s="1356"/>
      <c r="EJ118" s="1537">
        <v>33485693</v>
      </c>
      <c r="EK118" s="1356"/>
      <c r="EL118" s="1537">
        <v>79160693</v>
      </c>
      <c r="EM118" s="1356"/>
      <c r="EN118" s="1537">
        <v>19075310</v>
      </c>
      <c r="EO118" s="1356"/>
      <c r="EP118" s="1537">
        <v>30030310</v>
      </c>
      <c r="EQ118" s="1356"/>
      <c r="ER118" s="1537">
        <v>7391440</v>
      </c>
      <c r="ES118" s="1356"/>
      <c r="ET118" s="1537">
        <v>33455528</v>
      </c>
      <c r="EU118" s="1356"/>
      <c r="EV118" s="1537">
        <v>19440248</v>
      </c>
      <c r="EW118" s="1356"/>
      <c r="EX118" s="1537">
        <v>19216539</v>
      </c>
      <c r="EY118" s="1356"/>
      <c r="EZ118" s="1537">
        <v>15850719</v>
      </c>
      <c r="FA118" s="1356"/>
      <c r="FB118" s="1537">
        <v>7621792</v>
      </c>
      <c r="FC118" s="1356"/>
      <c r="FD118" s="1537">
        <v>16586486</v>
      </c>
      <c r="FE118" s="1356"/>
      <c r="FF118" s="1537">
        <v>15268716</v>
      </c>
      <c r="FG118" s="1356"/>
      <c r="FH118" s="1537">
        <v>20197462</v>
      </c>
      <c r="FI118" s="1356"/>
      <c r="FJ118" s="1537">
        <v>27281585</v>
      </c>
      <c r="FK118" s="1356"/>
      <c r="FL118" s="1537">
        <v>12521122</v>
      </c>
      <c r="FM118" s="1356"/>
      <c r="FN118" s="1537">
        <v>29406086</v>
      </c>
      <c r="FO118" s="1356"/>
      <c r="FP118" s="1537">
        <v>11349992</v>
      </c>
      <c r="FQ118" s="1356"/>
      <c r="FR118" s="1537">
        <v>52924448</v>
      </c>
      <c r="FS118" s="1356"/>
      <c r="FT118" s="1537">
        <v>41985109</v>
      </c>
      <c r="FU118" s="1356"/>
      <c r="FV118" s="1537">
        <v>43494803</v>
      </c>
      <c r="FW118" s="1356"/>
      <c r="FX118" s="1537">
        <v>10380627</v>
      </c>
      <c r="FY118" s="1356"/>
      <c r="FZ118" s="1537">
        <v>27660911</v>
      </c>
      <c r="GA118" s="1356"/>
      <c r="GB118" s="1537">
        <v>12754947</v>
      </c>
      <c r="GC118" s="1356"/>
      <c r="GD118" s="1537">
        <v>24679940</v>
      </c>
      <c r="GE118" s="1356"/>
      <c r="GF118" s="1537">
        <v>21452840</v>
      </c>
      <c r="GG118" s="1356"/>
      <c r="GH118" s="1537">
        <v>9096401</v>
      </c>
      <c r="GI118" s="1356"/>
      <c r="GJ118" s="1537">
        <v>96704268</v>
      </c>
      <c r="GK118" s="1356"/>
      <c r="GL118" s="1537">
        <v>13756500</v>
      </c>
      <c r="GM118" s="1356"/>
      <c r="GN118" s="1537">
        <v>10782402</v>
      </c>
      <c r="GO118" s="1356"/>
      <c r="GP118" s="1537">
        <v>25576297</v>
      </c>
      <c r="GQ118" s="1356"/>
      <c r="GR118" s="1537">
        <v>22993292</v>
      </c>
      <c r="GS118" s="1356"/>
      <c r="GT118" s="1537">
        <v>3735258</v>
      </c>
      <c r="GU118" s="1356"/>
      <c r="GV118" s="1537">
        <v>13711829</v>
      </c>
      <c r="GW118" s="1356"/>
      <c r="GX118" s="1537">
        <v>10570130</v>
      </c>
      <c r="GY118" s="1356"/>
      <c r="GZ118" s="1537">
        <v>50924612</v>
      </c>
      <c r="HA118" s="1356"/>
      <c r="HB118" s="1537">
        <v>9577707</v>
      </c>
      <c r="HC118" s="1356"/>
      <c r="HD118" s="1537">
        <v>23879845</v>
      </c>
      <c r="HE118" s="1356"/>
      <c r="HF118" s="2012">
        <v>47083956</v>
      </c>
      <c r="HH118" s="1537">
        <v>24826915</v>
      </c>
      <c r="HI118" s="1356"/>
      <c r="HJ118" s="1537">
        <v>25692931</v>
      </c>
      <c r="HK118" s="1356"/>
      <c r="HL118" s="1537">
        <v>4993250</v>
      </c>
      <c r="HM118" s="1356"/>
      <c r="HN118" s="1537">
        <v>22201758</v>
      </c>
      <c r="HO118" s="1356"/>
      <c r="HP118" s="2012">
        <v>74064465</v>
      </c>
      <c r="HR118" s="1537">
        <v>7442723</v>
      </c>
      <c r="HS118" s="1356"/>
      <c r="HT118" s="2012">
        <v>47684292</v>
      </c>
      <c r="HV118" s="2012">
        <v>31785886</v>
      </c>
      <c r="HX118" s="2012">
        <v>28100679</v>
      </c>
      <c r="HZ118" s="2012">
        <v>27924793</v>
      </c>
      <c r="IB118" s="1537">
        <v>8957165</v>
      </c>
      <c r="IC118" s="1356"/>
      <c r="ID118" s="2012">
        <v>22470039</v>
      </c>
      <c r="IF118" s="2012">
        <v>9886056</v>
      </c>
    </row>
    <row r="119" spans="1:241">
      <c r="A119" s="1149"/>
      <c r="B119" s="1149" t="s">
        <v>1233</v>
      </c>
      <c r="C119" s="1149"/>
      <c r="D119" s="1149"/>
      <c r="E119" s="1143"/>
      <c r="F119" s="1714">
        <f>F117/F118</f>
        <v>0.17137664532663291</v>
      </c>
      <c r="G119" s="1356"/>
      <c r="H119" s="1714">
        <f>H117/H118</f>
        <v>0.14738559203001877</v>
      </c>
      <c r="I119" s="1356"/>
      <c r="J119" s="1714">
        <f>J117/J118</f>
        <v>0.66971104633751732</v>
      </c>
      <c r="K119" s="1356"/>
      <c r="L119" s="1714">
        <f>L117/L118</f>
        <v>0.91286772010571693</v>
      </c>
      <c r="M119" s="1356"/>
      <c r="N119" s="1714">
        <f>N117/N118</f>
        <v>0.42169236880429756</v>
      </c>
      <c r="O119" s="1356"/>
      <c r="P119" s="1714">
        <f>P117/P118</f>
        <v>9.8277411609600698E-2</v>
      </c>
      <c r="Q119" s="1356"/>
      <c r="R119" s="1714">
        <f>R117/R118</f>
        <v>1.5677439282030361</v>
      </c>
      <c r="T119" s="1714">
        <f>T117/T118</f>
        <v>0.49821788485833601</v>
      </c>
      <c r="U119" s="1356"/>
      <c r="V119" s="1714">
        <f>V117/V118</f>
        <v>0.17058960881793611</v>
      </c>
      <c r="W119" s="1356"/>
      <c r="X119" s="1714">
        <f>X117/X118</f>
        <v>6.0611887857852556E-2</v>
      </c>
      <c r="Y119" s="1356"/>
      <c r="Z119" s="1714">
        <f>Z117/Z118</f>
        <v>0.1525424932220496</v>
      </c>
      <c r="AA119" s="1356"/>
      <c r="AB119" s="1714">
        <f>AB117/AB118</f>
        <v>0.33859156416659258</v>
      </c>
      <c r="AC119" s="1356"/>
      <c r="AD119" s="1714">
        <f>AD117/AD118</f>
        <v>0.20545160328276002</v>
      </c>
      <c r="AE119" s="1356"/>
      <c r="AF119" s="1714">
        <f>AF117/AF118</f>
        <v>0.2981677195432802</v>
      </c>
      <c r="AG119" s="1356"/>
      <c r="AH119" s="1714">
        <f>AH117/AH118</f>
        <v>0.16074421764014446</v>
      </c>
      <c r="AI119" s="1356"/>
      <c r="AJ119" s="1714">
        <f>AJ117/AJ118</f>
        <v>0.5912422204598704</v>
      </c>
      <c r="AK119" s="1356"/>
      <c r="AL119" s="1714">
        <f>AL117/AL118</f>
        <v>0.56601212339126905</v>
      </c>
      <c r="AM119" s="1356"/>
      <c r="AN119" s="1714">
        <f>AN117/AN118</f>
        <v>0.4450054001893689</v>
      </c>
      <c r="AO119" s="1356"/>
      <c r="AP119" s="1714">
        <f>AP117/AP118</f>
        <v>0.25686965874385476</v>
      </c>
      <c r="AQ119" s="1356"/>
      <c r="AR119" s="1714">
        <f>AR117/AR118</f>
        <v>0.52468826792222623</v>
      </c>
      <c r="AS119" s="1356"/>
      <c r="AT119" s="1714">
        <f>AT117/AT118</f>
        <v>1.4049908394400732</v>
      </c>
      <c r="AU119" s="1356"/>
      <c r="AV119" s="1714">
        <f>AV117/AV118</f>
        <v>0.14350279622849227</v>
      </c>
      <c r="AW119" s="1356"/>
      <c r="AX119" s="1714">
        <f>AX117/AX118</f>
        <v>1.2614539671043368</v>
      </c>
      <c r="AY119" s="1356"/>
      <c r="AZ119" s="1714">
        <f>AZ117/AZ118</f>
        <v>0.13634935647268898</v>
      </c>
      <c r="BA119" s="1356"/>
      <c r="BB119" s="1714">
        <f>BB117/BB118</f>
        <v>0.1770520776998484</v>
      </c>
      <c r="BC119" s="1356"/>
      <c r="BD119" s="1714">
        <f>BD117/BD118</f>
        <v>0.37537185395502798</v>
      </c>
      <c r="BE119" s="1356"/>
      <c r="BF119" s="1714">
        <f>BF117/BF118</f>
        <v>0.51989183487586021</v>
      </c>
      <c r="BG119" s="1356"/>
      <c r="BH119" s="1714">
        <f>BH117/BH118</f>
        <v>0.28645525257780419</v>
      </c>
      <c r="BI119" s="1356"/>
      <c r="BJ119" s="1714">
        <f>BJ117/BJ118</f>
        <v>2.0521781809752753</v>
      </c>
      <c r="BK119" s="1356"/>
      <c r="BL119" s="1714">
        <f>BL117/BL118</f>
        <v>0.24044279170884089</v>
      </c>
      <c r="BM119" s="1356"/>
      <c r="BN119" s="1714">
        <f>BN117/BN118</f>
        <v>0.58545400226024613</v>
      </c>
      <c r="BO119" s="1356"/>
      <c r="BP119" s="1714">
        <f>BP117/BP118</f>
        <v>1.2331025440594372</v>
      </c>
      <c r="BQ119" s="1356"/>
      <c r="BR119" s="1714">
        <f>BR117/BR118</f>
        <v>0.10999499253571191</v>
      </c>
      <c r="BS119" s="1356"/>
      <c r="BT119" s="1714">
        <f>BT117/BT118</f>
        <v>0.18976871050621485</v>
      </c>
      <c r="BU119" s="1356"/>
      <c r="BV119" s="1714">
        <f>BV117/BV118</f>
        <v>0.35696072046535154</v>
      </c>
      <c r="BW119" s="1356"/>
      <c r="BX119" s="1714">
        <f>BX117/BX118</f>
        <v>0.71724985423169074</v>
      </c>
      <c r="BY119" s="1356"/>
      <c r="BZ119" s="1714">
        <f>BZ117/BZ118</f>
        <v>0.44764264186822827</v>
      </c>
      <c r="CA119" s="1356"/>
      <c r="CB119" s="1714">
        <f>CB117/CB118</f>
        <v>0.44500703537679631</v>
      </c>
      <c r="CC119" s="1356"/>
      <c r="CD119" s="1714">
        <f>CD117/CD118</f>
        <v>0.98360573687501207</v>
      </c>
      <c r="CE119" s="1356"/>
      <c r="CF119" s="1714">
        <v>0.62644690121563118</v>
      </c>
      <c r="CG119" s="1356"/>
      <c r="CH119" s="1714">
        <v>0.22876081485141256</v>
      </c>
      <c r="CI119" s="1356"/>
      <c r="CJ119" s="1714">
        <v>0.40017132429990032</v>
      </c>
      <c r="CK119" s="1356"/>
      <c r="CL119" s="1714">
        <v>0.34608580283975499</v>
      </c>
      <c r="CM119" s="1356"/>
      <c r="CN119" s="1714">
        <f>CN117/CN118</f>
        <v>0.38235347050733859</v>
      </c>
      <c r="CO119" s="1356"/>
      <c r="CP119" s="1714">
        <f>CP117/CP118</f>
        <v>0.49345430906785609</v>
      </c>
      <c r="CQ119" s="1356"/>
      <c r="CR119" s="1714">
        <v>0.44444802880755407</v>
      </c>
      <c r="CS119" s="1356"/>
      <c r="CT119" s="1714">
        <f>CT117/CT118</f>
        <v>0.41586982209265627</v>
      </c>
      <c r="CU119" s="1356"/>
      <c r="CV119" s="1714">
        <f>CV117/CV118</f>
        <v>0.44754593049118285</v>
      </c>
      <c r="CW119" s="1356"/>
      <c r="CX119" s="1714">
        <f>CX117/CX118</f>
        <v>0.69136018468870242</v>
      </c>
      <c r="CY119" s="1356"/>
      <c r="CZ119" s="1714">
        <v>5.1470143366016255E-2</v>
      </c>
      <c r="DA119" s="1356"/>
      <c r="DB119" s="1714">
        <v>0.76940080405770295</v>
      </c>
      <c r="DC119" s="1356"/>
      <c r="DD119" s="1714">
        <v>0.40912817946053076</v>
      </c>
      <c r="DE119" s="1356"/>
      <c r="DF119" s="1714">
        <v>0.38310066689221989</v>
      </c>
      <c r="DG119" s="1356"/>
      <c r="DH119" s="1714">
        <v>7.8920502724266428E-2</v>
      </c>
      <c r="DI119" s="1356"/>
      <c r="DJ119" s="1714">
        <v>0.14725476916107783</v>
      </c>
      <c r="DK119" s="1356"/>
      <c r="DL119" s="1714">
        <v>0.50835776274442046</v>
      </c>
      <c r="DM119" s="1356"/>
      <c r="DN119" s="1714">
        <f>DN117/DN118</f>
        <v>3.1594155052428206E-2</v>
      </c>
      <c r="DO119" s="1356"/>
      <c r="DP119" s="1714">
        <f>DP117/DP118</f>
        <v>1.1317210249377982</v>
      </c>
      <c r="DQ119" s="1356"/>
      <c r="DR119" s="1714">
        <f>DR117/DR118</f>
        <v>0.3288727988963549</v>
      </c>
      <c r="DS119" s="1356"/>
      <c r="DT119" s="1714">
        <f>DT117/DT118</f>
        <v>0.87524193739038458</v>
      </c>
      <c r="DU119" s="1356"/>
      <c r="DV119" s="1714">
        <f>DV117/DV118</f>
        <v>0.22826163742632311</v>
      </c>
      <c r="DW119" s="1356"/>
      <c r="DX119" s="1714">
        <f>DX117/DX118</f>
        <v>0.34261689717770516</v>
      </c>
      <c r="DY119" s="1356"/>
      <c r="DZ119" s="1714">
        <f>DZ117/DZ118</f>
        <v>1.0724555218095724</v>
      </c>
      <c r="EA119" s="1356"/>
      <c r="EB119" s="1714">
        <f>EB117/EB118</f>
        <v>0.97550304827688905</v>
      </c>
      <c r="EC119" s="1356"/>
      <c r="ED119" s="1714">
        <f>ED117/ED118</f>
        <v>0.48066607176540577</v>
      </c>
      <c r="EE119" s="1356"/>
      <c r="EF119" s="1714">
        <f>EF117/EF118</f>
        <v>1.0171958970239381</v>
      </c>
      <c r="EG119" s="1356"/>
      <c r="EH119" s="1714">
        <f>EH117/EH118</f>
        <v>0.41155192683394937</v>
      </c>
      <c r="EI119" s="1356"/>
      <c r="EJ119" s="1714">
        <f>EJ117/EJ118</f>
        <v>0.39781093973476972</v>
      </c>
      <c r="EK119" s="1356"/>
      <c r="EL119" s="1714">
        <f>EL117/EL118</f>
        <v>0.44763685936908104</v>
      </c>
      <c r="EM119" s="1356"/>
      <c r="EN119" s="1714">
        <f>EN117/EN118</f>
        <v>1.0028894419015995</v>
      </c>
      <c r="EO119" s="1356"/>
      <c r="EP119" s="1714">
        <f>EP117/EP118</f>
        <v>0.4413096634700075</v>
      </c>
      <c r="EQ119" s="1356"/>
      <c r="ER119" s="1714">
        <f>ER117/ER118</f>
        <v>0.99154305520981023</v>
      </c>
      <c r="ES119" s="1356"/>
      <c r="ET119" s="1714">
        <f>ET117/ET118</f>
        <v>0.43166588194333683</v>
      </c>
      <c r="EU119" s="1356"/>
      <c r="EV119" s="1714">
        <f>EV117/EV118</f>
        <v>0.65586395811411458</v>
      </c>
      <c r="EW119" s="1356"/>
      <c r="EX119" s="1714">
        <f>EX117/EX118</f>
        <v>0.36194191888560162</v>
      </c>
      <c r="EY119" s="1356"/>
      <c r="EZ119" s="1714">
        <f>EZ117/EZ118</f>
        <v>0.54514366193735442</v>
      </c>
      <c r="FA119" s="1356"/>
      <c r="FB119" s="1714">
        <f>FB117/FB118</f>
        <v>1.9807357639778151</v>
      </c>
      <c r="FC119" s="1356"/>
      <c r="FD119" s="1714">
        <f>FD117/FD118</f>
        <v>0.65656185402984091</v>
      </c>
      <c r="FE119" s="1356"/>
      <c r="FF119" s="1714">
        <f>FF117/FF118</f>
        <v>0.63462946065667869</v>
      </c>
      <c r="FG119" s="1356"/>
      <c r="FH119" s="1714">
        <f>FH117/FH118</f>
        <v>0.713036370609337</v>
      </c>
      <c r="FI119" s="1356"/>
      <c r="FJ119" s="1714">
        <f>FJ117/FJ118</f>
        <v>0.26145863592602847</v>
      </c>
      <c r="FK119" s="1356"/>
      <c r="FL119" s="1714">
        <f>FL117/FL118</f>
        <v>0.25840767305038637</v>
      </c>
      <c r="FM119" s="1356"/>
      <c r="FN119" s="1714">
        <f>FN117/FN118</f>
        <v>0.48233212675770587</v>
      </c>
      <c r="FO119" s="1356"/>
      <c r="FP119" s="1714">
        <f>FP117/FP118</f>
        <v>0.21568869828278292</v>
      </c>
      <c r="FQ119" s="1356"/>
      <c r="FR119" s="1714">
        <f>FR117/FR118</f>
        <v>0.38832153714668882</v>
      </c>
      <c r="FS119" s="1356"/>
      <c r="FT119" s="1714">
        <f>FT117/FT118</f>
        <v>0.39491101476001883</v>
      </c>
      <c r="FU119" s="1356"/>
      <c r="FV119" s="1714">
        <f>FV117/FV118</f>
        <v>0.68427331421641335</v>
      </c>
      <c r="FW119" s="1356"/>
      <c r="FX119" s="1714">
        <f>FX117/FX118</f>
        <v>0.28903812842904381</v>
      </c>
      <c r="FY119" s="1356"/>
      <c r="FZ119" s="1714">
        <f>FZ117/FZ118</f>
        <v>0.2595745671572422</v>
      </c>
      <c r="GA119" s="1356"/>
      <c r="GB119" s="1714">
        <f>GB117/GB118</f>
        <v>0.2553170938303389</v>
      </c>
      <c r="GC119" s="1356"/>
      <c r="GD119" s="1714">
        <f>GD117/GD118</f>
        <v>0.51718671115083747</v>
      </c>
      <c r="GE119" s="1356"/>
      <c r="GF119" s="1714">
        <f>GF117/GF118</f>
        <v>0.56287950686249466</v>
      </c>
      <c r="GG119" s="1356"/>
      <c r="GH119" s="1714">
        <f>GH117/GH118</f>
        <v>0.28862975587817641</v>
      </c>
      <c r="GI119" s="1356"/>
      <c r="GJ119" s="1714">
        <f>GJ117/GJ118</f>
        <v>0.35634349664897935</v>
      </c>
      <c r="GK119" s="1356"/>
      <c r="GL119" s="1714">
        <f>GL117/GL118</f>
        <v>0.2761075128121252</v>
      </c>
      <c r="GM119" s="1356"/>
      <c r="GN119" s="1714">
        <f>GN117/GN118</f>
        <v>0.4293996829277929</v>
      </c>
      <c r="GO119" s="1356"/>
      <c r="GP119" s="1714">
        <f>GP117/GP118</f>
        <v>9.4536124600054491E-2</v>
      </c>
      <c r="GQ119" s="1356"/>
      <c r="GR119" s="1714">
        <f>GR117/GR118</f>
        <v>0.42800756846822979</v>
      </c>
      <c r="GS119" s="1356"/>
      <c r="GT119" s="1714">
        <f>GT117/GT118</f>
        <v>7.5672149018889731E-2</v>
      </c>
      <c r="GU119" s="1356"/>
      <c r="GV119" s="1714">
        <f>GV117/GV118</f>
        <v>0.6205938682578378</v>
      </c>
      <c r="GW119" s="1356"/>
      <c r="GX119" s="1714">
        <f>GX117/GX118</f>
        <v>0.24352614395471012</v>
      </c>
      <c r="GY119" s="1356"/>
      <c r="GZ119" s="1714">
        <f>GZ117/GZ118</f>
        <v>0.27773476212248804</v>
      </c>
      <c r="HA119" s="1356"/>
      <c r="HB119" s="1714">
        <f>HB117/HB118</f>
        <v>0.41270723775534163</v>
      </c>
      <c r="HC119" s="1356"/>
      <c r="HD119" s="1714">
        <f>HD117/HD118</f>
        <v>4.7599387684467802E-2</v>
      </c>
      <c r="HE119" s="1356"/>
      <c r="HF119" s="2031">
        <f>HF117/HF118</f>
        <v>0.77923511779681387</v>
      </c>
      <c r="HH119" s="1714">
        <f>HH117/HH118</f>
        <v>1.4663521424228503</v>
      </c>
      <c r="HI119" s="1356"/>
      <c r="HJ119" s="1714">
        <f>HJ117/HJ118</f>
        <v>4.9866245310821095E-2</v>
      </c>
      <c r="HK119" s="1356"/>
      <c r="HL119" s="1714">
        <f>HL117/HL118</f>
        <v>0.74418625143944328</v>
      </c>
      <c r="HM119" s="1356"/>
      <c r="HN119" s="1714">
        <f>HN117/HN118</f>
        <v>0.26943132160975719</v>
      </c>
      <c r="HO119" s="1356"/>
      <c r="HP119" s="2031">
        <f>HP117/HP118</f>
        <v>0.14482941313354522</v>
      </c>
      <c r="HR119" s="1714">
        <f>HR117/HR118</f>
        <v>0.68909927186595554</v>
      </c>
      <c r="HS119" s="1356"/>
      <c r="HT119" s="2031">
        <f>HT117/HT118</f>
        <v>0.3413879564364718</v>
      </c>
      <c r="HV119" s="2031">
        <f>HV117/HV118</f>
        <v>0.8472766183078867</v>
      </c>
      <c r="HX119" s="2031">
        <f>HX117/HX118</f>
        <v>0.31357576804460846</v>
      </c>
      <c r="HZ119" s="2031">
        <f>HZ117/HZ118</f>
        <v>0.56509629274601969</v>
      </c>
      <c r="IB119" s="1714">
        <f>IB117/IB118</f>
        <v>1.5119171077009299</v>
      </c>
      <c r="IC119" s="1356"/>
      <c r="ID119" s="2031">
        <f>ID117/ID118</f>
        <v>0.23960946396221208</v>
      </c>
      <c r="IF119" s="2031">
        <f>IF117/IF118</f>
        <v>0.76657000526802599</v>
      </c>
    </row>
    <row r="120" spans="1:241">
      <c r="A120" s="1149"/>
      <c r="B120" s="1149"/>
      <c r="C120" s="1149"/>
      <c r="D120" s="1149"/>
      <c r="E120" s="1143"/>
      <c r="F120" s="1699"/>
      <c r="G120" s="1356"/>
      <c r="H120" s="1699"/>
      <c r="I120" s="1356"/>
      <c r="J120" s="1699"/>
      <c r="K120" s="1356"/>
      <c r="L120" s="1699"/>
      <c r="M120" s="1356"/>
      <c r="N120" s="1699"/>
      <c r="O120" s="1356"/>
      <c r="P120" s="1699"/>
      <c r="Q120" s="1356"/>
      <c r="R120" s="1699"/>
      <c r="T120" s="1699"/>
      <c r="U120" s="1356"/>
      <c r="V120" s="1699"/>
      <c r="W120" s="1356"/>
      <c r="X120" s="1699"/>
      <c r="Y120" s="1356"/>
      <c r="Z120" s="1699"/>
      <c r="AA120" s="1356"/>
      <c r="AB120" s="1699"/>
      <c r="AC120" s="1356"/>
      <c r="AD120" s="1699"/>
      <c r="AE120" s="1356"/>
      <c r="AF120" s="1699"/>
      <c r="AG120" s="1356"/>
      <c r="AH120" s="1699"/>
      <c r="AI120" s="1356"/>
      <c r="AJ120" s="1699"/>
      <c r="AK120" s="1356"/>
      <c r="AL120" s="1699"/>
      <c r="AM120" s="1356"/>
      <c r="AN120" s="1699"/>
      <c r="AO120" s="1356"/>
      <c r="AP120" s="1699"/>
      <c r="AQ120" s="1356"/>
      <c r="AR120" s="1699"/>
      <c r="AS120" s="1356"/>
      <c r="AT120" s="1699"/>
      <c r="AU120" s="1356"/>
      <c r="AV120" s="1699"/>
      <c r="AW120" s="1356"/>
      <c r="AX120" s="1699"/>
      <c r="AY120" s="1356"/>
      <c r="AZ120" s="1699"/>
      <c r="BA120" s="1356"/>
      <c r="BB120" s="1699"/>
      <c r="BC120" s="1356"/>
      <c r="BD120" s="1699"/>
      <c r="BE120" s="1356"/>
      <c r="BF120" s="1699"/>
      <c r="BG120" s="1356"/>
      <c r="BH120" s="1699"/>
      <c r="BI120" s="1356"/>
      <c r="BJ120" s="1699"/>
      <c r="BK120" s="1356"/>
      <c r="BL120" s="1699"/>
      <c r="BM120" s="1356"/>
      <c r="BN120" s="1699"/>
      <c r="BO120" s="1356"/>
      <c r="BP120" s="1699"/>
      <c r="BQ120" s="1356"/>
      <c r="BR120" s="1699"/>
      <c r="BS120" s="1356"/>
      <c r="BT120" s="1699"/>
      <c r="BU120" s="1356"/>
      <c r="BV120" s="1699"/>
      <c r="BW120" s="1356"/>
      <c r="BX120" s="1699"/>
      <c r="BY120" s="1356"/>
      <c r="BZ120" s="1699"/>
      <c r="CA120" s="1356"/>
      <c r="CB120" s="1699"/>
      <c r="CC120" s="1356"/>
      <c r="CD120" s="1699"/>
      <c r="CE120" s="1356"/>
      <c r="CF120" s="1699"/>
      <c r="CG120" s="1356"/>
      <c r="CH120" s="1699"/>
      <c r="CI120" s="1356"/>
      <c r="CJ120" s="1699"/>
      <c r="CK120" s="1356"/>
      <c r="CL120" s="1699"/>
      <c r="CM120" s="1356"/>
      <c r="CN120" s="1699"/>
      <c r="CO120" s="1356"/>
      <c r="CP120" s="1699"/>
      <c r="CQ120" s="1356"/>
      <c r="CR120" s="1699"/>
      <c r="CS120" s="1356"/>
      <c r="CT120" s="1699"/>
      <c r="CU120" s="1356"/>
      <c r="CV120" s="1699"/>
      <c r="CW120" s="1356"/>
      <c r="CX120" s="1699"/>
      <c r="CY120" s="1356"/>
      <c r="CZ120" s="1699"/>
      <c r="DA120" s="1356"/>
      <c r="DB120" s="1699"/>
      <c r="DC120" s="1356"/>
      <c r="DD120" s="1699"/>
      <c r="DE120" s="1356"/>
      <c r="DF120" s="1699"/>
      <c r="DG120" s="1356"/>
      <c r="DH120" s="1699"/>
      <c r="DI120" s="1356"/>
      <c r="DJ120" s="1699"/>
      <c r="DK120" s="1356"/>
      <c r="DL120" s="1699"/>
      <c r="DM120" s="1356"/>
      <c r="DN120" s="1699"/>
      <c r="DO120" s="1356"/>
      <c r="DP120" s="1699"/>
      <c r="DQ120" s="1356"/>
      <c r="DR120" s="1699"/>
      <c r="DS120" s="1356"/>
      <c r="DT120" s="1699"/>
      <c r="DU120" s="1356"/>
      <c r="DV120" s="1699"/>
      <c r="DW120" s="1356"/>
      <c r="DX120" s="1699"/>
      <c r="DY120" s="1356"/>
      <c r="DZ120" s="1699"/>
      <c r="EA120" s="1356"/>
      <c r="EB120" s="1699"/>
      <c r="EC120" s="1356"/>
      <c r="ED120" s="1699"/>
      <c r="EE120" s="1356"/>
      <c r="EF120" s="1699"/>
      <c r="EG120" s="1356"/>
      <c r="EH120" s="1699"/>
      <c r="EI120" s="1356"/>
      <c r="EJ120" s="1699"/>
      <c r="EK120" s="1356"/>
      <c r="EL120" s="1699"/>
      <c r="EM120" s="1356"/>
      <c r="EN120" s="1699"/>
      <c r="EO120" s="1356"/>
      <c r="EP120" s="1699"/>
      <c r="EQ120" s="1356"/>
      <c r="ER120" s="1699"/>
      <c r="ES120" s="1356"/>
      <c r="ET120" s="1699"/>
      <c r="EU120" s="1356"/>
      <c r="EV120" s="1699"/>
      <c r="EW120" s="1356"/>
      <c r="EX120" s="1699"/>
      <c r="EY120" s="1356"/>
      <c r="EZ120" s="1699"/>
      <c r="FA120" s="1356"/>
      <c r="FB120" s="1699"/>
      <c r="FC120" s="1356"/>
      <c r="FD120" s="1699"/>
      <c r="FE120" s="1356"/>
      <c r="FF120" s="1699"/>
      <c r="FG120" s="1356"/>
      <c r="FH120" s="1699"/>
      <c r="FI120" s="1356"/>
      <c r="FJ120" s="1699"/>
      <c r="FK120" s="1356"/>
      <c r="FL120" s="1699"/>
      <c r="FM120" s="1356"/>
      <c r="FN120" s="1699"/>
      <c r="FO120" s="1356"/>
      <c r="FP120" s="1699"/>
      <c r="FQ120" s="1356"/>
      <c r="FR120" s="1699"/>
      <c r="FS120" s="1356"/>
      <c r="FT120" s="1699"/>
      <c r="FU120" s="1356"/>
      <c r="FV120" s="1699"/>
      <c r="FW120" s="1356"/>
      <c r="FX120" s="1699"/>
      <c r="FY120" s="1356"/>
      <c r="FZ120" s="1699"/>
      <c r="GA120" s="1356"/>
      <c r="GB120" s="1699"/>
      <c r="GC120" s="1356"/>
      <c r="GD120" s="1699"/>
      <c r="GE120" s="1356"/>
      <c r="GF120" s="1699"/>
      <c r="GG120" s="1356"/>
      <c r="GH120" s="1699"/>
      <c r="GI120" s="1356"/>
      <c r="GJ120" s="1699"/>
      <c r="GK120" s="1356"/>
      <c r="GL120" s="1699"/>
      <c r="GM120" s="1356"/>
      <c r="GN120" s="1699"/>
      <c r="GO120" s="1356"/>
      <c r="GP120" s="1699"/>
      <c r="GQ120" s="1356"/>
      <c r="GR120" s="1699"/>
      <c r="GS120" s="1356"/>
      <c r="GT120" s="1699"/>
      <c r="GU120" s="1356"/>
      <c r="GV120" s="1699"/>
      <c r="GW120" s="1356"/>
      <c r="GX120" s="1699"/>
      <c r="GY120" s="1356"/>
      <c r="GZ120" s="1699"/>
      <c r="HA120" s="1356"/>
      <c r="HB120" s="1699"/>
      <c r="HC120" s="1356"/>
      <c r="HD120" s="1699"/>
      <c r="HE120" s="1356"/>
      <c r="HF120" s="2015"/>
      <c r="HH120" s="1699"/>
      <c r="HI120" s="1356"/>
      <c r="HJ120" s="1699"/>
      <c r="HK120" s="1356"/>
      <c r="HL120" s="1699"/>
      <c r="HM120" s="1356"/>
      <c r="HN120" s="1699"/>
      <c r="HO120" s="1356"/>
      <c r="HP120" s="2015"/>
      <c r="HR120" s="1699"/>
      <c r="HS120" s="1356"/>
      <c r="HT120" s="2015"/>
      <c r="HV120" s="2015"/>
      <c r="HX120" s="2015"/>
      <c r="HZ120" s="2015"/>
      <c r="IB120" s="1699"/>
      <c r="IC120" s="1356"/>
      <c r="ID120" s="2015"/>
      <c r="IF120" s="2015"/>
    </row>
    <row r="121" spans="1:241">
      <c r="A121" s="1149"/>
      <c r="B121" s="1149"/>
      <c r="C121" s="1149"/>
      <c r="D121" s="1149" t="s">
        <v>1234</v>
      </c>
      <c r="E121" s="1143"/>
      <c r="F121" s="1702">
        <f>F107/F21</f>
        <v>10061.158260213981</v>
      </c>
      <c r="G121" s="1356"/>
      <c r="H121" s="1702">
        <f>H107/H21</f>
        <v>3627.2781755280039</v>
      </c>
      <c r="I121" s="1356"/>
      <c r="J121" s="1702">
        <f>J107/J21</f>
        <v>23789.718219437851</v>
      </c>
      <c r="K121" s="1356"/>
      <c r="L121" s="1702">
        <f>L107/L21</f>
        <v>0</v>
      </c>
      <c r="M121" s="1356"/>
      <c r="N121" s="1702">
        <f>N107/N21</f>
        <v>14836.472212200606</v>
      </c>
      <c r="O121" s="1356"/>
      <c r="P121" s="1702">
        <f>P107/P21</f>
        <v>4.6784644843466747</v>
      </c>
      <c r="Q121" s="1356"/>
      <c r="R121" s="1702">
        <f>R107/R21</f>
        <v>49172.677486845234</v>
      </c>
      <c r="T121" s="1702">
        <f>T107/T21</f>
        <v>1116.6333531374578</v>
      </c>
      <c r="U121" s="1356"/>
      <c r="V121" s="1702">
        <f>V107/V21</f>
        <v>0</v>
      </c>
      <c r="W121" s="1356"/>
      <c r="X121" s="1702">
        <f>X107/X21</f>
        <v>0</v>
      </c>
      <c r="Y121" s="1356"/>
      <c r="Z121" s="1702">
        <f>Z107/Z21</f>
        <v>1486.3295882915836</v>
      </c>
      <c r="AA121" s="1356"/>
      <c r="AB121" s="1702">
        <f>AB107/AB21</f>
        <v>6201.0010741138558</v>
      </c>
      <c r="AC121" s="1356"/>
      <c r="AD121" s="1702">
        <f>AD107/AD21</f>
        <v>0</v>
      </c>
      <c r="AE121" s="1356"/>
      <c r="AF121" s="1702">
        <f>AF107/AF21</f>
        <v>2210.8030794318151</v>
      </c>
      <c r="AG121" s="1356"/>
      <c r="AH121" s="1702">
        <f>AH107/AH21</f>
        <v>1810.7942937180503</v>
      </c>
      <c r="AI121" s="1356"/>
      <c r="AJ121" s="1702">
        <f>AJ107/AJ21</f>
        <v>75036.543849350826</v>
      </c>
      <c r="AK121" s="1356"/>
      <c r="AL121" s="1702">
        <f>AL107/AL21</f>
        <v>3985.5769856410152</v>
      </c>
      <c r="AM121" s="1356"/>
      <c r="AN121" s="1702">
        <f>AN107/AN21</f>
        <v>12508.164670758408</v>
      </c>
      <c r="AO121" s="1356"/>
      <c r="AP121" s="1702">
        <f>AP107/AP21</f>
        <v>16.639320370490903</v>
      </c>
      <c r="AQ121" s="1356"/>
      <c r="AR121" s="1702">
        <f>AR107/AR21</f>
        <v>49584.50820226418</v>
      </c>
      <c r="AS121" s="1356"/>
      <c r="AT121" s="1702">
        <f>AT107/AT21</f>
        <v>15704.242619702705</v>
      </c>
      <c r="AU121" s="1356"/>
      <c r="AV121" s="1702">
        <f>AV107/AV21</f>
        <v>3060.3965445883591</v>
      </c>
      <c r="AW121" s="1356"/>
      <c r="AX121" s="1702">
        <f>AX107/AX21</f>
        <v>21787.298883164753</v>
      </c>
      <c r="AY121" s="1356"/>
      <c r="AZ121" s="1702">
        <f>AZ107/AZ21</f>
        <v>1203.8546978371896</v>
      </c>
      <c r="BA121" s="1356"/>
      <c r="BB121" s="1702">
        <f>BB107/BB21</f>
        <v>0</v>
      </c>
      <c r="BC121" s="1356"/>
      <c r="BD121" s="1702">
        <f>BD107/BD21</f>
        <v>5412.7443751402707</v>
      </c>
      <c r="BE121" s="1356"/>
      <c r="BF121" s="1702">
        <f>BF107/BF21</f>
        <v>5368.2033186853896</v>
      </c>
      <c r="BG121" s="1356"/>
      <c r="BH121" s="1702">
        <f>BH107/BH21</f>
        <v>14021.443253134468</v>
      </c>
      <c r="BI121" s="1356"/>
      <c r="BJ121" s="1702">
        <f>BJ107/BJ21</f>
        <v>34813.235546459146</v>
      </c>
      <c r="BK121" s="1356"/>
      <c r="BL121" s="1702">
        <f>BL107/BL21</f>
        <v>0</v>
      </c>
      <c r="BM121" s="1356"/>
      <c r="BN121" s="1702">
        <f>BN107/BN21</f>
        <v>19308.051859113508</v>
      </c>
      <c r="BO121" s="1356"/>
      <c r="BP121" s="1702">
        <f>BP107/BP21</f>
        <v>13418.793698209896</v>
      </c>
      <c r="BQ121" s="1356"/>
      <c r="BR121" s="1702">
        <f>BR107/BR21</f>
        <v>0</v>
      </c>
      <c r="BS121" s="1356"/>
      <c r="BT121" s="1702">
        <f>BT107/BT21</f>
        <v>3039.0407543685806</v>
      </c>
      <c r="BU121" s="1356"/>
      <c r="BV121" s="1702">
        <f>BV107/BV21</f>
        <v>88.191651088145051</v>
      </c>
      <c r="BW121" s="1356"/>
      <c r="BX121" s="1702">
        <f>BX107/BX21</f>
        <v>7085.3713324015989</v>
      </c>
      <c r="BY121" s="1356"/>
      <c r="BZ121" s="1702">
        <f>BZ107/BZ21</f>
        <v>8928.9764776710763</v>
      </c>
      <c r="CA121" s="1356"/>
      <c r="CB121" s="1702">
        <f>CB107/CB21</f>
        <v>333.74296136133495</v>
      </c>
      <c r="CC121" s="1356"/>
      <c r="CD121" s="1702">
        <f>CD107/CD21</f>
        <v>15206.201091738671</v>
      </c>
      <c r="CE121" s="1356"/>
      <c r="CF121" s="1702">
        <v>23356.602763180559</v>
      </c>
      <c r="CG121" s="1356"/>
      <c r="CH121" s="1702">
        <f>CH107/CH21</f>
        <v>4047.6692216805486</v>
      </c>
      <c r="CI121" s="1356"/>
      <c r="CJ121" s="1702">
        <v>6129.0731013380218</v>
      </c>
      <c r="CK121" s="1356"/>
      <c r="CL121" s="1702">
        <v>15287.204254650576</v>
      </c>
      <c r="CM121" s="1356"/>
      <c r="CN121" s="1702">
        <f>CN107/CN21</f>
        <v>1816.2936535600172</v>
      </c>
      <c r="CO121" s="1356"/>
      <c r="CP121" s="1702">
        <f>CP107/CP21</f>
        <v>2959.9571845073979</v>
      </c>
      <c r="CQ121" s="1356"/>
      <c r="CR121" s="1702">
        <v>0</v>
      </c>
      <c r="CS121" s="1356"/>
      <c r="CT121" s="1702">
        <f>CT107/CT21</f>
        <v>315.3699340943686</v>
      </c>
      <c r="CU121" s="1356"/>
      <c r="CV121" s="1702">
        <f>CV107/CV21</f>
        <v>8.2905069684319095</v>
      </c>
      <c r="CW121" s="1356"/>
      <c r="CX121" s="1702">
        <f>CX107/CX21</f>
        <v>26903.837152403805</v>
      </c>
      <c r="CY121" s="1356"/>
      <c r="CZ121" s="1702">
        <v>0</v>
      </c>
      <c r="DA121" s="1356"/>
      <c r="DB121" s="1702">
        <v>8206.6456550409293</v>
      </c>
      <c r="DC121" s="1356"/>
      <c r="DD121" s="1702">
        <v>13129.765460152286</v>
      </c>
      <c r="DE121" s="1356"/>
      <c r="DF121" s="1702">
        <v>10360.397735693665</v>
      </c>
      <c r="DG121" s="1356"/>
      <c r="DH121" s="1702">
        <v>0</v>
      </c>
      <c r="DI121" s="1356"/>
      <c r="DJ121" s="1702">
        <v>381.96594977415447</v>
      </c>
      <c r="DK121" s="1356"/>
      <c r="DL121" s="1702">
        <v>20053.61595098898</v>
      </c>
      <c r="DM121" s="1356"/>
      <c r="DN121" s="1702">
        <f>DN107/DN21</f>
        <v>191.63944268480313</v>
      </c>
      <c r="DO121" s="1356"/>
      <c r="DP121" s="1702">
        <f>DP107/DP21</f>
        <v>6465.8416446695855</v>
      </c>
      <c r="DQ121" s="1356"/>
      <c r="DR121" s="1702">
        <f>DR107/DR21</f>
        <v>5503.5622850678437</v>
      </c>
      <c r="DS121" s="1356"/>
      <c r="DT121" s="1702">
        <f>DT107/DT21</f>
        <v>22981.455659115258</v>
      </c>
      <c r="DU121" s="1356"/>
      <c r="DV121" s="1702">
        <f>DV107/DV21</f>
        <v>5797.9049417515389</v>
      </c>
      <c r="DW121" s="1356"/>
      <c r="DX121" s="1702">
        <f>DX107/DX21</f>
        <v>12159.945842069408</v>
      </c>
      <c r="DY121" s="1356"/>
      <c r="DZ121" s="1702">
        <f>DZ107/DZ21</f>
        <v>5902.300598378486</v>
      </c>
      <c r="EA121" s="1356"/>
      <c r="EB121" s="1702">
        <f>EB107/EB21</f>
        <v>40186.635185064348</v>
      </c>
      <c r="EC121" s="1356"/>
      <c r="ED121" s="1702">
        <f>ED107/ED21</f>
        <v>0</v>
      </c>
      <c r="EE121" s="1356"/>
      <c r="EF121" s="1702">
        <f>EF107/EF21</f>
        <v>22272.25265620189</v>
      </c>
      <c r="EG121" s="1356"/>
      <c r="EH121" s="1702">
        <f>EH107/EH21</f>
        <v>11698.289730349894</v>
      </c>
      <c r="EI121" s="1356"/>
      <c r="EJ121" s="1702">
        <f>EJ107/EJ21</f>
        <v>11980.715510542657</v>
      </c>
      <c r="EK121" s="1356"/>
      <c r="EL121" s="1702">
        <f>EL107/EL21</f>
        <v>21837.776483032852</v>
      </c>
      <c r="EM121" s="1356"/>
      <c r="EN121" s="1702">
        <f>EN107/EN21</f>
        <v>0</v>
      </c>
      <c r="EO121" s="1356"/>
      <c r="EP121" s="1702">
        <f>EP107/EP21</f>
        <v>0</v>
      </c>
      <c r="EQ121" s="1356"/>
      <c r="ER121" s="1702">
        <f>ER107/ER21</f>
        <v>7.9482692119380989</v>
      </c>
      <c r="ES121" s="1356"/>
      <c r="ET121" s="1702">
        <f>ET107/ET21</f>
        <v>11571.023560372076</v>
      </c>
      <c r="EU121" s="1356"/>
      <c r="EV121" s="1702">
        <f>EV107/EV21</f>
        <v>319.22476862319331</v>
      </c>
      <c r="EW121" s="1356"/>
      <c r="EX121" s="1702">
        <f>EX107/EX21</f>
        <v>1616.654196660764</v>
      </c>
      <c r="EY121" s="1356"/>
      <c r="EZ121" s="1702">
        <f>EZ107/EZ21</f>
        <v>15061.043517633136</v>
      </c>
      <c r="FA121" s="1356"/>
      <c r="FB121" s="1702">
        <f>FB107/FB21</f>
        <v>15240.867618644153</v>
      </c>
      <c r="FC121" s="1356"/>
      <c r="FD121" s="1702">
        <f>FD107/FD21</f>
        <v>12219.903670440532</v>
      </c>
      <c r="FE121" s="1356"/>
      <c r="FF121" s="1702">
        <f>FF107/FF21</f>
        <v>101.7304</v>
      </c>
      <c r="FG121" s="1356"/>
      <c r="FH121" s="1702">
        <f>FH107/FH21</f>
        <v>8723.9793373927932</v>
      </c>
      <c r="FI121" s="1356"/>
      <c r="FJ121" s="1702">
        <f>FJ107/FJ21</f>
        <v>13861.365782974584</v>
      </c>
      <c r="FK121" s="1356"/>
      <c r="FL121" s="1702">
        <f>FL107/FL21</f>
        <v>0</v>
      </c>
      <c r="FM121" s="1356"/>
      <c r="FN121" s="1702">
        <f>FN107/FN21</f>
        <v>2173.3296032087505</v>
      </c>
      <c r="FO121" s="1356"/>
      <c r="FP121" s="1702">
        <f>FP107/FP21</f>
        <v>0</v>
      </c>
      <c r="FQ121" s="1356"/>
      <c r="FR121" s="1702">
        <f>FR107/FR21</f>
        <v>19071.626977597836</v>
      </c>
      <c r="FS121" s="1356"/>
      <c r="FT121" s="1702">
        <f>FT107/FT21</f>
        <v>7214.3860327671982</v>
      </c>
      <c r="FU121" s="1356"/>
      <c r="FV121" s="1702">
        <f>FV107/FV21</f>
        <v>30716.288378767054</v>
      </c>
      <c r="FW121" s="1356"/>
      <c r="FX121" s="1702">
        <f>FX107/FX21</f>
        <v>572.89869642133499</v>
      </c>
      <c r="FY121" s="1356"/>
      <c r="FZ121" s="1702">
        <f>FZ107/FZ21</f>
        <v>8557.7927741861567</v>
      </c>
      <c r="GA121" s="1356"/>
      <c r="GB121" s="1702">
        <f>GB107/GB21</f>
        <v>1697.143172557466</v>
      </c>
      <c r="GC121" s="1356"/>
      <c r="GD121" s="1702">
        <f>GD107/GD21</f>
        <v>10101.748731409947</v>
      </c>
      <c r="GE121" s="1356"/>
      <c r="GF121" s="1702">
        <f>GF107/GF21</f>
        <v>2281.5444935113892</v>
      </c>
      <c r="GG121" s="1356"/>
      <c r="GH121" s="1702">
        <f>GH107/GH21</f>
        <v>397.23780953682467</v>
      </c>
      <c r="GI121" s="1356"/>
      <c r="GJ121" s="1702">
        <f>GJ107/GJ21</f>
        <v>245.83068615217792</v>
      </c>
      <c r="GK121" s="1356"/>
      <c r="GL121" s="1702">
        <f>GL107/GL21</f>
        <v>155.23153979431493</v>
      </c>
      <c r="GM121" s="1356"/>
      <c r="GN121" s="1702">
        <f>GN107/GN21</f>
        <v>0</v>
      </c>
      <c r="GO121" s="1356"/>
      <c r="GP121" s="1702">
        <f>GP107/GP21</f>
        <v>2273.5384946752179</v>
      </c>
      <c r="GQ121" s="1356"/>
      <c r="GR121" s="1702">
        <f>GR107/GR21</f>
        <v>0</v>
      </c>
      <c r="GS121" s="1356"/>
      <c r="GT121" s="1702">
        <f>GT107/GT21</f>
        <v>423.74222554640482</v>
      </c>
      <c r="GU121" s="1356"/>
      <c r="GV121" s="1702">
        <f>GV107/GV21</f>
        <v>329.26734545199349</v>
      </c>
      <c r="GW121" s="1356"/>
      <c r="GX121" s="1702">
        <f>GX107/GX21</f>
        <v>728.94675482057448</v>
      </c>
      <c r="GY121" s="1356"/>
      <c r="GZ121" s="1702">
        <f>GZ107/GZ21</f>
        <v>846.87725858945623</v>
      </c>
      <c r="HA121" s="1356"/>
      <c r="HB121" s="1702">
        <f>HB107/HB21</f>
        <v>6927.1986737346242</v>
      </c>
      <c r="HC121" s="1356"/>
      <c r="HD121" s="1702">
        <f>HD107/HD21</f>
        <v>0</v>
      </c>
      <c r="HE121" s="1356"/>
      <c r="HF121" s="2018">
        <f>HF107/HF21</f>
        <v>926.73847127003194</v>
      </c>
      <c r="HH121" s="1702">
        <f>HH107/HH21</f>
        <v>34150.372046567056</v>
      </c>
      <c r="HI121" s="1356"/>
      <c r="HJ121" s="1702">
        <f>HJ107/HJ21</f>
        <v>5.3959727898545804</v>
      </c>
      <c r="HK121" s="1356"/>
      <c r="HL121" s="1702">
        <f>HL107/HL21</f>
        <v>8480.4944888820792</v>
      </c>
      <c r="HM121" s="1356"/>
      <c r="HN121" s="1702">
        <f>HN107/HN21</f>
        <v>0</v>
      </c>
      <c r="HO121" s="1356"/>
      <c r="HP121" s="2018">
        <f>HP107/HP21</f>
        <v>924.32468987265156</v>
      </c>
      <c r="HR121" s="1702">
        <f>HR107/HR21</f>
        <v>10299.258904929002</v>
      </c>
      <c r="HS121" s="1356"/>
      <c r="HT121" s="2018">
        <f>HT107/HT21</f>
        <v>9811.2034163593835</v>
      </c>
      <c r="HV121" s="2018">
        <f>HV107/HV21</f>
        <v>32747.061421932518</v>
      </c>
      <c r="HX121" s="2018">
        <f>HX107/HX21</f>
        <v>18570.060765491904</v>
      </c>
      <c r="HZ121" s="2018">
        <f>HZ107/HZ21</f>
        <v>6832.0454346120232</v>
      </c>
      <c r="IB121" s="1702">
        <f>IB107/IB21</f>
        <v>20049.692490493337</v>
      </c>
      <c r="IC121" s="1356"/>
      <c r="ID121" s="2018">
        <f>ID107/ID21</f>
        <v>0</v>
      </c>
      <c r="IF121" s="2018">
        <f>IF107/IF21</f>
        <v>3438.1897249221961</v>
      </c>
    </row>
    <row r="122" spans="1:241">
      <c r="A122" s="1149"/>
      <c r="B122" s="1149"/>
      <c r="C122" s="1149"/>
      <c r="D122" s="1149" t="s">
        <v>1235</v>
      </c>
      <c r="E122" s="1143"/>
      <c r="F122" s="1702">
        <f>F101/F21</f>
        <v>3073.3483309910321</v>
      </c>
      <c r="G122" s="1356"/>
      <c r="H122" s="1702">
        <f>H101/H21</f>
        <v>3290.3620009410729</v>
      </c>
      <c r="I122" s="1356"/>
      <c r="J122" s="1702">
        <f>J101/J21</f>
        <v>1507.5867286840091</v>
      </c>
      <c r="K122" s="1356"/>
      <c r="L122" s="1702">
        <f>L101/L21</f>
        <v>15273.51459239736</v>
      </c>
      <c r="M122" s="1356"/>
      <c r="N122" s="1702">
        <f>N101/N21</f>
        <v>4264.9647835803808</v>
      </c>
      <c r="O122" s="1356"/>
      <c r="P122" s="1702">
        <f>P101/P21</f>
        <v>12666.913900866877</v>
      </c>
      <c r="Q122" s="1356"/>
      <c r="R122" s="1702">
        <f>R101/R21</f>
        <v>5608.3909192684969</v>
      </c>
      <c r="T122" s="1702">
        <f>T101/T21</f>
        <v>734.20713520818879</v>
      </c>
      <c r="U122" s="1356"/>
      <c r="V122" s="1702">
        <f>V101/V21</f>
        <v>1089.7556638649557</v>
      </c>
      <c r="W122" s="1356"/>
      <c r="X122" s="1702">
        <f>X101/X21</f>
        <v>4166.5602323480025</v>
      </c>
      <c r="Y122" s="1356"/>
      <c r="Z122" s="1702">
        <f>Z101/Z21</f>
        <v>331.11605338926449</v>
      </c>
      <c r="AA122" s="1356"/>
      <c r="AB122" s="1702">
        <f>AB101/AB21</f>
        <v>1371.9881847475833</v>
      </c>
      <c r="AC122" s="1356"/>
      <c r="AD122" s="1702">
        <f>AD101/AD21</f>
        <v>7583.3554152230445</v>
      </c>
      <c r="AE122" s="1356"/>
      <c r="AF122" s="1702">
        <f>AF101/AF21</f>
        <v>1163.5643510340167</v>
      </c>
      <c r="AG122" s="1356"/>
      <c r="AH122" s="1702">
        <f>AH101/AH21</f>
        <v>268.10852798362902</v>
      </c>
      <c r="AI122" s="1356"/>
      <c r="AJ122" s="1702">
        <f>AJ101/AJ21</f>
        <v>3128.9098094791102</v>
      </c>
      <c r="AK122" s="1356"/>
      <c r="AL122" s="1702">
        <f>AL101/AL21</f>
        <v>882.95131033871439</v>
      </c>
      <c r="AM122" s="1356"/>
      <c r="AN122" s="1702">
        <f>AN101/AN21</f>
        <v>19975.005560159709</v>
      </c>
      <c r="AO122" s="1356"/>
      <c r="AP122" s="1702">
        <f>AP101/AP21</f>
        <v>16338.284229799445</v>
      </c>
      <c r="AQ122" s="1356"/>
      <c r="AR122" s="1702">
        <f>AR101/AR21</f>
        <v>13590.094305777022</v>
      </c>
      <c r="AS122" s="1356"/>
      <c r="AT122" s="1702">
        <f>AT101/AT21</f>
        <v>527.45342515851576</v>
      </c>
      <c r="AU122" s="1356"/>
      <c r="AV122" s="1702">
        <f>AV101/AV21</f>
        <v>3852.112162576761</v>
      </c>
      <c r="AW122" s="1356"/>
      <c r="AX122" s="1702">
        <f>AX101/AX21</f>
        <v>2123.0454144548621</v>
      </c>
      <c r="AY122" s="1356"/>
      <c r="AZ122" s="1702">
        <f>AZ101/AZ21</f>
        <v>487.70734344558059</v>
      </c>
      <c r="BA122" s="1356"/>
      <c r="BB122" s="1702">
        <f>BB101/BB21</f>
        <v>5351.44669896295</v>
      </c>
      <c r="BC122" s="1356"/>
      <c r="BD122" s="1702">
        <f>BD101/BD21</f>
        <v>1019.8299777436972</v>
      </c>
      <c r="BE122" s="1356"/>
      <c r="BF122" s="1702">
        <f>BF101/BF21</f>
        <v>1584.4481859470836</v>
      </c>
      <c r="BG122" s="1356"/>
      <c r="BH122" s="1702">
        <f>BH101/BH21</f>
        <v>4028.5265860846616</v>
      </c>
      <c r="BI122" s="1356"/>
      <c r="BJ122" s="1702">
        <f>BJ101/BJ21</f>
        <v>3327.8936848810667</v>
      </c>
      <c r="BK122" s="1356"/>
      <c r="BL122" s="1702">
        <f>BL101/BL21</f>
        <v>5791.0731587993587</v>
      </c>
      <c r="BM122" s="1356"/>
      <c r="BN122" s="1702">
        <f>BN101/BN21</f>
        <v>15184.868230516071</v>
      </c>
      <c r="BO122" s="1356"/>
      <c r="BP122" s="1702">
        <f>BP101/BP21</f>
        <v>720.38274467089695</v>
      </c>
      <c r="BQ122" s="1356"/>
      <c r="BR122" s="1702">
        <f>BR101/BR21</f>
        <v>7834.8371501039273</v>
      </c>
      <c r="BS122" s="1356"/>
      <c r="BT122" s="1702">
        <f>BT101/BT21</f>
        <v>3668.284169961209</v>
      </c>
      <c r="BU122" s="1356"/>
      <c r="BV122" s="1702">
        <f>BV101/BV21</f>
        <v>1084.1100817068389</v>
      </c>
      <c r="BW122" s="1356"/>
      <c r="BX122" s="1702">
        <f>BX101/BX21</f>
        <v>3541.8601834595993</v>
      </c>
      <c r="BY122" s="1356"/>
      <c r="BZ122" s="1702">
        <f>BZ101/BZ21</f>
        <v>1980.5791124583327</v>
      </c>
      <c r="CA122" s="1356"/>
      <c r="CB122" s="1702">
        <f>CB101/CB21</f>
        <v>5723.1988332328701</v>
      </c>
      <c r="CC122" s="1356"/>
      <c r="CD122" s="1702">
        <f>CD101/CD21</f>
        <v>878.75221862275339</v>
      </c>
      <c r="CE122" s="1356"/>
      <c r="CF122" s="1702">
        <v>6176.108923407367</v>
      </c>
      <c r="CG122" s="1356"/>
      <c r="CH122" s="1702">
        <f>CH101/CH21</f>
        <v>5634.1818499549418</v>
      </c>
      <c r="CI122" s="1356"/>
      <c r="CJ122" s="1702">
        <v>898.74427281145574</v>
      </c>
      <c r="CK122" s="1356"/>
      <c r="CL122" s="1702">
        <v>6126.2525882278933</v>
      </c>
      <c r="CM122" s="1356"/>
      <c r="CN122" s="1702">
        <f>CN101/CN21</f>
        <v>2244.5867902750824</v>
      </c>
      <c r="CO122" s="1356"/>
      <c r="CP122" s="1702">
        <f>CP101/CP21</f>
        <v>3094.0044831644122</v>
      </c>
      <c r="CQ122" s="1356"/>
      <c r="CR122" s="1702">
        <v>2262.1154263548397</v>
      </c>
      <c r="CS122" s="1356"/>
      <c r="CT122" s="1702">
        <f>CT101/CT21</f>
        <v>3914.124371950973</v>
      </c>
      <c r="CU122" s="1356"/>
      <c r="CV122" s="1702">
        <f>CV101/CV21</f>
        <v>4862.4414503380021</v>
      </c>
      <c r="CW122" s="1356"/>
      <c r="CX122" s="1702">
        <f>CX101/CX21</f>
        <v>4356.9921392785509</v>
      </c>
      <c r="CY122" s="1356"/>
      <c r="CZ122" s="1702">
        <v>10436.780192160855</v>
      </c>
      <c r="DA122" s="1356"/>
      <c r="DB122" s="1702">
        <v>1436.8747787464442</v>
      </c>
      <c r="DC122" s="1356"/>
      <c r="DD122" s="1702">
        <v>4934.2160672231039</v>
      </c>
      <c r="DE122" s="1356"/>
      <c r="DF122" s="1702">
        <v>8205.4259281409468</v>
      </c>
      <c r="DG122" s="1356"/>
      <c r="DH122" s="1702">
        <v>1328.7607184241019</v>
      </c>
      <c r="DI122" s="1356"/>
      <c r="DJ122" s="1702">
        <v>1241.3618749033053</v>
      </c>
      <c r="DK122" s="1356"/>
      <c r="DL122" s="1702">
        <v>24803.597125057069</v>
      </c>
      <c r="DM122" s="1356"/>
      <c r="DN122" s="1702">
        <f>DN101/DN21</f>
        <v>3375.2547658993785</v>
      </c>
      <c r="DO122" s="1356"/>
      <c r="DP122" s="1702">
        <f>DP101/DP21</f>
        <v>7420.4431808568761</v>
      </c>
      <c r="DQ122" s="1356"/>
      <c r="DR122" s="1702">
        <f>DR101/DR21</f>
        <v>8810.6323853233462</v>
      </c>
      <c r="DS122" s="1356"/>
      <c r="DT122" s="1702">
        <f>DT101/DT21</f>
        <v>21284.443522756919</v>
      </c>
      <c r="DU122" s="1356"/>
      <c r="DV122" s="1702">
        <f>DV101/DV21</f>
        <v>6743.6013805323928</v>
      </c>
      <c r="DW122" s="1356"/>
      <c r="DX122" s="1702">
        <f>DX101/DX21</f>
        <v>3847.4729250106684</v>
      </c>
      <c r="DY122" s="1356"/>
      <c r="DZ122" s="1702">
        <f>DZ101/DZ21</f>
        <v>1916.2851753862108</v>
      </c>
      <c r="EA122" s="1356"/>
      <c r="EB122" s="1702">
        <f>EB101/EB21</f>
        <v>4250.7425718293343</v>
      </c>
      <c r="EC122" s="1356"/>
      <c r="ED122" s="1702">
        <f>ED101/ED21</f>
        <v>10972.173418857858</v>
      </c>
      <c r="EE122" s="1356"/>
      <c r="EF122" s="1702">
        <f>EF101/EF21</f>
        <v>3048.636212176586</v>
      </c>
      <c r="EG122" s="1356"/>
      <c r="EH122" s="1702">
        <f>EH101/EH21</f>
        <v>4587.6682790971763</v>
      </c>
      <c r="EI122" s="1356"/>
      <c r="EJ122" s="1702">
        <f>EJ101/EJ21</f>
        <v>847.48969668753011</v>
      </c>
      <c r="EK122" s="1356"/>
      <c r="EL122" s="1702">
        <f>EL101/EL21</f>
        <v>7942.3894198437119</v>
      </c>
      <c r="EM122" s="1356"/>
      <c r="EN122" s="1702">
        <f>EN101/EN21</f>
        <v>3036.0541040706967</v>
      </c>
      <c r="EO122" s="1356"/>
      <c r="EP122" s="1702">
        <f>EP101/EP21</f>
        <v>6292.8946067559418</v>
      </c>
      <c r="EQ122" s="1356"/>
      <c r="ER122" s="1702">
        <f>ER101/ER21</f>
        <v>5379.9816157261057</v>
      </c>
      <c r="ES122" s="1356"/>
      <c r="ET122" s="1702">
        <f>ET101/ET21</f>
        <v>3006.4259844032504</v>
      </c>
      <c r="EU122" s="1356"/>
      <c r="EV122" s="1702">
        <f>EV101/EV21</f>
        <v>278.4211442699542</v>
      </c>
      <c r="EW122" s="1356"/>
      <c r="EX122" s="1702">
        <f>EX101/EX21</f>
        <v>423.17253525295558</v>
      </c>
      <c r="EY122" s="1356"/>
      <c r="EZ122" s="1702">
        <f>EZ101/EZ21</f>
        <v>9000.0927837388354</v>
      </c>
      <c r="FA122" s="1356"/>
      <c r="FB122" s="1702">
        <f>FB101/FB21</f>
        <v>10377.679665990059</v>
      </c>
      <c r="FC122" s="1356"/>
      <c r="FD122" s="1702">
        <f>FD101/FD21</f>
        <v>3181.4026036962464</v>
      </c>
      <c r="FE122" s="1356"/>
      <c r="FF122" s="1702">
        <f>FF101/FF21</f>
        <v>740.96400000000006</v>
      </c>
      <c r="FG122" s="1356"/>
      <c r="FH122" s="1702">
        <f>FH101/FH21</f>
        <v>62425.123042254912</v>
      </c>
      <c r="FI122" s="1356"/>
      <c r="FJ122" s="1702">
        <f>FJ101/FJ21</f>
        <v>4661.8938480107618</v>
      </c>
      <c r="FK122" s="1356"/>
      <c r="FL122" s="1702">
        <f>FL101/FL21</f>
        <v>2359.8862881757577</v>
      </c>
      <c r="FM122" s="1356"/>
      <c r="FN122" s="1702">
        <f>FN101/FN21</f>
        <v>2581.5593278957363</v>
      </c>
      <c r="FO122" s="1356"/>
      <c r="FP122" s="1702">
        <f>FP101/FP21</f>
        <v>1003.8192537313433</v>
      </c>
      <c r="FQ122" s="1356"/>
      <c r="FR122" s="1702">
        <f>FR101/FR21</f>
        <v>1244.4990400176232</v>
      </c>
      <c r="FS122" s="1356"/>
      <c r="FT122" s="1702">
        <f>FT101/FT21</f>
        <v>6233.1960694676873</v>
      </c>
      <c r="FU122" s="1356"/>
      <c r="FV122" s="1702">
        <f>FV101/FV21</f>
        <v>15575.706411525383</v>
      </c>
      <c r="FW122" s="1356"/>
      <c r="FX122" s="1702">
        <f>FX101/FX21</f>
        <v>908.37473191412721</v>
      </c>
      <c r="FY122" s="1356"/>
      <c r="FZ122" s="1702">
        <f>FZ101/FZ21</f>
        <v>2957.0243767950346</v>
      </c>
      <c r="GA122" s="1356"/>
      <c r="GB122" s="1702">
        <f>GB101/GB21</f>
        <v>9864.7238576159107</v>
      </c>
      <c r="GC122" s="1356"/>
      <c r="GD122" s="1702">
        <f>GD101/GD21</f>
        <v>5588.3091057528027</v>
      </c>
      <c r="GE122" s="1356"/>
      <c r="GF122" s="1702">
        <f>GF101/GF21</f>
        <v>5290.1569636512131</v>
      </c>
      <c r="GG122" s="1356"/>
      <c r="GH122" s="1702">
        <f>GH101/GH21</f>
        <v>584.25605493046032</v>
      </c>
      <c r="GI122" s="1356"/>
      <c r="GJ122" s="1702">
        <f>GJ101/GJ21</f>
        <v>12410.060520841067</v>
      </c>
      <c r="GK122" s="1356"/>
      <c r="GL122" s="1702">
        <f>GL101/GL21</f>
        <v>3371.3841976347389</v>
      </c>
      <c r="GM122" s="1356"/>
      <c r="GN122" s="1702">
        <f>GN101/GN21</f>
        <v>994.81818181818187</v>
      </c>
      <c r="GO122" s="1356"/>
      <c r="GP122" s="1702">
        <f>GP101/GP21</f>
        <v>4387.7117926755845</v>
      </c>
      <c r="GQ122" s="1356"/>
      <c r="GR122" s="1702">
        <f>GR101/GR21</f>
        <v>2141.0693849504514</v>
      </c>
      <c r="GS122" s="1356"/>
      <c r="GT122" s="1702">
        <f>GT101/GT21</f>
        <v>1457.8313370667504</v>
      </c>
      <c r="GU122" s="1356"/>
      <c r="GV122" s="1702">
        <f>GV101/GV21</f>
        <v>730.65442602899725</v>
      </c>
      <c r="GW122" s="1356"/>
      <c r="GX122" s="1702">
        <f>GX101/GX21</f>
        <v>1147.1143885880797</v>
      </c>
      <c r="GY122" s="1356"/>
      <c r="GZ122" s="1702">
        <f>GZ101/GZ21</f>
        <v>4808.0814757073922</v>
      </c>
      <c r="HA122" s="1356"/>
      <c r="HB122" s="1702">
        <f>HB101/HB21</f>
        <v>4255.8850102189099</v>
      </c>
      <c r="HC122" s="1356"/>
      <c r="HD122" s="1702">
        <f>HD101/HD21</f>
        <v>5874.6207276697724</v>
      </c>
      <c r="HE122" s="1356"/>
      <c r="HF122" s="2018">
        <f>HF101/HF21</f>
        <v>3208.7134796743803</v>
      </c>
      <c r="HH122" s="1702">
        <f>HH101/HH21</f>
        <v>42879.959616163185</v>
      </c>
      <c r="HI122" s="1356"/>
      <c r="HJ122" s="1702">
        <f>HJ101/HJ21</f>
        <v>556.11657094235272</v>
      </c>
      <c r="HK122" s="1356"/>
      <c r="HL122" s="1702">
        <f>HL101/HL21</f>
        <v>865.0107503394629</v>
      </c>
      <c r="HM122" s="1356"/>
      <c r="HN122" s="1702">
        <f>HN101/HN21</f>
        <v>1667.7032436800184</v>
      </c>
      <c r="HO122" s="1356"/>
      <c r="HP122" s="2018">
        <f>HP101/HP21</f>
        <v>1607.2817944970745</v>
      </c>
      <c r="HR122" s="1702">
        <f>HR101/HR21</f>
        <v>867.91597355186434</v>
      </c>
      <c r="HS122" s="1356"/>
      <c r="HT122" s="2018">
        <f>HT101/HT21</f>
        <v>7047.2064608837854</v>
      </c>
      <c r="HV122" s="2018">
        <f>HV101/HV21</f>
        <v>13247.787762034151</v>
      </c>
      <c r="HX122" s="2018">
        <f>HX101/HX21</f>
        <v>8134.2435271731192</v>
      </c>
      <c r="HZ122" s="2018">
        <f>HZ101/HZ21</f>
        <v>3505.2720508153593</v>
      </c>
      <c r="IB122" s="1702">
        <f>IB101/IB21</f>
        <v>1818.8706975373486</v>
      </c>
      <c r="IC122" s="1356"/>
      <c r="ID122" s="2018">
        <f>ID101/ID21</f>
        <v>1822.8147490156221</v>
      </c>
      <c r="IF122" s="2018">
        <f>IF101/IF21</f>
        <v>5369.6659750741892</v>
      </c>
    </row>
    <row r="123" spans="1:241">
      <c r="A123" s="1149"/>
      <c r="B123" s="1149"/>
      <c r="C123" s="1149"/>
      <c r="D123" s="1149" t="s">
        <v>1236</v>
      </c>
      <c r="E123" s="1143"/>
      <c r="F123" s="1702">
        <f>F98/F21</f>
        <v>1730.3879503807289</v>
      </c>
      <c r="G123" s="1356"/>
      <c r="H123" s="1702">
        <f>H98/H21</f>
        <v>12356.867638111571</v>
      </c>
      <c r="I123" s="1356"/>
      <c r="J123" s="1702">
        <f>J98/J21</f>
        <v>598.65968648477292</v>
      </c>
      <c r="K123" s="1356"/>
      <c r="L123" s="1702">
        <f>L98/L21</f>
        <v>10906.168420178581</v>
      </c>
      <c r="M123" s="1356"/>
      <c r="N123" s="1702">
        <f>N98/N21</f>
        <v>57863.945622792235</v>
      </c>
      <c r="O123" s="1356"/>
      <c r="P123" s="1702">
        <f>P98/P21</f>
        <v>13411.413294115897</v>
      </c>
      <c r="Q123" s="1356"/>
      <c r="R123" s="1702">
        <f>R98/R21</f>
        <v>27881.575076033274</v>
      </c>
      <c r="T123" s="1702">
        <f>T98/T21</f>
        <v>533.8902552325651</v>
      </c>
      <c r="U123" s="1356"/>
      <c r="V123" s="1702">
        <f>V98/V21</f>
        <v>16334.251063085765</v>
      </c>
      <c r="W123" s="1356"/>
      <c r="X123" s="1702">
        <f>X98/X21</f>
        <v>5229.8781353058466</v>
      </c>
      <c r="Y123" s="1356"/>
      <c r="Z123" s="1702">
        <f>Z98/Z21</f>
        <v>3800.0445227049968</v>
      </c>
      <c r="AA123" s="1356"/>
      <c r="AB123" s="1702">
        <f>AB98/AB21</f>
        <v>10950.107411385607</v>
      </c>
      <c r="AC123" s="1356"/>
      <c r="AD123" s="1702">
        <f>AD98/AD21</f>
        <v>0</v>
      </c>
      <c r="AE123" s="1356"/>
      <c r="AF123" s="1702">
        <f>AF98/AF21</f>
        <v>4708.88676724985</v>
      </c>
      <c r="AG123" s="1356"/>
      <c r="AH123" s="1702">
        <f>AH98/AH21</f>
        <v>358.17391806660618</v>
      </c>
      <c r="AI123" s="1356"/>
      <c r="AJ123" s="1702">
        <f>AJ98/AJ21</f>
        <v>2451.2912094736193</v>
      </c>
      <c r="AK123" s="1356"/>
      <c r="AL123" s="1702">
        <f>AL98/AL21</f>
        <v>2204.2508329003417</v>
      </c>
      <c r="AM123" s="1356"/>
      <c r="AN123" s="1702">
        <f>AN98/AN21</f>
        <v>2170.9151162142634</v>
      </c>
      <c r="AO123" s="1356"/>
      <c r="AP123" s="1702">
        <f>AP98/AP21</f>
        <v>7532.3528662672734</v>
      </c>
      <c r="AQ123" s="1356"/>
      <c r="AR123" s="1702">
        <f>AR98/AR21</f>
        <v>14567.349212191353</v>
      </c>
      <c r="AS123" s="1356"/>
      <c r="AT123" s="1702">
        <f>AT98/AT21</f>
        <v>462.93224369370552</v>
      </c>
      <c r="AU123" s="1356"/>
      <c r="AV123" s="1702">
        <f>AV98/AV21</f>
        <v>1983.6243924854546</v>
      </c>
      <c r="AW123" s="1356"/>
      <c r="AX123" s="1702">
        <f>AX98/AX21</f>
        <v>1462.02091013993</v>
      </c>
      <c r="AY123" s="1356"/>
      <c r="AZ123" s="1702">
        <f>AZ98/AZ21</f>
        <v>149.36017797296645</v>
      </c>
      <c r="BA123" s="1356"/>
      <c r="BB123" s="1702">
        <f>BB98/BB21</f>
        <v>5498.030067262619</v>
      </c>
      <c r="BC123" s="1356"/>
      <c r="BD123" s="1702">
        <f>BD98/BD21</f>
        <v>3669.7266378955637</v>
      </c>
      <c r="BE123" s="1356"/>
      <c r="BF123" s="1702">
        <f>BF98/BF21</f>
        <v>1859.2225246157504</v>
      </c>
      <c r="BG123" s="1356"/>
      <c r="BH123" s="1702">
        <f>BH98/BH21</f>
        <v>6536.3773407938352</v>
      </c>
      <c r="BI123" s="1356"/>
      <c r="BJ123" s="1702">
        <f>BJ98/BJ21</f>
        <v>712.93637349197536</v>
      </c>
      <c r="BK123" s="1356"/>
      <c r="BL123" s="1702">
        <f>BL98/BL21</f>
        <v>3929.1686331317287</v>
      </c>
      <c r="BM123" s="1356"/>
      <c r="BN123" s="1702">
        <f>BN98/BN21</f>
        <v>15068.972761011133</v>
      </c>
      <c r="BO123" s="1356"/>
      <c r="BP123" s="1702">
        <f>BP98/BP21</f>
        <v>1066.6334495449785</v>
      </c>
      <c r="BQ123" s="1356"/>
      <c r="BR123" s="1702">
        <f>BR98/BR21</f>
        <v>0</v>
      </c>
      <c r="BS123" s="1356"/>
      <c r="BT123" s="1702">
        <f>BT98/BT21</f>
        <v>32658.910965839335</v>
      </c>
      <c r="BU123" s="1356"/>
      <c r="BV123" s="1702">
        <f>BV98/BV21</f>
        <v>1217.1650336018856</v>
      </c>
      <c r="BW123" s="1356"/>
      <c r="BX123" s="1702">
        <f>BX98/BX21</f>
        <v>2605.6447771334074</v>
      </c>
      <c r="BY123" s="1356"/>
      <c r="BZ123" s="1702">
        <f>BZ98/BZ21</f>
        <v>16047.107537735155</v>
      </c>
      <c r="CA123" s="1356"/>
      <c r="CB123" s="1702">
        <f>CB98/CB21</f>
        <v>17812.577533734984</v>
      </c>
      <c r="CC123" s="1356"/>
      <c r="CD123" s="1702">
        <f>CD98/CD21</f>
        <v>10798.601790404608</v>
      </c>
      <c r="CE123" s="1356"/>
      <c r="CF123" s="1702">
        <v>2951.2887879799068</v>
      </c>
      <c r="CG123" s="1356"/>
      <c r="CH123" s="1702">
        <f>CH98/CH21</f>
        <v>2534.2125932761669</v>
      </c>
      <c r="CI123" s="1356"/>
      <c r="CJ123" s="1702">
        <v>1488.0624857407433</v>
      </c>
      <c r="CK123" s="1356"/>
      <c r="CL123" s="1702">
        <v>19283.420740949063</v>
      </c>
      <c r="CM123" s="1356"/>
      <c r="CN123" s="1702">
        <f>CN98/CN21</f>
        <v>4083.2317544431771</v>
      </c>
      <c r="CO123" s="1356"/>
      <c r="CP123" s="1702">
        <f>CP98/CP21</f>
        <v>2770.5999893489893</v>
      </c>
      <c r="CQ123" s="1356"/>
      <c r="CR123" s="1702">
        <v>7590.1326525301438</v>
      </c>
      <c r="CS123" s="1356"/>
      <c r="CT123" s="1702">
        <f>CT98/CT21</f>
        <v>12867.093311050239</v>
      </c>
      <c r="CU123" s="1356"/>
      <c r="CV123" s="1702">
        <f>CV98/CV21</f>
        <v>6429.0759089335788</v>
      </c>
      <c r="CW123" s="1356"/>
      <c r="CX123" s="1702">
        <f>CX98/CX21</f>
        <v>35724.032745572113</v>
      </c>
      <c r="CY123" s="1356"/>
      <c r="CZ123" s="1702">
        <v>10100.798982230448</v>
      </c>
      <c r="DA123" s="1356"/>
      <c r="DB123" s="1702">
        <v>1822.2773206846427</v>
      </c>
      <c r="DC123" s="1356"/>
      <c r="DD123" s="1702">
        <v>27071.646325364614</v>
      </c>
      <c r="DE123" s="1356"/>
      <c r="DF123" s="1702">
        <v>50683.658475265765</v>
      </c>
      <c r="DG123" s="1356"/>
      <c r="DH123" s="1702">
        <v>2540.1506373117036</v>
      </c>
      <c r="DI123" s="1356"/>
      <c r="DJ123" s="1702">
        <v>1318.1694094425043</v>
      </c>
      <c r="DK123" s="1356"/>
      <c r="DL123" s="1702">
        <v>1622.1147124799977</v>
      </c>
      <c r="DM123" s="1356"/>
      <c r="DN123" s="1702">
        <f>DN98/DN21</f>
        <v>0</v>
      </c>
      <c r="DO123" s="1356"/>
      <c r="DP123" s="1702">
        <f>DP98/DP21</f>
        <v>14718.986982411416</v>
      </c>
      <c r="DQ123" s="1356"/>
      <c r="DR123" s="1702">
        <f>DR98/DR21</f>
        <v>3861.5393426506566</v>
      </c>
      <c r="DS123" s="1356"/>
      <c r="DT123" s="1702">
        <f>DT98/DT21</f>
        <v>2283.9632958260936</v>
      </c>
      <c r="DU123" s="1356"/>
      <c r="DV123" s="1702">
        <f>DV98/DV21</f>
        <v>26055.333330755231</v>
      </c>
      <c r="DW123" s="1356"/>
      <c r="DX123" s="1702">
        <f>DX98/DX21</f>
        <v>2396.7095266747419</v>
      </c>
      <c r="DY123" s="1356"/>
      <c r="DZ123" s="1702">
        <f>DZ98/DZ21</f>
        <v>9595.9422212498885</v>
      </c>
      <c r="EA123" s="1356"/>
      <c r="EB123" s="1702">
        <f>EB98/EB21</f>
        <v>7691.6021875162851</v>
      </c>
      <c r="EC123" s="1356"/>
      <c r="ED123" s="1702">
        <f>ED98/ED21</f>
        <v>6790.8707189507459</v>
      </c>
      <c r="EE123" s="1356"/>
      <c r="EF123" s="1702">
        <f>EF98/EF21</f>
        <v>19212.697864493821</v>
      </c>
      <c r="EG123" s="1356"/>
      <c r="EH123" s="1702">
        <f>EH98/EH21</f>
        <v>3899.4299101166312</v>
      </c>
      <c r="EI123" s="1356"/>
      <c r="EJ123" s="1702">
        <f>EJ98/EJ21</f>
        <v>1319.9879343866701</v>
      </c>
      <c r="EK123" s="1356"/>
      <c r="EL123" s="1702">
        <f>EL98/EL21</f>
        <v>17100.394340978863</v>
      </c>
      <c r="EM123" s="1356"/>
      <c r="EN123" s="1702">
        <f>EN98/EN21</f>
        <v>0</v>
      </c>
      <c r="EO123" s="1356"/>
      <c r="EP123" s="1702">
        <f>EP98/EP21</f>
        <v>16903.293295761556</v>
      </c>
      <c r="EQ123" s="1356"/>
      <c r="ER123" s="1702">
        <f>ER98/ER21</f>
        <v>969.38701084839977</v>
      </c>
      <c r="ES123" s="1356"/>
      <c r="ET123" s="1702">
        <f>ET98/ET21</f>
        <v>3260.5343276991907</v>
      </c>
      <c r="EU123" s="1356"/>
      <c r="EV123" s="1702">
        <f>EV98/EV21</f>
        <v>1251.5187540450372</v>
      </c>
      <c r="EW123" s="1356"/>
      <c r="EX123" s="1702">
        <f>EX98/EX21</f>
        <v>26461.993615917538</v>
      </c>
      <c r="EY123" s="1356"/>
      <c r="EZ123" s="1702">
        <f>EZ98/EZ21</f>
        <v>35729.966746616949</v>
      </c>
      <c r="FA123" s="1356"/>
      <c r="FB123" s="1702">
        <f>FB98/FB21</f>
        <v>525.24638024446756</v>
      </c>
      <c r="FC123" s="1356"/>
      <c r="FD123" s="1702">
        <f>FD98/FD21</f>
        <v>1497.7179774168285</v>
      </c>
      <c r="FE123" s="1356"/>
      <c r="FF123" s="1702">
        <f>FF98/FF21</f>
        <v>112</v>
      </c>
      <c r="FG123" s="1356"/>
      <c r="FH123" s="1702">
        <f>FH98/FH21</f>
        <v>9024.8062110959927</v>
      </c>
      <c r="FI123" s="1356"/>
      <c r="FJ123" s="1702">
        <f>FJ98/FJ21</f>
        <v>0</v>
      </c>
      <c r="FK123" s="1356"/>
      <c r="FL123" s="1702">
        <f>FL98/FL21</f>
        <v>4253.5268194766222</v>
      </c>
      <c r="FM123" s="1356"/>
      <c r="FN123" s="1702">
        <f>FN98/FN21</f>
        <v>26853.826667091107</v>
      </c>
      <c r="FO123" s="1356"/>
      <c r="FP123" s="1702">
        <f>FP98/FP21</f>
        <v>2736.3846786475783</v>
      </c>
      <c r="FQ123" s="1356"/>
      <c r="FR123" s="1702">
        <f>FR98/FR21</f>
        <v>1089.0216290694598</v>
      </c>
      <c r="FS123" s="1356"/>
      <c r="FT123" s="1702">
        <f>FT98/FT21</f>
        <v>7926.1397170104865</v>
      </c>
      <c r="FU123" s="1356"/>
      <c r="FV123" s="1702">
        <f>FV98/FV21</f>
        <v>25922.917546151581</v>
      </c>
      <c r="FW123" s="1356"/>
      <c r="FX123" s="1702">
        <f>FX98/FX21</f>
        <v>26302.974249833522</v>
      </c>
      <c r="FY123" s="1356"/>
      <c r="FZ123" s="1702">
        <f>FZ98/FZ21</f>
        <v>22278.448978422937</v>
      </c>
      <c r="GA123" s="1356"/>
      <c r="GB123" s="1702">
        <f>GB98/GB21</f>
        <v>46404.582364900059</v>
      </c>
      <c r="GC123" s="1356"/>
      <c r="GD123" s="1702">
        <f>GD98/GD21</f>
        <v>9444.0830512771263</v>
      </c>
      <c r="GE123" s="1356"/>
      <c r="GF123" s="1702">
        <f>GF98/GF21</f>
        <v>9355.3273624616922</v>
      </c>
      <c r="GG123" s="1356"/>
      <c r="GH123" s="1702">
        <f>GH98/GH21</f>
        <v>6877.1832028123317</v>
      </c>
      <c r="GI123" s="1356"/>
      <c r="GJ123" s="1702">
        <f>GJ98/GJ21</f>
        <v>7607.9583226669929</v>
      </c>
      <c r="GK123" s="1356"/>
      <c r="GL123" s="1702">
        <f>GL98/GL21</f>
        <v>933.57084642806888</v>
      </c>
      <c r="GM123" s="1356"/>
      <c r="GN123" s="1702">
        <f>GN98/GN21</f>
        <v>999.22195985832354</v>
      </c>
      <c r="GO123" s="1356"/>
      <c r="GP123" s="1702">
        <f>GP98/GP21</f>
        <v>28940.005974194395</v>
      </c>
      <c r="GQ123" s="1356"/>
      <c r="GR123" s="1702">
        <f>GR98/GR21</f>
        <v>1799.2379634679228</v>
      </c>
      <c r="GS123" s="1356"/>
      <c r="GT123" s="1702">
        <f>GT98/GT21</f>
        <v>712.56890573667488</v>
      </c>
      <c r="GU123" s="1356"/>
      <c r="GV123" s="1702">
        <f>GV98/GV21</f>
        <v>926.73663385527448</v>
      </c>
      <c r="GW123" s="1356"/>
      <c r="GX123" s="1702">
        <f>GX98/GX21</f>
        <v>12847.915732750022</v>
      </c>
      <c r="GY123" s="1356"/>
      <c r="GZ123" s="1702">
        <f>GZ98/GZ21</f>
        <v>2574.3818247090326</v>
      </c>
      <c r="HA123" s="1356"/>
      <c r="HB123" s="1702">
        <f>HB98/HB21</f>
        <v>28911.18173870584</v>
      </c>
      <c r="HC123" s="1356"/>
      <c r="HD123" s="1702">
        <f>HD98/HD21</f>
        <v>138393.30105142671</v>
      </c>
      <c r="HE123" s="1356"/>
      <c r="HF123" s="2018">
        <f>HF98/HF21</f>
        <v>1483.9006129476286</v>
      </c>
      <c r="HH123" s="1702">
        <f>HH98/HH21</f>
        <v>0</v>
      </c>
      <c r="HI123" s="1356"/>
      <c r="HJ123" s="1702">
        <f>HJ98/HJ21</f>
        <v>2152.3351754040564</v>
      </c>
      <c r="HK123" s="1356"/>
      <c r="HL123" s="1702">
        <f>HL98/HL21</f>
        <v>504.76486994452853</v>
      </c>
      <c r="HM123" s="1356"/>
      <c r="HN123" s="1702">
        <f>HN98/HN21</f>
        <v>4164.3079764515751</v>
      </c>
      <c r="HO123" s="1356"/>
      <c r="HP123" s="2018">
        <f>HP98/HP21</f>
        <v>1025.5922200550613</v>
      </c>
      <c r="HR123" s="1702">
        <f>HR98/HR21</f>
        <v>1268.0732945701873</v>
      </c>
      <c r="HS123" s="1356"/>
      <c r="HT123" s="2018">
        <f>HT98/HT21</f>
        <v>3055.796943159115</v>
      </c>
      <c r="HV123" s="2018">
        <f>HV98/HV21</f>
        <v>14725.085577222435</v>
      </c>
      <c r="HX123" s="2018">
        <f>HX98/HX21</f>
        <v>10350.697537781303</v>
      </c>
      <c r="HZ123" s="2018">
        <f>HZ98/HZ21</f>
        <v>7686.8904502747573</v>
      </c>
      <c r="IB123" s="1702">
        <f>IB98/IB21</f>
        <v>431.685359013766</v>
      </c>
      <c r="IC123" s="1356"/>
      <c r="ID123" s="2018">
        <f>ID98/ID21</f>
        <v>8185.2424431366853</v>
      </c>
      <c r="IF123" s="2018">
        <f>IF98/IF21</f>
        <v>2334.2889286414593</v>
      </c>
    </row>
    <row r="124" spans="1:241" ht="16.2" thickBot="1">
      <c r="A124" s="1149"/>
      <c r="B124" s="1149"/>
      <c r="C124" s="1149"/>
      <c r="D124" s="1150"/>
      <c r="E124" s="1143"/>
      <c r="F124" s="1406"/>
      <c r="G124" s="1356"/>
      <c r="H124" s="1406"/>
      <c r="I124" s="1356"/>
      <c r="J124" s="1406"/>
      <c r="K124" s="1356"/>
      <c r="L124" s="1406"/>
      <c r="M124" s="1356"/>
      <c r="N124" s="1406"/>
      <c r="O124" s="1356"/>
      <c r="P124" s="1406"/>
      <c r="Q124" s="1356"/>
      <c r="T124" s="1406"/>
      <c r="U124" s="1356"/>
      <c r="V124" s="1406"/>
      <c r="W124" s="1356"/>
      <c r="X124" s="1406"/>
      <c r="Y124" s="1356"/>
      <c r="Z124" s="1406"/>
      <c r="AA124" s="1356"/>
      <c r="AB124" s="1406"/>
      <c r="AC124" s="1356"/>
      <c r="AD124" s="1406"/>
      <c r="AE124" s="1356"/>
      <c r="AF124" s="1406"/>
      <c r="AG124" s="1356"/>
      <c r="AH124" s="1406"/>
      <c r="AI124" s="1356"/>
      <c r="AJ124" s="1406"/>
      <c r="AK124" s="1356"/>
      <c r="AL124" s="1406"/>
      <c r="AM124" s="1356"/>
      <c r="AN124" s="1406"/>
      <c r="AO124" s="1356"/>
      <c r="AP124" s="1406"/>
      <c r="AQ124" s="1356"/>
      <c r="AR124" s="1406"/>
      <c r="AS124" s="1356"/>
      <c r="AT124" s="1406"/>
      <c r="AU124" s="1356"/>
      <c r="AV124" s="1406"/>
      <c r="AW124" s="1356"/>
      <c r="AX124" s="1406"/>
      <c r="AY124" s="1356"/>
      <c r="AZ124" s="1406"/>
      <c r="BA124" s="1356"/>
      <c r="BB124" s="1406"/>
      <c r="BC124" s="1356"/>
      <c r="BD124" s="1406"/>
      <c r="BE124" s="1356"/>
      <c r="BF124" s="1406"/>
      <c r="BG124" s="1356"/>
      <c r="BH124" s="1406"/>
      <c r="BI124" s="1356"/>
      <c r="BJ124" s="1406"/>
      <c r="BK124" s="1356"/>
      <c r="BL124" s="1406"/>
      <c r="BM124" s="1356"/>
      <c r="BN124" s="1406"/>
      <c r="BO124" s="1356"/>
      <c r="BP124" s="1406"/>
      <c r="BQ124" s="1356"/>
      <c r="BR124" s="1406"/>
      <c r="BS124" s="1356"/>
      <c r="BT124" s="1406"/>
      <c r="BU124" s="1356"/>
      <c r="BV124" s="1406"/>
      <c r="BW124" s="1356"/>
      <c r="BX124" s="1406"/>
      <c r="BY124" s="1356"/>
      <c r="BZ124" s="1406"/>
      <c r="CA124" s="1356"/>
      <c r="CB124" s="1406"/>
      <c r="CC124" s="1356"/>
      <c r="CD124" s="1406"/>
      <c r="CE124" s="1356"/>
      <c r="CF124" s="1406"/>
      <c r="CG124" s="1356"/>
      <c r="CH124" s="1406"/>
      <c r="CI124" s="1356"/>
      <c r="CJ124" s="1406"/>
      <c r="CK124" s="1356"/>
      <c r="CL124" s="1406"/>
      <c r="CM124" s="1356"/>
      <c r="CN124" s="1406"/>
      <c r="CO124" s="1356"/>
      <c r="CP124" s="1406"/>
      <c r="CQ124" s="1356"/>
      <c r="CR124" s="1406"/>
      <c r="CS124" s="1356"/>
      <c r="CT124" s="1406"/>
      <c r="CU124" s="1356"/>
      <c r="CV124" s="1406"/>
      <c r="CW124" s="1356"/>
      <c r="CX124" s="1406"/>
      <c r="CY124" s="1356"/>
      <c r="CZ124" s="1406"/>
      <c r="DA124" s="1356"/>
      <c r="DB124" s="1406"/>
      <c r="DC124" s="1356"/>
      <c r="DD124" s="1406"/>
      <c r="DE124" s="1356"/>
      <c r="DF124" s="1406"/>
      <c r="DG124" s="1356"/>
      <c r="DH124" s="1406"/>
      <c r="DI124" s="1356"/>
      <c r="DJ124" s="1406"/>
      <c r="DK124" s="1356"/>
      <c r="DL124" s="1406"/>
      <c r="DM124" s="1356"/>
      <c r="DN124" s="1406"/>
      <c r="DO124" s="1356"/>
      <c r="DP124" s="1406"/>
      <c r="DQ124" s="1356"/>
      <c r="DR124" s="1406"/>
      <c r="DS124" s="1356"/>
      <c r="DT124" s="1406"/>
      <c r="DU124" s="1356"/>
      <c r="DV124" s="1406"/>
      <c r="DW124" s="1356"/>
      <c r="DX124" s="1406"/>
      <c r="DY124" s="1356"/>
      <c r="DZ124" s="1406"/>
      <c r="EA124" s="1356"/>
      <c r="EB124" s="1406"/>
      <c r="EC124" s="1356"/>
      <c r="ED124" s="1406"/>
      <c r="EE124" s="1356"/>
      <c r="EF124" s="1406"/>
      <c r="EG124" s="1356"/>
      <c r="EH124" s="1406"/>
      <c r="EI124" s="1356"/>
      <c r="EJ124" s="1406"/>
      <c r="EK124" s="1356"/>
      <c r="EL124" s="1406"/>
      <c r="EM124" s="1356"/>
      <c r="EN124" s="1406"/>
      <c r="EO124" s="1356"/>
      <c r="EP124" s="1406"/>
      <c r="EQ124" s="1356"/>
      <c r="ER124" s="1406"/>
      <c r="ES124" s="1356"/>
      <c r="ET124" s="1406"/>
      <c r="EU124" s="1356"/>
      <c r="EV124" s="1406"/>
      <c r="EW124" s="1356"/>
      <c r="EX124" s="1406"/>
      <c r="EY124" s="1356"/>
      <c r="EZ124" s="1406"/>
      <c r="FA124" s="1356"/>
      <c r="FB124" s="1406"/>
      <c r="FC124" s="1356"/>
      <c r="FD124" s="1406"/>
      <c r="FE124" s="1356"/>
      <c r="FF124" s="1406"/>
      <c r="FG124" s="1356"/>
      <c r="FH124" s="1406"/>
      <c r="FI124" s="1356"/>
      <c r="FJ124" s="1406"/>
      <c r="FK124" s="1356"/>
      <c r="FL124" s="1406"/>
      <c r="FM124" s="1356"/>
      <c r="FN124" s="1406"/>
      <c r="FO124" s="1356"/>
      <c r="FP124" s="1406"/>
      <c r="FQ124" s="1356"/>
      <c r="FR124" s="1406"/>
      <c r="FS124" s="1356"/>
      <c r="FT124" s="1406"/>
      <c r="FU124" s="1356"/>
      <c r="FV124" s="1406"/>
      <c r="FW124" s="1356"/>
      <c r="FX124" s="1406"/>
      <c r="FY124" s="1356"/>
      <c r="FZ124" s="1406"/>
      <c r="GA124" s="1356"/>
      <c r="GB124" s="1406"/>
      <c r="GC124" s="1356"/>
      <c r="GD124" s="1406"/>
      <c r="GE124" s="1356"/>
      <c r="GF124" s="1406"/>
      <c r="GG124" s="1356"/>
      <c r="GH124" s="1406"/>
      <c r="GI124" s="1356"/>
      <c r="GJ124" s="1406"/>
      <c r="GK124" s="1356"/>
      <c r="GL124" s="1406"/>
      <c r="GM124" s="1356"/>
      <c r="GN124" s="1406"/>
      <c r="GO124" s="1356"/>
      <c r="GP124" s="1406"/>
      <c r="GQ124" s="1356"/>
      <c r="GR124" s="1406"/>
      <c r="GS124" s="1356"/>
      <c r="GT124" s="1406"/>
      <c r="GU124" s="1356"/>
      <c r="GV124" s="1406"/>
      <c r="GW124" s="1356"/>
      <c r="GX124" s="1406"/>
      <c r="GY124" s="1356"/>
      <c r="GZ124" s="1406"/>
      <c r="HA124" s="1356"/>
      <c r="HB124" s="1406"/>
      <c r="HC124" s="1356"/>
      <c r="HD124" s="1406"/>
      <c r="HE124" s="1356"/>
      <c r="HH124" s="1406"/>
      <c r="HI124" s="1356"/>
      <c r="HJ124" s="1406"/>
      <c r="HK124" s="1356"/>
      <c r="HL124" s="1406"/>
      <c r="HM124" s="1356"/>
      <c r="HN124" s="1406"/>
      <c r="HO124" s="1356"/>
      <c r="HR124" s="1406"/>
      <c r="HS124" s="1356"/>
      <c r="IB124" s="1406"/>
      <c r="IC124" s="1356"/>
    </row>
    <row r="125" spans="1:241" ht="21.6" thickBot="1">
      <c r="A125" s="1149"/>
      <c r="B125" s="1147" t="s">
        <v>65</v>
      </c>
      <c r="C125" s="1148"/>
      <c r="D125" s="1148"/>
      <c r="E125" s="1148"/>
      <c r="F125" s="1932"/>
      <c r="G125" s="1356"/>
      <c r="H125" s="1538"/>
      <c r="I125" s="1356"/>
      <c r="J125" s="1538"/>
      <c r="K125" s="1356"/>
      <c r="L125" s="1538"/>
      <c r="M125" s="1356"/>
      <c r="N125" s="1538"/>
      <c r="O125" s="1356"/>
      <c r="P125" s="1538"/>
      <c r="Q125" s="1356"/>
      <c r="R125" s="1538"/>
      <c r="T125" s="1538"/>
      <c r="U125" s="1356"/>
      <c r="V125" s="1538"/>
      <c r="W125" s="1356"/>
      <c r="X125" s="1538"/>
      <c r="Y125" s="1356"/>
      <c r="Z125" s="1538"/>
      <c r="AA125" s="1356"/>
      <c r="AB125" s="1538"/>
      <c r="AC125" s="1356"/>
      <c r="AD125" s="1538"/>
      <c r="AE125" s="1356"/>
      <c r="AF125" s="1538"/>
      <c r="AG125" s="1356"/>
      <c r="AH125" s="1538"/>
      <c r="AI125" s="1356"/>
      <c r="AJ125" s="1538"/>
      <c r="AK125" s="1356"/>
      <c r="AL125" s="1538"/>
      <c r="AM125" s="1356"/>
      <c r="AN125" s="1538"/>
      <c r="AO125" s="1356"/>
      <c r="AP125" s="1538"/>
      <c r="AQ125" s="1356"/>
      <c r="AR125" s="1538"/>
      <c r="AS125" s="1356"/>
      <c r="AT125" s="1538"/>
      <c r="AU125" s="1356"/>
      <c r="AV125" s="1538"/>
      <c r="AW125" s="1356"/>
      <c r="AX125" s="1538"/>
      <c r="AY125" s="1356"/>
      <c r="AZ125" s="1538"/>
      <c r="BA125" s="1356"/>
      <c r="BB125" s="1538"/>
      <c r="BC125" s="1356"/>
      <c r="BD125" s="1538"/>
      <c r="BE125" s="1356"/>
      <c r="BF125" s="1538"/>
      <c r="BG125" s="1356"/>
      <c r="BH125" s="1538"/>
      <c r="BI125" s="1356"/>
      <c r="BJ125" s="1538"/>
      <c r="BK125" s="1356"/>
      <c r="BL125" s="1538"/>
      <c r="BM125" s="1356"/>
      <c r="BN125" s="1538"/>
      <c r="BO125" s="1356"/>
      <c r="BP125" s="1538"/>
      <c r="BQ125" s="1356"/>
      <c r="BR125" s="1538"/>
      <c r="BS125" s="1356"/>
      <c r="BT125" s="1538"/>
      <c r="BU125" s="1356"/>
      <c r="BV125" s="1538"/>
      <c r="BW125" s="1356"/>
      <c r="BX125" s="1538"/>
      <c r="BY125" s="1356"/>
      <c r="BZ125" s="1538"/>
      <c r="CA125" s="1356"/>
      <c r="CB125" s="1538"/>
      <c r="CC125" s="1356"/>
      <c r="CD125" s="1538"/>
      <c r="CE125" s="1356"/>
      <c r="CF125" s="1538"/>
      <c r="CG125" s="1356"/>
      <c r="CH125" s="1538"/>
      <c r="CI125" s="1356"/>
      <c r="CJ125" s="1538"/>
      <c r="CK125" s="1356"/>
      <c r="CL125" s="1538"/>
      <c r="CM125" s="1356"/>
      <c r="CN125" s="1538"/>
      <c r="CO125" s="1356"/>
      <c r="CP125" s="1538"/>
      <c r="CQ125" s="1356"/>
      <c r="CR125" s="1538"/>
      <c r="CS125" s="1356"/>
      <c r="CT125" s="1538"/>
      <c r="CU125" s="1356"/>
      <c r="CV125" s="1538"/>
      <c r="CW125" s="1356"/>
      <c r="CX125" s="1538"/>
      <c r="CY125" s="1356"/>
      <c r="CZ125" s="1538"/>
      <c r="DA125" s="1356"/>
      <c r="DB125" s="1538"/>
      <c r="DC125" s="1356"/>
      <c r="DD125" s="1538"/>
      <c r="DE125" s="1356"/>
      <c r="DF125" s="1538"/>
      <c r="DG125" s="1356"/>
      <c r="DH125" s="1538"/>
      <c r="DI125" s="1356"/>
      <c r="DJ125" s="1538"/>
      <c r="DK125" s="1356"/>
      <c r="DL125" s="1538"/>
      <c r="DM125" s="1356"/>
      <c r="DN125" s="1538"/>
      <c r="DO125" s="1356"/>
      <c r="DP125" s="1538"/>
      <c r="DQ125" s="1356"/>
      <c r="DR125" s="1538"/>
      <c r="DS125" s="1356"/>
      <c r="DT125" s="1538"/>
      <c r="DU125" s="1356"/>
      <c r="DV125" s="1538"/>
      <c r="DW125" s="1356"/>
      <c r="DX125" s="1538"/>
      <c r="DY125" s="1356"/>
      <c r="DZ125" s="1538"/>
      <c r="EA125" s="1356"/>
      <c r="EB125" s="1538"/>
      <c r="EC125" s="1356"/>
      <c r="ED125" s="1538"/>
      <c r="EE125" s="1356"/>
      <c r="EF125" s="1538"/>
      <c r="EG125" s="1356"/>
      <c r="EH125" s="1538"/>
      <c r="EI125" s="1356"/>
      <c r="EJ125" s="1538"/>
      <c r="EK125" s="1356"/>
      <c r="EL125" s="1538"/>
      <c r="EM125" s="1356"/>
      <c r="EN125" s="1538"/>
      <c r="EO125" s="1356"/>
      <c r="EP125" s="1538"/>
      <c r="EQ125" s="1356"/>
      <c r="ER125" s="1538"/>
      <c r="ES125" s="1356"/>
      <c r="ET125" s="1538"/>
      <c r="EU125" s="1356"/>
      <c r="EV125" s="1538"/>
      <c r="EW125" s="1356"/>
      <c r="EX125" s="1538"/>
      <c r="EY125" s="1356"/>
      <c r="EZ125" s="1538"/>
      <c r="FA125" s="1356"/>
      <c r="FB125" s="1538"/>
      <c r="FC125" s="1356"/>
      <c r="FD125" s="1538"/>
      <c r="FE125" s="1356"/>
      <c r="FF125" s="1538"/>
      <c r="FG125" s="1356"/>
      <c r="FH125" s="1538"/>
      <c r="FI125" s="1356"/>
      <c r="FJ125" s="1538"/>
      <c r="FK125" s="1356"/>
      <c r="FL125" s="1538"/>
      <c r="FM125" s="1356"/>
      <c r="FN125" s="1538"/>
      <c r="FO125" s="1356"/>
      <c r="FP125" s="1538"/>
      <c r="FQ125" s="1356"/>
      <c r="FR125" s="1538"/>
      <c r="FS125" s="1356"/>
      <c r="FT125" s="1538"/>
      <c r="FU125" s="1356"/>
      <c r="FV125" s="1538"/>
      <c r="FW125" s="1356"/>
      <c r="FX125" s="1538"/>
      <c r="FY125" s="1356"/>
      <c r="FZ125" s="1538"/>
      <c r="GA125" s="1356"/>
      <c r="GB125" s="1538"/>
      <c r="GC125" s="1356"/>
      <c r="GD125" s="1538"/>
      <c r="GE125" s="1356"/>
      <c r="GF125" s="1538"/>
      <c r="GG125" s="1356"/>
      <c r="GH125" s="1538"/>
      <c r="GI125" s="1356"/>
      <c r="GJ125" s="1538"/>
      <c r="GK125" s="1356"/>
      <c r="GL125" s="1538"/>
      <c r="GM125" s="1356"/>
      <c r="GN125" s="1538"/>
      <c r="GO125" s="1356"/>
      <c r="GP125" s="1538"/>
      <c r="GQ125" s="1356"/>
      <c r="GR125" s="1538"/>
      <c r="GS125" s="1356"/>
      <c r="GT125" s="1538"/>
      <c r="GU125" s="1356"/>
      <c r="GV125" s="1538"/>
      <c r="GW125" s="1356"/>
      <c r="GX125" s="1538"/>
      <c r="GY125" s="1356"/>
      <c r="GZ125" s="1538"/>
      <c r="HA125" s="1356"/>
      <c r="HB125" s="1538"/>
      <c r="HC125" s="1356"/>
      <c r="HD125" s="1538"/>
      <c r="HE125" s="1356"/>
      <c r="HF125" s="1535"/>
      <c r="HH125" s="1538"/>
      <c r="HI125" s="1356"/>
      <c r="HJ125" s="1538"/>
      <c r="HK125" s="1356"/>
      <c r="HL125" s="1538"/>
      <c r="HM125" s="1356"/>
      <c r="HN125" s="1538"/>
      <c r="HO125" s="1356"/>
      <c r="HP125" s="2077"/>
      <c r="HR125" s="1538"/>
      <c r="HS125" s="1356"/>
      <c r="HT125" s="1538"/>
      <c r="HV125" s="1538"/>
      <c r="HX125" s="1538"/>
      <c r="HZ125" s="1538"/>
      <c r="IB125" s="1538"/>
      <c r="IC125" s="1356"/>
      <c r="ID125" s="1538"/>
      <c r="IF125" s="1005"/>
    </row>
    <row r="126" spans="1:241">
      <c r="A126" s="1149"/>
      <c r="B126" s="1149"/>
      <c r="C126" s="1149"/>
      <c r="D126" s="1155"/>
      <c r="E126" s="1143"/>
      <c r="F126" s="1406"/>
      <c r="G126" s="1356"/>
      <c r="H126" s="1406"/>
      <c r="I126" s="1356"/>
      <c r="J126" s="1406"/>
      <c r="K126" s="1356"/>
      <c r="L126" s="1406"/>
      <c r="M126" s="1356"/>
      <c r="N126" s="1406"/>
      <c r="O126" s="1356"/>
      <c r="P126" s="1406"/>
      <c r="Q126" s="1356"/>
      <c r="T126" s="1406"/>
      <c r="U126" s="1356"/>
      <c r="V126" s="1406"/>
      <c r="W126" s="1356"/>
      <c r="X126" s="1406"/>
      <c r="Y126" s="1356"/>
      <c r="Z126" s="1406"/>
      <c r="AA126" s="1356"/>
      <c r="AB126" s="1406"/>
      <c r="AC126" s="1356"/>
      <c r="AD126" s="1406"/>
      <c r="AE126" s="1356"/>
      <c r="AF126" s="1406"/>
      <c r="AG126" s="1356"/>
      <c r="AH126" s="1406"/>
      <c r="AI126" s="1356"/>
      <c r="AJ126" s="1406"/>
      <c r="AK126" s="1356"/>
      <c r="AL126" s="1406"/>
      <c r="AM126" s="1356"/>
      <c r="AN126" s="1406"/>
      <c r="AO126" s="1356"/>
      <c r="AP126" s="1406"/>
      <c r="AQ126" s="1356"/>
      <c r="AR126" s="1406"/>
      <c r="AS126" s="1356"/>
      <c r="AT126" s="1406"/>
      <c r="AU126" s="1356"/>
      <c r="AV126" s="1406"/>
      <c r="AW126" s="1356"/>
      <c r="AX126" s="1406"/>
      <c r="AY126" s="1356"/>
      <c r="AZ126" s="1406"/>
      <c r="BA126" s="1356"/>
      <c r="BB126" s="1406"/>
      <c r="BC126" s="1356"/>
      <c r="BD126" s="1406"/>
      <c r="BE126" s="1356"/>
      <c r="BF126" s="1406"/>
      <c r="BG126" s="1356"/>
      <c r="BH126" s="1406"/>
      <c r="BI126" s="1356"/>
      <c r="BJ126" s="1406"/>
      <c r="BK126" s="1356"/>
      <c r="BL126" s="1406"/>
      <c r="BM126" s="1356"/>
      <c r="BN126" s="1406"/>
      <c r="BO126" s="1356"/>
      <c r="BP126" s="1406"/>
      <c r="BQ126" s="1356"/>
      <c r="BR126" s="1406"/>
      <c r="BS126" s="1356"/>
      <c r="BT126" s="1406"/>
      <c r="BU126" s="1356"/>
      <c r="BV126" s="1406"/>
      <c r="BW126" s="1356"/>
      <c r="BX126" s="1406"/>
      <c r="BY126" s="1356"/>
      <c r="BZ126" s="1406"/>
      <c r="CA126" s="1356"/>
      <c r="CB126" s="1406"/>
      <c r="CC126" s="1356"/>
      <c r="CD126" s="1406"/>
      <c r="CE126" s="1356"/>
      <c r="CF126" s="1406"/>
      <c r="CG126" s="1356"/>
      <c r="CH126" s="1406"/>
      <c r="CI126" s="1356"/>
      <c r="CJ126" s="1406"/>
      <c r="CK126" s="1356"/>
      <c r="CL126" s="1406"/>
      <c r="CM126" s="1356"/>
      <c r="CN126" s="1406"/>
      <c r="CO126" s="1356"/>
      <c r="CP126" s="1406"/>
      <c r="CQ126" s="1356"/>
      <c r="CR126" s="1406"/>
      <c r="CS126" s="1356"/>
      <c r="CT126" s="1406"/>
      <c r="CU126" s="1356"/>
      <c r="CV126" s="1406"/>
      <c r="CW126" s="1356"/>
      <c r="CX126" s="1406"/>
      <c r="CY126" s="1356"/>
      <c r="CZ126" s="1406"/>
      <c r="DA126" s="1356"/>
      <c r="DB126" s="1406"/>
      <c r="DC126" s="1356"/>
      <c r="DD126" s="1406"/>
      <c r="DE126" s="1356"/>
      <c r="DF126" s="1406"/>
      <c r="DG126" s="1356"/>
      <c r="DH126" s="1406"/>
      <c r="DI126" s="1356"/>
      <c r="DJ126" s="1406"/>
      <c r="DK126" s="1356"/>
      <c r="DL126" s="1406"/>
      <c r="DM126" s="1356"/>
      <c r="DN126" s="1406"/>
      <c r="DO126" s="1356"/>
      <c r="DP126" s="1406"/>
      <c r="DQ126" s="1356"/>
      <c r="DR126" s="1406"/>
      <c r="DS126" s="1356"/>
      <c r="DT126" s="1406"/>
      <c r="DU126" s="1356"/>
      <c r="DV126" s="1406"/>
      <c r="DW126" s="1356"/>
      <c r="DX126" s="1406"/>
      <c r="DY126" s="1356"/>
      <c r="DZ126" s="1406"/>
      <c r="EA126" s="1356"/>
      <c r="EB126" s="1406"/>
      <c r="EC126" s="1356"/>
      <c r="ED126" s="1406"/>
      <c r="EE126" s="1356"/>
      <c r="EF126" s="1406"/>
      <c r="EG126" s="1356"/>
      <c r="EH126" s="1406"/>
      <c r="EI126" s="1356"/>
      <c r="EJ126" s="1406"/>
      <c r="EK126" s="1356"/>
      <c r="EL126" s="1406"/>
      <c r="EM126" s="1356"/>
      <c r="EN126" s="1406"/>
      <c r="EO126" s="1356"/>
      <c r="EP126" s="1406"/>
      <c r="EQ126" s="1356"/>
      <c r="ER126" s="1406"/>
      <c r="ES126" s="1356"/>
      <c r="ET126" s="1406"/>
      <c r="EU126" s="1356"/>
      <c r="EV126" s="1406"/>
      <c r="EW126" s="1356"/>
      <c r="EX126" s="1406"/>
      <c r="EY126" s="1356"/>
      <c r="EZ126" s="1406"/>
      <c r="FA126" s="1356"/>
      <c r="FB126" s="1406"/>
      <c r="FC126" s="1356"/>
      <c r="FD126" s="1406"/>
      <c r="FE126" s="1356"/>
      <c r="FF126" s="1406"/>
      <c r="FG126" s="1356"/>
      <c r="FH126" s="1406"/>
      <c r="FI126" s="1356"/>
      <c r="FJ126" s="1406"/>
      <c r="FK126" s="1356"/>
      <c r="FL126" s="1406"/>
      <c r="FM126" s="1356"/>
      <c r="FN126" s="1406"/>
      <c r="FO126" s="1356"/>
      <c r="FP126" s="1406"/>
      <c r="FQ126" s="1356"/>
      <c r="FR126" s="1406"/>
      <c r="FS126" s="1356"/>
      <c r="FT126" s="1406"/>
      <c r="FU126" s="1356"/>
      <c r="FV126" s="1406"/>
      <c r="FW126" s="1356"/>
      <c r="FX126" s="1406"/>
      <c r="FY126" s="1356"/>
      <c r="FZ126" s="1406"/>
      <c r="GA126" s="1356"/>
      <c r="GB126" s="1406"/>
      <c r="GC126" s="1356"/>
      <c r="GD126" s="1406"/>
      <c r="GE126" s="1356"/>
      <c r="GF126" s="1406"/>
      <c r="GG126" s="1356"/>
      <c r="GH126" s="1406"/>
      <c r="GI126" s="1356"/>
      <c r="GJ126" s="1406"/>
      <c r="GK126" s="1356"/>
      <c r="GL126" s="1406"/>
      <c r="GM126" s="1356"/>
      <c r="GN126" s="1406"/>
      <c r="GO126" s="1356"/>
      <c r="GP126" s="1406"/>
      <c r="GQ126" s="1356"/>
      <c r="GR126" s="1406"/>
      <c r="GS126" s="1356"/>
      <c r="GT126" s="1406"/>
      <c r="GU126" s="1356"/>
      <c r="GV126" s="1406"/>
      <c r="GW126" s="1356"/>
      <c r="GX126" s="1406"/>
      <c r="GY126" s="1356"/>
      <c r="GZ126" s="1406"/>
      <c r="HA126" s="1356"/>
      <c r="HB126" s="1406"/>
      <c r="HC126" s="1356"/>
      <c r="HD126" s="1406"/>
      <c r="HE126" s="1356"/>
      <c r="HH126" s="1406"/>
      <c r="HI126" s="1356"/>
      <c r="HJ126" s="1406"/>
      <c r="HK126" s="1356"/>
      <c r="HL126" s="1406"/>
      <c r="HM126" s="1356"/>
      <c r="HN126" s="1406"/>
      <c r="HO126" s="1356"/>
      <c r="HR126" s="1406"/>
      <c r="HS126" s="1356"/>
      <c r="IB126" s="1406"/>
      <c r="IC126" s="1356"/>
    </row>
    <row r="127" spans="1:241">
      <c r="A127" s="1149"/>
      <c r="B127" s="1149" t="s">
        <v>5</v>
      </c>
      <c r="C127" s="1149"/>
      <c r="D127" s="1149"/>
      <c r="E127" s="1143"/>
      <c r="F127" s="1406"/>
      <c r="G127" s="1356"/>
      <c r="H127" s="1406"/>
      <c r="I127" s="1356"/>
      <c r="J127" s="1406"/>
      <c r="K127" s="1356"/>
      <c r="L127" s="1406"/>
      <c r="M127" s="1356"/>
      <c r="N127" s="1406"/>
      <c r="O127" s="1356"/>
      <c r="P127" s="1406"/>
      <c r="Q127" s="1356"/>
      <c r="T127" s="1406"/>
      <c r="U127" s="1356"/>
      <c r="V127" s="1406"/>
      <c r="W127" s="1356"/>
      <c r="X127" s="1406"/>
      <c r="Y127" s="1356"/>
      <c r="Z127" s="1406"/>
      <c r="AA127" s="1356"/>
      <c r="AB127" s="1406"/>
      <c r="AC127" s="1356"/>
      <c r="AD127" s="1406"/>
      <c r="AE127" s="1356"/>
      <c r="AF127" s="1406"/>
      <c r="AG127" s="1356"/>
      <c r="AH127" s="1406"/>
      <c r="AI127" s="1356"/>
      <c r="AJ127" s="1406"/>
      <c r="AK127" s="1356"/>
      <c r="AL127" s="1406"/>
      <c r="AM127" s="1356"/>
      <c r="AN127" s="1406"/>
      <c r="AO127" s="1356"/>
      <c r="AP127" s="1406"/>
      <c r="AQ127" s="1356"/>
      <c r="AR127" s="1406"/>
      <c r="AS127" s="1356"/>
      <c r="AT127" s="1406"/>
      <c r="AU127" s="1356"/>
      <c r="AV127" s="1406"/>
      <c r="AW127" s="1356"/>
      <c r="AX127" s="1406"/>
      <c r="AY127" s="1356"/>
      <c r="AZ127" s="1406"/>
      <c r="BA127" s="1356"/>
      <c r="BB127" s="1406"/>
      <c r="BC127" s="1356"/>
      <c r="BD127" s="1406"/>
      <c r="BE127" s="1356"/>
      <c r="BF127" s="1406"/>
      <c r="BG127" s="1356"/>
      <c r="BH127" s="1406"/>
      <c r="BI127" s="1356"/>
      <c r="BJ127" s="1406"/>
      <c r="BK127" s="1356"/>
      <c r="BL127" s="1406"/>
      <c r="BM127" s="1356"/>
      <c r="BN127" s="1406"/>
      <c r="BO127" s="1356"/>
      <c r="BP127" s="1406"/>
      <c r="BQ127" s="1356"/>
      <c r="BR127" s="1406"/>
      <c r="BS127" s="1356"/>
      <c r="BT127" s="1406"/>
      <c r="BU127" s="1356"/>
      <c r="BV127" s="1406"/>
      <c r="BW127" s="1356"/>
      <c r="BX127" s="1406"/>
      <c r="BY127" s="1356"/>
      <c r="BZ127" s="1406"/>
      <c r="CA127" s="1356"/>
      <c r="CB127" s="1406"/>
      <c r="CC127" s="1356"/>
      <c r="CD127" s="1406"/>
      <c r="CE127" s="1356"/>
      <c r="CF127" s="1406"/>
      <c r="CG127" s="1356"/>
      <c r="CH127" s="1406"/>
      <c r="CI127" s="1356"/>
      <c r="CJ127" s="1406"/>
      <c r="CK127" s="1356"/>
      <c r="CL127" s="1406"/>
      <c r="CM127" s="1356"/>
      <c r="CN127" s="1406"/>
      <c r="CO127" s="1356"/>
      <c r="CP127" s="1406"/>
      <c r="CQ127" s="1356"/>
      <c r="CR127" s="1406"/>
      <c r="CS127" s="1356"/>
      <c r="CT127" s="1406"/>
      <c r="CU127" s="1356"/>
      <c r="CV127" s="1406"/>
      <c r="CW127" s="1356"/>
      <c r="CX127" s="1406"/>
      <c r="CY127" s="1356"/>
      <c r="CZ127" s="1406"/>
      <c r="DA127" s="1356"/>
      <c r="DB127" s="1406"/>
      <c r="DC127" s="1356"/>
      <c r="DD127" s="1406"/>
      <c r="DE127" s="1356"/>
      <c r="DF127" s="1406"/>
      <c r="DG127" s="1356"/>
      <c r="DH127" s="1406"/>
      <c r="DI127" s="1356"/>
      <c r="DJ127" s="1406"/>
      <c r="DK127" s="1356"/>
      <c r="DL127" s="1406"/>
      <c r="DM127" s="1356"/>
      <c r="DN127" s="1406"/>
      <c r="DO127" s="1356"/>
      <c r="DP127" s="1406"/>
      <c r="DQ127" s="1356"/>
      <c r="DR127" s="1406"/>
      <c r="DS127" s="1356"/>
      <c r="DT127" s="1406"/>
      <c r="DU127" s="1356"/>
      <c r="DV127" s="1406"/>
      <c r="DW127" s="1356"/>
      <c r="DX127" s="1406"/>
      <c r="DY127" s="1356"/>
      <c r="DZ127" s="1406"/>
      <c r="EA127" s="1356"/>
      <c r="EB127" s="1406"/>
      <c r="EC127" s="1356"/>
      <c r="ED127" s="1406"/>
      <c r="EE127" s="1356"/>
      <c r="EF127" s="1406"/>
      <c r="EG127" s="1356"/>
      <c r="EH127" s="1406"/>
      <c r="EI127" s="1356"/>
      <c r="EJ127" s="1406"/>
      <c r="EK127" s="1356"/>
      <c r="EL127" s="1406"/>
      <c r="EM127" s="1356"/>
      <c r="EN127" s="1406"/>
      <c r="EO127" s="1356"/>
      <c r="EP127" s="1406"/>
      <c r="EQ127" s="1356"/>
      <c r="ER127" s="1406"/>
      <c r="ES127" s="1356"/>
      <c r="ET127" s="1406"/>
      <c r="EU127" s="1356"/>
      <c r="EV127" s="1406"/>
      <c r="EW127" s="1356"/>
      <c r="EX127" s="1406"/>
      <c r="EY127" s="1356"/>
      <c r="EZ127" s="1406"/>
      <c r="FA127" s="1356"/>
      <c r="FB127" s="1406"/>
      <c r="FC127" s="1356"/>
      <c r="FD127" s="1406"/>
      <c r="FE127" s="1356"/>
      <c r="FF127" s="1406"/>
      <c r="FG127" s="1356"/>
      <c r="FH127" s="1406"/>
      <c r="FI127" s="1356"/>
      <c r="FJ127" s="1406"/>
      <c r="FK127" s="1356"/>
      <c r="FL127" s="1406"/>
      <c r="FM127" s="1356"/>
      <c r="FN127" s="1406"/>
      <c r="FO127" s="1356"/>
      <c r="FP127" s="1406"/>
      <c r="FQ127" s="1356"/>
      <c r="FR127" s="1406"/>
      <c r="FS127" s="1356"/>
      <c r="FT127" s="1406"/>
      <c r="FU127" s="1356"/>
      <c r="FV127" s="1406"/>
      <c r="FW127" s="1356"/>
      <c r="FX127" s="1406"/>
      <c r="FY127" s="1356"/>
      <c r="FZ127" s="1406"/>
      <c r="GA127" s="1356"/>
      <c r="GB127" s="1406"/>
      <c r="GC127" s="1356"/>
      <c r="GD127" s="1406"/>
      <c r="GE127" s="1356"/>
      <c r="GF127" s="1406"/>
      <c r="GG127" s="1356"/>
      <c r="GH127" s="1406"/>
      <c r="GI127" s="1356"/>
      <c r="GJ127" s="1406"/>
      <c r="GK127" s="1356"/>
      <c r="GL127" s="1406"/>
      <c r="GM127" s="1356"/>
      <c r="GN127" s="1406"/>
      <c r="GO127" s="1356"/>
      <c r="GP127" s="1406"/>
      <c r="GQ127" s="1356"/>
      <c r="GR127" s="1406"/>
      <c r="GS127" s="1356"/>
      <c r="GT127" s="1406"/>
      <c r="GU127" s="1356"/>
      <c r="GV127" s="1406"/>
      <c r="GW127" s="1356"/>
      <c r="GX127" s="1406"/>
      <c r="GY127" s="1356"/>
      <c r="GZ127" s="1406"/>
      <c r="HA127" s="1356"/>
      <c r="HB127" s="1406"/>
      <c r="HC127" s="1356"/>
      <c r="HD127" s="1406"/>
      <c r="HE127" s="1356"/>
      <c r="HH127" s="1406"/>
      <c r="HI127" s="1356"/>
      <c r="HJ127" s="1406"/>
      <c r="HK127" s="1356"/>
      <c r="HL127" s="1406"/>
      <c r="HM127" s="1356"/>
      <c r="HN127" s="1406"/>
      <c r="HO127" s="1356"/>
      <c r="HR127" s="1406"/>
      <c r="HS127" s="1356"/>
      <c r="IB127" s="1406"/>
      <c r="IC127" s="1356"/>
    </row>
    <row r="128" spans="1:241">
      <c r="A128" s="1149"/>
      <c r="B128" s="1149"/>
      <c r="C128" s="1149"/>
      <c r="D128" s="1149" t="s">
        <v>6</v>
      </c>
      <c r="E128" s="1143"/>
      <c r="F128" s="1406"/>
      <c r="G128" s="1356"/>
      <c r="H128" s="1406"/>
      <c r="I128" s="1356"/>
      <c r="J128" s="1406"/>
      <c r="K128" s="1356"/>
      <c r="L128" s="1406"/>
      <c r="M128" s="1356"/>
      <c r="N128" s="1406"/>
      <c r="O128" s="1356"/>
      <c r="P128" s="1406"/>
      <c r="Q128" s="1356"/>
      <c r="T128" s="1406"/>
      <c r="U128" s="1356"/>
      <c r="V128" s="1406"/>
      <c r="W128" s="1356"/>
      <c r="X128" s="1406"/>
      <c r="Y128" s="1356"/>
      <c r="Z128" s="1406"/>
      <c r="AA128" s="1356"/>
      <c r="AB128" s="1406"/>
      <c r="AC128" s="1356"/>
      <c r="AD128" s="1406"/>
      <c r="AE128" s="1356"/>
      <c r="AF128" s="1406"/>
      <c r="AG128" s="1356"/>
      <c r="AH128" s="1406"/>
      <c r="AI128" s="1356"/>
      <c r="AJ128" s="1406"/>
      <c r="AK128" s="1356"/>
      <c r="AL128" s="1406"/>
      <c r="AM128" s="1356"/>
      <c r="AN128" s="1406"/>
      <c r="AO128" s="1356"/>
      <c r="AP128" s="1406"/>
      <c r="AQ128" s="1356"/>
      <c r="AR128" s="1406"/>
      <c r="AS128" s="1356"/>
      <c r="AT128" s="1406"/>
      <c r="AU128" s="1356"/>
      <c r="AV128" s="1406"/>
      <c r="AW128" s="1356"/>
      <c r="AX128" s="1406"/>
      <c r="AY128" s="1356"/>
      <c r="AZ128" s="1406"/>
      <c r="BA128" s="1356"/>
      <c r="BB128" s="1406"/>
      <c r="BC128" s="1356"/>
      <c r="BD128" s="1406"/>
      <c r="BE128" s="1356"/>
      <c r="BF128" s="1406"/>
      <c r="BG128" s="1356"/>
      <c r="BH128" s="1406"/>
      <c r="BI128" s="1356"/>
      <c r="BJ128" s="1406"/>
      <c r="BK128" s="1356"/>
      <c r="BL128" s="1406"/>
      <c r="BM128" s="1356"/>
      <c r="BN128" s="1406"/>
      <c r="BO128" s="1356"/>
      <c r="BP128" s="1406"/>
      <c r="BQ128" s="1356"/>
      <c r="BR128" s="1406"/>
      <c r="BS128" s="1356"/>
      <c r="BT128" s="1406"/>
      <c r="BU128" s="1356"/>
      <c r="BV128" s="1406"/>
      <c r="BW128" s="1356"/>
      <c r="BX128" s="1406"/>
      <c r="BY128" s="1356"/>
      <c r="BZ128" s="1406"/>
      <c r="CA128" s="1356"/>
      <c r="CB128" s="1406"/>
      <c r="CC128" s="1356"/>
      <c r="CD128" s="1406"/>
      <c r="CE128" s="1356"/>
      <c r="CF128" s="1406"/>
      <c r="CG128" s="1356"/>
      <c r="CH128" s="1406"/>
      <c r="CI128" s="1356"/>
      <c r="CJ128" s="1406"/>
      <c r="CK128" s="1356"/>
      <c r="CL128" s="1406"/>
      <c r="CM128" s="1356"/>
      <c r="CN128" s="1406"/>
      <c r="CO128" s="1356"/>
      <c r="CP128" s="1406"/>
      <c r="CQ128" s="1356"/>
      <c r="CR128" s="1406"/>
      <c r="CS128" s="1356"/>
      <c r="CT128" s="1406"/>
      <c r="CU128" s="1356"/>
      <c r="CV128" s="1406"/>
      <c r="CW128" s="1356"/>
      <c r="CX128" s="1406"/>
      <c r="CY128" s="1356"/>
      <c r="CZ128" s="1406"/>
      <c r="DA128" s="1356"/>
      <c r="DB128" s="1406"/>
      <c r="DC128" s="1356"/>
      <c r="DD128" s="1406"/>
      <c r="DE128" s="1356"/>
      <c r="DF128" s="1406"/>
      <c r="DG128" s="1356"/>
      <c r="DH128" s="1406"/>
      <c r="DI128" s="1356"/>
      <c r="DJ128" s="1406"/>
      <c r="DK128" s="1356"/>
      <c r="DL128" s="1406"/>
      <c r="DM128" s="1356"/>
      <c r="DN128" s="1406"/>
      <c r="DO128" s="1356"/>
      <c r="DP128" s="1406"/>
      <c r="DQ128" s="1356"/>
      <c r="DR128" s="1406"/>
      <c r="DS128" s="1356"/>
      <c r="DT128" s="1406"/>
      <c r="DU128" s="1356"/>
      <c r="DV128" s="1406"/>
      <c r="DW128" s="1356"/>
      <c r="DX128" s="1406"/>
      <c r="DY128" s="1356"/>
      <c r="DZ128" s="1406"/>
      <c r="EA128" s="1356"/>
      <c r="EB128" s="1406"/>
      <c r="EC128" s="1356"/>
      <c r="ED128" s="1406"/>
      <c r="EE128" s="1356"/>
      <c r="EF128" s="1406"/>
      <c r="EG128" s="1356"/>
      <c r="EH128" s="1406"/>
      <c r="EI128" s="1356"/>
      <c r="EJ128" s="1406"/>
      <c r="EK128" s="1356"/>
      <c r="EL128" s="1406"/>
      <c r="EM128" s="1356"/>
      <c r="EN128" s="1406"/>
      <c r="EO128" s="1356"/>
      <c r="EP128" s="1406"/>
      <c r="EQ128" s="1356"/>
      <c r="ER128" s="1406"/>
      <c r="ES128" s="1356"/>
      <c r="ET128" s="1406"/>
      <c r="EU128" s="1356"/>
      <c r="EV128" s="1406"/>
      <c r="EW128" s="1356"/>
      <c r="EX128" s="1406"/>
      <c r="EY128" s="1356"/>
      <c r="EZ128" s="1406"/>
      <c r="FA128" s="1356"/>
      <c r="FB128" s="1406"/>
      <c r="FC128" s="1356"/>
      <c r="FD128" s="1406"/>
      <c r="FE128" s="1356"/>
      <c r="FF128" s="1406"/>
      <c r="FG128" s="1356"/>
      <c r="FH128" s="1406"/>
      <c r="FI128" s="1356"/>
      <c r="FJ128" s="1406"/>
      <c r="FK128" s="1356"/>
      <c r="FL128" s="1406"/>
      <c r="FM128" s="1356"/>
      <c r="FN128" s="1406"/>
      <c r="FO128" s="1356"/>
      <c r="FP128" s="1406"/>
      <c r="FQ128" s="1356"/>
      <c r="FR128" s="1406"/>
      <c r="FS128" s="1356"/>
      <c r="FT128" s="1406"/>
      <c r="FU128" s="1356"/>
      <c r="FV128" s="1406"/>
      <c r="FW128" s="1356"/>
      <c r="FX128" s="1406"/>
      <c r="FY128" s="1356"/>
      <c r="FZ128" s="1406"/>
      <c r="GA128" s="1356"/>
      <c r="GB128" s="1406"/>
      <c r="GC128" s="1356"/>
      <c r="GD128" s="1406"/>
      <c r="GE128" s="1356"/>
      <c r="GF128" s="1406"/>
      <c r="GG128" s="1356"/>
      <c r="GH128" s="1406"/>
      <c r="GI128" s="1356"/>
      <c r="GJ128" s="1406"/>
      <c r="GK128" s="1356"/>
      <c r="GL128" s="1406"/>
      <c r="GM128" s="1356"/>
      <c r="GN128" s="1406"/>
      <c r="GO128" s="1356"/>
      <c r="GP128" s="1406"/>
      <c r="GQ128" s="1356"/>
      <c r="GR128" s="1406"/>
      <c r="GS128" s="1356"/>
      <c r="GT128" s="1406"/>
      <c r="GU128" s="1356"/>
      <c r="GV128" s="1406"/>
      <c r="GW128" s="1356"/>
      <c r="GX128" s="1406"/>
      <c r="GY128" s="1356"/>
      <c r="GZ128" s="1406"/>
      <c r="HA128" s="1356"/>
      <c r="HB128" s="1406"/>
      <c r="HC128" s="1356"/>
      <c r="HD128" s="1406"/>
      <c r="HE128" s="1356"/>
      <c r="HH128" s="1406"/>
      <c r="HI128" s="1356"/>
      <c r="HJ128" s="1406"/>
      <c r="HK128" s="1356"/>
      <c r="HL128" s="1406"/>
      <c r="HM128" s="1356"/>
      <c r="HN128" s="1406"/>
      <c r="HO128" s="1356"/>
      <c r="HR128" s="1406"/>
      <c r="HS128" s="1356"/>
      <c r="IB128" s="1406"/>
      <c r="IC128" s="1356"/>
    </row>
    <row r="129" spans="1:241">
      <c r="A129" s="1149"/>
      <c r="B129" s="1149"/>
      <c r="C129" s="1149"/>
      <c r="D129" s="1149" t="s">
        <v>7</v>
      </c>
      <c r="E129" s="1143"/>
      <c r="F129" s="1715">
        <v>0</v>
      </c>
      <c r="G129" s="1716">
        <f>+F129/F$140</f>
        <v>0</v>
      </c>
      <c r="H129" s="1715">
        <v>1033173</v>
      </c>
      <c r="I129" s="1716">
        <f>+H129/H$140</f>
        <v>9.3817644316501719E-2</v>
      </c>
      <c r="J129" s="1715">
        <v>752340</v>
      </c>
      <c r="K129" s="1716">
        <f>+J129/J$140</f>
        <v>0.10737495258084377</v>
      </c>
      <c r="L129" s="1715">
        <v>3750700</v>
      </c>
      <c r="M129" s="1716">
        <f>+L129/L$140</f>
        <v>5.2623939008255592E-2</v>
      </c>
      <c r="N129" s="1715">
        <v>462442</v>
      </c>
      <c r="O129" s="1716">
        <f>+N129/N$140</f>
        <v>4.581534091978625E-2</v>
      </c>
      <c r="P129" s="1715">
        <v>5171392</v>
      </c>
      <c r="Q129" s="1716">
        <f>+P129/P$140</f>
        <v>0.12606779875955862</v>
      </c>
      <c r="R129" s="1786">
        <v>2627636</v>
      </c>
      <c r="S129" s="1716">
        <f>+R129/R$140</f>
        <v>0.12208867839561803</v>
      </c>
      <c r="T129" s="1715"/>
      <c r="U129" s="1716">
        <f>+T129/T$140</f>
        <v>0</v>
      </c>
      <c r="V129" s="1715">
        <v>1283599</v>
      </c>
      <c r="W129" s="1716">
        <f>+V129/V$140</f>
        <v>0.15950926878065905</v>
      </c>
      <c r="X129" s="1715">
        <f>1897855-X131</f>
        <v>881761</v>
      </c>
      <c r="Y129" s="1716">
        <f>+X129/X$140</f>
        <v>2.4325598942294496E-2</v>
      </c>
      <c r="Z129" s="1786">
        <v>1452369</v>
      </c>
      <c r="AA129" s="1716">
        <f>+Z129/Z$140</f>
        <v>0.10954871212648062</v>
      </c>
      <c r="AB129" s="1715">
        <v>1439938</v>
      </c>
      <c r="AC129" s="1716">
        <f>+AB129/AB$140</f>
        <v>0.18690650572977477</v>
      </c>
      <c r="AD129" s="1715">
        <v>827211</v>
      </c>
      <c r="AE129" s="1716">
        <f>+AD129/AD$140</f>
        <v>2.1175422010411657E-2</v>
      </c>
      <c r="AF129" s="1715">
        <v>974593</v>
      </c>
      <c r="AG129" s="1716">
        <f>+AF129/AF$140</f>
        <v>7.1079106888180879E-2</v>
      </c>
      <c r="AH129" s="1715">
        <v>0</v>
      </c>
      <c r="AI129" s="1716">
        <f>+AH129/AH$140</f>
        <v>0</v>
      </c>
      <c r="AJ129" s="1715">
        <v>947794</v>
      </c>
      <c r="AK129" s="1716">
        <f>+AJ129/AJ$140</f>
        <v>8.265349574263782E-2</v>
      </c>
      <c r="AL129" s="1715"/>
      <c r="AM129" s="1716">
        <f>+AL129/AL$140</f>
        <v>0</v>
      </c>
      <c r="AN129" s="1715">
        <v>752912</v>
      </c>
      <c r="AO129" s="1716">
        <f>+AN129/AN$140</f>
        <v>7.0060901484906388E-2</v>
      </c>
      <c r="AP129" s="1715">
        <v>2142748</v>
      </c>
      <c r="AQ129" s="1716">
        <f>+AP129/AP$140</f>
        <v>0.14603317571526847</v>
      </c>
      <c r="AR129" s="1407">
        <v>987257</v>
      </c>
      <c r="AS129" s="1716">
        <f>+AR129/AR$140</f>
        <v>3.9107364154616485E-2</v>
      </c>
      <c r="AT129" s="1715">
        <v>0</v>
      </c>
      <c r="AU129" s="1716">
        <f>+AT129/AT$140</f>
        <v>0</v>
      </c>
      <c r="AV129" s="1715">
        <v>1700428</v>
      </c>
      <c r="AW129" s="1716">
        <f>+AV129/AV$140</f>
        <v>0.1074614045234667</v>
      </c>
      <c r="AX129" s="1715">
        <v>0</v>
      </c>
      <c r="AY129" s="1716">
        <f>+AX129/AX$140</f>
        <v>0</v>
      </c>
      <c r="AZ129" s="1715">
        <v>1264397</v>
      </c>
      <c r="BA129" s="1716">
        <f>+AZ129/AZ$140</f>
        <v>0.10473331252025775</v>
      </c>
      <c r="BB129" s="1715">
        <v>192240</v>
      </c>
      <c r="BC129" s="1716">
        <f>+BB129/BB$140</f>
        <v>1.2561883974168679E-2</v>
      </c>
      <c r="BD129" s="1786"/>
      <c r="BE129" s="1716">
        <f>+BD129/BD$140</f>
        <v>0</v>
      </c>
      <c r="BF129" s="1715">
        <v>1274116</v>
      </c>
      <c r="BG129" s="1716">
        <f>+BF129/BF$140</f>
        <v>0.19189369635391496</v>
      </c>
      <c r="BH129" s="1715">
        <v>2243166</v>
      </c>
      <c r="BI129" s="1716">
        <f>+BH129/BH$140</f>
        <v>0.19922589194282828</v>
      </c>
      <c r="BJ129" s="1715">
        <v>1993647</v>
      </c>
      <c r="BK129" s="1716">
        <f>+BJ129/BJ$140</f>
        <v>0.13434781422081485</v>
      </c>
      <c r="BL129" s="1715">
        <v>2248722</v>
      </c>
      <c r="BM129" s="1716">
        <f>+BL129/BL$140</f>
        <v>0.11638197258966634</v>
      </c>
      <c r="BN129" s="1715">
        <v>1364678</v>
      </c>
      <c r="BO129" s="1716">
        <f>+BN129/BN$140</f>
        <v>0.30487000090700678</v>
      </c>
      <c r="BP129" s="1715">
        <v>0</v>
      </c>
      <c r="BQ129" s="1716">
        <f>+BP129/BP$140</f>
        <v>0</v>
      </c>
      <c r="BR129" s="1407">
        <v>834978</v>
      </c>
      <c r="BS129" s="1716">
        <f>+BR129/BR$140</f>
        <v>0.12196872347384256</v>
      </c>
      <c r="BT129" s="1715">
        <v>91104</v>
      </c>
      <c r="BU129" s="1716">
        <f>+BT129/BT$140</f>
        <v>1.8666477073306861E-2</v>
      </c>
      <c r="BV129" s="1715">
        <v>1379854</v>
      </c>
      <c r="BW129" s="1716">
        <f>+BV129/BV$140</f>
        <v>0.1889883724242816</v>
      </c>
      <c r="BX129" s="1715">
        <v>0</v>
      </c>
      <c r="BY129" s="1716">
        <f>+BX129/BX$140</f>
        <v>0</v>
      </c>
      <c r="BZ129" s="1715">
        <v>3201697</v>
      </c>
      <c r="CA129" s="1716">
        <f>+BZ129/BZ$140</f>
        <v>0.11983083763806412</v>
      </c>
      <c r="CB129" s="1715">
        <f>317413+488080+223618+164160</f>
        <v>1193271</v>
      </c>
      <c r="CC129" s="1716">
        <f>+CB129/CB$140</f>
        <v>0.14675612862854523</v>
      </c>
      <c r="CD129" s="1715">
        <v>2228192</v>
      </c>
      <c r="CE129" s="1716">
        <f>+CD129/CD$140</f>
        <v>0.18682463223117976</v>
      </c>
      <c r="CF129" s="1715">
        <v>1003189</v>
      </c>
      <c r="CG129" s="1716">
        <v>0.10189033424702501</v>
      </c>
      <c r="CH129" s="1715">
        <v>587220</v>
      </c>
      <c r="CI129" s="1716">
        <v>6.5142200291465918E-2</v>
      </c>
      <c r="CJ129" s="1715">
        <v>2660499</v>
      </c>
      <c r="CK129" s="1716">
        <v>0.27949468434632729</v>
      </c>
      <c r="CL129" s="1715">
        <v>4035815</v>
      </c>
      <c r="CM129" s="1716">
        <v>0.10679576350682346</v>
      </c>
      <c r="CN129" s="1715">
        <f>2570332-CN131</f>
        <v>1759892</v>
      </c>
      <c r="CO129" s="1716">
        <f>+CN129/CN$140</f>
        <v>0.10382900013380604</v>
      </c>
      <c r="CP129" s="1715">
        <v>2008596</v>
      </c>
      <c r="CQ129" s="1716">
        <f>+CP129/CP$140</f>
        <v>0.18637048737751724</v>
      </c>
      <c r="CR129" s="1715">
        <v>1513616</v>
      </c>
      <c r="CS129" s="1716">
        <v>7.7836305233572267E-2</v>
      </c>
      <c r="CT129" s="1715">
        <v>987814</v>
      </c>
      <c r="CU129" s="1716">
        <f>+CT129/CT$140</f>
        <v>8.4676823798324918E-2</v>
      </c>
      <c r="CV129" s="1715">
        <v>2127119</v>
      </c>
      <c r="CW129" s="1716">
        <f>+CV129/CV$140</f>
        <v>9.0310524302446488E-2</v>
      </c>
      <c r="CX129" s="1715">
        <v>1857935</v>
      </c>
      <c r="CY129" s="1716">
        <f>+CX129/CX$140</f>
        <v>6.719445453481511E-2</v>
      </c>
      <c r="CZ129" s="1715">
        <v>776666</v>
      </c>
      <c r="DA129" s="1716">
        <v>0.10734986946613252</v>
      </c>
      <c r="DB129" s="1715">
        <v>1141695</v>
      </c>
      <c r="DC129" s="1716">
        <v>7.1792634145347617E-2</v>
      </c>
      <c r="DD129" s="1715">
        <v>885746</v>
      </c>
      <c r="DE129" s="1716">
        <v>0.12325629646658122</v>
      </c>
      <c r="DF129" s="1715">
        <v>2293198</v>
      </c>
      <c r="DG129" s="1716">
        <v>4.4074760099191743E-2</v>
      </c>
      <c r="DH129" s="1715">
        <v>2441923</v>
      </c>
      <c r="DI129" s="1716">
        <v>0.17033202469292361</v>
      </c>
      <c r="DJ129" s="1715">
        <v>802310</v>
      </c>
      <c r="DK129" s="1716">
        <v>0.10598180089407738</v>
      </c>
      <c r="DL129" s="1715">
        <v>1598564</v>
      </c>
      <c r="DM129" s="1716">
        <v>0.12991440377324265</v>
      </c>
      <c r="DN129" s="1715">
        <v>1204295</v>
      </c>
      <c r="DO129" s="1716">
        <f>+DN129/DN$140</f>
        <v>0.13528707873284584</v>
      </c>
      <c r="DP129" s="1715">
        <v>1088289</v>
      </c>
      <c r="DQ129" s="1716">
        <f>+DP129/DP$140</f>
        <v>0.14698803837800173</v>
      </c>
      <c r="DR129" s="1715">
        <v>741882</v>
      </c>
      <c r="DS129" s="1716">
        <f>+DR129/DR$140</f>
        <v>5.2020351466688354E-2</v>
      </c>
      <c r="DT129" s="1407">
        <f>2757617-DT131</f>
        <v>2276717</v>
      </c>
      <c r="DU129" s="1716">
        <f>+DT129/DT$140</f>
        <v>6.1688405026455208E-2</v>
      </c>
      <c r="DV129" s="1715">
        <v>1171448</v>
      </c>
      <c r="DW129" s="1716">
        <f>+DV129/DV$140</f>
        <v>0.14849809346097681</v>
      </c>
      <c r="DX129" s="1715">
        <f>1763096-DX131</f>
        <v>1192957</v>
      </c>
      <c r="DY129" s="1716">
        <f>+DX129/DX$140</f>
        <v>7.661124128427417E-2</v>
      </c>
      <c r="DZ129" s="1715">
        <v>2571007</v>
      </c>
      <c r="EA129" s="1716">
        <f>+DZ129/DZ$140</f>
        <v>7.7833417806530081E-2</v>
      </c>
      <c r="EB129" s="1715">
        <f>1803859-EB131</f>
        <v>1170661</v>
      </c>
      <c r="EC129" s="1716">
        <f>+EB129/EB$140</f>
        <v>5.5514862374322724E-2</v>
      </c>
      <c r="ED129" s="1715">
        <f>692095+505480+128700</f>
        <v>1326275</v>
      </c>
      <c r="EE129" s="1716">
        <f>+ED129/ED$140</f>
        <v>0.16509002698276387</v>
      </c>
      <c r="EF129" s="1715">
        <v>422445</v>
      </c>
      <c r="EG129" s="1716">
        <f>+EF129/EF$140</f>
        <v>3.6512879747735323E-2</v>
      </c>
      <c r="EH129" s="1715">
        <v>1725550</v>
      </c>
      <c r="EI129" s="1716">
        <f>+EH129/EH$140</f>
        <v>4.3707684183479513E-2</v>
      </c>
      <c r="EJ129" s="1715">
        <f>897767-EJ131</f>
        <v>790181</v>
      </c>
      <c r="EK129" s="1716">
        <f>+EJ129/EJ$140</f>
        <v>4.9522936997625763E-2</v>
      </c>
      <c r="EL129" s="1715">
        <v>3056071</v>
      </c>
      <c r="EM129" s="1716">
        <f>+EL129/EL$140</f>
        <v>7.2221360701064066E-2</v>
      </c>
      <c r="EN129" s="1715"/>
      <c r="EO129" s="1716">
        <f>+EN129/EN$140</f>
        <v>0</v>
      </c>
      <c r="EP129" s="1715">
        <v>0</v>
      </c>
      <c r="EQ129" s="1716">
        <f>+EP129/EP$140</f>
        <v>0</v>
      </c>
      <c r="ER129" s="1715">
        <v>1304336</v>
      </c>
      <c r="ES129" s="1716">
        <f>+ER129/ER$140</f>
        <v>0.15271275725734382</v>
      </c>
      <c r="ET129" s="1715">
        <v>2094057</v>
      </c>
      <c r="EU129" s="1716">
        <f>+ET129/ET$140</f>
        <v>0.12076734659792535</v>
      </c>
      <c r="EV129" s="1715">
        <v>1584060</v>
      </c>
      <c r="EW129" s="1716">
        <f>+EV129/EV$140</f>
        <v>0.13449186669168484</v>
      </c>
      <c r="EX129" s="1715">
        <f>123475+1537584</f>
        <v>1661059</v>
      </c>
      <c r="EY129" s="1716">
        <f>+EX129/EX$140</f>
        <v>0.21189350031802032</v>
      </c>
      <c r="EZ129" s="1715">
        <v>105287</v>
      </c>
      <c r="FA129" s="1716">
        <f>+EZ129/EZ$140</f>
        <v>7.1671658888457918E-3</v>
      </c>
      <c r="FB129" s="1715"/>
      <c r="FC129" s="1716">
        <f>+FB129/FB$140</f>
        <v>0</v>
      </c>
      <c r="FD129" s="1715">
        <v>1466732</v>
      </c>
      <c r="FE129" s="1716">
        <f>+FD129/FD$140</f>
        <v>0.1561865542571115</v>
      </c>
      <c r="FF129" s="1715">
        <v>2540112</v>
      </c>
      <c r="FG129" s="1716">
        <f>+FF129/FF$140</f>
        <v>0.18538330248856622</v>
      </c>
      <c r="FH129" s="1715">
        <v>326884</v>
      </c>
      <c r="FI129" s="1716">
        <f>+FH129/FH$140</f>
        <v>3.3119161056363484E-2</v>
      </c>
      <c r="FJ129" s="1715">
        <v>1190280</v>
      </c>
      <c r="FK129" s="1716">
        <f>+FJ129/FJ$140</f>
        <v>0.12535758000092259</v>
      </c>
      <c r="FL129" s="1715">
        <v>106280</v>
      </c>
      <c r="FM129" s="1716">
        <f>+FL129/FL$140</f>
        <v>1.1298293881083011E-2</v>
      </c>
      <c r="FN129" s="1715">
        <f>641520+870288</f>
        <v>1511808</v>
      </c>
      <c r="FO129" s="1716">
        <f>+FN129/FN$140</f>
        <v>8.0796359939625917E-2</v>
      </c>
      <c r="FP129" s="1715">
        <f>1339654-FP131</f>
        <v>1206986</v>
      </c>
      <c r="FQ129" s="1716">
        <f>+FP129/FP$140</f>
        <v>0.21778951364709823</v>
      </c>
      <c r="FR129" s="1715">
        <f>2761104-FR131</f>
        <v>1952264</v>
      </c>
      <c r="FS129" s="1716">
        <f>+FR129/FR$140</f>
        <v>9.6373799211312797E-2</v>
      </c>
      <c r="FT129" s="1715">
        <v>3585416</v>
      </c>
      <c r="FU129" s="1716">
        <f>+FT129/FT$140</f>
        <v>0.15646443450189904</v>
      </c>
      <c r="FV129" s="1715">
        <v>2415144</v>
      </c>
      <c r="FW129" s="1716">
        <f>+FV129/FV$140</f>
        <v>6.9915359115113651E-2</v>
      </c>
      <c r="FX129" s="1715">
        <v>1407437</v>
      </c>
      <c r="FY129" s="1716">
        <f>+FX129/FX$140</f>
        <v>0.1346841522432542</v>
      </c>
      <c r="FZ129" s="1715">
        <v>1084937</v>
      </c>
      <c r="GA129" s="1716">
        <f>+FZ129/FZ$140</f>
        <v>0.14637811189603717</v>
      </c>
      <c r="GB129" s="1715">
        <v>214328</v>
      </c>
      <c r="GC129" s="1716">
        <f>+GB129/GB$140</f>
        <v>3.4119420838400298E-2</v>
      </c>
      <c r="GD129" s="1715">
        <f>1955994-GD131</f>
        <v>1540586</v>
      </c>
      <c r="GE129" s="1716">
        <f>+GD129/GD$140</f>
        <v>5.5579095533093544E-2</v>
      </c>
      <c r="GF129" s="1715">
        <f>963504+332986+43675</f>
        <v>1340165</v>
      </c>
      <c r="GG129" s="1716">
        <f>+GF129/GF$140</f>
        <v>0.11161444322951442</v>
      </c>
      <c r="GH129" s="1715">
        <v>1086456</v>
      </c>
      <c r="GI129" s="1716">
        <f>+GH129/GH$140</f>
        <v>9.6289559972124975E-2</v>
      </c>
      <c r="GJ129" s="1715">
        <v>2239603</v>
      </c>
      <c r="GK129" s="1716">
        <f>+GJ129/GJ$140</f>
        <v>4.2480179862615992E-2</v>
      </c>
      <c r="GL129" s="1715">
        <v>324447</v>
      </c>
      <c r="GM129" s="1716">
        <f>+GL129/GL$140</f>
        <v>3.219684226884597E-2</v>
      </c>
      <c r="GN129" s="1715">
        <v>1169862</v>
      </c>
      <c r="GO129" s="1716">
        <f>+GN129/GN$140</f>
        <v>0.17380773883331832</v>
      </c>
      <c r="GP129" s="1715">
        <f>1224970-GP131</f>
        <v>905577</v>
      </c>
      <c r="GQ129" s="1716">
        <f>+GP129/GP$140</f>
        <v>7.5967783338674252E-2</v>
      </c>
      <c r="GR129" s="1715">
        <v>1534628</v>
      </c>
      <c r="GS129" s="1716">
        <f>+GR129/GR$140</f>
        <v>0.14943453798977113</v>
      </c>
      <c r="GT129" s="1715">
        <v>1413955</v>
      </c>
      <c r="GU129" s="1716">
        <f>+GT129/GT$140</f>
        <v>0.1336955077730716</v>
      </c>
      <c r="GV129" s="1715">
        <v>1850955</v>
      </c>
      <c r="GW129" s="1716">
        <f>+GV129/GV$140</f>
        <v>0.11579109227685917</v>
      </c>
      <c r="GX129" s="1715">
        <v>1458246</v>
      </c>
      <c r="GY129" s="1716">
        <f>+GX129/GX$140</f>
        <v>0.18855523173834501</v>
      </c>
      <c r="GZ129" s="1715">
        <v>2602364</v>
      </c>
      <c r="HA129" s="1716">
        <f>+GZ129/GZ$140</f>
        <v>0.10848501359103745</v>
      </c>
      <c r="HB129" s="1715">
        <v>909972</v>
      </c>
      <c r="HC129" s="1716">
        <f>+HB129/HB$140</f>
        <v>0.22056622789603886</v>
      </c>
      <c r="HD129" s="1715">
        <f>627357+120279</f>
        <v>747636</v>
      </c>
      <c r="HE129" s="1716">
        <f>+HD129/HD$140</f>
        <v>7.8993529731348294E-2</v>
      </c>
      <c r="HF129" s="2032">
        <v>3026756</v>
      </c>
      <c r="HG129" s="2033">
        <f>+HF129/HF$140</f>
        <v>7.4278260549044281E-2</v>
      </c>
      <c r="HH129" s="1715">
        <v>1402596</v>
      </c>
      <c r="HI129" s="1716">
        <f>+HH129/HH$140</f>
        <v>9.704409056468738E-2</v>
      </c>
      <c r="HJ129" s="1715">
        <v>1369693</v>
      </c>
      <c r="HK129" s="1716">
        <f>+HJ129/HJ$140</f>
        <v>7.8166728881164563E-2</v>
      </c>
      <c r="HL129" s="1715">
        <f>2057212-HL131</f>
        <v>1722502</v>
      </c>
      <c r="HM129" s="1716">
        <f>+HL129/HL$140</f>
        <v>0.23723472093103329</v>
      </c>
      <c r="HN129" s="1715">
        <f>1712604-HN131</f>
        <v>1322868</v>
      </c>
      <c r="HO129" s="1716">
        <f>+HN129/HN$140</f>
        <v>0.15407330451498463</v>
      </c>
      <c r="HP129" s="2032">
        <v>3336068</v>
      </c>
      <c r="HQ129" s="2033">
        <f>+HP129/HP$140</f>
        <v>8.010185982834829E-2</v>
      </c>
      <c r="HR129" s="1715">
        <v>0</v>
      </c>
      <c r="HS129" s="1716">
        <f>+HR129/HR$140</f>
        <v>0</v>
      </c>
      <c r="HT129" s="2032">
        <v>1292786</v>
      </c>
      <c r="HU129" s="2033">
        <f>+HT129/HT$140</f>
        <v>5.7397704288957595E-2</v>
      </c>
      <c r="HV129" s="2032">
        <f>834172-HV131</f>
        <v>503361</v>
      </c>
      <c r="HW129" s="2033">
        <f>+HV129/HV$140</f>
        <v>3.6748983027794502E-2</v>
      </c>
      <c r="HX129" s="2032">
        <v>1241159</v>
      </c>
      <c r="HY129" s="2033">
        <f>+HX129/HX$140</f>
        <v>0.10357739361227161</v>
      </c>
      <c r="HZ129" s="2032">
        <v>1403513</v>
      </c>
      <c r="IA129" s="2033">
        <f>+HZ129/HZ$140</f>
        <v>9.1330228893493279E-2</v>
      </c>
      <c r="IB129" s="1715">
        <v>1258571</v>
      </c>
      <c r="IC129" s="1716">
        <f>+IB129/IB$140</f>
        <v>0.16361515933410503</v>
      </c>
      <c r="ID129" s="2032">
        <v>1597400</v>
      </c>
      <c r="IE129" s="2033">
        <f>+ID129/ID$140</f>
        <v>0.15079242960455455</v>
      </c>
      <c r="IF129" s="2032">
        <v>1015874</v>
      </c>
      <c r="IG129" s="2033">
        <f>+IF129/IF$140</f>
        <v>0.12796642429809393</v>
      </c>
    </row>
    <row r="130" spans="1:241">
      <c r="A130" s="1149"/>
      <c r="B130" s="1149"/>
      <c r="C130" s="1149"/>
      <c r="D130" s="1149" t="s">
        <v>8</v>
      </c>
      <c r="E130" s="1143"/>
      <c r="F130" s="1715">
        <v>0</v>
      </c>
      <c r="G130" s="1716">
        <f t="shared" ref="G130:G138" si="0">F130/F$140</f>
        <v>0</v>
      </c>
      <c r="H130" s="1715"/>
      <c r="I130" s="1716">
        <f t="shared" ref="I130:I138" si="1">H130/H$140</f>
        <v>0</v>
      </c>
      <c r="J130" s="1715">
        <v>0</v>
      </c>
      <c r="K130" s="1716">
        <f t="shared" ref="K130:K138" si="2">J130/J$140</f>
        <v>0</v>
      </c>
      <c r="L130" s="1715">
        <v>36570</v>
      </c>
      <c r="M130" s="1716">
        <f t="shared" ref="M130:M138" si="3">L130/L$140</f>
        <v>5.1309287587167915E-4</v>
      </c>
      <c r="N130" s="1715">
        <v>75443</v>
      </c>
      <c r="O130" s="1716">
        <f t="shared" ref="O130:O138" si="4">N130/N$140</f>
        <v>7.4743357329382582E-3</v>
      </c>
      <c r="P130" s="1715">
        <v>1354757</v>
      </c>
      <c r="Q130" s="1716">
        <f t="shared" ref="Q130:Q138" si="5">P130/P$140</f>
        <v>3.3026162558186141E-2</v>
      </c>
      <c r="R130" s="1786"/>
      <c r="S130" s="1716">
        <f t="shared" ref="S130:S138" si="6">R130/R$140</f>
        <v>0</v>
      </c>
      <c r="T130" s="1715"/>
      <c r="U130" s="1716">
        <f t="shared" ref="U130:U138" si="7">T130/T$140</f>
        <v>0</v>
      </c>
      <c r="V130" s="1715">
        <v>0</v>
      </c>
      <c r="W130" s="1716">
        <f t="shared" ref="W130:W138" si="8">V130/V$140</f>
        <v>0</v>
      </c>
      <c r="X130" s="1715">
        <v>160663</v>
      </c>
      <c r="Y130" s="1716">
        <f t="shared" ref="Y130:Y138" si="9">X130/X$140</f>
        <v>4.4322936746645182E-3</v>
      </c>
      <c r="Z130" s="1786">
        <v>132129</v>
      </c>
      <c r="AA130" s="1716">
        <f t="shared" ref="AA130:AA138" si="10">Z130/Z$140</f>
        <v>9.9661737372250155E-3</v>
      </c>
      <c r="AB130" s="1715"/>
      <c r="AC130" s="1716">
        <f t="shared" ref="AC130:AC138" si="11">AB130/AB$140</f>
        <v>0</v>
      </c>
      <c r="AD130" s="1715">
        <v>102196</v>
      </c>
      <c r="AE130" s="1716">
        <f t="shared" ref="AE130:AE138" si="12">AD130/AD$140</f>
        <v>2.6160718701468302E-3</v>
      </c>
      <c r="AF130" s="1715">
        <v>355765</v>
      </c>
      <c r="AG130" s="1716">
        <f t="shared" ref="AG130:AG138" si="13">AF130/AF$140</f>
        <v>2.5946685911014823E-2</v>
      </c>
      <c r="AH130" s="1715">
        <v>272586</v>
      </c>
      <c r="AI130" s="1716">
        <f t="shared" ref="AI130:AI138" si="14">AH130/AH$140</f>
        <v>5.3079737025660677E-2</v>
      </c>
      <c r="AJ130" s="1715">
        <v>0</v>
      </c>
      <c r="AK130" s="1716">
        <f t="shared" ref="AK130:AK138" si="15">AJ130/AJ$140</f>
        <v>0</v>
      </c>
      <c r="AL130" s="1715"/>
      <c r="AM130" s="1716">
        <f t="shared" ref="AM130:AM138" si="16">AL130/AL$140</f>
        <v>0</v>
      </c>
      <c r="AN130" s="1715">
        <v>66194</v>
      </c>
      <c r="AO130" s="1716">
        <f t="shared" ref="AO130:AO138" si="17">AN130/AN$140</f>
        <v>6.1595662081251109E-3</v>
      </c>
      <c r="AP130" s="1715"/>
      <c r="AQ130" s="1716">
        <f t="shared" ref="AQ130:AQ138" si="18">AP130/AP$140</f>
        <v>0</v>
      </c>
      <c r="AR130" s="1407">
        <v>14627</v>
      </c>
      <c r="AS130" s="1716">
        <f t="shared" ref="AS130:AS138" si="19">AR130/AR$140</f>
        <v>5.7940679629475949E-4</v>
      </c>
      <c r="AT130" s="1715">
        <v>51386</v>
      </c>
      <c r="AU130" s="1716">
        <f t="shared" ref="AU130:AU138" si="20">AT130/AT$140</f>
        <v>4.7384274794490784E-3</v>
      </c>
      <c r="AV130" s="1715">
        <v>469045</v>
      </c>
      <c r="AW130" s="1716">
        <f t="shared" ref="AW130:AW138" si="21">AV130/AV$140</f>
        <v>2.9642086865606446E-2</v>
      </c>
      <c r="AX130" s="1715">
        <v>292772</v>
      </c>
      <c r="AY130" s="1716">
        <f t="shared" ref="AY130:AY138" si="22">AX130/AX$140</f>
        <v>2.3362758754530956E-2</v>
      </c>
      <c r="AZ130" s="1715">
        <v>21399</v>
      </c>
      <c r="BA130" s="1716">
        <f t="shared" ref="BA130:BA138" si="23">AZ130/AZ$140</f>
        <v>1.7725351725929402E-3</v>
      </c>
      <c r="BB130" s="1715">
        <v>15308</v>
      </c>
      <c r="BC130" s="1716">
        <f t="shared" ref="BC130:BC138" si="24">BB130/BB$140</f>
        <v>1.0002981683134317E-3</v>
      </c>
      <c r="BD130" s="1786"/>
      <c r="BE130" s="1716">
        <f t="shared" ref="BE130:BE138" si="25">BD130/BD$140</f>
        <v>0</v>
      </c>
      <c r="BF130" s="1715"/>
      <c r="BG130" s="1716">
        <f t="shared" ref="BG130:BG138" si="26">BF130/BF$140</f>
        <v>0</v>
      </c>
      <c r="BH130" s="1715">
        <v>0</v>
      </c>
      <c r="BI130" s="1716">
        <f t="shared" ref="BI130:BI138" si="27">BH130/BH$140</f>
        <v>0</v>
      </c>
      <c r="BJ130" s="1715">
        <v>0</v>
      </c>
      <c r="BK130" s="1716">
        <f t="shared" ref="BK130:BK138" si="28">BJ130/BJ$140</f>
        <v>0</v>
      </c>
      <c r="BL130" s="1715">
        <v>151088</v>
      </c>
      <c r="BM130" s="1716">
        <f t="shared" ref="BM130:BM138" si="29">BL130/BL$140</f>
        <v>7.819516807603389E-3</v>
      </c>
      <c r="BN130" s="1715"/>
      <c r="BO130" s="1716">
        <f t="shared" ref="BO130:BO138" si="30">BN130/BN$140</f>
        <v>0</v>
      </c>
      <c r="BP130" s="1715">
        <v>0</v>
      </c>
      <c r="BQ130" s="1716">
        <f t="shared" ref="BQ130:BQ138" si="31">BP130/BP$140</f>
        <v>0</v>
      </c>
      <c r="BR130" s="1407"/>
      <c r="BS130" s="1716">
        <f t="shared" ref="BS130:BS138" si="32">BR130/BR$140</f>
        <v>0</v>
      </c>
      <c r="BT130" s="1715">
        <v>120</v>
      </c>
      <c r="BU130" s="1716">
        <f t="shared" ref="BU130:BU138" si="33">BT130/BT$140</f>
        <v>2.4587035133438961E-5</v>
      </c>
      <c r="BV130" s="1715">
        <v>0</v>
      </c>
      <c r="BW130" s="1716">
        <f t="shared" ref="BW130:BW138" si="34">BV130/BV$140</f>
        <v>0</v>
      </c>
      <c r="BX130" s="1715">
        <v>172264</v>
      </c>
      <c r="BY130" s="1716">
        <f t="shared" ref="BY130:BY138" si="35">BX130/BX$140</f>
        <v>1.3366385647507436E-2</v>
      </c>
      <c r="BZ130" s="1715">
        <v>189520</v>
      </c>
      <c r="CA130" s="1716">
        <f t="shared" ref="CA130:CA138" si="36">BZ130/BZ$140</f>
        <v>7.0932197360230875E-3</v>
      </c>
      <c r="CB130" s="1715">
        <v>0</v>
      </c>
      <c r="CC130" s="1716">
        <f t="shared" ref="CC130:CC138" si="37">CB130/CB$140</f>
        <v>0</v>
      </c>
      <c r="CD130" s="1715">
        <v>57332</v>
      </c>
      <c r="CE130" s="1716">
        <f t="shared" ref="CE130:CE138" si="38">CD130/CD$140</f>
        <v>4.8070497583143634E-3</v>
      </c>
      <c r="CF130" s="1715">
        <v>430169</v>
      </c>
      <c r="CG130" s="1716">
        <v>4.3690733443756367E-2</v>
      </c>
      <c r="CH130" s="1715">
        <v>42607</v>
      </c>
      <c r="CI130" s="1716">
        <v>4.7265313303676447E-3</v>
      </c>
      <c r="CJ130" s="1715">
        <v>0</v>
      </c>
      <c r="CK130" s="1716">
        <v>0</v>
      </c>
      <c r="CL130" s="1715">
        <v>627490</v>
      </c>
      <c r="CM130" s="1716">
        <v>1.6604644574366428E-2</v>
      </c>
      <c r="CN130" s="1715">
        <v>274132</v>
      </c>
      <c r="CO130" s="1716">
        <f t="shared" ref="CO130:CO138" si="39">CN130/CN$140</f>
        <v>1.61730671340517E-2</v>
      </c>
      <c r="CP130" s="1715">
        <v>0</v>
      </c>
      <c r="CQ130" s="1716">
        <f t="shared" ref="CQ130:CQ138" si="40">CP130/CP$140</f>
        <v>0</v>
      </c>
      <c r="CR130" s="1715">
        <v>337844</v>
      </c>
      <c r="CS130" s="1716">
        <v>1.737331575864089E-2</v>
      </c>
      <c r="CT130" s="1715">
        <v>119601</v>
      </c>
      <c r="CU130" s="1716">
        <f t="shared" ref="CU130:CU138" si="41">CT130/CT$140</f>
        <v>1.0252368161519738E-2</v>
      </c>
      <c r="CV130" s="1715">
        <v>44682</v>
      </c>
      <c r="CW130" s="1716">
        <f t="shared" ref="CW130:CY138" si="42">CV130/CV$140</f>
        <v>1.8970517619756647E-3</v>
      </c>
      <c r="CX130" s="1715">
        <v>364272</v>
      </c>
      <c r="CY130" s="1716">
        <f t="shared" si="42"/>
        <v>1.3174335131372287E-2</v>
      </c>
      <c r="CZ130" s="1715">
        <v>0</v>
      </c>
      <c r="DA130" s="1716">
        <v>0</v>
      </c>
      <c r="DB130" s="1715">
        <v>961106</v>
      </c>
      <c r="DC130" s="1716">
        <v>6.0436746620505882E-2</v>
      </c>
      <c r="DD130" s="1715">
        <v>0</v>
      </c>
      <c r="DE130" s="1716">
        <v>0</v>
      </c>
      <c r="DF130" s="1715">
        <v>837235</v>
      </c>
      <c r="DG130" s="1716">
        <v>1.60914721588135E-2</v>
      </c>
      <c r="DH130" s="1715">
        <v>0</v>
      </c>
      <c r="DI130" s="1716">
        <v>0</v>
      </c>
      <c r="DJ130" s="1715">
        <v>0</v>
      </c>
      <c r="DK130" s="1716">
        <v>0</v>
      </c>
      <c r="DL130" s="1715">
        <v>96303</v>
      </c>
      <c r="DM130" s="1716">
        <v>7.8264910423195989E-3</v>
      </c>
      <c r="DN130" s="1715">
        <v>0</v>
      </c>
      <c r="DO130" s="1716">
        <f t="shared" ref="DO130:DO138" si="43">DN130/DN$140</f>
        <v>0</v>
      </c>
      <c r="DP130" s="1715">
        <v>0</v>
      </c>
      <c r="DQ130" s="1716">
        <f t="shared" ref="DQ130:DQ138" si="44">DP130/DP$140</f>
        <v>0</v>
      </c>
      <c r="DR130" s="1715">
        <v>34694</v>
      </c>
      <c r="DS130" s="1716">
        <f t="shared" ref="DS130:DS138" si="45">DR130/DR$140</f>
        <v>2.432723901894487E-3</v>
      </c>
      <c r="DT130" s="1407">
        <v>783766</v>
      </c>
      <c r="DU130" s="1716">
        <f t="shared" ref="DU130:DU138" si="46">DT130/DT$140</f>
        <v>2.1236400683073343E-2</v>
      </c>
      <c r="DV130" s="1715">
        <v>17267</v>
      </c>
      <c r="DW130" s="1716">
        <f t="shared" ref="DW130:DW138" si="47">DV130/DV$140</f>
        <v>2.1888437043647573E-3</v>
      </c>
      <c r="DX130" s="1715">
        <v>263821</v>
      </c>
      <c r="DY130" s="1716">
        <f t="shared" ref="DY130:DY138" si="48">DX130/DX$140</f>
        <v>1.6942483498448391E-2</v>
      </c>
      <c r="DZ130" s="1715">
        <v>194140</v>
      </c>
      <c r="EA130" s="1716">
        <f t="shared" ref="EA130:EA138" si="49">DZ130/DZ$140</f>
        <v>5.8773001135196245E-3</v>
      </c>
      <c r="EB130" s="1715">
        <v>384338</v>
      </c>
      <c r="EC130" s="1716">
        <f t="shared" ref="EC130:EC138" si="50">EB130/EB$140</f>
        <v>1.8226003236822996E-2</v>
      </c>
      <c r="ED130" s="1715">
        <v>0</v>
      </c>
      <c r="EE130" s="1716">
        <f t="shared" ref="EE130:EE138" si="51">ED130/ED$140</f>
        <v>0</v>
      </c>
      <c r="EF130" s="1715">
        <v>167752</v>
      </c>
      <c r="EG130" s="1716">
        <f t="shared" ref="EG130:EG138" si="52">EF130/EF$140</f>
        <v>1.4499185937677321E-2</v>
      </c>
      <c r="EH130" s="1715">
        <v>1363502</v>
      </c>
      <c r="EI130" s="1716">
        <f t="shared" ref="EI130:EI138" si="53">EH130/EH$140</f>
        <v>3.4537112688442922E-2</v>
      </c>
      <c r="EJ130" s="1715">
        <v>38383</v>
      </c>
      <c r="EK130" s="1716">
        <f t="shared" ref="EK130:EK138" si="54">EJ130/EJ$140</f>
        <v>2.4055740276972865E-3</v>
      </c>
      <c r="EL130" s="1715">
        <v>2269117</v>
      </c>
      <c r="EM130" s="1716">
        <f t="shared" ref="EM130:EM138" si="55">EL130/EL$140</f>
        <v>5.3623988883084318E-2</v>
      </c>
      <c r="EN130" s="1715">
        <v>1368</v>
      </c>
      <c r="EO130" s="1716">
        <f t="shared" ref="EO130:EO138" si="56">EN130/EN$140</f>
        <v>1.0788791581209396E-4</v>
      </c>
      <c r="EP130" s="1715">
        <v>669276</v>
      </c>
      <c r="EQ130" s="1716">
        <f t="shared" ref="EQ130:EQ138" si="57">EP130/EP$140</f>
        <v>6.5882142631438753E-2</v>
      </c>
      <c r="ER130" s="1715">
        <v>0</v>
      </c>
      <c r="ES130" s="1716">
        <f t="shared" ref="ES130:ES138" si="58">ER130/ER$140</f>
        <v>0</v>
      </c>
      <c r="ET130" s="1715" t="s">
        <v>1413</v>
      </c>
      <c r="EU130" s="1716">
        <f t="shared" ref="EU130:EU138" si="59">ET130/ET$140</f>
        <v>0</v>
      </c>
      <c r="EV130" s="1715">
        <v>99271</v>
      </c>
      <c r="EW130" s="1716">
        <f t="shared" ref="EW130:EW138" si="60">EV130/EV$140</f>
        <v>8.4284320659256881E-3</v>
      </c>
      <c r="EX130" s="1715" t="s">
        <v>2154</v>
      </c>
      <c r="EY130" s="1716">
        <f t="shared" ref="EY130:EY138" si="61">EX130/EX$140</f>
        <v>0</v>
      </c>
      <c r="EZ130" s="1715"/>
      <c r="FA130" s="1716">
        <f t="shared" ref="FA130:FA138" si="62">EZ130/EZ$140</f>
        <v>0</v>
      </c>
      <c r="FB130" s="1715"/>
      <c r="FC130" s="1716">
        <f t="shared" ref="FC130:FC138" si="63">FB130/FB$140</f>
        <v>0</v>
      </c>
      <c r="FD130" s="1715">
        <v>6922</v>
      </c>
      <c r="FE130" s="1716">
        <f t="shared" ref="FE130:FE138" si="64">FD130/FD$140</f>
        <v>7.3709670789737041E-4</v>
      </c>
      <c r="FF130" s="1715">
        <v>91697</v>
      </c>
      <c r="FG130" s="1716">
        <f t="shared" ref="FG130:FG138" si="65">FF130/FF$140</f>
        <v>6.6922610846663682E-3</v>
      </c>
      <c r="FH130" s="1715">
        <v>33781</v>
      </c>
      <c r="FI130" s="1716">
        <f t="shared" ref="FI130:FI138" si="66">FH130/FH$140</f>
        <v>3.4226159115925371E-3</v>
      </c>
      <c r="FJ130" s="1715">
        <v>56969</v>
      </c>
      <c r="FK130" s="1716">
        <f t="shared" ref="FK130:FK138" si="67">FJ130/FJ$140</f>
        <v>5.9998453935818114E-3</v>
      </c>
      <c r="FL130" s="1715">
        <v>0</v>
      </c>
      <c r="FM130" s="1716">
        <f t="shared" ref="FM130:FM138" si="68">FL130/FL$140</f>
        <v>0</v>
      </c>
      <c r="FN130" s="1715">
        <v>57097</v>
      </c>
      <c r="FO130" s="1716">
        <f t="shared" ref="FO130:FO138" si="69">FN130/FN$140</f>
        <v>3.0514653735612064E-3</v>
      </c>
      <c r="FP130" s="1715">
        <v>0</v>
      </c>
      <c r="FQ130" s="1716">
        <f t="shared" ref="FQ130:FQ138" si="70">FP130/FP$140</f>
        <v>0</v>
      </c>
      <c r="FR130" s="1715">
        <v>503263</v>
      </c>
      <c r="FS130" s="1716">
        <f t="shared" ref="FS130:FS138" si="71">FR130/FR$140</f>
        <v>2.48436519407636E-2</v>
      </c>
      <c r="FT130" s="1715">
        <v>100220</v>
      </c>
      <c r="FU130" s="1716">
        <f t="shared" ref="FU130:FU138" si="72">FT130/FT$140</f>
        <v>4.3735135966873366E-3</v>
      </c>
      <c r="FV130" s="1715">
        <v>1059513</v>
      </c>
      <c r="FW130" s="1716">
        <f t="shared" ref="FW130:FW138" si="73">FV130/FV$140</f>
        <v>3.0671559079761459E-2</v>
      </c>
      <c r="FX130" s="1715">
        <v>8340</v>
      </c>
      <c r="FY130" s="1716">
        <f t="shared" ref="FY130:FY138" si="74">FX130/FX$140</f>
        <v>7.9809315067654182E-4</v>
      </c>
      <c r="FZ130" s="1715" t="s">
        <v>1412</v>
      </c>
      <c r="GA130" s="1716">
        <f t="shared" ref="GA130:GA138" si="75">FZ130/FZ$140</f>
        <v>0</v>
      </c>
      <c r="GB130" s="1715">
        <v>0</v>
      </c>
      <c r="GC130" s="1716">
        <f>GB130/GB$140</f>
        <v>0</v>
      </c>
      <c r="GD130" s="1715">
        <v>165487</v>
      </c>
      <c r="GE130" s="1716">
        <f t="shared" ref="GE130:GE138" si="76">GD130/GD$140</f>
        <v>5.9702072993556036E-3</v>
      </c>
      <c r="GF130" s="1715"/>
      <c r="GG130" s="1716">
        <f t="shared" ref="GG130:GG138" si="77">GF130/GF$140</f>
        <v>0</v>
      </c>
      <c r="GH130" s="1715">
        <v>42874</v>
      </c>
      <c r="GI130" s="1716">
        <f t="shared" ref="GI130:GI138" si="78">GH130/GH$140</f>
        <v>3.7998028399170202E-3</v>
      </c>
      <c r="GJ130" s="1715">
        <v>841768</v>
      </c>
      <c r="GK130" s="1716">
        <f t="shared" ref="GK130:GK138" si="79">GJ130/GJ$140</f>
        <v>1.5966426211518083E-2</v>
      </c>
      <c r="GL130" s="1715"/>
      <c r="GM130" s="1716">
        <f t="shared" ref="GM130:GM138" si="80">GL130/GL$140</f>
        <v>0</v>
      </c>
      <c r="GN130" s="1715">
        <v>0</v>
      </c>
      <c r="GO130" s="1716">
        <f t="shared" ref="GO130:GO138" si="81">GN130/GN$140</f>
        <v>0</v>
      </c>
      <c r="GP130" s="1715">
        <v>132684</v>
      </c>
      <c r="GQ130" s="1716">
        <f t="shared" ref="GQ130:GQ138" si="82">GP130/GP$140</f>
        <v>1.1130703810397852E-2</v>
      </c>
      <c r="GR130" s="1715">
        <v>2873</v>
      </c>
      <c r="GS130" s="1716">
        <f t="shared" ref="GS130:GS133" si="83">GR130/GR$140</f>
        <v>2.7975863052453917E-4</v>
      </c>
      <c r="GT130" s="1715">
        <v>68254</v>
      </c>
      <c r="GU130" s="1716">
        <f t="shared" ref="GU130:GU138" si="84">GT130/GT$140</f>
        <v>6.4537083482453326E-3</v>
      </c>
      <c r="GV130" s="1715">
        <v>100984</v>
      </c>
      <c r="GW130" s="1716">
        <f t="shared" ref="GW130:GW138" si="85">GV130/GV$140</f>
        <v>6.3173052086551787E-3</v>
      </c>
      <c r="GX130" s="1715">
        <v>0</v>
      </c>
      <c r="GY130" s="1716">
        <f t="shared" ref="GY130:GY138" si="86">GX130/GX$140</f>
        <v>0</v>
      </c>
      <c r="GZ130" s="1715">
        <v>142232</v>
      </c>
      <c r="HA130" s="1716">
        <f t="shared" ref="HA130:HA138" si="87">GZ130/GZ$140</f>
        <v>5.9292398961407538E-3</v>
      </c>
      <c r="HB130" s="1715">
        <v>0</v>
      </c>
      <c r="HC130" s="1716">
        <f t="shared" ref="HC130:HC133" si="88">HB130/HB$140</f>
        <v>0</v>
      </c>
      <c r="HD130" s="1715">
        <v>0</v>
      </c>
      <c r="HE130" s="1716">
        <f t="shared" ref="HE130:HE138" si="89">HD130/HD$140</f>
        <v>0</v>
      </c>
      <c r="HF130" s="2032">
        <v>624834</v>
      </c>
      <c r="HG130" s="2033">
        <f>HF130/HF$140</f>
        <v>1.5333770760478061E-2</v>
      </c>
      <c r="HH130" s="1715">
        <v>0</v>
      </c>
      <c r="HI130" s="1716">
        <f t="shared" ref="HI130:HI138" si="90">HH130/HH$140</f>
        <v>0</v>
      </c>
      <c r="HJ130" s="1715">
        <v>77658</v>
      </c>
      <c r="HK130" s="1716">
        <f t="shared" ref="HK130:HK138" si="91">HJ130/HJ$140</f>
        <v>4.4318484736751065E-3</v>
      </c>
      <c r="HL130" s="1715">
        <v>17419</v>
      </c>
      <c r="HM130" s="1716">
        <f t="shared" ref="HM130:HM138" si="92">HL130/HL$140</f>
        <v>2.3990634576317874E-3</v>
      </c>
      <c r="HN130" s="1715">
        <v>0</v>
      </c>
      <c r="HO130" s="1716">
        <f t="shared" ref="HO130:HO138" si="93">HN130/HN$140</f>
        <v>0</v>
      </c>
      <c r="HP130" s="2032">
        <v>592570</v>
      </c>
      <c r="HQ130" s="2033">
        <f>HP130/HP$140</f>
        <v>1.4228114978017337E-2</v>
      </c>
      <c r="HR130" s="1715">
        <v>495328</v>
      </c>
      <c r="HS130" s="1716">
        <f t="shared" ref="HS130:HS138" si="94">HR130/HR$140</f>
        <v>9.4349682099736057E-2</v>
      </c>
      <c r="HT130" s="2032">
        <v>136073</v>
      </c>
      <c r="HU130" s="2033">
        <f t="shared" ref="HU130:HU138" si="95">HT130/HT$140</f>
        <v>6.041431308593477E-3</v>
      </c>
      <c r="HV130" s="2032">
        <f>134552+10012+6601</f>
        <v>151165</v>
      </c>
      <c r="HW130" s="2033">
        <f t="shared" ref="HW130:HW138" si="96">HV130/HV$140</f>
        <v>1.1036135138392836E-2</v>
      </c>
      <c r="HX130" s="2032">
        <v>256750</v>
      </c>
      <c r="HY130" s="2033">
        <f t="shared" ref="HY130:HY138" si="97">HX130/HX$140</f>
        <v>2.1426340871677791E-2</v>
      </c>
      <c r="HZ130" s="2032">
        <v>179500</v>
      </c>
      <c r="IA130" s="2033">
        <f t="shared" ref="IA130:IA133" si="98">HZ130/HZ$140</f>
        <v>1.1680530273949757E-2</v>
      </c>
      <c r="IB130" s="1715">
        <v>0</v>
      </c>
      <c r="IC130" s="1716">
        <f t="shared" ref="IC130:IC138" si="99">IB130/IB$140</f>
        <v>0</v>
      </c>
      <c r="ID130" s="2032">
        <v>22457</v>
      </c>
      <c r="IE130" s="2033">
        <f t="shared" ref="IE130:IE138" si="100">ID130/ID$140</f>
        <v>2.1199108498995128E-3</v>
      </c>
      <c r="IF130" s="2032">
        <v>248430</v>
      </c>
      <c r="IG130" s="2033">
        <f t="shared" ref="IG130:IG138" si="101">IF130/IF$140</f>
        <v>3.1293938803803899E-2</v>
      </c>
    </row>
    <row r="131" spans="1:241">
      <c r="A131" s="1149"/>
      <c r="B131" s="1149"/>
      <c r="C131" s="1149"/>
      <c r="D131" s="1156" t="s">
        <v>1237</v>
      </c>
      <c r="E131" s="1143"/>
      <c r="F131" s="1715">
        <v>0</v>
      </c>
      <c r="G131" s="1716">
        <f t="shared" si="0"/>
        <v>0</v>
      </c>
      <c r="H131" s="1715">
        <v>733475</v>
      </c>
      <c r="I131" s="1716">
        <f t="shared" si="1"/>
        <v>6.660346008368985E-2</v>
      </c>
      <c r="J131" s="1715">
        <v>409803</v>
      </c>
      <c r="K131" s="1716">
        <f>J131/J$140</f>
        <v>5.848762220869224E-2</v>
      </c>
      <c r="L131" s="1715">
        <v>1718764</v>
      </c>
      <c r="M131" s="1716">
        <f t="shared" si="3"/>
        <v>2.4115000374752824E-2</v>
      </c>
      <c r="N131" s="1715">
        <v>333300</v>
      </c>
      <c r="O131" s="1716">
        <f t="shared" si="4"/>
        <v>3.302090452113942E-2</v>
      </c>
      <c r="P131" s="1715">
        <v>2284522</v>
      </c>
      <c r="Q131" s="1716">
        <f t="shared" si="5"/>
        <v>5.569190263623109E-2</v>
      </c>
      <c r="R131" s="1786">
        <v>1153809</v>
      </c>
      <c r="S131" s="1716">
        <f t="shared" si="6"/>
        <v>5.3609790675333127E-2</v>
      </c>
      <c r="T131" s="1715"/>
      <c r="U131" s="1716">
        <f t="shared" si="7"/>
        <v>0</v>
      </c>
      <c r="V131" s="1715">
        <v>299714</v>
      </c>
      <c r="W131" s="1716">
        <f t="shared" si="8"/>
        <v>3.7244623113080057E-2</v>
      </c>
      <c r="X131" s="1715">
        <v>1016094</v>
      </c>
      <c r="Y131" s="1716">
        <f t="shared" si="9"/>
        <v>2.8031513223732714E-2</v>
      </c>
      <c r="Z131" s="1786">
        <v>703339</v>
      </c>
      <c r="AA131" s="1716">
        <f t="shared" si="10"/>
        <v>5.3051174762286137E-2</v>
      </c>
      <c r="AB131" s="1715">
        <v>278036</v>
      </c>
      <c r="AC131" s="1716">
        <f t="shared" si="11"/>
        <v>3.6089565819558661E-2</v>
      </c>
      <c r="AD131" s="1715">
        <v>993810</v>
      </c>
      <c r="AE131" s="1716">
        <f t="shared" si="12"/>
        <v>2.5440118842915783E-2</v>
      </c>
      <c r="AF131" s="1715">
        <v>725365</v>
      </c>
      <c r="AG131" s="1716">
        <f t="shared" si="13"/>
        <v>5.2902387322651942E-2</v>
      </c>
      <c r="AH131" s="1715">
        <v>0</v>
      </c>
      <c r="AI131" s="1716">
        <f t="shared" si="14"/>
        <v>0</v>
      </c>
      <c r="AJ131" s="1715">
        <v>1180408</v>
      </c>
      <c r="AK131" s="1716">
        <f t="shared" si="15"/>
        <v>0.10293887448388112</v>
      </c>
      <c r="AL131" s="1715"/>
      <c r="AM131" s="1716">
        <f t="shared" si="16"/>
        <v>0</v>
      </c>
      <c r="AN131" s="1715">
        <v>889971</v>
      </c>
      <c r="AO131" s="1716">
        <f t="shared" si="17"/>
        <v>8.2814685587988546E-2</v>
      </c>
      <c r="AP131" s="1715">
        <v>1406084</v>
      </c>
      <c r="AQ131" s="1716">
        <f t="shared" si="18"/>
        <v>9.5827839691101119E-2</v>
      </c>
      <c r="AR131" s="1715">
        <v>723587</v>
      </c>
      <c r="AS131" s="1716">
        <f t="shared" si="19"/>
        <v>2.8662830758907236E-2</v>
      </c>
      <c r="AT131" s="1715">
        <v>0</v>
      </c>
      <c r="AU131" s="1716">
        <f t="shared" si="20"/>
        <v>0</v>
      </c>
      <c r="AV131" s="1715">
        <v>2027001</v>
      </c>
      <c r="AW131" s="1716">
        <f t="shared" si="21"/>
        <v>0.12809973396725502</v>
      </c>
      <c r="AX131" s="1715">
        <v>0</v>
      </c>
      <c r="AY131" s="1716">
        <f t="shared" si="22"/>
        <v>0</v>
      </c>
      <c r="AZ131" s="1715">
        <v>428366</v>
      </c>
      <c r="BA131" s="1716">
        <f t="shared" si="23"/>
        <v>3.5482676842046236E-2</v>
      </c>
      <c r="BB131" s="1715"/>
      <c r="BC131" s="1716">
        <f t="shared" si="24"/>
        <v>0</v>
      </c>
      <c r="BD131" s="1786"/>
      <c r="BE131" s="1716">
        <f t="shared" si="25"/>
        <v>0</v>
      </c>
      <c r="BF131" s="1715">
        <v>227106</v>
      </c>
      <c r="BG131" s="1716">
        <f t="shared" si="26"/>
        <v>3.420427167083076E-2</v>
      </c>
      <c r="BH131" s="1715">
        <v>389986</v>
      </c>
      <c r="BI131" s="1716">
        <f t="shared" si="27"/>
        <v>3.4636450755412586E-2</v>
      </c>
      <c r="BJ131" s="1715">
        <v>668795</v>
      </c>
      <c r="BK131" s="1716">
        <f t="shared" si="28"/>
        <v>4.506873403958167E-2</v>
      </c>
      <c r="BL131" s="1715">
        <v>1066281</v>
      </c>
      <c r="BM131" s="1716">
        <f t="shared" si="29"/>
        <v>5.5185072283226659E-2</v>
      </c>
      <c r="BN131" s="1715"/>
      <c r="BO131" s="1716">
        <f t="shared" si="30"/>
        <v>0</v>
      </c>
      <c r="BP131" s="1715">
        <v>0</v>
      </c>
      <c r="BQ131" s="1716">
        <f t="shared" si="31"/>
        <v>0</v>
      </c>
      <c r="BR131" s="1715"/>
      <c r="BS131" s="1716">
        <f t="shared" si="32"/>
        <v>0</v>
      </c>
      <c r="BT131" s="1715"/>
      <c r="BU131" s="1716">
        <f t="shared" si="33"/>
        <v>0</v>
      </c>
      <c r="BV131" s="1715">
        <v>314196</v>
      </c>
      <c r="BW131" s="1716">
        <f t="shared" si="34"/>
        <v>4.3033096735031084E-2</v>
      </c>
      <c r="BX131" s="1715">
        <v>0</v>
      </c>
      <c r="BY131" s="1716">
        <f t="shared" si="35"/>
        <v>0</v>
      </c>
      <c r="BZ131" s="1715">
        <v>0</v>
      </c>
      <c r="CA131" s="1716">
        <f t="shared" si="36"/>
        <v>0</v>
      </c>
      <c r="CB131" s="1715">
        <v>0</v>
      </c>
      <c r="CC131" s="1716">
        <f t="shared" si="37"/>
        <v>0</v>
      </c>
      <c r="CD131" s="1715">
        <v>516604</v>
      </c>
      <c r="CE131" s="1716">
        <f t="shared" si="38"/>
        <v>4.3315096862907861E-2</v>
      </c>
      <c r="CF131" s="1715">
        <v>590478</v>
      </c>
      <c r="CG131" s="1716">
        <v>5.9972747693121477E-2</v>
      </c>
      <c r="CH131" s="1715"/>
      <c r="CI131" s="1716">
        <v>0</v>
      </c>
      <c r="CJ131" s="1715">
        <v>561458</v>
      </c>
      <c r="CK131" s="1716">
        <v>5.8983118010463534E-2</v>
      </c>
      <c r="CL131" s="1715">
        <v>2109856</v>
      </c>
      <c r="CM131" s="1716">
        <v>5.583102357502822E-2</v>
      </c>
      <c r="CN131" s="1715">
        <v>810440</v>
      </c>
      <c r="CO131" s="1716">
        <f t="shared" si="39"/>
        <v>4.7813828842020852E-2</v>
      </c>
      <c r="CP131" s="1715">
        <v>0</v>
      </c>
      <c r="CQ131" s="1716">
        <f t="shared" si="40"/>
        <v>0</v>
      </c>
      <c r="CR131" s="1715">
        <v>1058169</v>
      </c>
      <c r="CS131" s="1716">
        <v>5.4415363786260142E-2</v>
      </c>
      <c r="CT131" s="1715">
        <v>0</v>
      </c>
      <c r="CU131" s="1716">
        <f t="shared" si="41"/>
        <v>0</v>
      </c>
      <c r="CV131" s="1715">
        <v>0</v>
      </c>
      <c r="CW131" s="1716">
        <f t="shared" si="42"/>
        <v>0</v>
      </c>
      <c r="CX131" s="1715">
        <v>941318</v>
      </c>
      <c r="CY131" s="1716">
        <f t="shared" si="42"/>
        <v>3.4043897958649302E-2</v>
      </c>
      <c r="CZ131" s="1715">
        <v>0</v>
      </c>
      <c r="DA131" s="1716">
        <v>0</v>
      </c>
      <c r="DB131" s="1715">
        <v>749060</v>
      </c>
      <c r="DC131" s="1716">
        <v>4.7102764339787842E-2</v>
      </c>
      <c r="DD131" s="1715">
        <v>410432</v>
      </c>
      <c r="DE131" s="1716">
        <v>5.7113809457081222E-2</v>
      </c>
      <c r="DF131" s="1715">
        <v>1047086</v>
      </c>
      <c r="DG131" s="1716">
        <v>2.0124762123995523E-2</v>
      </c>
      <c r="DH131" s="1715">
        <v>376534</v>
      </c>
      <c r="DI131" s="1716">
        <v>2.6264463943263278E-2</v>
      </c>
      <c r="DJ131" s="1715">
        <v>457778</v>
      </c>
      <c r="DK131" s="1716">
        <v>6.0470562313431162E-2</v>
      </c>
      <c r="DL131" s="1715">
        <v>528736</v>
      </c>
      <c r="DM131" s="1716">
        <v>4.2970079517272518E-2</v>
      </c>
      <c r="DN131" s="1715">
        <v>879872</v>
      </c>
      <c r="DO131" s="1716">
        <f t="shared" si="43"/>
        <v>9.8842320643053844E-2</v>
      </c>
      <c r="DP131" s="1715">
        <v>0</v>
      </c>
      <c r="DQ131" s="1716">
        <f t="shared" si="44"/>
        <v>0</v>
      </c>
      <c r="DR131" s="1715">
        <v>411617</v>
      </c>
      <c r="DS131" s="1716">
        <f t="shared" si="45"/>
        <v>2.886235413403191E-2</v>
      </c>
      <c r="DT131" s="1715">
        <v>480900</v>
      </c>
      <c r="DU131" s="1716">
        <f t="shared" si="46"/>
        <v>1.3030145589997487E-2</v>
      </c>
      <c r="DV131" s="1715">
        <v>345048</v>
      </c>
      <c r="DW131" s="1716">
        <f t="shared" si="47"/>
        <v>4.3739858834982964E-2</v>
      </c>
      <c r="DX131" s="1715">
        <v>570139</v>
      </c>
      <c r="DY131" s="1716">
        <f t="shared" si="48"/>
        <v>3.6614108047963834E-2</v>
      </c>
      <c r="DZ131" s="1715">
        <v>646236</v>
      </c>
      <c r="EA131" s="1716">
        <f t="shared" si="49"/>
        <v>1.9563834944681509E-2</v>
      </c>
      <c r="EB131" s="1715">
        <v>633198</v>
      </c>
      <c r="EC131" s="1716">
        <f t="shared" si="50"/>
        <v>3.0027394630637218E-2</v>
      </c>
      <c r="ED131" s="1715">
        <v>0</v>
      </c>
      <c r="EE131" s="1716">
        <f t="shared" si="51"/>
        <v>0</v>
      </c>
      <c r="EF131" s="1715">
        <v>296393</v>
      </c>
      <c r="EG131" s="1716">
        <f t="shared" si="52"/>
        <v>2.5617919414528557E-2</v>
      </c>
      <c r="EH131" s="1715">
        <v>1704433</v>
      </c>
      <c r="EI131" s="1716">
        <f t="shared" si="53"/>
        <v>4.3172796659558137E-2</v>
      </c>
      <c r="EJ131" s="1715">
        <v>107586</v>
      </c>
      <c r="EK131" s="1716">
        <f t="shared" si="54"/>
        <v>6.742726919309076E-3</v>
      </c>
      <c r="EL131" s="1715">
        <v>1162594</v>
      </c>
      <c r="EM131" s="1716">
        <f t="shared" si="55"/>
        <v>2.747453204552279E-2</v>
      </c>
      <c r="EN131" s="1715">
        <v>0</v>
      </c>
      <c r="EO131" s="1716">
        <f t="shared" si="56"/>
        <v>0</v>
      </c>
      <c r="EP131" s="1715">
        <v>0</v>
      </c>
      <c r="EQ131" s="1716">
        <f t="shared" si="57"/>
        <v>0</v>
      </c>
      <c r="ER131" s="1715">
        <v>134305</v>
      </c>
      <c r="ES131" s="1716">
        <f t="shared" si="58"/>
        <v>1.5724542497828443E-2</v>
      </c>
      <c r="ET131" s="1715">
        <v>745036</v>
      </c>
      <c r="EU131" s="1716">
        <f t="shared" si="59"/>
        <v>4.2967321729987247E-2</v>
      </c>
      <c r="EV131" s="1715">
        <v>262597</v>
      </c>
      <c r="EW131" s="1716">
        <f t="shared" si="60"/>
        <v>2.2295342801179476E-2</v>
      </c>
      <c r="EX131" s="1715">
        <f>75425+61917+62114+108242+3397</f>
        <v>311095</v>
      </c>
      <c r="EY131" s="1716">
        <f t="shared" si="61"/>
        <v>3.9684929000977406E-2</v>
      </c>
      <c r="EZ131" s="1715">
        <v>410974</v>
      </c>
      <c r="FA131" s="1716">
        <f t="shared" si="62"/>
        <v>2.7976092338109267E-2</v>
      </c>
      <c r="FB131" s="1715"/>
      <c r="FC131" s="1716">
        <f t="shared" si="63"/>
        <v>0</v>
      </c>
      <c r="FD131" s="1715">
        <v>410477</v>
      </c>
      <c r="FE131" s="1716">
        <f t="shared" si="64"/>
        <v>4.3710090344927607E-2</v>
      </c>
      <c r="FF131" s="1715">
        <v>448634</v>
      </c>
      <c r="FG131" s="1716">
        <f t="shared" si="65"/>
        <v>3.2742356450682263E-2</v>
      </c>
      <c r="FH131" s="1715">
        <v>479358</v>
      </c>
      <c r="FI131" s="1716">
        <f t="shared" si="66"/>
        <v>4.8567488178241483E-2</v>
      </c>
      <c r="FJ131" s="1715">
        <v>559427</v>
      </c>
      <c r="FK131" s="1716">
        <f t="shared" si="67"/>
        <v>5.8917578138905233E-2</v>
      </c>
      <c r="FL131" s="1715">
        <v>301205</v>
      </c>
      <c r="FM131" s="1716">
        <f t="shared" si="68"/>
        <v>3.2020160034358376E-2</v>
      </c>
      <c r="FN131" s="1715">
        <v>599764</v>
      </c>
      <c r="FO131" s="1716">
        <f t="shared" si="69"/>
        <v>3.2053506809614579E-2</v>
      </c>
      <c r="FP131" s="1715">
        <v>132668</v>
      </c>
      <c r="FQ131" s="1716">
        <f t="shared" si="70"/>
        <v>2.3938719418894028E-2</v>
      </c>
      <c r="FR131" s="1715">
        <v>808840</v>
      </c>
      <c r="FS131" s="1716">
        <f t="shared" si="71"/>
        <v>3.9928505445000387E-2</v>
      </c>
      <c r="FT131" s="1715">
        <v>1414938</v>
      </c>
      <c r="FU131" s="1716">
        <f t="shared" si="72"/>
        <v>6.1746663155753202E-2</v>
      </c>
      <c r="FV131" s="1715">
        <v>1236999</v>
      </c>
      <c r="FW131" s="1716">
        <f t="shared" si="73"/>
        <v>3.5809553927234346E-2</v>
      </c>
      <c r="FX131" s="1715">
        <v>396630</v>
      </c>
      <c r="FY131" s="1716">
        <f t="shared" si="74"/>
        <v>3.7955358075879714E-2</v>
      </c>
      <c r="FZ131" s="1715">
        <v>417047</v>
      </c>
      <c r="GA131" s="1716">
        <f t="shared" si="75"/>
        <v>5.6267370761534187E-2</v>
      </c>
      <c r="GB131" s="1715">
        <v>288606</v>
      </c>
      <c r="GC131" s="1716">
        <f>GB131/GB$140</f>
        <v>4.5943925061062284E-2</v>
      </c>
      <c r="GD131" s="1715">
        <f>176509+233430+5469</f>
        <v>415408</v>
      </c>
      <c r="GE131" s="1716">
        <f t="shared" si="76"/>
        <v>1.4986505730424218E-2</v>
      </c>
      <c r="GF131" s="1715">
        <v>478496</v>
      </c>
      <c r="GG131" s="1716">
        <f t="shared" si="77"/>
        <v>3.9851111338939406E-2</v>
      </c>
      <c r="GH131" s="1715">
        <v>210928</v>
      </c>
      <c r="GI131" s="1716">
        <f t="shared" si="78"/>
        <v>1.8693959355740478E-2</v>
      </c>
      <c r="GJ131" s="1715">
        <v>2245062</v>
      </c>
      <c r="GK131" s="1716">
        <f t="shared" si="79"/>
        <v>4.2583724688136412E-2</v>
      </c>
      <c r="GL131" s="1715">
        <v>572905</v>
      </c>
      <c r="GM131" s="1716">
        <f t="shared" si="80"/>
        <v>5.6852835501740501E-2</v>
      </c>
      <c r="GN131" s="1715">
        <v>17677</v>
      </c>
      <c r="GO131" s="1716">
        <f t="shared" si="81"/>
        <v>2.6262921604057301E-3</v>
      </c>
      <c r="GP131" s="1715">
        <v>319393</v>
      </c>
      <c r="GQ131" s="1716">
        <f t="shared" si="82"/>
        <v>2.6793500965560286E-2</v>
      </c>
      <c r="GR131" s="1715">
        <v>589298</v>
      </c>
      <c r="GS131" s="1716">
        <f t="shared" si="83"/>
        <v>5.7382945162147536E-2</v>
      </c>
      <c r="GT131" s="1715">
        <v>211287</v>
      </c>
      <c r="GU131" s="1716">
        <f t="shared" si="84"/>
        <v>1.9978091771554948E-2</v>
      </c>
      <c r="GV131" s="1715">
        <v>410404</v>
      </c>
      <c r="GW131" s="1716">
        <f t="shared" si="85"/>
        <v>2.5673842656786419E-2</v>
      </c>
      <c r="GX131" s="1715">
        <v>224226</v>
      </c>
      <c r="GY131" s="1716">
        <f t="shared" si="86"/>
        <v>2.8993040537578809E-2</v>
      </c>
      <c r="GZ131" s="1715">
        <v>1268692</v>
      </c>
      <c r="HA131" s="1716">
        <f t="shared" si="87"/>
        <v>5.28880928505161E-2</v>
      </c>
      <c r="HB131" s="1715">
        <v>305294</v>
      </c>
      <c r="HC131" s="1716">
        <f t="shared" si="88"/>
        <v>7.3999580184108169E-2</v>
      </c>
      <c r="HD131" s="1715"/>
      <c r="HE131" s="1716">
        <f t="shared" si="89"/>
        <v>0</v>
      </c>
      <c r="HF131" s="2032">
        <v>1007608</v>
      </c>
      <c r="HG131" s="2033">
        <f t="shared" ref="HG131:HG138" si="102">HF131/HF$140</f>
        <v>2.4727255700592123E-2</v>
      </c>
      <c r="HH131" s="1715">
        <v>957274</v>
      </c>
      <c r="HI131" s="1716">
        <f t="shared" si="90"/>
        <v>6.623274610167186E-2</v>
      </c>
      <c r="HJ131" s="1715">
        <v>952292</v>
      </c>
      <c r="HK131" s="1716">
        <f t="shared" si="91"/>
        <v>5.4346156824705949E-2</v>
      </c>
      <c r="HL131" s="1715">
        <v>334710</v>
      </c>
      <c r="HM131" s="1716">
        <f t="shared" si="92"/>
        <v>4.6098543538890611E-2</v>
      </c>
      <c r="HN131" s="1715">
        <v>389736</v>
      </c>
      <c r="HO131" s="1716">
        <f t="shared" si="93"/>
        <v>4.5392218579973248E-2</v>
      </c>
      <c r="HP131" s="2032">
        <v>2104636</v>
      </c>
      <c r="HQ131" s="2033">
        <f t="shared" ref="HQ131:HQ138" si="103">HP131/HP$140</f>
        <v>5.0534119167143961E-2</v>
      </c>
      <c r="HR131" s="1715">
        <v>0</v>
      </c>
      <c r="HS131" s="1716">
        <f t="shared" si="94"/>
        <v>0</v>
      </c>
      <c r="HT131" s="2032">
        <v>455791</v>
      </c>
      <c r="HU131" s="2033">
        <f t="shared" si="95"/>
        <v>2.0236417346388553E-2</v>
      </c>
      <c r="HV131" s="2032">
        <v>330811</v>
      </c>
      <c r="HW131" s="2033">
        <f t="shared" si="96"/>
        <v>2.4151588669777211E-2</v>
      </c>
      <c r="HX131" s="2032">
        <v>392751</v>
      </c>
      <c r="HY131" s="2033">
        <f t="shared" si="97"/>
        <v>3.2775917443787043E-2</v>
      </c>
      <c r="HZ131" s="2032">
        <v>586506</v>
      </c>
      <c r="IA131" s="2033">
        <f t="shared" si="98"/>
        <v>3.8165465676062257E-2</v>
      </c>
      <c r="IB131" s="1715">
        <v>458177</v>
      </c>
      <c r="IC131" s="1716">
        <f t="shared" si="99"/>
        <v>5.9563348319818459E-2</v>
      </c>
      <c r="ID131" s="2032">
        <v>375874</v>
      </c>
      <c r="IE131" s="2033">
        <f t="shared" si="100"/>
        <v>3.5482004310243107E-2</v>
      </c>
      <c r="IF131" s="2032">
        <v>0</v>
      </c>
      <c r="IG131" s="2033">
        <f t="shared" si="101"/>
        <v>0</v>
      </c>
    </row>
    <row r="132" spans="1:241">
      <c r="A132" s="1149"/>
      <c r="B132" s="1149"/>
      <c r="C132" s="1149"/>
      <c r="D132" s="1149" t="s">
        <v>1238</v>
      </c>
      <c r="E132" s="1143"/>
      <c r="F132" s="1715">
        <v>1166580</v>
      </c>
      <c r="G132" s="1716">
        <f t="shared" si="0"/>
        <v>0.17399846253480103</v>
      </c>
      <c r="H132" s="1715"/>
      <c r="I132" s="1716">
        <f t="shared" si="1"/>
        <v>0</v>
      </c>
      <c r="J132" s="1715">
        <v>70695</v>
      </c>
      <c r="K132" s="1716">
        <f>J132/J$140</f>
        <v>1.0089683218628215E-2</v>
      </c>
      <c r="L132" s="1715">
        <f>1701374+113663</f>
        <v>1815037</v>
      </c>
      <c r="M132" s="1716">
        <f t="shared" si="3"/>
        <v>2.5465752095802704E-2</v>
      </c>
      <c r="N132" s="1715">
        <v>107316</v>
      </c>
      <c r="O132" s="1716">
        <f t="shared" si="4"/>
        <v>1.0632077376509445E-2</v>
      </c>
      <c r="P132" s="1715">
        <v>1862443</v>
      </c>
      <c r="Q132" s="1716">
        <f t="shared" si="5"/>
        <v>4.5402493047355261E-2</v>
      </c>
      <c r="R132" s="1786">
        <v>573299</v>
      </c>
      <c r="S132" s="1716">
        <f t="shared" si="6"/>
        <v>2.6637371856501214E-2</v>
      </c>
      <c r="T132" s="1715">
        <v>1816813</v>
      </c>
      <c r="U132" s="1716">
        <f t="shared" si="7"/>
        <v>0.21172385663759097</v>
      </c>
      <c r="V132" s="1715">
        <v>0</v>
      </c>
      <c r="W132" s="1716">
        <f t="shared" si="8"/>
        <v>0</v>
      </c>
      <c r="X132" s="1715">
        <f>437949-X130</f>
        <v>277286</v>
      </c>
      <c r="Y132" s="1716">
        <f t="shared" si="9"/>
        <v>7.6496329825350307E-3</v>
      </c>
      <c r="Z132" s="1786">
        <v>118938</v>
      </c>
      <c r="AA132" s="1716">
        <f t="shared" si="10"/>
        <v>8.9712082280049722E-3</v>
      </c>
      <c r="AB132" s="1715"/>
      <c r="AC132" s="1716">
        <f t="shared" si="11"/>
        <v>0</v>
      </c>
      <c r="AD132" s="1715">
        <v>1693072</v>
      </c>
      <c r="AE132" s="1716">
        <f t="shared" si="12"/>
        <v>4.3340228906544626E-2</v>
      </c>
      <c r="AF132" s="1715">
        <v>646711</v>
      </c>
      <c r="AG132" s="1716">
        <f t="shared" si="13"/>
        <v>4.7165986514126762E-2</v>
      </c>
      <c r="AH132" s="1715">
        <v>0</v>
      </c>
      <c r="AI132" s="1716">
        <f t="shared" si="14"/>
        <v>0</v>
      </c>
      <c r="AJ132" s="1715">
        <v>10964</v>
      </c>
      <c r="AK132" s="1716">
        <f t="shared" si="15"/>
        <v>9.56128575747769E-4</v>
      </c>
      <c r="AL132" s="1715">
        <v>65914</v>
      </c>
      <c r="AM132" s="1716">
        <f t="shared" si="16"/>
        <v>4.8691172651035416E-3</v>
      </c>
      <c r="AN132" s="1715">
        <v>98962</v>
      </c>
      <c r="AO132" s="1716">
        <f t="shared" si="17"/>
        <v>9.2087347960310185E-3</v>
      </c>
      <c r="AP132" s="1715">
        <v>225906</v>
      </c>
      <c r="AQ132" s="1716">
        <f t="shared" si="18"/>
        <v>1.5396010446927701E-2</v>
      </c>
      <c r="AR132" s="1715">
        <v>1502022</v>
      </c>
      <c r="AS132" s="1716">
        <f t="shared" si="19"/>
        <v>5.9498308264459371E-2</v>
      </c>
      <c r="AT132" s="1715">
        <f>2236139+65562</f>
        <v>2301701</v>
      </c>
      <c r="AU132" s="1716">
        <f t="shared" si="20"/>
        <v>0.21224542225266463</v>
      </c>
      <c r="AV132" s="1715">
        <v>402527</v>
      </c>
      <c r="AW132" s="1716">
        <f t="shared" si="21"/>
        <v>2.543837009189303E-2</v>
      </c>
      <c r="AX132" s="1715">
        <v>1906985</v>
      </c>
      <c r="AY132" s="1716">
        <f t="shared" si="22"/>
        <v>0.15217449244978762</v>
      </c>
      <c r="AZ132" s="1715">
        <v>0</v>
      </c>
      <c r="BA132" s="1716">
        <f t="shared" si="23"/>
        <v>0</v>
      </c>
      <c r="BB132" s="1715"/>
      <c r="BC132" s="1716">
        <f t="shared" si="24"/>
        <v>0</v>
      </c>
      <c r="BD132" s="1786">
        <v>1272335</v>
      </c>
      <c r="BE132" s="1716">
        <f t="shared" si="25"/>
        <v>0.13949609996167059</v>
      </c>
      <c r="BF132" s="1715"/>
      <c r="BG132" s="1716">
        <f t="shared" si="26"/>
        <v>0</v>
      </c>
      <c r="BH132" s="1715">
        <v>0</v>
      </c>
      <c r="BI132" s="1716">
        <f t="shared" si="27"/>
        <v>0</v>
      </c>
      <c r="BJ132" s="1715">
        <v>352337</v>
      </c>
      <c r="BK132" s="1716">
        <f t="shared" si="28"/>
        <v>2.3743273417570536E-2</v>
      </c>
      <c r="BL132" s="1715">
        <v>304258</v>
      </c>
      <c r="BM132" s="1716">
        <f t="shared" si="29"/>
        <v>1.5746786937730278E-2</v>
      </c>
      <c r="BN132" s="1715"/>
      <c r="BO132" s="1716">
        <f t="shared" si="30"/>
        <v>0</v>
      </c>
      <c r="BP132" s="1715">
        <v>1805598</v>
      </c>
      <c r="BQ132" s="1716">
        <f t="shared" si="31"/>
        <v>0.20007922951238391</v>
      </c>
      <c r="BR132" s="1715"/>
      <c r="BS132" s="1716">
        <f t="shared" si="32"/>
        <v>0</v>
      </c>
      <c r="BT132" s="1715">
        <f>7010+142188</f>
        <v>149198</v>
      </c>
      <c r="BU132" s="1716">
        <f t="shared" si="33"/>
        <v>3.0569470565323553E-2</v>
      </c>
      <c r="BV132" s="1715">
        <v>0</v>
      </c>
      <c r="BW132" s="1716">
        <f t="shared" si="34"/>
        <v>0</v>
      </c>
      <c r="BX132" s="1715">
        <v>1011812</v>
      </c>
      <c r="BY132" s="1716">
        <f t="shared" si="35"/>
        <v>7.850897108377719E-2</v>
      </c>
      <c r="BZ132" s="1715">
        <v>501382</v>
      </c>
      <c r="CA132" s="1716">
        <f t="shared" si="36"/>
        <v>1.8765368814303122E-2</v>
      </c>
      <c r="CB132" s="1715">
        <f>85078+291042</f>
        <v>376120</v>
      </c>
      <c r="CC132" s="1716">
        <f t="shared" si="37"/>
        <v>4.6257652368798391E-2</v>
      </c>
      <c r="CD132" s="1715">
        <v>97726</v>
      </c>
      <c r="CE132" s="1716">
        <f t="shared" si="38"/>
        <v>8.1939186611496104E-3</v>
      </c>
      <c r="CF132" s="1715">
        <v>38850</v>
      </c>
      <c r="CG132" s="1716">
        <v>3.9458561502338264E-3</v>
      </c>
      <c r="CH132" s="1715">
        <v>19850</v>
      </c>
      <c r="CI132" s="1716">
        <v>2.2020242426783803E-3</v>
      </c>
      <c r="CJ132" s="1715">
        <v>0</v>
      </c>
      <c r="CK132" s="1716">
        <v>0</v>
      </c>
      <c r="CL132" s="1715">
        <v>1915634</v>
      </c>
      <c r="CM132" s="1716">
        <v>5.0691519712779264E-2</v>
      </c>
      <c r="CN132" s="1715">
        <v>1463562</v>
      </c>
      <c r="CO132" s="1716">
        <f t="shared" si="39"/>
        <v>8.634630937229866E-2</v>
      </c>
      <c r="CP132" s="1715">
        <v>0</v>
      </c>
      <c r="CQ132" s="1716">
        <f t="shared" si="40"/>
        <v>0</v>
      </c>
      <c r="CR132" s="1715">
        <v>1111388</v>
      </c>
      <c r="CS132" s="1716">
        <v>5.715210172258315E-2</v>
      </c>
      <c r="CT132" s="1715">
        <v>503599</v>
      </c>
      <c r="CU132" s="1716">
        <f t="shared" si="41"/>
        <v>4.3169223951080499E-2</v>
      </c>
      <c r="CV132" s="1715">
        <v>158118</v>
      </c>
      <c r="CW132" s="1716">
        <f t="shared" si="42"/>
        <v>6.7131737724378526E-3</v>
      </c>
      <c r="CX132" s="1715">
        <v>1212757</v>
      </c>
      <c r="CY132" s="1716">
        <f t="shared" si="42"/>
        <v>4.3860815958727706E-2</v>
      </c>
      <c r="CZ132" s="1715">
        <v>121470</v>
      </c>
      <c r="DA132" s="1716">
        <v>1.6789441850230492E-2</v>
      </c>
      <c r="DB132" s="1715">
        <v>336271</v>
      </c>
      <c r="DC132" s="1716">
        <v>2.1145560659099134E-2</v>
      </c>
      <c r="DD132" s="1715">
        <v>0</v>
      </c>
      <c r="DE132" s="1716">
        <v>0</v>
      </c>
      <c r="DF132" s="1715">
        <v>2131612</v>
      </c>
      <c r="DG132" s="1716">
        <v>4.0969112795562493E-2</v>
      </c>
      <c r="DH132" s="1715">
        <v>0</v>
      </c>
      <c r="DI132" s="1716">
        <v>0</v>
      </c>
      <c r="DJ132" s="1715">
        <v>0</v>
      </c>
      <c r="DK132" s="1716">
        <v>0</v>
      </c>
      <c r="DL132" s="1715">
        <v>94984</v>
      </c>
      <c r="DM132" s="1716">
        <v>7.7192966487407951E-3</v>
      </c>
      <c r="DN132" s="1715">
        <v>274306</v>
      </c>
      <c r="DO132" s="1716">
        <f t="shared" si="43"/>
        <v>3.0814756699057963E-2</v>
      </c>
      <c r="DP132" s="1715">
        <v>96710</v>
      </c>
      <c r="DQ132" s="1716">
        <f t="shared" si="44"/>
        <v>1.3061983711621221E-2</v>
      </c>
      <c r="DR132" s="1715">
        <f>198595+860</f>
        <v>199455</v>
      </c>
      <c r="DS132" s="1716">
        <f t="shared" si="45"/>
        <v>1.3985673195721592E-2</v>
      </c>
      <c r="DT132" s="1715">
        <f>1903064+147131</f>
        <v>2050195</v>
      </c>
      <c r="DU132" s="1716">
        <f t="shared" si="46"/>
        <v>5.5550716028040958E-2</v>
      </c>
      <c r="DV132" s="1715">
        <v>21645</v>
      </c>
      <c r="DW132" s="1716">
        <f t="shared" si="47"/>
        <v>2.7438189599221161E-3</v>
      </c>
      <c r="DX132" s="1715">
        <v>668001</v>
      </c>
      <c r="DY132" s="1716">
        <f t="shared" si="48"/>
        <v>4.2898768177844153E-2</v>
      </c>
      <c r="DZ132" s="1715">
        <f>24192+299298+362381</f>
        <v>685871</v>
      </c>
      <c r="EA132" s="1716">
        <f t="shared" si="49"/>
        <v>2.0763725693622226E-2</v>
      </c>
      <c r="EB132" s="1715">
        <v>573250</v>
      </c>
      <c r="EC132" s="1716">
        <f t="shared" si="50"/>
        <v>2.7184552023241999E-2</v>
      </c>
      <c r="ED132" s="1715">
        <v>74267</v>
      </c>
      <c r="EE132" s="1716">
        <f t="shared" si="51"/>
        <v>9.2444938145776132E-3</v>
      </c>
      <c r="EF132" s="1715"/>
      <c r="EG132" s="1716">
        <f t="shared" si="52"/>
        <v>0</v>
      </c>
      <c r="EH132" s="1715">
        <v>2156769</v>
      </c>
      <c r="EI132" s="1716">
        <f t="shared" si="53"/>
        <v>5.4630337172912366E-2</v>
      </c>
      <c r="EJ132" s="1715">
        <v>77717</v>
      </c>
      <c r="EK132" s="1716">
        <f t="shared" si="54"/>
        <v>4.8707499859456018E-3</v>
      </c>
      <c r="EL132" s="1715"/>
      <c r="EM132" s="1716">
        <f t="shared" si="55"/>
        <v>0</v>
      </c>
      <c r="EN132" s="1715">
        <v>2223165</v>
      </c>
      <c r="EO132" s="1716">
        <f t="shared" si="56"/>
        <v>0.17533087599151598</v>
      </c>
      <c r="EP132" s="1715">
        <v>640384</v>
      </c>
      <c r="EQ132" s="1716">
        <f t="shared" si="57"/>
        <v>6.3038074018628001E-2</v>
      </c>
      <c r="ER132" s="1715">
        <v>0</v>
      </c>
      <c r="ES132" s="1716">
        <f t="shared" si="58"/>
        <v>0</v>
      </c>
      <c r="ET132" s="1715">
        <v>713805</v>
      </c>
      <c r="EU132" s="1716">
        <f t="shared" si="59"/>
        <v>4.1166184033353488E-2</v>
      </c>
      <c r="EV132" s="1715">
        <v>102362</v>
      </c>
      <c r="EW132" s="1716">
        <f t="shared" si="60"/>
        <v>8.6908680594764351E-3</v>
      </c>
      <c r="EX132" s="1715">
        <v>66708</v>
      </c>
      <c r="EY132" s="1716">
        <f t="shared" si="61"/>
        <v>8.5096264607184332E-3</v>
      </c>
      <c r="EZ132" s="1715">
        <v>43150</v>
      </c>
      <c r="FA132" s="1716">
        <f t="shared" si="62"/>
        <v>2.937335170568977E-3</v>
      </c>
      <c r="FB132" s="1715">
        <v>48920</v>
      </c>
      <c r="FC132" s="1716">
        <f t="shared" si="63"/>
        <v>9.0165824387864919E-3</v>
      </c>
      <c r="FD132" s="1715">
        <v>96399</v>
      </c>
      <c r="FE132" s="1716">
        <f t="shared" si="64"/>
        <v>1.0265152491273997E-2</v>
      </c>
      <c r="FF132" s="1715">
        <v>83335</v>
      </c>
      <c r="FG132" s="1716">
        <f t="shared" si="65"/>
        <v>6.0819828074056047E-3</v>
      </c>
      <c r="FH132" s="1715">
        <v>158401</v>
      </c>
      <c r="FI132" s="1716">
        <f t="shared" si="66"/>
        <v>1.6048837601378572E-2</v>
      </c>
      <c r="FJ132" s="1715">
        <v>339955</v>
      </c>
      <c r="FK132" s="1716">
        <f t="shared" si="67"/>
        <v>3.5803286713389823E-2</v>
      </c>
      <c r="FL132" s="1715">
        <v>9607</v>
      </c>
      <c r="FM132" s="1716">
        <f t="shared" si="68"/>
        <v>1.0212900763602231E-3</v>
      </c>
      <c r="FN132" s="1715">
        <f>1252348+301108+50208+70671</f>
        <v>1674335</v>
      </c>
      <c r="FO132" s="1716">
        <f t="shared" si="69"/>
        <v>8.9482376941723785E-2</v>
      </c>
      <c r="FP132" s="1715">
        <v>0</v>
      </c>
      <c r="FQ132" s="1716">
        <f t="shared" si="70"/>
        <v>0</v>
      </c>
      <c r="FR132" s="1715">
        <v>595721</v>
      </c>
      <c r="FS132" s="1716">
        <f t="shared" si="71"/>
        <v>2.940785469586207E-2</v>
      </c>
      <c r="FT132" s="1715">
        <v>86923</v>
      </c>
      <c r="FU132" s="1716">
        <f t="shared" si="72"/>
        <v>3.793244086657886E-3</v>
      </c>
      <c r="FV132" s="1715">
        <v>3009624</v>
      </c>
      <c r="FW132" s="1716">
        <f t="shared" si="73"/>
        <v>8.7124801983428243E-2</v>
      </c>
      <c r="FX132" s="1715">
        <v>1800</v>
      </c>
      <c r="FY132" s="1716">
        <f t="shared" si="74"/>
        <v>1.7225032028990111E-4</v>
      </c>
      <c r="FZ132" s="1715">
        <v>165827</v>
      </c>
      <c r="GA132" s="1716">
        <f t="shared" si="75"/>
        <v>2.2373136100422564E-2</v>
      </c>
      <c r="GB132" s="1715" t="s">
        <v>1332</v>
      </c>
      <c r="GC132" s="1716">
        <f>GB132/GB$140</f>
        <v>0</v>
      </c>
      <c r="GD132" s="1715">
        <v>537818</v>
      </c>
      <c r="GE132" s="1716">
        <f t="shared" si="76"/>
        <v>1.9402641593145274E-2</v>
      </c>
      <c r="GF132" s="1715">
        <f>9223+120753</f>
        <v>129976</v>
      </c>
      <c r="GG132" s="1716">
        <f t="shared" si="77"/>
        <v>1.0824934894732638E-2</v>
      </c>
      <c r="GH132" s="1715">
        <v>0</v>
      </c>
      <c r="GI132" s="1716">
        <f t="shared" si="78"/>
        <v>0</v>
      </c>
      <c r="GJ132" s="1715">
        <v>2137183</v>
      </c>
      <c r="GK132" s="1716">
        <f t="shared" si="79"/>
        <v>4.0537505191467073E-2</v>
      </c>
      <c r="GL132" s="1715"/>
      <c r="GM132" s="1716">
        <f t="shared" si="80"/>
        <v>0</v>
      </c>
      <c r="GN132" s="1715">
        <v>0</v>
      </c>
      <c r="GO132" s="1716">
        <f t="shared" si="81"/>
        <v>0</v>
      </c>
      <c r="GP132" s="1715">
        <v>18975</v>
      </c>
      <c r="GQ132" s="1716">
        <f t="shared" si="82"/>
        <v>1.5917903048016282E-3</v>
      </c>
      <c r="GR132" s="1715">
        <v>0</v>
      </c>
      <c r="GS132" s="1716">
        <f t="shared" si="83"/>
        <v>0</v>
      </c>
      <c r="GT132" s="1715">
        <v>693738</v>
      </c>
      <c r="GU132" s="1716">
        <f t="shared" si="84"/>
        <v>6.5595902395391051E-2</v>
      </c>
      <c r="GV132" s="1715">
        <v>433812</v>
      </c>
      <c r="GW132" s="1716">
        <f t="shared" si="85"/>
        <v>2.7138188298909929E-2</v>
      </c>
      <c r="GX132" s="1715">
        <v>0</v>
      </c>
      <c r="GY132" s="1716">
        <f t="shared" si="86"/>
        <v>0</v>
      </c>
      <c r="GZ132" s="1715">
        <f>1335540+100080</f>
        <v>1435620</v>
      </c>
      <c r="HA132" s="1716">
        <f t="shared" si="87"/>
        <v>5.9846837418426155E-2</v>
      </c>
      <c r="HB132" s="1715">
        <v>0</v>
      </c>
      <c r="HC132" s="1716">
        <f t="shared" si="88"/>
        <v>0</v>
      </c>
      <c r="HD132" s="1715"/>
      <c r="HE132" s="1716">
        <f t="shared" si="89"/>
        <v>0</v>
      </c>
      <c r="HF132" s="2032">
        <v>2703840</v>
      </c>
      <c r="HG132" s="2033">
        <f t="shared" si="102"/>
        <v>6.6353723921891247E-2</v>
      </c>
      <c r="HH132" s="1715">
        <v>291860</v>
      </c>
      <c r="HI132" s="1716">
        <f t="shared" si="90"/>
        <v>2.0193475720884459E-2</v>
      </c>
      <c r="HJ132" s="1715">
        <v>282249</v>
      </c>
      <c r="HK132" s="1716">
        <f t="shared" si="91"/>
        <v>1.6107610289298271E-2</v>
      </c>
      <c r="HL132" s="1715"/>
      <c r="HM132" s="1716">
        <f t="shared" si="92"/>
        <v>0</v>
      </c>
      <c r="HN132" s="1715">
        <v>0</v>
      </c>
      <c r="HO132" s="1716">
        <f t="shared" si="93"/>
        <v>0</v>
      </c>
      <c r="HP132" s="2032">
        <v>1666287</v>
      </c>
      <c r="HQ132" s="2033">
        <f t="shared" si="103"/>
        <v>4.0008982942733473E-2</v>
      </c>
      <c r="HR132" s="1715">
        <v>70577</v>
      </c>
      <c r="HS132" s="1716">
        <f t="shared" si="94"/>
        <v>1.344345062979091E-2</v>
      </c>
      <c r="HT132" s="2032">
        <v>837377</v>
      </c>
      <c r="HU132" s="2033">
        <f t="shared" si="95"/>
        <v>3.7178247153337396E-2</v>
      </c>
      <c r="HV132" s="2032">
        <f>380304-HV130</f>
        <v>229139</v>
      </c>
      <c r="HW132" s="2033">
        <f t="shared" si="96"/>
        <v>1.6728799454081275E-2</v>
      </c>
      <c r="HX132" s="2032">
        <v>145918</v>
      </c>
      <c r="HY132" s="2033">
        <f t="shared" si="97"/>
        <v>1.2177171596157662E-2</v>
      </c>
      <c r="HZ132" s="2032">
        <v>300494</v>
      </c>
      <c r="IA132" s="2033">
        <f t="shared" si="98"/>
        <v>1.9553923477104503E-2</v>
      </c>
      <c r="IB132" s="1715">
        <v>0</v>
      </c>
      <c r="IC132" s="1716">
        <f t="shared" si="99"/>
        <v>0</v>
      </c>
      <c r="ID132" s="2032">
        <v>27275</v>
      </c>
      <c r="IE132" s="2033">
        <f t="shared" si="100"/>
        <v>2.5747236243046359E-3</v>
      </c>
      <c r="IF132" s="2032">
        <v>318495</v>
      </c>
      <c r="IG132" s="2033">
        <f t="shared" si="101"/>
        <v>4.011980452971671E-2</v>
      </c>
    </row>
    <row r="133" spans="1:241">
      <c r="A133" s="1149"/>
      <c r="B133" s="1149"/>
      <c r="C133" s="1149"/>
      <c r="D133" s="1149" t="s">
        <v>45</v>
      </c>
      <c r="E133" s="1143"/>
      <c r="F133" s="1715">
        <v>3464541</v>
      </c>
      <c r="G133" s="1716">
        <f t="shared" si="0"/>
        <v>0.51674536456032338</v>
      </c>
      <c r="H133" s="1715">
        <v>6150426</v>
      </c>
      <c r="I133" s="1716">
        <f t="shared" si="1"/>
        <v>0.5584916358276536</v>
      </c>
      <c r="J133" s="1715">
        <v>4384795</v>
      </c>
      <c r="K133" s="1716">
        <f t="shared" si="2"/>
        <v>0.6258036993935201</v>
      </c>
      <c r="L133" s="1715">
        <v>52387725</v>
      </c>
      <c r="M133" s="1716">
        <f t="shared" si="3"/>
        <v>0.73502238120384633</v>
      </c>
      <c r="N133" s="1715">
        <v>6979358</v>
      </c>
      <c r="O133" s="1716">
        <f t="shared" si="4"/>
        <v>0.69146328873942575</v>
      </c>
      <c r="P133" s="1715">
        <v>23526950</v>
      </c>
      <c r="Q133" s="1716">
        <f t="shared" si="5"/>
        <v>0.57353818817567837</v>
      </c>
      <c r="R133" s="1786">
        <v>11895121</v>
      </c>
      <c r="S133" s="1716">
        <f t="shared" si="6"/>
        <v>0.55268675046542304</v>
      </c>
      <c r="T133" s="1715">
        <v>3075117</v>
      </c>
      <c r="U133" s="1716">
        <f t="shared" si="7"/>
        <v>0.35836138934046535</v>
      </c>
      <c r="V133" s="1715">
        <v>4781364</v>
      </c>
      <c r="W133" s="1716">
        <f t="shared" si="8"/>
        <v>0.5941667728115767</v>
      </c>
      <c r="X133" s="1715">
        <v>18456453</v>
      </c>
      <c r="Y133" s="1716">
        <f t="shared" si="9"/>
        <v>0.50916776039687406</v>
      </c>
      <c r="Z133" s="1786">
        <v>7582648</v>
      </c>
      <c r="AA133" s="1716">
        <f t="shared" si="10"/>
        <v>0.57194096191011656</v>
      </c>
      <c r="AB133" s="1715">
        <v>4468800</v>
      </c>
      <c r="AC133" s="1716">
        <f t="shared" si="11"/>
        <v>0.58005816417458078</v>
      </c>
      <c r="AD133" s="1715">
        <v>29434060</v>
      </c>
      <c r="AE133" s="1716">
        <f t="shared" si="12"/>
        <v>0.75346996350360107</v>
      </c>
      <c r="AF133" s="1715">
        <v>7317194</v>
      </c>
      <c r="AG133" s="1716">
        <f t="shared" si="13"/>
        <v>0.53365827011640332</v>
      </c>
      <c r="AH133" s="1715">
        <v>3012154</v>
      </c>
      <c r="AI133" s="1716">
        <f t="shared" si="14"/>
        <v>0.58654641911467176</v>
      </c>
      <c r="AJ133" s="1715">
        <v>7649030</v>
      </c>
      <c r="AK133" s="1716">
        <f t="shared" si="15"/>
        <v>0.66704269972199537</v>
      </c>
      <c r="AL133" s="1715">
        <v>2120902</v>
      </c>
      <c r="AM133" s="1716">
        <f t="shared" si="16"/>
        <v>0.15667264231866723</v>
      </c>
      <c r="AN133" s="1715">
        <v>6064574</v>
      </c>
      <c r="AO133" s="1716">
        <f t="shared" si="17"/>
        <v>0.5643282635446436</v>
      </c>
      <c r="AP133" s="1715">
        <v>8834225</v>
      </c>
      <c r="AQ133" s="1716">
        <f t="shared" si="18"/>
        <v>0.60207263370831177</v>
      </c>
      <c r="AR133" s="1407">
        <v>9686045</v>
      </c>
      <c r="AS133" s="1716">
        <f t="shared" si="19"/>
        <v>0.38368498682005014</v>
      </c>
      <c r="AT133" s="1715">
        <v>2592172</v>
      </c>
      <c r="AU133" s="1716">
        <f t="shared" si="20"/>
        <v>0.23903045647177201</v>
      </c>
      <c r="AV133" s="1715">
        <v>8741766</v>
      </c>
      <c r="AW133" s="1716">
        <f t="shared" si="21"/>
        <v>0.55245059030755039</v>
      </c>
      <c r="AX133" s="1715">
        <v>2809546</v>
      </c>
      <c r="AY133" s="1716">
        <f t="shared" si="22"/>
        <v>0.2241974827092667</v>
      </c>
      <c r="AZ133" s="1715">
        <v>6599654</v>
      </c>
      <c r="BA133" s="1716">
        <f t="shared" si="23"/>
        <v>0.54666661254935689</v>
      </c>
      <c r="BB133" s="1715">
        <v>11708881</v>
      </c>
      <c r="BC133" s="1716">
        <f t="shared" si="24"/>
        <v>0.76511446415599316</v>
      </c>
      <c r="BD133" s="1786">
        <v>4277440</v>
      </c>
      <c r="BE133" s="1716">
        <f t="shared" si="25"/>
        <v>0.46896941278833665</v>
      </c>
      <c r="BF133" s="1715">
        <v>3622579</v>
      </c>
      <c r="BG133" s="1716">
        <f t="shared" si="26"/>
        <v>0.5455940233417278</v>
      </c>
      <c r="BH133" s="1715">
        <v>6525030</v>
      </c>
      <c r="BI133" s="1716">
        <f t="shared" si="27"/>
        <v>0.57951793211189573</v>
      </c>
      <c r="BJ133" s="1715">
        <v>8293383</v>
      </c>
      <c r="BK133" s="1716">
        <f t="shared" si="28"/>
        <v>0.55887420317943159</v>
      </c>
      <c r="BL133" s="1715">
        <v>10477769</v>
      </c>
      <c r="BM133" s="1716">
        <f t="shared" si="29"/>
        <v>0.54227397809015776</v>
      </c>
      <c r="BN133" s="1715">
        <v>3070415</v>
      </c>
      <c r="BO133" s="1716">
        <f t="shared" si="30"/>
        <v>0.68593281626499969</v>
      </c>
      <c r="BP133" s="1715">
        <v>3452035</v>
      </c>
      <c r="BQ133" s="1716">
        <f t="shared" si="31"/>
        <v>0.38252174794709687</v>
      </c>
      <c r="BR133" s="1407">
        <v>5460550</v>
      </c>
      <c r="BS133" s="1716">
        <f t="shared" si="32"/>
        <v>0.7976453427097373</v>
      </c>
      <c r="BT133" s="1715">
        <v>2956910</v>
      </c>
      <c r="BU133" s="1716">
        <f t="shared" si="33"/>
        <v>0.60584708380347496</v>
      </c>
      <c r="BV133" s="1715">
        <v>3855736</v>
      </c>
      <c r="BW133" s="1716">
        <f t="shared" si="34"/>
        <v>0.52809157428083686</v>
      </c>
      <c r="BX133" s="1715">
        <v>6102597</v>
      </c>
      <c r="BY133" s="1716">
        <f t="shared" si="35"/>
        <v>0.47351544694957703</v>
      </c>
      <c r="BZ133" s="1715">
        <f>8583020+7337810</f>
        <v>15920830</v>
      </c>
      <c r="CA133" s="1716">
        <f t="shared" si="36"/>
        <v>0.59587349920783272</v>
      </c>
      <c r="CB133" s="1715">
        <v>5001855</v>
      </c>
      <c r="CC133" s="1716">
        <f t="shared" si="37"/>
        <v>0.61516024085168586</v>
      </c>
      <c r="CD133" s="1715">
        <v>6835885</v>
      </c>
      <c r="CE133" s="1716">
        <f t="shared" si="38"/>
        <v>0.57316052705495679</v>
      </c>
      <c r="CF133" s="1715">
        <v>5352238</v>
      </c>
      <c r="CG133" s="1716">
        <v>0.5436077536631968</v>
      </c>
      <c r="CH133" s="1715">
        <v>6277461</v>
      </c>
      <c r="CI133" s="1716">
        <v>0.69637890702609917</v>
      </c>
      <c r="CJ133" s="1715">
        <v>4470780</v>
      </c>
      <c r="CK133" s="1716">
        <v>0.46967100716139082</v>
      </c>
      <c r="CL133" s="1715">
        <v>20793764</v>
      </c>
      <c r="CM133" s="1716">
        <v>0.55024472196091723</v>
      </c>
      <c r="CN133" s="1715">
        <v>9085897</v>
      </c>
      <c r="CO133" s="1716">
        <f t="shared" si="39"/>
        <v>0.53604403044547499</v>
      </c>
      <c r="CP133" s="1715">
        <v>6365593</v>
      </c>
      <c r="CQ133" s="1716">
        <f t="shared" si="40"/>
        <v>0.59064076093794482</v>
      </c>
      <c r="CR133" s="1715">
        <v>10855805</v>
      </c>
      <c r="CS133" s="1716">
        <v>0.55824974863911325</v>
      </c>
      <c r="CT133" s="1715">
        <v>7386167</v>
      </c>
      <c r="CU133" s="1716">
        <f t="shared" si="41"/>
        <v>0.63315276115139307</v>
      </c>
      <c r="CV133" s="1715">
        <v>14156700</v>
      </c>
      <c r="CW133" s="1716">
        <f t="shared" si="42"/>
        <v>0.6010472377861531</v>
      </c>
      <c r="CX133" s="1715">
        <v>18294504</v>
      </c>
      <c r="CY133" s="1716">
        <f t="shared" si="42"/>
        <v>0.66164274706326809</v>
      </c>
      <c r="CZ133" s="1715">
        <v>5312008</v>
      </c>
      <c r="DA133" s="1716">
        <v>0.73421955564303276</v>
      </c>
      <c r="DB133" s="1715">
        <v>9202112</v>
      </c>
      <c r="DC133" s="1716">
        <v>0.57865179420117718</v>
      </c>
      <c r="DD133" s="1715">
        <v>4545104</v>
      </c>
      <c r="DE133" s="1716">
        <v>0.63247554727364752</v>
      </c>
      <c r="DF133" s="1715">
        <v>36576853</v>
      </c>
      <c r="DG133" s="1716">
        <v>0.70299905248408634</v>
      </c>
      <c r="DH133" s="1715">
        <v>8450496</v>
      </c>
      <c r="DI133" s="1716">
        <v>0.58944941889627644</v>
      </c>
      <c r="DJ133" s="1715">
        <v>4227226</v>
      </c>
      <c r="DK133" s="1716">
        <v>0.55839890349898058</v>
      </c>
      <c r="DL133" s="1715">
        <v>7390338</v>
      </c>
      <c r="DM133" s="1716">
        <v>0.60060864310264628</v>
      </c>
      <c r="DN133" s="1715">
        <v>4943558</v>
      </c>
      <c r="DO133" s="1716">
        <f t="shared" si="43"/>
        <v>0.5553452603941641</v>
      </c>
      <c r="DP133" s="1715">
        <v>5579528</v>
      </c>
      <c r="DQ133" s="1716">
        <f t="shared" si="44"/>
        <v>0.75359015463276324</v>
      </c>
      <c r="DR133" s="1715">
        <v>10865638</v>
      </c>
      <c r="DS133" s="1716">
        <f t="shared" si="45"/>
        <v>0.7618924676293598</v>
      </c>
      <c r="DT133" s="1407">
        <v>27021450</v>
      </c>
      <c r="DU133" s="1716">
        <f t="shared" si="46"/>
        <v>0.73215518310009897</v>
      </c>
      <c r="DV133" s="1715">
        <v>4913177</v>
      </c>
      <c r="DW133" s="1716">
        <f t="shared" si="47"/>
        <v>0.62281673393639458</v>
      </c>
      <c r="DX133" s="1715">
        <v>9431675</v>
      </c>
      <c r="DY133" s="1716">
        <f t="shared" si="48"/>
        <v>0.60569855337607026</v>
      </c>
      <c r="DZ133" s="1715">
        <v>22324332</v>
      </c>
      <c r="EA133" s="1716">
        <f t="shared" si="49"/>
        <v>0.67583598948104351</v>
      </c>
      <c r="EB133" s="1715">
        <f>13701018</f>
        <v>13701018</v>
      </c>
      <c r="EC133" s="1716">
        <f t="shared" si="50"/>
        <v>0.64972705903597916</v>
      </c>
      <c r="ED133" s="1715">
        <v>5261181</v>
      </c>
      <c r="EE133" s="1716">
        <f t="shared" si="51"/>
        <v>0.65489322595329369</v>
      </c>
      <c r="EF133" s="1715">
        <v>8060946</v>
      </c>
      <c r="EG133" s="1716">
        <f t="shared" si="52"/>
        <v>0.69672585058643866</v>
      </c>
      <c r="EH133" s="1715">
        <v>22372437</v>
      </c>
      <c r="EI133" s="1716">
        <f t="shared" si="53"/>
        <v>0.56668738130497054</v>
      </c>
      <c r="EJ133" s="1715">
        <v>12199960</v>
      </c>
      <c r="EK133" s="1716">
        <f t="shared" si="54"/>
        <v>0.76460690709287416</v>
      </c>
      <c r="EL133" s="1715">
        <v>29900012</v>
      </c>
      <c r="EM133" s="1716">
        <f t="shared" si="55"/>
        <v>0.70659992899973334</v>
      </c>
      <c r="EN133" s="1715">
        <v>4406101</v>
      </c>
      <c r="EO133" s="1716">
        <f t="shared" si="56"/>
        <v>0.34748907437688814</v>
      </c>
      <c r="EP133" s="1715">
        <v>5989957</v>
      </c>
      <c r="EQ133" s="1716">
        <f t="shared" si="57"/>
        <v>0.58963895527433374</v>
      </c>
      <c r="ER133" s="1715">
        <v>5351204</v>
      </c>
      <c r="ES133" s="1716">
        <f t="shared" si="58"/>
        <v>0.62652347055247049</v>
      </c>
      <c r="ET133" s="1715">
        <v>9077276</v>
      </c>
      <c r="EU133" s="1716">
        <f t="shared" si="59"/>
        <v>0.52349985547529476</v>
      </c>
      <c r="EV133" s="1715">
        <v>7302158</v>
      </c>
      <c r="EW133" s="1716">
        <f t="shared" si="60"/>
        <v>0.61997705913767154</v>
      </c>
      <c r="EX133" s="1715">
        <v>4138731</v>
      </c>
      <c r="EY133" s="1716">
        <f t="shared" si="61"/>
        <v>0.52795848820824576</v>
      </c>
      <c r="EZ133" s="1715">
        <v>10720413</v>
      </c>
      <c r="FA133" s="1716">
        <f t="shared" si="62"/>
        <v>0.72976700226940627</v>
      </c>
      <c r="FB133" s="1715">
        <v>3892459</v>
      </c>
      <c r="FC133" s="1716">
        <f t="shared" si="63"/>
        <v>0.71743003808455497</v>
      </c>
      <c r="FD133" s="1715">
        <v>5332112</v>
      </c>
      <c r="FE133" s="1716">
        <f t="shared" si="64"/>
        <v>0.56779575286623285</v>
      </c>
      <c r="FF133" s="1715">
        <v>6755000</v>
      </c>
      <c r="FG133" s="1716">
        <f t="shared" si="65"/>
        <v>0.49299566645496923</v>
      </c>
      <c r="FH133" s="1715">
        <v>7308855</v>
      </c>
      <c r="FI133" s="1716">
        <f t="shared" si="66"/>
        <v>0.74051695978575749</v>
      </c>
      <c r="FJ133" s="1715">
        <v>5425042</v>
      </c>
      <c r="FK133" s="1716">
        <f t="shared" si="67"/>
        <v>0.57135307366616683</v>
      </c>
      <c r="FL133" s="1715">
        <v>7559935</v>
      </c>
      <c r="FM133" s="1716">
        <f t="shared" si="68"/>
        <v>0.80367300858002733</v>
      </c>
      <c r="FN133" s="1715">
        <v>9738370</v>
      </c>
      <c r="FO133" s="1716">
        <f t="shared" si="69"/>
        <v>0.52045289332061662</v>
      </c>
      <c r="FP133" s="1715">
        <v>3283000</v>
      </c>
      <c r="FQ133" s="1716">
        <f t="shared" si="70"/>
        <v>0.59238713067378035</v>
      </c>
      <c r="FR133" s="1715">
        <v>10104873</v>
      </c>
      <c r="FS133" s="1716">
        <f t="shared" si="71"/>
        <v>0.49882854038071489</v>
      </c>
      <c r="FT133" s="1715">
        <v>12980481</v>
      </c>
      <c r="FU133" s="1716">
        <f t="shared" si="72"/>
        <v>0.56645689627860341</v>
      </c>
      <c r="FV133" s="1715">
        <v>20378879</v>
      </c>
      <c r="FW133" s="1716">
        <f t="shared" si="73"/>
        <v>0.58994272956330895</v>
      </c>
      <c r="FX133" s="1715">
        <v>6751568</v>
      </c>
      <c r="FY133" s="1716">
        <f t="shared" si="74"/>
        <v>0.64608875025502621</v>
      </c>
      <c r="FZ133" s="1715">
        <v>4120394</v>
      </c>
      <c r="GA133" s="1716">
        <f t="shared" si="75"/>
        <v>0.5559175269971991</v>
      </c>
      <c r="GB133" s="1715">
        <v>4139676</v>
      </c>
      <c r="GC133" s="1716">
        <f>GB133/GB$140</f>
        <v>0.65900557826614159</v>
      </c>
      <c r="GD133" s="1715">
        <v>19234346</v>
      </c>
      <c r="GE133" s="1716">
        <f t="shared" si="76"/>
        <v>0.69390969011179882</v>
      </c>
      <c r="GF133" s="1715">
        <v>7162550</v>
      </c>
      <c r="GG133" s="1716">
        <f t="shared" si="77"/>
        <v>0.59652656975339491</v>
      </c>
      <c r="GH133" s="1715">
        <v>5275907</v>
      </c>
      <c r="GI133" s="1716">
        <f t="shared" si="78"/>
        <v>0.46758889774077728</v>
      </c>
      <c r="GJ133" s="1715">
        <v>28344616</v>
      </c>
      <c r="GK133" s="1716">
        <f t="shared" si="79"/>
        <v>0.53763295808086653</v>
      </c>
      <c r="GL133" s="1715">
        <v>6822080</v>
      </c>
      <c r="GM133" s="1716">
        <f t="shared" si="80"/>
        <v>0.67699634672365194</v>
      </c>
      <c r="GN133" s="1715">
        <v>4058824</v>
      </c>
      <c r="GO133" s="1716">
        <f t="shared" si="81"/>
        <v>0.60302413597706772</v>
      </c>
      <c r="GP133" s="1715">
        <v>7549135</v>
      </c>
      <c r="GQ133" s="1716">
        <f t="shared" si="82"/>
        <v>0.63328800540915098</v>
      </c>
      <c r="GR133" s="1715">
        <v>6016247</v>
      </c>
      <c r="GS133" s="1716">
        <f t="shared" si="83"/>
        <v>0.58583258670983884</v>
      </c>
      <c r="GT133" s="1715">
        <v>5406843</v>
      </c>
      <c r="GU133" s="1716">
        <f t="shared" si="84"/>
        <v>0.51124018821976491</v>
      </c>
      <c r="GV133" s="1715">
        <v>9575536</v>
      </c>
      <c r="GW133" s="1716">
        <f t="shared" si="85"/>
        <v>0.59902146328591832</v>
      </c>
      <c r="GX133" s="1715">
        <v>3834657</v>
      </c>
      <c r="GY133" s="1716">
        <f t="shared" si="86"/>
        <v>0.49583173159540078</v>
      </c>
      <c r="GZ133" s="1715">
        <v>13526584</v>
      </c>
      <c r="HA133" s="1716">
        <f t="shared" si="87"/>
        <v>0.56388408734531736</v>
      </c>
      <c r="HB133" s="1715">
        <v>2394091</v>
      </c>
      <c r="HC133" s="1716">
        <f t="shared" si="88"/>
        <v>0.58029875766491223</v>
      </c>
      <c r="HD133" s="1715">
        <v>6255310</v>
      </c>
      <c r="HE133" s="1716">
        <f t="shared" si="89"/>
        <v>0.66092191449288196</v>
      </c>
      <c r="HF133" s="2032">
        <v>24877003</v>
      </c>
      <c r="HG133" s="2033">
        <f t="shared" si="102"/>
        <v>0.61049536550463801</v>
      </c>
      <c r="HH133" s="1715">
        <v>7879390</v>
      </c>
      <c r="HI133" s="1716">
        <f t="shared" si="90"/>
        <v>0.54516641766730556</v>
      </c>
      <c r="HJ133" s="1715">
        <v>7291251</v>
      </c>
      <c r="HK133" s="1716">
        <f t="shared" si="91"/>
        <v>0.41610290782059922</v>
      </c>
      <c r="HL133" s="1715">
        <v>3067345</v>
      </c>
      <c r="HM133" s="1716">
        <f t="shared" si="92"/>
        <v>0.42245566918018113</v>
      </c>
      <c r="HN133" s="1715">
        <v>5414375</v>
      </c>
      <c r="HO133" s="1716">
        <f t="shared" si="93"/>
        <v>0.63060762535137282</v>
      </c>
      <c r="HP133" s="2032">
        <v>26856951</v>
      </c>
      <c r="HQ133" s="2033">
        <f t="shared" si="103"/>
        <v>0.64485847543240071</v>
      </c>
      <c r="HR133" s="1715">
        <v>2612963</v>
      </c>
      <c r="HS133" s="1716">
        <f t="shared" si="94"/>
        <v>0.49771510673406838</v>
      </c>
      <c r="HT133" s="2032">
        <v>15637582</v>
      </c>
      <c r="HU133" s="2033">
        <f t="shared" si="95"/>
        <v>0.6942845199672073</v>
      </c>
      <c r="HV133" s="2032">
        <v>9668110</v>
      </c>
      <c r="HW133" s="2033">
        <f t="shared" si="96"/>
        <v>0.70584175234245461</v>
      </c>
      <c r="HX133" s="2032">
        <v>7209717</v>
      </c>
      <c r="HY133" s="2033">
        <f t="shared" si="97"/>
        <v>0.60166642270819937</v>
      </c>
      <c r="HZ133" s="2032">
        <v>10446133</v>
      </c>
      <c r="IA133" s="2033">
        <f t="shared" si="98"/>
        <v>0.67975695126576929</v>
      </c>
      <c r="IB133" s="1715">
        <f>4519053-IB135</f>
        <v>4465553</v>
      </c>
      <c r="IC133" s="1716">
        <f t="shared" si="99"/>
        <v>0.58052518738306436</v>
      </c>
      <c r="ID133" s="2032">
        <v>6439345</v>
      </c>
      <c r="IE133" s="2033">
        <f t="shared" si="100"/>
        <v>0.60786558007508473</v>
      </c>
      <c r="IF133" s="2032">
        <v>3651476</v>
      </c>
      <c r="IG133" s="2033">
        <f t="shared" si="101"/>
        <v>0.45996484517795205</v>
      </c>
    </row>
    <row r="134" spans="1:241">
      <c r="A134" s="1149"/>
      <c r="B134" s="1149"/>
      <c r="C134" s="1149"/>
      <c r="D134" s="1149" t="s">
        <v>43</v>
      </c>
      <c r="E134" s="1143"/>
      <c r="F134" s="1715">
        <v>0</v>
      </c>
      <c r="G134" s="1716">
        <f t="shared" si="0"/>
        <v>0</v>
      </c>
      <c r="H134" s="1715"/>
      <c r="I134" s="1716">
        <f t="shared" si="1"/>
        <v>0</v>
      </c>
      <c r="J134" s="1715">
        <v>0</v>
      </c>
      <c r="K134" s="1716">
        <f t="shared" si="2"/>
        <v>0</v>
      </c>
      <c r="L134" s="1715">
        <v>0</v>
      </c>
      <c r="M134" s="1716">
        <f t="shared" si="3"/>
        <v>0</v>
      </c>
      <c r="N134" s="1715"/>
      <c r="O134" s="1716">
        <f t="shared" si="4"/>
        <v>0</v>
      </c>
      <c r="P134" s="1715">
        <v>0</v>
      </c>
      <c r="Q134" s="1716">
        <f t="shared" si="5"/>
        <v>0</v>
      </c>
      <c r="R134" s="1786"/>
      <c r="S134" s="1716">
        <f t="shared" si="6"/>
        <v>0</v>
      </c>
      <c r="T134" s="1715"/>
      <c r="U134" s="1716">
        <f t="shared" si="7"/>
        <v>0</v>
      </c>
      <c r="V134" s="1715">
        <v>0</v>
      </c>
      <c r="W134" s="1716">
        <f t="shared" si="8"/>
        <v>0</v>
      </c>
      <c r="X134" s="1715">
        <v>0</v>
      </c>
      <c r="Y134" s="1716">
        <f t="shared" si="9"/>
        <v>0</v>
      </c>
      <c r="Z134" s="1786">
        <v>0</v>
      </c>
      <c r="AA134" s="1716">
        <f t="shared" si="10"/>
        <v>0</v>
      </c>
      <c r="AB134" s="1715"/>
      <c r="AC134" s="1716">
        <f t="shared" si="11"/>
        <v>0</v>
      </c>
      <c r="AD134" s="1715"/>
      <c r="AE134" s="1716">
        <f t="shared" si="12"/>
        <v>0</v>
      </c>
      <c r="AF134" s="1715">
        <v>0</v>
      </c>
      <c r="AG134" s="1716">
        <f t="shared" si="13"/>
        <v>0</v>
      </c>
      <c r="AH134" s="1715">
        <v>0</v>
      </c>
      <c r="AI134" s="1716">
        <f t="shared" si="14"/>
        <v>0</v>
      </c>
      <c r="AJ134" s="1715">
        <v>0</v>
      </c>
      <c r="AK134" s="1716">
        <f t="shared" si="15"/>
        <v>0</v>
      </c>
      <c r="AL134" s="1715"/>
      <c r="AM134" s="1716">
        <f t="shared" si="16"/>
        <v>0</v>
      </c>
      <c r="AN134" s="1715">
        <v>0</v>
      </c>
      <c r="AO134" s="1716">
        <f t="shared" si="17"/>
        <v>0</v>
      </c>
      <c r="AP134" s="1715">
        <v>0</v>
      </c>
      <c r="AQ134" s="1716">
        <f t="shared" si="18"/>
        <v>0</v>
      </c>
      <c r="AR134" s="1715">
        <v>0</v>
      </c>
      <c r="AS134" s="1716">
        <f t="shared" si="19"/>
        <v>0</v>
      </c>
      <c r="AT134" s="1715">
        <v>691288</v>
      </c>
      <c r="AU134" s="1716">
        <f t="shared" si="20"/>
        <v>6.3745340275822113E-2</v>
      </c>
      <c r="AV134" s="1715">
        <v>0</v>
      </c>
      <c r="AW134" s="1716">
        <f t="shared" si="21"/>
        <v>0</v>
      </c>
      <c r="AX134" s="1715">
        <v>1518451</v>
      </c>
      <c r="AY134" s="1716">
        <f t="shared" si="22"/>
        <v>0.12117007225273006</v>
      </c>
      <c r="AZ134" s="1715">
        <v>0</v>
      </c>
      <c r="BA134" s="1716">
        <f t="shared" si="23"/>
        <v>0</v>
      </c>
      <c r="BB134" s="1715"/>
      <c r="BC134" s="1716">
        <f t="shared" si="24"/>
        <v>0</v>
      </c>
      <c r="BD134" s="1786">
        <v>0</v>
      </c>
      <c r="BE134" s="1716">
        <f t="shared" si="25"/>
        <v>0</v>
      </c>
      <c r="BF134" s="1715">
        <v>0</v>
      </c>
      <c r="BG134" s="1716">
        <f t="shared" si="26"/>
        <v>0</v>
      </c>
      <c r="BH134" s="1715">
        <v>0</v>
      </c>
      <c r="BI134" s="1716">
        <f t="shared" si="27"/>
        <v>0</v>
      </c>
      <c r="BJ134" s="1715">
        <v>0</v>
      </c>
      <c r="BK134" s="1716">
        <f t="shared" si="28"/>
        <v>0</v>
      </c>
      <c r="BL134" s="1715"/>
      <c r="BM134" s="1716">
        <f t="shared" si="29"/>
        <v>0</v>
      </c>
      <c r="BN134" s="1715"/>
      <c r="BO134" s="1716">
        <f t="shared" si="30"/>
        <v>0</v>
      </c>
      <c r="BP134" s="1715">
        <v>0</v>
      </c>
      <c r="BQ134" s="1716">
        <f t="shared" si="31"/>
        <v>0</v>
      </c>
      <c r="BR134" s="1715"/>
      <c r="BS134" s="1716">
        <f t="shared" si="32"/>
        <v>0</v>
      </c>
      <c r="BT134" s="1715"/>
      <c r="BU134" s="1716">
        <f t="shared" si="33"/>
        <v>0</v>
      </c>
      <c r="BV134" s="1715">
        <v>0</v>
      </c>
      <c r="BW134" s="1716">
        <f t="shared" si="34"/>
        <v>0</v>
      </c>
      <c r="BX134" s="1715">
        <v>0</v>
      </c>
      <c r="BY134" s="1716">
        <f t="shared" si="35"/>
        <v>0</v>
      </c>
      <c r="BZ134" s="1715">
        <v>0</v>
      </c>
      <c r="CA134" s="1716">
        <f t="shared" si="36"/>
        <v>0</v>
      </c>
      <c r="CB134" s="1715">
        <v>0</v>
      </c>
      <c r="CC134" s="1716">
        <f t="shared" si="37"/>
        <v>0</v>
      </c>
      <c r="CD134" s="1715">
        <v>0</v>
      </c>
      <c r="CE134" s="1716">
        <f t="shared" si="38"/>
        <v>0</v>
      </c>
      <c r="CF134" s="1715"/>
      <c r="CG134" s="1716">
        <v>0</v>
      </c>
      <c r="CH134" s="1715"/>
      <c r="CI134" s="1716">
        <v>0</v>
      </c>
      <c r="CJ134" s="1715">
        <v>0</v>
      </c>
      <c r="CK134" s="1716">
        <v>0</v>
      </c>
      <c r="CL134" s="1715">
        <v>0</v>
      </c>
      <c r="CM134" s="1716">
        <v>0</v>
      </c>
      <c r="CN134" s="1715">
        <v>0</v>
      </c>
      <c r="CO134" s="1716">
        <f t="shared" si="39"/>
        <v>0</v>
      </c>
      <c r="CP134" s="1715">
        <v>0</v>
      </c>
      <c r="CQ134" s="1716">
        <f t="shared" si="40"/>
        <v>0</v>
      </c>
      <c r="CR134" s="1715">
        <v>0</v>
      </c>
      <c r="CS134" s="1716">
        <v>0</v>
      </c>
      <c r="CT134" s="1715"/>
      <c r="CU134" s="1716">
        <f t="shared" si="41"/>
        <v>0</v>
      </c>
      <c r="CV134" s="1715"/>
      <c r="CW134" s="1716">
        <f t="shared" si="42"/>
        <v>0</v>
      </c>
      <c r="CX134" s="1715">
        <v>0</v>
      </c>
      <c r="CY134" s="1716">
        <f t="shared" si="42"/>
        <v>0</v>
      </c>
      <c r="CZ134" s="1715">
        <v>0</v>
      </c>
      <c r="DA134" s="1716">
        <v>0</v>
      </c>
      <c r="DB134" s="1715">
        <v>0</v>
      </c>
      <c r="DC134" s="1716">
        <v>0</v>
      </c>
      <c r="DD134" s="1715">
        <v>0</v>
      </c>
      <c r="DE134" s="1716">
        <v>0</v>
      </c>
      <c r="DF134" s="1715">
        <v>0</v>
      </c>
      <c r="DG134" s="1716">
        <v>0</v>
      </c>
      <c r="DH134" s="1715">
        <v>0</v>
      </c>
      <c r="DI134" s="1716">
        <v>0</v>
      </c>
      <c r="DJ134" s="1715">
        <v>0</v>
      </c>
      <c r="DK134" s="1716">
        <v>0</v>
      </c>
      <c r="DL134" s="1715">
        <v>0</v>
      </c>
      <c r="DM134" s="1716">
        <v>0</v>
      </c>
      <c r="DN134" s="1715">
        <v>0</v>
      </c>
      <c r="DO134" s="1716">
        <f t="shared" si="43"/>
        <v>0</v>
      </c>
      <c r="DP134" s="1715">
        <v>0</v>
      </c>
      <c r="DQ134" s="1716">
        <f t="shared" si="44"/>
        <v>0</v>
      </c>
      <c r="DR134" s="1715"/>
      <c r="DS134" s="1716">
        <f t="shared" si="45"/>
        <v>0</v>
      </c>
      <c r="DT134" s="1715"/>
      <c r="DU134" s="1716">
        <f t="shared" si="46"/>
        <v>0</v>
      </c>
      <c r="DV134" s="1715"/>
      <c r="DW134" s="1716">
        <f t="shared" si="47"/>
        <v>0</v>
      </c>
      <c r="DX134" s="1715"/>
      <c r="DY134" s="1716">
        <f t="shared" si="48"/>
        <v>0</v>
      </c>
      <c r="DZ134" s="1715"/>
      <c r="EA134" s="1716">
        <f t="shared" si="49"/>
        <v>0</v>
      </c>
      <c r="EB134" s="1715">
        <v>419955</v>
      </c>
      <c r="EC134" s="1716">
        <f t="shared" si="50"/>
        <v>1.9915025808845344E-2</v>
      </c>
      <c r="ED134" s="1715"/>
      <c r="EE134" s="1716">
        <f t="shared" si="51"/>
        <v>0</v>
      </c>
      <c r="EF134" s="1715"/>
      <c r="EG134" s="1716">
        <f t="shared" si="52"/>
        <v>0</v>
      </c>
      <c r="EH134" s="1715"/>
      <c r="EI134" s="1716">
        <f t="shared" si="53"/>
        <v>0</v>
      </c>
      <c r="EJ134" s="1715"/>
      <c r="EK134" s="1716">
        <f t="shared" si="54"/>
        <v>0</v>
      </c>
      <c r="EL134" s="1715"/>
      <c r="EM134" s="1716">
        <f t="shared" si="55"/>
        <v>0</v>
      </c>
      <c r="EN134" s="1715">
        <v>0</v>
      </c>
      <c r="EO134" s="1716">
        <f t="shared" si="56"/>
        <v>0</v>
      </c>
      <c r="EP134" s="1715">
        <v>0</v>
      </c>
      <c r="EQ134" s="1716">
        <f t="shared" si="57"/>
        <v>0</v>
      </c>
      <c r="ER134" s="1715">
        <v>0</v>
      </c>
      <c r="ES134" s="1716">
        <f t="shared" si="58"/>
        <v>0</v>
      </c>
      <c r="ET134" s="1715"/>
      <c r="EU134" s="1716">
        <f t="shared" si="59"/>
        <v>0</v>
      </c>
      <c r="EV134" s="1715">
        <v>0</v>
      </c>
      <c r="EW134" s="1716">
        <f t="shared" si="60"/>
        <v>0</v>
      </c>
      <c r="EX134" s="1715" t="s">
        <v>2154</v>
      </c>
      <c r="EY134" s="1716">
        <f t="shared" si="61"/>
        <v>0</v>
      </c>
      <c r="EZ134" s="1715">
        <v>1318099</v>
      </c>
      <c r="FA134" s="1716">
        <f t="shared" si="62"/>
        <v>8.9726501761107719E-2</v>
      </c>
      <c r="FB134" s="1715">
        <v>0</v>
      </c>
      <c r="FC134" s="1716">
        <f t="shared" si="63"/>
        <v>0</v>
      </c>
      <c r="FD134" s="1715">
        <v>0</v>
      </c>
      <c r="FE134" s="1716">
        <f t="shared" si="64"/>
        <v>0</v>
      </c>
      <c r="FF134" s="1715">
        <v>0</v>
      </c>
      <c r="FG134" s="1716">
        <f t="shared" si="65"/>
        <v>0</v>
      </c>
      <c r="FH134" s="1715"/>
      <c r="FI134" s="1716">
        <f t="shared" si="66"/>
        <v>0</v>
      </c>
      <c r="FJ134" s="1715"/>
      <c r="FK134" s="1716">
        <f t="shared" si="67"/>
        <v>0</v>
      </c>
      <c r="FL134" s="1715">
        <v>0</v>
      </c>
      <c r="FM134" s="1716">
        <f t="shared" si="68"/>
        <v>0</v>
      </c>
      <c r="FN134" s="1715">
        <v>0</v>
      </c>
      <c r="FO134" s="1716">
        <f t="shared" si="69"/>
        <v>0</v>
      </c>
      <c r="FP134" s="1715">
        <v>0</v>
      </c>
      <c r="FQ134" s="1716">
        <f t="shared" si="70"/>
        <v>0</v>
      </c>
      <c r="FR134" s="1715"/>
      <c r="FS134" s="1716">
        <f t="shared" si="71"/>
        <v>0</v>
      </c>
      <c r="FT134" s="1715">
        <v>0</v>
      </c>
      <c r="FU134" s="1716">
        <f t="shared" si="72"/>
        <v>0</v>
      </c>
      <c r="FV134" s="1715">
        <v>0</v>
      </c>
      <c r="FW134" s="1716">
        <f t="shared" si="73"/>
        <v>0</v>
      </c>
      <c r="FX134" s="1715"/>
      <c r="FY134" s="1716">
        <f t="shared" si="74"/>
        <v>0</v>
      </c>
      <c r="FZ134" s="1715">
        <v>0</v>
      </c>
      <c r="GA134" s="1716">
        <f t="shared" si="75"/>
        <v>0</v>
      </c>
      <c r="GB134" s="1715">
        <v>0</v>
      </c>
      <c r="GC134" s="1716">
        <f t="shared" ref="GC134:GC138" si="104">GB134/GB$140</f>
        <v>0</v>
      </c>
      <c r="GD134" s="1715">
        <v>0</v>
      </c>
      <c r="GE134" s="1716">
        <f t="shared" si="76"/>
        <v>0</v>
      </c>
      <c r="GF134" s="1715"/>
      <c r="GG134" s="1716">
        <f t="shared" si="77"/>
        <v>0</v>
      </c>
      <c r="GH134" s="1715">
        <v>0</v>
      </c>
      <c r="GI134" s="1716">
        <f t="shared" si="78"/>
        <v>0</v>
      </c>
      <c r="GJ134" s="1715">
        <v>2950538</v>
      </c>
      <c r="GK134" s="1716">
        <f t="shared" si="79"/>
        <v>5.5965001355813178E-2</v>
      </c>
      <c r="GL134" s="1715"/>
      <c r="GM134" s="1716">
        <f t="shared" si="80"/>
        <v>0</v>
      </c>
      <c r="GN134" s="1715">
        <v>0</v>
      </c>
      <c r="GO134" s="1716">
        <f t="shared" si="81"/>
        <v>0</v>
      </c>
      <c r="GP134" s="1715"/>
      <c r="GQ134" s="1716">
        <f t="shared" si="82"/>
        <v>0</v>
      </c>
      <c r="GR134" s="1715">
        <v>0</v>
      </c>
      <c r="GS134" s="1716">
        <f>GR134/GR$140</f>
        <v>0</v>
      </c>
      <c r="GT134" s="1715" t="s">
        <v>1855</v>
      </c>
      <c r="GU134" s="1716">
        <f t="shared" si="84"/>
        <v>0</v>
      </c>
      <c r="GV134" s="1715" t="s">
        <v>1412</v>
      </c>
      <c r="GW134" s="1716">
        <f t="shared" si="85"/>
        <v>0</v>
      </c>
      <c r="GX134" s="1715">
        <v>0</v>
      </c>
      <c r="GY134" s="1716">
        <f t="shared" si="86"/>
        <v>0</v>
      </c>
      <c r="GZ134" s="1715">
        <v>0</v>
      </c>
      <c r="HA134" s="1716">
        <f t="shared" si="87"/>
        <v>0</v>
      </c>
      <c r="HB134" s="1715">
        <v>0</v>
      </c>
      <c r="HC134" s="1716">
        <f>HB134/HB$140</f>
        <v>0</v>
      </c>
      <c r="HD134" s="1715">
        <v>0</v>
      </c>
      <c r="HE134" s="1716">
        <f t="shared" si="89"/>
        <v>0</v>
      </c>
      <c r="HF134" s="2032">
        <v>0</v>
      </c>
      <c r="HG134" s="2033">
        <f t="shared" si="102"/>
        <v>0</v>
      </c>
      <c r="HH134" s="1715"/>
      <c r="HI134" s="1716">
        <f t="shared" si="90"/>
        <v>0</v>
      </c>
      <c r="HJ134" s="1715">
        <v>0</v>
      </c>
      <c r="HK134" s="1716">
        <f t="shared" si="91"/>
        <v>0</v>
      </c>
      <c r="HL134" s="1715">
        <v>163178</v>
      </c>
      <c r="HM134" s="1716">
        <f t="shared" si="92"/>
        <v>2.24739868470888E-2</v>
      </c>
      <c r="HN134" s="1715">
        <v>0</v>
      </c>
      <c r="HO134" s="1716">
        <f t="shared" si="93"/>
        <v>0</v>
      </c>
      <c r="HP134" s="2032">
        <v>0</v>
      </c>
      <c r="HQ134" s="2033">
        <f t="shared" si="103"/>
        <v>0</v>
      </c>
      <c r="HR134" s="1715">
        <v>0</v>
      </c>
      <c r="HS134" s="1716">
        <f t="shared" si="94"/>
        <v>0</v>
      </c>
      <c r="HT134" s="2032">
        <v>0</v>
      </c>
      <c r="HU134" s="2033">
        <f t="shared" si="95"/>
        <v>0</v>
      </c>
      <c r="HV134" s="2032"/>
      <c r="HW134" s="2033">
        <f t="shared" si="96"/>
        <v>0</v>
      </c>
      <c r="HX134" s="2032">
        <v>0</v>
      </c>
      <c r="HY134" s="2033">
        <f t="shared" si="97"/>
        <v>0</v>
      </c>
      <c r="HZ134" s="2032">
        <v>0</v>
      </c>
      <c r="IA134" s="2033">
        <f>HZ134/HZ$140</f>
        <v>0</v>
      </c>
      <c r="IB134" s="1715">
        <v>0</v>
      </c>
      <c r="IC134" s="1716">
        <f t="shared" si="99"/>
        <v>0</v>
      </c>
      <c r="ID134" s="2032">
        <v>0</v>
      </c>
      <c r="IE134" s="2033">
        <f t="shared" si="100"/>
        <v>0</v>
      </c>
      <c r="IF134" s="2032"/>
      <c r="IG134" s="2033">
        <f t="shared" si="101"/>
        <v>0</v>
      </c>
    </row>
    <row r="135" spans="1:241" s="1009" customFormat="1">
      <c r="A135" s="1149"/>
      <c r="B135" s="1149"/>
      <c r="C135" s="1149"/>
      <c r="D135" s="1149" t="s">
        <v>44</v>
      </c>
      <c r="E135" s="1143"/>
      <c r="F135" s="1715">
        <v>0</v>
      </c>
      <c r="G135" s="1716">
        <f t="shared" si="0"/>
        <v>0</v>
      </c>
      <c r="H135" s="1715"/>
      <c r="I135" s="1716">
        <f t="shared" si="1"/>
        <v>0</v>
      </c>
      <c r="J135" s="1715">
        <v>0</v>
      </c>
      <c r="K135" s="1716">
        <f t="shared" si="2"/>
        <v>0</v>
      </c>
      <c r="L135" s="1715">
        <v>0</v>
      </c>
      <c r="M135" s="1716">
        <f t="shared" si="3"/>
        <v>0</v>
      </c>
      <c r="N135" s="1715"/>
      <c r="O135" s="1716">
        <f t="shared" si="4"/>
        <v>0</v>
      </c>
      <c r="P135" s="1715">
        <v>0</v>
      </c>
      <c r="Q135" s="1716">
        <f t="shared" si="5"/>
        <v>0</v>
      </c>
      <c r="R135" s="1786"/>
      <c r="S135" s="1716">
        <f t="shared" si="6"/>
        <v>0</v>
      </c>
      <c r="T135" s="1715"/>
      <c r="U135" s="1716">
        <f t="shared" si="7"/>
        <v>0</v>
      </c>
      <c r="V135" s="1715">
        <v>0</v>
      </c>
      <c r="W135" s="1716">
        <f t="shared" si="8"/>
        <v>0</v>
      </c>
      <c r="X135" s="1715">
        <v>0</v>
      </c>
      <c r="Y135" s="1716">
        <f t="shared" si="9"/>
        <v>0</v>
      </c>
      <c r="Z135" s="1786">
        <v>0</v>
      </c>
      <c r="AA135" s="1716">
        <f t="shared" si="10"/>
        <v>0</v>
      </c>
      <c r="AB135" s="1715"/>
      <c r="AC135" s="1716">
        <f t="shared" si="11"/>
        <v>0</v>
      </c>
      <c r="AD135" s="1715"/>
      <c r="AE135" s="1716">
        <f t="shared" si="12"/>
        <v>0</v>
      </c>
      <c r="AF135" s="1715">
        <v>0</v>
      </c>
      <c r="AG135" s="1716">
        <f t="shared" si="13"/>
        <v>0</v>
      </c>
      <c r="AH135" s="1715">
        <v>0</v>
      </c>
      <c r="AI135" s="1716">
        <f t="shared" si="14"/>
        <v>0</v>
      </c>
      <c r="AJ135" s="1715">
        <v>0</v>
      </c>
      <c r="AK135" s="1716">
        <f t="shared" si="15"/>
        <v>0</v>
      </c>
      <c r="AL135" s="1715"/>
      <c r="AM135" s="1716">
        <f t="shared" si="16"/>
        <v>0</v>
      </c>
      <c r="AN135" s="1715">
        <v>1007500</v>
      </c>
      <c r="AO135" s="1716">
        <f t="shared" si="17"/>
        <v>9.3751139902197328E-2</v>
      </c>
      <c r="AP135" s="1715">
        <v>70000</v>
      </c>
      <c r="AQ135" s="1716">
        <f t="shared" si="18"/>
        <v>4.7706600589844409E-3</v>
      </c>
      <c r="AR135" s="1715">
        <v>0</v>
      </c>
      <c r="AS135" s="1716">
        <f t="shared" si="19"/>
        <v>0</v>
      </c>
      <c r="AT135" s="1715">
        <v>0</v>
      </c>
      <c r="AU135" s="1716">
        <f t="shared" si="20"/>
        <v>0</v>
      </c>
      <c r="AV135" s="1715"/>
      <c r="AW135" s="1716">
        <f t="shared" si="21"/>
        <v>0</v>
      </c>
      <c r="AX135" s="1715">
        <v>0</v>
      </c>
      <c r="AY135" s="1716">
        <f t="shared" si="22"/>
        <v>0</v>
      </c>
      <c r="AZ135" s="1715">
        <v>0</v>
      </c>
      <c r="BA135" s="1716">
        <f t="shared" si="23"/>
        <v>0</v>
      </c>
      <c r="BB135" s="1715"/>
      <c r="BC135" s="1716">
        <f t="shared" si="24"/>
        <v>0</v>
      </c>
      <c r="BD135" s="1786">
        <v>0</v>
      </c>
      <c r="BE135" s="1716">
        <f t="shared" si="25"/>
        <v>0</v>
      </c>
      <c r="BF135" s="1715">
        <v>0</v>
      </c>
      <c r="BG135" s="1716">
        <f t="shared" si="26"/>
        <v>0</v>
      </c>
      <c r="BH135" s="1715">
        <v>0</v>
      </c>
      <c r="BI135" s="1716">
        <f t="shared" si="27"/>
        <v>0</v>
      </c>
      <c r="BJ135" s="1715">
        <v>0</v>
      </c>
      <c r="BK135" s="1716">
        <f t="shared" si="28"/>
        <v>0</v>
      </c>
      <c r="BL135" s="1715"/>
      <c r="BM135" s="1716">
        <f t="shared" si="29"/>
        <v>0</v>
      </c>
      <c r="BN135" s="1715"/>
      <c r="BO135" s="1716">
        <f t="shared" si="30"/>
        <v>0</v>
      </c>
      <c r="BP135" s="1715">
        <v>0</v>
      </c>
      <c r="BQ135" s="1716">
        <f t="shared" si="31"/>
        <v>0</v>
      </c>
      <c r="BR135" s="1715"/>
      <c r="BS135" s="1716">
        <f t="shared" si="32"/>
        <v>0</v>
      </c>
      <c r="BT135" s="1715"/>
      <c r="BU135" s="1716">
        <f t="shared" si="33"/>
        <v>0</v>
      </c>
      <c r="BV135" s="1715">
        <v>0</v>
      </c>
      <c r="BW135" s="1716">
        <f t="shared" si="34"/>
        <v>0</v>
      </c>
      <c r="BX135" s="1715">
        <v>0</v>
      </c>
      <c r="BY135" s="1716">
        <f t="shared" si="35"/>
        <v>0</v>
      </c>
      <c r="BZ135" s="1715">
        <v>0</v>
      </c>
      <c r="CA135" s="1716">
        <f t="shared" si="36"/>
        <v>0</v>
      </c>
      <c r="CB135" s="1715">
        <v>0</v>
      </c>
      <c r="CC135" s="1716">
        <f t="shared" si="37"/>
        <v>0</v>
      </c>
      <c r="CD135" s="1715">
        <v>0</v>
      </c>
      <c r="CE135" s="1716">
        <f t="shared" si="38"/>
        <v>0</v>
      </c>
      <c r="CF135" s="1715"/>
      <c r="CG135" s="1716">
        <v>0</v>
      </c>
      <c r="CH135" s="1715"/>
      <c r="CI135" s="1716">
        <v>0</v>
      </c>
      <c r="CJ135" s="1715">
        <v>0</v>
      </c>
      <c r="CK135" s="1716">
        <v>0</v>
      </c>
      <c r="CL135" s="1715">
        <v>0</v>
      </c>
      <c r="CM135" s="1716">
        <v>0</v>
      </c>
      <c r="CN135" s="1715">
        <v>0</v>
      </c>
      <c r="CO135" s="1716">
        <f t="shared" si="39"/>
        <v>0</v>
      </c>
      <c r="CP135" s="1715">
        <v>0</v>
      </c>
      <c r="CQ135" s="1716">
        <f t="shared" si="40"/>
        <v>0</v>
      </c>
      <c r="CR135" s="1715">
        <v>0</v>
      </c>
      <c r="CS135" s="1716">
        <v>0</v>
      </c>
      <c r="CT135" s="1715"/>
      <c r="CU135" s="1716">
        <f t="shared" si="41"/>
        <v>0</v>
      </c>
      <c r="CV135" s="1715"/>
      <c r="CW135" s="1716">
        <f t="shared" si="42"/>
        <v>0</v>
      </c>
      <c r="CX135" s="1715">
        <v>0</v>
      </c>
      <c r="CY135" s="1716">
        <f t="shared" si="42"/>
        <v>0</v>
      </c>
      <c r="CZ135" s="1715">
        <v>0</v>
      </c>
      <c r="DA135" s="1716">
        <v>0</v>
      </c>
      <c r="DB135" s="1715">
        <v>0</v>
      </c>
      <c r="DC135" s="1716">
        <v>0</v>
      </c>
      <c r="DD135" s="1715">
        <v>0</v>
      </c>
      <c r="DE135" s="1716">
        <v>0</v>
      </c>
      <c r="DF135" s="1715">
        <v>0</v>
      </c>
      <c r="DG135" s="1716">
        <v>0</v>
      </c>
      <c r="DH135" s="1715">
        <v>0</v>
      </c>
      <c r="DI135" s="1716">
        <v>0</v>
      </c>
      <c r="DJ135" s="1715">
        <v>0</v>
      </c>
      <c r="DK135" s="1716">
        <v>0</v>
      </c>
      <c r="DL135" s="1715">
        <v>0</v>
      </c>
      <c r="DM135" s="1716">
        <v>0</v>
      </c>
      <c r="DN135" s="1715">
        <v>0</v>
      </c>
      <c r="DO135" s="1716">
        <f t="shared" si="43"/>
        <v>0</v>
      </c>
      <c r="DP135" s="1715"/>
      <c r="DQ135" s="1716">
        <f t="shared" si="44"/>
        <v>0</v>
      </c>
      <c r="DR135" s="1715"/>
      <c r="DS135" s="1716">
        <f t="shared" si="45"/>
        <v>0</v>
      </c>
      <c r="DT135" s="1715"/>
      <c r="DU135" s="1716">
        <f t="shared" si="46"/>
        <v>0</v>
      </c>
      <c r="DV135" s="1715"/>
      <c r="DW135" s="1716">
        <f t="shared" si="47"/>
        <v>0</v>
      </c>
      <c r="DX135" s="1715"/>
      <c r="DY135" s="1716">
        <f t="shared" si="48"/>
        <v>0</v>
      </c>
      <c r="DZ135" s="1715"/>
      <c r="EA135" s="1716">
        <f t="shared" si="49"/>
        <v>0</v>
      </c>
      <c r="EB135" s="1715"/>
      <c r="EC135" s="1716">
        <f t="shared" si="50"/>
        <v>0</v>
      </c>
      <c r="ED135" s="1715"/>
      <c r="EE135" s="1716">
        <f t="shared" si="51"/>
        <v>0</v>
      </c>
      <c r="EF135" s="1715"/>
      <c r="EG135" s="1716">
        <f t="shared" si="52"/>
        <v>0</v>
      </c>
      <c r="EH135" s="1715"/>
      <c r="EI135" s="1716">
        <f t="shared" si="53"/>
        <v>0</v>
      </c>
      <c r="EJ135" s="1715"/>
      <c r="EK135" s="1716">
        <f t="shared" si="54"/>
        <v>0</v>
      </c>
      <c r="EL135" s="1715"/>
      <c r="EM135" s="1716">
        <f t="shared" si="55"/>
        <v>0</v>
      </c>
      <c r="EN135" s="1715">
        <v>0</v>
      </c>
      <c r="EO135" s="1716">
        <f t="shared" si="56"/>
        <v>0</v>
      </c>
      <c r="EP135" s="1715">
        <v>0</v>
      </c>
      <c r="EQ135" s="1716">
        <f t="shared" si="57"/>
        <v>0</v>
      </c>
      <c r="ER135" s="1715">
        <v>0</v>
      </c>
      <c r="ES135" s="1716">
        <f t="shared" si="58"/>
        <v>0</v>
      </c>
      <c r="ET135" s="1715"/>
      <c r="EU135" s="1716">
        <f t="shared" si="59"/>
        <v>0</v>
      </c>
      <c r="EV135" s="1715">
        <v>0</v>
      </c>
      <c r="EW135" s="1716">
        <f t="shared" si="60"/>
        <v>0</v>
      </c>
      <c r="EX135" s="1715" t="s">
        <v>2154</v>
      </c>
      <c r="EY135" s="1716">
        <f t="shared" si="61"/>
        <v>0</v>
      </c>
      <c r="EZ135" s="1715">
        <v>0</v>
      </c>
      <c r="FA135" s="1716">
        <f t="shared" si="62"/>
        <v>0</v>
      </c>
      <c r="FB135" s="1715">
        <v>0</v>
      </c>
      <c r="FC135" s="1716">
        <f t="shared" si="63"/>
        <v>0</v>
      </c>
      <c r="FD135" s="1715">
        <v>0</v>
      </c>
      <c r="FE135" s="1716">
        <f t="shared" si="64"/>
        <v>0</v>
      </c>
      <c r="FF135" s="1715">
        <v>0</v>
      </c>
      <c r="FG135" s="1716">
        <f t="shared" si="65"/>
        <v>0</v>
      </c>
      <c r="FH135" s="1715">
        <v>0</v>
      </c>
      <c r="FI135" s="1716">
        <f t="shared" si="66"/>
        <v>0</v>
      </c>
      <c r="FJ135" s="1715"/>
      <c r="FK135" s="1716">
        <f t="shared" si="67"/>
        <v>0</v>
      </c>
      <c r="FL135" s="1715">
        <v>0</v>
      </c>
      <c r="FM135" s="1716">
        <f t="shared" si="68"/>
        <v>0</v>
      </c>
      <c r="FN135" s="1715">
        <v>0</v>
      </c>
      <c r="FO135" s="1716">
        <f t="shared" si="69"/>
        <v>0</v>
      </c>
      <c r="FP135" s="1715">
        <v>0</v>
      </c>
      <c r="FQ135" s="1716">
        <f t="shared" si="70"/>
        <v>0</v>
      </c>
      <c r="FR135" s="1715"/>
      <c r="FS135" s="1716">
        <f t="shared" si="71"/>
        <v>0</v>
      </c>
      <c r="FT135" s="1715">
        <v>0</v>
      </c>
      <c r="FU135" s="1716">
        <f t="shared" si="72"/>
        <v>0</v>
      </c>
      <c r="FV135" s="1715">
        <v>0</v>
      </c>
      <c r="FW135" s="1716">
        <f t="shared" si="73"/>
        <v>0</v>
      </c>
      <c r="FX135" s="1715"/>
      <c r="FY135" s="1716">
        <f t="shared" si="74"/>
        <v>0</v>
      </c>
      <c r="FZ135" s="1715">
        <v>0</v>
      </c>
      <c r="GA135" s="1716">
        <f t="shared" si="75"/>
        <v>0</v>
      </c>
      <c r="GB135" s="1715">
        <v>0</v>
      </c>
      <c r="GC135" s="1716">
        <f t="shared" si="104"/>
        <v>0</v>
      </c>
      <c r="GD135" s="1715">
        <v>0</v>
      </c>
      <c r="GE135" s="1716">
        <f t="shared" si="76"/>
        <v>0</v>
      </c>
      <c r="GF135" s="1715"/>
      <c r="GG135" s="1716">
        <f t="shared" si="77"/>
        <v>0</v>
      </c>
      <c r="GH135" s="1715">
        <v>0</v>
      </c>
      <c r="GI135" s="1716">
        <f t="shared" si="78"/>
        <v>0</v>
      </c>
      <c r="GJ135" s="1715">
        <v>0</v>
      </c>
      <c r="GK135" s="1716">
        <f t="shared" si="79"/>
        <v>0</v>
      </c>
      <c r="GL135" s="1715">
        <v>0</v>
      </c>
      <c r="GM135" s="1716">
        <f t="shared" si="80"/>
        <v>0</v>
      </c>
      <c r="GN135" s="1715">
        <v>0</v>
      </c>
      <c r="GO135" s="1716">
        <f t="shared" si="81"/>
        <v>0</v>
      </c>
      <c r="GP135" s="1715"/>
      <c r="GQ135" s="1716">
        <f t="shared" si="82"/>
        <v>0</v>
      </c>
      <c r="GR135" s="1715">
        <v>0</v>
      </c>
      <c r="GS135" s="1716">
        <f>GR135/GR$140</f>
        <v>0</v>
      </c>
      <c r="GT135" s="1715" t="s">
        <v>1855</v>
      </c>
      <c r="GU135" s="1716">
        <f t="shared" si="84"/>
        <v>0</v>
      </c>
      <c r="GV135" s="1715" t="s">
        <v>1412</v>
      </c>
      <c r="GW135" s="1716">
        <f t="shared" si="85"/>
        <v>0</v>
      </c>
      <c r="GX135" s="1715">
        <v>0</v>
      </c>
      <c r="GY135" s="1716">
        <f t="shared" si="86"/>
        <v>0</v>
      </c>
      <c r="GZ135" s="1715">
        <v>0</v>
      </c>
      <c r="HA135" s="1716">
        <f t="shared" si="87"/>
        <v>0</v>
      </c>
      <c r="HB135" s="1715">
        <v>0</v>
      </c>
      <c r="HC135" s="1716">
        <f>HB135/HB$140</f>
        <v>0</v>
      </c>
      <c r="HD135" s="1715">
        <v>0</v>
      </c>
      <c r="HE135" s="1716">
        <f t="shared" si="89"/>
        <v>0</v>
      </c>
      <c r="HF135" s="2032"/>
      <c r="HG135" s="2033">
        <f t="shared" si="102"/>
        <v>0</v>
      </c>
      <c r="HH135" s="1715"/>
      <c r="HI135" s="1716">
        <f t="shared" si="90"/>
        <v>0</v>
      </c>
      <c r="HJ135" s="1715">
        <v>0</v>
      </c>
      <c r="HK135" s="1716">
        <f t="shared" si="91"/>
        <v>0</v>
      </c>
      <c r="HL135" s="1715"/>
      <c r="HM135" s="1716">
        <f t="shared" si="92"/>
        <v>0</v>
      </c>
      <c r="HN135" s="1715">
        <v>0</v>
      </c>
      <c r="HO135" s="1716">
        <f t="shared" si="93"/>
        <v>0</v>
      </c>
      <c r="HP135" s="2032">
        <v>0</v>
      </c>
      <c r="HQ135" s="2033">
        <f t="shared" si="103"/>
        <v>0</v>
      </c>
      <c r="HR135" s="1715">
        <v>0</v>
      </c>
      <c r="HS135" s="1716">
        <f t="shared" si="94"/>
        <v>0</v>
      </c>
      <c r="HT135" s="2032">
        <v>0</v>
      </c>
      <c r="HU135" s="2033">
        <f t="shared" si="95"/>
        <v>0</v>
      </c>
      <c r="HV135" s="2032"/>
      <c r="HW135" s="2033">
        <f t="shared" si="96"/>
        <v>0</v>
      </c>
      <c r="HX135" s="2032">
        <v>0</v>
      </c>
      <c r="HY135" s="2033">
        <f t="shared" si="97"/>
        <v>0</v>
      </c>
      <c r="HZ135" s="2032">
        <v>0</v>
      </c>
      <c r="IA135" s="2033">
        <f>HZ135/HZ$140</f>
        <v>0</v>
      </c>
      <c r="IB135" s="1715">
        <v>53500</v>
      </c>
      <c r="IC135" s="1716">
        <f t="shared" si="99"/>
        <v>6.9550395046243862E-3</v>
      </c>
      <c r="ID135" s="2032">
        <v>0</v>
      </c>
      <c r="IE135" s="2033">
        <f t="shared" si="100"/>
        <v>0</v>
      </c>
      <c r="IF135" s="2032">
        <v>0</v>
      </c>
      <c r="IG135" s="2033">
        <f t="shared" si="101"/>
        <v>0</v>
      </c>
    </row>
    <row r="136" spans="1:241" s="1009" customFormat="1">
      <c r="A136" s="1149"/>
      <c r="B136" s="1149"/>
      <c r="C136" s="1149"/>
      <c r="D136" s="1149" t="s">
        <v>11</v>
      </c>
      <c r="E136" s="1143"/>
      <c r="F136" s="1715">
        <v>1154929</v>
      </c>
      <c r="G136" s="1716">
        <f t="shared" si="0"/>
        <v>0.17226068536821754</v>
      </c>
      <c r="H136" s="1715">
        <v>1294558</v>
      </c>
      <c r="I136" s="1716">
        <f t="shared" si="1"/>
        <v>0.11755280286174902</v>
      </c>
      <c r="J136" s="1715">
        <v>791974</v>
      </c>
      <c r="K136" s="1716">
        <f t="shared" si="2"/>
        <v>0.1130315690980955</v>
      </c>
      <c r="L136" s="1715">
        <v>9239745</v>
      </c>
      <c r="M136" s="1716">
        <f t="shared" si="3"/>
        <v>0.12963760826827914</v>
      </c>
      <c r="N136" s="1715">
        <v>1230589</v>
      </c>
      <c r="O136" s="1716">
        <f t="shared" si="4"/>
        <v>0.12191767738903223</v>
      </c>
      <c r="P136" s="1715">
        <v>4320572</v>
      </c>
      <c r="Q136" s="1716">
        <f t="shared" si="5"/>
        <v>0.1053265738551987</v>
      </c>
      <c r="R136" s="1786">
        <v>2955883</v>
      </c>
      <c r="S136" s="1716">
        <f t="shared" si="6"/>
        <v>0.1373401220572692</v>
      </c>
      <c r="T136" s="1715">
        <v>1914978</v>
      </c>
      <c r="U136" s="1716">
        <f t="shared" si="7"/>
        <v>0.22316359886027934</v>
      </c>
      <c r="V136" s="1715">
        <v>1087070</v>
      </c>
      <c r="W136" s="1716">
        <f t="shared" si="8"/>
        <v>0.13508715791566606</v>
      </c>
      <c r="X136" s="1715">
        <v>6464879</v>
      </c>
      <c r="Y136" s="1716">
        <f t="shared" si="9"/>
        <v>0.17834997665406147</v>
      </c>
      <c r="Z136" s="1786">
        <v>2025481</v>
      </c>
      <c r="AA136" s="1716">
        <f t="shared" si="10"/>
        <v>0.15277717645216615</v>
      </c>
      <c r="AB136" s="1715">
        <v>699319</v>
      </c>
      <c r="AC136" s="1716">
        <f t="shared" si="11"/>
        <v>9.077284624785259E-2</v>
      </c>
      <c r="AD136" s="2084">
        <v>4377473</v>
      </c>
      <c r="AE136" s="1716">
        <f t="shared" si="12"/>
        <v>0.11205706659387114</v>
      </c>
      <c r="AF136" s="1715">
        <v>2094973</v>
      </c>
      <c r="AG136" s="1716">
        <f t="shared" si="13"/>
        <v>0.15279076475498282</v>
      </c>
      <c r="AH136" s="1715">
        <v>1335087</v>
      </c>
      <c r="AI136" s="1716">
        <f t="shared" si="14"/>
        <v>0.259976913217767</v>
      </c>
      <c r="AJ136" s="1715">
        <v>1436030</v>
      </c>
      <c r="AK136" s="1716">
        <f t="shared" si="15"/>
        <v>0.12523069305281548</v>
      </c>
      <c r="AL136" s="1715">
        <v>3249573</v>
      </c>
      <c r="AM136" s="1716">
        <f t="shared" si="16"/>
        <v>0.24004842671533075</v>
      </c>
      <c r="AN136" s="1715">
        <v>1189387</v>
      </c>
      <c r="AO136" s="1716">
        <f t="shared" si="17"/>
        <v>0.11067631467479382</v>
      </c>
      <c r="AP136" s="1715">
        <v>1209198</v>
      </c>
      <c r="AQ136" s="1716">
        <f t="shared" si="18"/>
        <v>8.2409608600055265E-2</v>
      </c>
      <c r="AR136" s="1407">
        <v>2591372</v>
      </c>
      <c r="AS136" s="1716">
        <f t="shared" si="19"/>
        <v>0.10264979479920308</v>
      </c>
      <c r="AT136" s="1715">
        <v>3173066</v>
      </c>
      <c r="AU136" s="1716">
        <f t="shared" si="20"/>
        <v>0.2925960987137658</v>
      </c>
      <c r="AV136" s="1715">
        <v>1490893</v>
      </c>
      <c r="AW136" s="1716">
        <f t="shared" si="21"/>
        <v>9.4219488137224763E-2</v>
      </c>
      <c r="AX136" s="1715">
        <v>3800295</v>
      </c>
      <c r="AY136" s="1716">
        <f t="shared" si="22"/>
        <v>0.30325774077114692</v>
      </c>
      <c r="AZ136" s="1715">
        <v>1577099</v>
      </c>
      <c r="BA136" s="1716">
        <f t="shared" si="23"/>
        <v>0.1306352375419951</v>
      </c>
      <c r="BB136" s="1715">
        <v>1701331</v>
      </c>
      <c r="BC136" s="1716">
        <f t="shared" si="24"/>
        <v>0.11117313058497905</v>
      </c>
      <c r="BD136" s="1786">
        <v>2271396</v>
      </c>
      <c r="BE136" s="1716">
        <f t="shared" si="25"/>
        <v>0.24903102050052758</v>
      </c>
      <c r="BF136" s="1715">
        <v>889223</v>
      </c>
      <c r="BG136" s="1716">
        <f t="shared" si="26"/>
        <v>0.13392523785347435</v>
      </c>
      <c r="BH136" s="1715">
        <v>1369023</v>
      </c>
      <c r="BI136" s="1716">
        <f t="shared" si="27"/>
        <v>0.12158923069681271</v>
      </c>
      <c r="BJ136" s="1715">
        <v>2034896</v>
      </c>
      <c r="BK136" s="1716">
        <f t="shared" si="28"/>
        <v>0.13712750038832314</v>
      </c>
      <c r="BL136" s="1715">
        <v>2220716</v>
      </c>
      <c r="BM136" s="1716">
        <f t="shared" si="29"/>
        <v>0.11493252996210002</v>
      </c>
      <c r="BN136" s="1715"/>
      <c r="BO136" s="1716">
        <f t="shared" si="30"/>
        <v>0</v>
      </c>
      <c r="BP136" s="1715">
        <v>2175897</v>
      </c>
      <c r="BQ136" s="1716">
        <f t="shared" si="31"/>
        <v>0.24111224938126183</v>
      </c>
      <c r="BR136" s="1407">
        <v>456556</v>
      </c>
      <c r="BS136" s="1716">
        <f t="shared" si="32"/>
        <v>6.6691041577530988E-2</v>
      </c>
      <c r="BT136" s="1715">
        <v>1047387</v>
      </c>
      <c r="BU136" s="1716">
        <f t="shared" si="33"/>
        <v>0.2146011747275603</v>
      </c>
      <c r="BV136" s="1715">
        <v>1144042</v>
      </c>
      <c r="BW136" s="1716">
        <f t="shared" si="34"/>
        <v>0.15669095104628458</v>
      </c>
      <c r="BX136" s="1715">
        <v>3150070</v>
      </c>
      <c r="BY136" s="1716">
        <f t="shared" si="35"/>
        <v>0.24442164605862948</v>
      </c>
      <c r="BZ136" s="1715">
        <v>3066245</v>
      </c>
      <c r="CA136" s="1716">
        <f t="shared" si="36"/>
        <v>0.11476123654222305</v>
      </c>
      <c r="CB136" s="1715">
        <v>959452</v>
      </c>
      <c r="CC136" s="1716">
        <f t="shared" si="37"/>
        <v>0.11799956684182802</v>
      </c>
      <c r="CD136" s="1715">
        <v>1119803</v>
      </c>
      <c r="CE136" s="1716">
        <f t="shared" si="38"/>
        <v>9.3890824330386147E-2</v>
      </c>
      <c r="CF136" s="1715">
        <v>1593701</v>
      </c>
      <c r="CG136" s="1716">
        <v>0.16186653519906818</v>
      </c>
      <c r="CH136" s="1715">
        <v>1186623</v>
      </c>
      <c r="CI136" s="1716">
        <v>0.13163589989520139</v>
      </c>
      <c r="CJ136" s="1715">
        <v>1009009</v>
      </c>
      <c r="CK136" s="1716">
        <v>0.10599990902368442</v>
      </c>
      <c r="CL136" s="1715">
        <v>4656539</v>
      </c>
      <c r="CM136" s="1716">
        <v>0.12322136614396353</v>
      </c>
      <c r="CN136" s="1715">
        <v>2237084</v>
      </c>
      <c r="CO136" s="1716">
        <f t="shared" si="39"/>
        <v>0.13198207329502909</v>
      </c>
      <c r="CP136" s="1715">
        <v>1384314</v>
      </c>
      <c r="CQ136" s="1716">
        <f t="shared" si="40"/>
        <v>0.12844557833607176</v>
      </c>
      <c r="CR136" s="1715">
        <v>3080412</v>
      </c>
      <c r="CS136" s="1716">
        <v>0.15840734286447741</v>
      </c>
      <c r="CT136" s="1715">
        <v>1695685</v>
      </c>
      <c r="CU136" s="1716">
        <f t="shared" si="41"/>
        <v>0.14535653469424667</v>
      </c>
      <c r="CV136" s="1715">
        <v>4135942</v>
      </c>
      <c r="CW136" s="1716">
        <f t="shared" si="42"/>
        <v>0.17559858687008537</v>
      </c>
      <c r="CX136" s="1715">
        <v>3503171</v>
      </c>
      <c r="CY136" s="1716">
        <f t="shared" si="42"/>
        <v>0.12669639383895712</v>
      </c>
      <c r="CZ136" s="1715">
        <v>696517</v>
      </c>
      <c r="DA136" s="1716">
        <v>9.6271768084275899E-2</v>
      </c>
      <c r="DB136" s="1715">
        <v>2344833</v>
      </c>
      <c r="DC136" s="1716">
        <v>0.14744895764712806</v>
      </c>
      <c r="DD136" s="1715">
        <v>837156</v>
      </c>
      <c r="DE136" s="1716">
        <v>0.11649473790993949</v>
      </c>
      <c r="DF136" s="1715">
        <v>6414622</v>
      </c>
      <c r="DG136" s="1716">
        <v>0.12328762094550821</v>
      </c>
      <c r="DH136" s="1715">
        <v>1577186</v>
      </c>
      <c r="DI136" s="1716">
        <v>0.11001382299824089</v>
      </c>
      <c r="DJ136" s="1715">
        <v>1376541</v>
      </c>
      <c r="DK136" s="1716">
        <v>0.18183531824922308</v>
      </c>
      <c r="DL136" s="1715">
        <v>1631017</v>
      </c>
      <c r="DM136" s="1716">
        <v>0.13255184096415465</v>
      </c>
      <c r="DN136" s="1715">
        <v>731265</v>
      </c>
      <c r="DO136" s="1716">
        <f t="shared" si="43"/>
        <v>8.2148232475908731E-2</v>
      </c>
      <c r="DP136" s="1715">
        <v>537921</v>
      </c>
      <c r="DQ136" s="1716">
        <f t="shared" si="44"/>
        <v>7.2653451971243913E-2</v>
      </c>
      <c r="DR136" s="1715">
        <v>1631417</v>
      </c>
      <c r="DS136" s="1716">
        <f t="shared" si="45"/>
        <v>0.1143940488227647</v>
      </c>
      <c r="DT136" s="1407">
        <v>3463666</v>
      </c>
      <c r="DU136" s="1716">
        <f t="shared" si="46"/>
        <v>9.3849183312797332E-2</v>
      </c>
      <c r="DV136" s="1715">
        <v>830976</v>
      </c>
      <c r="DW136" s="1716">
        <f t="shared" si="47"/>
        <v>0.10533830926496836</v>
      </c>
      <c r="DX136" s="1715">
        <v>2377212</v>
      </c>
      <c r="DY136" s="1716">
        <f t="shared" si="48"/>
        <v>0.15266364346399072</v>
      </c>
      <c r="DZ136" s="1715">
        <v>4617247</v>
      </c>
      <c r="EA136" s="1716">
        <f t="shared" si="49"/>
        <v>0.13978029420649091</v>
      </c>
      <c r="EB136" s="1715">
        <v>2884021</v>
      </c>
      <c r="EC136" s="1716">
        <f t="shared" si="50"/>
        <v>0.13676549308438274</v>
      </c>
      <c r="ED136" s="1715">
        <v>913652</v>
      </c>
      <c r="EE136" s="1716">
        <f t="shared" si="51"/>
        <v>0.11372817351820412</v>
      </c>
      <c r="EF136" s="1715">
        <v>1689092</v>
      </c>
      <c r="EG136" s="1716">
        <f t="shared" si="52"/>
        <v>0.14599205359008097</v>
      </c>
      <c r="EH136" s="1715">
        <v>7714571</v>
      </c>
      <c r="EI136" s="1716">
        <f t="shared" si="53"/>
        <v>0.19540786003247065</v>
      </c>
      <c r="EJ136" s="1715">
        <v>1800998</v>
      </c>
      <c r="EK136" s="1716">
        <f t="shared" si="54"/>
        <v>0.11287377257470124</v>
      </c>
      <c r="EL136" s="1715">
        <v>4865787</v>
      </c>
      <c r="EM136" s="1716">
        <f t="shared" si="55"/>
        <v>0.11498874143354275</v>
      </c>
      <c r="EN136" s="1715">
        <v>1567172</v>
      </c>
      <c r="EO136" s="1716">
        <f t="shared" si="56"/>
        <v>0.12359570233850212</v>
      </c>
      <c r="EP136" s="1715">
        <v>2089540</v>
      </c>
      <c r="EQ136" s="1716">
        <f t="shared" si="57"/>
        <v>0.20568998785866596</v>
      </c>
      <c r="ER136" s="1715">
        <v>781875</v>
      </c>
      <c r="ES136" s="1716">
        <f t="shared" si="58"/>
        <v>9.154258341453865E-2</v>
      </c>
      <c r="ET136" s="1715">
        <v>3193013</v>
      </c>
      <c r="EU136" s="1716">
        <f t="shared" si="59"/>
        <v>0.18414575518368478</v>
      </c>
      <c r="EV136" s="1715">
        <v>1472587</v>
      </c>
      <c r="EW136" s="1716">
        <f t="shared" si="60"/>
        <v>0.1250274449805614</v>
      </c>
      <c r="EX136" s="1715">
        <v>1006903</v>
      </c>
      <c r="EY136" s="1716">
        <f t="shared" si="61"/>
        <v>0.12844588973101834</v>
      </c>
      <c r="EZ136" s="1715">
        <v>1689601</v>
      </c>
      <c r="FA136" s="1716">
        <f t="shared" si="62"/>
        <v>0.11501563016288562</v>
      </c>
      <c r="FB136" s="1715">
        <v>809785</v>
      </c>
      <c r="FC136" s="1716">
        <f t="shared" si="63"/>
        <v>0.14925374509797054</v>
      </c>
      <c r="FD136" s="1715">
        <v>1209502</v>
      </c>
      <c r="FE136" s="1716">
        <f t="shared" si="64"/>
        <v>0.1287951375896107</v>
      </c>
      <c r="FF136" s="1715">
        <v>2116450</v>
      </c>
      <c r="FG136" s="1716">
        <f t="shared" si="65"/>
        <v>0.15446346088358545</v>
      </c>
      <c r="FH136" s="1715">
        <v>1046617</v>
      </c>
      <c r="FI136" s="1716">
        <f t="shared" si="66"/>
        <v>0.10604091049830515</v>
      </c>
      <c r="FJ136" s="1715">
        <v>1163204</v>
      </c>
      <c r="FK136" s="1716">
        <f t="shared" si="67"/>
        <v>0.12250599731776822</v>
      </c>
      <c r="FL136" s="1715">
        <v>938962</v>
      </c>
      <c r="FM136" s="1716">
        <f t="shared" si="68"/>
        <v>9.9818108949656259E-2</v>
      </c>
      <c r="FN136" s="1715">
        <v>3296035</v>
      </c>
      <c r="FO136" s="1716">
        <f t="shared" si="69"/>
        <v>0.17615175355177701</v>
      </c>
      <c r="FP136" s="1715">
        <v>515863</v>
      </c>
      <c r="FQ136" s="1716">
        <f t="shared" si="70"/>
        <v>9.3082729939314157E-2</v>
      </c>
      <c r="FR136" s="1715">
        <v>3534081</v>
      </c>
      <c r="FS136" s="1716">
        <f t="shared" si="71"/>
        <v>0.17446042783686813</v>
      </c>
      <c r="FT136" s="1715">
        <v>3155021</v>
      </c>
      <c r="FU136" s="1716">
        <f t="shared" si="72"/>
        <v>0.13768237119670801</v>
      </c>
      <c r="FV136" s="1715">
        <v>5350897</v>
      </c>
      <c r="FW136" s="1716">
        <f t="shared" si="73"/>
        <v>0.15490168923384456</v>
      </c>
      <c r="FX136" s="1715">
        <v>1219282</v>
      </c>
      <c r="FY136" s="1716">
        <f t="shared" si="74"/>
        <v>0.11667873056872845</v>
      </c>
      <c r="FZ136" s="1715">
        <v>1091268</v>
      </c>
      <c r="GA136" s="1716">
        <f t="shared" si="75"/>
        <v>0.14723228114864245</v>
      </c>
      <c r="GB136" s="1715">
        <v>459013</v>
      </c>
      <c r="GC136" s="1716">
        <f t="shared" si="104"/>
        <v>7.3071449914601155E-2</v>
      </c>
      <c r="GD136" s="1715">
        <v>3171413</v>
      </c>
      <c r="GE136" s="1716">
        <f t="shared" si="76"/>
        <v>0.11441377897883974</v>
      </c>
      <c r="GF136" s="1715">
        <v>1714444</v>
      </c>
      <c r="GG136" s="1716">
        <f t="shared" si="77"/>
        <v>0.14278593494695177</v>
      </c>
      <c r="GH136" s="1715">
        <v>979796</v>
      </c>
      <c r="GI136" s="1716">
        <f t="shared" si="78"/>
        <v>8.6836582155603317E-2</v>
      </c>
      <c r="GJ136" s="1715">
        <v>8502534</v>
      </c>
      <c r="GK136" s="1716">
        <f t="shared" si="79"/>
        <v>0.16127374968153185</v>
      </c>
      <c r="GL136" s="1715">
        <f>1491085-23430</f>
        <v>1467655</v>
      </c>
      <c r="GM136" s="1716">
        <f t="shared" si="80"/>
        <v>0.14564430104172063</v>
      </c>
      <c r="GN136" s="1715">
        <v>969753</v>
      </c>
      <c r="GO136" s="1716">
        <f t="shared" si="81"/>
        <v>0.14407731523617909</v>
      </c>
      <c r="GP136" s="1715">
        <v>1307451</v>
      </c>
      <c r="GQ136" s="1716">
        <f t="shared" si="82"/>
        <v>0.10968051782889031</v>
      </c>
      <c r="GR136" s="1715">
        <v>1129418</v>
      </c>
      <c r="GS136" s="1716">
        <f>GR136/GR$140</f>
        <v>0.10997717820040515</v>
      </c>
      <c r="GT136" s="1715">
        <v>1684250</v>
      </c>
      <c r="GU136" s="1716">
        <f t="shared" si="84"/>
        <v>0.15925305894939784</v>
      </c>
      <c r="GV136" s="1715">
        <v>2017387</v>
      </c>
      <c r="GW136" s="1716">
        <f t="shared" si="85"/>
        <v>0.12620265985674212</v>
      </c>
      <c r="GX136" s="1715">
        <v>1335255</v>
      </c>
      <c r="GY136" s="1716">
        <f t="shared" si="86"/>
        <v>0.17265215605239709</v>
      </c>
      <c r="GZ136" s="1715">
        <v>2896548</v>
      </c>
      <c r="HA136" s="1716">
        <f t="shared" si="87"/>
        <v>0.12074869201506488</v>
      </c>
      <c r="HB136" s="1715">
        <v>338060</v>
      </c>
      <c r="HC136" s="1716">
        <f>HB136/HB$140</f>
        <v>8.1941663042967142E-2</v>
      </c>
      <c r="HD136" s="1715">
        <v>1126862</v>
      </c>
      <c r="HE136" s="1716">
        <f t="shared" si="89"/>
        <v>0.11906169165225672</v>
      </c>
      <c r="HF136" s="2032">
        <v>5895145</v>
      </c>
      <c r="HG136" s="2033">
        <f t="shared" si="102"/>
        <v>0.14467010762823157</v>
      </c>
      <c r="HH136" s="1715">
        <v>1977436</v>
      </c>
      <c r="HI136" s="1716">
        <f t="shared" si="90"/>
        <v>0.136816644472017</v>
      </c>
      <c r="HJ136" s="1715">
        <v>3659532</v>
      </c>
      <c r="HK136" s="1716">
        <f t="shared" si="91"/>
        <v>0.20884508110645664</v>
      </c>
      <c r="HL136" s="1715">
        <f>+-20543+1474295</f>
        <v>1453752</v>
      </c>
      <c r="HM136" s="1716">
        <f t="shared" si="92"/>
        <v>0.20022063836380538</v>
      </c>
      <c r="HN136" s="1715">
        <v>978463</v>
      </c>
      <c r="HO136" s="1716">
        <f t="shared" si="93"/>
        <v>0.11396074873354364</v>
      </c>
      <c r="HP136" s="2032">
        <v>4698612</v>
      </c>
      <c r="HQ136" s="2033">
        <f t="shared" si="103"/>
        <v>0.1128177122923739</v>
      </c>
      <c r="HR136" s="1715">
        <v>1350322</v>
      </c>
      <c r="HS136" s="1716">
        <f t="shared" si="94"/>
        <v>0.25720825681625059</v>
      </c>
      <c r="HT136" s="2032">
        <v>3379192</v>
      </c>
      <c r="HU136" s="2033">
        <f t="shared" si="95"/>
        <v>0.1500309124260405</v>
      </c>
      <c r="HV136" s="2032">
        <v>1693148</v>
      </c>
      <c r="HW136" s="2033">
        <f t="shared" si="96"/>
        <v>0.12361201427115769</v>
      </c>
      <c r="HX136" s="2032">
        <v>1523777</v>
      </c>
      <c r="HY136" s="2033">
        <f t="shared" si="97"/>
        <v>0.12716247483708887</v>
      </c>
      <c r="HZ136" s="2032">
        <v>1218383</v>
      </c>
      <c r="IA136" s="2033">
        <f>HZ136/HZ$140</f>
        <v>7.9283339926271457E-2</v>
      </c>
      <c r="IB136" s="1715">
        <v>888846</v>
      </c>
      <c r="IC136" s="1716">
        <f t="shared" si="99"/>
        <v>0.11555063632761434</v>
      </c>
      <c r="ID136" s="2032">
        <v>1347194</v>
      </c>
      <c r="IE136" s="2033">
        <f t="shared" si="100"/>
        <v>0.12717331689537889</v>
      </c>
      <c r="IF136" s="2032">
        <v>1660782</v>
      </c>
      <c r="IG136" s="2033">
        <f t="shared" si="101"/>
        <v>0.20920343869282712</v>
      </c>
    </row>
    <row r="137" spans="1:241" s="1009" customFormat="1">
      <c r="A137" s="1149"/>
      <c r="B137" s="1149"/>
      <c r="C137" s="1149"/>
      <c r="D137" s="1149" t="s">
        <v>12</v>
      </c>
      <c r="E137" s="1143"/>
      <c r="F137" s="1715">
        <v>607086</v>
      </c>
      <c r="G137" s="1716">
        <f t="shared" si="0"/>
        <v>9.0548466994464352E-2</v>
      </c>
      <c r="H137" s="1715">
        <v>1271627</v>
      </c>
      <c r="I137" s="1716">
        <f t="shared" si="1"/>
        <v>0.11547054519355435</v>
      </c>
      <c r="J137" s="1715">
        <v>479470</v>
      </c>
      <c r="K137" s="1716">
        <f t="shared" si="2"/>
        <v>6.8430587917613264E-2</v>
      </c>
      <c r="L137" s="1715">
        <v>1676245</v>
      </c>
      <c r="M137" s="1716">
        <f t="shared" si="3"/>
        <v>2.3518440462551894E-2</v>
      </c>
      <c r="N137" s="1715">
        <v>195827</v>
      </c>
      <c r="O137" s="1716">
        <f t="shared" si="4"/>
        <v>1.940109411839535E-2</v>
      </c>
      <c r="P137" s="1715">
        <v>2200524</v>
      </c>
      <c r="Q137" s="1716">
        <f t="shared" si="5"/>
        <v>5.364420581490998E-2</v>
      </c>
      <c r="R137" s="1786">
        <v>1710105</v>
      </c>
      <c r="S137" s="1716">
        <f t="shared" si="6"/>
        <v>7.9457146791921854E-2</v>
      </c>
      <c r="T137" s="1715">
        <v>1351598</v>
      </c>
      <c r="U137" s="1716">
        <f t="shared" si="7"/>
        <v>0.15750962877503336</v>
      </c>
      <c r="V137" s="1715">
        <v>386708</v>
      </c>
      <c r="W137" s="1716">
        <f t="shared" si="8"/>
        <v>4.8055124935148047E-2</v>
      </c>
      <c r="X137" s="1715">
        <v>2940717</v>
      </c>
      <c r="Y137" s="1716">
        <f t="shared" si="9"/>
        <v>8.1127088116606932E-2</v>
      </c>
      <c r="Z137" s="1786">
        <v>1035807</v>
      </c>
      <c r="AA137" s="1716">
        <f t="shared" si="10"/>
        <v>7.8128439027267529E-2</v>
      </c>
      <c r="AB137" s="1715">
        <v>438092</v>
      </c>
      <c r="AC137" s="1716">
        <f t="shared" si="11"/>
        <v>5.6865118434382932E-2</v>
      </c>
      <c r="AD137" s="1715">
        <v>727244</v>
      </c>
      <c r="AE137" s="1716">
        <f t="shared" si="12"/>
        <v>1.8616409361746657E-2</v>
      </c>
      <c r="AF137" s="1715">
        <v>1419005</v>
      </c>
      <c r="AG137" s="1716">
        <f t="shared" si="13"/>
        <v>0.10349100400871247</v>
      </c>
      <c r="AH137" s="1715">
        <v>502963</v>
      </c>
      <c r="AI137" s="1716">
        <f t="shared" si="14"/>
        <v>9.7940260224800138E-2</v>
      </c>
      <c r="AJ137" s="1715">
        <v>232613</v>
      </c>
      <c r="AK137" s="1716">
        <f t="shared" si="15"/>
        <v>2.0285291535061638E-2</v>
      </c>
      <c r="AL137" s="1715">
        <v>966862</v>
      </c>
      <c r="AM137" s="1716">
        <f t="shared" si="16"/>
        <v>7.1422830615234106E-2</v>
      </c>
      <c r="AN137" s="1715">
        <v>661383</v>
      </c>
      <c r="AO137" s="1716">
        <f t="shared" si="17"/>
        <v>6.1543831426238184E-2</v>
      </c>
      <c r="AP137" s="1715">
        <v>760237</v>
      </c>
      <c r="AQ137" s="1716">
        <f t="shared" si="18"/>
        <v>5.1811889875173635E-2</v>
      </c>
      <c r="AR137" s="1715">
        <v>796353</v>
      </c>
      <c r="AS137" s="1716">
        <f t="shared" si="19"/>
        <v>3.1545247860102592E-2</v>
      </c>
      <c r="AT137" s="1715">
        <v>1844163</v>
      </c>
      <c r="AU137" s="1716">
        <f t="shared" si="20"/>
        <v>0.17005473544901825</v>
      </c>
      <c r="AV137" s="1715">
        <v>657003</v>
      </c>
      <c r="AW137" s="1716">
        <f t="shared" si="21"/>
        <v>4.1520408483117895E-2</v>
      </c>
      <c r="AX137" s="1715">
        <v>2053454</v>
      </c>
      <c r="AY137" s="1716">
        <f t="shared" si="22"/>
        <v>0.16386249510037371</v>
      </c>
      <c r="AZ137" s="1715">
        <v>1021674</v>
      </c>
      <c r="BA137" s="1716">
        <f t="shared" si="23"/>
        <v>8.462793120817419E-2</v>
      </c>
      <c r="BB137" s="1715">
        <v>781384</v>
      </c>
      <c r="BC137" s="1716">
        <f t="shared" si="24"/>
        <v>5.1059379667456405E-2</v>
      </c>
      <c r="BD137" s="1786">
        <v>981874</v>
      </c>
      <c r="BE137" s="1716">
        <f t="shared" si="25"/>
        <v>0.10765057445858627</v>
      </c>
      <c r="BF137" s="1715">
        <v>526643</v>
      </c>
      <c r="BG137" s="1716">
        <f t="shared" si="26"/>
        <v>7.9317324269465916E-2</v>
      </c>
      <c r="BH137" s="1715">
        <v>688350</v>
      </c>
      <c r="BI137" s="1716">
        <f t="shared" si="27"/>
        <v>6.1135530192079339E-2</v>
      </c>
      <c r="BJ137" s="1715">
        <v>1426360</v>
      </c>
      <c r="BK137" s="1716">
        <f t="shared" si="28"/>
        <v>9.6119497730541806E-2</v>
      </c>
      <c r="BL137" s="1715">
        <v>1604968</v>
      </c>
      <c r="BM137" s="1716">
        <f t="shared" si="29"/>
        <v>8.3064665967287912E-2</v>
      </c>
      <c r="BN137" s="1715"/>
      <c r="BO137" s="1716">
        <f t="shared" si="30"/>
        <v>0</v>
      </c>
      <c r="BP137" s="1715">
        <v>1398606</v>
      </c>
      <c r="BQ137" s="1716">
        <f t="shared" si="31"/>
        <v>0.15498023971636943</v>
      </c>
      <c r="BR137" s="1715">
        <v>93753</v>
      </c>
      <c r="BS137" s="1716">
        <f t="shared" si="32"/>
        <v>1.3694892238889124E-2</v>
      </c>
      <c r="BT137" s="1715">
        <v>419107</v>
      </c>
      <c r="BU137" s="1716">
        <f t="shared" si="33"/>
        <v>8.5871654447251686E-2</v>
      </c>
      <c r="BV137" s="1715">
        <v>428689</v>
      </c>
      <c r="BW137" s="1716">
        <f t="shared" si="34"/>
        <v>5.8714354117314481E-2</v>
      </c>
      <c r="BX137" s="1715">
        <v>2086306</v>
      </c>
      <c r="BY137" s="1716">
        <f t="shared" si="35"/>
        <v>0.16188159206049232</v>
      </c>
      <c r="BZ137" s="1715">
        <v>1260386</v>
      </c>
      <c r="CA137" s="1716">
        <f t="shared" si="36"/>
        <v>4.717283057306456E-2</v>
      </c>
      <c r="CB137" s="1715">
        <v>412539</v>
      </c>
      <c r="CC137" s="1716">
        <f t="shared" si="37"/>
        <v>5.0736694806369567E-2</v>
      </c>
      <c r="CD137" s="1715">
        <v>681930</v>
      </c>
      <c r="CE137" s="1716">
        <f t="shared" si="38"/>
        <v>5.7176994378136357E-2</v>
      </c>
      <c r="CF137" s="1715">
        <v>751526</v>
      </c>
      <c r="CG137" s="1716">
        <v>7.6329819540814067E-2</v>
      </c>
      <c r="CH137" s="1715">
        <v>673348</v>
      </c>
      <c r="CI137" s="1716">
        <v>7.4696655907254508E-2</v>
      </c>
      <c r="CJ137" s="1715">
        <v>744918</v>
      </c>
      <c r="CK137" s="1716">
        <v>7.82562298553382E-2</v>
      </c>
      <c r="CL137" s="1715">
        <v>2845805</v>
      </c>
      <c r="CM137" s="1716">
        <v>7.530571093237319E-2</v>
      </c>
      <c r="CN137" s="1715">
        <f>3380500-CN136</f>
        <v>1143416</v>
      </c>
      <c r="CO137" s="1716">
        <f t="shared" si="39"/>
        <v>6.7458537238078223E-2</v>
      </c>
      <c r="CP137" s="1715">
        <v>573307</v>
      </c>
      <c r="CQ137" s="1716">
        <f t="shared" si="40"/>
        <v>5.3195119878234491E-2</v>
      </c>
      <c r="CR137" s="1715">
        <v>1335207</v>
      </c>
      <c r="CS137" s="1716">
        <v>6.8661787138879563E-2</v>
      </c>
      <c r="CT137" s="1715">
        <v>796301</v>
      </c>
      <c r="CU137" s="1716">
        <f t="shared" si="41"/>
        <v>6.8260056516135564E-2</v>
      </c>
      <c r="CV137" s="1715">
        <v>2698381</v>
      </c>
      <c r="CW137" s="1716">
        <f t="shared" si="42"/>
        <v>0.11456444274051421</v>
      </c>
      <c r="CX137" s="1715">
        <v>676569</v>
      </c>
      <c r="CY137" s="1716">
        <f t="shared" si="42"/>
        <v>2.4468931857231455E-2</v>
      </c>
      <c r="CZ137" s="1715">
        <v>275429</v>
      </c>
      <c r="DA137" s="1716">
        <v>3.8069475420821064E-2</v>
      </c>
      <c r="DB137" s="1715">
        <v>1019876</v>
      </c>
      <c r="DC137" s="1716">
        <v>6.4132351058400483E-2</v>
      </c>
      <c r="DD137" s="1715">
        <v>414002</v>
      </c>
      <c r="DE137" s="1716">
        <v>5.7610594063938821E-2</v>
      </c>
      <c r="DF137" s="1715">
        <v>1305425</v>
      </c>
      <c r="DG137" s="1716">
        <v>2.508998076157723E-2</v>
      </c>
      <c r="DH137" s="1715">
        <v>720169</v>
      </c>
      <c r="DI137" s="1716">
        <v>5.0234116264549739E-2</v>
      </c>
      <c r="DJ137" s="1715">
        <v>619391</v>
      </c>
      <c r="DK137" s="1716">
        <v>8.1818964786159312E-2</v>
      </c>
      <c r="DL137" s="1715">
        <v>631636</v>
      </c>
      <c r="DM137" s="1716">
        <v>5.1332705066369499E-2</v>
      </c>
      <c r="DN137" s="1715">
        <v>593443</v>
      </c>
      <c r="DO137" s="1716">
        <f t="shared" si="43"/>
        <v>6.6665700567100444E-2</v>
      </c>
      <c r="DP137" s="1715">
        <v>79466</v>
      </c>
      <c r="DQ137" s="1716">
        <f t="shared" si="44"/>
        <v>1.0732950032340937E-2</v>
      </c>
      <c r="DR137" s="1715">
        <v>260019</v>
      </c>
      <c r="DS137" s="1716">
        <f t="shared" si="45"/>
        <v>1.823238704809773E-2</v>
      </c>
      <c r="DT137" s="1715">
        <v>497752</v>
      </c>
      <c r="DU137" s="1716">
        <f t="shared" si="46"/>
        <v>1.348675613997178E-2</v>
      </c>
      <c r="DV137" s="1715">
        <v>438604</v>
      </c>
      <c r="DW137" s="1716">
        <f t="shared" si="47"/>
        <v>5.5599444264157069E-2</v>
      </c>
      <c r="DX137" s="1715">
        <v>817241</v>
      </c>
      <c r="DY137" s="1716">
        <f t="shared" si="48"/>
        <v>5.2482903774739159E-2</v>
      </c>
      <c r="DZ137" s="1715">
        <v>668756</v>
      </c>
      <c r="EA137" s="1716">
        <f t="shared" si="49"/>
        <v>2.0245594492206295E-2</v>
      </c>
      <c r="EB137" s="1715">
        <v>978723</v>
      </c>
      <c r="EC137" s="1716">
        <f t="shared" si="50"/>
        <v>4.6412815193795864E-2</v>
      </c>
      <c r="ED137" s="1715">
        <v>426055</v>
      </c>
      <c r="EE137" s="1716">
        <f t="shared" si="51"/>
        <v>5.3033821376518034E-2</v>
      </c>
      <c r="EF137" s="1715">
        <v>281931</v>
      </c>
      <c r="EG137" s="1716">
        <f t="shared" si="52"/>
        <v>2.4367935944699944E-2</v>
      </c>
      <c r="EH137" s="1715">
        <v>1592328</v>
      </c>
      <c r="EI137" s="1716">
        <f t="shared" si="53"/>
        <v>4.0333209319064395E-2</v>
      </c>
      <c r="EJ137" s="1715">
        <v>405323</v>
      </c>
      <c r="EK137" s="1716">
        <f t="shared" si="54"/>
        <v>2.540276897658722E-2</v>
      </c>
      <c r="EL137" s="1715">
        <v>1016666</v>
      </c>
      <c r="EM137" s="1716">
        <f t="shared" si="55"/>
        <v>2.4025947662376954E-2</v>
      </c>
      <c r="EN137" s="1715">
        <v>1036296</v>
      </c>
      <c r="EO137" s="1716">
        <f t="shared" si="56"/>
        <v>8.172793538334043E-2</v>
      </c>
      <c r="EP137" s="1715">
        <v>669205</v>
      </c>
      <c r="EQ137" s="1716">
        <f t="shared" si="57"/>
        <v>6.5875153538558037E-2</v>
      </c>
      <c r="ER137" s="1715">
        <v>311926</v>
      </c>
      <c r="ES137" s="1716">
        <f t="shared" si="58"/>
        <v>3.6520558751927591E-2</v>
      </c>
      <c r="ET137" s="1715">
        <v>1425514</v>
      </c>
      <c r="EU137" s="1716">
        <f t="shared" si="59"/>
        <v>8.2211488664441779E-2</v>
      </c>
      <c r="EV137" s="1715">
        <v>758896</v>
      </c>
      <c r="EW137" s="1716">
        <f t="shared" si="60"/>
        <v>6.4432748547941898E-2</v>
      </c>
      <c r="EX137" s="1715">
        <f>217905+221790+90610</f>
        <v>530305</v>
      </c>
      <c r="EY137" s="1716">
        <f t="shared" si="61"/>
        <v>6.7648519821480013E-2</v>
      </c>
      <c r="EZ137" s="1715">
        <v>320835</v>
      </c>
      <c r="FA137" s="1716">
        <f t="shared" si="62"/>
        <v>2.1840091064878279E-2</v>
      </c>
      <c r="FB137" s="1715">
        <v>445546</v>
      </c>
      <c r="FC137" s="1716">
        <f t="shared" si="63"/>
        <v>8.2119833182166119E-2</v>
      </c>
      <c r="FD137" s="1715">
        <v>840329</v>
      </c>
      <c r="FE137" s="1716">
        <f t="shared" si="64"/>
        <v>8.9483348663780604E-2</v>
      </c>
      <c r="FF137" s="1715">
        <v>1329520</v>
      </c>
      <c r="FG137" s="1716">
        <f t="shared" si="65"/>
        <v>9.7031472755767678E-2</v>
      </c>
      <c r="FH137" s="1715">
        <v>481340</v>
      </c>
      <c r="FI137" s="1716">
        <f t="shared" si="66"/>
        <v>4.8768300017345605E-2</v>
      </c>
      <c r="FJ137" s="1715">
        <v>722749</v>
      </c>
      <c r="FK137" s="1716">
        <f t="shared" si="67"/>
        <v>7.6118279386435797E-2</v>
      </c>
      <c r="FL137" s="1715">
        <v>405185</v>
      </c>
      <c r="FM137" s="1716">
        <f t="shared" si="68"/>
        <v>4.307394812012251E-2</v>
      </c>
      <c r="FN137" s="1715">
        <v>1405244</v>
      </c>
      <c r="FO137" s="1716">
        <f t="shared" si="69"/>
        <v>7.5101203345265849E-2</v>
      </c>
      <c r="FP137" s="1715">
        <v>279257</v>
      </c>
      <c r="FQ137" s="1716">
        <f t="shared" si="70"/>
        <v>5.0389355147903714E-2</v>
      </c>
      <c r="FR137" s="1715">
        <v>2589489</v>
      </c>
      <c r="FS137" s="1716">
        <f t="shared" si="71"/>
        <v>0.12783050496546736</v>
      </c>
      <c r="FT137" s="1715">
        <v>1561799</v>
      </c>
      <c r="FU137" s="1716">
        <f t="shared" si="72"/>
        <v>6.8155549409226551E-2</v>
      </c>
      <c r="FV137" s="1715">
        <v>931734</v>
      </c>
      <c r="FW137" s="1716">
        <f t="shared" si="73"/>
        <v>2.6972518909746709E-2</v>
      </c>
      <c r="FX137" s="1715">
        <v>525212</v>
      </c>
      <c r="FY137" s="1716">
        <f t="shared" si="74"/>
        <v>5.0259964011166412E-2</v>
      </c>
      <c r="FZ137" s="1715">
        <v>476629</v>
      </c>
      <c r="GA137" s="1716">
        <f t="shared" si="75"/>
        <v>6.4306086984678656E-2</v>
      </c>
      <c r="GB137" s="1715">
        <v>252797</v>
      </c>
      <c r="GC137" s="1716">
        <f t="shared" si="104"/>
        <v>4.0243399041119593E-2</v>
      </c>
      <c r="GD137" s="1715">
        <v>569531</v>
      </c>
      <c r="GE137" s="1716">
        <f t="shared" si="76"/>
        <v>2.0546738616382534E-2</v>
      </c>
      <c r="GF137" s="1715">
        <v>621222</v>
      </c>
      <c r="GG137" s="1716">
        <f t="shared" si="77"/>
        <v>5.1737918578626814E-2</v>
      </c>
      <c r="GH137" s="1715">
        <v>267174</v>
      </c>
      <c r="GI137" s="1716">
        <f t="shared" si="78"/>
        <v>2.3678885197368799E-2</v>
      </c>
      <c r="GJ137" s="1715">
        <v>3545141</v>
      </c>
      <c r="GK137" s="1716">
        <f t="shared" si="79"/>
        <v>6.724326915008344E-2</v>
      </c>
      <c r="GL137" s="1715">
        <v>702332</v>
      </c>
      <c r="GM137" s="1716">
        <f t="shared" si="80"/>
        <v>6.9696661163034732E-2</v>
      </c>
      <c r="GN137" s="1715">
        <v>306323</v>
      </c>
      <c r="GO137" s="1716">
        <f t="shared" si="81"/>
        <v>4.5510759373873645E-2</v>
      </c>
      <c r="GP137" s="1715">
        <v>562381</v>
      </c>
      <c r="GQ137" s="1716">
        <f t="shared" si="82"/>
        <v>4.7177476859269797E-2</v>
      </c>
      <c r="GR137" s="1715">
        <v>514706</v>
      </c>
      <c r="GS137" s="1716">
        <f>GR137/GR$140</f>
        <v>5.0119542527937155E-2</v>
      </c>
      <c r="GT137" s="1715">
        <v>963808</v>
      </c>
      <c r="GU137" s="1716">
        <f t="shared" si="84"/>
        <v>9.113217885699941E-2</v>
      </c>
      <c r="GV137" s="1715">
        <v>1269518</v>
      </c>
      <c r="GW137" s="1716">
        <f t="shared" si="85"/>
        <v>7.9417855045170571E-2</v>
      </c>
      <c r="GX137" s="1715">
        <v>563086</v>
      </c>
      <c r="GY137" s="1716">
        <f t="shared" si="86"/>
        <v>7.2808573600488355E-2</v>
      </c>
      <c r="GZ137" s="1715">
        <v>1292168</v>
      </c>
      <c r="HA137" s="1716">
        <f t="shared" si="87"/>
        <v>5.3866739257807002E-2</v>
      </c>
      <c r="HB137" s="1715">
        <v>119064</v>
      </c>
      <c r="HC137" s="1716">
        <f>HB137/HB$140</f>
        <v>2.8859676295769507E-2</v>
      </c>
      <c r="HD137" s="1715">
        <v>507748</v>
      </c>
      <c r="HE137" s="1716">
        <f t="shared" si="89"/>
        <v>5.3647505917361699E-2</v>
      </c>
      <c r="HF137" s="2032">
        <v>1944660</v>
      </c>
      <c r="HG137" s="2033">
        <f t="shared" si="102"/>
        <v>4.7723028271622968E-2</v>
      </c>
      <c r="HH137" s="1715">
        <v>1041086</v>
      </c>
      <c r="HI137" s="1716">
        <f t="shared" si="90"/>
        <v>7.2031607155323502E-2</v>
      </c>
      <c r="HJ137" s="1715">
        <v>2338692</v>
      </c>
      <c r="HK137" s="1716">
        <f t="shared" si="91"/>
        <v>0.13346633406212086</v>
      </c>
      <c r="HL137" s="1715">
        <v>476769</v>
      </c>
      <c r="HM137" s="1716">
        <f t="shared" si="92"/>
        <v>6.5663877698584852E-2</v>
      </c>
      <c r="HN137" s="1715">
        <v>340563</v>
      </c>
      <c r="HO137" s="1716">
        <f t="shared" si="93"/>
        <v>3.9665081327492017E-2</v>
      </c>
      <c r="HP137" s="2032">
        <v>1600466</v>
      </c>
      <c r="HQ137" s="2033">
        <f t="shared" si="103"/>
        <v>3.8428564163571384E-2</v>
      </c>
      <c r="HR137" s="1715">
        <v>562394</v>
      </c>
      <c r="HS137" s="1716">
        <f t="shared" si="94"/>
        <v>0.10712436025179065</v>
      </c>
      <c r="HT137" s="2032">
        <v>502961</v>
      </c>
      <c r="HU137" s="2033">
        <f t="shared" si="95"/>
        <v>2.2330692587078139E-2</v>
      </c>
      <c r="HV137" s="2032">
        <v>367198</v>
      </c>
      <c r="HW137" s="2033">
        <f t="shared" si="96"/>
        <v>2.6808102077515116E-2</v>
      </c>
      <c r="HX137" s="2032">
        <v>523422</v>
      </c>
      <c r="HY137" s="2033">
        <f t="shared" si="97"/>
        <v>4.3680694028180457E-2</v>
      </c>
      <c r="HZ137" s="2032">
        <v>497472</v>
      </c>
      <c r="IA137" s="2033">
        <f>HZ137/HZ$140</f>
        <v>3.2371792514999068E-2</v>
      </c>
      <c r="IB137" s="1715">
        <v>522748</v>
      </c>
      <c r="IC137" s="1716">
        <f t="shared" si="99"/>
        <v>6.7957625999315679E-2</v>
      </c>
      <c r="ID137" s="2032">
        <v>639964</v>
      </c>
      <c r="IE137" s="2033">
        <f t="shared" si="100"/>
        <v>6.04117481028228E-2</v>
      </c>
      <c r="IF137" s="2032">
        <v>894816</v>
      </c>
      <c r="IG137" s="2033">
        <f t="shared" si="101"/>
        <v>0.11271713216867764</v>
      </c>
    </row>
    <row r="138" spans="1:241" s="1009" customFormat="1">
      <c r="A138" s="1149"/>
      <c r="B138" s="1149"/>
      <c r="C138" s="1149"/>
      <c r="D138" s="1149" t="s">
        <v>13</v>
      </c>
      <c r="E138" s="1143"/>
      <c r="F138" s="1547">
        <f>6704542-6393136</f>
        <v>311406</v>
      </c>
      <c r="G138" s="1716">
        <f t="shared" si="0"/>
        <v>4.6447020542193636E-2</v>
      </c>
      <c r="H138" s="1547">
        <v>529307</v>
      </c>
      <c r="I138" s="1716">
        <f t="shared" si="1"/>
        <v>4.8063911716851461E-2</v>
      </c>
      <c r="J138" s="1547">
        <v>117585</v>
      </c>
      <c r="K138" s="1716">
        <f t="shared" si="2"/>
        <v>1.6781885582606952E-2</v>
      </c>
      <c r="L138" s="1547">
        <f>76119+572741</f>
        <v>648860</v>
      </c>
      <c r="M138" s="1716">
        <f t="shared" si="3"/>
        <v>9.1037857106398071E-3</v>
      </c>
      <c r="N138" s="1547">
        <v>709331</v>
      </c>
      <c r="O138" s="1716">
        <f t="shared" si="4"/>
        <v>7.0275281202773321E-2</v>
      </c>
      <c r="P138" s="1547">
        <v>299561</v>
      </c>
      <c r="Q138" s="1716">
        <f t="shared" si="5"/>
        <v>7.3026751528818814E-3</v>
      </c>
      <c r="R138" s="1787">
        <v>606503</v>
      </c>
      <c r="S138" s="1716">
        <f t="shared" si="6"/>
        <v>2.8180139757933563E-2</v>
      </c>
      <c r="T138" s="1547">
        <f>8581050-SUM(T132:T137)</f>
        <v>422544</v>
      </c>
      <c r="U138" s="1716">
        <f t="shared" si="7"/>
        <v>4.9241526386631006E-2</v>
      </c>
      <c r="V138" s="1547">
        <v>208720</v>
      </c>
      <c r="W138" s="1716">
        <f t="shared" si="8"/>
        <v>2.5937052443870054E-2</v>
      </c>
      <c r="X138" s="1547">
        <f>36248275-30197853</f>
        <v>6050422</v>
      </c>
      <c r="Y138" s="1716">
        <f t="shared" si="9"/>
        <v>0.16691613600923078</v>
      </c>
      <c r="Z138" s="1787">
        <v>207035</v>
      </c>
      <c r="AA138" s="1716">
        <f t="shared" si="10"/>
        <v>1.5616153756453021E-2</v>
      </c>
      <c r="AB138" s="1547">
        <v>379870</v>
      </c>
      <c r="AC138" s="1716">
        <f t="shared" si="11"/>
        <v>4.9307799593850253E-2</v>
      </c>
      <c r="AD138" s="1547">
        <v>909610</v>
      </c>
      <c r="AE138" s="1716">
        <f t="shared" si="12"/>
        <v>2.3284718910762246E-2</v>
      </c>
      <c r="AF138" s="1547">
        <v>177779</v>
      </c>
      <c r="AG138" s="1716">
        <f t="shared" si="13"/>
        <v>1.2965794483927044E-2</v>
      </c>
      <c r="AH138" s="1547">
        <v>12616</v>
      </c>
      <c r="AI138" s="1716">
        <f t="shared" si="14"/>
        <v>2.4566704171004199E-3</v>
      </c>
      <c r="AJ138" s="1547">
        <v>10238</v>
      </c>
      <c r="AK138" s="1716">
        <f t="shared" si="15"/>
        <v>8.9281688786078614E-4</v>
      </c>
      <c r="AL138" s="1547">
        <v>7133905</v>
      </c>
      <c r="AM138" s="1716">
        <f t="shared" si="16"/>
        <v>0.52698698308566438</v>
      </c>
      <c r="AN138" s="1547">
        <v>15653</v>
      </c>
      <c r="AO138" s="1716">
        <f t="shared" si="17"/>
        <v>1.4565623750760245E-3</v>
      </c>
      <c r="AP138" s="1547">
        <v>24624</v>
      </c>
      <c r="AQ138" s="1716">
        <f t="shared" si="18"/>
        <v>1.6781819041776125E-3</v>
      </c>
      <c r="AR138" s="1547">
        <v>8943522</v>
      </c>
      <c r="AS138" s="1716">
        <f t="shared" si="19"/>
        <v>0.35427206054636629</v>
      </c>
      <c r="AT138" s="1547">
        <v>190750</v>
      </c>
      <c r="AU138" s="1716">
        <f t="shared" si="20"/>
        <v>1.7589519357508111E-2</v>
      </c>
      <c r="AV138" s="1547">
        <f>303928+26195+4830</f>
        <v>334953</v>
      </c>
      <c r="AW138" s="1716">
        <f t="shared" si="21"/>
        <v>2.1167917623885715E-2</v>
      </c>
      <c r="AX138" s="1547">
        <v>150065</v>
      </c>
      <c r="AY138" s="1716">
        <f t="shared" si="22"/>
        <v>1.1974957962164032E-2</v>
      </c>
      <c r="AZ138" s="1547">
        <v>1159950</v>
      </c>
      <c r="BA138" s="1716">
        <f t="shared" si="23"/>
        <v>9.6081694165576936E-2</v>
      </c>
      <c r="BB138" s="1788">
        <f>15303437-SUM(BB129:BB137)</f>
        <v>904293</v>
      </c>
      <c r="BC138" s="1716">
        <f t="shared" si="24"/>
        <v>5.9090843449089249E-2</v>
      </c>
      <c r="BD138" s="1787">
        <v>317891</v>
      </c>
      <c r="BE138" s="1716">
        <f t="shared" si="25"/>
        <v>3.4852892290878922E-2</v>
      </c>
      <c r="BF138" s="1547">
        <v>100030</v>
      </c>
      <c r="BG138" s="1716">
        <f t="shared" si="26"/>
        <v>1.5065446510586252E-2</v>
      </c>
      <c r="BH138" s="1547">
        <v>43855</v>
      </c>
      <c r="BI138" s="1716">
        <f t="shared" si="27"/>
        <v>3.8949643009713653E-3</v>
      </c>
      <c r="BJ138" s="1547">
        <v>70027</v>
      </c>
      <c r="BK138" s="1716">
        <f t="shared" si="28"/>
        <v>4.7189770237364001E-3</v>
      </c>
      <c r="BL138" s="1715">
        <v>1248108</v>
      </c>
      <c r="BM138" s="1716">
        <f t="shared" si="29"/>
        <v>6.4595477362227649E-2</v>
      </c>
      <c r="BN138" s="1547">
        <v>41169</v>
      </c>
      <c r="BO138" s="1716">
        <f t="shared" si="30"/>
        <v>9.1971828279935365E-3</v>
      </c>
      <c r="BP138" s="1547">
        <v>192279</v>
      </c>
      <c r="BQ138" s="1716">
        <f t="shared" si="31"/>
        <v>2.1306533442887989E-2</v>
      </c>
      <c r="BR138" s="1547">
        <v>0</v>
      </c>
      <c r="BS138" s="1716">
        <f t="shared" si="32"/>
        <v>0</v>
      </c>
      <c r="BT138" s="1547">
        <f>194500+739+21556</f>
        <v>216795</v>
      </c>
      <c r="BU138" s="1716">
        <f t="shared" si="33"/>
        <v>4.4419552347949164E-2</v>
      </c>
      <c r="BV138" s="1547">
        <v>178747</v>
      </c>
      <c r="BW138" s="1716">
        <f t="shared" si="34"/>
        <v>2.4481651396251389E-2</v>
      </c>
      <c r="BX138" s="1547">
        <v>364803</v>
      </c>
      <c r="BY138" s="1716">
        <f t="shared" si="35"/>
        <v>2.8305958200016575E-2</v>
      </c>
      <c r="BZ138" s="1547">
        <v>2578413</v>
      </c>
      <c r="CA138" s="1716">
        <f t="shared" si="36"/>
        <v>9.6503007488489334E-2</v>
      </c>
      <c r="CB138" s="1547">
        <f>143940+43802</f>
        <v>187742</v>
      </c>
      <c r="CC138" s="1716">
        <f t="shared" si="37"/>
        <v>2.3089716502772913E-2</v>
      </c>
      <c r="CD138" s="1547">
        <v>389178</v>
      </c>
      <c r="CE138" s="1716">
        <f t="shared" si="38"/>
        <v>3.2630956722969146E-2</v>
      </c>
      <c r="CF138" s="1715">
        <v>85621</v>
      </c>
      <c r="CG138" s="1716">
        <v>8.69622006278431E-3</v>
      </c>
      <c r="CH138" s="1547">
        <v>227324</v>
      </c>
      <c r="CI138" s="1716">
        <v>2.5217781306933005E-2</v>
      </c>
      <c r="CJ138" s="1547">
        <v>72297</v>
      </c>
      <c r="CK138" s="1716">
        <v>7.595051602795725E-3</v>
      </c>
      <c r="CL138" s="1715">
        <v>805126</v>
      </c>
      <c r="CM138" s="1716">
        <v>2.1305249593748656E-2</v>
      </c>
      <c r="CN138" s="1547">
        <v>175485</v>
      </c>
      <c r="CO138" s="1716">
        <f t="shared" si="39"/>
        <v>1.035315353924045E-2</v>
      </c>
      <c r="CP138" s="1547">
        <v>445626</v>
      </c>
      <c r="CQ138" s="1716">
        <f t="shared" si="40"/>
        <v>4.1348053470231697E-2</v>
      </c>
      <c r="CR138" s="1547">
        <v>153703</v>
      </c>
      <c r="CS138" s="1716">
        <v>7.9040348564733444E-3</v>
      </c>
      <c r="CT138" s="1547">
        <v>176528</v>
      </c>
      <c r="CU138" s="1716">
        <f t="shared" si="41"/>
        <v>1.5132231727299574E-2</v>
      </c>
      <c r="CV138" s="1547">
        <v>232448</v>
      </c>
      <c r="CW138" s="1716">
        <f t="shared" si="42"/>
        <v>9.8689827663873443E-3</v>
      </c>
      <c r="CX138" s="1547">
        <v>799598</v>
      </c>
      <c r="CY138" s="1716">
        <f t="shared" si="42"/>
        <v>2.8918423656978897E-2</v>
      </c>
      <c r="CZ138" s="1547">
        <v>52814</v>
      </c>
      <c r="DA138" s="1716">
        <v>7.2998895355073125E-3</v>
      </c>
      <c r="DB138" s="1547">
        <v>147723</v>
      </c>
      <c r="DC138" s="1716">
        <v>9.289191328553761E-3</v>
      </c>
      <c r="DD138" s="1547">
        <v>93773</v>
      </c>
      <c r="DE138" s="1716">
        <v>1.3049014828811782E-2</v>
      </c>
      <c r="DF138" s="1547">
        <v>1423702</v>
      </c>
      <c r="DG138" s="1716">
        <v>2.7363238631264934E-2</v>
      </c>
      <c r="DH138" s="1547">
        <v>769945</v>
      </c>
      <c r="DI138" s="1716">
        <v>5.3706153204746039E-2</v>
      </c>
      <c r="DJ138" s="1547">
        <v>87016</v>
      </c>
      <c r="DK138" s="1716">
        <v>1.1494450258128451E-2</v>
      </c>
      <c r="DL138" s="1547">
        <v>333170</v>
      </c>
      <c r="DM138" s="1716">
        <v>2.7076539885254051E-2</v>
      </c>
      <c r="DN138" s="1715">
        <v>275035</v>
      </c>
      <c r="DO138" s="1716">
        <f t="shared" si="43"/>
        <v>3.0896650487869048E-2</v>
      </c>
      <c r="DP138" s="1547">
        <f>19830+2185</f>
        <v>22015</v>
      </c>
      <c r="DQ138" s="1716">
        <f t="shared" si="44"/>
        <v>2.9734212740289648E-3</v>
      </c>
      <c r="DR138" s="1547">
        <f>393+94333+21932</f>
        <v>116658</v>
      </c>
      <c r="DS138" s="1716">
        <f t="shared" si="45"/>
        <v>8.1799938014413751E-3</v>
      </c>
      <c r="DT138" s="1547">
        <v>332279</v>
      </c>
      <c r="DU138" s="1716">
        <f t="shared" si="46"/>
        <v>9.0032101195649302E-3</v>
      </c>
      <c r="DV138" s="1547">
        <v>150475</v>
      </c>
      <c r="DW138" s="1716">
        <f t="shared" si="47"/>
        <v>1.9074897574233328E-2</v>
      </c>
      <c r="DX138" s="1547">
        <v>250520</v>
      </c>
      <c r="DY138" s="1716">
        <f t="shared" si="48"/>
        <v>1.6088298376669374E-2</v>
      </c>
      <c r="DZ138" s="1547">
        <v>1324585</v>
      </c>
      <c r="EA138" s="1716">
        <f t="shared" si="49"/>
        <v>4.0099843261905799E-2</v>
      </c>
      <c r="EB138" s="1547">
        <f>248416+93764</f>
        <v>342180</v>
      </c>
      <c r="EC138" s="1716">
        <f t="shared" si="50"/>
        <v>1.6226794611971997E-2</v>
      </c>
      <c r="ED138" s="1547">
        <f>6432+25785</f>
        <v>32217</v>
      </c>
      <c r="EE138" s="1716">
        <f t="shared" si="51"/>
        <v>4.0102583546426668E-3</v>
      </c>
      <c r="EF138" s="1547">
        <v>651194</v>
      </c>
      <c r="EG138" s="1716">
        <f t="shared" si="52"/>
        <v>5.628417477883927E-2</v>
      </c>
      <c r="EH138" s="1547">
        <v>849738</v>
      </c>
      <c r="EI138" s="1716">
        <f t="shared" si="53"/>
        <v>2.1523618639101457E-2</v>
      </c>
      <c r="EJ138" s="1547">
        <v>535711</v>
      </c>
      <c r="EK138" s="1716">
        <f t="shared" si="54"/>
        <v>3.3574563425259649E-2</v>
      </c>
      <c r="EL138" s="1547">
        <v>45087</v>
      </c>
      <c r="EM138" s="1716">
        <f t="shared" si="55"/>
        <v>1.065500274675842E-3</v>
      </c>
      <c r="EN138" s="1547">
        <v>3445724</v>
      </c>
      <c r="EO138" s="1716">
        <f t="shared" si="56"/>
        <v>0.27174852399394123</v>
      </c>
      <c r="EP138" s="1547">
        <v>100324</v>
      </c>
      <c r="EQ138" s="1716">
        <f t="shared" si="57"/>
        <v>9.8756866783755292E-3</v>
      </c>
      <c r="ER138" s="1547">
        <f>9533150-ER137-ER136-ER133-ER131-ER129-163600-828443</f>
        <v>657461</v>
      </c>
      <c r="ES138" s="1716">
        <f t="shared" si="58"/>
        <v>7.6976087525890968E-2</v>
      </c>
      <c r="ET138" s="1547">
        <v>90895</v>
      </c>
      <c r="EU138" s="1716">
        <f t="shared" si="59"/>
        <v>5.2420483153125365E-3</v>
      </c>
      <c r="EV138" s="1715">
        <v>196179</v>
      </c>
      <c r="EW138" s="1716">
        <f t="shared" si="60"/>
        <v>1.665623771555878E-2</v>
      </c>
      <c r="EX138" s="1547">
        <f>7839122-EX137-EX136-EX133-EX132-EX131-EX129</f>
        <v>124321</v>
      </c>
      <c r="EY138" s="1716">
        <f t="shared" si="61"/>
        <v>1.5859046459539727E-2</v>
      </c>
      <c r="EZ138" s="1547">
        <v>81827</v>
      </c>
      <c r="FA138" s="1716">
        <f t="shared" si="62"/>
        <v>5.5701813441980923E-3</v>
      </c>
      <c r="FB138" s="1715">
        <v>228849</v>
      </c>
      <c r="FC138" s="1716">
        <f t="shared" si="63"/>
        <v>4.2179801196521871E-2</v>
      </c>
      <c r="FD138" s="1547">
        <v>28425</v>
      </c>
      <c r="FE138" s="1716">
        <f t="shared" si="64"/>
        <v>3.026867079165379E-3</v>
      </c>
      <c r="FF138" s="1547">
        <v>337198</v>
      </c>
      <c r="FG138" s="1716">
        <f t="shared" si="65"/>
        <v>2.4609497074357174E-2</v>
      </c>
      <c r="FH138" s="1547">
        <v>34700</v>
      </c>
      <c r="FI138" s="1716">
        <f t="shared" si="66"/>
        <v>3.5157269510156905E-3</v>
      </c>
      <c r="FJ138" s="1547">
        <v>37452</v>
      </c>
      <c r="FK138" s="1716">
        <f t="shared" si="67"/>
        <v>3.9443593828297147E-3</v>
      </c>
      <c r="FL138" s="1547">
        <v>85556</v>
      </c>
      <c r="FM138" s="1716">
        <f t="shared" si="68"/>
        <v>9.0951903583923431E-3</v>
      </c>
      <c r="FN138" s="1547">
        <f>395085+33600</f>
        <v>428685</v>
      </c>
      <c r="FO138" s="1716">
        <f t="shared" si="69"/>
        <v>2.2910440717815048E-2</v>
      </c>
      <c r="FP138" s="1547">
        <v>124210</v>
      </c>
      <c r="FQ138" s="1716">
        <f t="shared" si="70"/>
        <v>2.2412551173009523E-2</v>
      </c>
      <c r="FR138" s="1547">
        <v>168676</v>
      </c>
      <c r="FS138" s="1716">
        <f t="shared" si="71"/>
        <v>8.326715524010788E-3</v>
      </c>
      <c r="FT138" s="1547">
        <v>30416</v>
      </c>
      <c r="FU138" s="1716">
        <f t="shared" si="72"/>
        <v>1.327327774464598E-3</v>
      </c>
      <c r="FV138" s="1547">
        <v>161036</v>
      </c>
      <c r="FW138" s="1716">
        <f t="shared" si="73"/>
        <v>4.661788187562084E-3</v>
      </c>
      <c r="FX138" s="1547">
        <v>139639</v>
      </c>
      <c r="FY138" s="1716">
        <f t="shared" si="74"/>
        <v>1.3362701374978612E-2</v>
      </c>
      <c r="FZ138" s="1547">
        <v>55778</v>
      </c>
      <c r="GA138" s="1716">
        <f t="shared" si="75"/>
        <v>7.5254861114858844E-3</v>
      </c>
      <c r="GB138" s="1547">
        <v>927281</v>
      </c>
      <c r="GC138" s="1716">
        <f t="shared" si="104"/>
        <v>0.14761622687867507</v>
      </c>
      <c r="GD138" s="1547">
        <f>81581+36621+3718+1893579+68715</f>
        <v>2084214</v>
      </c>
      <c r="GE138" s="1716">
        <f t="shared" si="76"/>
        <v>7.5191342136960243E-2</v>
      </c>
      <c r="GF138" s="1547">
        <f>45375+458750+54621+1430+64</f>
        <v>560240</v>
      </c>
      <c r="GG138" s="1716">
        <f t="shared" si="77"/>
        <v>4.6659087257840015E-2</v>
      </c>
      <c r="GH138" s="1547">
        <v>3420082</v>
      </c>
      <c r="GI138" s="1716">
        <f t="shared" si="78"/>
        <v>0.30311231273846811</v>
      </c>
      <c r="GJ138" s="1547">
        <v>1914683</v>
      </c>
      <c r="GK138" s="1716">
        <f t="shared" si="79"/>
        <v>3.6317185777967421E-2</v>
      </c>
      <c r="GL138" s="1547">
        <f>67700+1218+95215+23430</f>
        <v>187563</v>
      </c>
      <c r="GM138" s="1716">
        <f t="shared" si="80"/>
        <v>1.8613013301006193E-2</v>
      </c>
      <c r="GN138" s="1547">
        <v>208343</v>
      </c>
      <c r="GO138" s="1716">
        <f t="shared" si="81"/>
        <v>3.0953758419155455E-2</v>
      </c>
      <c r="GP138" s="1547">
        <f>18952+560520+254249+46966+166822+77435</f>
        <v>1124944</v>
      </c>
      <c r="GQ138" s="1716">
        <f t="shared" si="82"/>
        <v>9.4370221483254954E-2</v>
      </c>
      <c r="GR138" s="1547">
        <v>482397</v>
      </c>
      <c r="GS138" s="1716">
        <f>GR138/GR$140</f>
        <v>4.6973450779375606E-2</v>
      </c>
      <c r="GT138" s="1547">
        <v>133800</v>
      </c>
      <c r="GU138" s="1716">
        <f t="shared" si="84"/>
        <v>1.2651363685574846E-2</v>
      </c>
      <c r="GV138" s="1547">
        <v>326701</v>
      </c>
      <c r="GW138" s="1716">
        <f t="shared" si="85"/>
        <v>2.0437593370958324E-2</v>
      </c>
      <c r="GX138" s="1547">
        <v>318317</v>
      </c>
      <c r="GY138" s="1716">
        <f t="shared" si="86"/>
        <v>4.1159266475789935E-2</v>
      </c>
      <c r="GZ138" s="1547">
        <v>824027</v>
      </c>
      <c r="HA138" s="1716">
        <f t="shared" si="87"/>
        <v>3.4351297625690259E-2</v>
      </c>
      <c r="HB138" s="1715">
        <v>59137</v>
      </c>
      <c r="HC138" s="1716">
        <f>HB138/HB$140</f>
        <v>1.433409491620407E-2</v>
      </c>
      <c r="HD138" s="1547">
        <f>742595+84371</f>
        <v>826966</v>
      </c>
      <c r="HE138" s="1716">
        <f t="shared" si="89"/>
        <v>8.7375358206151346E-2</v>
      </c>
      <c r="HF138" s="1547">
        <v>669035</v>
      </c>
      <c r="HG138" s="2033">
        <f t="shared" si="102"/>
        <v>1.6418487663501728E-2</v>
      </c>
      <c r="HH138" s="1547">
        <v>903541</v>
      </c>
      <c r="HI138" s="1716">
        <f t="shared" si="90"/>
        <v>6.251501831811028E-2</v>
      </c>
      <c r="HJ138" s="1547">
        <v>1551344</v>
      </c>
      <c r="HK138" s="1716">
        <f t="shared" si="91"/>
        <v>8.8533332541979384E-2</v>
      </c>
      <c r="HL138" s="1547">
        <f>7260750-SUM(HL129:HL137)</f>
        <v>25075</v>
      </c>
      <c r="HM138" s="1716">
        <f t="shared" si="92"/>
        <v>3.4534999827841475E-3</v>
      </c>
      <c r="HN138" s="1547">
        <v>139960</v>
      </c>
      <c r="HO138" s="1716">
        <f t="shared" si="93"/>
        <v>1.6301021492633617E-2</v>
      </c>
      <c r="HP138" s="1547">
        <f>77862+714370</f>
        <v>792232</v>
      </c>
      <c r="HQ138" s="2033">
        <f t="shared" si="103"/>
        <v>1.902217119541089E-2</v>
      </c>
      <c r="HR138" s="1547">
        <f>57535+100798</f>
        <v>158333</v>
      </c>
      <c r="HS138" s="1716">
        <f t="shared" si="94"/>
        <v>3.0159143468363403E-2</v>
      </c>
      <c r="HT138" s="1547">
        <v>281543</v>
      </c>
      <c r="HU138" s="2033">
        <f t="shared" si="95"/>
        <v>1.2500074922397046E-2</v>
      </c>
      <c r="HV138" s="1547">
        <f>710447+43898</f>
        <v>754345</v>
      </c>
      <c r="HW138" s="2033">
        <f t="shared" si="96"/>
        <v>5.5072625018826732E-2</v>
      </c>
      <c r="HX138" s="1547">
        <f>11982914-SUM(HX129:HX137)</f>
        <v>689420</v>
      </c>
      <c r="HY138" s="2033">
        <f t="shared" si="97"/>
        <v>5.7533584902637207E-2</v>
      </c>
      <c r="HZ138" s="1547">
        <v>735452</v>
      </c>
      <c r="IA138" s="2033">
        <f>HZ138/HZ$140</f>
        <v>4.7857767972350397E-2</v>
      </c>
      <c r="IB138" s="1547">
        <v>44869</v>
      </c>
      <c r="IC138" s="1716">
        <f t="shared" si="99"/>
        <v>5.8330031314577863E-3</v>
      </c>
      <c r="ID138" s="1547">
        <v>143861</v>
      </c>
      <c r="IE138" s="2033">
        <f t="shared" si="100"/>
        <v>1.3580286537711796E-2</v>
      </c>
      <c r="IF138" s="1547">
        <v>148725</v>
      </c>
      <c r="IG138" s="2033">
        <f t="shared" si="101"/>
        <v>1.873441632892861E-2</v>
      </c>
    </row>
    <row r="139" spans="1:241" s="1009" customFormat="1">
      <c r="A139" s="1149"/>
      <c r="B139" s="1149"/>
      <c r="C139" s="1149"/>
      <c r="D139" s="1149"/>
      <c r="E139" s="1143"/>
      <c r="F139" s="1717"/>
      <c r="G139" s="1718"/>
      <c r="H139" s="1717"/>
      <c r="I139" s="1718"/>
      <c r="J139" s="1717"/>
      <c r="K139" s="1718"/>
      <c r="L139" s="1717"/>
      <c r="M139" s="1718"/>
      <c r="N139" s="1717"/>
      <c r="O139" s="1718"/>
      <c r="P139" s="1717"/>
      <c r="Q139" s="1718"/>
      <c r="R139" s="1717"/>
      <c r="S139" s="1718"/>
      <c r="T139" s="1717"/>
      <c r="U139" s="1718"/>
      <c r="V139" s="1717"/>
      <c r="W139" s="1718"/>
      <c r="X139" s="1717"/>
      <c r="Y139" s="1718"/>
      <c r="Z139" s="1717"/>
      <c r="AA139" s="1718"/>
      <c r="AB139" s="1717"/>
      <c r="AC139" s="1718"/>
      <c r="AD139" s="1717"/>
      <c r="AE139" s="1718"/>
      <c r="AF139" s="1717"/>
      <c r="AG139" s="1718"/>
      <c r="AH139" s="1717"/>
      <c r="AI139" s="1718"/>
      <c r="AJ139" s="1717"/>
      <c r="AK139" s="1718"/>
      <c r="AL139" s="1717"/>
      <c r="AM139" s="1718"/>
      <c r="AN139" s="1717"/>
      <c r="AO139" s="1718"/>
      <c r="AP139" s="1717"/>
      <c r="AQ139" s="1718"/>
      <c r="AR139" s="1717"/>
      <c r="AS139" s="1718"/>
      <c r="AT139" s="1717"/>
      <c r="AU139" s="1718"/>
      <c r="AV139" s="1717"/>
      <c r="AW139" s="1718"/>
      <c r="AX139" s="1717"/>
      <c r="AY139" s="1718"/>
      <c r="AZ139" s="1717"/>
      <c r="BA139" s="1718"/>
      <c r="BB139" s="1717"/>
      <c r="BC139" s="1718"/>
      <c r="BD139" s="1717"/>
      <c r="BE139" s="1718"/>
      <c r="BF139" s="1717"/>
      <c r="BG139" s="1718"/>
      <c r="BH139" s="1717"/>
      <c r="BI139" s="1718"/>
      <c r="BJ139" s="1717"/>
      <c r="BK139" s="1718"/>
      <c r="BL139" s="1717"/>
      <c r="BM139" s="1718"/>
      <c r="BN139" s="1717"/>
      <c r="BO139" s="1718"/>
      <c r="BP139" s="1717"/>
      <c r="BQ139" s="1718"/>
      <c r="BR139" s="1717"/>
      <c r="BS139" s="1718"/>
      <c r="BT139" s="1717"/>
      <c r="BU139" s="1718"/>
      <c r="BV139" s="1717"/>
      <c r="BW139" s="1718"/>
      <c r="BX139" s="1717"/>
      <c r="BY139" s="1718"/>
      <c r="BZ139" s="1717"/>
      <c r="CA139" s="1718"/>
      <c r="CB139" s="1717"/>
      <c r="CC139" s="1718"/>
      <c r="CD139" s="1717"/>
      <c r="CE139" s="1718"/>
      <c r="CF139" s="1717"/>
      <c r="CG139" s="1718"/>
      <c r="CH139" s="1717"/>
      <c r="CI139" s="1718"/>
      <c r="CJ139" s="1717"/>
      <c r="CK139" s="1718"/>
      <c r="CL139" s="1717"/>
      <c r="CM139" s="1718"/>
      <c r="CN139" s="1717"/>
      <c r="CO139" s="1718"/>
      <c r="CP139" s="1717"/>
      <c r="CQ139" s="1718"/>
      <c r="CR139" s="1717"/>
      <c r="CS139" s="1718"/>
      <c r="CT139" s="1717"/>
      <c r="CU139" s="1718"/>
      <c r="CV139" s="1717"/>
      <c r="CW139" s="1718"/>
      <c r="CX139" s="1717"/>
      <c r="CY139" s="1718"/>
      <c r="CZ139" s="1717"/>
      <c r="DA139" s="1718"/>
      <c r="DB139" s="1717"/>
      <c r="DC139" s="1718"/>
      <c r="DD139" s="1717"/>
      <c r="DE139" s="1718"/>
      <c r="DF139" s="1717"/>
      <c r="DG139" s="1718"/>
      <c r="DH139" s="1717"/>
      <c r="DI139" s="1718"/>
      <c r="DJ139" s="1717"/>
      <c r="DK139" s="1718"/>
      <c r="DL139" s="1717"/>
      <c r="DM139" s="1718"/>
      <c r="DN139" s="1717"/>
      <c r="DO139" s="1718"/>
      <c r="DP139" s="1717"/>
      <c r="DQ139" s="1718"/>
      <c r="DR139" s="1717"/>
      <c r="DS139" s="1718"/>
      <c r="DT139" s="1717"/>
      <c r="DU139" s="1718"/>
      <c r="DV139" s="1717"/>
      <c r="DW139" s="1718"/>
      <c r="DX139" s="1717"/>
      <c r="DY139" s="1718"/>
      <c r="DZ139" s="1717"/>
      <c r="EA139" s="1718"/>
      <c r="EB139" s="1717"/>
      <c r="EC139" s="1718"/>
      <c r="ED139" s="1717"/>
      <c r="EE139" s="1718"/>
      <c r="EF139" s="1717"/>
      <c r="EG139" s="1718"/>
      <c r="EH139" s="1717"/>
      <c r="EI139" s="1718"/>
      <c r="EJ139" s="1717"/>
      <c r="EK139" s="1718"/>
      <c r="EL139" s="1717"/>
      <c r="EM139" s="1718"/>
      <c r="EN139" s="1717"/>
      <c r="EO139" s="1718"/>
      <c r="EP139" s="1717"/>
      <c r="EQ139" s="1718"/>
      <c r="ER139" s="1717"/>
      <c r="ES139" s="1718"/>
      <c r="ET139" s="1717"/>
      <c r="EU139" s="1718"/>
      <c r="EV139" s="1717"/>
      <c r="EW139" s="1718"/>
      <c r="EX139" s="1717"/>
      <c r="EY139" s="1718"/>
      <c r="EZ139" s="1717"/>
      <c r="FA139" s="1718"/>
      <c r="FB139" s="1717"/>
      <c r="FC139" s="1718"/>
      <c r="FD139" s="1717"/>
      <c r="FE139" s="1718"/>
      <c r="FF139" s="1717"/>
      <c r="FG139" s="1718"/>
      <c r="FH139" s="1717"/>
      <c r="FI139" s="1718"/>
      <c r="FJ139" s="1717"/>
      <c r="FK139" s="1718"/>
      <c r="FL139" s="1717"/>
      <c r="FM139" s="1718"/>
      <c r="FN139" s="1717"/>
      <c r="FO139" s="1718"/>
      <c r="FP139" s="1717"/>
      <c r="FQ139" s="1718"/>
      <c r="FR139" s="1717"/>
      <c r="FS139" s="1718"/>
      <c r="FT139" s="1717"/>
      <c r="FU139" s="1718"/>
      <c r="FV139" s="1717"/>
      <c r="FW139" s="1718"/>
      <c r="FX139" s="1717"/>
      <c r="FY139" s="1718"/>
      <c r="FZ139" s="1717"/>
      <c r="GA139" s="1718"/>
      <c r="GB139" s="1717"/>
      <c r="GC139" s="1718"/>
      <c r="GD139" s="1717"/>
      <c r="GE139" s="1718"/>
      <c r="GF139" s="1717"/>
      <c r="GG139" s="1718"/>
      <c r="GH139" s="1717"/>
      <c r="GI139" s="1718"/>
      <c r="GJ139" s="1717"/>
      <c r="GK139" s="1718"/>
      <c r="GL139" s="1717"/>
      <c r="GM139" s="1718"/>
      <c r="GN139" s="1717"/>
      <c r="GO139" s="1718"/>
      <c r="GP139" s="1717"/>
      <c r="GQ139" s="1718"/>
      <c r="GR139" s="1717"/>
      <c r="GS139" s="1718"/>
      <c r="GT139" s="1717"/>
      <c r="GU139" s="1718"/>
      <c r="GV139" s="1717"/>
      <c r="GW139" s="1718"/>
      <c r="GX139" s="1717"/>
      <c r="GY139" s="1718"/>
      <c r="GZ139" s="1717"/>
      <c r="HA139" s="1718"/>
      <c r="HB139" s="1717"/>
      <c r="HC139" s="1718"/>
      <c r="HD139" s="1717"/>
      <c r="HE139" s="1718"/>
      <c r="HF139" s="2034"/>
      <c r="HG139" s="2035"/>
      <c r="HH139" s="1717"/>
      <c r="HI139" s="1718"/>
      <c r="HJ139" s="1717"/>
      <c r="HK139" s="1718"/>
      <c r="HL139" s="1717"/>
      <c r="HM139" s="1718"/>
      <c r="HN139" s="1717"/>
      <c r="HO139" s="1718"/>
      <c r="HP139" s="2034"/>
      <c r="HQ139" s="2035"/>
      <c r="HR139" s="1717"/>
      <c r="HS139" s="1718"/>
      <c r="HT139" s="2034"/>
      <c r="HU139" s="2035"/>
      <c r="HV139" s="2034"/>
      <c r="HW139" s="2035"/>
      <c r="HX139" s="2034"/>
      <c r="HY139" s="2035"/>
      <c r="HZ139" s="2034"/>
      <c r="IA139" s="2035"/>
      <c r="IB139" s="1717"/>
      <c r="IC139" s="1718"/>
      <c r="ID139" s="2034"/>
      <c r="IE139" s="2035"/>
      <c r="IF139" s="2034"/>
      <c r="IG139" s="2035"/>
    </row>
    <row r="140" spans="1:241" s="1009" customFormat="1" ht="16.2" thickBot="1">
      <c r="A140" s="1149"/>
      <c r="B140" s="1149"/>
      <c r="C140" s="1149"/>
      <c r="D140" s="1157" t="s">
        <v>14</v>
      </c>
      <c r="E140" s="1143"/>
      <c r="F140" s="1719">
        <f>SUM(F129:F139)</f>
        <v>6704542</v>
      </c>
      <c r="G140" s="1716">
        <f>F140/F$140</f>
        <v>1</v>
      </c>
      <c r="H140" s="1719">
        <f>SUM(H129:H139)</f>
        <v>11012566</v>
      </c>
      <c r="I140" s="1716">
        <f>H140/H$140</f>
        <v>1</v>
      </c>
      <c r="J140" s="1719">
        <f>SUM(J129:J139)</f>
        <v>7006662</v>
      </c>
      <c r="K140" s="1716">
        <f>J140/J$140</f>
        <v>1</v>
      </c>
      <c r="L140" s="1719">
        <f>SUM(L129:L139)</f>
        <v>71273646</v>
      </c>
      <c r="M140" s="1716">
        <f>L140/L$140</f>
        <v>1</v>
      </c>
      <c r="N140" s="1719">
        <f>SUM(N129:N139)</f>
        <v>10093606</v>
      </c>
      <c r="O140" s="1716">
        <f>N140/N$140</f>
        <v>1</v>
      </c>
      <c r="P140" s="1719">
        <f>SUM(P129:P139)</f>
        <v>41020721</v>
      </c>
      <c r="Q140" s="1716">
        <f>P140/P$140</f>
        <v>1</v>
      </c>
      <c r="R140" s="1719">
        <f>SUM(R129:R139)</f>
        <v>21522356</v>
      </c>
      <c r="S140" s="1716">
        <f>R140/R$140</f>
        <v>1</v>
      </c>
      <c r="T140" s="1719">
        <f>SUM(T129:T139)</f>
        <v>8581050</v>
      </c>
      <c r="U140" s="1716">
        <f>T140/T$140</f>
        <v>1</v>
      </c>
      <c r="V140" s="1719">
        <f>SUM(V129:V139)</f>
        <v>8047175</v>
      </c>
      <c r="W140" s="1716">
        <f>V140/V$140</f>
        <v>1</v>
      </c>
      <c r="X140" s="1719">
        <f>SUM(X129:X139)</f>
        <v>36248275</v>
      </c>
      <c r="Y140" s="1716">
        <f>X140/X$140</f>
        <v>1</v>
      </c>
      <c r="Z140" s="1719">
        <f>SUM(Z129:Z139)</f>
        <v>13257746</v>
      </c>
      <c r="AA140" s="1716">
        <f>Z140/Z$140</f>
        <v>1</v>
      </c>
      <c r="AB140" s="1719">
        <f>SUM(AB129:AB139)</f>
        <v>7704055</v>
      </c>
      <c r="AC140" s="1716">
        <f>AB140/AB$140</f>
        <v>1</v>
      </c>
      <c r="AD140" s="1719">
        <f>SUM(AD129:AD139)</f>
        <v>39064676</v>
      </c>
      <c r="AE140" s="1716">
        <f>AD140/AD$140</f>
        <v>1</v>
      </c>
      <c r="AF140" s="1719">
        <f>SUM(AF129:AF139)</f>
        <v>13711385</v>
      </c>
      <c r="AG140" s="1716">
        <f>AF140/AF$140</f>
        <v>1</v>
      </c>
      <c r="AH140" s="1719">
        <f>SUM(AH129:AH139)</f>
        <v>5135406</v>
      </c>
      <c r="AI140" s="1716">
        <f>AH140/AH$140</f>
        <v>1</v>
      </c>
      <c r="AJ140" s="1719">
        <f>SUM(AJ129:AJ139)</f>
        <v>11467077</v>
      </c>
      <c r="AK140" s="1716">
        <f>AJ140/AJ$140</f>
        <v>1</v>
      </c>
      <c r="AL140" s="1719">
        <f>SUM(AL129:AL139)</f>
        <v>13537156</v>
      </c>
      <c r="AM140" s="1716">
        <f>AL140/AL$140</f>
        <v>1</v>
      </c>
      <c r="AN140" s="1719">
        <f>SUM(AN129:AN139)</f>
        <v>10746536</v>
      </c>
      <c r="AO140" s="1716">
        <f>AN140/AN$140</f>
        <v>1</v>
      </c>
      <c r="AP140" s="1719">
        <f>SUM(AP129:AP139)</f>
        <v>14673022</v>
      </c>
      <c r="AQ140" s="1716">
        <f>AP140/AP$140</f>
        <v>1</v>
      </c>
      <c r="AR140" s="1719">
        <f>SUM(AR129:AR139)</f>
        <v>25244785</v>
      </c>
      <c r="AS140" s="1716">
        <f>AR140/AR$140</f>
        <v>1</v>
      </c>
      <c r="AT140" s="1719">
        <f>SUM(AT129:AT139)</f>
        <v>10844526</v>
      </c>
      <c r="AU140" s="1716">
        <f>AT140/AT$140</f>
        <v>1</v>
      </c>
      <c r="AV140" s="1719">
        <f>SUM(AV129:AV139)</f>
        <v>15823616</v>
      </c>
      <c r="AW140" s="1716">
        <f>AV140/AV$140</f>
        <v>1</v>
      </c>
      <c r="AX140" s="1719">
        <f>SUM(AX129:AX139)</f>
        <v>12531568</v>
      </c>
      <c r="AY140" s="1716">
        <f>AX140/AX$140</f>
        <v>1</v>
      </c>
      <c r="AZ140" s="1719">
        <f>SUM(AZ129:AZ139)</f>
        <v>12072539</v>
      </c>
      <c r="BA140" s="1716">
        <f>AZ140/AZ$140</f>
        <v>1</v>
      </c>
      <c r="BB140" s="1719">
        <f>SUM(BB129:BB139)</f>
        <v>15303437</v>
      </c>
      <c r="BC140" s="1716">
        <f>BB140/BB$140</f>
        <v>1</v>
      </c>
      <c r="BD140" s="1719">
        <f>SUM(BD129:BD139)</f>
        <v>9120936</v>
      </c>
      <c r="BE140" s="1716">
        <f>BD140/BD$140</f>
        <v>1</v>
      </c>
      <c r="BF140" s="1719">
        <f>SUM(BF129:BF139)</f>
        <v>6639697</v>
      </c>
      <c r="BG140" s="1716">
        <f>BF140/BF$140</f>
        <v>1</v>
      </c>
      <c r="BH140" s="1719">
        <f>SUM(BH129:BH139)</f>
        <v>11259410</v>
      </c>
      <c r="BI140" s="1716">
        <f>BH140/BH$140</f>
        <v>1</v>
      </c>
      <c r="BJ140" s="1719">
        <f>SUM(BJ129:BJ139)</f>
        <v>14839445</v>
      </c>
      <c r="BK140" s="1716">
        <f>BJ140/BJ$140</f>
        <v>1</v>
      </c>
      <c r="BL140" s="1719">
        <f>SUM(BL129:BL139)</f>
        <v>19321910</v>
      </c>
      <c r="BM140" s="1716">
        <f>BL140/BL$140</f>
        <v>1</v>
      </c>
      <c r="BN140" s="1719">
        <f>SUM(BN129:BN139)</f>
        <v>4476262</v>
      </c>
      <c r="BO140" s="1716">
        <f>BN140/BN$140</f>
        <v>1</v>
      </c>
      <c r="BP140" s="1719">
        <f>SUM(BP129:BP139)</f>
        <v>9024415</v>
      </c>
      <c r="BQ140" s="1716">
        <f>BP140/BP$140</f>
        <v>1</v>
      </c>
      <c r="BR140" s="1719">
        <f>SUM(BR129:BR139)</f>
        <v>6845837</v>
      </c>
      <c r="BS140" s="1716">
        <f>BR140/BR$140</f>
        <v>1</v>
      </c>
      <c r="BT140" s="1719">
        <f>SUM(BT129:BT139)</f>
        <v>4880621</v>
      </c>
      <c r="BU140" s="1716">
        <f>BT140/BT$140</f>
        <v>1</v>
      </c>
      <c r="BV140" s="1719">
        <f>SUM(BV129:BV139)</f>
        <v>7301264</v>
      </c>
      <c r="BW140" s="1716">
        <f>BV140/BV$140</f>
        <v>1</v>
      </c>
      <c r="BX140" s="1719">
        <f>SUM(BX129:BX139)</f>
        <v>12887852</v>
      </c>
      <c r="BY140" s="1716">
        <f>BX140/BX$140</f>
        <v>1</v>
      </c>
      <c r="BZ140" s="1719">
        <f>SUM(BZ129:BZ139)</f>
        <v>26718473</v>
      </c>
      <c r="CA140" s="1716">
        <f>BZ140/BZ$140</f>
        <v>1</v>
      </c>
      <c r="CB140" s="1719">
        <f>SUM(CB129:CB139)</f>
        <v>8130979</v>
      </c>
      <c r="CC140" s="1716">
        <f>CB140/CB$140</f>
        <v>1</v>
      </c>
      <c r="CD140" s="1719">
        <f>SUM(CD129:CD139)</f>
        <v>11926650</v>
      </c>
      <c r="CE140" s="1716">
        <f>CD140/CD$140</f>
        <v>1</v>
      </c>
      <c r="CF140" s="1719">
        <v>9845772</v>
      </c>
      <c r="CG140" s="1716">
        <v>1</v>
      </c>
      <c r="CH140" s="1719">
        <v>9014433</v>
      </c>
      <c r="CI140" s="1716">
        <v>1</v>
      </c>
      <c r="CJ140" s="1719">
        <v>9518961</v>
      </c>
      <c r="CK140" s="1716">
        <v>1</v>
      </c>
      <c r="CL140" s="1719">
        <v>37790029</v>
      </c>
      <c r="CM140" s="1716">
        <v>1</v>
      </c>
      <c r="CN140" s="1719">
        <f>SUM(CN129:CN139)</f>
        <v>16949908</v>
      </c>
      <c r="CO140" s="1716">
        <f>CN140/CN$140</f>
        <v>1</v>
      </c>
      <c r="CP140" s="1719">
        <f>SUM(CP129:CP139)</f>
        <v>10777436</v>
      </c>
      <c r="CQ140" s="1716">
        <f>CP140/CP$140</f>
        <v>1</v>
      </c>
      <c r="CR140" s="1719">
        <v>19446144</v>
      </c>
      <c r="CS140" s="1716">
        <v>1</v>
      </c>
      <c r="CT140" s="1719">
        <f>SUM(CT129:CT139)</f>
        <v>11665695</v>
      </c>
      <c r="CU140" s="1716">
        <f>CT140/CT$140</f>
        <v>1</v>
      </c>
      <c r="CV140" s="1719">
        <f>SUM(CV129:CV139)</f>
        <v>23553390</v>
      </c>
      <c r="CW140" s="1716">
        <f>CV140/CV$140</f>
        <v>1</v>
      </c>
      <c r="CX140" s="1719">
        <f>SUM(CX129:CX139)</f>
        <v>27650124</v>
      </c>
      <c r="CY140" s="1716">
        <f>CX140/CX$140</f>
        <v>1</v>
      </c>
      <c r="CZ140" s="1719">
        <v>7234904</v>
      </c>
      <c r="DA140" s="1716">
        <v>1</v>
      </c>
      <c r="DB140" s="1719">
        <v>15902676</v>
      </c>
      <c r="DC140" s="1716">
        <v>1</v>
      </c>
      <c r="DD140" s="1719">
        <v>7186213</v>
      </c>
      <c r="DE140" s="1716">
        <v>1</v>
      </c>
      <c r="DF140" s="1719">
        <v>52029733</v>
      </c>
      <c r="DG140" s="1716">
        <v>1</v>
      </c>
      <c r="DH140" s="1719">
        <v>14336253</v>
      </c>
      <c r="DI140" s="1716">
        <v>1</v>
      </c>
      <c r="DJ140" s="1719">
        <v>7570262</v>
      </c>
      <c r="DK140" s="1716">
        <v>1</v>
      </c>
      <c r="DL140" s="1719">
        <v>12304748</v>
      </c>
      <c r="DM140" s="1716">
        <v>1</v>
      </c>
      <c r="DN140" s="1719">
        <f>SUM(DN129:DN139)</f>
        <v>8901774</v>
      </c>
      <c r="DO140" s="1716">
        <f>DN140/DN$140</f>
        <v>1</v>
      </c>
      <c r="DP140" s="1719">
        <f>SUM(DP129:DP139)</f>
        <v>7403929</v>
      </c>
      <c r="DQ140" s="1716">
        <f>DP140/DP$140</f>
        <v>1</v>
      </c>
      <c r="DR140" s="1719">
        <f>SUM(DR129:DR139)</f>
        <v>14261380</v>
      </c>
      <c r="DS140" s="1716">
        <f>DR140/DR$140</f>
        <v>1</v>
      </c>
      <c r="DT140" s="1719">
        <f>SUM(DT129:DT139)</f>
        <v>36906725</v>
      </c>
      <c r="DU140" s="1716">
        <f>DT140/DT$140</f>
        <v>1</v>
      </c>
      <c r="DV140" s="1719">
        <f>SUM(DV129:DV139)</f>
        <v>7888640</v>
      </c>
      <c r="DW140" s="1716">
        <f>DV140/DV$140</f>
        <v>1</v>
      </c>
      <c r="DX140" s="1719">
        <f>SUM(DX129:DX139)</f>
        <v>15571566</v>
      </c>
      <c r="DY140" s="1716">
        <f>DX140/DX$140</f>
        <v>1</v>
      </c>
      <c r="DZ140" s="1719">
        <f>SUM(DZ129:DZ139)</f>
        <v>33032174</v>
      </c>
      <c r="EA140" s="1716">
        <f>DZ140/DZ$140</f>
        <v>1</v>
      </c>
      <c r="EB140" s="1719">
        <f>SUM(EB129:EB139)</f>
        <v>21087344</v>
      </c>
      <c r="EC140" s="1716">
        <f>EB140/EB$140</f>
        <v>1</v>
      </c>
      <c r="ED140" s="1719">
        <f>SUM(ED129:ED139)</f>
        <v>8033647</v>
      </c>
      <c r="EE140" s="1716">
        <f>ED140/ED$140</f>
        <v>1</v>
      </c>
      <c r="EF140" s="1719">
        <f>SUM(EF129:EF139)</f>
        <v>11569753</v>
      </c>
      <c r="EG140" s="1716">
        <f>EF140/EF$140</f>
        <v>1</v>
      </c>
      <c r="EH140" s="1719">
        <f>SUM(EH129:EH139)</f>
        <v>39479328</v>
      </c>
      <c r="EI140" s="1716">
        <f>EH140/EH$140</f>
        <v>1</v>
      </c>
      <c r="EJ140" s="1719">
        <f>SUM(EJ129:EJ139)</f>
        <v>15955859</v>
      </c>
      <c r="EK140" s="1716">
        <f>EJ140/EJ$140</f>
        <v>1</v>
      </c>
      <c r="EL140" s="1719">
        <f>SUM(EL129:EL139)</f>
        <v>42315334</v>
      </c>
      <c r="EM140" s="1716">
        <f>EL140/EL$140</f>
        <v>1</v>
      </c>
      <c r="EN140" s="1719">
        <f>SUM(EN129:EN139)</f>
        <v>12679826</v>
      </c>
      <c r="EO140" s="1716">
        <f>EN140/EN$140</f>
        <v>1</v>
      </c>
      <c r="EP140" s="1719">
        <f>SUM(EP129:EP139)</f>
        <v>10158686</v>
      </c>
      <c r="EQ140" s="1716">
        <f>EP140/EP$140</f>
        <v>1</v>
      </c>
      <c r="ER140" s="1719">
        <f>SUM(ER129:ER139)</f>
        <v>8541107</v>
      </c>
      <c r="ES140" s="1716">
        <f>ER140/ER$140</f>
        <v>1</v>
      </c>
      <c r="ET140" s="1719">
        <f>SUM(ET129:ET139)</f>
        <v>17339596</v>
      </c>
      <c r="EU140" s="1716">
        <f>ET140/ET$140</f>
        <v>1</v>
      </c>
      <c r="EV140" s="1719">
        <f>SUM(EV129:EV139)</f>
        <v>11778110</v>
      </c>
      <c r="EW140" s="1716">
        <f>EV140/EV$140</f>
        <v>1</v>
      </c>
      <c r="EX140" s="1719">
        <f>SUM(EX129:EX139)</f>
        <v>7839122</v>
      </c>
      <c r="EY140" s="1716">
        <f>EX140/EX$140</f>
        <v>1</v>
      </c>
      <c r="EZ140" s="1719">
        <f>SUM(EZ129:EZ139)</f>
        <v>14690186</v>
      </c>
      <c r="FA140" s="1716">
        <f>EZ140/EZ$140</f>
        <v>1</v>
      </c>
      <c r="FB140" s="1719">
        <f>SUM(FB129:FB139)</f>
        <v>5425559</v>
      </c>
      <c r="FC140" s="1716">
        <f>FB140/FB$140</f>
        <v>1</v>
      </c>
      <c r="FD140" s="1719">
        <f>SUM(FD129:FD139)</f>
        <v>9390898</v>
      </c>
      <c r="FE140" s="1716">
        <f>FD140/FD$140</f>
        <v>1</v>
      </c>
      <c r="FF140" s="1719">
        <f>SUM(FF129:FF139)</f>
        <v>13701946</v>
      </c>
      <c r="FG140" s="1716">
        <f>FF140/FF$140</f>
        <v>1</v>
      </c>
      <c r="FH140" s="1719">
        <f>SUM(FH129:FH139)</f>
        <v>9869936</v>
      </c>
      <c r="FI140" s="1716">
        <f>FH140/FH$140</f>
        <v>1</v>
      </c>
      <c r="FJ140" s="1719">
        <f>SUM(FJ129:FJ139)</f>
        <v>9495078</v>
      </c>
      <c r="FK140" s="1716">
        <f>FJ140/FJ$140</f>
        <v>1</v>
      </c>
      <c r="FL140" s="1719">
        <f>SUM(FL129:FL139)</f>
        <v>9406730</v>
      </c>
      <c r="FM140" s="1716">
        <f>FL140/FL$140</f>
        <v>1</v>
      </c>
      <c r="FN140" s="1719">
        <f>SUM(FN129:FN139)</f>
        <v>18711338</v>
      </c>
      <c r="FO140" s="1716">
        <f>FN140/FN$140</f>
        <v>1</v>
      </c>
      <c r="FP140" s="1719">
        <f>SUM(FP129:FP139)</f>
        <v>5541984</v>
      </c>
      <c r="FQ140" s="1716">
        <f>FP140/FP$140</f>
        <v>1</v>
      </c>
      <c r="FR140" s="1719">
        <f>SUM(FR129:FR139)</f>
        <v>20257207</v>
      </c>
      <c r="FS140" s="1716">
        <f>FR140/FR$140</f>
        <v>1</v>
      </c>
      <c r="FT140" s="1719">
        <f>SUM(FT129:FT139)</f>
        <v>22915214</v>
      </c>
      <c r="FU140" s="1716">
        <f>FT140/FT$140</f>
        <v>1</v>
      </c>
      <c r="FV140" s="1719">
        <f>SUM(FV129:FV139)</f>
        <v>34543826</v>
      </c>
      <c r="FW140" s="1716">
        <f>FV140/FV$140</f>
        <v>1</v>
      </c>
      <c r="FX140" s="1719">
        <f>SUM(FX129:FX139)</f>
        <v>10449908</v>
      </c>
      <c r="FY140" s="1716">
        <f>FX140/FX$140</f>
        <v>1</v>
      </c>
      <c r="FZ140" s="1719">
        <f>SUM(FZ129:FZ139)</f>
        <v>7411880</v>
      </c>
      <c r="GA140" s="1716">
        <f>FZ140/FZ$140</f>
        <v>1</v>
      </c>
      <c r="GB140" s="1719">
        <f>SUM(GB129:GB139)</f>
        <v>6281701</v>
      </c>
      <c r="GC140" s="1716">
        <f>GB140/GB$140</f>
        <v>1</v>
      </c>
      <c r="GD140" s="1719">
        <f>SUM(GD129:GD139)</f>
        <v>27718803</v>
      </c>
      <c r="GE140" s="1716">
        <f>GD140/GD$140</f>
        <v>1</v>
      </c>
      <c r="GF140" s="1719">
        <f>SUM(GF129:GF139)</f>
        <v>12007093</v>
      </c>
      <c r="GG140" s="1716">
        <f>GF140/GF$140</f>
        <v>1</v>
      </c>
      <c r="GH140" s="1719">
        <f>SUM(GH129:GH139)</f>
        <v>11283217</v>
      </c>
      <c r="GI140" s="1716">
        <f>GH140/GH$140</f>
        <v>1</v>
      </c>
      <c r="GJ140" s="1719">
        <f>SUM(GJ129:GJ139)</f>
        <v>52721128</v>
      </c>
      <c r="GK140" s="1716">
        <f>GJ140/GJ$140</f>
        <v>1</v>
      </c>
      <c r="GL140" s="1719">
        <f>SUM(GL129:GL139)</f>
        <v>10076982</v>
      </c>
      <c r="GM140" s="1716">
        <f>GL140/GL$140</f>
        <v>1</v>
      </c>
      <c r="GN140" s="1719">
        <f>SUM(GN129:GN139)</f>
        <v>6730782</v>
      </c>
      <c r="GO140" s="1716">
        <f>GN140/GN$140</f>
        <v>1</v>
      </c>
      <c r="GP140" s="1719">
        <f>SUM(GP129:GP139)</f>
        <v>11920540</v>
      </c>
      <c r="GQ140" s="1716">
        <f>GP140/GP$140</f>
        <v>1</v>
      </c>
      <c r="GR140" s="1719">
        <f>SUM(GR129:GR139)</f>
        <v>10269567</v>
      </c>
      <c r="GS140" s="1716">
        <f>GR140/GR$140</f>
        <v>1</v>
      </c>
      <c r="GT140" s="1719">
        <f>SUM(GT129:GT139)</f>
        <v>10575935</v>
      </c>
      <c r="GU140" s="1716">
        <f>GT140/GT$140</f>
        <v>1</v>
      </c>
      <c r="GV140" s="1719">
        <f>SUM(GV129:GV139)</f>
        <v>15985297</v>
      </c>
      <c r="GW140" s="1716">
        <f>GV140/GV$140</f>
        <v>1</v>
      </c>
      <c r="GX140" s="1719">
        <f>SUM(GX129:GX139)</f>
        <v>7733787</v>
      </c>
      <c r="GY140" s="1716">
        <f>GX140/GX$140</f>
        <v>1</v>
      </c>
      <c r="GZ140" s="1719">
        <f>SUM(GZ129:GZ139)</f>
        <v>23988235</v>
      </c>
      <c r="HA140" s="1716">
        <f>GZ140/GZ$140</f>
        <v>1</v>
      </c>
      <c r="HB140" s="1719">
        <f>SUM(HB129:HB139)</f>
        <v>4125618</v>
      </c>
      <c r="HC140" s="1716">
        <f>HB140/HB$140</f>
        <v>1</v>
      </c>
      <c r="HD140" s="1719">
        <f>SUM(HD129:HD139)</f>
        <v>9464522</v>
      </c>
      <c r="HE140" s="1716">
        <f>HD140/HD$140</f>
        <v>1</v>
      </c>
      <c r="HF140" s="2036">
        <f>SUM(HF129:HF139)</f>
        <v>40748881</v>
      </c>
      <c r="HG140" s="2033">
        <f>HF140/HF$140</f>
        <v>1</v>
      </c>
      <c r="HH140" s="1719">
        <f>SUM(HH129:HH139)</f>
        <v>14453183</v>
      </c>
      <c r="HI140" s="1716">
        <f>HH140/HH$140</f>
        <v>1</v>
      </c>
      <c r="HJ140" s="1719">
        <f>SUM(HJ129:HJ139)</f>
        <v>17522711</v>
      </c>
      <c r="HK140" s="1716">
        <f>HJ140/HJ$140</f>
        <v>1</v>
      </c>
      <c r="HL140" s="1719">
        <f>SUM(HL129:HL139)</f>
        <v>7260750</v>
      </c>
      <c r="HM140" s="1716">
        <f>HL140/HL$140</f>
        <v>1</v>
      </c>
      <c r="HN140" s="1719">
        <f>SUM(HN129:HN139)</f>
        <v>8585965</v>
      </c>
      <c r="HO140" s="1716">
        <f>HN140/HN$140</f>
        <v>1</v>
      </c>
      <c r="HP140" s="2036">
        <f>SUM(HP129:HP139)</f>
        <v>41647822</v>
      </c>
      <c r="HQ140" s="2033">
        <f>HP140/HP$140</f>
        <v>1</v>
      </c>
      <c r="HR140" s="1719">
        <f>SUM(HR129:HR139)</f>
        <v>5249917</v>
      </c>
      <c r="HS140" s="1716">
        <f>HR140/HR$140</f>
        <v>1</v>
      </c>
      <c r="HT140" s="2036">
        <f>SUM(HT129:HT139)</f>
        <v>22523305</v>
      </c>
      <c r="HU140" s="2033">
        <f>HT140/HT$140</f>
        <v>1</v>
      </c>
      <c r="HV140" s="2036">
        <f>SUM(HV129:HV139)</f>
        <v>13697277</v>
      </c>
      <c r="HW140" s="2033">
        <f>HV140/HV$140</f>
        <v>1</v>
      </c>
      <c r="HX140" s="2036">
        <f>SUM(HX129:HX139)</f>
        <v>11982914</v>
      </c>
      <c r="HY140" s="2033">
        <f>HX140/HX$140</f>
        <v>1</v>
      </c>
      <c r="HZ140" s="2036">
        <f>SUM(HZ129:HZ139)</f>
        <v>15367453</v>
      </c>
      <c r="IA140" s="2033">
        <f>HZ140/HZ$140</f>
        <v>1</v>
      </c>
      <c r="IB140" s="1719">
        <f>SUM(IB129:IB139)</f>
        <v>7692264</v>
      </c>
      <c r="IC140" s="1716">
        <f>IB140/IB$140</f>
        <v>1</v>
      </c>
      <c r="ID140" s="2036">
        <f>SUM(ID129:ID139)</f>
        <v>10593370</v>
      </c>
      <c r="IE140" s="2033">
        <f>ID140/ID$140</f>
        <v>1</v>
      </c>
      <c r="IF140" s="2036">
        <f>SUM(IF129:IF139)</f>
        <v>7938598</v>
      </c>
      <c r="IG140" s="2033">
        <f>IF140/IF$140</f>
        <v>1</v>
      </c>
    </row>
    <row r="141" spans="1:241" s="1009" customFormat="1" ht="16.2" thickTop="1">
      <c r="A141" s="1149"/>
      <c r="B141" s="1149"/>
      <c r="C141" s="1149"/>
      <c r="D141" s="1158"/>
      <c r="E141" s="1143"/>
      <c r="F141" s="1717"/>
      <c r="G141" s="1356"/>
      <c r="H141" s="1717"/>
      <c r="I141" s="1356"/>
      <c r="J141" s="1717"/>
      <c r="K141" s="1356"/>
      <c r="L141" s="1717"/>
      <c r="M141" s="1356"/>
      <c r="N141" s="1717"/>
      <c r="O141" s="1356"/>
      <c r="P141" s="1717"/>
      <c r="Q141" s="1356"/>
      <c r="R141" s="1717"/>
      <c r="S141" s="1356"/>
      <c r="T141" s="1717"/>
      <c r="U141" s="1356"/>
      <c r="V141" s="1717"/>
      <c r="W141" s="1356"/>
      <c r="X141" s="1717"/>
      <c r="Y141" s="1356"/>
      <c r="Z141" s="1717"/>
      <c r="AA141" s="1356"/>
      <c r="AB141" s="1717"/>
      <c r="AC141" s="1356"/>
      <c r="AD141" s="1717"/>
      <c r="AE141" s="1356"/>
      <c r="AF141" s="1717"/>
      <c r="AG141" s="1356"/>
      <c r="AH141" s="1717"/>
      <c r="AI141" s="1356"/>
      <c r="AJ141" s="1717"/>
      <c r="AK141" s="1356"/>
      <c r="AL141" s="1717"/>
      <c r="AM141" s="1356"/>
      <c r="AN141" s="1717"/>
      <c r="AO141" s="1356"/>
      <c r="AP141" s="1717"/>
      <c r="AQ141" s="1356"/>
      <c r="AR141" s="1717"/>
      <c r="AS141" s="1356"/>
      <c r="AT141" s="1717"/>
      <c r="AU141" s="1356"/>
      <c r="AV141" s="1717"/>
      <c r="AW141" s="1356"/>
      <c r="AX141" s="1717"/>
      <c r="AY141" s="1356"/>
      <c r="AZ141" s="1717"/>
      <c r="BA141" s="1356"/>
      <c r="BB141" s="1717"/>
      <c r="BC141" s="1356"/>
      <c r="BD141" s="1717"/>
      <c r="BE141" s="1356"/>
      <c r="BF141" s="1717"/>
      <c r="BG141" s="1356"/>
      <c r="BH141" s="1717"/>
      <c r="BI141" s="1356"/>
      <c r="BJ141" s="1717"/>
      <c r="BK141" s="1356"/>
      <c r="BL141" s="1717"/>
      <c r="BM141" s="1356"/>
      <c r="BN141" s="1717"/>
      <c r="BO141" s="1356"/>
      <c r="BP141" s="1717"/>
      <c r="BQ141" s="1356"/>
      <c r="BR141" s="1717"/>
      <c r="BS141" s="1356"/>
      <c r="BT141" s="1717"/>
      <c r="BU141" s="1356"/>
      <c r="BV141" s="1717"/>
      <c r="BW141" s="1356"/>
      <c r="BX141" s="1717"/>
      <c r="BY141" s="1356"/>
      <c r="BZ141" s="1717"/>
      <c r="CA141" s="1356"/>
      <c r="CB141" s="1717"/>
      <c r="CC141" s="1356"/>
      <c r="CD141" s="1717"/>
      <c r="CE141" s="1356"/>
      <c r="CF141" s="1717"/>
      <c r="CG141" s="1356"/>
      <c r="CH141" s="1717"/>
      <c r="CI141" s="1356"/>
      <c r="CJ141" s="1717"/>
      <c r="CK141" s="1356"/>
      <c r="CL141" s="1717"/>
      <c r="CM141" s="1356"/>
      <c r="CN141" s="1717"/>
      <c r="CO141" s="1356"/>
      <c r="CP141" s="1717"/>
      <c r="CQ141" s="1356"/>
      <c r="CR141" s="1717"/>
      <c r="CS141" s="1356"/>
      <c r="CT141" s="1717"/>
      <c r="CU141" s="1356"/>
      <c r="CV141" s="1717"/>
      <c r="CW141" s="1356"/>
      <c r="CX141" s="1717"/>
      <c r="CY141" s="1356"/>
      <c r="CZ141" s="1717"/>
      <c r="DA141" s="1356"/>
      <c r="DB141" s="1717"/>
      <c r="DC141" s="1356"/>
      <c r="DD141" s="1717"/>
      <c r="DE141" s="1356"/>
      <c r="DF141" s="1717"/>
      <c r="DG141" s="1356"/>
      <c r="DH141" s="1717"/>
      <c r="DI141" s="1356"/>
      <c r="DJ141" s="1717"/>
      <c r="DK141" s="1356"/>
      <c r="DL141" s="1717"/>
      <c r="DM141" s="1356"/>
      <c r="DN141" s="1717"/>
      <c r="DO141" s="1356"/>
      <c r="DP141" s="1717"/>
      <c r="DQ141" s="1356"/>
      <c r="DR141" s="1717"/>
      <c r="DS141" s="1356"/>
      <c r="DT141" s="1717"/>
      <c r="DU141" s="1356"/>
      <c r="DV141" s="1717"/>
      <c r="DW141" s="1356"/>
      <c r="DX141" s="1717"/>
      <c r="DY141" s="1356"/>
      <c r="DZ141" s="1717"/>
      <c r="EA141" s="1356"/>
      <c r="EB141" s="1717"/>
      <c r="EC141" s="1356"/>
      <c r="ED141" s="1717"/>
      <c r="EE141" s="1356"/>
      <c r="EF141" s="1717"/>
      <c r="EG141" s="1356"/>
      <c r="EH141" s="1717"/>
      <c r="EI141" s="1356"/>
      <c r="EJ141" s="1717"/>
      <c r="EK141" s="1356"/>
      <c r="EL141" s="1717"/>
      <c r="EM141" s="1356"/>
      <c r="EN141" s="1717"/>
      <c r="EO141" s="1356"/>
      <c r="EP141" s="1717"/>
      <c r="EQ141" s="1356"/>
      <c r="ER141" s="1717"/>
      <c r="ES141" s="1356"/>
      <c r="ET141" s="1717"/>
      <c r="EU141" s="1356"/>
      <c r="EV141" s="1717"/>
      <c r="EW141" s="1356"/>
      <c r="EX141" s="1717"/>
      <c r="EY141" s="1356"/>
      <c r="EZ141" s="1717"/>
      <c r="FA141" s="1356"/>
      <c r="FB141" s="1717"/>
      <c r="FC141" s="1356"/>
      <c r="FD141" s="1717"/>
      <c r="FE141" s="1356"/>
      <c r="FF141" s="1717"/>
      <c r="FG141" s="1356"/>
      <c r="FH141" s="1717"/>
      <c r="FI141" s="1356"/>
      <c r="FJ141" s="1717"/>
      <c r="FK141" s="1356"/>
      <c r="FL141" s="1717"/>
      <c r="FM141" s="1356"/>
      <c r="FN141" s="1717"/>
      <c r="FO141" s="1356"/>
      <c r="FP141" s="1717"/>
      <c r="FQ141" s="1356"/>
      <c r="FR141" s="1717"/>
      <c r="FS141" s="1356"/>
      <c r="FT141" s="1717"/>
      <c r="FU141" s="1356"/>
      <c r="FV141" s="1717"/>
      <c r="FW141" s="1356"/>
      <c r="FX141" s="1717"/>
      <c r="FY141" s="1356"/>
      <c r="FZ141" s="1717"/>
      <c r="GA141" s="1356"/>
      <c r="GB141" s="1717"/>
      <c r="GC141" s="1356"/>
      <c r="GD141" s="1717"/>
      <c r="GE141" s="1356"/>
      <c r="GF141" s="1717"/>
      <c r="GG141" s="1356"/>
      <c r="GH141" s="1717"/>
      <c r="GI141" s="1356"/>
      <c r="GJ141" s="1717"/>
      <c r="GK141" s="1356"/>
      <c r="GL141" s="1717"/>
      <c r="GM141" s="1356"/>
      <c r="GN141" s="1717"/>
      <c r="GO141" s="1356"/>
      <c r="GP141" s="1717"/>
      <c r="GQ141" s="1356"/>
      <c r="GR141" s="1717"/>
      <c r="GS141" s="1356"/>
      <c r="GT141" s="1717"/>
      <c r="GU141" s="1356"/>
      <c r="GV141" s="1717"/>
      <c r="GW141" s="1356"/>
      <c r="GX141" s="1717"/>
      <c r="GY141" s="1356"/>
      <c r="GZ141" s="1717"/>
      <c r="HA141" s="1356"/>
      <c r="HB141" s="1717"/>
      <c r="HC141" s="1356"/>
      <c r="HD141" s="1717"/>
      <c r="HE141" s="1356"/>
      <c r="HF141" s="2034"/>
      <c r="HG141" s="1535"/>
      <c r="HH141" s="1717"/>
      <c r="HI141" s="1356"/>
      <c r="HJ141" s="1717"/>
      <c r="HK141" s="1356"/>
      <c r="HL141" s="1717"/>
      <c r="HM141" s="1356"/>
      <c r="HN141" s="1717"/>
      <c r="HO141" s="1356"/>
      <c r="HP141" s="2034"/>
      <c r="HQ141" s="1535"/>
      <c r="HR141" s="1717"/>
      <c r="HS141" s="1356"/>
      <c r="HT141" s="2034"/>
      <c r="HU141" s="1535"/>
      <c r="HV141" s="2034"/>
      <c r="HW141" s="1535"/>
      <c r="HX141" s="2034"/>
      <c r="HY141" s="1535"/>
      <c r="HZ141" s="2034"/>
      <c r="IA141" s="1535"/>
      <c r="IB141" s="1717"/>
      <c r="IC141" s="1356"/>
      <c r="ID141" s="2034"/>
      <c r="IE141" s="1535"/>
      <c r="IF141" s="2034"/>
      <c r="IG141" s="1535"/>
    </row>
    <row r="142" spans="1:241" s="1009" customFormat="1">
      <c r="A142" s="1149"/>
      <c r="B142" s="1149" t="s">
        <v>15</v>
      </c>
      <c r="C142" s="1149"/>
      <c r="D142" s="1149"/>
      <c r="E142" s="1143"/>
      <c r="F142" s="1717"/>
      <c r="G142" s="1356"/>
      <c r="H142" s="1717"/>
      <c r="I142" s="1356"/>
      <c r="J142" s="1717"/>
      <c r="K142" s="1356"/>
      <c r="L142" s="1717"/>
      <c r="M142" s="1356"/>
      <c r="N142" s="1717"/>
      <c r="O142" s="1356"/>
      <c r="P142" s="1717"/>
      <c r="Q142" s="1356"/>
      <c r="R142" s="1717"/>
      <c r="S142" s="1356"/>
      <c r="T142" s="1717"/>
      <c r="U142" s="1356"/>
      <c r="V142" s="1717"/>
      <c r="W142" s="1356"/>
      <c r="X142" s="1717"/>
      <c r="Y142" s="1356"/>
      <c r="Z142" s="1717"/>
      <c r="AA142" s="1356"/>
      <c r="AB142" s="1717"/>
      <c r="AC142" s="1356"/>
      <c r="AD142" s="1717"/>
      <c r="AE142" s="1356"/>
      <c r="AF142" s="1717"/>
      <c r="AG142" s="1356"/>
      <c r="AH142" s="1717"/>
      <c r="AI142" s="1356"/>
      <c r="AJ142" s="1717"/>
      <c r="AK142" s="1356"/>
      <c r="AL142" s="1717"/>
      <c r="AM142" s="1356"/>
      <c r="AN142" s="1717"/>
      <c r="AO142" s="1356"/>
      <c r="AP142" s="1717"/>
      <c r="AQ142" s="1356"/>
      <c r="AR142" s="1717"/>
      <c r="AS142" s="1356"/>
      <c r="AT142" s="1717"/>
      <c r="AU142" s="1356"/>
      <c r="AV142" s="1717"/>
      <c r="AW142" s="1356"/>
      <c r="AX142" s="1717"/>
      <c r="AY142" s="1356"/>
      <c r="AZ142" s="1717"/>
      <c r="BA142" s="1356"/>
      <c r="BB142" s="1717"/>
      <c r="BC142" s="1356"/>
      <c r="BD142" s="1717"/>
      <c r="BE142" s="1356"/>
      <c r="BF142" s="1717"/>
      <c r="BG142" s="1356"/>
      <c r="BH142" s="1717"/>
      <c r="BI142" s="1356"/>
      <c r="BJ142" s="1717"/>
      <c r="BK142" s="1356"/>
      <c r="BL142" s="1717"/>
      <c r="BM142" s="1356"/>
      <c r="BN142" s="1717"/>
      <c r="BO142" s="1356"/>
      <c r="BP142" s="1717"/>
      <c r="BQ142" s="1356"/>
      <c r="BR142" s="1717"/>
      <c r="BS142" s="1356"/>
      <c r="BT142" s="1717"/>
      <c r="BU142" s="1356"/>
      <c r="BV142" s="1717"/>
      <c r="BW142" s="1356"/>
      <c r="BX142" s="1717"/>
      <c r="BY142" s="1356"/>
      <c r="BZ142" s="1717"/>
      <c r="CA142" s="1356"/>
      <c r="CB142" s="1717"/>
      <c r="CC142" s="1356"/>
      <c r="CD142" s="1717"/>
      <c r="CE142" s="1356"/>
      <c r="CF142" s="1717"/>
      <c r="CG142" s="1356"/>
      <c r="CH142" s="1717"/>
      <c r="CI142" s="1356"/>
      <c r="CJ142" s="1717"/>
      <c r="CK142" s="1356"/>
      <c r="CL142" s="1717"/>
      <c r="CM142" s="1356"/>
      <c r="CN142" s="1717"/>
      <c r="CO142" s="1356"/>
      <c r="CP142" s="1717"/>
      <c r="CQ142" s="1356"/>
      <c r="CR142" s="1717"/>
      <c r="CS142" s="1356"/>
      <c r="CT142" s="1717"/>
      <c r="CU142" s="1356"/>
      <c r="CV142" s="1717"/>
      <c r="CW142" s="1356"/>
      <c r="CX142" s="1717"/>
      <c r="CY142" s="1356"/>
      <c r="CZ142" s="1717"/>
      <c r="DA142" s="1356"/>
      <c r="DB142" s="1717"/>
      <c r="DC142" s="1356"/>
      <c r="DD142" s="1717"/>
      <c r="DE142" s="1356"/>
      <c r="DF142" s="1717"/>
      <c r="DG142" s="1356"/>
      <c r="DH142" s="1717"/>
      <c r="DI142" s="1356"/>
      <c r="DJ142" s="1717"/>
      <c r="DK142" s="1356"/>
      <c r="DL142" s="1717"/>
      <c r="DM142" s="1356"/>
      <c r="DN142" s="1717"/>
      <c r="DO142" s="1356"/>
      <c r="DP142" s="1717"/>
      <c r="DQ142" s="1356"/>
      <c r="DR142" s="1717"/>
      <c r="DS142" s="1356"/>
      <c r="DT142" s="1717"/>
      <c r="DU142" s="1356"/>
      <c r="DV142" s="1717"/>
      <c r="DW142" s="1356"/>
      <c r="DX142" s="1717"/>
      <c r="DY142" s="1356"/>
      <c r="DZ142" s="1717"/>
      <c r="EA142" s="1356"/>
      <c r="EB142" s="1717"/>
      <c r="EC142" s="1356"/>
      <c r="ED142" s="1717"/>
      <c r="EE142" s="1356"/>
      <c r="EF142" s="1717"/>
      <c r="EG142" s="1356"/>
      <c r="EH142" s="1717"/>
      <c r="EI142" s="1356"/>
      <c r="EJ142" s="1717"/>
      <c r="EK142" s="1356"/>
      <c r="EL142" s="1717"/>
      <c r="EM142" s="1356"/>
      <c r="EN142" s="1717"/>
      <c r="EO142" s="1356"/>
      <c r="EP142" s="1717"/>
      <c r="EQ142" s="1356"/>
      <c r="ER142" s="1717"/>
      <c r="ES142" s="1356"/>
      <c r="ET142" s="1717"/>
      <c r="EU142" s="1356"/>
      <c r="EV142" s="1717"/>
      <c r="EW142" s="1356"/>
      <c r="EX142" s="1717"/>
      <c r="EY142" s="1356"/>
      <c r="EZ142" s="1717"/>
      <c r="FA142" s="1356"/>
      <c r="FB142" s="1717"/>
      <c r="FC142" s="1356"/>
      <c r="FD142" s="1717"/>
      <c r="FE142" s="1356"/>
      <c r="FF142" s="1717"/>
      <c r="FG142" s="1356"/>
      <c r="FH142" s="1717"/>
      <c r="FI142" s="1356"/>
      <c r="FJ142" s="1717"/>
      <c r="FK142" s="1356"/>
      <c r="FL142" s="1717"/>
      <c r="FM142" s="1356"/>
      <c r="FN142" s="1717"/>
      <c r="FO142" s="1356"/>
      <c r="FP142" s="1717"/>
      <c r="FQ142" s="1356"/>
      <c r="FR142" s="1717"/>
      <c r="FS142" s="1356"/>
      <c r="FT142" s="1717"/>
      <c r="FU142" s="1356"/>
      <c r="FV142" s="1717"/>
      <c r="FW142" s="1356"/>
      <c r="FX142" s="1717"/>
      <c r="FY142" s="1356"/>
      <c r="FZ142" s="1717"/>
      <c r="GA142" s="1356"/>
      <c r="GB142" s="1717"/>
      <c r="GC142" s="1356"/>
      <c r="GD142" s="1717"/>
      <c r="GE142" s="1356"/>
      <c r="GF142" s="1717"/>
      <c r="GG142" s="1356"/>
      <c r="GH142" s="1717"/>
      <c r="GI142" s="1356"/>
      <c r="GJ142" s="1717"/>
      <c r="GK142" s="1356"/>
      <c r="GL142" s="1717"/>
      <c r="GM142" s="1356"/>
      <c r="GN142" s="1717"/>
      <c r="GO142" s="1356"/>
      <c r="GP142" s="1717"/>
      <c r="GQ142" s="1356"/>
      <c r="GR142" s="1717"/>
      <c r="GS142" s="1356"/>
      <c r="GT142" s="1717"/>
      <c r="GU142" s="1356"/>
      <c r="GV142" s="1717"/>
      <c r="GW142" s="1356"/>
      <c r="GX142" s="1717"/>
      <c r="GY142" s="1356"/>
      <c r="GZ142" s="1717"/>
      <c r="HA142" s="1356"/>
      <c r="HB142" s="1717"/>
      <c r="HC142" s="1356"/>
      <c r="HD142" s="1717"/>
      <c r="HE142" s="1356"/>
      <c r="HF142" s="2034"/>
      <c r="HG142" s="1535"/>
      <c r="HH142" s="1717"/>
      <c r="HI142" s="1356"/>
      <c r="HJ142" s="1717"/>
      <c r="HK142" s="1356"/>
      <c r="HL142" s="1717"/>
      <c r="HM142" s="1356"/>
      <c r="HN142" s="1717"/>
      <c r="HO142" s="1356"/>
      <c r="HP142" s="2034"/>
      <c r="HQ142" s="1535"/>
      <c r="HR142" s="1717"/>
      <c r="HS142" s="1356"/>
      <c r="HT142" s="2034"/>
      <c r="HU142" s="1535"/>
      <c r="HV142" s="2034"/>
      <c r="HW142" s="1535"/>
      <c r="HX142" s="2034"/>
      <c r="HY142" s="1535"/>
      <c r="HZ142" s="2034"/>
      <c r="IA142" s="1535"/>
      <c r="IB142" s="1717"/>
      <c r="IC142" s="1356"/>
      <c r="ID142" s="2034"/>
      <c r="IE142" s="1535"/>
      <c r="IF142" s="2034"/>
      <c r="IG142" s="1535"/>
    </row>
    <row r="143" spans="1:241" s="1009" customFormat="1">
      <c r="A143" s="1149"/>
      <c r="B143" s="1149"/>
      <c r="C143" s="1149"/>
      <c r="D143" s="1149" t="s">
        <v>16</v>
      </c>
      <c r="E143" s="1143"/>
      <c r="F143" s="1715">
        <v>3012842</v>
      </c>
      <c r="G143" s="1716">
        <f t="shared" ref="G143:G146" si="105">F143/F$150</f>
        <v>0.43668762674280187</v>
      </c>
      <c r="H143" s="1715">
        <v>5331968</v>
      </c>
      <c r="I143" s="1716">
        <f t="shared" ref="I143:I146" si="106">H143/H$150</f>
        <v>0.47376669977662994</v>
      </c>
      <c r="J143" s="1715">
        <v>3525392</v>
      </c>
      <c r="K143" s="1716">
        <f t="shared" ref="K143:K146" si="107">J143/J$150</f>
        <v>0.5184265056630144</v>
      </c>
      <c r="L143" s="1715">
        <v>34293066</v>
      </c>
      <c r="M143" s="1716">
        <f t="shared" ref="M143:M145" si="108">L143/L$150</f>
        <v>0.50508770345857668</v>
      </c>
      <c r="N143" s="1715">
        <v>5992270</v>
      </c>
      <c r="O143" s="1716">
        <f t="shared" ref="O143:O146" si="109">N143/N$150</f>
        <v>0.57732641125234785</v>
      </c>
      <c r="P143" s="1715">
        <v>20930140</v>
      </c>
      <c r="Q143" s="1716">
        <f t="shared" ref="Q143:Q146" si="110">P143/P$150</f>
        <v>0.55119737413750236</v>
      </c>
      <c r="R143" s="1786">
        <v>11585070</v>
      </c>
      <c r="S143" s="1716">
        <f t="shared" ref="S143:S146" si="111">R143/R$150</f>
        <v>0.54485098239307173</v>
      </c>
      <c r="T143" s="1715">
        <v>4489521</v>
      </c>
      <c r="U143" s="1716">
        <f t="shared" ref="U143:U146" si="112">T143/T$150</f>
        <v>0.50996080152582013</v>
      </c>
      <c r="V143" s="1715">
        <v>4179027</v>
      </c>
      <c r="W143" s="1716">
        <f t="shared" ref="W143:W146" si="113">V143/V$150</f>
        <v>0.53045346814558014</v>
      </c>
      <c r="X143" s="1715">
        <v>16035032</v>
      </c>
      <c r="Y143" s="1716">
        <f t="shared" ref="Y143:Y146" si="114">X143/X$150</f>
        <v>0.50314805002201013</v>
      </c>
      <c r="Z143" s="1786">
        <v>6695937</v>
      </c>
      <c r="AA143" s="1716">
        <f t="shared" ref="AA143:AA146" si="115">Z143/Z$150</f>
        <v>0.50149479960128696</v>
      </c>
      <c r="AB143" s="1715">
        <v>4021004</v>
      </c>
      <c r="AC143" s="1716">
        <f t="shared" ref="AC143:AC146" si="116">AB143/AB$150</f>
        <v>0.54443711337861145</v>
      </c>
      <c r="AD143" s="1715">
        <v>12896360</v>
      </c>
      <c r="AE143" s="1716">
        <f t="shared" ref="AE143:AE146" si="117">AD143/AD$150</f>
        <v>0.32432218467545515</v>
      </c>
      <c r="AF143" s="1715">
        <v>7308224</v>
      </c>
      <c r="AG143" s="1716">
        <f t="shared" ref="AG143:AG146" si="118">AF143/AF$150</f>
        <v>0.53164914065420665</v>
      </c>
      <c r="AH143" s="1715">
        <v>2746692</v>
      </c>
      <c r="AI143" s="1716">
        <f t="shared" ref="AI143:AI146" si="119">AH143/AH$150</f>
        <v>0.54805955782776472</v>
      </c>
      <c r="AJ143" s="1715">
        <v>5636656</v>
      </c>
      <c r="AK143" s="1716">
        <f t="shared" ref="AK143:AK146" si="120">AJ143/AJ$150</f>
        <v>0.52042946499318887</v>
      </c>
      <c r="AL143" s="1715">
        <v>5008177</v>
      </c>
      <c r="AM143" s="1716">
        <f t="shared" ref="AM143:AM146" si="121">AL143/AL$150</f>
        <v>0.42432778026969281</v>
      </c>
      <c r="AN143" s="1715">
        <v>5405329</v>
      </c>
      <c r="AO143" s="1716">
        <f t="shared" ref="AO143:AO146" si="122">AN143/AN$150</f>
        <v>0.52326003395320142</v>
      </c>
      <c r="AP143" s="1715">
        <v>7483417</v>
      </c>
      <c r="AQ143" s="1716">
        <f t="shared" ref="AQ143:AQ146" si="123">AP143/AP$150</f>
        <v>0.50735037387801685</v>
      </c>
      <c r="AR143" s="1715">
        <f>10714535+2256158</f>
        <v>12970693</v>
      </c>
      <c r="AS143" s="1716">
        <f t="shared" ref="AS143:AS146" si="124">AR143/AR$150</f>
        <v>0.49839207020274556</v>
      </c>
      <c r="AT143" s="1715">
        <v>5123787</v>
      </c>
      <c r="AU143" s="1716">
        <f t="shared" ref="AU143:AU146" si="125">AT143/AT$150</f>
        <v>0.4707368477143416</v>
      </c>
      <c r="AV143" s="1715">
        <v>8498151</v>
      </c>
      <c r="AW143" s="1716">
        <f t="shared" ref="AW143:AW146" si="126">AV143/AV$150</f>
        <v>0.52097503361326614</v>
      </c>
      <c r="AX143" s="1715">
        <v>6086032</v>
      </c>
      <c r="AY143" s="1716">
        <f t="shared" ref="AY143:AY146" si="127">AX143/AX$150</f>
        <v>0.48522514735068545</v>
      </c>
      <c r="AZ143" s="1715">
        <v>6559169</v>
      </c>
      <c r="BA143" s="1716">
        <f t="shared" ref="BA143:BA146" si="128">AZ143/AZ$150</f>
        <v>0.55721022841377832</v>
      </c>
      <c r="BB143" s="1715">
        <v>8915464</v>
      </c>
      <c r="BC143" s="1716">
        <f t="shared" ref="BC143:BC146" si="129">BB143/BB$150</f>
        <v>0.58479123416341161</v>
      </c>
      <c r="BD143" s="1786">
        <v>4569228</v>
      </c>
      <c r="BE143" s="1716">
        <f t="shared" ref="BE143:BE146" si="130">BD143/BD$150</f>
        <v>0.50466474051707833</v>
      </c>
      <c r="BF143" s="1715">
        <v>3372179</v>
      </c>
      <c r="BG143" s="1716">
        <f t="shared" ref="BG143:BG146" si="131">BF143/BF$150</f>
        <v>0.53288569307887446</v>
      </c>
      <c r="BH143" s="1715">
        <v>5094041</v>
      </c>
      <c r="BI143" s="1716">
        <f t="shared" ref="BI143:BI146" si="132">BH143/BH$150</f>
        <v>0.47255536664212688</v>
      </c>
      <c r="BJ143" s="1715">
        <v>8147157</v>
      </c>
      <c r="BK143" s="1716">
        <f t="shared" ref="BK143:BK146" si="133">BJ143/BJ$150</f>
        <v>0.54909544553414458</v>
      </c>
      <c r="BL143" s="1715">
        <v>11236349</v>
      </c>
      <c r="BM143" s="1716">
        <f t="shared" ref="BM143:BM146" si="134">BL143/BL$150</f>
        <v>0.58511000648152189</v>
      </c>
      <c r="BN143" s="1715">
        <v>2017954</v>
      </c>
      <c r="BO143" s="1716">
        <f t="shared" ref="BO143:BO148" si="135">BN143/BN$150</f>
        <v>0.43205732919108375</v>
      </c>
      <c r="BP143" s="1715">
        <v>4233368</v>
      </c>
      <c r="BQ143" s="1716">
        <f t="shared" ref="BQ143:BQ146" si="136">BP143/BP$150</f>
        <v>0.4865528058140362</v>
      </c>
      <c r="BR143" s="1715">
        <v>3435884</v>
      </c>
      <c r="BS143" s="1716">
        <f t="shared" ref="BS143:BS146" si="137">BR143/BR$150</f>
        <v>0.51054877525080289</v>
      </c>
      <c r="BT143" s="1715">
        <v>2635212</v>
      </c>
      <c r="BU143" s="1716">
        <f t="shared" ref="BU143:BU146" si="138">BT143/BT$150</f>
        <v>0.54037285803486201</v>
      </c>
      <c r="BV143" s="1715">
        <v>3639452</v>
      </c>
      <c r="BW143" s="1716">
        <f t="shared" ref="BW143:BW146" si="139">BV143/BV$150</f>
        <v>0.51699691502401912</v>
      </c>
      <c r="BX143" s="1715">
        <v>5974941</v>
      </c>
      <c r="BY143" s="1716">
        <f t="shared" ref="BY143:BY146" si="140">BX143/BX$150</f>
        <v>0.47099698078100505</v>
      </c>
      <c r="BZ143" s="1715">
        <v>14230759</v>
      </c>
      <c r="CA143" s="1716">
        <f t="shared" ref="CA143:CA146" si="141">BZ143/BZ$150</f>
        <v>0.51871982983106169</v>
      </c>
      <c r="CB143" s="1715">
        <v>4873606</v>
      </c>
      <c r="CC143" s="1716">
        <f t="shared" ref="CC143:CC146" si="142">CB143/CB$150</f>
        <v>0.58840440534899707</v>
      </c>
      <c r="CD143" s="1715">
        <v>5552947</v>
      </c>
      <c r="CE143" s="1716">
        <f t="shared" ref="CE143:CE146" si="143">CD143/CD$150</f>
        <v>0.46931695939883583</v>
      </c>
      <c r="CF143" s="1715">
        <v>5430854</v>
      </c>
      <c r="CG143" s="1716">
        <v>0.52668122845419707</v>
      </c>
      <c r="CH143" s="1715">
        <v>5109159</v>
      </c>
      <c r="CI143" s="1716">
        <v>0.58178061916657542</v>
      </c>
      <c r="CJ143" s="1715">
        <v>4524668</v>
      </c>
      <c r="CK143" s="1716">
        <v>0.48664452639076</v>
      </c>
      <c r="CL143" s="1715">
        <v>17185041</v>
      </c>
      <c r="CM143" s="1716">
        <v>0.46203082239650151</v>
      </c>
      <c r="CN143" s="1715">
        <v>8287053</v>
      </c>
      <c r="CO143" s="1716">
        <f t="shared" ref="CO143:CO146" si="144">CN143/CN$150</f>
        <v>0.46950737111093788</v>
      </c>
      <c r="CP143" s="1715">
        <v>5809540</v>
      </c>
      <c r="CQ143" s="1716">
        <f t="shared" ref="CQ143:CQ146" si="145">CP143/CP$150</f>
        <v>0.57240033558518277</v>
      </c>
      <c r="CR143" s="1715">
        <v>10982807</v>
      </c>
      <c r="CS143" s="1716">
        <v>0.55472980754078094</v>
      </c>
      <c r="CT143" s="1715">
        <v>5959662</v>
      </c>
      <c r="CU143" s="1716">
        <f t="shared" ref="CU143:CU146" si="146">CT143/CT$150</f>
        <v>0.51156037510145946</v>
      </c>
      <c r="CV143" s="1715">
        <v>12484211</v>
      </c>
      <c r="CW143" s="1716">
        <f t="shared" ref="CW143:CY146" si="147">CV143/CV$150</f>
        <v>0.52561369856496498</v>
      </c>
      <c r="CX143" s="1715">
        <v>15550462</v>
      </c>
      <c r="CY143" s="1716">
        <f t="shared" si="147"/>
        <v>0.56913833478950338</v>
      </c>
      <c r="CZ143" s="1715">
        <v>4232550</v>
      </c>
      <c r="DA143" s="1716">
        <v>0.57840195406674977</v>
      </c>
      <c r="DB143" s="1715">
        <v>8796417</v>
      </c>
      <c r="DC143" s="1716">
        <v>0.56923091657428537</v>
      </c>
      <c r="DD143" s="1715">
        <v>3897237</v>
      </c>
      <c r="DE143" s="1716">
        <v>0.56195910939872451</v>
      </c>
      <c r="DF143" s="1715">
        <v>24360270</v>
      </c>
      <c r="DG143" s="1716">
        <v>0.46549889778688108</v>
      </c>
      <c r="DH143" s="1715">
        <v>4681285</v>
      </c>
      <c r="DI143" s="1716">
        <v>0.33235832819668282</v>
      </c>
      <c r="DJ143" s="1715">
        <v>3711348</v>
      </c>
      <c r="DK143" s="1716">
        <v>0.51736134489627184</v>
      </c>
      <c r="DL143" s="1715">
        <v>6681073</v>
      </c>
      <c r="DM143" s="1716">
        <v>0.53892824709795839</v>
      </c>
      <c r="DN143" s="1715">
        <v>4277429</v>
      </c>
      <c r="DO143" s="1716">
        <f t="shared" ref="DO143:DO146" si="148">DN143/DN$150</f>
        <v>0.52864977085077502</v>
      </c>
      <c r="DP143" s="1715">
        <v>3682189</v>
      </c>
      <c r="DQ143" s="1716">
        <f t="shared" ref="DQ143:DQ146" si="149">DP143/DP$150</f>
        <v>0.51037673489035984</v>
      </c>
      <c r="DR143" s="1715">
        <v>8877473</v>
      </c>
      <c r="DS143" s="1716">
        <f t="shared" ref="DS143:DS146" si="150">DR143/DR$150</f>
        <v>0.60400090326560174</v>
      </c>
      <c r="DT143" s="1715">
        <v>21254304</v>
      </c>
      <c r="DU143" s="1716">
        <f t="shared" ref="DU143:DU146" si="151">DT143/DT$150</f>
        <v>0.56033822284317092</v>
      </c>
      <c r="DV143" s="1715">
        <v>4424271</v>
      </c>
      <c r="DW143" s="1716">
        <f t="shared" ref="DW143:DW146" si="152">DV143/DV$150</f>
        <v>0.54719475971903819</v>
      </c>
      <c r="DX143" s="1715">
        <v>9510006</v>
      </c>
      <c r="DY143" s="1716">
        <f t="shared" ref="DY143:DY146" si="153">DX143/DX$150</f>
        <v>0.58658544694143688</v>
      </c>
      <c r="DZ143" s="1715">
        <v>18317970</v>
      </c>
      <c r="EA143" s="1716">
        <f t="shared" ref="EA143:EA146" si="154">DZ143/DZ$150</f>
        <v>0.51438742697809503</v>
      </c>
      <c r="EB143" s="1715">
        <v>11516311</v>
      </c>
      <c r="EC143" s="1716">
        <f t="shared" ref="EC143:EC146" si="155">EB143/EB$150</f>
        <v>0.53139896597795699</v>
      </c>
      <c r="ED143" s="1715">
        <v>4191544</v>
      </c>
      <c r="EE143" s="1716">
        <f t="shared" ref="EE143:EE146" si="156">ED143/ED$150</f>
        <v>0.51851293807017729</v>
      </c>
      <c r="EF143" s="1715">
        <v>6124082</v>
      </c>
      <c r="EG143" s="1716">
        <f t="shared" ref="EG143:EG146" si="157">EF143/EF$150</f>
        <v>0.51630725873265459</v>
      </c>
      <c r="EH143" s="1715">
        <v>23045701</v>
      </c>
      <c r="EI143" s="1716">
        <f t="shared" ref="EI143:EI146" si="158">EH143/EH$150</f>
        <v>0.58333866367239562</v>
      </c>
      <c r="EJ143" s="1715">
        <v>9989094</v>
      </c>
      <c r="EK143" s="1716">
        <f t="shared" ref="EK143:EK146" si="159">EJ143/EJ$150</f>
        <v>0.58971298504012182</v>
      </c>
      <c r="EL143" s="1715">
        <v>21268043</v>
      </c>
      <c r="EM143" s="1716">
        <f t="shared" ref="EM143:EM148" si="160">EL143/EL$150</f>
        <v>0.51239809097644884</v>
      </c>
      <c r="EN143" s="1715">
        <v>7486622</v>
      </c>
      <c r="EO143" s="1716">
        <f t="shared" ref="EO143:EO146" si="161">EN143/EN$150</f>
        <v>0.59203534266477276</v>
      </c>
      <c r="EP143" s="1715">
        <v>5464766</v>
      </c>
      <c r="EQ143" s="1716">
        <f t="shared" ref="EQ143:EQ146" si="162">EP143/EP$150</f>
        <v>0.52834138754093496</v>
      </c>
      <c r="ER143" s="1715">
        <v>3658840</v>
      </c>
      <c r="ES143" s="1716">
        <f t="shared" ref="ES143:ES146" si="163">ER143/ER$150</f>
        <v>0.41890592877990118</v>
      </c>
      <c r="ET143" s="1715">
        <v>9117232</v>
      </c>
      <c r="EU143" s="1716">
        <f t="shared" ref="EU143:EU146" si="164">ET143/ET$150</f>
        <v>0.55109090798091942</v>
      </c>
      <c r="EV143" s="1715">
        <v>6292339</v>
      </c>
      <c r="EW143" s="1716">
        <f t="shared" ref="EW143:EW146" si="165">EV143/EV$150</f>
        <v>0.53246030456577886</v>
      </c>
      <c r="EX143" s="1715">
        <v>4537142</v>
      </c>
      <c r="EY143" s="1716">
        <f t="shared" ref="EY143:EY146" si="166">EX143/EX$150</f>
        <v>0.57625536420180523</v>
      </c>
      <c r="EZ143" s="1715">
        <v>8170317</v>
      </c>
      <c r="FA143" s="1716">
        <f t="shared" ref="FA143:FA146" si="167">EZ143/EZ$150</f>
        <v>0.55777567146553597</v>
      </c>
      <c r="FB143" s="1715">
        <v>2715559</v>
      </c>
      <c r="FC143" s="1716">
        <f t="shared" ref="FC143:FC146" si="168">FB143/FB$150</f>
        <v>0.51973326234007133</v>
      </c>
      <c r="FD143" s="1715">
        <v>4562259</v>
      </c>
      <c r="FE143" s="1716">
        <f t="shared" ref="FE143:FE146" si="169">FD143/FD$150</f>
        <v>0.48739844216558426</v>
      </c>
      <c r="FF143" s="1715">
        <v>6038566</v>
      </c>
      <c r="FG143" s="1716">
        <f t="shared" ref="FG143:FG146" si="170">FF143/FF$150</f>
        <v>0.4428959127868744</v>
      </c>
      <c r="FH143" s="1715">
        <v>5705415</v>
      </c>
      <c r="FI143" s="1716">
        <f t="shared" ref="FI143:FI146" si="171">FH143/FH$150</f>
        <v>0.50589316012149421</v>
      </c>
      <c r="FJ143" s="1715">
        <v>5441369</v>
      </c>
      <c r="FK143" s="1716">
        <f t="shared" ref="FK143:FK146" si="172">FJ143/FJ$150</f>
        <v>0.58419008198182998</v>
      </c>
      <c r="FL143" s="1715">
        <v>4418716</v>
      </c>
      <c r="FM143" s="1716">
        <f t="shared" ref="FM143:FM146" si="173">FL143/FL$150</f>
        <v>0.43188807525246403</v>
      </c>
      <c r="FN143" s="1715">
        <f>10733330-1710208</f>
        <v>9023122</v>
      </c>
      <c r="FO143" s="1716">
        <f t="shared" ref="FO143:FO146" si="174">FN143/FN$150</f>
        <v>0.47203666550023621</v>
      </c>
      <c r="FP143" s="1715">
        <v>2826491</v>
      </c>
      <c r="FQ143" s="1716">
        <f t="shared" ref="FQ143:FQ146" si="175">FP143/FP$150</f>
        <v>0.53786043328872879</v>
      </c>
      <c r="FR143" s="1715">
        <v>10375686</v>
      </c>
      <c r="FS143" s="1716">
        <f t="shared" ref="FS143:FS146" si="176">FR143/FR$150</f>
        <v>0.4921805858388017</v>
      </c>
      <c r="FT143" s="1715">
        <v>11378935</v>
      </c>
      <c r="FU143" s="1716">
        <f t="shared" ref="FU143:FU146" si="177">FT143/FT$150</f>
        <v>0.50583062138884038</v>
      </c>
      <c r="FV143" s="1715">
        <v>17461298</v>
      </c>
      <c r="FW143" s="1716">
        <f t="shared" ref="FW143:FW146" si="178">FV143/FV$150</f>
        <v>0.50202002036968751</v>
      </c>
      <c r="FX143" s="1715">
        <v>5207241</v>
      </c>
      <c r="FY143" s="1716">
        <f t="shared" ref="FY143:FY146" si="179">FX143/FX$150</f>
        <v>0.49362376064175895</v>
      </c>
      <c r="FZ143" s="1715">
        <v>4303421</v>
      </c>
      <c r="GA143" s="1716">
        <f t="shared" ref="GA143:GA146" si="180">FZ143/FZ$150</f>
        <v>0.55625806660095978</v>
      </c>
      <c r="GB143" s="1715">
        <v>3235126</v>
      </c>
      <c r="GC143" s="1716">
        <f t="shared" ref="GC143:GC146" si="181">GB143/GB$150</f>
        <v>0.49090085827675167</v>
      </c>
      <c r="GD143" s="1715">
        <v>14242387</v>
      </c>
      <c r="GE143" s="1716">
        <f t="shared" ref="GE143:GE146" si="182">GD143/GD$150</f>
        <v>0.51972710725789295</v>
      </c>
      <c r="GF143" s="1715">
        <v>6964934</v>
      </c>
      <c r="GG143" s="1716">
        <f t="shared" ref="GG143:GG146" si="183">GF143/GF$150</f>
        <v>0.57653932076816128</v>
      </c>
      <c r="GH143" s="1786">
        <v>4836969</v>
      </c>
      <c r="GI143" s="1716">
        <f t="shared" ref="GI143:GI146" si="184">GH143/GH$150</f>
        <v>0.44888972164946733</v>
      </c>
      <c r="GJ143" s="1715">
        <v>29202169</v>
      </c>
      <c r="GK143" s="1716">
        <f t="shared" ref="GK143:GK146" si="185">GJ143/GJ$150</f>
        <v>0.53792555869551395</v>
      </c>
      <c r="GL143" s="1715">
        <v>4513657</v>
      </c>
      <c r="GM143" s="1716">
        <f t="shared" ref="GM143:GM146" si="186">GL143/GL$150</f>
        <v>0.45876148566266495</v>
      </c>
      <c r="GN143" s="1715">
        <v>3928709</v>
      </c>
      <c r="GO143" s="1716">
        <f t="shared" ref="GO143:GO146" si="187">GN143/GN$150</f>
        <v>0.57446109759294817</v>
      </c>
      <c r="GP143" s="1715">
        <v>6354992</v>
      </c>
      <c r="GQ143" s="1716">
        <f t="shared" ref="GQ143:GQ146" si="188">GP143/GP$150</f>
        <v>0.5289705155375608</v>
      </c>
      <c r="GR143" s="1715">
        <v>4910196</v>
      </c>
      <c r="GS143" s="1716">
        <f t="shared" ref="GS143:GS146" si="189">GR143/GR$150</f>
        <v>0.49054798716513942</v>
      </c>
      <c r="GT143" s="1715">
        <v>4153784</v>
      </c>
      <c r="GU143" s="1716">
        <f t="shared" ref="GU143:GU146" si="190">GT143/GT$150</f>
        <v>0.40573861845946885</v>
      </c>
      <c r="GV143" s="1715">
        <v>5012142</v>
      </c>
      <c r="GW143" s="1716">
        <f t="shared" ref="GW143:GW146" si="191">GV143/GV$150</f>
        <v>0.32737653806114714</v>
      </c>
      <c r="GX143" s="1715">
        <v>3816017</v>
      </c>
      <c r="GY143" s="1716">
        <f t="shared" ref="GY143:GY146" si="192">GX143/GX$150</f>
        <v>0.51700422855007655</v>
      </c>
      <c r="GZ143" s="1715">
        <v>12107662</v>
      </c>
      <c r="HA143" s="1716">
        <f t="shared" ref="HA143:HA146" si="193">GZ143/GZ$150</f>
        <v>0.51454173441782791</v>
      </c>
      <c r="HB143" s="1715">
        <v>2547676</v>
      </c>
      <c r="HC143" s="1716">
        <f t="shared" ref="HC143:HC146" si="194">HB143/HB$150</f>
        <v>0.54380456747203954</v>
      </c>
      <c r="HD143" s="1715">
        <v>5602589</v>
      </c>
      <c r="HE143" s="1716">
        <f t="shared" ref="HE143:HE146" si="195">HD143/HD$150</f>
        <v>0.56023649054037838</v>
      </c>
      <c r="HF143" s="2032">
        <v>19086738</v>
      </c>
      <c r="HG143" s="2033">
        <f t="shared" ref="HG143:HG146" si="196">HF143/HF$150</f>
        <v>0.49329091116271379</v>
      </c>
      <c r="HH143" s="1715">
        <v>7564697</v>
      </c>
      <c r="HI143" s="1716">
        <f t="shared" ref="HI143:HI146" si="197">HH143/HH$150</f>
        <v>0.47587383434548908</v>
      </c>
      <c r="HJ143" s="1715">
        <v>8850797</v>
      </c>
      <c r="HK143" s="1716">
        <f t="shared" ref="HK143:HK146" si="198">HJ143/HJ$150</f>
        <v>0.50567363288874811</v>
      </c>
      <c r="HL143" s="1715">
        <v>3701657</v>
      </c>
      <c r="HM143" s="1716">
        <f t="shared" ref="HM143:HM146" si="199">HL143/HL$150</f>
        <v>0.51263345873382204</v>
      </c>
      <c r="HN143" s="1715">
        <v>3856569</v>
      </c>
      <c r="HO143" s="1716">
        <f t="shared" ref="HO143:HO146" si="200">HN143/HN$150</f>
        <v>0.51312042687023829</v>
      </c>
      <c r="HP143" s="2032">
        <v>23711754</v>
      </c>
      <c r="HQ143" s="2033">
        <f t="shared" ref="HQ143:HQ146" si="201">HP143/HP$150</f>
        <v>0.57160226753346433</v>
      </c>
      <c r="HR143" s="1715">
        <v>2958920</v>
      </c>
      <c r="HS143" s="1716">
        <f t="shared" ref="HS143:HS146" si="202">HR143/HR$150</f>
        <v>0.49246117914604359</v>
      </c>
      <c r="HT143" s="2032">
        <v>12990567</v>
      </c>
      <c r="HU143" s="2033">
        <f t="shared" ref="HU143:HU146" si="203">HT143/HT$150</f>
        <v>0.57611788267691799</v>
      </c>
      <c r="HV143" s="2032">
        <f>8113042</f>
        <v>8113042</v>
      </c>
      <c r="HW143" s="2033">
        <f t="shared" ref="HW143:HW146" si="204">HV143/HV$150</f>
        <v>0.54365460922975073</v>
      </c>
      <c r="HX143" s="2032">
        <v>4895563</v>
      </c>
      <c r="HY143" s="2033">
        <f t="shared" ref="HY143:HY146" si="205">HX143/HX$150</f>
        <v>0.42710634745760051</v>
      </c>
      <c r="HZ143" s="2032">
        <v>6874210</v>
      </c>
      <c r="IA143" s="2033">
        <f t="shared" ref="IA143:IA146" si="206">HZ143/HZ$150</f>
        <v>0.4328588109831199</v>
      </c>
      <c r="IB143" s="1715">
        <v>3644855</v>
      </c>
      <c r="IC143" s="1716">
        <f t="shared" ref="IC143:IC146" si="207">IB143/IB$150</f>
        <v>0.45010740644463365</v>
      </c>
      <c r="ID143" s="2032">
        <v>5354186</v>
      </c>
      <c r="IE143" s="2033">
        <f t="shared" ref="IE143:IE146" si="208">ID143/ID$150</f>
        <v>0.49000292399132594</v>
      </c>
      <c r="IF143" s="2032">
        <v>3855273</v>
      </c>
      <c r="IG143" s="2033">
        <f t="shared" ref="IG143:IG146" si="209">IF143/IF$150</f>
        <v>0.4965778484258051</v>
      </c>
    </row>
    <row r="144" spans="1:241" s="1009" customFormat="1">
      <c r="A144" s="1149"/>
      <c r="B144" s="1149"/>
      <c r="C144" s="1149"/>
      <c r="D144" s="1149" t="s">
        <v>17</v>
      </c>
      <c r="E144" s="1143"/>
      <c r="F144" s="1715">
        <v>842205</v>
      </c>
      <c r="G144" s="1716">
        <f t="shared" si="105"/>
        <v>0.12207095582208474</v>
      </c>
      <c r="H144" s="1715">
        <v>1411764</v>
      </c>
      <c r="I144" s="1716">
        <f t="shared" si="106"/>
        <v>0.12544088245530621</v>
      </c>
      <c r="J144" s="1715">
        <v>495243</v>
      </c>
      <c r="K144" s="1716">
        <f t="shared" si="107"/>
        <v>7.2827957272288649E-2</v>
      </c>
      <c r="L144" s="1715">
        <v>7481767</v>
      </c>
      <c r="M144" s="1716">
        <f t="shared" si="108"/>
        <v>0.11019570288180605</v>
      </c>
      <c r="N144" s="1715">
        <v>788193</v>
      </c>
      <c r="O144" s="1716">
        <f t="shared" si="109"/>
        <v>7.5938606915947005E-2</v>
      </c>
      <c r="P144" s="1715">
        <v>2852754</v>
      </c>
      <c r="Q144" s="1716">
        <f t="shared" si="110"/>
        <v>7.512756789301249E-2</v>
      </c>
      <c r="R144" s="1786">
        <v>1810182</v>
      </c>
      <c r="S144" s="1716">
        <f t="shared" si="111"/>
        <v>8.5133662637364757E-2</v>
      </c>
      <c r="T144" s="1715">
        <v>1390504</v>
      </c>
      <c r="U144" s="1716">
        <f t="shared" si="112"/>
        <v>0.15794614489270881</v>
      </c>
      <c r="V144" s="1715">
        <v>680979</v>
      </c>
      <c r="W144" s="1716">
        <f t="shared" si="113"/>
        <v>8.643822408524976E-2</v>
      </c>
      <c r="X144" s="1715">
        <v>3451701</v>
      </c>
      <c r="Y144" s="1716">
        <f t="shared" si="114"/>
        <v>0.10830764961423353</v>
      </c>
      <c r="Z144" s="1786">
        <v>1267954</v>
      </c>
      <c r="AA144" s="1716">
        <f t="shared" si="115"/>
        <v>9.4963906789094665E-2</v>
      </c>
      <c r="AB144" s="1715">
        <v>463913</v>
      </c>
      <c r="AC144" s="1716">
        <f t="shared" si="116"/>
        <v>6.2813032411510095E-2</v>
      </c>
      <c r="AD144" s="1715">
        <v>3564213</v>
      </c>
      <c r="AE144" s="1716">
        <f t="shared" si="117"/>
        <v>8.9634078670931788E-2</v>
      </c>
      <c r="AF144" s="1715">
        <v>1545088</v>
      </c>
      <c r="AG144" s="1716">
        <f t="shared" si="118"/>
        <v>0.11240004513204943</v>
      </c>
      <c r="AH144" s="1715">
        <v>757020</v>
      </c>
      <c r="AI144" s="1716">
        <f t="shared" si="119"/>
        <v>0.15105153634509236</v>
      </c>
      <c r="AJ144" s="1715">
        <v>843469</v>
      </c>
      <c r="AK144" s="1716">
        <f t="shared" si="120"/>
        <v>7.787704632114148E-2</v>
      </c>
      <c r="AL144" s="1715">
        <v>1463269</v>
      </c>
      <c r="AM144" s="1716">
        <f t="shared" si="121"/>
        <v>0.12397838309377905</v>
      </c>
      <c r="AN144" s="1715">
        <v>942410</v>
      </c>
      <c r="AO144" s="1716">
        <f t="shared" si="122"/>
        <v>9.1229504919651802E-2</v>
      </c>
      <c r="AP144" s="1715">
        <v>1016615</v>
      </c>
      <c r="AQ144" s="1716">
        <f t="shared" si="123"/>
        <v>6.8923060192957311E-2</v>
      </c>
      <c r="AR144" s="1715">
        <v>1630847</v>
      </c>
      <c r="AS144" s="1716">
        <f t="shared" si="124"/>
        <v>6.2664439942718336E-2</v>
      </c>
      <c r="AT144" s="1715">
        <v>2015352</v>
      </c>
      <c r="AU144" s="1716">
        <f t="shared" si="125"/>
        <v>0.18515610573093569</v>
      </c>
      <c r="AV144" s="1715">
        <v>1016210</v>
      </c>
      <c r="AW144" s="1716">
        <f t="shared" si="126"/>
        <v>6.2298262164103363E-2</v>
      </c>
      <c r="AX144" s="1715">
        <v>2379705</v>
      </c>
      <c r="AY144" s="1716">
        <f t="shared" si="127"/>
        <v>0.18972833354740212</v>
      </c>
      <c r="AZ144" s="1715">
        <v>1220154</v>
      </c>
      <c r="BA144" s="1716">
        <f t="shared" si="128"/>
        <v>0.10365372336647909</v>
      </c>
      <c r="BB144" s="1715">
        <v>1232003</v>
      </c>
      <c r="BC144" s="1716">
        <f t="shared" si="129"/>
        <v>8.0810662783566356E-2</v>
      </c>
      <c r="BD144" s="1786">
        <v>1428958</v>
      </c>
      <c r="BE144" s="1716">
        <f t="shared" si="130"/>
        <v>0.15782638079776345</v>
      </c>
      <c r="BF144" s="1715">
        <v>569744</v>
      </c>
      <c r="BG144" s="1716">
        <f t="shared" si="131"/>
        <v>9.0033306748405179E-2</v>
      </c>
      <c r="BH144" s="1715">
        <v>851989</v>
      </c>
      <c r="BI144" s="1716">
        <f t="shared" si="132"/>
        <v>7.9035872359499867E-2</v>
      </c>
      <c r="BJ144" s="1715">
        <v>1567858</v>
      </c>
      <c r="BK144" s="1716">
        <f t="shared" si="133"/>
        <v>0.10566921529120807</v>
      </c>
      <c r="BL144" s="1715">
        <v>2000680</v>
      </c>
      <c r="BM144" s="1716">
        <f t="shared" si="134"/>
        <v>0.10418133930936564</v>
      </c>
      <c r="BN144" s="1715"/>
      <c r="BO144" s="1716">
        <f t="shared" si="135"/>
        <v>0</v>
      </c>
      <c r="BP144" s="1715">
        <v>1414159</v>
      </c>
      <c r="BQ144" s="1716">
        <f t="shared" si="136"/>
        <v>0.16253324287356347</v>
      </c>
      <c r="BR144" s="1715">
        <v>150511</v>
      </c>
      <c r="BS144" s="1716">
        <f t="shared" si="137"/>
        <v>2.2364901350503567E-2</v>
      </c>
      <c r="BT144" s="1715">
        <v>590053</v>
      </c>
      <c r="BU144" s="1716">
        <f t="shared" si="138"/>
        <v>0.12099543642107141</v>
      </c>
      <c r="BV144" s="1715">
        <v>613513</v>
      </c>
      <c r="BW144" s="1716">
        <f t="shared" si="139"/>
        <v>8.715167237461327E-2</v>
      </c>
      <c r="BX144" s="1715">
        <v>1982156</v>
      </c>
      <c r="BY144" s="1716">
        <f t="shared" si="140"/>
        <v>0.15625083016500982</v>
      </c>
      <c r="BZ144" s="1715">
        <v>1465640</v>
      </c>
      <c r="CA144" s="1716">
        <f t="shared" si="141"/>
        <v>5.3423470342909833E-2</v>
      </c>
      <c r="CB144" s="1715">
        <v>628552</v>
      </c>
      <c r="CC144" s="1716">
        <f t="shared" si="142"/>
        <v>7.58868824830983E-2</v>
      </c>
      <c r="CD144" s="1715">
        <v>828799</v>
      </c>
      <c r="CE144" s="1716">
        <f t="shared" si="143"/>
        <v>7.0047386843921922E-2</v>
      </c>
      <c r="CF144" s="1715">
        <v>1102228</v>
      </c>
      <c r="CG144" s="1716">
        <v>0.1068934640991293</v>
      </c>
      <c r="CH144" s="1715">
        <v>1011418</v>
      </c>
      <c r="CI144" s="1716">
        <v>0.1151703030334776</v>
      </c>
      <c r="CJ144" s="1715">
        <v>855389</v>
      </c>
      <c r="CK144" s="1716">
        <v>9.2000203061277833E-2</v>
      </c>
      <c r="CL144" s="1715">
        <v>3054868</v>
      </c>
      <c r="CM144" s="1716">
        <v>8.213208070628146E-2</v>
      </c>
      <c r="CN144" s="1715">
        <v>1818359</v>
      </c>
      <c r="CO144" s="1716">
        <f t="shared" si="144"/>
        <v>0.10302009095705239</v>
      </c>
      <c r="CP144" s="1715">
        <v>719031</v>
      </c>
      <c r="CQ144" s="1716">
        <f t="shared" si="145"/>
        <v>7.084443616812168E-2</v>
      </c>
      <c r="CR144" s="1715">
        <v>1730030</v>
      </c>
      <c r="CS144" s="1716">
        <v>8.738196063536191E-2</v>
      </c>
      <c r="CT144" s="1715">
        <v>1071153</v>
      </c>
      <c r="CU144" s="1716">
        <f t="shared" si="146"/>
        <v>9.194471607132311E-2</v>
      </c>
      <c r="CV144" s="1715">
        <v>3267588</v>
      </c>
      <c r="CW144" s="1716">
        <f t="shared" si="147"/>
        <v>0.13757289219691152</v>
      </c>
      <c r="CX144" s="1715">
        <v>2304589</v>
      </c>
      <c r="CY144" s="1716">
        <f t="shared" si="147"/>
        <v>8.4346686666557355E-2</v>
      </c>
      <c r="CZ144" s="1715">
        <v>407981</v>
      </c>
      <c r="DA144" s="1716">
        <v>5.5752916710282603E-2</v>
      </c>
      <c r="DB144" s="1715">
        <v>1590135</v>
      </c>
      <c r="DC144" s="1716">
        <v>0.10290030628684967</v>
      </c>
      <c r="DD144" s="1715">
        <v>507923</v>
      </c>
      <c r="DE144" s="1716">
        <v>7.3239568628525376E-2</v>
      </c>
      <c r="DF144" s="1715">
        <v>4524901</v>
      </c>
      <c r="DG144" s="1716">
        <v>8.6466054279971283E-2</v>
      </c>
      <c r="DH144" s="1715">
        <v>891826</v>
      </c>
      <c r="DI144" s="1716">
        <v>6.3317187140354586E-2</v>
      </c>
      <c r="DJ144" s="1715">
        <v>1050269</v>
      </c>
      <c r="DK144" s="1716">
        <v>0.14640733834252745</v>
      </c>
      <c r="DL144" s="1715">
        <v>1041334</v>
      </c>
      <c r="DM144" s="1716">
        <v>8.3999128173499277E-2</v>
      </c>
      <c r="DN144" s="1715">
        <v>633307</v>
      </c>
      <c r="DO144" s="1716">
        <f t="shared" si="148"/>
        <v>7.8270755733921421E-2</v>
      </c>
      <c r="DP144" s="1715">
        <v>318433</v>
      </c>
      <c r="DQ144" s="1716">
        <f t="shared" si="149"/>
        <v>4.413700514051342E-2</v>
      </c>
      <c r="DR144" s="1715">
        <v>1360917</v>
      </c>
      <c r="DS144" s="1716">
        <f t="shared" si="150"/>
        <v>9.2593364944000736E-2</v>
      </c>
      <c r="DT144" s="1715">
        <v>2337784</v>
      </c>
      <c r="DU144" s="1716">
        <f t="shared" si="151"/>
        <v>6.1632210207927744E-2</v>
      </c>
      <c r="DV144" s="1715">
        <v>444133</v>
      </c>
      <c r="DW144" s="1716">
        <f t="shared" si="152"/>
        <v>5.4930462039575689E-2</v>
      </c>
      <c r="DX144" s="1715">
        <v>1635914</v>
      </c>
      <c r="DY144" s="1716">
        <f t="shared" si="153"/>
        <v>0.10090459930811334</v>
      </c>
      <c r="DZ144" s="1715">
        <v>2922925</v>
      </c>
      <c r="EA144" s="1716">
        <f t="shared" si="154"/>
        <v>8.2078738528338469E-2</v>
      </c>
      <c r="EB144" s="1715">
        <v>2187553</v>
      </c>
      <c r="EC144" s="1716">
        <f t="shared" si="155"/>
        <v>0.10094060521828367</v>
      </c>
      <c r="ED144" s="1715">
        <v>586065</v>
      </c>
      <c r="EE144" s="1716">
        <f t="shared" si="156"/>
        <v>7.2498889442672784E-2</v>
      </c>
      <c r="EF144" s="1715">
        <v>1157128</v>
      </c>
      <c r="EG144" s="1716">
        <f t="shared" si="157"/>
        <v>9.755479852862832E-2</v>
      </c>
      <c r="EH144" s="1715">
        <v>4533870</v>
      </c>
      <c r="EI144" s="1716">
        <f t="shared" si="158"/>
        <v>0.11476247422737822</v>
      </c>
      <c r="EJ144" s="1715">
        <v>1649503</v>
      </c>
      <c r="EK144" s="1716">
        <f t="shared" si="159"/>
        <v>9.7379535918135932E-2</v>
      </c>
      <c r="EL144" s="1715">
        <v>3693599</v>
      </c>
      <c r="EM144" s="1716">
        <f t="shared" si="160"/>
        <v>8.8987645757182293E-2</v>
      </c>
      <c r="EN144" s="1715">
        <v>1202978</v>
      </c>
      <c r="EO144" s="1716">
        <f t="shared" si="161"/>
        <v>9.5130419626926935E-2</v>
      </c>
      <c r="EP144" s="1715">
        <v>1052519</v>
      </c>
      <c r="EQ144" s="1716">
        <f t="shared" si="162"/>
        <v>0.10175904126054021</v>
      </c>
      <c r="ER144" s="1715">
        <v>517833</v>
      </c>
      <c r="ES144" s="1716">
        <f t="shared" si="163"/>
        <v>5.9287455537242011E-2</v>
      </c>
      <c r="ET144" s="1715">
        <v>1940102</v>
      </c>
      <c r="EU144" s="1716">
        <f t="shared" si="164"/>
        <v>0.11726942703175676</v>
      </c>
      <c r="EV144" s="1715">
        <v>924177</v>
      </c>
      <c r="EW144" s="1716">
        <f t="shared" si="165"/>
        <v>7.8204236436194521E-2</v>
      </c>
      <c r="EX144" s="1715">
        <v>652502</v>
      </c>
      <c r="EY144" s="1716">
        <f t="shared" si="166"/>
        <v>8.2873266398187748E-2</v>
      </c>
      <c r="EZ144" s="1715">
        <v>1358069</v>
      </c>
      <c r="FA144" s="1716">
        <f t="shared" si="167"/>
        <v>9.2713397579497703E-2</v>
      </c>
      <c r="FB144" s="1715">
        <v>549381</v>
      </c>
      <c r="FC144" s="1716">
        <f t="shared" si="168"/>
        <v>0.10514652025518531</v>
      </c>
      <c r="FD144" s="1715">
        <v>932670</v>
      </c>
      <c r="FE144" s="1716">
        <f t="shared" si="169"/>
        <v>9.9639653306525452E-2</v>
      </c>
      <c r="FF144" s="1715">
        <v>1332382</v>
      </c>
      <c r="FG144" s="1716">
        <f t="shared" si="170"/>
        <v>9.7722959734281495E-2</v>
      </c>
      <c r="FH144" s="1715">
        <v>543451</v>
      </c>
      <c r="FI144" s="1716">
        <f t="shared" si="171"/>
        <v>4.8187229809082452E-2</v>
      </c>
      <c r="FJ144" s="1715">
        <v>673603</v>
      </c>
      <c r="FK144" s="1716">
        <f t="shared" si="172"/>
        <v>7.2318600667076002E-2</v>
      </c>
      <c r="FL144" s="1715">
        <v>614943</v>
      </c>
      <c r="FM144" s="1716">
        <f t="shared" si="173"/>
        <v>6.0104914789720812E-2</v>
      </c>
      <c r="FN144" s="1715">
        <f>1738128+606015</f>
        <v>2344143</v>
      </c>
      <c r="FO144" s="1716">
        <f t="shared" si="174"/>
        <v>0.12263177259220481</v>
      </c>
      <c r="FP144" s="1715">
        <v>387757</v>
      </c>
      <c r="FQ144" s="1716">
        <f t="shared" si="175"/>
        <v>7.3787303066147239E-2</v>
      </c>
      <c r="FR144" s="1715">
        <v>2639719</v>
      </c>
      <c r="FS144" s="1716">
        <f t="shared" si="176"/>
        <v>0.1252175946602293</v>
      </c>
      <c r="FT144" s="1715">
        <v>2042651</v>
      </c>
      <c r="FU144" s="1716">
        <f t="shared" si="177"/>
        <v>9.0802471813973468E-2</v>
      </c>
      <c r="FV144" s="1715">
        <v>4650119</v>
      </c>
      <c r="FW144" s="1716">
        <f t="shared" si="178"/>
        <v>0.13369297260154836</v>
      </c>
      <c r="FX144" s="1715">
        <v>750248</v>
      </c>
      <c r="FY144" s="1716">
        <f t="shared" si="179"/>
        <v>7.112024182747799E-2</v>
      </c>
      <c r="FZ144" s="1715">
        <v>757083</v>
      </c>
      <c r="GA144" s="1716">
        <f t="shared" si="180"/>
        <v>9.7860173530884942E-2</v>
      </c>
      <c r="GB144" s="1715">
        <v>299585</v>
      </c>
      <c r="GC144" s="1716">
        <f t="shared" si="181"/>
        <v>4.5459290805625704E-2</v>
      </c>
      <c r="GD144" s="1715">
        <v>2345521</v>
      </c>
      <c r="GE144" s="1716">
        <f t="shared" si="182"/>
        <v>8.5591751182062401E-2</v>
      </c>
      <c r="GF144" s="1715">
        <f>1483721-402037-1430-64</f>
        <v>1080190</v>
      </c>
      <c r="GG144" s="1716">
        <f t="shared" si="183"/>
        <v>8.941534965019915E-2</v>
      </c>
      <c r="GH144" s="1786">
        <v>554443</v>
      </c>
      <c r="GI144" s="1716">
        <f t="shared" si="184"/>
        <v>5.1454488118591539E-2</v>
      </c>
      <c r="GJ144" s="1715">
        <v>6344009</v>
      </c>
      <c r="GK144" s="1716">
        <f t="shared" si="185"/>
        <v>0.11686133950167772</v>
      </c>
      <c r="GL144" s="1715">
        <v>972998</v>
      </c>
      <c r="GM144" s="1716">
        <f t="shared" si="186"/>
        <v>9.8894091426708255E-2</v>
      </c>
      <c r="GN144" s="1715">
        <v>585231</v>
      </c>
      <c r="GO144" s="1716">
        <f t="shared" si="187"/>
        <v>8.5573261497713021E-2</v>
      </c>
      <c r="GP144" s="1715">
        <f>582133+353726-126214</f>
        <v>809645</v>
      </c>
      <c r="GQ144" s="1716">
        <f t="shared" si="188"/>
        <v>6.7392426780774617E-2</v>
      </c>
      <c r="GR144" s="1715">
        <v>735346</v>
      </c>
      <c r="GS144" s="1716">
        <f t="shared" si="189"/>
        <v>7.3463971737571493E-2</v>
      </c>
      <c r="GT144" s="1715">
        <v>901744</v>
      </c>
      <c r="GU144" s="1716">
        <f t="shared" si="190"/>
        <v>8.8081702073125448E-2</v>
      </c>
      <c r="GV144" s="1715">
        <v>1410906</v>
      </c>
      <c r="GW144" s="1716">
        <f t="shared" si="191"/>
        <v>9.2155713427452948E-2</v>
      </c>
      <c r="GX144" s="1715">
        <v>855719</v>
      </c>
      <c r="GY144" s="1716">
        <f t="shared" si="192"/>
        <v>0.11593510758747744</v>
      </c>
      <c r="GZ144" s="1715">
        <v>1740692</v>
      </c>
      <c r="HA144" s="1716">
        <f t="shared" si="193"/>
        <v>7.3974536187683279E-2</v>
      </c>
      <c r="HB144" s="1715">
        <v>175339</v>
      </c>
      <c r="HC144" s="1716">
        <f t="shared" si="194"/>
        <v>3.7426324640959026E-2</v>
      </c>
      <c r="HD144" s="1715">
        <v>773688</v>
      </c>
      <c r="HE144" s="1716">
        <f t="shared" si="195"/>
        <v>7.7365705371785123E-2</v>
      </c>
      <c r="HF144" s="2032">
        <v>4824453</v>
      </c>
      <c r="HG144" s="2033">
        <f t="shared" si="196"/>
        <v>0.12468651354839616</v>
      </c>
      <c r="HH144" s="1715">
        <v>1520661</v>
      </c>
      <c r="HI144" s="1716">
        <f t="shared" si="197"/>
        <v>9.5660511030335488E-2</v>
      </c>
      <c r="HJ144" s="1715">
        <v>2482517</v>
      </c>
      <c r="HK144" s="1716">
        <f t="shared" si="198"/>
        <v>0.14183393767793753</v>
      </c>
      <c r="HL144" s="1715">
        <f>417905+129871</f>
        <v>547776</v>
      </c>
      <c r="HM144" s="1716">
        <f t="shared" si="199"/>
        <v>7.5860163567661218E-2</v>
      </c>
      <c r="HN144" s="1715">
        <v>586851</v>
      </c>
      <c r="HO144" s="1716">
        <f t="shared" si="200"/>
        <v>7.8081122269360717E-2</v>
      </c>
      <c r="HP144" s="2032">
        <v>3507096</v>
      </c>
      <c r="HQ144" s="2033">
        <f t="shared" si="201"/>
        <v>8.4543050929827571E-2</v>
      </c>
      <c r="HR144" s="1715">
        <v>958231</v>
      </c>
      <c r="HS144" s="1716">
        <f t="shared" si="202"/>
        <v>0.15948101609854018</v>
      </c>
      <c r="HT144" s="2032">
        <v>2227045</v>
      </c>
      <c r="HU144" s="2033">
        <f t="shared" si="203"/>
        <v>9.8767086149989983E-2</v>
      </c>
      <c r="HV144" s="2032">
        <f>1038105+136242</f>
        <v>1174347</v>
      </c>
      <c r="HW144" s="2033">
        <f t="shared" si="204"/>
        <v>7.8692943951865407E-2</v>
      </c>
      <c r="HX144" s="2032">
        <v>1146432</v>
      </c>
      <c r="HY144" s="2033">
        <f t="shared" si="205"/>
        <v>0.100018809711674</v>
      </c>
      <c r="HZ144" s="2032">
        <v>849741</v>
      </c>
      <c r="IA144" s="2033">
        <f t="shared" si="206"/>
        <v>5.3506930818756959E-2</v>
      </c>
      <c r="IB144" s="1715">
        <v>692588</v>
      </c>
      <c r="IC144" s="1716">
        <f t="shared" si="207"/>
        <v>8.5528502070638182E-2</v>
      </c>
      <c r="ID144" s="2032">
        <v>862226</v>
      </c>
      <c r="IE144" s="2033">
        <f t="shared" si="208"/>
        <v>7.8908962285087786E-2</v>
      </c>
      <c r="IF144" s="2032">
        <v>960394</v>
      </c>
      <c r="IG144" s="2033">
        <f t="shared" si="209"/>
        <v>0.12370340210954002</v>
      </c>
    </row>
    <row r="145" spans="1:241" s="1009" customFormat="1">
      <c r="A145" s="1149"/>
      <c r="B145" s="1149"/>
      <c r="C145" s="1149"/>
      <c r="D145" s="1156" t="s">
        <v>1239</v>
      </c>
      <c r="E145" s="1143"/>
      <c r="F145" s="1715">
        <v>0</v>
      </c>
      <c r="G145" s="1716">
        <f t="shared" si="105"/>
        <v>0</v>
      </c>
      <c r="H145" s="1715">
        <v>501183</v>
      </c>
      <c r="I145" s="1716">
        <f t="shared" si="106"/>
        <v>4.4532115701772915E-2</v>
      </c>
      <c r="J145" s="1715">
        <v>304145</v>
      </c>
      <c r="K145" s="1716">
        <f t="shared" si="107"/>
        <v>4.4726041689797193E-2</v>
      </c>
      <c r="L145" s="1715">
        <v>1348920</v>
      </c>
      <c r="M145" s="1716">
        <f t="shared" si="108"/>
        <v>1.9867657938469056E-2</v>
      </c>
      <c r="N145" s="1715">
        <v>255085</v>
      </c>
      <c r="O145" s="1716">
        <f t="shared" si="109"/>
        <v>2.4576213624270125E-2</v>
      </c>
      <c r="P145" s="1715">
        <v>1593977</v>
      </c>
      <c r="Q145" s="1716">
        <f t="shared" si="110"/>
        <v>4.1977547060629963E-2</v>
      </c>
      <c r="R145" s="1786">
        <v>807166</v>
      </c>
      <c r="S145" s="1716">
        <f t="shared" si="111"/>
        <v>3.79613751193809E-2</v>
      </c>
      <c r="T145" s="1715"/>
      <c r="U145" s="1716">
        <f t="shared" si="112"/>
        <v>0</v>
      </c>
      <c r="V145" s="1715">
        <v>237406</v>
      </c>
      <c r="W145" s="1716">
        <f t="shared" si="113"/>
        <v>3.0134487300170494E-2</v>
      </c>
      <c r="X145" s="1715">
        <v>739452</v>
      </c>
      <c r="Y145" s="1716">
        <f t="shared" si="114"/>
        <v>2.320256248224983E-2</v>
      </c>
      <c r="Z145" s="1786">
        <v>478808</v>
      </c>
      <c r="AA145" s="1716">
        <f t="shared" si="115"/>
        <v>3.5860510934838989E-2</v>
      </c>
      <c r="AB145" s="1715">
        <v>185692</v>
      </c>
      <c r="AC145" s="1716">
        <f t="shared" si="116"/>
        <v>2.5142381469280089E-2</v>
      </c>
      <c r="AD145" s="1715">
        <v>946551</v>
      </c>
      <c r="AE145" s="1716">
        <f t="shared" si="117"/>
        <v>2.3804196550556649E-2</v>
      </c>
      <c r="AF145" s="1715">
        <v>585662</v>
      </c>
      <c r="AG145" s="1716">
        <f t="shared" si="118"/>
        <v>4.2604974753623313E-2</v>
      </c>
      <c r="AH145" s="1715">
        <v>0</v>
      </c>
      <c r="AI145" s="1716">
        <f t="shared" si="119"/>
        <v>0</v>
      </c>
      <c r="AJ145" s="1715">
        <v>743888</v>
      </c>
      <c r="AK145" s="1716">
        <f t="shared" si="120"/>
        <v>6.8682785299449406E-2</v>
      </c>
      <c r="AL145" s="1715"/>
      <c r="AM145" s="1716">
        <f t="shared" si="121"/>
        <v>0</v>
      </c>
      <c r="AN145" s="1715">
        <v>420941</v>
      </c>
      <c r="AO145" s="1716">
        <f t="shared" si="122"/>
        <v>4.0748972347898628E-2</v>
      </c>
      <c r="AP145" s="1715">
        <v>973175</v>
      </c>
      <c r="AQ145" s="1716">
        <f t="shared" si="123"/>
        <v>6.5977975047861029E-2</v>
      </c>
      <c r="AR145" s="1715">
        <v>431514</v>
      </c>
      <c r="AS145" s="1716">
        <f t="shared" si="124"/>
        <v>1.6580698948118467E-2</v>
      </c>
      <c r="AT145" s="1715">
        <v>0</v>
      </c>
      <c r="AU145" s="1716">
        <f t="shared" si="125"/>
        <v>0</v>
      </c>
      <c r="AV145" s="1715">
        <v>837030</v>
      </c>
      <c r="AW145" s="1716">
        <f t="shared" si="126"/>
        <v>5.1313718994321487E-2</v>
      </c>
      <c r="AX145" s="1715"/>
      <c r="AY145" s="1716">
        <f t="shared" si="127"/>
        <v>0</v>
      </c>
      <c r="AZ145" s="1715">
        <v>310698</v>
      </c>
      <c r="BA145" s="1716">
        <f t="shared" si="128"/>
        <v>2.6394212978458717E-2</v>
      </c>
      <c r="BB145" s="1715"/>
      <c r="BC145" s="1716">
        <f t="shared" si="129"/>
        <v>0</v>
      </c>
      <c r="BD145" s="1786">
        <v>0</v>
      </c>
      <c r="BE145" s="1716">
        <f t="shared" si="130"/>
        <v>0</v>
      </c>
      <c r="BF145" s="1715">
        <v>178326</v>
      </c>
      <c r="BG145" s="1716">
        <f t="shared" si="131"/>
        <v>2.8179813142773073E-2</v>
      </c>
      <c r="BH145" s="1715">
        <v>287581</v>
      </c>
      <c r="BI145" s="1716">
        <f t="shared" si="132"/>
        <v>2.6677827071731362E-2</v>
      </c>
      <c r="BJ145" s="1715">
        <v>507669</v>
      </c>
      <c r="BK145" s="1716">
        <f t="shared" si="133"/>
        <v>3.4215461385962445E-2</v>
      </c>
      <c r="BL145" s="1715">
        <v>762168</v>
      </c>
      <c r="BM145" s="1716">
        <f t="shared" si="134"/>
        <v>3.9688347471230075E-2</v>
      </c>
      <c r="BN145" s="1715">
        <v>0</v>
      </c>
      <c r="BO145" s="1716">
        <f t="shared" si="135"/>
        <v>0</v>
      </c>
      <c r="BP145" s="1715">
        <v>0</v>
      </c>
      <c r="BQ145" s="1716">
        <f t="shared" si="136"/>
        <v>0</v>
      </c>
      <c r="BR145" s="1715"/>
      <c r="BS145" s="1716">
        <f t="shared" si="137"/>
        <v>0</v>
      </c>
      <c r="BT145" s="1715"/>
      <c r="BU145" s="1716">
        <f t="shared" si="138"/>
        <v>0</v>
      </c>
      <c r="BV145" s="1715">
        <v>227987</v>
      </c>
      <c r="BW145" s="1716">
        <f t="shared" si="139"/>
        <v>3.2386352578789621E-2</v>
      </c>
      <c r="BX145" s="1715">
        <v>0</v>
      </c>
      <c r="BY145" s="1716">
        <f t="shared" si="140"/>
        <v>0</v>
      </c>
      <c r="BZ145" s="1715">
        <v>0</v>
      </c>
      <c r="CA145" s="1716">
        <f t="shared" si="141"/>
        <v>0</v>
      </c>
      <c r="CB145" s="1715"/>
      <c r="CC145" s="1716">
        <f t="shared" si="142"/>
        <v>0</v>
      </c>
      <c r="CD145" s="1715">
        <v>407357</v>
      </c>
      <c r="CE145" s="1716">
        <f t="shared" si="143"/>
        <v>3.4428484303889728E-2</v>
      </c>
      <c r="CF145" s="1715">
        <v>372061</v>
      </c>
      <c r="CG145" s="1716">
        <v>3.6082270769918878E-2</v>
      </c>
      <c r="CH145" s="1715">
        <v>0</v>
      </c>
      <c r="CI145" s="1716">
        <v>0</v>
      </c>
      <c r="CJ145" s="1715">
        <v>393634</v>
      </c>
      <c r="CK145" s="1716">
        <v>4.2336770676058538E-2</v>
      </c>
      <c r="CL145" s="1715">
        <v>1485377</v>
      </c>
      <c r="CM145" s="1716">
        <v>3.9935310999772898E-2</v>
      </c>
      <c r="CN145" s="1715">
        <v>584021</v>
      </c>
      <c r="CO145" s="1716">
        <f t="shared" si="144"/>
        <v>3.3088018670036384E-2</v>
      </c>
      <c r="CP145" s="1715">
        <v>0</v>
      </c>
      <c r="CQ145" s="1716">
        <f t="shared" si="145"/>
        <v>0</v>
      </c>
      <c r="CR145" s="1715">
        <v>676821</v>
      </c>
      <c r="CS145" s="1716">
        <v>3.4185503129533175E-2</v>
      </c>
      <c r="CT145" s="1715">
        <v>0</v>
      </c>
      <c r="CU145" s="1716">
        <f t="shared" si="146"/>
        <v>0</v>
      </c>
      <c r="CV145" s="1715"/>
      <c r="CW145" s="1716">
        <f t="shared" si="147"/>
        <v>0</v>
      </c>
      <c r="CX145" s="1715">
        <v>726787</v>
      </c>
      <c r="CY145" s="1716">
        <f t="shared" si="147"/>
        <v>2.6600003454987947E-2</v>
      </c>
      <c r="CZ145" s="1715">
        <v>0</v>
      </c>
      <c r="DA145" s="1716">
        <v>0</v>
      </c>
      <c r="DB145" s="1715">
        <v>504815</v>
      </c>
      <c r="DC145" s="1716">
        <v>3.2667426424923679E-2</v>
      </c>
      <c r="DD145" s="1715">
        <v>287929</v>
      </c>
      <c r="DE145" s="1716">
        <v>4.1517702005309229E-2</v>
      </c>
      <c r="DF145" s="1715">
        <v>790466</v>
      </c>
      <c r="DG145" s="1716">
        <v>1.5104966067207168E-2</v>
      </c>
      <c r="DH145" s="1715">
        <v>315397</v>
      </c>
      <c r="DI145" s="1716">
        <v>2.2392317416745439E-2</v>
      </c>
      <c r="DJ145" s="1715">
        <v>215093</v>
      </c>
      <c r="DK145" s="1716">
        <v>2.9983931379588713E-2</v>
      </c>
      <c r="DL145" s="1715">
        <v>355276</v>
      </c>
      <c r="DM145" s="1716">
        <v>2.8658311608924833E-2</v>
      </c>
      <c r="DN145" s="1715">
        <v>602949</v>
      </c>
      <c r="DO145" s="1716">
        <f t="shared" si="148"/>
        <v>7.4518794043034728E-2</v>
      </c>
      <c r="DP145" s="1715">
        <v>0</v>
      </c>
      <c r="DQ145" s="1716">
        <f t="shared" si="149"/>
        <v>0</v>
      </c>
      <c r="DR145" s="1715">
        <f>224296+954</f>
        <v>225250</v>
      </c>
      <c r="DS145" s="1716">
        <f t="shared" si="150"/>
        <v>1.5325442663759924E-2</v>
      </c>
      <c r="DT145" s="1715">
        <v>413611</v>
      </c>
      <c r="DU145" s="1716">
        <f t="shared" si="151"/>
        <v>1.0904240980480319E-2</v>
      </c>
      <c r="DV145" s="1715">
        <v>225683</v>
      </c>
      <c r="DW145" s="1716">
        <f t="shared" si="152"/>
        <v>2.7912520493810548E-2</v>
      </c>
      <c r="DX145" s="1715">
        <v>768798</v>
      </c>
      <c r="DY145" s="1716">
        <f t="shared" si="153"/>
        <v>4.7420129749411594E-2</v>
      </c>
      <c r="DZ145" s="1715">
        <v>559303</v>
      </c>
      <c r="EA145" s="1716">
        <f t="shared" si="154"/>
        <v>1.5705803157835145E-2</v>
      </c>
      <c r="EB145" s="1715">
        <v>557285</v>
      </c>
      <c r="EC145" s="1716">
        <f t="shared" si="155"/>
        <v>2.5714890189664531E-2</v>
      </c>
      <c r="ED145" s="1715">
        <v>0</v>
      </c>
      <c r="EE145" s="1716">
        <f t="shared" si="156"/>
        <v>0</v>
      </c>
      <c r="EF145" s="1715">
        <v>223498</v>
      </c>
      <c r="EG145" s="1716">
        <f t="shared" si="157"/>
        <v>1.8842601995242854E-2</v>
      </c>
      <c r="EH145" s="1715">
        <v>1365800</v>
      </c>
      <c r="EI145" s="1716">
        <f t="shared" si="158"/>
        <v>3.4571478074967563E-2</v>
      </c>
      <c r="EJ145" s="1715">
        <v>80114</v>
      </c>
      <c r="EK145" s="1716">
        <f t="shared" si="159"/>
        <v>4.7295846934170731E-3</v>
      </c>
      <c r="EL145" s="1715">
        <v>1375433</v>
      </c>
      <c r="EM145" s="1716">
        <f t="shared" si="160"/>
        <v>3.3137475011970306E-2</v>
      </c>
      <c r="EN145" s="1715">
        <v>0</v>
      </c>
      <c r="EO145" s="1716">
        <f t="shared" si="161"/>
        <v>0</v>
      </c>
      <c r="EP145" s="1715">
        <v>0</v>
      </c>
      <c r="EQ145" s="1716">
        <f t="shared" si="162"/>
        <v>0</v>
      </c>
      <c r="ER145" s="1715">
        <v>104901</v>
      </c>
      <c r="ES145" s="1716">
        <f t="shared" si="163"/>
        <v>1.2010268509948621E-2</v>
      </c>
      <c r="ET145" s="1715">
        <v>562458</v>
      </c>
      <c r="EU145" s="1716">
        <f t="shared" si="164"/>
        <v>3.3997762689501811E-2</v>
      </c>
      <c r="EV145" s="1715">
        <v>197252</v>
      </c>
      <c r="EW145" s="1716">
        <f t="shared" si="165"/>
        <v>1.6691545067137832E-2</v>
      </c>
      <c r="EX145" s="1715">
        <v>236549</v>
      </c>
      <c r="EY145" s="1716">
        <f t="shared" si="166"/>
        <v>3.0043721388171855E-2</v>
      </c>
      <c r="EZ145" s="1715">
        <v>384305</v>
      </c>
      <c r="FA145" s="1716">
        <f t="shared" si="167"/>
        <v>2.6235944018152879E-2</v>
      </c>
      <c r="FB145" s="1715"/>
      <c r="FC145" s="1716">
        <f t="shared" si="168"/>
        <v>0</v>
      </c>
      <c r="FD145" s="1715">
        <v>328989</v>
      </c>
      <c r="FE145" s="1716">
        <f t="shared" si="169"/>
        <v>3.5146782786688216E-2</v>
      </c>
      <c r="FF145" s="1715">
        <v>337395</v>
      </c>
      <c r="FG145" s="1716">
        <f t="shared" si="170"/>
        <v>2.4746084831187981E-2</v>
      </c>
      <c r="FH145" s="1715">
        <v>341989</v>
      </c>
      <c r="FI145" s="1716">
        <f t="shared" si="171"/>
        <v>3.0323805706822322E-2</v>
      </c>
      <c r="FJ145" s="1715">
        <v>401368</v>
      </c>
      <c r="FK145" s="1716">
        <f t="shared" si="172"/>
        <v>4.3091215615938407E-2</v>
      </c>
      <c r="FL145" s="1715">
        <v>247453</v>
      </c>
      <c r="FM145" s="1716">
        <f t="shared" si="173"/>
        <v>2.4186211534175987E-2</v>
      </c>
      <c r="FN145" s="1715">
        <v>407788</v>
      </c>
      <c r="FO145" s="1716">
        <f t="shared" si="174"/>
        <v>2.1333069391171963E-2</v>
      </c>
      <c r="FP145" s="1715">
        <v>62522</v>
      </c>
      <c r="FQ145" s="1716">
        <f t="shared" si="175"/>
        <v>1.1897476415130243E-2</v>
      </c>
      <c r="FR145" s="1715">
        <v>571107</v>
      </c>
      <c r="FS145" s="1716">
        <f t="shared" si="176"/>
        <v>2.7091006593360722E-2</v>
      </c>
      <c r="FT145" s="1715">
        <v>966475</v>
      </c>
      <c r="FU145" s="1716">
        <f t="shared" si="177"/>
        <v>4.2962953018606705E-2</v>
      </c>
      <c r="FV145" s="1715">
        <v>994866</v>
      </c>
      <c r="FW145" s="1716">
        <f t="shared" si="178"/>
        <v>2.8602836374770624E-2</v>
      </c>
      <c r="FX145" s="1715">
        <v>300716</v>
      </c>
      <c r="FY145" s="1716">
        <f t="shared" si="179"/>
        <v>2.8506566683805717E-2</v>
      </c>
      <c r="FZ145" s="1715">
        <v>315788</v>
      </c>
      <c r="GA145" s="1716">
        <f t="shared" si="180"/>
        <v>4.0818600442713807E-2</v>
      </c>
      <c r="GB145" s="1715">
        <v>254927</v>
      </c>
      <c r="GC145" s="1716">
        <f t="shared" si="181"/>
        <v>3.8682846695280951E-2</v>
      </c>
      <c r="GD145" s="1715">
        <v>360831</v>
      </c>
      <c r="GE145" s="1716">
        <f t="shared" si="182"/>
        <v>1.3167290836779871E-2</v>
      </c>
      <c r="GF145" s="1715">
        <v>327930</v>
      </c>
      <c r="GG145" s="1716">
        <f t="shared" si="183"/>
        <v>2.7145201872624081E-2</v>
      </c>
      <c r="GH145" s="1786">
        <v>185904</v>
      </c>
      <c r="GI145" s="1716">
        <f t="shared" si="184"/>
        <v>1.7252621386145452E-2</v>
      </c>
      <c r="GJ145" s="1715">
        <v>1420704</v>
      </c>
      <c r="GK145" s="1716">
        <f t="shared" si="185"/>
        <v>2.6170418811731124E-2</v>
      </c>
      <c r="GL145" s="1715">
        <v>530620</v>
      </c>
      <c r="GM145" s="1716">
        <f t="shared" si="186"/>
        <v>5.3931439522835536E-2</v>
      </c>
      <c r="GN145" s="1715">
        <v>17172</v>
      </c>
      <c r="GO145" s="1716">
        <f t="shared" si="187"/>
        <v>2.5109128642172543E-3</v>
      </c>
      <c r="GP145" s="1715">
        <v>243986</v>
      </c>
      <c r="GQ145" s="1716">
        <f t="shared" si="188"/>
        <v>2.0308664464714875E-2</v>
      </c>
      <c r="GR145" s="1715">
        <v>478624</v>
      </c>
      <c r="GS145" s="1716">
        <f t="shared" si="189"/>
        <v>4.7816429284885512E-2</v>
      </c>
      <c r="GT145" s="1715">
        <v>153297</v>
      </c>
      <c r="GU145" s="1716">
        <f t="shared" si="190"/>
        <v>1.497394014565543E-2</v>
      </c>
      <c r="GV145" s="1715">
        <v>282128</v>
      </c>
      <c r="GW145" s="1716">
        <f t="shared" si="191"/>
        <v>1.8427667837446607E-2</v>
      </c>
      <c r="GX145" s="1715">
        <v>168502</v>
      </c>
      <c r="GY145" s="1716">
        <f t="shared" si="192"/>
        <v>2.2829103360688642E-2</v>
      </c>
      <c r="GZ145" s="1715">
        <v>880169</v>
      </c>
      <c r="HA145" s="1716">
        <f t="shared" si="193"/>
        <v>3.7404718090148628E-2</v>
      </c>
      <c r="HB145" s="1715">
        <v>203977</v>
      </c>
      <c r="HC145" s="1716">
        <f t="shared" si="194"/>
        <v>4.3539140871619544E-2</v>
      </c>
      <c r="HD145" s="1715">
        <v>0</v>
      </c>
      <c r="HE145" s="1716">
        <f t="shared" si="195"/>
        <v>0</v>
      </c>
      <c r="HF145" s="2032">
        <v>778410</v>
      </c>
      <c r="HG145" s="2033">
        <f t="shared" si="196"/>
        <v>2.0117768586657817E-2</v>
      </c>
      <c r="HH145" s="1715">
        <v>618134</v>
      </c>
      <c r="HI145" s="1716">
        <f t="shared" si="197"/>
        <v>3.8885073218307954E-2</v>
      </c>
      <c r="HJ145" s="1715">
        <v>696532</v>
      </c>
      <c r="HK145" s="1716">
        <f t="shared" si="198"/>
        <v>3.9795045221720206E-2</v>
      </c>
      <c r="HL145" s="1715">
        <v>283956</v>
      </c>
      <c r="HM145" s="1716">
        <f t="shared" si="199"/>
        <v>3.932437457285242E-2</v>
      </c>
      <c r="HN145" s="1715">
        <v>293267</v>
      </c>
      <c r="HO145" s="1716">
        <f t="shared" si="200"/>
        <v>3.9019472548515059E-2</v>
      </c>
      <c r="HP145" s="2032">
        <v>1465264</v>
      </c>
      <c r="HQ145" s="2033">
        <f t="shared" si="201"/>
        <v>3.5322069591948113E-2</v>
      </c>
      <c r="HR145" s="1715">
        <v>0</v>
      </c>
      <c r="HS145" s="1716">
        <f t="shared" si="202"/>
        <v>0</v>
      </c>
      <c r="HT145" s="2032">
        <v>363394</v>
      </c>
      <c r="HU145" s="2033">
        <f t="shared" si="203"/>
        <v>1.6116138876578361E-2</v>
      </c>
      <c r="HV145" s="2032">
        <v>273863</v>
      </c>
      <c r="HW145" s="2033">
        <f t="shared" si="204"/>
        <v>1.8351548315352885E-2</v>
      </c>
      <c r="HX145" s="2032">
        <v>291621</v>
      </c>
      <c r="HY145" s="2033">
        <f t="shared" si="205"/>
        <v>2.5442054397406981E-2</v>
      </c>
      <c r="HZ145" s="2032">
        <v>382842</v>
      </c>
      <c r="IA145" s="2033">
        <f t="shared" si="206"/>
        <v>2.410699308202682E-2</v>
      </c>
      <c r="IB145" s="1715">
        <v>314042</v>
      </c>
      <c r="IC145" s="1716">
        <f t="shared" si="207"/>
        <v>3.8781413838049977E-2</v>
      </c>
      <c r="ID145" s="2032">
        <v>272575</v>
      </c>
      <c r="IE145" s="2033">
        <f t="shared" si="208"/>
        <v>2.4945443995956745E-2</v>
      </c>
      <c r="IF145" s="2032">
        <v>0</v>
      </c>
      <c r="IG145" s="2033">
        <f t="shared" si="209"/>
        <v>0</v>
      </c>
    </row>
    <row r="146" spans="1:241" s="1009" customFormat="1">
      <c r="A146" s="1149"/>
      <c r="B146" s="1149"/>
      <c r="C146" s="1149"/>
      <c r="D146" s="1149" t="s">
        <v>19</v>
      </c>
      <c r="E146" s="1143"/>
      <c r="F146" s="1715">
        <f>6892781-4399325</f>
        <v>2493456</v>
      </c>
      <c r="G146" s="1716">
        <f t="shared" si="105"/>
        <v>0.36140673258922962</v>
      </c>
      <c r="H146" s="1715">
        <v>3661223</v>
      </c>
      <c r="I146" s="1716">
        <f t="shared" si="106"/>
        <v>0.32531431881367112</v>
      </c>
      <c r="J146" s="1715">
        <v>2224903</v>
      </c>
      <c r="K146" s="1716">
        <f t="shared" si="107"/>
        <v>0.32718310126339356</v>
      </c>
      <c r="L146" s="1715">
        <f>24771517-L148-L147</f>
        <v>21620373</v>
      </c>
      <c r="M146" s="1716">
        <f>L146/L$150</f>
        <v>0.31843710173035616</v>
      </c>
      <c r="N146" s="1715">
        <v>3011093</v>
      </c>
      <c r="O146" s="1716">
        <f t="shared" si="109"/>
        <v>0.29010433702704747</v>
      </c>
      <c r="P146" s="1715">
        <v>11279168</v>
      </c>
      <c r="Q146" s="1716">
        <f t="shared" si="110"/>
        <v>0.29703804102866699</v>
      </c>
      <c r="R146" s="1786">
        <v>6170768</v>
      </c>
      <c r="S146" s="1716">
        <f t="shared" si="111"/>
        <v>0.29021395700843672</v>
      </c>
      <c r="T146" s="1715">
        <f>8803659-T143-T144-T147-T148</f>
        <v>2469739</v>
      </c>
      <c r="U146" s="1716">
        <f t="shared" si="112"/>
        <v>0.28053551369947427</v>
      </c>
      <c r="V146" s="1715">
        <v>2493503</v>
      </c>
      <c r="W146" s="1716">
        <f t="shared" si="113"/>
        <v>0.31650604654657855</v>
      </c>
      <c r="X146" s="1715">
        <f>11643226-X147-X148</f>
        <v>9833402</v>
      </c>
      <c r="Y146" s="1716">
        <f t="shared" si="114"/>
        <v>0.3085529883184851</v>
      </c>
      <c r="Z146" s="1786">
        <f>1831160+6695937+4824860-Z143-Z144-Z145-Z147-Z148</f>
        <v>4417656</v>
      </c>
      <c r="AA146" s="1716">
        <f t="shared" si="115"/>
        <v>0.33086206014593966</v>
      </c>
      <c r="AB146" s="1715">
        <v>2523649</v>
      </c>
      <c r="AC146" s="1716">
        <f t="shared" si="116"/>
        <v>0.34169778909466875</v>
      </c>
      <c r="AD146" s="1715">
        <f>39764039-AD143-AD144-AD145-AD147-AD148</f>
        <v>21339202</v>
      </c>
      <c r="AE146" s="1716">
        <f t="shared" si="117"/>
        <v>0.53664573661644377</v>
      </c>
      <c r="AF146" s="1715">
        <v>3948067</v>
      </c>
      <c r="AG146" s="1716">
        <f t="shared" si="118"/>
        <v>0.28720882498883882</v>
      </c>
      <c r="AH146" s="1715">
        <f>1507955-AH147-AH148</f>
        <v>1032673</v>
      </c>
      <c r="AI146" s="1716">
        <f t="shared" si="119"/>
        <v>0.20605379407690097</v>
      </c>
      <c r="AJ146" s="1715">
        <f>(3600877-AJ147-AJ148)+(1593245-AJ144-AJ145)</f>
        <v>2849910</v>
      </c>
      <c r="AK146" s="1716">
        <f t="shared" si="120"/>
        <v>0.26313068184021499</v>
      </c>
      <c r="AL146" s="1715">
        <v>3184922</v>
      </c>
      <c r="AM146" s="1716">
        <f t="shared" si="121"/>
        <v>0.26984886568348332</v>
      </c>
      <c r="AN146" s="1715">
        <v>3159491</v>
      </c>
      <c r="AO146" s="1716">
        <f t="shared" si="122"/>
        <v>0.30585286629820946</v>
      </c>
      <c r="AP146" s="1715">
        <v>4593990</v>
      </c>
      <c r="AQ146" s="1716">
        <f t="shared" si="123"/>
        <v>0.31145699138399885</v>
      </c>
      <c r="AR146" s="1715">
        <f>26025079-16998849-28392</f>
        <v>8997838</v>
      </c>
      <c r="AS146" s="1716">
        <f t="shared" si="124"/>
        <v>0.34573720218101933</v>
      </c>
      <c r="AT146" s="1715">
        <v>3018807</v>
      </c>
      <c r="AU146" s="1716">
        <f t="shared" si="125"/>
        <v>0.27734636335155782</v>
      </c>
      <c r="AV146" s="1715">
        <f>1857313+8498151+5956548-AV143-AV144-AV145-AV147-AV148</f>
        <v>5354042</v>
      </c>
      <c r="AW146" s="1716">
        <f t="shared" si="126"/>
        <v>0.32822695324157436</v>
      </c>
      <c r="AX146" s="1715">
        <v>3200899</v>
      </c>
      <c r="AY146" s="1716">
        <f t="shared" si="127"/>
        <v>0.25520021730573578</v>
      </c>
      <c r="AZ146" s="1715">
        <v>3415324</v>
      </c>
      <c r="BA146" s="1716">
        <f t="shared" si="128"/>
        <v>0.29013636729699432</v>
      </c>
      <c r="BB146" s="1715">
        <f>15245550-BB143-BB144-BB145-BB147-BB148</f>
        <v>4436501</v>
      </c>
      <c r="BC146" s="1716">
        <f t="shared" si="129"/>
        <v>0.29100301399424749</v>
      </c>
      <c r="BD146" s="1786">
        <v>2600908</v>
      </c>
      <c r="BE146" s="1716">
        <f t="shared" si="130"/>
        <v>0.28726659315945563</v>
      </c>
      <c r="BF146" s="1715">
        <v>1960262</v>
      </c>
      <c r="BG146" s="1716">
        <f t="shared" si="131"/>
        <v>0.30976872060652194</v>
      </c>
      <c r="BH146" s="1715">
        <v>3797477</v>
      </c>
      <c r="BI146" s="1716">
        <f t="shared" si="132"/>
        <v>0.35227791375256778</v>
      </c>
      <c r="BJ146" s="1715">
        <v>4081440</v>
      </c>
      <c r="BK146" s="1716">
        <f t="shared" si="133"/>
        <v>0.27507756573500169</v>
      </c>
      <c r="BL146" s="1715">
        <v>4565951</v>
      </c>
      <c r="BM146" s="1716">
        <f t="shared" si="134"/>
        <v>0.23776260591445778</v>
      </c>
      <c r="BN146" s="1715">
        <f>4670570-BN147-BN148-BN143-BN145</f>
        <v>2461774</v>
      </c>
      <c r="BO146" s="1716">
        <f t="shared" si="135"/>
        <v>0.52708213344409782</v>
      </c>
      <c r="BP146" s="1715">
        <v>2689971</v>
      </c>
      <c r="BQ146" s="1716">
        <f t="shared" si="136"/>
        <v>0.3091658787065969</v>
      </c>
      <c r="BR146" s="1715">
        <f>6729786-3998165</f>
        <v>2731621</v>
      </c>
      <c r="BS146" s="1716">
        <f t="shared" si="137"/>
        <v>0.40590012817643828</v>
      </c>
      <c r="BT146" s="1715">
        <f>4876655-BT143-BT144-BT147-BT148</f>
        <v>1425060</v>
      </c>
      <c r="BU146" s="1716">
        <f t="shared" si="138"/>
        <v>0.29222079478659041</v>
      </c>
      <c r="BV146" s="1715">
        <v>2294751</v>
      </c>
      <c r="BW146" s="1716">
        <f t="shared" si="139"/>
        <v>0.32597742400457069</v>
      </c>
      <c r="BX146" s="1715">
        <v>3561147</v>
      </c>
      <c r="BY146" s="1716">
        <f t="shared" si="140"/>
        <v>0.28072067742883716</v>
      </c>
      <c r="BZ146" s="1715">
        <v>10790372</v>
      </c>
      <c r="CA146" s="1716">
        <f t="shared" si="141"/>
        <v>0.39331562902961481</v>
      </c>
      <c r="CB146" s="1715">
        <f>2768179+12412-CB147-CB148</f>
        <v>2177717</v>
      </c>
      <c r="CC146" s="1716">
        <f t="shared" si="142"/>
        <v>0.26292200814005107</v>
      </c>
      <c r="CD146" s="1715">
        <v>4345526</v>
      </c>
      <c r="CE146" s="1716">
        <f t="shared" si="143"/>
        <v>0.36726967667953347</v>
      </c>
      <c r="CF146" s="1715">
        <v>3028821</v>
      </c>
      <c r="CG146" s="1716">
        <v>0.29373339166323925</v>
      </c>
      <c r="CH146" s="1715">
        <v>2215271</v>
      </c>
      <c r="CI146" s="1716">
        <v>0.25225320527346257</v>
      </c>
      <c r="CJ146" s="1715">
        <v>3167354</v>
      </c>
      <c r="CK146" s="1716">
        <v>0.34066046110828008</v>
      </c>
      <c r="CL146" s="1715">
        <v>14509793</v>
      </c>
      <c r="CM146" s="1716">
        <v>0.39010506827379698</v>
      </c>
      <c r="CN146" s="1715">
        <f>17650528-CN143-CN144-CN145-CN147-CN148</f>
        <v>6349540</v>
      </c>
      <c r="CO146" s="1716">
        <f t="shared" si="144"/>
        <v>0.35973654725796306</v>
      </c>
      <c r="CP146" s="1715">
        <v>3252394</v>
      </c>
      <c r="CQ146" s="1716">
        <f t="shared" si="145"/>
        <v>0.32045074430251536</v>
      </c>
      <c r="CR146" s="1715">
        <v>5367317</v>
      </c>
      <c r="CS146" s="1716">
        <v>0.27109742768131695</v>
      </c>
      <c r="CT146" s="1715">
        <v>3932323</v>
      </c>
      <c r="CU146" s="1716">
        <f t="shared" si="146"/>
        <v>0.3375393820824229</v>
      </c>
      <c r="CV146" s="1715">
        <v>7111037</v>
      </c>
      <c r="CW146" s="1716">
        <f t="shared" si="147"/>
        <v>0.29939084321807063</v>
      </c>
      <c r="CX146" s="1715">
        <v>8079025</v>
      </c>
      <c r="CY146" s="1716">
        <f t="shared" si="147"/>
        <v>0.29568786028497207</v>
      </c>
      <c r="CZ146" s="1715">
        <v>1938296</v>
      </c>
      <c r="DA146" s="1716">
        <v>0.26487913762619808</v>
      </c>
      <c r="DB146" s="1715">
        <v>4088145</v>
      </c>
      <c r="DC146" s="1716">
        <v>0.26455072848849503</v>
      </c>
      <c r="DD146" s="1715">
        <v>1935300</v>
      </c>
      <c r="DE146" s="1716">
        <v>0.27905910377514925</v>
      </c>
      <c r="DF146" s="1715">
        <v>21646919</v>
      </c>
      <c r="DG146" s="1716">
        <v>0.41364964078731042</v>
      </c>
      <c r="DH146" s="1715">
        <v>7717131</v>
      </c>
      <c r="DI146" s="1716">
        <v>0.5478950240446363</v>
      </c>
      <c r="DJ146" s="1715">
        <v>1928244</v>
      </c>
      <c r="DK146" s="1716">
        <v>0.26879691937489203</v>
      </c>
      <c r="DL146" s="1715">
        <v>3801604</v>
      </c>
      <c r="DM146" s="1716">
        <v>0.30665609848606457</v>
      </c>
      <c r="DN146" s="1715">
        <v>2269449</v>
      </c>
      <c r="DO146" s="1716">
        <f t="shared" si="148"/>
        <v>0.28048243321105287</v>
      </c>
      <c r="DP146" s="1715">
        <f>3214027-DP147-DP148</f>
        <v>2750084</v>
      </c>
      <c r="DQ146" s="1716">
        <f t="shared" si="149"/>
        <v>0.38118056748152268</v>
      </c>
      <c r="DR146" s="1715">
        <v>3511739</v>
      </c>
      <c r="DS146" s="1716">
        <f t="shared" si="150"/>
        <v>0.23892987655755654</v>
      </c>
      <c r="DT146" s="1715">
        <f>13606415-DT147-DT148+145470+173621</f>
        <v>12156914</v>
      </c>
      <c r="DU146" s="1716">
        <f t="shared" si="151"/>
        <v>0.32049901921122725</v>
      </c>
      <c r="DV146" s="1715">
        <f>2985258+6023-DV147-DV148</f>
        <v>2469340</v>
      </c>
      <c r="DW146" s="1716">
        <f t="shared" si="152"/>
        <v>0.30540848604540943</v>
      </c>
      <c r="DX146" s="1715">
        <v>3506125</v>
      </c>
      <c r="DY146" s="1716">
        <f t="shared" si="153"/>
        <v>0.21626084149237607</v>
      </c>
      <c r="DZ146" s="1715">
        <f>12898111-DZ145</f>
        <v>12338808</v>
      </c>
      <c r="EA146" s="1716">
        <f t="shared" si="154"/>
        <v>0.34648641192756263</v>
      </c>
      <c r="EB146" s="1715">
        <f>7410536-EB147-EB148</f>
        <v>6540062</v>
      </c>
      <c r="EC146" s="1716">
        <f t="shared" si="155"/>
        <v>0.30177911869796925</v>
      </c>
      <c r="ED146" s="1715">
        <f>8083779-5228493</f>
        <v>2855286</v>
      </c>
      <c r="EE146" s="1716">
        <f t="shared" si="156"/>
        <v>0.353211783746191</v>
      </c>
      <c r="EF146" s="1715">
        <f>4354191-EF147-EF148+2414</f>
        <v>3733910</v>
      </c>
      <c r="EG146" s="1716">
        <f t="shared" si="157"/>
        <v>0.31479735843746809</v>
      </c>
      <c r="EH146" s="1715">
        <v>9102720</v>
      </c>
      <c r="EI146" s="1716">
        <f t="shared" si="158"/>
        <v>0.23041037113967544</v>
      </c>
      <c r="EJ146" s="1715">
        <f>16938908-EJ143-EJ144-EJ145-EJ147-EJ148</f>
        <v>4469910</v>
      </c>
      <c r="EK146" s="1716">
        <f t="shared" si="159"/>
        <v>0.26388418899258442</v>
      </c>
      <c r="EL146" s="1715">
        <v>12922377</v>
      </c>
      <c r="EM146" s="1716">
        <f t="shared" si="160"/>
        <v>0.31133100989489115</v>
      </c>
      <c r="EN146" s="1715">
        <f>3627904+12629</f>
        <v>3640533</v>
      </c>
      <c r="EO146" s="1716">
        <f t="shared" si="161"/>
        <v>0.28789007941597872</v>
      </c>
      <c r="EP146" s="1715">
        <v>2846964</v>
      </c>
      <c r="EQ146" s="1716">
        <f t="shared" si="162"/>
        <v>0.27524854861838371</v>
      </c>
      <c r="ER146" s="1715">
        <f>8734276-ER143-ER144-ER145-ER147-ER148</f>
        <v>4142074</v>
      </c>
      <c r="ES146" s="1716">
        <f t="shared" si="163"/>
        <v>0.47423209433729824</v>
      </c>
      <c r="ET146" s="1715">
        <v>3923201</v>
      </c>
      <c r="EU146" s="1716">
        <f t="shared" si="164"/>
        <v>0.23713780687840905</v>
      </c>
      <c r="EV146" s="1715">
        <v>3823537</v>
      </c>
      <c r="EW146" s="1716">
        <f t="shared" si="165"/>
        <v>0.32354926769497389</v>
      </c>
      <c r="EX146" s="1715">
        <f>7873492-EX147-EX148-EX145-EX144-EX143</f>
        <v>2270436</v>
      </c>
      <c r="EY146" s="1716">
        <f t="shared" si="166"/>
        <v>0.28836455285659779</v>
      </c>
      <c r="EZ146" s="1715">
        <v>4124986</v>
      </c>
      <c r="FA146" s="1716">
        <f t="shared" si="167"/>
        <v>0.2816068012949724</v>
      </c>
      <c r="FB146" s="1715">
        <f>1955263-FB147-FB148+4706</f>
        <v>1639067</v>
      </c>
      <c r="FC146" s="1716">
        <f t="shared" si="168"/>
        <v>0.31370249701956532</v>
      </c>
      <c r="FD146" s="1715">
        <v>3104034</v>
      </c>
      <c r="FE146" s="1716">
        <f t="shared" si="169"/>
        <v>0.33161232977544836</v>
      </c>
      <c r="FF146" s="1715">
        <v>5468650</v>
      </c>
      <c r="FG146" s="1716">
        <f t="shared" si="170"/>
        <v>0.4010956795805396</v>
      </c>
      <c r="FH146" s="1715">
        <v>3499786</v>
      </c>
      <c r="FI146" s="1716">
        <f t="shared" si="171"/>
        <v>0.31032235153603438</v>
      </c>
      <c r="FJ146" s="1715">
        <v>2364975</v>
      </c>
      <c r="FK146" s="1716">
        <f t="shared" si="172"/>
        <v>0.25390576142418914</v>
      </c>
      <c r="FL146" s="1715">
        <v>4587067</v>
      </c>
      <c r="FM146" s="1716">
        <f t="shared" si="173"/>
        <v>0.44834280765817364</v>
      </c>
      <c r="FN146" s="1715">
        <v>6377015</v>
      </c>
      <c r="FO146" s="1716">
        <f t="shared" si="174"/>
        <v>0.33360791269861906</v>
      </c>
      <c r="FP146" s="1715">
        <v>1804263</v>
      </c>
      <c r="FQ146" s="1716">
        <f t="shared" si="175"/>
        <v>0.34333796886203477</v>
      </c>
      <c r="FR146" s="1715">
        <v>6682464</v>
      </c>
      <c r="FS146" s="1716">
        <f t="shared" si="176"/>
        <v>0.31698906909545088</v>
      </c>
      <c r="FT146" s="1715">
        <v>7386226</v>
      </c>
      <c r="FU146" s="1716">
        <f t="shared" si="177"/>
        <v>0.32834173736807609</v>
      </c>
      <c r="FV146" s="1715">
        <v>10342069</v>
      </c>
      <c r="FW146" s="1716">
        <f t="shared" si="178"/>
        <v>0.29733904604598776</v>
      </c>
      <c r="FX146" s="1715">
        <v>4045143</v>
      </c>
      <c r="FY146" s="1716">
        <f t="shared" si="179"/>
        <v>0.38346193310309368</v>
      </c>
      <c r="FZ146" s="1715">
        <v>2044043</v>
      </c>
      <c r="GA146" s="1716">
        <f t="shared" si="180"/>
        <v>0.26421198558756526</v>
      </c>
      <c r="GB146" s="1715">
        <v>2650941</v>
      </c>
      <c r="GC146" s="1716">
        <f t="shared" si="181"/>
        <v>0.40225611371582759</v>
      </c>
      <c r="GD146" s="1715">
        <f>27403587-17718478</f>
        <v>9685109</v>
      </c>
      <c r="GE146" s="1716">
        <f t="shared" si="182"/>
        <v>0.35342486368664072</v>
      </c>
      <c r="GF146" s="1715">
        <f>3304003-GF147-GF148+402037+1430+64</f>
        <v>3346311</v>
      </c>
      <c r="GG146" s="1716">
        <f t="shared" si="183"/>
        <v>0.27699901693526841</v>
      </c>
      <c r="GH146" s="1786">
        <v>4854635</v>
      </c>
      <c r="GI146" s="1716">
        <f t="shared" si="184"/>
        <v>0.45052919583726125</v>
      </c>
      <c r="GJ146" s="1715">
        <v>15119309</v>
      </c>
      <c r="GK146" s="1716">
        <f t="shared" si="185"/>
        <v>0.2785088580548627</v>
      </c>
      <c r="GL146" s="1715">
        <f>1503618+4513657+3821513-GL145-GL144-GL148-GL147-GL143</f>
        <v>3535914</v>
      </c>
      <c r="GM146" s="1716">
        <f t="shared" si="186"/>
        <v>0.35938511938665618</v>
      </c>
      <c r="GN146" s="1715">
        <v>2162474</v>
      </c>
      <c r="GO146" s="1716">
        <f t="shared" si="187"/>
        <v>0.31619984772509568</v>
      </c>
      <c r="GP146" s="1715">
        <f>4464619-GP148+14431+126214</f>
        <v>4166713</v>
      </c>
      <c r="GQ146" s="1716">
        <f t="shared" si="188"/>
        <v>0.34682472042562079</v>
      </c>
      <c r="GR146" s="1715">
        <v>3527279</v>
      </c>
      <c r="GS146" s="1716">
        <f t="shared" si="189"/>
        <v>0.35238911310665927</v>
      </c>
      <c r="GT146" s="1715">
        <v>4725902</v>
      </c>
      <c r="GU146" s="1716">
        <f t="shared" si="190"/>
        <v>0.46162269113050675</v>
      </c>
      <c r="GV146" s="1715">
        <v>8316496</v>
      </c>
      <c r="GW146" s="1716">
        <f t="shared" si="191"/>
        <v>0.5432060123754231</v>
      </c>
      <c r="GX146" s="1715">
        <v>2384143</v>
      </c>
      <c r="GY146" s="1716">
        <f t="shared" si="192"/>
        <v>0.32301009467936465</v>
      </c>
      <c r="GZ146" s="1715">
        <f>8802439-GZ147-GZ148</f>
        <v>7930233</v>
      </c>
      <c r="HA146" s="1716">
        <f t="shared" si="193"/>
        <v>0.33701269841836473</v>
      </c>
      <c r="HB146" s="1715">
        <v>1539427</v>
      </c>
      <c r="HC146" s="1716">
        <f t="shared" si="194"/>
        <v>0.32859258158799604</v>
      </c>
      <c r="HD146" s="1715">
        <v>2824290</v>
      </c>
      <c r="HE146" s="1716">
        <f t="shared" si="195"/>
        <v>0.28241770329186833</v>
      </c>
      <c r="HF146" s="2032">
        <v>12664000</v>
      </c>
      <c r="HG146" s="2033">
        <f t="shared" si="196"/>
        <v>0.32729721018670699</v>
      </c>
      <c r="HH146" s="1715">
        <v>5351276</v>
      </c>
      <c r="HI146" s="1716">
        <f t="shared" si="197"/>
        <v>0.33663373810755293</v>
      </c>
      <c r="HJ146" s="1715">
        <v>4913238</v>
      </c>
      <c r="HK146" s="1716">
        <f t="shared" si="198"/>
        <v>0.28070860835550143</v>
      </c>
      <c r="HL146" s="1715">
        <f>2684354-HL147-HL148+3122</f>
        <v>2419605</v>
      </c>
      <c r="HM146" s="1716">
        <f t="shared" si="199"/>
        <v>0.33508520101123618</v>
      </c>
      <c r="HN146" s="1715">
        <f>2779227-HN147-HN148</f>
        <v>2419064</v>
      </c>
      <c r="HO146" s="1716">
        <f t="shared" si="200"/>
        <v>0.3218589249424621</v>
      </c>
      <c r="HP146" s="2032">
        <v>11781433</v>
      </c>
      <c r="HQ146" s="2033">
        <f t="shared" si="201"/>
        <v>0.28400656558741227</v>
      </c>
      <c r="HR146" s="1715">
        <f>2072498+18784-HR147-HR148</f>
        <v>1708708</v>
      </c>
      <c r="HS146" s="1716">
        <f t="shared" si="202"/>
        <v>0.28438496360032639</v>
      </c>
      <c r="HT146" s="2032">
        <f>10491825-4227227</f>
        <v>6264598</v>
      </c>
      <c r="HU146" s="2033">
        <f t="shared" si="203"/>
        <v>0.27782828382949376</v>
      </c>
      <c r="HV146" s="2032">
        <f>14923155-HV143-HV144-HV145-HV148-HV147</f>
        <v>4590291</v>
      </c>
      <c r="HW146" s="2033">
        <f t="shared" si="204"/>
        <v>0.30759521026217312</v>
      </c>
      <c r="HX146" s="2032">
        <f>5125583+2965-HX147-HX148</f>
        <v>4717211</v>
      </c>
      <c r="HY146" s="2033">
        <f t="shared" si="205"/>
        <v>0.41154628393032938</v>
      </c>
      <c r="HZ146" s="2032">
        <v>7087942</v>
      </c>
      <c r="IA146" s="2033">
        <f t="shared" si="206"/>
        <v>0.44631719811255649</v>
      </c>
      <c r="IB146" s="1715">
        <v>3120670</v>
      </c>
      <c r="IC146" s="1716">
        <f t="shared" si="207"/>
        <v>0.38537518778375957</v>
      </c>
      <c r="ID146" s="2032">
        <v>4159859</v>
      </c>
      <c r="IE146" s="2033">
        <f t="shared" si="208"/>
        <v>0.38070083358920165</v>
      </c>
      <c r="IF146" s="2032">
        <v>2546110</v>
      </c>
      <c r="IG146" s="2033">
        <f t="shared" si="209"/>
        <v>0.32795130867656497</v>
      </c>
    </row>
    <row r="147" spans="1:241" s="1009" customFormat="1">
      <c r="A147" s="1149"/>
      <c r="B147" s="1149"/>
      <c r="C147" s="1149"/>
      <c r="D147" s="1149" t="s">
        <v>41</v>
      </c>
      <c r="E147" s="1143"/>
      <c r="F147" s="1715">
        <v>26065</v>
      </c>
      <c r="G147" s="1716">
        <f>F147/F$150</f>
        <v>3.777915666022689E-3</v>
      </c>
      <c r="H147" s="1715">
        <v>106542</v>
      </c>
      <c r="I147" s="1716">
        <f>H147/H$150</f>
        <v>9.4666831698167926E-3</v>
      </c>
      <c r="J147" s="1715">
        <v>104025</v>
      </c>
      <c r="K147" s="1716">
        <f>J147/J$150</f>
        <v>1.5297395935429328E-2</v>
      </c>
      <c r="L147" s="1715">
        <v>1490565</v>
      </c>
      <c r="M147" s="1716">
        <f>L147/L$150</f>
        <v>2.1953885741967005E-2</v>
      </c>
      <c r="N147" s="1715">
        <v>27431</v>
      </c>
      <c r="O147" s="1716">
        <f>N147/N$150</f>
        <v>2.642844996480992E-3</v>
      </c>
      <c r="P147" s="1715">
        <v>461499</v>
      </c>
      <c r="Q147" s="1716">
        <f>P147/P$150</f>
        <v>1.2153623290005858E-2</v>
      </c>
      <c r="R147" s="1786">
        <v>328200</v>
      </c>
      <c r="S147" s="1716">
        <f>R147/R$150</f>
        <v>1.5435391622269536E-2</v>
      </c>
      <c r="T147" s="1715">
        <v>108919</v>
      </c>
      <c r="U147" s="1716">
        <f>T147/T$150</f>
        <v>1.2372014863365335E-2</v>
      </c>
      <c r="V147" s="1715"/>
      <c r="W147" s="1716">
        <f>V147/V$150</f>
        <v>0</v>
      </c>
      <c r="X147" s="1715">
        <v>830403</v>
      </c>
      <c r="Y147" s="1716">
        <f>X147/X$150</f>
        <v>2.6056427588197349E-2</v>
      </c>
      <c r="Z147" s="1786">
        <v>121912</v>
      </c>
      <c r="AA147" s="1716">
        <f>Z147/Z$150</f>
        <v>9.1306465411774475E-3</v>
      </c>
      <c r="AB147" s="1715">
        <v>0</v>
      </c>
      <c r="AC147" s="1716">
        <f>AB147/AB$150</f>
        <v>0</v>
      </c>
      <c r="AD147" s="1715">
        <v>0</v>
      </c>
      <c r="AE147" s="1716">
        <f>AD147/AD$150</f>
        <v>0</v>
      </c>
      <c r="AF147" s="1715">
        <v>136920</v>
      </c>
      <c r="AG147" s="1716">
        <f>AF147/AF$150</f>
        <v>9.9604774481972611E-3</v>
      </c>
      <c r="AH147" s="1715">
        <v>116159</v>
      </c>
      <c r="AI147" s="1716">
        <f>AH147/AH$150</f>
        <v>2.317771711488413E-2</v>
      </c>
      <c r="AJ147" s="1715">
        <v>495663</v>
      </c>
      <c r="AK147" s="1716">
        <f>AJ147/AJ$150</f>
        <v>4.5764302435152858E-2</v>
      </c>
      <c r="AL147" s="1715">
        <v>955064</v>
      </c>
      <c r="AM147" s="1716">
        <f>AL147/AL$150</f>
        <v>8.0919701347515055E-2</v>
      </c>
      <c r="AN147" s="1715">
        <v>89355</v>
      </c>
      <c r="AO147" s="1716">
        <f>AN147/AN$150</f>
        <v>8.6499638290080602E-3</v>
      </c>
      <c r="AP147" s="1715">
        <v>234688</v>
      </c>
      <c r="AQ147" s="1716">
        <f>AP147/AP$150</f>
        <v>1.5911053004888542E-2</v>
      </c>
      <c r="AR147" s="1715">
        <v>447251</v>
      </c>
      <c r="AS147" s="1716">
        <f>AR147/AR$150</f>
        <v>1.7185384912760494E-2</v>
      </c>
      <c r="AT147" s="1715">
        <v>236667</v>
      </c>
      <c r="AU147" s="1716">
        <f>AT147/AT$150</f>
        <v>2.1743268706917382E-2</v>
      </c>
      <c r="AV147" s="1715">
        <v>256531</v>
      </c>
      <c r="AW147" s="1716">
        <f>AV147/AV$150</f>
        <v>1.5726508783833654E-2</v>
      </c>
      <c r="AX147" s="1715">
        <v>374473</v>
      </c>
      <c r="AY147" s="1716">
        <f>AX147/AX$150</f>
        <v>2.9855859549186271E-2</v>
      </c>
      <c r="AZ147" s="1715">
        <v>4006</v>
      </c>
      <c r="BA147" s="1716">
        <f>AZ147/AZ$150</f>
        <v>3.4031508793653522E-4</v>
      </c>
      <c r="BB147" s="1715">
        <v>113099</v>
      </c>
      <c r="BC147" s="1716">
        <f>BB147/BB$150</f>
        <v>7.4184926093187852E-3</v>
      </c>
      <c r="BD147" s="1786">
        <v>173477</v>
      </c>
      <c r="BE147" s="1716">
        <f>BD147/BD$150</f>
        <v>1.916028816917895E-2</v>
      </c>
      <c r="BF147" s="1715">
        <v>5964</v>
      </c>
      <c r="BG147" s="1716">
        <f>BF147/BF$150</f>
        <v>9.4245598277031177E-4</v>
      </c>
      <c r="BH147" s="1715">
        <v>355323</v>
      </c>
      <c r="BI147" s="1716">
        <f>BH147/BH$150</f>
        <v>3.2962002178895E-2</v>
      </c>
      <c r="BJ147" s="1715">
        <v>223023</v>
      </c>
      <c r="BK147" s="1716">
        <f>BJ147/BJ$150</f>
        <v>1.5031122334988945E-2</v>
      </c>
      <c r="BL147" s="1715">
        <v>258773</v>
      </c>
      <c r="BM147" s="1716">
        <f>BL147/BL$150</f>
        <v>1.347507733225827E-2</v>
      </c>
      <c r="BN147" s="1715">
        <v>64155</v>
      </c>
      <c r="BO147" s="1716">
        <f t="shared" si="135"/>
        <v>1.3736010808102651E-2</v>
      </c>
      <c r="BP147" s="1715">
        <v>263852</v>
      </c>
      <c r="BQ147" s="1716">
        <f>BP147/BP$150</f>
        <v>3.0325247160096897E-2</v>
      </c>
      <c r="BR147" s="1715">
        <v>234386</v>
      </c>
      <c r="BS147" s="1716">
        <f>BR147/BR$150</f>
        <v>3.4828150553375695E-2</v>
      </c>
      <c r="BT147" s="1715">
        <v>73376</v>
      </c>
      <c r="BU147" s="1716">
        <f>BT147/BT$150</f>
        <v>1.5046379126675969E-2</v>
      </c>
      <c r="BV147" s="1715">
        <v>74729</v>
      </c>
      <c r="BW147" s="1716">
        <f>BV147/BV$150</f>
        <v>1.0615516419183417E-2</v>
      </c>
      <c r="BX147" s="1715">
        <v>231905</v>
      </c>
      <c r="BY147" s="1716">
        <f>BX147/BX$150</f>
        <v>1.8280775463392688E-2</v>
      </c>
      <c r="BZ147" s="1715">
        <v>394808</v>
      </c>
      <c r="CA147" s="1716">
        <f>BZ147/BZ$150</f>
        <v>1.4390991975617167E-2</v>
      </c>
      <c r="CB147" s="1715">
        <v>296633</v>
      </c>
      <c r="CC147" s="1716">
        <f>CB147/CB$150</f>
        <v>3.5813351340237401E-2</v>
      </c>
      <c r="CD147" s="1715">
        <v>345565</v>
      </c>
      <c r="CE147" s="1716">
        <f>CD147/CD$150</f>
        <v>2.9206026110938695E-2</v>
      </c>
      <c r="CF147" s="1715">
        <v>107675</v>
      </c>
      <c r="CG147" s="1716">
        <v>1.0442262169781339E-2</v>
      </c>
      <c r="CH147" s="1715">
        <v>170852</v>
      </c>
      <c r="CI147" s="1716">
        <v>1.94549401077257E-2</v>
      </c>
      <c r="CJ147" s="1715">
        <v>136710</v>
      </c>
      <c r="CK147" s="1716">
        <v>1.4703658523206741E-2</v>
      </c>
      <c r="CL147" s="1715">
        <v>286341</v>
      </c>
      <c r="CM147" s="1716">
        <v>7.698460988009085E-3</v>
      </c>
      <c r="CN147" s="1715">
        <v>231600</v>
      </c>
      <c r="CO147" s="1716">
        <f>CN147/CN$150</f>
        <v>1.3121420503681249E-2</v>
      </c>
      <c r="CP147" s="1715">
        <v>135219</v>
      </c>
      <c r="CQ147" s="1716">
        <f>CP147/CP$150</f>
        <v>1.3322810580096331E-2</v>
      </c>
      <c r="CR147" s="1715">
        <v>410314</v>
      </c>
      <c r="CS147" s="1716">
        <v>2.0724520266202254E-2</v>
      </c>
      <c r="CT147" s="1715">
        <v>269765</v>
      </c>
      <c r="CU147" s="1716">
        <f>CT147/CT$150</f>
        <v>2.3155857595488674E-2</v>
      </c>
      <c r="CV147" s="1715">
        <v>241946</v>
      </c>
      <c r="CW147" s="1716">
        <f>CV147/CV$150</f>
        <v>1.0186477296242351E-2</v>
      </c>
      <c r="CX147" s="1715">
        <v>45765</v>
      </c>
      <c r="CY147" s="1716">
        <f>CX147/CX$150</f>
        <v>1.6749737655152382E-3</v>
      </c>
      <c r="CZ147" s="1715">
        <v>259317</v>
      </c>
      <c r="DA147" s="1716">
        <v>3.5437138255360795E-2</v>
      </c>
      <c r="DB147" s="1715">
        <v>190580</v>
      </c>
      <c r="DC147" s="1716">
        <v>1.2332751855753008E-2</v>
      </c>
      <c r="DD147" s="1715">
        <v>74329</v>
      </c>
      <c r="DE147" s="1716">
        <v>1.0717813323258963E-2</v>
      </c>
      <c r="DF147" s="1715">
        <v>0</v>
      </c>
      <c r="DG147" s="1716">
        <v>0</v>
      </c>
      <c r="DH147" s="1715">
        <v>18323</v>
      </c>
      <c r="DI147" s="1716">
        <v>1.3008824815297123E-3</v>
      </c>
      <c r="DJ147" s="1715">
        <v>84765</v>
      </c>
      <c r="DK147" s="1716">
        <v>1.1816228065956759E-2</v>
      </c>
      <c r="DL147" s="1715">
        <v>214612</v>
      </c>
      <c r="DM147" s="1716">
        <v>1.731166071171308E-2</v>
      </c>
      <c r="DN147" s="1715">
        <v>105824</v>
      </c>
      <c r="DO147" s="1716">
        <f>DN147/DN$150</f>
        <v>1.3078845575347345E-2</v>
      </c>
      <c r="DP147" s="1715">
        <v>156360</v>
      </c>
      <c r="DQ147" s="1716">
        <f>DP147/DP$150</f>
        <v>2.1672572012858837E-2</v>
      </c>
      <c r="DR147" s="1715">
        <v>240725</v>
      </c>
      <c r="DS147" s="1716">
        <f>DR147/DR$150</f>
        <v>1.6378322686941654E-2</v>
      </c>
      <c r="DT147" s="1715">
        <v>725711</v>
      </c>
      <c r="DU147" s="1716">
        <f>DT147/DT$150</f>
        <v>1.9132294900728833E-2</v>
      </c>
      <c r="DV147" s="1715">
        <v>112149</v>
      </c>
      <c r="DW147" s="1716">
        <f>DV147/DV$150</f>
        <v>1.3870611702522384E-2</v>
      </c>
      <c r="DX147" s="1715">
        <v>449589</v>
      </c>
      <c r="DY147" s="1716">
        <f>DX147/DX$150</f>
        <v>2.7731040811641301E-2</v>
      </c>
      <c r="DZ147" s="1715">
        <v>100279</v>
      </c>
      <c r="EA147" s="1716">
        <f>DZ147/DZ$150</f>
        <v>2.8159373986274892E-3</v>
      </c>
      <c r="EB147" s="1715">
        <v>457840</v>
      </c>
      <c r="EC147" s="1716">
        <f>EB147/EB$150</f>
        <v>2.1126183773896676E-2</v>
      </c>
      <c r="ED147" s="1715">
        <v>167336</v>
      </c>
      <c r="EE147" s="1716">
        <f>ED147/ED$150</f>
        <v>2.0700219538411429E-2</v>
      </c>
      <c r="EF147" s="1715">
        <v>221718</v>
      </c>
      <c r="EG147" s="1716">
        <f>EF147/EF$150</f>
        <v>1.8692534291945589E-2</v>
      </c>
      <c r="EH147" s="1715">
        <v>556049</v>
      </c>
      <c r="EI147" s="1716">
        <f>EH147/EH$150</f>
        <v>1.4074854160277959E-2</v>
      </c>
      <c r="EJ147" s="1715">
        <v>436026</v>
      </c>
      <c r="EK147" s="1716">
        <f>EJ147/EJ$150</f>
        <v>2.5741092637140483E-2</v>
      </c>
      <c r="EL147" s="1715">
        <v>1073151</v>
      </c>
      <c r="EM147" s="1716">
        <f t="shared" si="160"/>
        <v>2.5854777692967193E-2</v>
      </c>
      <c r="EN147" s="1715">
        <v>0</v>
      </c>
      <c r="EO147" s="1716">
        <f>EN147/EN$150</f>
        <v>0</v>
      </c>
      <c r="EP147" s="1715">
        <v>247051</v>
      </c>
      <c r="EQ147" s="1716">
        <f>EP147/EP$150</f>
        <v>2.3885243784157548E-2</v>
      </c>
      <c r="ER147" s="1715">
        <v>23651</v>
      </c>
      <c r="ES147" s="1716">
        <f>ER147/ER$150</f>
        <v>2.7078374899075779E-3</v>
      </c>
      <c r="ET147" s="1715">
        <v>528711</v>
      </c>
      <c r="EU147" s="1716">
        <f>ET147/ET$150</f>
        <v>3.1957925941722212E-2</v>
      </c>
      <c r="EV147" s="1715">
        <v>71335</v>
      </c>
      <c r="EW147" s="1716">
        <f>EV147/EV$150</f>
        <v>6.0363969306484969E-3</v>
      </c>
      <c r="EX147" s="1715">
        <v>90</v>
      </c>
      <c r="EY147" s="1716">
        <f>EX147/EX$150</f>
        <v>1.1430760328454008E-5</v>
      </c>
      <c r="EZ147" s="1715">
        <v>379941</v>
      </c>
      <c r="FA147" s="1716">
        <f>EZ147/EZ$150</f>
        <v>2.5938020078325869E-2</v>
      </c>
      <c r="FB147" s="1715">
        <v>110004</v>
      </c>
      <c r="FC147" s="1716">
        <f>FB147/FB$150</f>
        <v>2.1053763807178268E-2</v>
      </c>
      <c r="FD147" s="1715">
        <v>124577</v>
      </c>
      <c r="FE147" s="1716">
        <f>FD147/FD$150</f>
        <v>1.3308897133999185E-2</v>
      </c>
      <c r="FF147" s="1715">
        <v>0</v>
      </c>
      <c r="FG147" s="1716">
        <f>FF147/FF$150</f>
        <v>0</v>
      </c>
      <c r="FH147" s="1715">
        <v>303492</v>
      </c>
      <c r="FI147" s="1716">
        <f>FH147/FH$150</f>
        <v>2.6910317120067955E-2</v>
      </c>
      <c r="FJ147" s="1715">
        <v>100616</v>
      </c>
      <c r="FK147" s="1716">
        <f>FJ147/FJ$150</f>
        <v>1.0802220780962256E-2</v>
      </c>
      <c r="FL147" s="1715">
        <v>0</v>
      </c>
      <c r="FM147" s="1716">
        <f>FL147/FL$150</f>
        <v>0</v>
      </c>
      <c r="FN147" s="1715">
        <v>310798</v>
      </c>
      <c r="FO147" s="1716">
        <f>FN147/FN$150</f>
        <v>1.6259123124362323E-2</v>
      </c>
      <c r="FP147" s="1715" t="s">
        <v>1414</v>
      </c>
      <c r="FQ147" s="1716">
        <f>FP147/FP$150</f>
        <v>0</v>
      </c>
      <c r="FR147" s="1715">
        <v>359762</v>
      </c>
      <c r="FS147" s="1716">
        <f>FR147/FR$150</f>
        <v>1.7065654446610949E-2</v>
      </c>
      <c r="FT147" s="1715">
        <v>227715</v>
      </c>
      <c r="FU147" s="1716">
        <f>FT147/FT$150</f>
        <v>1.0122671405501462E-2</v>
      </c>
      <c r="FV147" s="1715">
        <v>627628</v>
      </c>
      <c r="FW147" s="1716">
        <f>FV147/FV$150</f>
        <v>1.8044581871553091E-2</v>
      </c>
      <c r="FX147" s="1715"/>
      <c r="FY147" s="1716">
        <f>FX147/FX$150</f>
        <v>0</v>
      </c>
      <c r="FZ147" s="1715">
        <v>32507</v>
      </c>
      <c r="GA147" s="1716">
        <f>FZ147/FZ$150</f>
        <v>4.2018387164531193E-3</v>
      </c>
      <c r="GB147" s="1715">
        <v>56070</v>
      </c>
      <c r="GC147" s="1716">
        <f>GB147/GB$150</f>
        <v>8.5081110051285387E-3</v>
      </c>
      <c r="GD147" s="1715"/>
      <c r="GE147" s="1716">
        <f>GD147/GD$150</f>
        <v>0</v>
      </c>
      <c r="GF147" s="1715">
        <v>137121</v>
      </c>
      <c r="GG147" s="1716">
        <f>GF147/GF$150</f>
        <v>1.135052366656325E-2</v>
      </c>
      <c r="GH147" s="1786">
        <v>0</v>
      </c>
      <c r="GI147" s="1716">
        <f>GH147/GH$150</f>
        <v>0</v>
      </c>
      <c r="GJ147" s="1715">
        <v>540507</v>
      </c>
      <c r="GK147" s="1716">
        <f>GJ147/GJ$150</f>
        <v>9.956538843187852E-3</v>
      </c>
      <c r="GL147" s="1715"/>
      <c r="GM147" s="1716">
        <f>GL147/GL$150</f>
        <v>0</v>
      </c>
      <c r="GN147" s="1715">
        <v>0</v>
      </c>
      <c r="GO147" s="1716">
        <f>GN147/GN$150</f>
        <v>0</v>
      </c>
      <c r="GP147" s="1715" t="s">
        <v>1856</v>
      </c>
      <c r="GQ147" s="1716">
        <f>GP147/GP$150</f>
        <v>0</v>
      </c>
      <c r="GR147" s="1715">
        <v>12848</v>
      </c>
      <c r="GS147" s="1716">
        <f>GR147/GR$150</f>
        <v>1.2835659796671479E-3</v>
      </c>
      <c r="GT147" s="1715">
        <v>46729</v>
      </c>
      <c r="GU147" s="1716">
        <f>GT147/GT$150</f>
        <v>4.5644549408424993E-3</v>
      </c>
      <c r="GV147" s="1715" t="s">
        <v>1412</v>
      </c>
      <c r="GW147" s="1716">
        <f>GV147/GV$150</f>
        <v>0</v>
      </c>
      <c r="GX147" s="1715">
        <v>0</v>
      </c>
      <c r="GY147" s="1716">
        <f>GX147/GX$150</f>
        <v>0</v>
      </c>
      <c r="GZ147" s="1715">
        <v>340181</v>
      </c>
      <c r="HA147" s="1716">
        <f>GZ147/GZ$150</f>
        <v>1.4456740017683935E-2</v>
      </c>
      <c r="HB147" s="1715">
        <v>95943</v>
      </c>
      <c r="HC147" s="1716">
        <f>HB147/HB$150</f>
        <v>2.0479151044705012E-2</v>
      </c>
      <c r="HD147" s="1715">
        <v>377304</v>
      </c>
      <c r="HE147" s="1716">
        <f>HD147/HD$150</f>
        <v>3.7728890844366224E-2</v>
      </c>
      <c r="HF147" s="2032">
        <v>670812</v>
      </c>
      <c r="HG147" s="2033">
        <f>HF147/HF$150</f>
        <v>1.7336931156014316E-2</v>
      </c>
      <c r="HH147" s="1715">
        <v>476087</v>
      </c>
      <c r="HI147" s="1716">
        <f>HH147/HH$150</f>
        <v>2.994929554640997E-2</v>
      </c>
      <c r="HJ147" s="1715">
        <v>165964</v>
      </c>
      <c r="HK147" s="1716">
        <f>HJ147/HJ$150</f>
        <v>9.4820408612634778E-3</v>
      </c>
      <c r="HL147" s="1715">
        <v>117884</v>
      </c>
      <c r="HM147" s="1716">
        <f>HL147/HL$150</f>
        <v>1.6325467932166021E-2</v>
      </c>
      <c r="HN147" s="1715">
        <v>176639</v>
      </c>
      <c r="HO147" s="1716">
        <f>HN147/HN$150</f>
        <v>2.3501998559323591E-2</v>
      </c>
      <c r="HP147" s="2032">
        <v>313439</v>
      </c>
      <c r="HQ147" s="2033">
        <f>HP147/HP$150</f>
        <v>7.5558494379378907E-3</v>
      </c>
      <c r="HR147" s="1715">
        <v>134073</v>
      </c>
      <c r="HS147" s="1716">
        <f>HR147/HR$150</f>
        <v>2.2314137479772182E-2</v>
      </c>
      <c r="HT147" s="2032">
        <v>83107</v>
      </c>
      <c r="HU147" s="2033">
        <f>HT147/HT$150</f>
        <v>3.6857073964231602E-3</v>
      </c>
      <c r="HV147" s="2032">
        <v>367819</v>
      </c>
      <c r="HW147" s="2033">
        <f>HV147/HV$150</f>
        <v>2.4647535993561683E-2</v>
      </c>
      <c r="HX147" s="2032">
        <v>145240</v>
      </c>
      <c r="HY147" s="2033">
        <f>HX147/HX$150</f>
        <v>1.2671254747358352E-2</v>
      </c>
      <c r="HZ147" s="2032">
        <v>230180</v>
      </c>
      <c r="IA147" s="2033">
        <f>HZ147/HZ$150</f>
        <v>1.4494093301207635E-2</v>
      </c>
      <c r="IB147" s="1715">
        <v>126566</v>
      </c>
      <c r="IC147" s="1716">
        <f>IB147/IB$150</f>
        <v>1.5629783353266865E-2</v>
      </c>
      <c r="ID147" s="2032">
        <v>16470</v>
      </c>
      <c r="IE147" s="2033">
        <f>ID147/ID$150</f>
        <v>1.507296937039008E-3</v>
      </c>
      <c r="IF147" s="2032">
        <v>120596</v>
      </c>
      <c r="IG147" s="2033">
        <f>IF147/IF$150</f>
        <v>1.5533349313721335E-2</v>
      </c>
    </row>
    <row r="148" spans="1:241" s="1009" customFormat="1">
      <c r="A148" s="1149"/>
      <c r="B148" s="1149"/>
      <c r="C148" s="1149"/>
      <c r="D148" s="1149" t="s">
        <v>20</v>
      </c>
      <c r="E148" s="1143"/>
      <c r="F148" s="1547">
        <v>524739</v>
      </c>
      <c r="G148" s="1716">
        <f>F148/F$150</f>
        <v>7.6056769179861108E-2</v>
      </c>
      <c r="H148" s="1547">
        <v>241737</v>
      </c>
      <c r="I148" s="1716">
        <f>H148/H$150</f>
        <v>2.1479300082803045E-2</v>
      </c>
      <c r="J148" s="1547">
        <v>146469</v>
      </c>
      <c r="K148" s="1716">
        <f>J148/J$150</f>
        <v>2.1538998176076886E-2</v>
      </c>
      <c r="L148" s="1547">
        <v>1660579</v>
      </c>
      <c r="M148" s="1716">
        <f>L148/L$150</f>
        <v>2.4457948248824992E-2</v>
      </c>
      <c r="N148" s="1547">
        <v>305273</v>
      </c>
      <c r="O148" s="1716">
        <f>N148/N$150</f>
        <v>2.9411586183906595E-2</v>
      </c>
      <c r="P148" s="1547">
        <v>854595</v>
      </c>
      <c r="Q148" s="1716">
        <f>P148/P$150</f>
        <v>2.2505846590182333E-2</v>
      </c>
      <c r="R148" s="1787">
        <v>561437</v>
      </c>
      <c r="S148" s="1716">
        <f>R148/R$150</f>
        <v>2.6404631219476359E-2</v>
      </c>
      <c r="T148" s="1547">
        <v>344976</v>
      </c>
      <c r="U148" s="1716">
        <f>T148/T$150</f>
        <v>3.9185525018631456E-2</v>
      </c>
      <c r="V148" s="1547">
        <v>287301</v>
      </c>
      <c r="W148" s="1716">
        <f>V148/V$150</f>
        <v>3.6467773922421017E-2</v>
      </c>
      <c r="X148" s="1547">
        <v>979421</v>
      </c>
      <c r="Y148" s="1716">
        <f>X148/X$150</f>
        <v>3.0732321974824072E-2</v>
      </c>
      <c r="Z148" s="1787">
        <v>369690</v>
      </c>
      <c r="AA148" s="1716">
        <f>Z148/Z$150</f>
        <v>2.7688075987662333E-2</v>
      </c>
      <c r="AB148" s="1547">
        <v>191359</v>
      </c>
      <c r="AC148" s="1716">
        <f>AB148/AB$150</f>
        <v>2.5909683645929649E-2</v>
      </c>
      <c r="AD148" s="1547">
        <v>1017713</v>
      </c>
      <c r="AE148" s="1716">
        <f>AD148/AD$150</f>
        <v>2.5593803486612617E-2</v>
      </c>
      <c r="AF148" s="1547">
        <v>222368</v>
      </c>
      <c r="AG148" s="1716">
        <f>AF148/AF$150</f>
        <v>1.617653702308449E-2</v>
      </c>
      <c r="AH148" s="1547">
        <v>359123</v>
      </c>
      <c r="AI148" s="1716">
        <f>AH148/AH$150</f>
        <v>7.1657394635357863E-2</v>
      </c>
      <c r="AJ148" s="1547">
        <v>261192</v>
      </c>
      <c r="AK148" s="1716">
        <f>AJ148/AJ$150</f>
        <v>2.4115719110852425E-2</v>
      </c>
      <c r="AL148" s="1547">
        <v>1191182</v>
      </c>
      <c r="AM148" s="1716">
        <f>AL148/AL$150</f>
        <v>0.10092526960552976</v>
      </c>
      <c r="AN148" s="1547">
        <v>312575</v>
      </c>
      <c r="AO148" s="1716">
        <f>AN148/AN$150</f>
        <v>3.0258658652030604E-2</v>
      </c>
      <c r="AP148" s="1547">
        <v>448113</v>
      </c>
      <c r="AQ148" s="1716">
        <f>AP148/AP$150</f>
        <v>3.0380546492277491E-2</v>
      </c>
      <c r="AR148" s="1547">
        <f>1518544+28392</f>
        <v>1546936</v>
      </c>
      <c r="AS148" s="1716">
        <f>AR148/AR$150</f>
        <v>5.9440203812637801E-2</v>
      </c>
      <c r="AT148" s="1547">
        <v>489997</v>
      </c>
      <c r="AU148" s="1716">
        <f>AT148/AT$150</f>
        <v>4.5017414496247452E-2</v>
      </c>
      <c r="AV148" s="1547">
        <v>350048</v>
      </c>
      <c r="AW148" s="1716">
        <f>AV148/AV$150</f>
        <v>2.1459523202901027E-2</v>
      </c>
      <c r="AX148" s="1547">
        <v>501588</v>
      </c>
      <c r="AY148" s="1716">
        <f>AX148/AX$150</f>
        <v>3.9990442246990422E-2</v>
      </c>
      <c r="AZ148" s="1547">
        <v>262093</v>
      </c>
      <c r="BA148" s="1716">
        <f>AZ148/AZ$150</f>
        <v>2.2265152856353051E-2</v>
      </c>
      <c r="BB148" s="1547">
        <v>548483</v>
      </c>
      <c r="BC148" s="1716">
        <f>BB148/BB$150</f>
        <v>3.5976596449455743E-2</v>
      </c>
      <c r="BD148" s="1787">
        <v>281416</v>
      </c>
      <c r="BE148" s="1716">
        <f>BD148/BD$150</f>
        <v>3.1081997356523706E-2</v>
      </c>
      <c r="BF148" s="1547">
        <v>241672</v>
      </c>
      <c r="BG148" s="1716">
        <f>BF148/BF$150</f>
        <v>3.8190010440655058E-2</v>
      </c>
      <c r="BH148" s="1547">
        <v>393365</v>
      </c>
      <c r="BI148" s="1716">
        <f>BH148/BH$150</f>
        <v>3.649101799517912E-2</v>
      </c>
      <c r="BJ148" s="1547">
        <v>310268</v>
      </c>
      <c r="BK148" s="1716">
        <f>BJ148/BJ$150</f>
        <v>2.0911189718694261E-2</v>
      </c>
      <c r="BL148" s="1547">
        <v>379902</v>
      </c>
      <c r="BM148" s="1716">
        <f>BL148/BL$150</f>
        <v>1.9782623491166315E-2</v>
      </c>
      <c r="BN148" s="1547">
        <v>126687</v>
      </c>
      <c r="BO148" s="1716">
        <f t="shared" si="135"/>
        <v>2.7124526556715777E-2</v>
      </c>
      <c r="BP148" s="1547">
        <v>99387</v>
      </c>
      <c r="BQ148" s="1716">
        <f>BP148/BP$150</f>
        <v>1.1422825445706495E-2</v>
      </c>
      <c r="BR148" s="1547">
        <v>177384</v>
      </c>
      <c r="BS148" s="1716">
        <f>BR148/BR$150</f>
        <v>2.6358044668879515E-2</v>
      </c>
      <c r="BT148" s="1547">
        <v>152954</v>
      </c>
      <c r="BU148" s="1716">
        <f>BT148/BT$150</f>
        <v>3.1364531630800212E-2</v>
      </c>
      <c r="BV148" s="1547">
        <v>189169</v>
      </c>
      <c r="BW148" s="1716">
        <f>BV148/BV$150</f>
        <v>2.6872119598823855E-2</v>
      </c>
      <c r="BX148" s="1547">
        <v>935582</v>
      </c>
      <c r="BY148" s="1716">
        <f>BX148/BX$150</f>
        <v>7.3750736161755287E-2</v>
      </c>
      <c r="BZ148" s="1547">
        <v>552805</v>
      </c>
      <c r="CA148" s="1716">
        <f>BZ148/BZ$150</f>
        <v>2.0150078820796561E-2</v>
      </c>
      <c r="CB148" s="1547">
        <v>306241</v>
      </c>
      <c r="CC148" s="1716">
        <f>CB148/CB$150</f>
        <v>3.6973352687616153E-2</v>
      </c>
      <c r="CD148" s="1547">
        <v>351782</v>
      </c>
      <c r="CE148" s="1716">
        <f>CD148/CD$150</f>
        <v>2.9731466662880318E-2</v>
      </c>
      <c r="CF148" s="1547">
        <v>269824</v>
      </c>
      <c r="CG148" s="1716">
        <v>2.61673828437342E-2</v>
      </c>
      <c r="CH148" s="1547">
        <v>275234</v>
      </c>
      <c r="CI148" s="1716">
        <v>3.1340932418758786E-2</v>
      </c>
      <c r="CJ148" s="1547">
        <v>219931</v>
      </c>
      <c r="CK148" s="1716">
        <v>2.3654380240416811E-2</v>
      </c>
      <c r="CL148" s="1547">
        <v>673157</v>
      </c>
      <c r="CM148" s="1716">
        <v>1.8098256635638039E-2</v>
      </c>
      <c r="CN148" s="1715">
        <v>379955</v>
      </c>
      <c r="CO148" s="1716">
        <f>CN148/CN$150</f>
        <v>2.1526551500329054E-2</v>
      </c>
      <c r="CP148" s="1547">
        <v>233251</v>
      </c>
      <c r="CQ148" s="1716">
        <f>CP148/CP$150</f>
        <v>2.2981673364083813E-2</v>
      </c>
      <c r="CR148" s="1547">
        <v>631191</v>
      </c>
      <c r="CS148" s="1716">
        <v>3.1880780746804803E-2</v>
      </c>
      <c r="CT148" s="1547">
        <v>417065</v>
      </c>
      <c r="CU148" s="1716">
        <f>CT148/CT$150</f>
        <v>3.5799669149305817E-2</v>
      </c>
      <c r="CV148" s="1547">
        <v>646903</v>
      </c>
      <c r="CW148" s="1716">
        <f>CV148/CV$150</f>
        <v>2.7236088723810541E-2</v>
      </c>
      <c r="CX148" s="1547">
        <v>616188</v>
      </c>
      <c r="CY148" s="1716">
        <f>CX148/CX$150</f>
        <v>2.2552141038463969E-2</v>
      </c>
      <c r="CZ148" s="1547">
        <v>479518</v>
      </c>
      <c r="DA148" s="1716">
        <v>6.5528853341408774E-2</v>
      </c>
      <c r="DB148" s="1547">
        <v>283069</v>
      </c>
      <c r="DC148" s="1716">
        <v>1.8317870369693293E-2</v>
      </c>
      <c r="DD148" s="1547">
        <v>232372</v>
      </c>
      <c r="DE148" s="1716">
        <v>3.3506702869032699E-2</v>
      </c>
      <c r="DF148" s="1547">
        <v>1008975</v>
      </c>
      <c r="DG148" s="1716">
        <v>1.9280441078630015E-2</v>
      </c>
      <c r="DH148" s="1547">
        <v>461092</v>
      </c>
      <c r="DI148" s="1716">
        <v>3.2736260720051195E-2</v>
      </c>
      <c r="DJ148" s="1547">
        <v>183890</v>
      </c>
      <c r="DK148" s="1716">
        <v>2.5634237940763149E-2</v>
      </c>
      <c r="DL148" s="1547">
        <v>303063</v>
      </c>
      <c r="DM148" s="1716">
        <v>2.4446553921839882E-2</v>
      </c>
      <c r="DN148" s="1547">
        <v>202276</v>
      </c>
      <c r="DO148" s="1716">
        <f>DN148/DN$150</f>
        <v>2.4999400585868609E-2</v>
      </c>
      <c r="DP148" s="1547">
        <v>307583</v>
      </c>
      <c r="DQ148" s="1716">
        <f>DP148/DP$150</f>
        <v>4.2633120474745205E-2</v>
      </c>
      <c r="DR148" s="1547">
        <v>481677</v>
      </c>
      <c r="DS148" s="1716">
        <f>DR148/DR$150</f>
        <v>3.2772089882139352E-2</v>
      </c>
      <c r="DT148" s="1547">
        <v>1042881</v>
      </c>
      <c r="DU148" s="1716">
        <f>DT148/DT$150</f>
        <v>2.749401185646488E-2</v>
      </c>
      <c r="DV148" s="1547">
        <v>409792</v>
      </c>
      <c r="DW148" s="1716">
        <f>DV148/DV$150</f>
        <v>5.0683159999643804E-2</v>
      </c>
      <c r="DX148" s="1547">
        <v>342050</v>
      </c>
      <c r="DY148" s="1716">
        <f>DX148/DX$150</f>
        <v>2.1097941697020849E-2</v>
      </c>
      <c r="DZ148" s="1547">
        <v>1371947</v>
      </c>
      <c r="EA148" s="1716">
        <f>DZ148/DZ$150</f>
        <v>3.8525682009541262E-2</v>
      </c>
      <c r="EB148" s="1547">
        <v>412634</v>
      </c>
      <c r="EC148" s="1716">
        <f>EB148/EB$150</f>
        <v>1.9040236142228904E-2</v>
      </c>
      <c r="ED148" s="1547">
        <v>283548</v>
      </c>
      <c r="EE148" s="1716">
        <f>ED148/ED$150</f>
        <v>3.5076169202547469E-2</v>
      </c>
      <c r="EF148" s="1547">
        <v>400977</v>
      </c>
      <c r="EG148" s="1716">
        <f>EF148/EF$150</f>
        <v>3.3805448014060498E-2</v>
      </c>
      <c r="EH148" s="1547">
        <v>902415</v>
      </c>
      <c r="EI148" s="1716">
        <f>EH148/EH$150</f>
        <v>2.2842158725305206E-2</v>
      </c>
      <c r="EJ148" s="1547">
        <v>314261</v>
      </c>
      <c r="EK148" s="1716">
        <f>EJ148/EJ$150</f>
        <v>1.855261271860028E-2</v>
      </c>
      <c r="EL148" s="1547">
        <v>1174271</v>
      </c>
      <c r="EM148" s="1716">
        <f t="shared" si="160"/>
        <v>2.8291000666540198E-2</v>
      </c>
      <c r="EN148" s="1547">
        <v>315433</v>
      </c>
      <c r="EO148" s="1716">
        <f>EN148/EN$150</f>
        <v>2.4944158292321592E-2</v>
      </c>
      <c r="EP148" s="1715">
        <v>731948</v>
      </c>
      <c r="EQ148" s="1716">
        <f>EP148/EP$150</f>
        <v>7.0765778795983628E-2</v>
      </c>
      <c r="ER148" s="1547">
        <v>286977</v>
      </c>
      <c r="ES148" s="1716">
        <f>ER148/ER$150</f>
        <v>3.2856415345702383E-2</v>
      </c>
      <c r="ET148" s="1547">
        <v>472267</v>
      </c>
      <c r="EU148" s="1716">
        <f>ET148/ET$150</f>
        <v>2.8546169477690696E-2</v>
      </c>
      <c r="EV148" s="1547">
        <v>508840</v>
      </c>
      <c r="EW148" s="1716">
        <f>EV148/EV$150</f>
        <v>4.3058249305266437E-2</v>
      </c>
      <c r="EX148" s="1547">
        <v>176773</v>
      </c>
      <c r="EY148" s="1716">
        <f>EX148/EX$150</f>
        <v>2.2451664394908893E-2</v>
      </c>
      <c r="EZ148" s="1547">
        <v>230416</v>
      </c>
      <c r="FA148" s="1716">
        <f>EZ148/EZ$150</f>
        <v>1.5730165563515214E-2</v>
      </c>
      <c r="FB148" s="1547">
        <v>210898</v>
      </c>
      <c r="FC148" s="1716">
        <f>FB148/FB$150</f>
        <v>4.0363956577999731E-2</v>
      </c>
      <c r="FD148" s="1547">
        <v>307901</v>
      </c>
      <c r="FE148" s="1716">
        <f>FD148/FD$150</f>
        <v>3.2893894831754526E-2</v>
      </c>
      <c r="FF148" s="1547">
        <v>457285</v>
      </c>
      <c r="FG148" s="1716">
        <f>FF148/FF$150</f>
        <v>3.3539363067116572E-2</v>
      </c>
      <c r="FH148" s="1547">
        <v>883772</v>
      </c>
      <c r="FI148" s="1716">
        <f>FH148/FH$150</f>
        <v>7.8363135706498679E-2</v>
      </c>
      <c r="FJ148" s="1547">
        <v>332450</v>
      </c>
      <c r="FK148" s="1716">
        <f>FJ148/FJ$150</f>
        <v>3.5692119530004195E-2</v>
      </c>
      <c r="FL148" s="1547">
        <v>362981</v>
      </c>
      <c r="FM148" s="1716">
        <f>FL148/FL$150</f>
        <v>3.5477990765465497E-2</v>
      </c>
      <c r="FN148" s="1547">
        <v>652433</v>
      </c>
      <c r="FO148" s="1716">
        <f>FN148/FN$150</f>
        <v>3.4131456693405636E-2</v>
      </c>
      <c r="FP148" s="1547">
        <v>174031</v>
      </c>
      <c r="FQ148" s="1716">
        <f>FP148/FP$150</f>
        <v>3.3116818367958982E-2</v>
      </c>
      <c r="FR148" s="1547">
        <v>452317</v>
      </c>
      <c r="FS148" s="1716">
        <f>FR148/FR$150</f>
        <v>2.1456089365546459E-2</v>
      </c>
      <c r="FT148" s="1547">
        <v>493542</v>
      </c>
      <c r="FU148" s="1716">
        <f>FT148/FT$150</f>
        <v>2.1939545005001879E-2</v>
      </c>
      <c r="FV148" s="1547">
        <v>706095</v>
      </c>
      <c r="FW148" s="1716">
        <f>FV148/FV$150</f>
        <v>2.0300542736452612E-2</v>
      </c>
      <c r="FX148" s="1715">
        <v>245660</v>
      </c>
      <c r="FY148" s="1716">
        <f>FX148/FX$150</f>
        <v>2.328749774386369E-2</v>
      </c>
      <c r="FZ148" s="1547">
        <v>283533</v>
      </c>
      <c r="GA148" s="1716">
        <f>FZ148/FZ$150</f>
        <v>3.6649335121423147E-2</v>
      </c>
      <c r="GB148" s="1547">
        <v>93533</v>
      </c>
      <c r="GC148" s="1716">
        <f>GB148/GB$150</f>
        <v>1.4192779501385547E-2</v>
      </c>
      <c r="GD148" s="1547">
        <v>769739</v>
      </c>
      <c r="GE148" s="1716">
        <f>GD148/GD$150</f>
        <v>2.8088987036624075E-2</v>
      </c>
      <c r="GF148" s="1547">
        <v>224102</v>
      </c>
      <c r="GG148" s="1716">
        <f>GF148/GF$150</f>
        <v>1.8550587107183856E-2</v>
      </c>
      <c r="GH148" s="1787">
        <v>343455</v>
      </c>
      <c r="GI148" s="1716">
        <f>GH148/GH$150</f>
        <v>3.1873973008534437E-2</v>
      </c>
      <c r="GJ148" s="1547">
        <v>1659938</v>
      </c>
      <c r="GK148" s="1716">
        <f>GJ148/GJ$150</f>
        <v>3.0577286093026651E-2</v>
      </c>
      <c r="GL148" s="1547">
        <v>285599</v>
      </c>
      <c r="GM148" s="1716">
        <f>GL148/GL$150</f>
        <v>2.9027864001135099E-2</v>
      </c>
      <c r="GN148" s="1547">
        <v>145361</v>
      </c>
      <c r="GO148" s="1716">
        <f>GN148/GN$150</f>
        <v>2.1254880320025874E-2</v>
      </c>
      <c r="GP148" s="1547">
        <v>438551</v>
      </c>
      <c r="GQ148" s="1716">
        <f>GP148/GP$150</f>
        <v>3.6503672791328899E-2</v>
      </c>
      <c r="GR148" s="1547">
        <v>345321</v>
      </c>
      <c r="GS148" s="1716">
        <f>GR148/GR$150</f>
        <v>3.4498932726077153E-2</v>
      </c>
      <c r="GT148" s="1547">
        <v>256130</v>
      </c>
      <c r="GU148" s="1716">
        <f>GT148/GT$150</f>
        <v>2.5018593250401022E-2</v>
      </c>
      <c r="GV148" s="1547">
        <v>288350</v>
      </c>
      <c r="GW148" s="1716">
        <f>GV148/GV$150</f>
        <v>1.8834068298530203E-2</v>
      </c>
      <c r="GX148" s="1547">
        <v>156636</v>
      </c>
      <c r="GY148" s="1716">
        <f>GX148/GX$150</f>
        <v>2.1221465822392767E-2</v>
      </c>
      <c r="GZ148" s="1547">
        <v>532025</v>
      </c>
      <c r="HA148" s="1716">
        <f>GZ148/GZ$150</f>
        <v>2.2609572868291572E-2</v>
      </c>
      <c r="HB148" s="1547">
        <v>122549</v>
      </c>
      <c r="HC148" s="1716">
        <f>HB148/HB$150</f>
        <v>2.615823438268091E-2</v>
      </c>
      <c r="HD148" s="1547">
        <v>422529</v>
      </c>
      <c r="HE148" s="1716">
        <f>HD148/HD$150</f>
        <v>4.2251209951601934E-2</v>
      </c>
      <c r="HF148" s="1547">
        <v>668248</v>
      </c>
      <c r="HG148" s="2033">
        <f>HF148/HF$150</f>
        <v>1.7270665359510943E-2</v>
      </c>
      <c r="HH148" s="1547">
        <v>365579</v>
      </c>
      <c r="HI148" s="1716">
        <f>HH148/HH$150</f>
        <v>2.2997547751904608E-2</v>
      </c>
      <c r="HJ148" s="1547">
        <v>393935</v>
      </c>
      <c r="HK148" s="1716">
        <f>HJ148/HJ$150</f>
        <v>2.2506734994829167E-2</v>
      </c>
      <c r="HL148" s="1547">
        <v>149987</v>
      </c>
      <c r="HM148" s="1716">
        <f>HL148/HL$150</f>
        <v>2.0771334182262097E-2</v>
      </c>
      <c r="HN148" s="1547">
        <v>183524</v>
      </c>
      <c r="HO148" s="1716">
        <f>HN148/HN$150</f>
        <v>2.4418054810100277E-2</v>
      </c>
      <c r="HP148" s="1547">
        <v>703974</v>
      </c>
      <c r="HQ148" s="2033">
        <f>HP148/HP$150</f>
        <v>1.6970196919409802E-2</v>
      </c>
      <c r="HR148" s="1547">
        <v>248501</v>
      </c>
      <c r="HS148" s="1716">
        <f>HR148/HR$150</f>
        <v>4.1358703675317673E-2</v>
      </c>
      <c r="HT148" s="1547">
        <v>619742</v>
      </c>
      <c r="HU148" s="2033">
        <f>HT148/HT$150</f>
        <v>2.7484901070596729E-2</v>
      </c>
      <c r="HV148" s="1547">
        <v>403793</v>
      </c>
      <c r="HW148" s="2033">
        <f>HV148/HV$150</f>
        <v>2.7058152247296231E-2</v>
      </c>
      <c r="HX148" s="1547">
        <v>266097</v>
      </c>
      <c r="HY148" s="2033">
        <f>HX148/HX$150</f>
        <v>2.3215249755630787E-2</v>
      </c>
      <c r="HZ148" s="1547">
        <v>456037</v>
      </c>
      <c r="IA148" s="2033">
        <f>HZ148/HZ$150</f>
        <v>2.8715973702332202E-2</v>
      </c>
      <c r="IB148" s="1547">
        <v>199024</v>
      </c>
      <c r="IC148" s="1716">
        <f>IB148/IB$150</f>
        <v>2.457770650965176E-2</v>
      </c>
      <c r="ID148" s="1547">
        <v>261529</v>
      </c>
      <c r="IE148" s="2033">
        <f>ID148/ID$150</f>
        <v>2.3934539201388872E-2</v>
      </c>
      <c r="IF148" s="1547">
        <v>281310</v>
      </c>
      <c r="IG148" s="2033">
        <f>IF148/IF$150</f>
        <v>3.623409147436854E-2</v>
      </c>
    </row>
    <row r="149" spans="1:241">
      <c r="A149" s="1149"/>
      <c r="B149" s="1149"/>
      <c r="C149" s="1149"/>
      <c r="D149" s="1149"/>
      <c r="E149" s="1143"/>
      <c r="F149" s="1356"/>
      <c r="G149" s="1356"/>
      <c r="H149" s="1356"/>
      <c r="I149" s="1356"/>
      <c r="J149" s="1356"/>
      <c r="K149" s="1356"/>
      <c r="L149" s="1356"/>
      <c r="M149" s="1356"/>
      <c r="N149" s="1356"/>
      <c r="O149" s="1356"/>
      <c r="P149" s="1356"/>
      <c r="Q149" s="1356"/>
      <c r="R149" s="1356"/>
      <c r="T149" s="1356"/>
      <c r="U149" s="1356"/>
      <c r="V149" s="1356"/>
      <c r="W149" s="1356"/>
      <c r="X149" s="1356"/>
      <c r="Y149" s="1356"/>
      <c r="Z149" s="1356"/>
      <c r="AA149" s="1356"/>
      <c r="AB149" s="1356"/>
      <c r="AC149" s="1356"/>
      <c r="AD149" s="1356"/>
      <c r="AE149" s="1356"/>
      <c r="AF149" s="1356"/>
      <c r="AG149" s="1356"/>
      <c r="AH149" s="1356"/>
      <c r="AI149" s="1356"/>
      <c r="AJ149" s="1356"/>
      <c r="AK149" s="1356"/>
      <c r="AL149" s="1356"/>
      <c r="AM149" s="1356"/>
      <c r="AN149" s="1356"/>
      <c r="AO149" s="1356"/>
      <c r="AP149" s="1356"/>
      <c r="AQ149" s="1356"/>
      <c r="AR149" s="1356"/>
      <c r="AS149" s="1356"/>
      <c r="AT149" s="1356"/>
      <c r="AU149" s="1356"/>
      <c r="AV149" s="1356"/>
      <c r="AW149" s="1356"/>
      <c r="AX149" s="1356"/>
      <c r="AY149" s="1356"/>
      <c r="AZ149" s="1356"/>
      <c r="BA149" s="1356"/>
      <c r="BB149" s="1356"/>
      <c r="BC149" s="1356"/>
      <c r="BD149" s="1356"/>
      <c r="BE149" s="1356"/>
      <c r="BF149" s="1356"/>
      <c r="BG149" s="1356"/>
      <c r="BH149" s="1356"/>
      <c r="BI149" s="1356"/>
      <c r="BJ149" s="1356"/>
      <c r="BK149" s="1356"/>
      <c r="BL149" s="1356"/>
      <c r="BM149" s="1356"/>
      <c r="BN149" s="1356"/>
      <c r="BO149" s="1356"/>
      <c r="BP149" s="1356"/>
      <c r="BQ149" s="1356"/>
      <c r="BR149" s="1356"/>
      <c r="BS149" s="1356"/>
      <c r="BT149" s="1356"/>
      <c r="BU149" s="1356"/>
      <c r="BV149" s="1356"/>
      <c r="BW149" s="1356"/>
      <c r="BX149" s="1356"/>
      <c r="BY149" s="1356"/>
      <c r="BZ149" s="1356"/>
      <c r="CA149" s="1356"/>
      <c r="CB149" s="1356"/>
      <c r="CC149" s="1356"/>
      <c r="CD149" s="1356"/>
      <c r="CE149" s="1356"/>
      <c r="CF149" s="1356"/>
      <c r="CG149" s="1356"/>
      <c r="CH149" s="1356"/>
      <c r="CI149" s="1356"/>
      <c r="CJ149" s="1356"/>
      <c r="CK149" s="1356"/>
      <c r="CL149" s="1356"/>
      <c r="CM149" s="1356"/>
      <c r="CN149" s="1356"/>
      <c r="CO149" s="1356"/>
      <c r="CP149" s="1356"/>
      <c r="CQ149" s="1356"/>
      <c r="CR149" s="1356"/>
      <c r="CS149" s="1356"/>
      <c r="CT149" s="1356"/>
      <c r="CU149" s="1356"/>
      <c r="CV149" s="1356"/>
      <c r="CW149" s="1356"/>
      <c r="CX149" s="1356"/>
      <c r="CY149" s="1356"/>
      <c r="CZ149" s="1356"/>
      <c r="DA149" s="1356"/>
      <c r="DB149" s="1356"/>
      <c r="DC149" s="1356"/>
      <c r="DD149" s="1356"/>
      <c r="DE149" s="1356"/>
      <c r="DF149" s="1356"/>
      <c r="DG149" s="1356"/>
      <c r="DH149" s="1356"/>
      <c r="DI149" s="1356"/>
      <c r="DJ149" s="1356"/>
      <c r="DK149" s="1356"/>
      <c r="DL149" s="1356"/>
      <c r="DM149" s="1356"/>
      <c r="DN149" s="1356"/>
      <c r="DO149" s="1356"/>
      <c r="DP149" s="1356"/>
      <c r="DQ149" s="1356"/>
      <c r="DR149" s="1356"/>
      <c r="DS149" s="1356"/>
      <c r="DT149" s="1356"/>
      <c r="DU149" s="1356"/>
      <c r="DV149" s="1356"/>
      <c r="DW149" s="1356"/>
      <c r="DX149" s="1356"/>
      <c r="DY149" s="1356"/>
      <c r="DZ149" s="1356"/>
      <c r="EA149" s="1356"/>
      <c r="EB149" s="1356"/>
      <c r="EC149" s="1356"/>
      <c r="ED149" s="1356"/>
      <c r="EE149" s="1356"/>
      <c r="EF149" s="1356"/>
      <c r="EG149" s="1356"/>
      <c r="EH149" s="1356"/>
      <c r="EI149" s="1356"/>
      <c r="EJ149" s="1356"/>
      <c r="EK149" s="1356"/>
      <c r="EL149" s="1356"/>
      <c r="EM149" s="1356"/>
      <c r="EN149" s="1356"/>
      <c r="EO149" s="1356"/>
      <c r="EP149" s="1356"/>
      <c r="EQ149" s="1356"/>
      <c r="ER149" s="1356"/>
      <c r="ES149" s="1356"/>
      <c r="ET149" s="1356"/>
      <c r="EU149" s="1356"/>
      <c r="EV149" s="1356"/>
      <c r="EW149" s="1356"/>
      <c r="EX149" s="1356"/>
      <c r="EY149" s="1356"/>
      <c r="EZ149" s="1356"/>
      <c r="FA149" s="1356"/>
      <c r="FB149" s="1356"/>
      <c r="FC149" s="1356"/>
      <c r="FD149" s="1356"/>
      <c r="FE149" s="1356"/>
      <c r="FF149" s="1356"/>
      <c r="FG149" s="1356"/>
      <c r="FH149" s="1356"/>
      <c r="FI149" s="1356"/>
      <c r="FJ149" s="1356"/>
      <c r="FK149" s="1356"/>
      <c r="FL149" s="1356"/>
      <c r="FM149" s="1356"/>
      <c r="FN149" s="1356"/>
      <c r="FO149" s="1356"/>
      <c r="FP149" s="1356"/>
      <c r="FQ149" s="1356"/>
      <c r="FR149" s="1356"/>
      <c r="FS149" s="1356"/>
      <c r="FT149" s="1356"/>
      <c r="FU149" s="1356"/>
      <c r="FV149" s="1356"/>
      <c r="FW149" s="1356"/>
      <c r="FX149" s="1356"/>
      <c r="FY149" s="1356"/>
      <c r="FZ149" s="1356"/>
      <c r="GA149" s="1356"/>
      <c r="GB149" s="1356"/>
      <c r="GC149" s="1356"/>
      <c r="GD149" s="1356"/>
      <c r="GE149" s="1356"/>
      <c r="GF149" s="1356"/>
      <c r="GG149" s="1356"/>
      <c r="GH149" s="1356"/>
      <c r="GI149" s="1356"/>
      <c r="GJ149" s="1356"/>
      <c r="GK149" s="1356"/>
      <c r="GL149" s="1356"/>
      <c r="GM149" s="1356"/>
      <c r="GN149" s="1356"/>
      <c r="GO149" s="1356"/>
      <c r="GP149" s="1356"/>
      <c r="GQ149" s="1356"/>
      <c r="GR149" s="1356"/>
      <c r="GS149" s="1356"/>
      <c r="GT149" s="1356"/>
      <c r="GU149" s="1356"/>
      <c r="GV149" s="1356"/>
      <c r="GW149" s="1356"/>
      <c r="GX149" s="1356"/>
      <c r="GY149" s="1356"/>
      <c r="GZ149" s="1356"/>
      <c r="HA149" s="1356"/>
      <c r="HB149" s="1356"/>
      <c r="HC149" s="1356"/>
      <c r="HD149" s="1356"/>
      <c r="HE149" s="1356"/>
      <c r="HF149" s="1535"/>
      <c r="HH149" s="1356"/>
      <c r="HI149" s="1356"/>
      <c r="HJ149" s="1356"/>
      <c r="HK149" s="1356"/>
      <c r="HL149" s="1356"/>
      <c r="HM149" s="1356"/>
      <c r="HN149" s="1356"/>
      <c r="HO149" s="1356"/>
      <c r="HP149" s="1535"/>
      <c r="HR149" s="1356"/>
      <c r="HS149" s="1356"/>
      <c r="HT149" s="1535"/>
      <c r="HV149" s="1535"/>
      <c r="HX149" s="1535"/>
      <c r="HZ149" s="1535"/>
      <c r="IB149" s="1356"/>
      <c r="IC149" s="1356"/>
      <c r="ID149" s="1535"/>
      <c r="IF149" s="1535"/>
    </row>
    <row r="150" spans="1:241" ht="16.2" thickBot="1">
      <c r="A150" s="1149"/>
      <c r="B150" s="1149"/>
      <c r="C150" s="1149"/>
      <c r="D150" s="1157" t="s">
        <v>69</v>
      </c>
      <c r="E150" s="1143"/>
      <c r="F150" s="1719">
        <f>SUM(F143:F148)</f>
        <v>6899307</v>
      </c>
      <c r="G150" s="1716">
        <f>F150/F$150</f>
        <v>1</v>
      </c>
      <c r="H150" s="1719">
        <f>SUM(H143:H148)</f>
        <v>11254417</v>
      </c>
      <c r="I150" s="1716">
        <f>H150/H$150</f>
        <v>1</v>
      </c>
      <c r="J150" s="1719">
        <f>SUM(J143:J148)</f>
        <v>6800177</v>
      </c>
      <c r="K150" s="1716">
        <f>J150/J$150</f>
        <v>1</v>
      </c>
      <c r="L150" s="1719">
        <f>SUM(L143:L148)</f>
        <v>67895270</v>
      </c>
      <c r="M150" s="1716">
        <f>L150/L$150</f>
        <v>1</v>
      </c>
      <c r="N150" s="1719">
        <f>SUM(N143:N148)</f>
        <v>10379345</v>
      </c>
      <c r="O150" s="1716">
        <f>N150/N$150</f>
        <v>1</v>
      </c>
      <c r="P150" s="1719">
        <f>SUM(P143:P148)</f>
        <v>37972133</v>
      </c>
      <c r="Q150" s="1716">
        <f>P150/P$150</f>
        <v>1</v>
      </c>
      <c r="R150" s="1719">
        <f>SUM(R143:R148)</f>
        <v>21262823</v>
      </c>
      <c r="S150" s="1716">
        <f>R150/R$150</f>
        <v>1</v>
      </c>
      <c r="T150" s="1719">
        <f>SUM(T143:T148)</f>
        <v>8803659</v>
      </c>
      <c r="U150" s="1716">
        <f>T150/T$150</f>
        <v>1</v>
      </c>
      <c r="V150" s="1719">
        <f>SUM(V143:V148)</f>
        <v>7878216</v>
      </c>
      <c r="W150" s="1716">
        <f>V150/V$150</f>
        <v>1</v>
      </c>
      <c r="X150" s="1719">
        <f>SUM(X143:X148)</f>
        <v>31869411</v>
      </c>
      <c r="Y150" s="1716">
        <f>X150/X$150</f>
        <v>1</v>
      </c>
      <c r="Z150" s="1719">
        <f>SUM(Z143:Z148)</f>
        <v>13351957</v>
      </c>
      <c r="AA150" s="1716">
        <f>Z150/Z$150</f>
        <v>1</v>
      </c>
      <c r="AB150" s="1719">
        <f>SUM(AB143:AB148)</f>
        <v>7385617</v>
      </c>
      <c r="AC150" s="1716">
        <f>AB150/AB$150</f>
        <v>1</v>
      </c>
      <c r="AD150" s="1719">
        <f>SUM(AD143:AD148)</f>
        <v>39764039</v>
      </c>
      <c r="AE150" s="1716">
        <f>AD150/AD$150</f>
        <v>1</v>
      </c>
      <c r="AF150" s="1719">
        <f>SUM(AF143:AF148)</f>
        <v>13746329</v>
      </c>
      <c r="AG150" s="1716">
        <f>AF150/AF$150</f>
        <v>1</v>
      </c>
      <c r="AH150" s="1719">
        <f>SUM(AH143:AH148)</f>
        <v>5011667</v>
      </c>
      <c r="AI150" s="1716">
        <f>AH150/AH$150</f>
        <v>1</v>
      </c>
      <c r="AJ150" s="1719">
        <f>SUM(AJ143:AJ148)</f>
        <v>10830778</v>
      </c>
      <c r="AK150" s="1716">
        <f>AJ150/AJ$150</f>
        <v>1</v>
      </c>
      <c r="AL150" s="1719">
        <f>SUM(AL143:AL148)</f>
        <v>11802614</v>
      </c>
      <c r="AM150" s="1716">
        <f>AL150/AL$150</f>
        <v>1</v>
      </c>
      <c r="AN150" s="1719">
        <f>SUM(AN143:AN148)</f>
        <v>10330101</v>
      </c>
      <c r="AO150" s="1716">
        <f>AN150/AN$150</f>
        <v>1</v>
      </c>
      <c r="AP150" s="1719">
        <f>SUM(AP143:AP148)</f>
        <v>14749998</v>
      </c>
      <c r="AQ150" s="1716">
        <f>AP150/AP$150</f>
        <v>1</v>
      </c>
      <c r="AR150" s="1719">
        <f>SUM(AR143:AR148)</f>
        <v>26025079</v>
      </c>
      <c r="AS150" s="1716">
        <f>AR150/AR$150</f>
        <v>1</v>
      </c>
      <c r="AT150" s="1719">
        <f>SUM(AT143:AT148)</f>
        <v>10884610</v>
      </c>
      <c r="AU150" s="1716">
        <f>AT150/AT$150</f>
        <v>1</v>
      </c>
      <c r="AV150" s="1719">
        <f>SUM(AV143:AV148)</f>
        <v>16312012</v>
      </c>
      <c r="AW150" s="1716">
        <f>AV150/AV$150</f>
        <v>1</v>
      </c>
      <c r="AX150" s="1719">
        <f>SUM(AX143:AX148)</f>
        <v>12542697</v>
      </c>
      <c r="AY150" s="1716">
        <f>AX150/AX$150</f>
        <v>1</v>
      </c>
      <c r="AZ150" s="1719">
        <f>SUM(AZ143:AZ148)</f>
        <v>11771444</v>
      </c>
      <c r="BA150" s="1716">
        <f>AZ150/AZ$150</f>
        <v>1</v>
      </c>
      <c r="BB150" s="1719">
        <f>SUM(BB143:BB148)</f>
        <v>15245550</v>
      </c>
      <c r="BC150" s="1716">
        <f>BB150/BB$150</f>
        <v>1</v>
      </c>
      <c r="BD150" s="1719">
        <f>SUM(BD143:BD148)</f>
        <v>9053987</v>
      </c>
      <c r="BE150" s="1716">
        <f>BD150/BD$150</f>
        <v>1</v>
      </c>
      <c r="BF150" s="1719">
        <f>SUM(BF143:BF148)</f>
        <v>6328147</v>
      </c>
      <c r="BG150" s="1716">
        <f>BF150/BF$150</f>
        <v>1</v>
      </c>
      <c r="BH150" s="1719">
        <f>SUM(BH143:BH148)</f>
        <v>10779776</v>
      </c>
      <c r="BI150" s="1716">
        <f>BH150/BH$150</f>
        <v>1</v>
      </c>
      <c r="BJ150" s="1719">
        <f>SUM(BJ143:BJ148)</f>
        <v>14837415</v>
      </c>
      <c r="BK150" s="1716">
        <f>BJ150/BJ$150</f>
        <v>1</v>
      </c>
      <c r="BL150" s="1719">
        <f>SUM(BL143:BL148)</f>
        <v>19203823</v>
      </c>
      <c r="BM150" s="1716">
        <f>BL150/BL$150</f>
        <v>1</v>
      </c>
      <c r="BN150" s="1719">
        <f>SUM(BN143:BN148)</f>
        <v>4670570</v>
      </c>
      <c r="BO150" s="1716">
        <f>BN150/BN$150</f>
        <v>1</v>
      </c>
      <c r="BP150" s="1719">
        <f>SUM(BP143:BP148)</f>
        <v>8700737</v>
      </c>
      <c r="BQ150" s="1716">
        <f>BP150/BP$150</f>
        <v>1</v>
      </c>
      <c r="BR150" s="1719">
        <f>SUM(BR143:BR148)</f>
        <v>6729786</v>
      </c>
      <c r="BS150" s="1716">
        <f>BR150/BR$150</f>
        <v>1</v>
      </c>
      <c r="BT150" s="1719">
        <f>SUM(BT143:BT148)</f>
        <v>4876655</v>
      </c>
      <c r="BU150" s="1716">
        <f>BT150/BT$150</f>
        <v>1</v>
      </c>
      <c r="BV150" s="1719">
        <f>SUM(BV143:BV148)</f>
        <v>7039601</v>
      </c>
      <c r="BW150" s="1716">
        <f>BV150/BV$150</f>
        <v>1</v>
      </c>
      <c r="BX150" s="1719">
        <f>SUM(BX143:BX148)</f>
        <v>12685731</v>
      </c>
      <c r="BY150" s="1716">
        <f>BX150/BX$150</f>
        <v>1</v>
      </c>
      <c r="BZ150" s="1719">
        <f>SUM(BZ143:BZ148)</f>
        <v>27434384</v>
      </c>
      <c r="CA150" s="1716">
        <f>BZ150/BZ$150</f>
        <v>1</v>
      </c>
      <c r="CB150" s="1719">
        <f>SUM(CB143:CB148)</f>
        <v>8282749</v>
      </c>
      <c r="CC150" s="1716">
        <f>CB150/CB$150</f>
        <v>1</v>
      </c>
      <c r="CD150" s="1719">
        <f>SUM(CD143:CD148)</f>
        <v>11831976</v>
      </c>
      <c r="CE150" s="1716">
        <f>CD150/CD$150</f>
        <v>1</v>
      </c>
      <c r="CF150" s="1719">
        <v>10311463</v>
      </c>
      <c r="CG150" s="1716">
        <v>1</v>
      </c>
      <c r="CH150" s="1719">
        <v>8781934</v>
      </c>
      <c r="CI150" s="1716">
        <v>1</v>
      </c>
      <c r="CJ150" s="1719">
        <v>9297686</v>
      </c>
      <c r="CK150" s="1716">
        <v>1</v>
      </c>
      <c r="CL150" s="1719">
        <v>37194577</v>
      </c>
      <c r="CM150" s="1716">
        <v>1</v>
      </c>
      <c r="CN150" s="1719">
        <f>SUM(CN143:CN148)</f>
        <v>17650528</v>
      </c>
      <c r="CO150" s="1716">
        <f>CN150/CN$150</f>
        <v>1</v>
      </c>
      <c r="CP150" s="1719">
        <f>SUM(CP143:CP148)</f>
        <v>10149435</v>
      </c>
      <c r="CQ150" s="1716">
        <f>CP150/CP$150</f>
        <v>1</v>
      </c>
      <c r="CR150" s="1719">
        <v>19798480</v>
      </c>
      <c r="CS150" s="1716">
        <v>1</v>
      </c>
      <c r="CT150" s="1719">
        <f>SUM(CT143:CT148)</f>
        <v>11649968</v>
      </c>
      <c r="CU150" s="1716">
        <f>CT150/CT$150</f>
        <v>1</v>
      </c>
      <c r="CV150" s="1719">
        <f>SUM(CV143:CV148)</f>
        <v>23751685</v>
      </c>
      <c r="CW150" s="1716">
        <f>CV150/CV$150</f>
        <v>1</v>
      </c>
      <c r="CX150" s="1719">
        <f>SUM(CX143:CX148)</f>
        <v>27322816</v>
      </c>
      <c r="CY150" s="1716">
        <f>CX150/CX$150</f>
        <v>1</v>
      </c>
      <c r="CZ150" s="1719">
        <v>7317662</v>
      </c>
      <c r="DA150" s="1716">
        <v>1</v>
      </c>
      <c r="DB150" s="1719">
        <v>15453161</v>
      </c>
      <c r="DC150" s="1716">
        <v>1</v>
      </c>
      <c r="DD150" s="1719">
        <v>6935090</v>
      </c>
      <c r="DE150" s="1716">
        <v>1</v>
      </c>
      <c r="DF150" s="1719">
        <v>52331531</v>
      </c>
      <c r="DG150" s="1716">
        <v>1</v>
      </c>
      <c r="DH150" s="1719">
        <v>14085054</v>
      </c>
      <c r="DI150" s="1716">
        <v>1</v>
      </c>
      <c r="DJ150" s="1719">
        <v>7173609</v>
      </c>
      <c r="DK150" s="1716">
        <v>1</v>
      </c>
      <c r="DL150" s="1719">
        <v>12396962</v>
      </c>
      <c r="DM150" s="1716">
        <v>1</v>
      </c>
      <c r="DN150" s="1719">
        <f>SUM(DN143:DN148)</f>
        <v>8091234</v>
      </c>
      <c r="DO150" s="1716">
        <f>DN150/DN$150</f>
        <v>1</v>
      </c>
      <c r="DP150" s="1719">
        <f>SUM(DP143:DP148)</f>
        <v>7214649</v>
      </c>
      <c r="DQ150" s="1716">
        <f>DP150/DP$150</f>
        <v>1</v>
      </c>
      <c r="DR150" s="1719">
        <f>SUM(DR143:DR148)</f>
        <v>14697781</v>
      </c>
      <c r="DS150" s="1716">
        <f>DR150/DR$150</f>
        <v>1</v>
      </c>
      <c r="DT150" s="1719">
        <f>SUM(DT143:DT148)</f>
        <v>37931205</v>
      </c>
      <c r="DU150" s="1716">
        <f>DT150/DT$150</f>
        <v>1</v>
      </c>
      <c r="DV150" s="1719">
        <f>SUM(DV143:DV148)</f>
        <v>8085368</v>
      </c>
      <c r="DW150" s="1716">
        <f>DV150/DV$150</f>
        <v>1</v>
      </c>
      <c r="DX150" s="1719">
        <f>SUM(DX143:DX148)</f>
        <v>16212482</v>
      </c>
      <c r="DY150" s="1716">
        <f>DX150/DX$150</f>
        <v>1</v>
      </c>
      <c r="DZ150" s="1719">
        <f>SUM(DZ143:DZ148)</f>
        <v>35611232</v>
      </c>
      <c r="EA150" s="1716">
        <f>DZ150/DZ$150</f>
        <v>1</v>
      </c>
      <c r="EB150" s="1719">
        <f>SUM(EB143:EB148)</f>
        <v>21671685</v>
      </c>
      <c r="EC150" s="1716">
        <f>EB150/EB$150</f>
        <v>1</v>
      </c>
      <c r="ED150" s="1719">
        <f>SUM(ED143:ED148)</f>
        <v>8083779</v>
      </c>
      <c r="EE150" s="1716">
        <f>ED150/ED$150</f>
        <v>1</v>
      </c>
      <c r="EF150" s="1719">
        <f>SUM(EF143:EF148)</f>
        <v>11861313</v>
      </c>
      <c r="EG150" s="1716">
        <f>EF150/EF$150</f>
        <v>1</v>
      </c>
      <c r="EH150" s="1719">
        <f>SUM(EH143:EH148)</f>
        <v>39506555</v>
      </c>
      <c r="EI150" s="1716">
        <f>EH150/EH$150</f>
        <v>1</v>
      </c>
      <c r="EJ150" s="1719">
        <f>SUM(EJ143:EJ148)</f>
        <v>16938908</v>
      </c>
      <c r="EK150" s="1716">
        <f>EJ150/EJ$150</f>
        <v>1</v>
      </c>
      <c r="EL150" s="1719">
        <f>SUM(EL143:EL148)</f>
        <v>41506874</v>
      </c>
      <c r="EM150" s="1716">
        <f>EL150/EL$150</f>
        <v>1</v>
      </c>
      <c r="EN150" s="1719">
        <f>SUM(EN143:EN148)</f>
        <v>12645566</v>
      </c>
      <c r="EO150" s="1716">
        <f>EN150/EN$150</f>
        <v>1</v>
      </c>
      <c r="EP150" s="1719">
        <f>SUM(EP143:EP148)</f>
        <v>10343248</v>
      </c>
      <c r="EQ150" s="1716">
        <f>EP150/EP$150</f>
        <v>1</v>
      </c>
      <c r="ER150" s="1719">
        <f>SUM(ER143:ER148)</f>
        <v>8734276</v>
      </c>
      <c r="ES150" s="1716">
        <f>ER150/ER$150</f>
        <v>1</v>
      </c>
      <c r="ET150" s="1719">
        <f>SUM(ET143:ET148)</f>
        <v>16543971</v>
      </c>
      <c r="EU150" s="1716">
        <f>ET150/ET$150</f>
        <v>1</v>
      </c>
      <c r="EV150" s="1719">
        <f>SUM(EV143:EV148)</f>
        <v>11817480</v>
      </c>
      <c r="EW150" s="1716">
        <f>EV150/EV$150</f>
        <v>1</v>
      </c>
      <c r="EX150" s="1719">
        <f>SUM(EX143:EX148)</f>
        <v>7873492</v>
      </c>
      <c r="EY150" s="1716">
        <f>EX150/EX$150</f>
        <v>1</v>
      </c>
      <c r="EZ150" s="1719">
        <f>SUM(EZ143:EZ148)</f>
        <v>14648034</v>
      </c>
      <c r="FA150" s="1716">
        <f>EZ150/EZ$150</f>
        <v>1</v>
      </c>
      <c r="FB150" s="1719">
        <f>SUM(FB143:FB148)</f>
        <v>5224909</v>
      </c>
      <c r="FC150" s="1716">
        <f>FB150/FB$150</f>
        <v>1</v>
      </c>
      <c r="FD150" s="1719">
        <f>SUM(FD143:FD148)</f>
        <v>9360430</v>
      </c>
      <c r="FE150" s="1716">
        <f>FD150/FD$150</f>
        <v>1</v>
      </c>
      <c r="FF150" s="1719">
        <f>SUM(FF143:FF148)</f>
        <v>13634278</v>
      </c>
      <c r="FG150" s="1716">
        <f>FF150/FF$150</f>
        <v>1</v>
      </c>
      <c r="FH150" s="1719">
        <f>SUM(FH143:FH148)</f>
        <v>11277905</v>
      </c>
      <c r="FI150" s="1716">
        <f>FH150/FH$150</f>
        <v>1</v>
      </c>
      <c r="FJ150" s="1719">
        <f>SUM(FJ143:FJ148)</f>
        <v>9314381</v>
      </c>
      <c r="FK150" s="1716">
        <f>FJ150/FJ$150</f>
        <v>1</v>
      </c>
      <c r="FL150" s="1719">
        <f>SUM(FL143:FL148)</f>
        <v>10231160</v>
      </c>
      <c r="FM150" s="1716">
        <f>FL150/FL$150</f>
        <v>1</v>
      </c>
      <c r="FN150" s="1719">
        <f>SUM(FN143:FN148)</f>
        <v>19115299</v>
      </c>
      <c r="FO150" s="1716">
        <f>FN150/FN$150</f>
        <v>1</v>
      </c>
      <c r="FP150" s="1719">
        <f>SUM(FP143:FP148)</f>
        <v>5255064</v>
      </c>
      <c r="FQ150" s="1716">
        <f>FP150/FP$150</f>
        <v>1</v>
      </c>
      <c r="FR150" s="1719">
        <f>SUM(FR143:FR148)</f>
        <v>21081055</v>
      </c>
      <c r="FS150" s="1716">
        <f>FR150/FR$150</f>
        <v>1</v>
      </c>
      <c r="FT150" s="1719">
        <f>SUM(FT143:FT148)</f>
        <v>22495544</v>
      </c>
      <c r="FU150" s="1716">
        <f>FT150/FT$150</f>
        <v>1</v>
      </c>
      <c r="FV150" s="1719">
        <f>SUM(FV143:FV148)</f>
        <v>34782075</v>
      </c>
      <c r="FW150" s="1716">
        <f>FV150/FV$150</f>
        <v>1</v>
      </c>
      <c r="FX150" s="1719">
        <f>SUM(FX143:FX148)</f>
        <v>10549008</v>
      </c>
      <c r="FY150" s="1716">
        <f>FX150/FX$150</f>
        <v>1</v>
      </c>
      <c r="FZ150" s="1719">
        <f>SUM(FZ143:FZ148)</f>
        <v>7736375</v>
      </c>
      <c r="GA150" s="1716">
        <f>FZ150/FZ$150</f>
        <v>1</v>
      </c>
      <c r="GB150" s="1719">
        <f>SUM(GB143:GB148)</f>
        <v>6590182</v>
      </c>
      <c r="GC150" s="1716">
        <f>GB150/GB$150</f>
        <v>1</v>
      </c>
      <c r="GD150" s="1719">
        <f>SUM(GD143:GD148)</f>
        <v>27403587</v>
      </c>
      <c r="GE150" s="1716">
        <f>GD150/GD$150</f>
        <v>1</v>
      </c>
      <c r="GF150" s="1719">
        <f>SUM(GF143:GF148)</f>
        <v>12080588</v>
      </c>
      <c r="GG150" s="1716">
        <f>GF150/GF$150</f>
        <v>1</v>
      </c>
      <c r="GH150" s="1719">
        <f>SUM(GH143:GH148)</f>
        <v>10775406</v>
      </c>
      <c r="GI150" s="1716">
        <f>GH150/GH$150</f>
        <v>1</v>
      </c>
      <c r="GJ150" s="1719">
        <f>SUM(GJ143:GJ148)</f>
        <v>54286636</v>
      </c>
      <c r="GK150" s="1716">
        <f>GJ150/GJ$150</f>
        <v>1</v>
      </c>
      <c r="GL150" s="1719">
        <f>SUM(GL143:GL148)</f>
        <v>9838788</v>
      </c>
      <c r="GM150" s="1716">
        <f>GL150/GL$150</f>
        <v>1</v>
      </c>
      <c r="GN150" s="1719">
        <f>SUM(GN143:GN148)</f>
        <v>6838947</v>
      </c>
      <c r="GO150" s="1716">
        <f>GN150/GN$150</f>
        <v>1</v>
      </c>
      <c r="GP150" s="1719">
        <f>SUM(GP143:GP148)</f>
        <v>12013887</v>
      </c>
      <c r="GQ150" s="1716">
        <f>GP150/GP$150</f>
        <v>1</v>
      </c>
      <c r="GR150" s="1719">
        <f>SUM(GR143:GR148)</f>
        <v>10009614</v>
      </c>
      <c r="GS150" s="1716">
        <f>GR150/GR$150</f>
        <v>1</v>
      </c>
      <c r="GT150" s="1719">
        <f>SUM(GT143:GT148)</f>
        <v>10237586</v>
      </c>
      <c r="GU150" s="1716">
        <f>GT150/GT$150</f>
        <v>1</v>
      </c>
      <c r="GV150" s="1719">
        <f>SUM(GV143:GV148)</f>
        <v>15310022</v>
      </c>
      <c r="GW150" s="1716">
        <f>GV150/GV$150</f>
        <v>1</v>
      </c>
      <c r="GX150" s="1719">
        <f>SUM(GX143:GX148)</f>
        <v>7381017</v>
      </c>
      <c r="GY150" s="1716">
        <f>GX150/GX$150</f>
        <v>1</v>
      </c>
      <c r="GZ150" s="1719">
        <f>SUM(GZ143:GZ148)</f>
        <v>23530962</v>
      </c>
      <c r="HA150" s="1716">
        <f>GZ150/GZ$150</f>
        <v>1</v>
      </c>
      <c r="HB150" s="1719">
        <f>SUM(HB143:HB148)</f>
        <v>4684911</v>
      </c>
      <c r="HC150" s="1716">
        <f>HB150/HB$150</f>
        <v>1</v>
      </c>
      <c r="HD150" s="1719">
        <f>SUM(HD143:HD148)</f>
        <v>10000400</v>
      </c>
      <c r="HE150" s="1716">
        <f>HD150/HD$150</f>
        <v>1</v>
      </c>
      <c r="HF150" s="2036">
        <f>SUM(HF143:HF148)</f>
        <v>38692661</v>
      </c>
      <c r="HG150" s="2033">
        <f>HF150/HF$150</f>
        <v>1</v>
      </c>
      <c r="HH150" s="1719">
        <f>SUM(HH143:HH148)</f>
        <v>15896434</v>
      </c>
      <c r="HI150" s="1716">
        <f>HH150/HH$150</f>
        <v>1</v>
      </c>
      <c r="HJ150" s="1719">
        <f>SUM(HJ143:HJ148)</f>
        <v>17502983</v>
      </c>
      <c r="HK150" s="1716">
        <f>HJ150/HJ$150</f>
        <v>1</v>
      </c>
      <c r="HL150" s="1719">
        <f>SUM(HL143:HL148)</f>
        <v>7220865</v>
      </c>
      <c r="HM150" s="1716">
        <f>HL150/HL$150</f>
        <v>1</v>
      </c>
      <c r="HN150" s="1719">
        <f>SUM(HN143:HN148)</f>
        <v>7515914</v>
      </c>
      <c r="HO150" s="1716">
        <f>HN150/HN$150</f>
        <v>1</v>
      </c>
      <c r="HP150" s="2036">
        <f>SUM(HP143:HP148)</f>
        <v>41482960</v>
      </c>
      <c r="HQ150" s="2033">
        <f>HP150/HP$150</f>
        <v>1</v>
      </c>
      <c r="HR150" s="1719">
        <f>SUM(HR143:HR148)</f>
        <v>6008433</v>
      </c>
      <c r="HS150" s="1716">
        <f>HR150/HR$150</f>
        <v>1</v>
      </c>
      <c r="HT150" s="2036">
        <f>SUM(HT143:HT148)</f>
        <v>22548453</v>
      </c>
      <c r="HU150" s="2033">
        <f>HT150/HT$150</f>
        <v>1</v>
      </c>
      <c r="HV150" s="2036">
        <f>SUM(HV143:HV148)</f>
        <v>14923155</v>
      </c>
      <c r="HW150" s="2033">
        <f>HV150/HV$150</f>
        <v>1</v>
      </c>
      <c r="HX150" s="2036">
        <f>SUM(HX143:HX148)</f>
        <v>11462164</v>
      </c>
      <c r="HY150" s="2033">
        <f>HX150/HX$150</f>
        <v>1</v>
      </c>
      <c r="HZ150" s="2036">
        <f>SUM(HZ143:HZ148)</f>
        <v>15880952</v>
      </c>
      <c r="IA150" s="2033">
        <f>HZ150/HZ$150</f>
        <v>1</v>
      </c>
      <c r="IB150" s="1719">
        <f>SUM(IB143:IB148)</f>
        <v>8097745</v>
      </c>
      <c r="IC150" s="1716">
        <f>IB150/IB$150</f>
        <v>1</v>
      </c>
      <c r="ID150" s="2036">
        <f>SUM(ID143:ID148)</f>
        <v>10926845</v>
      </c>
      <c r="IE150" s="2033">
        <f>ID150/ID$150</f>
        <v>1</v>
      </c>
      <c r="IF150" s="2036">
        <f>SUM(IF143:IF148)</f>
        <v>7763683</v>
      </c>
      <c r="IG150" s="2033">
        <f>IF150/IF$150</f>
        <v>1</v>
      </c>
    </row>
    <row r="151" spans="1:241" ht="16.2" thickTop="1">
      <c r="A151" s="1149"/>
      <c r="B151" s="1149"/>
      <c r="C151" s="1149"/>
      <c r="D151" s="1149"/>
      <c r="E151" s="1143"/>
      <c r="F151" s="1717"/>
      <c r="G151" s="1356"/>
      <c r="H151" s="1717"/>
      <c r="I151" s="1356"/>
      <c r="J151" s="1717"/>
      <c r="K151" s="1356"/>
      <c r="L151" s="1717"/>
      <c r="M151" s="1356"/>
      <c r="N151" s="1717"/>
      <c r="O151" s="1356"/>
      <c r="P151" s="1717"/>
      <c r="Q151" s="1356"/>
      <c r="R151" s="1717"/>
      <c r="T151" s="1717"/>
      <c r="U151" s="1356"/>
      <c r="V151" s="1717"/>
      <c r="W151" s="1356"/>
      <c r="X151" s="1717"/>
      <c r="Y151" s="1356"/>
      <c r="Z151" s="1717"/>
      <c r="AA151" s="1356"/>
      <c r="AB151" s="1717"/>
      <c r="AC151" s="1356"/>
      <c r="AD151" s="1717"/>
      <c r="AE151" s="1356"/>
      <c r="AF151" s="1717"/>
      <c r="AG151" s="1356"/>
      <c r="AH151" s="1717"/>
      <c r="AI151" s="1356"/>
      <c r="AJ151" s="1717"/>
      <c r="AK151" s="1356"/>
      <c r="AL151" s="1717"/>
      <c r="AM151" s="1356"/>
      <c r="AN151" s="1717"/>
      <c r="AO151" s="1356"/>
      <c r="AP151" s="1717"/>
      <c r="AQ151" s="1356"/>
      <c r="AR151" s="1717"/>
      <c r="AS151" s="1356"/>
      <c r="AT151" s="1717"/>
      <c r="AU151" s="1356"/>
      <c r="AV151" s="1717"/>
      <c r="AW151" s="1356"/>
      <c r="AX151" s="1717"/>
      <c r="AY151" s="1356"/>
      <c r="AZ151" s="1717"/>
      <c r="BA151" s="1356"/>
      <c r="BB151" s="1717"/>
      <c r="BC151" s="1356"/>
      <c r="BD151" s="1717"/>
      <c r="BE151" s="1356"/>
      <c r="BF151" s="1717"/>
      <c r="BG151" s="1356"/>
      <c r="BH151" s="1717"/>
      <c r="BI151" s="1356"/>
      <c r="BJ151" s="1717"/>
      <c r="BK151" s="1356"/>
      <c r="BL151" s="1717"/>
      <c r="BM151" s="1356"/>
      <c r="BN151" s="1717"/>
      <c r="BO151" s="1356"/>
      <c r="BP151" s="1717"/>
      <c r="BQ151" s="1356"/>
      <c r="BR151" s="1717"/>
      <c r="BS151" s="1356"/>
      <c r="BT151" s="1717"/>
      <c r="BU151" s="1356"/>
      <c r="BV151" s="1717"/>
      <c r="BW151" s="1356"/>
      <c r="BX151" s="1717"/>
      <c r="BY151" s="1356"/>
      <c r="BZ151" s="1717"/>
      <c r="CA151" s="1356"/>
      <c r="CB151" s="1717"/>
      <c r="CC151" s="1356"/>
      <c r="CD151" s="1717"/>
      <c r="CE151" s="1356"/>
      <c r="CF151" s="1717"/>
      <c r="CG151" s="1356"/>
      <c r="CH151" s="1717"/>
      <c r="CI151" s="1356"/>
      <c r="CJ151" s="1717"/>
      <c r="CK151" s="1356"/>
      <c r="CL151" s="1717"/>
      <c r="CM151" s="1356"/>
      <c r="CN151" s="1717"/>
      <c r="CO151" s="1356"/>
      <c r="CP151" s="1717"/>
      <c r="CQ151" s="1356"/>
      <c r="CR151" s="1717"/>
      <c r="CS151" s="1356"/>
      <c r="CT151" s="1717"/>
      <c r="CU151" s="1356"/>
      <c r="CV151" s="1717"/>
      <c r="CW151" s="1356"/>
      <c r="CX151" s="1717"/>
      <c r="CY151" s="1356"/>
      <c r="CZ151" s="1717"/>
      <c r="DA151" s="1356"/>
      <c r="DB151" s="1717"/>
      <c r="DC151" s="1356"/>
      <c r="DD151" s="1717"/>
      <c r="DE151" s="1356"/>
      <c r="DF151" s="1717"/>
      <c r="DG151" s="1356"/>
      <c r="DH151" s="1717"/>
      <c r="DI151" s="1356"/>
      <c r="DJ151" s="1717"/>
      <c r="DK151" s="1356"/>
      <c r="DL151" s="1717"/>
      <c r="DM151" s="1356"/>
      <c r="DN151" s="1717"/>
      <c r="DO151" s="1356"/>
      <c r="DP151" s="1717"/>
      <c r="DQ151" s="1356"/>
      <c r="DR151" s="1717"/>
      <c r="DS151" s="1356"/>
      <c r="DT151" s="1717"/>
      <c r="DU151" s="1356"/>
      <c r="DV151" s="1717"/>
      <c r="DW151" s="1356"/>
      <c r="DX151" s="1717"/>
      <c r="DY151" s="1356"/>
      <c r="DZ151" s="1717"/>
      <c r="EA151" s="1356"/>
      <c r="EB151" s="1717"/>
      <c r="EC151" s="1356"/>
      <c r="ED151" s="1717"/>
      <c r="EE151" s="1356"/>
      <c r="EF151" s="1717"/>
      <c r="EG151" s="1356"/>
      <c r="EH151" s="1717"/>
      <c r="EI151" s="1356"/>
      <c r="EJ151" s="1717"/>
      <c r="EK151" s="1356"/>
      <c r="EL151" s="1717"/>
      <c r="EM151" s="1356"/>
      <c r="EN151" s="1717"/>
      <c r="EO151" s="1356"/>
      <c r="EP151" s="1717"/>
      <c r="EQ151" s="1356"/>
      <c r="ER151" s="1717"/>
      <c r="ES151" s="1356"/>
      <c r="ET151" s="1717"/>
      <c r="EU151" s="1356"/>
      <c r="EV151" s="1717"/>
      <c r="EW151" s="1356"/>
      <c r="EX151" s="1717"/>
      <c r="EY151" s="1356"/>
      <c r="EZ151" s="1717"/>
      <c r="FA151" s="1356"/>
      <c r="FB151" s="1717"/>
      <c r="FC151" s="1356"/>
      <c r="FD151" s="1717"/>
      <c r="FE151" s="1356"/>
      <c r="FF151" s="1717"/>
      <c r="FG151" s="1356"/>
      <c r="FH151" s="1717"/>
      <c r="FI151" s="1356"/>
      <c r="FJ151" s="1717"/>
      <c r="FK151" s="1356"/>
      <c r="FL151" s="1717"/>
      <c r="FM151" s="1356"/>
      <c r="FN151" s="1717"/>
      <c r="FO151" s="1356"/>
      <c r="FP151" s="1717"/>
      <c r="FQ151" s="1356"/>
      <c r="FR151" s="1717"/>
      <c r="FS151" s="1356"/>
      <c r="FT151" s="1717"/>
      <c r="FU151" s="1356"/>
      <c r="FV151" s="1717"/>
      <c r="FW151" s="1356"/>
      <c r="FX151" s="1717"/>
      <c r="FY151" s="1356"/>
      <c r="FZ151" s="1717"/>
      <c r="GA151" s="1356"/>
      <c r="GB151" s="1717"/>
      <c r="GC151" s="1356"/>
      <c r="GD151" s="1717"/>
      <c r="GE151" s="1356"/>
      <c r="GF151" s="1717"/>
      <c r="GG151" s="1356"/>
      <c r="GH151" s="1717"/>
      <c r="GI151" s="1356"/>
      <c r="GJ151" s="1717"/>
      <c r="GK151" s="1356"/>
      <c r="GL151" s="1717"/>
      <c r="GM151" s="1356"/>
      <c r="GN151" s="1717"/>
      <c r="GO151" s="1356"/>
      <c r="GP151" s="1717"/>
      <c r="GQ151" s="1356"/>
      <c r="GR151" s="1717"/>
      <c r="GS151" s="1356"/>
      <c r="GT151" s="1717"/>
      <c r="GU151" s="1356"/>
      <c r="GV151" s="1717"/>
      <c r="GW151" s="1356"/>
      <c r="GX151" s="1717"/>
      <c r="GY151" s="1356"/>
      <c r="GZ151" s="1717"/>
      <c r="HA151" s="1356"/>
      <c r="HB151" s="1717"/>
      <c r="HC151" s="1356"/>
      <c r="HD151" s="1717"/>
      <c r="HE151" s="1356"/>
      <c r="HF151" s="2034"/>
      <c r="HH151" s="1717"/>
      <c r="HI151" s="1356"/>
      <c r="HJ151" s="1717"/>
      <c r="HK151" s="1356"/>
      <c r="HL151" s="1717"/>
      <c r="HM151" s="1356"/>
      <c r="HN151" s="1717"/>
      <c r="HO151" s="1356"/>
      <c r="HP151" s="2034"/>
      <c r="HR151" s="1717"/>
      <c r="HS151" s="1356"/>
      <c r="HT151" s="2034"/>
      <c r="HV151" s="2034"/>
      <c r="HX151" s="2034"/>
      <c r="HZ151" s="2034"/>
      <c r="IB151" s="1717"/>
      <c r="IC151" s="1356"/>
      <c r="ID151" s="2034"/>
      <c r="IF151" s="2034"/>
    </row>
    <row r="152" spans="1:241" ht="16.2" thickBot="1">
      <c r="A152" s="1149"/>
      <c r="B152" s="1149"/>
      <c r="C152" s="1149"/>
      <c r="D152" s="1157" t="s">
        <v>21</v>
      </c>
      <c r="E152" s="1143"/>
      <c r="F152" s="1719">
        <f>F140-F150</f>
        <v>-194765</v>
      </c>
      <c r="G152" s="1356"/>
      <c r="H152" s="1719">
        <f>H140-H150</f>
        <v>-241851</v>
      </c>
      <c r="I152" s="1356"/>
      <c r="J152" s="1719">
        <f>J140-J150</f>
        <v>206485</v>
      </c>
      <c r="K152" s="1356"/>
      <c r="L152" s="1719">
        <f>L140-L150</f>
        <v>3378376</v>
      </c>
      <c r="M152" s="1356"/>
      <c r="N152" s="1719">
        <f>N140-N150</f>
        <v>-285739</v>
      </c>
      <c r="O152" s="1356"/>
      <c r="P152" s="1719">
        <f>P140-P150</f>
        <v>3048588</v>
      </c>
      <c r="Q152" s="1356"/>
      <c r="R152" s="1719">
        <f>R140-R150</f>
        <v>259533</v>
      </c>
      <c r="T152" s="1719">
        <f>T140-T150</f>
        <v>-222609</v>
      </c>
      <c r="U152" s="1356"/>
      <c r="V152" s="1719">
        <f>V140-V150</f>
        <v>168959</v>
      </c>
      <c r="W152" s="1356"/>
      <c r="X152" s="1719">
        <f>X140-X150</f>
        <v>4378864</v>
      </c>
      <c r="Y152" s="1356"/>
      <c r="Z152" s="1719">
        <f>Z140-Z150</f>
        <v>-94211</v>
      </c>
      <c r="AA152" s="1356"/>
      <c r="AB152" s="1719">
        <f>AB140-AB150</f>
        <v>318438</v>
      </c>
      <c r="AC152" s="1356"/>
      <c r="AD152" s="1719">
        <f>AD140-AD150</f>
        <v>-699363</v>
      </c>
      <c r="AE152" s="1356"/>
      <c r="AF152" s="1719">
        <f>AF140-AF150</f>
        <v>-34944</v>
      </c>
      <c r="AG152" s="1356"/>
      <c r="AH152" s="1719">
        <f>AH140-AH150</f>
        <v>123739</v>
      </c>
      <c r="AI152" s="1356"/>
      <c r="AJ152" s="1719">
        <f>AJ140-AJ150</f>
        <v>636299</v>
      </c>
      <c r="AK152" s="1356"/>
      <c r="AL152" s="1719">
        <f>AL140-AL150</f>
        <v>1734542</v>
      </c>
      <c r="AM152" s="1356"/>
      <c r="AN152" s="1719">
        <f>AN140-AN150</f>
        <v>416435</v>
      </c>
      <c r="AO152" s="1356"/>
      <c r="AP152" s="1719">
        <f>AP140-AP150</f>
        <v>-76976</v>
      </c>
      <c r="AQ152" s="1356"/>
      <c r="AR152" s="1719">
        <f>AR140-AR150</f>
        <v>-780294</v>
      </c>
      <c r="AS152" s="1356"/>
      <c r="AT152" s="1719">
        <f>AT140-AT150</f>
        <v>-40084</v>
      </c>
      <c r="AU152" s="1356"/>
      <c r="AV152" s="1719">
        <f>AV140-AV150</f>
        <v>-488396</v>
      </c>
      <c r="AW152" s="1356"/>
      <c r="AX152" s="1719">
        <f>AX140-AX150</f>
        <v>-11129</v>
      </c>
      <c r="AY152" s="1356"/>
      <c r="AZ152" s="1719">
        <f>AZ140-AZ150</f>
        <v>301095</v>
      </c>
      <c r="BA152" s="1356"/>
      <c r="BB152" s="1719">
        <f>BB140-BB150</f>
        <v>57887</v>
      </c>
      <c r="BC152" s="1356"/>
      <c r="BD152" s="1719">
        <f>BD140-BD150</f>
        <v>66949</v>
      </c>
      <c r="BE152" s="1356"/>
      <c r="BF152" s="1719">
        <f>BF140-BF150</f>
        <v>311550</v>
      </c>
      <c r="BG152" s="1356"/>
      <c r="BH152" s="1719">
        <f>BH140-BH150</f>
        <v>479634</v>
      </c>
      <c r="BI152" s="1356"/>
      <c r="BJ152" s="1719">
        <f>BJ140-BJ150</f>
        <v>2030</v>
      </c>
      <c r="BK152" s="1356"/>
      <c r="BL152" s="1719">
        <f>BL140-BL150</f>
        <v>118087</v>
      </c>
      <c r="BM152" s="1356"/>
      <c r="BN152" s="1719">
        <f>BN140-BN150</f>
        <v>-194308</v>
      </c>
      <c r="BO152" s="1356"/>
      <c r="BP152" s="1719">
        <f>BP140-BP150</f>
        <v>323678</v>
      </c>
      <c r="BQ152" s="1356"/>
      <c r="BR152" s="1719">
        <f>BR140-BR150</f>
        <v>116051</v>
      </c>
      <c r="BS152" s="1356"/>
      <c r="BT152" s="1719">
        <f>BT140-BT150</f>
        <v>3966</v>
      </c>
      <c r="BU152" s="1356"/>
      <c r="BV152" s="1719">
        <f>BV140-BV150</f>
        <v>261663</v>
      </c>
      <c r="BW152" s="1356"/>
      <c r="BX152" s="1719">
        <f>BX140-BX150</f>
        <v>202121</v>
      </c>
      <c r="BY152" s="1356"/>
      <c r="BZ152" s="1719">
        <f>BZ140-BZ150</f>
        <v>-715911</v>
      </c>
      <c r="CA152" s="1356"/>
      <c r="CB152" s="1719">
        <f>CB140-CB150</f>
        <v>-151770</v>
      </c>
      <c r="CC152" s="1356"/>
      <c r="CD152" s="1719">
        <f>CD140-CD150</f>
        <v>94674</v>
      </c>
      <c r="CE152" s="1356"/>
      <c r="CF152" s="1719">
        <v>-465691</v>
      </c>
      <c r="CG152" s="1356"/>
      <c r="CH152" s="1719">
        <v>232499</v>
      </c>
      <c r="CI152" s="1356"/>
      <c r="CJ152" s="1719">
        <v>221275</v>
      </c>
      <c r="CK152" s="1356"/>
      <c r="CL152" s="1719">
        <v>595452</v>
      </c>
      <c r="CM152" s="1356"/>
      <c r="CN152" s="1719">
        <f>CN140-CN150</f>
        <v>-700620</v>
      </c>
      <c r="CO152" s="1356"/>
      <c r="CP152" s="1719">
        <f>CP140-CP150</f>
        <v>628001</v>
      </c>
      <c r="CQ152" s="1356"/>
      <c r="CR152" s="1719">
        <v>-352336</v>
      </c>
      <c r="CS152" s="1356"/>
      <c r="CT152" s="1719">
        <f>CT140-CT150</f>
        <v>15727</v>
      </c>
      <c r="CU152" s="1356"/>
      <c r="CV152" s="1719">
        <f>CV140-CV150</f>
        <v>-198295</v>
      </c>
      <c r="CW152" s="1356"/>
      <c r="CX152" s="1719">
        <f>CX140-CX150</f>
        <v>327308</v>
      </c>
      <c r="CY152" s="1356"/>
      <c r="CZ152" s="1719">
        <v>-82758</v>
      </c>
      <c r="DA152" s="1356"/>
      <c r="DB152" s="1719">
        <v>449515</v>
      </c>
      <c r="DC152" s="1356"/>
      <c r="DD152" s="1719">
        <v>251123</v>
      </c>
      <c r="DE152" s="1356"/>
      <c r="DF152" s="1719">
        <v>-301798</v>
      </c>
      <c r="DG152" s="1356"/>
      <c r="DH152" s="1719">
        <v>251199</v>
      </c>
      <c r="DI152" s="1356"/>
      <c r="DJ152" s="1719">
        <v>396653</v>
      </c>
      <c r="DK152" s="1356"/>
      <c r="DL152" s="1719">
        <v>-92214</v>
      </c>
      <c r="DM152" s="1356"/>
      <c r="DN152" s="1719">
        <f>DN140-DN150</f>
        <v>810540</v>
      </c>
      <c r="DO152" s="1356"/>
      <c r="DP152" s="1719">
        <f>DP140-DP150</f>
        <v>189280</v>
      </c>
      <c r="DQ152" s="1356"/>
      <c r="DR152" s="1719">
        <f>DR140-DR150</f>
        <v>-436401</v>
      </c>
      <c r="DS152" s="1356"/>
      <c r="DT152" s="1719">
        <f>DT140-DT150</f>
        <v>-1024480</v>
      </c>
      <c r="DU152" s="1356"/>
      <c r="DV152" s="1719">
        <f>DV140-DV150</f>
        <v>-196728</v>
      </c>
      <c r="DW152" s="1356"/>
      <c r="DX152" s="1719">
        <f>DX140-DX150</f>
        <v>-640916</v>
      </c>
      <c r="DY152" s="1356"/>
      <c r="DZ152" s="1719">
        <f>DZ140-DZ150</f>
        <v>-2579058</v>
      </c>
      <c r="EA152" s="1356"/>
      <c r="EB152" s="1719">
        <f>EB140-EB150</f>
        <v>-584341</v>
      </c>
      <c r="EC152" s="1356"/>
      <c r="ED152" s="1719">
        <f>ED140-ED150</f>
        <v>-50132</v>
      </c>
      <c r="EE152" s="1356"/>
      <c r="EF152" s="1719">
        <f>EF140-EF150</f>
        <v>-291560</v>
      </c>
      <c r="EG152" s="1356"/>
      <c r="EH152" s="1719">
        <f>EH140-EH150</f>
        <v>-27227</v>
      </c>
      <c r="EI152" s="1356"/>
      <c r="EJ152" s="1719">
        <f>EJ140-EJ150</f>
        <v>-983049</v>
      </c>
      <c r="EK152" s="1356"/>
      <c r="EL152" s="1719">
        <f>EL140-EL150</f>
        <v>808460</v>
      </c>
      <c r="EM152" s="1356"/>
      <c r="EN152" s="1719">
        <f>EN140-EN150</f>
        <v>34260</v>
      </c>
      <c r="EO152" s="1356"/>
      <c r="EP152" s="1719">
        <f>EP140-EP150</f>
        <v>-184562</v>
      </c>
      <c r="EQ152" s="1356"/>
      <c r="ER152" s="1719">
        <f>ER140-ER150</f>
        <v>-193169</v>
      </c>
      <c r="ES152" s="1356"/>
      <c r="ET152" s="1719">
        <f>ET140-ET150</f>
        <v>795625</v>
      </c>
      <c r="EU152" s="1356"/>
      <c r="EV152" s="1719">
        <f>EV140-EV150</f>
        <v>-39370</v>
      </c>
      <c r="EW152" s="1356"/>
      <c r="EX152" s="1719">
        <f>EX140-EX150</f>
        <v>-34370</v>
      </c>
      <c r="EY152" s="1356"/>
      <c r="EZ152" s="1719">
        <f>EZ140-EZ150</f>
        <v>42152</v>
      </c>
      <c r="FA152" s="1356"/>
      <c r="FB152" s="1719">
        <f>FB140-FB150</f>
        <v>200650</v>
      </c>
      <c r="FC152" s="1356"/>
      <c r="FD152" s="1719">
        <f>FD140-FD150</f>
        <v>30468</v>
      </c>
      <c r="FE152" s="1356"/>
      <c r="FF152" s="1719">
        <f>FF140-FF150</f>
        <v>67668</v>
      </c>
      <c r="FG152" s="1356"/>
      <c r="FH152" s="1719">
        <f>FH140-FH150</f>
        <v>-1407969</v>
      </c>
      <c r="FI152" s="1356"/>
      <c r="FJ152" s="1719">
        <f>FJ140-FJ150</f>
        <v>180697</v>
      </c>
      <c r="FK152" s="1356"/>
      <c r="FL152" s="1719">
        <f>FL140-FL150</f>
        <v>-824430</v>
      </c>
      <c r="FM152" s="1356"/>
      <c r="FN152" s="1719">
        <f>FN140-FN150</f>
        <v>-403961</v>
      </c>
      <c r="FO152" s="1356"/>
      <c r="FP152" s="1719">
        <f>FP140-FP150</f>
        <v>286920</v>
      </c>
      <c r="FQ152" s="1356"/>
      <c r="FR152" s="1719">
        <f>FR140-FR150</f>
        <v>-823848</v>
      </c>
      <c r="FS152" s="1356"/>
      <c r="FT152" s="1719">
        <f>FT140-FT150</f>
        <v>419670</v>
      </c>
      <c r="FU152" s="1356"/>
      <c r="FV152" s="1719">
        <f>FV140-FV150</f>
        <v>-238249</v>
      </c>
      <c r="FW152" s="1356"/>
      <c r="FX152" s="1719">
        <f>FX140-FX150</f>
        <v>-99100</v>
      </c>
      <c r="FY152" s="1356"/>
      <c r="FZ152" s="1719">
        <f>FZ140-FZ150</f>
        <v>-324495</v>
      </c>
      <c r="GA152" s="1356"/>
      <c r="GB152" s="1719">
        <f>GB140-GB150</f>
        <v>-308481</v>
      </c>
      <c r="GC152" s="1356"/>
      <c r="GD152" s="1719">
        <f>GD140-GD150</f>
        <v>315216</v>
      </c>
      <c r="GE152" s="1356"/>
      <c r="GF152" s="1719">
        <f>GF140-GF150</f>
        <v>-73495</v>
      </c>
      <c r="GG152" s="1356"/>
      <c r="GH152" s="1719">
        <f>GH140-GH150</f>
        <v>507811</v>
      </c>
      <c r="GI152" s="1356"/>
      <c r="GJ152" s="1719">
        <f>GJ140-GJ150</f>
        <v>-1565508</v>
      </c>
      <c r="GK152" s="1356"/>
      <c r="GL152" s="1719">
        <f>GL140-GL150</f>
        <v>238194</v>
      </c>
      <c r="GM152" s="1356"/>
      <c r="GN152" s="1719">
        <f>GN140-GN150</f>
        <v>-108165</v>
      </c>
      <c r="GO152" s="1356"/>
      <c r="GP152" s="1719">
        <f>GP140-GP150</f>
        <v>-93347</v>
      </c>
      <c r="GQ152" s="1356"/>
      <c r="GR152" s="1719">
        <f>GR140-GR150</f>
        <v>259953</v>
      </c>
      <c r="GS152" s="1356"/>
      <c r="GT152" s="1719">
        <f>GT140-GT150</f>
        <v>338349</v>
      </c>
      <c r="GU152" s="1356"/>
      <c r="GV152" s="1719">
        <f>GV140-GV150</f>
        <v>675275</v>
      </c>
      <c r="GW152" s="1356"/>
      <c r="GX152" s="1719">
        <f>GX140-GX150</f>
        <v>352770</v>
      </c>
      <c r="GY152" s="1356"/>
      <c r="GZ152" s="1719">
        <f>GZ140-GZ150</f>
        <v>457273</v>
      </c>
      <c r="HA152" s="1356"/>
      <c r="HB152" s="1719">
        <f>HB140-HB150</f>
        <v>-559293</v>
      </c>
      <c r="HC152" s="1356"/>
      <c r="HD152" s="1719">
        <f>HD140-HD150</f>
        <v>-535878</v>
      </c>
      <c r="HE152" s="1356"/>
      <c r="HF152" s="2036">
        <f>HF140-HF150</f>
        <v>2056220</v>
      </c>
      <c r="HH152" s="1719">
        <f>HH140-HH150</f>
        <v>-1443251</v>
      </c>
      <c r="HI152" s="1356"/>
      <c r="HJ152" s="1719">
        <f>HJ140-HJ150</f>
        <v>19728</v>
      </c>
      <c r="HK152" s="1356"/>
      <c r="HL152" s="1719">
        <f>HL140-HL150</f>
        <v>39885</v>
      </c>
      <c r="HM152" s="1356"/>
      <c r="HN152" s="1719">
        <f>HN140-HN150</f>
        <v>1070051</v>
      </c>
      <c r="HO152" s="1356"/>
      <c r="HP152" s="2036">
        <f>HP140-HP150</f>
        <v>164862</v>
      </c>
      <c r="HR152" s="1719">
        <f>HR140-HR150</f>
        <v>-758516</v>
      </c>
      <c r="HS152" s="1356"/>
      <c r="HT152" s="2036">
        <f>HT140-HT150</f>
        <v>-25148</v>
      </c>
      <c r="HV152" s="2036">
        <f>HV140-HV150</f>
        <v>-1225878</v>
      </c>
      <c r="HX152" s="2036">
        <f>HX140-HX150</f>
        <v>520750</v>
      </c>
      <c r="HZ152" s="2036">
        <f>HZ140-HZ150</f>
        <v>-513499</v>
      </c>
      <c r="IB152" s="1719">
        <f>IB140-IB150</f>
        <v>-405481</v>
      </c>
      <c r="IC152" s="1356"/>
      <c r="ID152" s="2036">
        <f>ID140-ID150</f>
        <v>-333475</v>
      </c>
      <c r="IF152" s="2036">
        <f>IF140-IF150</f>
        <v>174915</v>
      </c>
    </row>
    <row r="153" spans="1:241" ht="16.8" thickTop="1" thickBot="1">
      <c r="A153" s="1149"/>
      <c r="B153" s="1139"/>
      <c r="C153" s="1139"/>
      <c r="D153" s="1139"/>
      <c r="E153" s="1144"/>
      <c r="F153" s="1406"/>
      <c r="G153" s="1356"/>
      <c r="H153" s="1406"/>
      <c r="I153" s="1356"/>
      <c r="J153" s="1406"/>
      <c r="K153" s="1356"/>
      <c r="L153" s="1406"/>
      <c r="M153" s="1356"/>
      <c r="N153" s="1406"/>
      <c r="O153" s="1356"/>
      <c r="P153" s="1406"/>
      <c r="Q153" s="1356"/>
      <c r="T153" s="1406"/>
      <c r="U153" s="1356"/>
      <c r="V153" s="1406"/>
      <c r="W153" s="1356"/>
      <c r="X153" s="1406"/>
      <c r="Y153" s="1356"/>
      <c r="Z153" s="1406"/>
      <c r="AA153" s="1356"/>
      <c r="AB153" s="1406"/>
      <c r="AC153" s="1356"/>
      <c r="AD153" s="1406"/>
      <c r="AE153" s="1356"/>
      <c r="AF153" s="1406"/>
      <c r="AG153" s="1356"/>
      <c r="AH153" s="1406"/>
      <c r="AI153" s="1356"/>
      <c r="AJ153" s="1406"/>
      <c r="AK153" s="1356"/>
      <c r="AL153" s="1406"/>
      <c r="AM153" s="1356"/>
      <c r="AN153" s="1406"/>
      <c r="AO153" s="1356"/>
      <c r="AP153" s="1406"/>
      <c r="AQ153" s="1356"/>
      <c r="AR153" s="1406"/>
      <c r="AS153" s="1356"/>
      <c r="AT153" s="1406"/>
      <c r="AU153" s="1356"/>
      <c r="AV153" s="1406"/>
      <c r="AW153" s="1356"/>
      <c r="AX153" s="1406"/>
      <c r="AY153" s="1356"/>
      <c r="AZ153" s="1406"/>
      <c r="BA153" s="1356"/>
      <c r="BB153" s="1406"/>
      <c r="BC153" s="1356"/>
      <c r="BD153" s="1406"/>
      <c r="BE153" s="1356"/>
      <c r="BF153" s="1406"/>
      <c r="BG153" s="1356"/>
      <c r="BH153" s="1406"/>
      <c r="BI153" s="1356"/>
      <c r="BJ153" s="1406"/>
      <c r="BK153" s="1356"/>
      <c r="BL153" s="1406"/>
      <c r="BM153" s="1356"/>
      <c r="BN153" s="1406"/>
      <c r="BO153" s="1356"/>
      <c r="BP153" s="1406"/>
      <c r="BQ153" s="1356"/>
      <c r="BR153" s="1406"/>
      <c r="BS153" s="1356"/>
      <c r="BT153" s="1406"/>
      <c r="BU153" s="1356"/>
      <c r="BV153" s="1406"/>
      <c r="BW153" s="1356"/>
      <c r="BX153" s="1406"/>
      <c r="BY153" s="1356"/>
      <c r="BZ153" s="1406"/>
      <c r="CA153" s="1356"/>
      <c r="CB153" s="1406"/>
      <c r="CC153" s="1356"/>
      <c r="CD153" s="1406"/>
      <c r="CE153" s="1356"/>
      <c r="CF153" s="1406"/>
      <c r="CG153" s="1356"/>
      <c r="CH153" s="1406"/>
      <c r="CI153" s="1356"/>
      <c r="CJ153" s="1406"/>
      <c r="CK153" s="1356"/>
      <c r="CL153" s="1406"/>
      <c r="CM153" s="1356"/>
      <c r="CN153" s="1406"/>
      <c r="CO153" s="1356"/>
      <c r="CP153" s="1406"/>
      <c r="CQ153" s="1356"/>
      <c r="CR153" s="1406"/>
      <c r="CS153" s="1356"/>
      <c r="CT153" s="1406"/>
      <c r="CU153" s="1356"/>
      <c r="CV153" s="1406"/>
      <c r="CW153" s="1356"/>
      <c r="CX153" s="1406"/>
      <c r="CY153" s="1356"/>
      <c r="CZ153" s="1406"/>
      <c r="DA153" s="1356"/>
      <c r="DB153" s="1406"/>
      <c r="DC153" s="1356"/>
      <c r="DD153" s="1406"/>
      <c r="DE153" s="1356"/>
      <c r="DF153" s="1406"/>
      <c r="DG153" s="1356"/>
      <c r="DH153" s="1406"/>
      <c r="DI153" s="1356"/>
      <c r="DJ153" s="1406"/>
      <c r="DK153" s="1356"/>
      <c r="DL153" s="1406"/>
      <c r="DM153" s="1356"/>
      <c r="DN153" s="1406"/>
      <c r="DO153" s="1356"/>
      <c r="DP153" s="1406"/>
      <c r="DQ153" s="1356"/>
      <c r="DR153" s="1406"/>
      <c r="DS153" s="1356"/>
      <c r="DT153" s="1406"/>
      <c r="DU153" s="1356"/>
      <c r="DV153" s="1406"/>
      <c r="DW153" s="1356"/>
      <c r="DX153" s="1406"/>
      <c r="DY153" s="1356"/>
      <c r="DZ153" s="1406"/>
      <c r="EA153" s="1356"/>
      <c r="EB153" s="1406"/>
      <c r="EC153" s="1356"/>
      <c r="ED153" s="1406"/>
      <c r="EE153" s="1356"/>
      <c r="EF153" s="1406"/>
      <c r="EG153" s="1356"/>
      <c r="EH153" s="1406"/>
      <c r="EI153" s="1356"/>
      <c r="EJ153" s="1406"/>
      <c r="EK153" s="1356"/>
      <c r="EL153" s="1406"/>
      <c r="EM153" s="1356"/>
      <c r="EN153" s="1406"/>
      <c r="EO153" s="1356"/>
      <c r="EP153" s="1406"/>
      <c r="EQ153" s="1356"/>
      <c r="ER153" s="1406"/>
      <c r="ES153" s="1356"/>
      <c r="ET153" s="1406"/>
      <c r="EU153" s="1356"/>
      <c r="EV153" s="1406"/>
      <c r="EW153" s="1356"/>
      <c r="EX153" s="1406"/>
      <c r="EY153" s="1356"/>
      <c r="EZ153" s="1406"/>
      <c r="FA153" s="1356"/>
      <c r="FB153" s="1406"/>
      <c r="FC153" s="1356"/>
      <c r="FD153" s="1406"/>
      <c r="FE153" s="1356"/>
      <c r="FF153" s="1406"/>
      <c r="FG153" s="1356"/>
      <c r="FH153" s="1406"/>
      <c r="FI153" s="1356"/>
      <c r="FJ153" s="1406"/>
      <c r="FK153" s="1356"/>
      <c r="FL153" s="1406"/>
      <c r="FM153" s="1356"/>
      <c r="FN153" s="1406"/>
      <c r="FO153" s="1356"/>
      <c r="FP153" s="1406"/>
      <c r="FQ153" s="1356"/>
      <c r="FR153" s="1406"/>
      <c r="FS153" s="1356"/>
      <c r="FT153" s="1406"/>
      <c r="FU153" s="1356"/>
      <c r="FV153" s="1406"/>
      <c r="FW153" s="1356"/>
      <c r="FX153" s="1406"/>
      <c r="FY153" s="1356"/>
      <c r="FZ153" s="1406"/>
      <c r="GA153" s="1356"/>
      <c r="GB153" s="1406"/>
      <c r="GC153" s="1356"/>
      <c r="GD153" s="1406"/>
      <c r="GE153" s="1356"/>
      <c r="GF153" s="1406"/>
      <c r="GG153" s="1356"/>
      <c r="GH153" s="1406"/>
      <c r="GI153" s="1356"/>
      <c r="GJ153" s="1406"/>
      <c r="GK153" s="1356"/>
      <c r="GL153" s="1406"/>
      <c r="GM153" s="1356"/>
      <c r="GN153" s="1406"/>
      <c r="GO153" s="1356"/>
      <c r="GP153" s="1406"/>
      <c r="GQ153" s="1356"/>
      <c r="GR153" s="1406"/>
      <c r="GS153" s="1356"/>
      <c r="GT153" s="1406"/>
      <c r="GU153" s="1356"/>
      <c r="GV153" s="1406"/>
      <c r="GW153" s="1356"/>
      <c r="GX153" s="1406"/>
      <c r="GY153" s="1356"/>
      <c r="GZ153" s="1406"/>
      <c r="HA153" s="1356"/>
      <c r="HB153" s="1406"/>
      <c r="HC153" s="1356"/>
      <c r="HD153" s="1406"/>
      <c r="HE153" s="1356"/>
      <c r="HF153" s="2037"/>
      <c r="HH153" s="1406"/>
      <c r="HI153" s="1356"/>
      <c r="HJ153" s="1406"/>
      <c r="HK153" s="1356"/>
      <c r="HL153" s="1406"/>
      <c r="HM153" s="1356"/>
      <c r="HN153" s="1406"/>
      <c r="HO153" s="1356"/>
      <c r="HP153" s="2037"/>
      <c r="HR153" s="1406"/>
      <c r="HS153" s="1356"/>
      <c r="HT153" s="2037"/>
      <c r="HV153" s="2037"/>
      <c r="HX153" s="2037"/>
      <c r="HZ153" s="2037"/>
      <c r="IB153" s="1406"/>
      <c r="IC153" s="1356"/>
      <c r="ID153" s="2037"/>
      <c r="IF153" s="2037"/>
    </row>
    <row r="154" spans="1:241" ht="21.6" thickBot="1">
      <c r="A154" s="1149"/>
      <c r="B154" s="1147" t="s">
        <v>66</v>
      </c>
      <c r="C154" s="1148"/>
      <c r="D154" s="1148"/>
      <c r="E154" s="1148"/>
      <c r="F154" s="1932"/>
      <c r="G154" s="1356"/>
      <c r="H154" s="1538"/>
      <c r="I154" s="1356"/>
      <c r="J154" s="1538"/>
      <c r="K154" s="1356"/>
      <c r="L154" s="1538"/>
      <c r="M154" s="1356"/>
      <c r="N154" s="1538"/>
      <c r="O154" s="1356"/>
      <c r="P154" s="1538"/>
      <c r="Q154" s="1356"/>
      <c r="R154" s="1538"/>
      <c r="T154" s="1538"/>
      <c r="U154" s="1356"/>
      <c r="V154" s="1538"/>
      <c r="W154" s="1356"/>
      <c r="X154" s="1538"/>
      <c r="Y154" s="1356"/>
      <c r="Z154" s="1538"/>
      <c r="AA154" s="1356"/>
      <c r="AB154" s="1538"/>
      <c r="AC154" s="1356"/>
      <c r="AD154" s="1538"/>
      <c r="AE154" s="1356"/>
      <c r="AF154" s="1538"/>
      <c r="AG154" s="1356"/>
      <c r="AH154" s="1538"/>
      <c r="AI154" s="1356"/>
      <c r="AJ154" s="1538"/>
      <c r="AK154" s="1356"/>
      <c r="AL154" s="1538"/>
      <c r="AM154" s="1356"/>
      <c r="AN154" s="1538"/>
      <c r="AO154" s="1356"/>
      <c r="AP154" s="1538"/>
      <c r="AQ154" s="1356"/>
      <c r="AR154" s="1538"/>
      <c r="AS154" s="1356"/>
      <c r="AT154" s="1538"/>
      <c r="AU154" s="1356"/>
      <c r="AV154" s="1538"/>
      <c r="AW154" s="1356"/>
      <c r="AX154" s="1538"/>
      <c r="AY154" s="1356"/>
      <c r="AZ154" s="1538"/>
      <c r="BA154" s="1356"/>
      <c r="BB154" s="1538"/>
      <c r="BC154" s="1356"/>
      <c r="BD154" s="1538"/>
      <c r="BE154" s="1356"/>
      <c r="BF154" s="1538"/>
      <c r="BG154" s="1356"/>
      <c r="BH154" s="1538"/>
      <c r="BI154" s="1356"/>
      <c r="BJ154" s="1538"/>
      <c r="BK154" s="1356"/>
      <c r="BL154" s="1538"/>
      <c r="BM154" s="1356"/>
      <c r="BN154" s="1538"/>
      <c r="BO154" s="1356"/>
      <c r="BP154" s="1538"/>
      <c r="BQ154" s="1356"/>
      <c r="BR154" s="1538"/>
      <c r="BS154" s="1356"/>
      <c r="BT154" s="1538"/>
      <c r="BU154" s="1356"/>
      <c r="BV154" s="1538"/>
      <c r="BW154" s="1356"/>
      <c r="BX154" s="1538"/>
      <c r="BY154" s="1356"/>
      <c r="BZ154" s="1538"/>
      <c r="CA154" s="1356"/>
      <c r="CB154" s="1538"/>
      <c r="CC154" s="1356"/>
      <c r="CD154" s="1538"/>
      <c r="CE154" s="1356"/>
      <c r="CF154" s="1538"/>
      <c r="CG154" s="1356"/>
      <c r="CH154" s="1538"/>
      <c r="CI154" s="1356"/>
      <c r="CJ154" s="1538"/>
      <c r="CK154" s="1356"/>
      <c r="CL154" s="1538"/>
      <c r="CM154" s="1356"/>
      <c r="CN154" s="1538"/>
      <c r="CO154" s="1356"/>
      <c r="CP154" s="1538"/>
      <c r="CQ154" s="1356"/>
      <c r="CR154" s="1538"/>
      <c r="CS154" s="1356"/>
      <c r="CT154" s="1538"/>
      <c r="CU154" s="1356"/>
      <c r="CV154" s="1538"/>
      <c r="CW154" s="1356"/>
      <c r="CX154" s="1538"/>
      <c r="CY154" s="1356"/>
      <c r="CZ154" s="1538"/>
      <c r="DA154" s="1356"/>
      <c r="DB154" s="1538"/>
      <c r="DC154" s="1356"/>
      <c r="DD154" s="1538"/>
      <c r="DE154" s="1356"/>
      <c r="DF154" s="1538"/>
      <c r="DG154" s="1356"/>
      <c r="DH154" s="1538"/>
      <c r="DI154" s="1356"/>
      <c r="DJ154" s="1538"/>
      <c r="DK154" s="1356"/>
      <c r="DL154" s="1538"/>
      <c r="DM154" s="1356"/>
      <c r="DN154" s="1538"/>
      <c r="DO154" s="1356"/>
      <c r="DP154" s="1538"/>
      <c r="DQ154" s="1356"/>
      <c r="DR154" s="1538"/>
      <c r="DS154" s="1356"/>
      <c r="DT154" s="1538"/>
      <c r="DU154" s="1356"/>
      <c r="DV154" s="1538"/>
      <c r="DW154" s="1356"/>
      <c r="DX154" s="1538"/>
      <c r="DY154" s="1356"/>
      <c r="DZ154" s="1538"/>
      <c r="EA154" s="1356"/>
      <c r="EB154" s="1538"/>
      <c r="EC154" s="1356"/>
      <c r="ED154" s="1538"/>
      <c r="EE154" s="1356"/>
      <c r="EF154" s="1538"/>
      <c r="EG154" s="1356"/>
      <c r="EH154" s="1538"/>
      <c r="EI154" s="1356"/>
      <c r="EJ154" s="1538"/>
      <c r="EK154" s="1356"/>
      <c r="EL154" s="1538"/>
      <c r="EM154" s="1356"/>
      <c r="EN154" s="1538"/>
      <c r="EO154" s="1356"/>
      <c r="EP154" s="1538"/>
      <c r="EQ154" s="1356"/>
      <c r="ER154" s="1538"/>
      <c r="ES154" s="1356"/>
      <c r="ET154" s="1538"/>
      <c r="EU154" s="1356"/>
      <c r="EV154" s="1538"/>
      <c r="EW154" s="1356"/>
      <c r="EX154" s="1538"/>
      <c r="EY154" s="1356"/>
      <c r="EZ154" s="1538"/>
      <c r="FA154" s="1356"/>
      <c r="FB154" s="1538"/>
      <c r="FC154" s="1356"/>
      <c r="FD154" s="1538"/>
      <c r="FE154" s="1356"/>
      <c r="FF154" s="1538"/>
      <c r="FG154" s="1356"/>
      <c r="FH154" s="1538"/>
      <c r="FI154" s="1356"/>
      <c r="FJ154" s="1538"/>
      <c r="FK154" s="1356"/>
      <c r="FL154" s="1538"/>
      <c r="FM154" s="1356"/>
      <c r="FN154" s="1538"/>
      <c r="FO154" s="1356"/>
      <c r="FP154" s="1538"/>
      <c r="FQ154" s="1356"/>
      <c r="FR154" s="1538"/>
      <c r="FS154" s="1356"/>
      <c r="FT154" s="1538"/>
      <c r="FU154" s="1356"/>
      <c r="FV154" s="1538"/>
      <c r="FW154" s="1356"/>
      <c r="FX154" s="1538"/>
      <c r="FY154" s="1356"/>
      <c r="FZ154" s="1538"/>
      <c r="GA154" s="1356"/>
      <c r="GB154" s="1538"/>
      <c r="GC154" s="1356"/>
      <c r="GD154" s="1538"/>
      <c r="GE154" s="1356"/>
      <c r="GF154" s="1538"/>
      <c r="GG154" s="1356"/>
      <c r="GH154" s="1538"/>
      <c r="GI154" s="1356"/>
      <c r="GJ154" s="1538"/>
      <c r="GK154" s="1356"/>
      <c r="GL154" s="1538"/>
      <c r="GM154" s="1356"/>
      <c r="GN154" s="1538"/>
      <c r="GO154" s="1356"/>
      <c r="GP154" s="1538"/>
      <c r="GQ154" s="1356"/>
      <c r="GR154" s="1538"/>
      <c r="GS154" s="1356"/>
      <c r="GT154" s="1538"/>
      <c r="GU154" s="1356"/>
      <c r="GV154" s="1538"/>
      <c r="GW154" s="1356"/>
      <c r="GX154" s="1538"/>
      <c r="GY154" s="1356"/>
      <c r="GZ154" s="1538"/>
      <c r="HA154" s="1356"/>
      <c r="HB154" s="1538"/>
      <c r="HC154" s="1356"/>
      <c r="HD154" s="1538"/>
      <c r="HE154" s="1356"/>
      <c r="HF154" s="2075"/>
      <c r="HH154" s="1538"/>
      <c r="HI154" s="1356"/>
      <c r="HJ154" s="1538"/>
      <c r="HK154" s="1356"/>
      <c r="HL154" s="1538"/>
      <c r="HM154" s="1356"/>
      <c r="HN154" s="1538"/>
      <c r="HO154" s="1356"/>
      <c r="HP154" s="2077"/>
      <c r="HR154" s="1538"/>
      <c r="HS154" s="1356"/>
      <c r="HT154" s="1538"/>
      <c r="HV154" s="1538"/>
      <c r="HX154" s="1538"/>
      <c r="HZ154" s="1538"/>
      <c r="IB154" s="1538"/>
      <c r="IC154" s="1356"/>
      <c r="ID154" s="1538"/>
      <c r="IF154" s="1005"/>
    </row>
    <row r="155" spans="1:241">
      <c r="A155" s="1149"/>
      <c r="B155" s="1159"/>
      <c r="C155" s="1139"/>
      <c r="D155" s="1139"/>
      <c r="E155" s="1144"/>
      <c r="F155" s="1406"/>
      <c r="G155" s="1356"/>
      <c r="H155" s="1406"/>
      <c r="I155" s="1356"/>
      <c r="J155" s="1406"/>
      <c r="K155" s="1356"/>
      <c r="L155" s="1406"/>
      <c r="M155" s="1356"/>
      <c r="N155" s="1406"/>
      <c r="O155" s="1356"/>
      <c r="P155" s="1406"/>
      <c r="Q155" s="1356"/>
      <c r="T155" s="1406"/>
      <c r="U155" s="1356"/>
      <c r="V155" s="1406"/>
      <c r="W155" s="1356"/>
      <c r="X155" s="1406"/>
      <c r="Y155" s="1356"/>
      <c r="Z155" s="1406"/>
      <c r="AA155" s="1356"/>
      <c r="AB155" s="1406"/>
      <c r="AC155" s="1356"/>
      <c r="AD155" s="1406"/>
      <c r="AE155" s="1356"/>
      <c r="AF155" s="1406"/>
      <c r="AG155" s="1356"/>
      <c r="AH155" s="1406"/>
      <c r="AI155" s="1356"/>
      <c r="AJ155" s="1406"/>
      <c r="AK155" s="1356"/>
      <c r="AL155" s="1406"/>
      <c r="AM155" s="1356"/>
      <c r="AN155" s="1406"/>
      <c r="AO155" s="1356"/>
      <c r="AP155" s="1406"/>
      <c r="AQ155" s="1356"/>
      <c r="AR155" s="1406"/>
      <c r="AS155" s="1356"/>
      <c r="AT155" s="1406"/>
      <c r="AU155" s="1356"/>
      <c r="AV155" s="1406"/>
      <c r="AW155" s="1356"/>
      <c r="AX155" s="1406"/>
      <c r="AY155" s="1356"/>
      <c r="AZ155" s="1406"/>
      <c r="BA155" s="1356"/>
      <c r="BB155" s="1406"/>
      <c r="BC155" s="1356"/>
      <c r="BD155" s="1406"/>
      <c r="BE155" s="1356"/>
      <c r="BF155" s="1406"/>
      <c r="BG155" s="1356"/>
      <c r="BH155" s="1406"/>
      <c r="BI155" s="1356"/>
      <c r="BJ155" s="1406"/>
      <c r="BK155" s="1356"/>
      <c r="BL155" s="1406"/>
      <c r="BM155" s="1356"/>
      <c r="BN155" s="1406"/>
      <c r="BO155" s="1356"/>
      <c r="BP155" s="1406"/>
      <c r="BQ155" s="1356"/>
      <c r="BR155" s="1406"/>
      <c r="BS155" s="1356"/>
      <c r="BT155" s="1406"/>
      <c r="BU155" s="1356"/>
      <c r="BV155" s="1406"/>
      <c r="BW155" s="1356"/>
      <c r="BX155" s="1406"/>
      <c r="BY155" s="1356"/>
      <c r="BZ155" s="1406"/>
      <c r="CA155" s="1356"/>
      <c r="CB155" s="1406"/>
      <c r="CC155" s="1356"/>
      <c r="CD155" s="1406"/>
      <c r="CE155" s="1356"/>
      <c r="CF155" s="1406"/>
      <c r="CG155" s="1356"/>
      <c r="CH155" s="1406"/>
      <c r="CI155" s="1356"/>
      <c r="CJ155" s="1406"/>
      <c r="CK155" s="1356"/>
      <c r="CL155" s="1406"/>
      <c r="CM155" s="1356"/>
      <c r="CN155" s="1406"/>
      <c r="CO155" s="1356"/>
      <c r="CP155" s="1406"/>
      <c r="CQ155" s="1356"/>
      <c r="CR155" s="1406"/>
      <c r="CS155" s="1356"/>
      <c r="CT155" s="1406"/>
      <c r="CU155" s="1356"/>
      <c r="CV155" s="1406"/>
      <c r="CW155" s="1356"/>
      <c r="CX155" s="1406"/>
      <c r="CY155" s="1356"/>
      <c r="CZ155" s="1406"/>
      <c r="DA155" s="1356"/>
      <c r="DB155" s="1406"/>
      <c r="DC155" s="1356"/>
      <c r="DD155" s="1406"/>
      <c r="DE155" s="1356"/>
      <c r="DF155" s="1406"/>
      <c r="DG155" s="1356"/>
      <c r="DH155" s="1406"/>
      <c r="DI155" s="1356"/>
      <c r="DJ155" s="1406"/>
      <c r="DK155" s="1356"/>
      <c r="DL155" s="1406"/>
      <c r="DM155" s="1356"/>
      <c r="DN155" s="1406"/>
      <c r="DO155" s="1356"/>
      <c r="DP155" s="1406"/>
      <c r="DQ155" s="1356"/>
      <c r="DR155" s="1406"/>
      <c r="DS155" s="1356"/>
      <c r="DT155" s="1406"/>
      <c r="DU155" s="1356"/>
      <c r="DV155" s="1406"/>
      <c r="DW155" s="1356"/>
      <c r="DX155" s="1406"/>
      <c r="DY155" s="1356"/>
      <c r="DZ155" s="1406"/>
      <c r="EA155" s="1356"/>
      <c r="EB155" s="1406"/>
      <c r="EC155" s="1356"/>
      <c r="ED155" s="1406"/>
      <c r="EE155" s="1356"/>
      <c r="EF155" s="1406"/>
      <c r="EG155" s="1356"/>
      <c r="EH155" s="1406"/>
      <c r="EI155" s="1356"/>
      <c r="EJ155" s="1406"/>
      <c r="EK155" s="1356"/>
      <c r="EL155" s="1406"/>
      <c r="EM155" s="1356"/>
      <c r="EN155" s="1406"/>
      <c r="EO155" s="1356"/>
      <c r="EP155" s="1406"/>
      <c r="EQ155" s="1356"/>
      <c r="ER155" s="1406"/>
      <c r="ES155" s="1356"/>
      <c r="ET155" s="1406"/>
      <c r="EU155" s="1356"/>
      <c r="EV155" s="1406"/>
      <c r="EW155" s="1356"/>
      <c r="EX155" s="1406"/>
      <c r="EY155" s="1356"/>
      <c r="EZ155" s="1406"/>
      <c r="FA155" s="1356"/>
      <c r="FB155" s="1406"/>
      <c r="FC155" s="1356"/>
      <c r="FD155" s="1406"/>
      <c r="FE155" s="1356"/>
      <c r="FF155" s="1406"/>
      <c r="FG155" s="1356"/>
      <c r="FH155" s="1406"/>
      <c r="FI155" s="1356"/>
      <c r="FJ155" s="1406"/>
      <c r="FK155" s="1356"/>
      <c r="FL155" s="1406"/>
      <c r="FM155" s="1356"/>
      <c r="FN155" s="1406"/>
      <c r="FO155" s="1356"/>
      <c r="FP155" s="1406"/>
      <c r="FQ155" s="1356"/>
      <c r="FR155" s="1406"/>
      <c r="FS155" s="1356"/>
      <c r="FT155" s="1406"/>
      <c r="FU155" s="1356"/>
      <c r="FV155" s="1406"/>
      <c r="FW155" s="1356"/>
      <c r="FX155" s="1406"/>
      <c r="FY155" s="1356"/>
      <c r="FZ155" s="1406"/>
      <c r="GA155" s="1356"/>
      <c r="GB155" s="1406"/>
      <c r="GC155" s="1356"/>
      <c r="GD155" s="1406"/>
      <c r="GE155" s="1356"/>
      <c r="GF155" s="1406"/>
      <c r="GG155" s="1356"/>
      <c r="GH155" s="1406"/>
      <c r="GI155" s="1356"/>
      <c r="GJ155" s="1406"/>
      <c r="GK155" s="1356"/>
      <c r="GL155" s="1406"/>
      <c r="GM155" s="1356"/>
      <c r="GN155" s="1406"/>
      <c r="GO155" s="1356"/>
      <c r="GP155" s="1406"/>
      <c r="GQ155" s="1356"/>
      <c r="GR155" s="1406"/>
      <c r="GS155" s="1356"/>
      <c r="GT155" s="1406"/>
      <c r="GU155" s="1356"/>
      <c r="GV155" s="1406"/>
      <c r="GW155" s="1356"/>
      <c r="GX155" s="1406"/>
      <c r="GY155" s="1356"/>
      <c r="GZ155" s="1406"/>
      <c r="HA155" s="1356"/>
      <c r="HB155" s="1406"/>
      <c r="HC155" s="1356"/>
      <c r="HD155" s="1406"/>
      <c r="HE155" s="1356"/>
      <c r="HF155" s="2037"/>
      <c r="HH155" s="1406"/>
      <c r="HI155" s="1356"/>
      <c r="HJ155" s="1406"/>
      <c r="HK155" s="1356"/>
      <c r="HL155" s="1406"/>
      <c r="HM155" s="1356"/>
      <c r="HN155" s="1406"/>
      <c r="HO155" s="1356"/>
      <c r="HP155" s="2037"/>
      <c r="HR155" s="1406"/>
      <c r="HS155" s="1356"/>
      <c r="HT155" s="2037"/>
      <c r="HV155" s="2037"/>
      <c r="HX155" s="2037"/>
      <c r="HZ155" s="2037"/>
      <c r="IB155" s="1406"/>
      <c r="IC155" s="1356"/>
      <c r="ID155" s="2037"/>
      <c r="IF155" s="2037"/>
    </row>
    <row r="156" spans="1:241">
      <c r="A156" s="1149"/>
      <c r="B156" s="1150" t="s">
        <v>1240</v>
      </c>
      <c r="C156" s="1149"/>
      <c r="D156" s="1149"/>
      <c r="E156" s="1143"/>
      <c r="F156" s="1406"/>
      <c r="G156" s="1356"/>
      <c r="H156" s="1406"/>
      <c r="I156" s="1356"/>
      <c r="J156" s="1406"/>
      <c r="K156" s="1356"/>
      <c r="L156" s="1406"/>
      <c r="M156" s="1356"/>
      <c r="N156" s="1406"/>
      <c r="O156" s="1356"/>
      <c r="P156" s="1406"/>
      <c r="Q156" s="1356"/>
      <c r="T156" s="1406"/>
      <c r="U156" s="1356"/>
      <c r="V156" s="1406"/>
      <c r="W156" s="1356"/>
      <c r="X156" s="1406"/>
      <c r="Y156" s="1356"/>
      <c r="Z156" s="1406"/>
      <c r="AA156" s="1356"/>
      <c r="AB156" s="1406"/>
      <c r="AC156" s="1356"/>
      <c r="AD156" s="1406"/>
      <c r="AE156" s="1356"/>
      <c r="AF156" s="1406"/>
      <c r="AG156" s="1356"/>
      <c r="AH156" s="1406"/>
      <c r="AI156" s="1356"/>
      <c r="AJ156" s="1406"/>
      <c r="AK156" s="1356"/>
      <c r="AL156" s="1406"/>
      <c r="AM156" s="1356"/>
      <c r="AN156" s="1406"/>
      <c r="AO156" s="1356"/>
      <c r="AP156" s="1406"/>
      <c r="AQ156" s="1356"/>
      <c r="AR156" s="1406"/>
      <c r="AS156" s="1356"/>
      <c r="AT156" s="1406"/>
      <c r="AU156" s="1356"/>
      <c r="AV156" s="1406"/>
      <c r="AW156" s="1356"/>
      <c r="AX156" s="1406"/>
      <c r="AY156" s="1356"/>
      <c r="AZ156" s="1406"/>
      <c r="BA156" s="1356"/>
      <c r="BB156" s="1406"/>
      <c r="BC156" s="1356"/>
      <c r="BD156" s="1406"/>
      <c r="BE156" s="1356"/>
      <c r="BF156" s="1406"/>
      <c r="BG156" s="1356"/>
      <c r="BH156" s="1406"/>
      <c r="BI156" s="1356"/>
      <c r="BJ156" s="1406"/>
      <c r="BK156" s="1356"/>
      <c r="BL156" s="1406"/>
      <c r="BM156" s="1356"/>
      <c r="BN156" s="1406"/>
      <c r="BO156" s="1356"/>
      <c r="BP156" s="1406"/>
      <c r="BQ156" s="1356"/>
      <c r="BR156" s="1406"/>
      <c r="BS156" s="1356"/>
      <c r="BT156" s="1406"/>
      <c r="BU156" s="1356"/>
      <c r="BV156" s="1406"/>
      <c r="BW156" s="1356"/>
      <c r="BX156" s="1406"/>
      <c r="BY156" s="1356"/>
      <c r="BZ156" s="1406"/>
      <c r="CA156" s="1356"/>
      <c r="CB156" s="1406"/>
      <c r="CC156" s="1356"/>
      <c r="CD156" s="1406"/>
      <c r="CE156" s="1356"/>
      <c r="CF156" s="1406"/>
      <c r="CG156" s="1356"/>
      <c r="CH156" s="1406"/>
      <c r="CI156" s="1356"/>
      <c r="CJ156" s="1406"/>
      <c r="CK156" s="1356"/>
      <c r="CL156" s="1406"/>
      <c r="CM156" s="1356"/>
      <c r="CN156" s="1406"/>
      <c r="CO156" s="1356"/>
      <c r="CP156" s="1406"/>
      <c r="CQ156" s="1356"/>
      <c r="CR156" s="1406"/>
      <c r="CS156" s="1356"/>
      <c r="CT156" s="1406"/>
      <c r="CU156" s="1356"/>
      <c r="CV156" s="1406"/>
      <c r="CW156" s="1356"/>
      <c r="CX156" s="1406"/>
      <c r="CY156" s="1356"/>
      <c r="CZ156" s="1406"/>
      <c r="DA156" s="1356"/>
      <c r="DB156" s="1406"/>
      <c r="DC156" s="1356"/>
      <c r="DD156" s="1406"/>
      <c r="DE156" s="1356"/>
      <c r="DF156" s="1406"/>
      <c r="DG156" s="1356"/>
      <c r="DH156" s="1406"/>
      <c r="DI156" s="1356"/>
      <c r="DJ156" s="1406"/>
      <c r="DK156" s="1356"/>
      <c r="DL156" s="1406"/>
      <c r="DM156" s="1356"/>
      <c r="DN156" s="1406"/>
      <c r="DO156" s="1356"/>
      <c r="DP156" s="1406"/>
      <c r="DQ156" s="1356"/>
      <c r="DR156" s="1406"/>
      <c r="DS156" s="1356"/>
      <c r="DT156" s="1406"/>
      <c r="DU156" s="1356"/>
      <c r="DV156" s="1406"/>
      <c r="DW156" s="1356"/>
      <c r="DX156" s="1406"/>
      <c r="DY156" s="1356"/>
      <c r="DZ156" s="1406"/>
      <c r="EA156" s="1356"/>
      <c r="EB156" s="1406"/>
      <c r="EC156" s="1356"/>
      <c r="ED156" s="1406"/>
      <c r="EE156" s="1356"/>
      <c r="EF156" s="1406"/>
      <c r="EG156" s="1356"/>
      <c r="EH156" s="1406"/>
      <c r="EI156" s="1356"/>
      <c r="EJ156" s="1406"/>
      <c r="EK156" s="1356"/>
      <c r="EL156" s="1406"/>
      <c r="EM156" s="1356"/>
      <c r="EN156" s="1406"/>
      <c r="EO156" s="1356"/>
      <c r="EP156" s="1406"/>
      <c r="EQ156" s="1356"/>
      <c r="ER156" s="1406"/>
      <c r="ES156" s="1356"/>
      <c r="ET156" s="1406"/>
      <c r="EU156" s="1356"/>
      <c r="EV156" s="1406"/>
      <c r="EW156" s="1356"/>
      <c r="EX156" s="1406"/>
      <c r="EY156" s="1356"/>
      <c r="EZ156" s="1406"/>
      <c r="FA156" s="1356"/>
      <c r="FB156" s="1406"/>
      <c r="FC156" s="1356"/>
      <c r="FD156" s="1406"/>
      <c r="FE156" s="1356"/>
      <c r="FF156" s="1406"/>
      <c r="FG156" s="1356"/>
      <c r="FH156" s="1406"/>
      <c r="FI156" s="1356"/>
      <c r="FJ156" s="1406"/>
      <c r="FK156" s="1356"/>
      <c r="FL156" s="1406"/>
      <c r="FM156" s="1356"/>
      <c r="FN156" s="1406"/>
      <c r="FO156" s="1356"/>
      <c r="FP156" s="1406"/>
      <c r="FQ156" s="1356"/>
      <c r="FR156" s="1406"/>
      <c r="FS156" s="1356"/>
      <c r="FT156" s="1406"/>
      <c r="FU156" s="1356"/>
      <c r="FV156" s="1406"/>
      <c r="FW156" s="1356"/>
      <c r="FX156" s="1406"/>
      <c r="FY156" s="1356"/>
      <c r="FZ156" s="1406"/>
      <c r="GA156" s="1356"/>
      <c r="GB156" s="1406"/>
      <c r="GC156" s="1356"/>
      <c r="GD156" s="1406"/>
      <c r="GE156" s="1356"/>
      <c r="GF156" s="1406"/>
      <c r="GG156" s="1356"/>
      <c r="GH156" s="1406"/>
      <c r="GI156" s="1356"/>
      <c r="GJ156" s="1406"/>
      <c r="GK156" s="1356"/>
      <c r="GL156" s="1406"/>
      <c r="GM156" s="1356"/>
      <c r="GN156" s="1406"/>
      <c r="GO156" s="1356"/>
      <c r="GP156" s="1406"/>
      <c r="GQ156" s="1356"/>
      <c r="GR156" s="1406"/>
      <c r="GS156" s="1356"/>
      <c r="GT156" s="1406"/>
      <c r="GU156" s="1356"/>
      <c r="GV156" s="1406"/>
      <c r="GW156" s="1356"/>
      <c r="GX156" s="1406"/>
      <c r="GY156" s="1356"/>
      <c r="GZ156" s="1406"/>
      <c r="HA156" s="1356"/>
      <c r="HB156" s="1406"/>
      <c r="HC156" s="1356"/>
      <c r="HD156" s="1406"/>
      <c r="HE156" s="1356"/>
      <c r="HH156" s="1406"/>
      <c r="HI156" s="1356"/>
      <c r="HJ156" s="1406"/>
      <c r="HK156" s="1356"/>
      <c r="HL156" s="1406"/>
      <c r="HM156" s="1356"/>
      <c r="HN156" s="1406"/>
      <c r="HO156" s="1356"/>
      <c r="HR156" s="1406"/>
      <c r="HS156" s="1356"/>
      <c r="IB156" s="1406"/>
      <c r="IC156" s="1356"/>
    </row>
    <row r="157" spans="1:241">
      <c r="A157" s="1149"/>
      <c r="B157" s="1149" t="s">
        <v>1241</v>
      </c>
      <c r="C157" s="1149"/>
      <c r="D157" s="1149" t="s">
        <v>6</v>
      </c>
      <c r="E157" s="1143"/>
      <c r="F157" s="1406"/>
      <c r="G157" s="1356"/>
      <c r="H157" s="1406"/>
      <c r="I157" s="1356"/>
      <c r="J157" s="1406"/>
      <c r="K157" s="1356"/>
      <c r="L157" s="1406"/>
      <c r="M157" s="1356"/>
      <c r="N157" s="1406"/>
      <c r="O157" s="1356"/>
      <c r="P157" s="1406"/>
      <c r="Q157" s="1356"/>
      <c r="T157" s="1406"/>
      <c r="U157" s="1356"/>
      <c r="V157" s="1406"/>
      <c r="W157" s="1356"/>
      <c r="X157" s="1406"/>
      <c r="Y157" s="1356"/>
      <c r="Z157" s="1406"/>
      <c r="AA157" s="1356"/>
      <c r="AB157" s="1406"/>
      <c r="AC157" s="1356"/>
      <c r="AD157" s="1406"/>
      <c r="AE157" s="1356"/>
      <c r="AF157" s="1406"/>
      <c r="AG157" s="1356"/>
      <c r="AH157" s="1406"/>
      <c r="AI157" s="1356"/>
      <c r="AJ157" s="1406"/>
      <c r="AK157" s="1356"/>
      <c r="AL157" s="1406"/>
      <c r="AM157" s="1356"/>
      <c r="AN157" s="1406"/>
      <c r="AO157" s="1356"/>
      <c r="AP157" s="1406"/>
      <c r="AQ157" s="1356"/>
      <c r="AR157" s="1406"/>
      <c r="AS157" s="1356"/>
      <c r="AT157" s="1406"/>
      <c r="AU157" s="1356"/>
      <c r="AV157" s="1406"/>
      <c r="AW157" s="1356"/>
      <c r="AX157" s="1406"/>
      <c r="AY157" s="1356"/>
      <c r="AZ157" s="1406"/>
      <c r="BA157" s="1356"/>
      <c r="BB157" s="1406"/>
      <c r="BC157" s="1356"/>
      <c r="BD157" s="1406"/>
      <c r="BE157" s="1356"/>
      <c r="BF157" s="1406"/>
      <c r="BG157" s="1356"/>
      <c r="BH157" s="1406"/>
      <c r="BI157" s="1356"/>
      <c r="BJ157" s="1406"/>
      <c r="BK157" s="1356"/>
      <c r="BL157" s="1406"/>
      <c r="BM157" s="1356"/>
      <c r="BN157" s="1406"/>
      <c r="BO157" s="1356"/>
      <c r="BP157" s="1406"/>
      <c r="BQ157" s="1356"/>
      <c r="BR157" s="1406"/>
      <c r="BS157" s="1356"/>
      <c r="BT157" s="1406"/>
      <c r="BU157" s="1356"/>
      <c r="BV157" s="1406"/>
      <c r="BW157" s="1356"/>
      <c r="BX157" s="1406"/>
      <c r="BY157" s="1356"/>
      <c r="BZ157" s="1406"/>
      <c r="CA157" s="1356"/>
      <c r="CB157" s="1406"/>
      <c r="CC157" s="1356"/>
      <c r="CD157" s="1406"/>
      <c r="CE157" s="1356"/>
      <c r="CF157" s="1406"/>
      <c r="CG157" s="1356"/>
      <c r="CH157" s="1406"/>
      <c r="CI157" s="1356"/>
      <c r="CJ157" s="1406"/>
      <c r="CK157" s="1356"/>
      <c r="CL157" s="1406"/>
      <c r="CM157" s="1356"/>
      <c r="CN157" s="1406"/>
      <c r="CO157" s="1356"/>
      <c r="CP157" s="1406"/>
      <c r="CQ157" s="1356"/>
      <c r="CR157" s="1406"/>
      <c r="CS157" s="1356"/>
      <c r="CT157" s="1406"/>
      <c r="CU157" s="1356"/>
      <c r="CV157" s="1406"/>
      <c r="CW157" s="1356"/>
      <c r="CX157" s="1406"/>
      <c r="CY157" s="1356"/>
      <c r="CZ157" s="1406"/>
      <c r="DA157" s="1356"/>
      <c r="DB157" s="1406"/>
      <c r="DC157" s="1356"/>
      <c r="DD157" s="1406"/>
      <c r="DE157" s="1356"/>
      <c r="DF157" s="1406"/>
      <c r="DG157" s="1356"/>
      <c r="DH157" s="1406"/>
      <c r="DI157" s="1356"/>
      <c r="DJ157" s="1406"/>
      <c r="DK157" s="1356"/>
      <c r="DL157" s="1406"/>
      <c r="DM157" s="1356"/>
      <c r="DN157" s="1406"/>
      <c r="DO157" s="1356"/>
      <c r="DP157" s="1406"/>
      <c r="DQ157" s="1356"/>
      <c r="DR157" s="1406"/>
      <c r="DS157" s="1356"/>
      <c r="DT157" s="1406"/>
      <c r="DU157" s="1356"/>
      <c r="DV157" s="1406"/>
      <c r="DW157" s="1356"/>
      <c r="DX157" s="1406"/>
      <c r="DY157" s="1356"/>
      <c r="DZ157" s="1406"/>
      <c r="EA157" s="1356"/>
      <c r="EB157" s="1406"/>
      <c r="EC157" s="1356"/>
      <c r="ED157" s="1406"/>
      <c r="EE157" s="1356"/>
      <c r="EF157" s="1406"/>
      <c r="EG157" s="1356"/>
      <c r="EH157" s="1406"/>
      <c r="EI157" s="1356"/>
      <c r="EJ157" s="1406"/>
      <c r="EK157" s="1356"/>
      <c r="EL157" s="1406"/>
      <c r="EM157" s="1356"/>
      <c r="EN157" s="1406"/>
      <c r="EO157" s="1356"/>
      <c r="EP157" s="1406"/>
      <c r="EQ157" s="1356"/>
      <c r="ER157" s="1406"/>
      <c r="ES157" s="1356"/>
      <c r="ET157" s="1406"/>
      <c r="EU157" s="1356"/>
      <c r="EV157" s="1406"/>
      <c r="EW157" s="1356"/>
      <c r="EX157" s="1406"/>
      <c r="EY157" s="1356"/>
      <c r="EZ157" s="1406"/>
      <c r="FA157" s="1356"/>
      <c r="FB157" s="1406"/>
      <c r="FC157" s="1356"/>
      <c r="FD157" s="1406"/>
      <c r="FE157" s="1356"/>
      <c r="FF157" s="1406"/>
      <c r="FG157" s="1356"/>
      <c r="FH157" s="1406"/>
      <c r="FI157" s="1356"/>
      <c r="FJ157" s="1406"/>
      <c r="FK157" s="1356"/>
      <c r="FL157" s="1406"/>
      <c r="FM157" s="1356"/>
      <c r="FN157" s="1406"/>
      <c r="FO157" s="1356"/>
      <c r="FP157" s="1406"/>
      <c r="FQ157" s="1356"/>
      <c r="FR157" s="1406"/>
      <c r="FS157" s="1356"/>
      <c r="FT157" s="1406"/>
      <c r="FU157" s="1356"/>
      <c r="FV157" s="1406"/>
      <c r="FW157" s="1356"/>
      <c r="FX157" s="1406"/>
      <c r="FY157" s="1356"/>
      <c r="FZ157" s="1406"/>
      <c r="GA157" s="1356"/>
      <c r="GB157" s="1406"/>
      <c r="GC157" s="1356"/>
      <c r="GD157" s="1406"/>
      <c r="GE157" s="1356"/>
      <c r="GF157" s="1406"/>
      <c r="GG157" s="1356"/>
      <c r="GH157" s="1406"/>
      <c r="GI157" s="1356"/>
      <c r="GJ157" s="1406"/>
      <c r="GK157" s="1356"/>
      <c r="GL157" s="1406"/>
      <c r="GM157" s="1356"/>
      <c r="GN157" s="1406"/>
      <c r="GO157" s="1356"/>
      <c r="GP157" s="1406"/>
      <c r="GQ157" s="1356"/>
      <c r="GR157" s="1406"/>
      <c r="GS157" s="1356"/>
      <c r="GT157" s="1406"/>
      <c r="GU157" s="1356"/>
      <c r="GV157" s="1406"/>
      <c r="GW157" s="1356"/>
      <c r="GX157" s="1406"/>
      <c r="GY157" s="1356"/>
      <c r="GZ157" s="1406"/>
      <c r="HA157" s="1356"/>
      <c r="HB157" s="1406"/>
      <c r="HC157" s="1356"/>
      <c r="HD157" s="1406"/>
      <c r="HE157" s="1356"/>
      <c r="HH157" s="1406"/>
      <c r="HI157" s="1356"/>
      <c r="HJ157" s="1406"/>
      <c r="HK157" s="1356"/>
      <c r="HL157" s="1406"/>
      <c r="HM157" s="1356"/>
      <c r="HN157" s="1406"/>
      <c r="HO157" s="1356"/>
      <c r="HR157" s="1406"/>
      <c r="HS157" s="1356"/>
      <c r="IB157" s="1406"/>
      <c r="IC157" s="1356"/>
    </row>
    <row r="158" spans="1:241">
      <c r="A158" s="1149"/>
      <c r="B158" s="1149"/>
      <c r="C158" s="1149"/>
      <c r="D158" s="1149" t="s">
        <v>7</v>
      </c>
      <c r="E158" s="1143"/>
      <c r="F158" s="1541">
        <f t="shared" ref="F158:F167" si="210">F129/F$21</f>
        <v>0</v>
      </c>
      <c r="G158" s="1718"/>
      <c r="H158" s="1541">
        <f t="shared" ref="H158:H167" si="211">H129/H$21</f>
        <v>3191.6955020676614</v>
      </c>
      <c r="I158" s="1718"/>
      <c r="J158" s="1541">
        <f t="shared" ref="J158:J167" si="212">J129/J$21</f>
        <v>2251.9781426497702</v>
      </c>
      <c r="K158" s="1718"/>
      <c r="L158" s="1541">
        <f t="shared" ref="L158:L167" si="213">L129/L$21</f>
        <v>1361.0212506842013</v>
      </c>
      <c r="M158" s="1718"/>
      <c r="N158" s="1541">
        <f t="shared" ref="N158:N167" si="214">N129/N$21</f>
        <v>1599.3483922160176</v>
      </c>
      <c r="O158" s="1718"/>
      <c r="P158" s="1541">
        <f t="shared" ref="P158:P167" si="215">P129/P$21</f>
        <v>3297.1073598575249</v>
      </c>
      <c r="Q158" s="1718"/>
      <c r="R158" s="1541">
        <f t="shared" ref="R158:R167" si="216">R129/R$21</f>
        <v>4296.5111662168047</v>
      </c>
      <c r="S158" s="1718"/>
      <c r="T158" s="1541">
        <f t="shared" ref="T158:T167" si="217">T129/T$21</f>
        <v>0</v>
      </c>
      <c r="U158" s="1718"/>
      <c r="V158" s="1541">
        <f t="shared" ref="V158:V167" si="218">V129/V$21</f>
        <v>1476.5231218539313</v>
      </c>
      <c r="W158" s="1718"/>
      <c r="X158" s="1541">
        <f t="shared" ref="X158:X167" si="219">X129/X$21</f>
        <v>922.30051489308369</v>
      </c>
      <c r="Y158" s="1718"/>
      <c r="Z158" s="1541">
        <f t="shared" ref="Z158:Z167" si="220">Z129/Z$21</f>
        <v>2399.5942884332753</v>
      </c>
      <c r="AA158" s="1718"/>
      <c r="AB158" s="1541">
        <f t="shared" ref="AB158:AB167" si="221">AB129/AB$21</f>
        <v>1546.657357679914</v>
      </c>
      <c r="AC158" s="1718"/>
      <c r="AD158" s="1541">
        <f t="shared" ref="AD158:AD167" si="222">AD129/AD$21</f>
        <v>834.37580065407212</v>
      </c>
      <c r="AE158" s="1718"/>
      <c r="AF158" s="1541">
        <f t="shared" ref="AF158:AF167" si="223">AF129/AF$21</f>
        <v>1390.2599458207615</v>
      </c>
      <c r="AG158" s="1718"/>
      <c r="AH158" s="1541">
        <f t="shared" ref="AH158:AH167" si="224">AH129/AH$21</f>
        <v>0</v>
      </c>
      <c r="AI158" s="1718"/>
      <c r="AJ158" s="1541">
        <f t="shared" ref="AJ158:AJ167" si="225">AJ129/AJ$21</f>
        <v>3097.7588007891195</v>
      </c>
      <c r="AK158" s="1718"/>
      <c r="AL158" s="1541">
        <f t="shared" ref="AL158:AL167" si="226">AL129/AL$21</f>
        <v>0</v>
      </c>
      <c r="AM158" s="1718"/>
      <c r="AN158" s="1541">
        <f t="shared" ref="AN158:AN167" si="227">AN129/AN$21</f>
        <v>1496.6185852460535</v>
      </c>
      <c r="AO158" s="1718"/>
      <c r="AP158" s="1541">
        <f t="shared" ref="AP158:AP167" si="228">AP129/AP$21</f>
        <v>5214.8413697862579</v>
      </c>
      <c r="AQ158" s="1718"/>
      <c r="AR158" s="1541">
        <f t="shared" ref="AR158:AR167" si="229">AR129/AR$21</f>
        <v>2114.9584531147643</v>
      </c>
      <c r="AS158" s="1718"/>
      <c r="AT158" s="1541">
        <f t="shared" ref="AT158:AT167" si="230">AT129/AT$21</f>
        <v>0</v>
      </c>
      <c r="AU158" s="1718"/>
      <c r="AV158" s="1541">
        <f t="shared" ref="AV158:AV167" si="231">AV129/AV$21</f>
        <v>3262.6449671610981</v>
      </c>
      <c r="AW158" s="1718"/>
      <c r="AX158" s="1541">
        <f t="shared" ref="AX158:AX167" si="232">AX129/AX$21</f>
        <v>0</v>
      </c>
      <c r="AY158" s="1718"/>
      <c r="AZ158" s="1541">
        <f t="shared" ref="AZ158:AZ167" si="233">AZ129/AZ$21</f>
        <v>1132.6525699680619</v>
      </c>
      <c r="BA158" s="1718"/>
      <c r="BB158" s="1541">
        <f t="shared" ref="BB158:BB167" si="234">BB129/BB$21</f>
        <v>380.11663796053614</v>
      </c>
      <c r="BC158" s="1718"/>
      <c r="BD158" s="1541">
        <f t="shared" ref="BD158:BD167" si="235">BD129/BD$21</f>
        <v>0</v>
      </c>
      <c r="BE158" s="1718"/>
      <c r="BF158" s="1541">
        <f t="shared" ref="BF158:BF167" si="236">BF129/BF$21</f>
        <v>2271.0248726114737</v>
      </c>
      <c r="BG158" s="1718"/>
      <c r="BH158" s="1541">
        <f t="shared" ref="BH158:BH167" si="237">BH129/BH$21</f>
        <v>4828.3711293281413</v>
      </c>
      <c r="BI158" s="1718"/>
      <c r="BJ158" s="1541">
        <f t="shared" ref="BJ158:BJ167" si="238">BJ129/BJ$21</f>
        <v>3357.7686326556964</v>
      </c>
      <c r="BK158" s="1718"/>
      <c r="BL158" s="1541">
        <f t="shared" ref="BL158:BL167" si="239">BL129/BL$21</f>
        <v>4097.0652225678959</v>
      </c>
      <c r="BM158" s="1718"/>
      <c r="BN158" s="1541">
        <f t="shared" ref="BN158:BN167" si="240">BN129/BN$21</f>
        <v>5141.0739023877877</v>
      </c>
      <c r="BO158" s="1718"/>
      <c r="BP158" s="1541">
        <f t="shared" ref="BP158:BP167" si="241">BP129/BP$21</f>
        <v>0</v>
      </c>
      <c r="BQ158" s="1718"/>
      <c r="BR158" s="1541">
        <f t="shared" ref="BR158:BR167" si="242">BR129/BR$21</f>
        <v>2523.0310133594603</v>
      </c>
      <c r="BS158" s="1718"/>
      <c r="BT158" s="1541">
        <f t="shared" ref="BT158:BT167" si="243">BT129/BT$21</f>
        <v>300.37197479801546</v>
      </c>
      <c r="BU158" s="1718"/>
      <c r="BV158" s="1541">
        <f t="shared" ref="BV158:BV167" si="244">BV129/BV$21</f>
        <v>1489.4568372938397</v>
      </c>
      <c r="BW158" s="1718"/>
      <c r="BX158" s="1541">
        <f t="shared" ref="BX158:BX167" si="245">BX129/BX$21</f>
        <v>0</v>
      </c>
      <c r="BY158" s="1718"/>
      <c r="BZ158" s="1541">
        <f t="shared" ref="BZ158:BZ167" si="246">BZ129/BZ$21</f>
        <v>2119.8070751964565</v>
      </c>
      <c r="CA158" s="1718"/>
      <c r="CB158" s="1541">
        <f t="shared" ref="CB158:CB167" si="247">CB129/CB$21</f>
        <v>3745.4813664130606</v>
      </c>
      <c r="CC158" s="1718"/>
      <c r="CD158" s="1541">
        <f t="shared" ref="CD158:CD167" si="248">CD129/CD$21</f>
        <v>4455.8070593639304</v>
      </c>
      <c r="CE158" s="1718"/>
      <c r="CF158" s="1541">
        <v>2960.7004479247748</v>
      </c>
      <c r="CG158" s="1718"/>
      <c r="CH158" s="1541">
        <f t="shared" ref="CH158:CH167" si="249">CH129/CH$21</f>
        <v>1308.6832080677202</v>
      </c>
      <c r="CI158" s="1718"/>
      <c r="CJ158" s="1541">
        <v>5498.5954934038355</v>
      </c>
      <c r="CK158" s="1718"/>
      <c r="CL158" s="1541">
        <v>3871.8566506285247</v>
      </c>
      <c r="CM158" s="1718"/>
      <c r="CN158" s="1541">
        <f t="shared" ref="CN158:CN167" si="250">CN129/CN$21</f>
        <v>2471.9344390542838</v>
      </c>
      <c r="CO158" s="1718"/>
      <c r="CP158" s="1541">
        <f t="shared" ref="CP158:CP167" si="251">CP129/CP$21</f>
        <v>3173.6962397690208</v>
      </c>
      <c r="CQ158" s="1718"/>
      <c r="CR158" s="1541">
        <v>3282.4417785691617</v>
      </c>
      <c r="CS158" s="1718"/>
      <c r="CT158" s="1541">
        <f t="shared" ref="CT158:CT167" si="252">CT129/CT$21</f>
        <v>2492.2146886199571</v>
      </c>
      <c r="CU158" s="1718"/>
      <c r="CV158" s="1541">
        <f t="shared" ref="CV158:CX167" si="253">CV129/CV$21</f>
        <v>2395.0692506021883</v>
      </c>
      <c r="CW158" s="1718"/>
      <c r="CX158" s="1541">
        <f t="shared" si="253"/>
        <v>2790.7864460277251</v>
      </c>
      <c r="CY158" s="1718"/>
      <c r="CZ158" s="1541">
        <v>2533.0794776664493</v>
      </c>
      <c r="DA158" s="1718"/>
      <c r="DB158" s="1541">
        <v>1733.7374213658777</v>
      </c>
      <c r="DC158" s="1718"/>
      <c r="DD158" s="1541">
        <v>2508.4844069574647</v>
      </c>
      <c r="DE158" s="1718"/>
      <c r="DF158" s="1541">
        <v>1734.9052707186154</v>
      </c>
      <c r="DG158" s="1718"/>
      <c r="DH158" s="1541">
        <v>707.39368482039401</v>
      </c>
      <c r="DI158" s="1718"/>
      <c r="DJ158" s="1541">
        <v>1762.6341648163593</v>
      </c>
      <c r="DK158" s="1718"/>
      <c r="DL158" s="1541">
        <v>2374.5917428945741</v>
      </c>
      <c r="DM158" s="1718"/>
      <c r="DN158" s="1541">
        <f t="shared" ref="DN158:DN167" si="254">DN129/DN$21</f>
        <v>4945.2617932266594</v>
      </c>
      <c r="DO158" s="1718"/>
      <c r="DP158" s="1541">
        <f t="shared" ref="DP158:DP167" si="255">DP129/DP$21</f>
        <v>3559.6692498003417</v>
      </c>
      <c r="DQ158" s="1718"/>
      <c r="DR158" s="1541">
        <f t="shared" ref="DR158:DR167" si="256">DR129/DR$21</f>
        <v>1190.0822814086021</v>
      </c>
      <c r="DS158" s="1718"/>
      <c r="DT158" s="1541">
        <f t="shared" ref="DT158:DT167" si="257">DT129/DT$21</f>
        <v>1733.3126876610988</v>
      </c>
      <c r="DU158" s="1718"/>
      <c r="DV158" s="1541">
        <f t="shared" ref="DV158:DV167" si="258">DV129/DV$21</f>
        <v>2653.2472459266173</v>
      </c>
      <c r="DW158" s="1718"/>
      <c r="DX158" s="1541">
        <f t="shared" ref="DX158:DX167" si="259">DX129/DX$21</f>
        <v>2918.6207937614472</v>
      </c>
      <c r="DY158" s="1718"/>
      <c r="DZ158" s="1541">
        <f t="shared" ref="DZ158:DZ167" si="260">DZ129/DZ$21</f>
        <v>1701.4644567192424</v>
      </c>
      <c r="EA158" s="1718"/>
      <c r="EB158" s="1541">
        <f t="shared" ref="EB158:EB167" si="261">EB129/EB$21</f>
        <v>2326.9644397226543</v>
      </c>
      <c r="EC158" s="1718"/>
      <c r="ED158" s="1541">
        <f t="shared" ref="ED158:ED167" si="262">ED129/ED$21</f>
        <v>4093.8918467165454</v>
      </c>
      <c r="EE158" s="1718"/>
      <c r="EF158" s="1541">
        <f t="shared" ref="EF158:EF167" si="263">EF129/EF$21</f>
        <v>1083.7639403613423</v>
      </c>
      <c r="EG158" s="1718"/>
      <c r="EH158" s="1541">
        <f t="shared" ref="EH158:EH167" si="264">EH129/EH$21</f>
        <v>1583.2144191533537</v>
      </c>
      <c r="EI158" s="1718"/>
      <c r="EJ158" s="1541">
        <f t="shared" ref="EJ158:EJ167" si="265">EJ129/EJ$21</f>
        <v>945.62954304768209</v>
      </c>
      <c r="EK158" s="1718"/>
      <c r="EL158" s="1541">
        <f t="shared" ref="EL158:EL167" si="266">EL129/EL$21</f>
        <v>2250.4529857044877</v>
      </c>
      <c r="EM158" s="1718"/>
      <c r="EN158" s="1541">
        <f t="shared" ref="EN158:EN167" si="267">EN129/EN$21</f>
        <v>0</v>
      </c>
      <c r="EO158" s="1718"/>
      <c r="EP158" s="1720">
        <f t="shared" ref="EP158:EP167" si="268">EP129/EP$21</f>
        <v>0</v>
      </c>
      <c r="EQ158" s="1718"/>
      <c r="ER158" s="1541">
        <f t="shared" ref="ER158:ER167" si="269">ER129/ER$21</f>
        <v>1543.8888564143697</v>
      </c>
      <c r="ES158" s="1718"/>
      <c r="ET158" s="1541">
        <f t="shared" ref="ET158:ET167" si="270">ET129/ET$21</f>
        <v>3168.3270221154448</v>
      </c>
      <c r="EU158" s="1718"/>
      <c r="EV158" s="1541">
        <f t="shared" ref="EV158:EV167" si="271">EV129/EV$21</f>
        <v>715.43643399663506</v>
      </c>
      <c r="EW158" s="1718"/>
      <c r="EX158" s="1541">
        <f t="shared" ref="EX158:EX167" si="272">EX129/EX$21</f>
        <v>2532.4869603750521</v>
      </c>
      <c r="EY158" s="1718"/>
      <c r="EZ158" s="1541">
        <f t="shared" ref="EZ158:EZ167" si="273">EZ129/EZ$21</f>
        <v>263.99305325270586</v>
      </c>
      <c r="FA158" s="1718"/>
      <c r="FB158" s="1541">
        <f t="shared" ref="FB158:FB167" si="274">FB129/FB$21</f>
        <v>0</v>
      </c>
      <c r="FC158" s="1718"/>
      <c r="FD158" s="1541">
        <f t="shared" ref="FD158:FD167" si="275">FD129/FD$21</f>
        <v>3328.4104309886966</v>
      </c>
      <c r="FE158" s="1718"/>
      <c r="FF158" s="1541">
        <f t="shared" ref="FF158:FF167" si="276">FF129/FF$21</f>
        <v>2032.0896</v>
      </c>
      <c r="FG158" s="1718"/>
      <c r="FH158" s="1541">
        <f t="shared" ref="FH158:FH167" si="277">FH129/FH$21</f>
        <v>983.35491783596751</v>
      </c>
      <c r="FI158" s="1718"/>
      <c r="FJ158" s="1541">
        <f t="shared" ref="FJ158:FJ167" si="278">FJ129/FJ$21</f>
        <v>2923.5683336645138</v>
      </c>
      <c r="FK158" s="1718"/>
      <c r="FL158" s="1541">
        <f t="shared" ref="FL158:FL167" si="279">FL129/FL$21</f>
        <v>366.55668600325265</v>
      </c>
      <c r="FM158" s="1718"/>
      <c r="FN158" s="1541">
        <f t="shared" ref="FN158:FN167" si="280">FN129/FN$21</f>
        <v>3247.8263988737335</v>
      </c>
      <c r="FO158" s="1718"/>
      <c r="FP158" s="1541">
        <f t="shared" ref="FP158:FP167" si="281">FP129/FP$21</f>
        <v>1915.4422966798661</v>
      </c>
      <c r="FQ158" s="1718"/>
      <c r="FR158" s="1541">
        <f t="shared" ref="FR158:FR167" si="282">FR129/FR$21</f>
        <v>2186.2540404020911</v>
      </c>
      <c r="FS158" s="1718"/>
      <c r="FT158" s="1541">
        <f t="shared" ref="FT158:FT167" si="283">FT129/FT$21</f>
        <v>3549.6512814894918</v>
      </c>
      <c r="FU158" s="1718"/>
      <c r="FV158" s="1541">
        <f t="shared" ref="FV158:FV167" si="284">FV129/FV$21</f>
        <v>3330.1903603235487</v>
      </c>
      <c r="FW158" s="1718"/>
      <c r="FX158" s="1541">
        <f t="shared" ref="FX158:FX167" si="285">FX129/FX$21</f>
        <v>2165.0734587876477</v>
      </c>
      <c r="FY158" s="1718"/>
      <c r="FZ158" s="1541">
        <f t="shared" ref="FZ158:FZ167" si="286">FZ129/FZ$21</f>
        <v>2764.7449491480666</v>
      </c>
      <c r="GA158" s="1718"/>
      <c r="GB158" s="1541">
        <f>GB129/GB$21</f>
        <v>714.43080859468239</v>
      </c>
      <c r="GC158" s="1718"/>
      <c r="GD158" s="1541">
        <f t="shared" ref="GD158:GD167" si="287">GD129/GD$21</f>
        <v>1542.4004851529653</v>
      </c>
      <c r="GE158" s="1718"/>
      <c r="GF158" s="1541">
        <f t="shared" ref="GF158:GF167" si="288">GF129/GF$21</f>
        <v>2089.6137157855792</v>
      </c>
      <c r="GG158" s="1718"/>
      <c r="GH158" s="1541">
        <f t="shared" ref="GH158:GH167" si="289">GH129/GH$21</f>
        <v>2423.7703810927674</v>
      </c>
      <c r="GI158" s="1718"/>
      <c r="GJ158" s="1541">
        <f t="shared" ref="GJ158:GJ167" si="290">GJ129/GJ$21</f>
        <v>1576.3162870154954</v>
      </c>
      <c r="GK158" s="1718"/>
      <c r="GL158" s="1541">
        <f t="shared" ref="GL158:GL167" si="291">GL129/GL$21</f>
        <v>354.26229287841829</v>
      </c>
      <c r="GM158" s="1718"/>
      <c r="GN158" s="1541">
        <f t="shared" ref="GN158:GN167" si="292">GN129/GN$21</f>
        <v>1381.1829988193624</v>
      </c>
      <c r="GO158" s="1718"/>
      <c r="GP158" s="1541">
        <f t="shared" ref="GP158:GP167" si="293">GP129/GP$21</f>
        <v>1530.1806381790761</v>
      </c>
      <c r="GQ158" s="1718"/>
      <c r="GR158" s="1541">
        <f t="shared" ref="GR158:GR162" si="294">GR129/GR$21</f>
        <v>2281.9512044635135</v>
      </c>
      <c r="GS158" s="1718"/>
      <c r="GT158" s="1541">
        <f t="shared" ref="GT158:GT167" si="295">GT129/GT$21</f>
        <v>1394.9056723119204</v>
      </c>
      <c r="GU158" s="1718"/>
      <c r="GV158" s="1541">
        <f t="shared" ref="GV158:GV167" si="296">GV129/GV$21</f>
        <v>2018.0562424912819</v>
      </c>
      <c r="GW158" s="1718"/>
      <c r="GX158" s="1541">
        <f t="shared" ref="GX158:GX167" si="297">GX129/GX$21</f>
        <v>2250.5011081825569</v>
      </c>
      <c r="GY158" s="1718"/>
      <c r="GZ158" s="1541">
        <f t="shared" ref="GZ158:GZ167" si="298">GZ129/GZ$21</f>
        <v>3148.2512137580338</v>
      </c>
      <c r="HA158" s="1718"/>
      <c r="HB158" s="1541">
        <f t="shared" ref="HB158:HB162" si="299">HB129/HB$21</f>
        <v>3040.7265220912655</v>
      </c>
      <c r="HC158" s="1718"/>
      <c r="HD158" s="1541">
        <f t="shared" ref="HD158:HD167" si="300">HD129/HD$21</f>
        <v>2539.0874607333612</v>
      </c>
      <c r="HE158" s="1718"/>
      <c r="HF158" s="1541">
        <f t="shared" ref="HF158:HF167" si="301">HF129/HF$21</f>
        <v>2994.2700557619419</v>
      </c>
      <c r="HG158" s="2035"/>
      <c r="HH158" s="1541">
        <f t="shared" ref="HH158:HH167" si="302">HH129/HH$21</f>
        <v>4450.204901648478</v>
      </c>
      <c r="HI158" s="1718"/>
      <c r="HJ158" s="1541">
        <f t="shared" ref="HJ158:HJ167" si="303">HJ129/HJ$21</f>
        <v>1091.057891711587</v>
      </c>
      <c r="HK158" s="1718"/>
      <c r="HL158" s="1541">
        <f t="shared" ref="HL158:HL167" si="304">HL129/HL$21</f>
        <v>5175.3482024356563</v>
      </c>
      <c r="HM158" s="1718"/>
      <c r="HN158" s="1541">
        <f t="shared" ref="HN158:HN167" si="305">HN129/HN$21</f>
        <v>3725.9585824772016</v>
      </c>
      <c r="HO158" s="1718"/>
      <c r="HP158" s="1541">
        <f>HP129/HP$21</f>
        <v>2311.7874232261138</v>
      </c>
      <c r="HQ158" s="2035"/>
      <c r="HR158" s="1541">
        <f t="shared" ref="HR158:HR167" si="306">HR129/HR$21</f>
        <v>0</v>
      </c>
      <c r="HS158" s="1718"/>
      <c r="HT158" s="1541">
        <f t="shared" ref="HT158:HT167" si="307">HT129/HT$21</f>
        <v>1374.0868700800418</v>
      </c>
      <c r="HU158" s="2035"/>
      <c r="HV158" s="1541">
        <f t="shared" ref="HV158:HV167" si="308">HV129/HV$21</f>
        <v>1279.5782523161197</v>
      </c>
      <c r="HW158" s="2035"/>
      <c r="HX158" s="1541">
        <f t="shared" ref="HX158:HX167" si="309">HX129/HX$21</f>
        <v>3058.7765250702628</v>
      </c>
      <c r="HY158" s="2035"/>
      <c r="HZ158" s="1541">
        <f t="shared" ref="HZ158:HZ162" si="310">HZ129/HZ$21</f>
        <v>1632.1710554518118</v>
      </c>
      <c r="IA158" s="2035"/>
      <c r="IB158" s="1541">
        <f t="shared" ref="IB158:IB167" si="311">IB129/IB$21</f>
        <v>3283.4348063946391</v>
      </c>
      <c r="IC158" s="1718"/>
      <c r="ID158" s="1541">
        <f t="shared" ref="ID158:ID167" si="312">ID129/ID$21</f>
        <v>1964.7041741046644</v>
      </c>
      <c r="IE158" s="2035"/>
      <c r="IF158" s="1541">
        <f t="shared" ref="IF158:IF167" si="313">IF129/IF$21</f>
        <v>1976.1195259122615</v>
      </c>
      <c r="IG158" s="2035"/>
    </row>
    <row r="159" spans="1:241">
      <c r="A159" s="1149"/>
      <c r="B159" s="1149"/>
      <c r="C159" s="1149"/>
      <c r="D159" s="1149" t="s">
        <v>8</v>
      </c>
      <c r="E159" s="1143"/>
      <c r="F159" s="1541">
        <f t="shared" si="210"/>
        <v>0</v>
      </c>
      <c r="G159" s="1718"/>
      <c r="H159" s="1541">
        <f t="shared" si="211"/>
        <v>0</v>
      </c>
      <c r="I159" s="1718"/>
      <c r="J159" s="1541">
        <f t="shared" si="212"/>
        <v>0</v>
      </c>
      <c r="K159" s="1718"/>
      <c r="L159" s="1541">
        <f t="shared" si="213"/>
        <v>13.270202132274306</v>
      </c>
      <c r="M159" s="1718"/>
      <c r="N159" s="1541">
        <f t="shared" si="214"/>
        <v>260.91843031980875</v>
      </c>
      <c r="O159" s="1718"/>
      <c r="P159" s="1541">
        <f t="shared" si="215"/>
        <v>863.7479571300147</v>
      </c>
      <c r="Q159" s="1718"/>
      <c r="R159" s="1541">
        <f t="shared" si="216"/>
        <v>0</v>
      </c>
      <c r="S159" s="1718"/>
      <c r="T159" s="1541">
        <f t="shared" si="217"/>
        <v>0</v>
      </c>
      <c r="U159" s="1718"/>
      <c r="V159" s="1541">
        <f t="shared" si="218"/>
        <v>0</v>
      </c>
      <c r="W159" s="1718"/>
      <c r="X159" s="1541">
        <f t="shared" si="219"/>
        <v>168.04958217052865</v>
      </c>
      <c r="Y159" s="1718"/>
      <c r="Z159" s="1541">
        <f t="shared" si="220"/>
        <v>218.30264466977761</v>
      </c>
      <c r="AA159" s="1718"/>
      <c r="AB159" s="1541">
        <f t="shared" si="221"/>
        <v>0</v>
      </c>
      <c r="AC159" s="1718"/>
      <c r="AD159" s="1541">
        <f t="shared" si="222"/>
        <v>103.08115985358458</v>
      </c>
      <c r="AE159" s="1718"/>
      <c r="AF159" s="1541">
        <f t="shared" si="223"/>
        <v>507.49987905199725</v>
      </c>
      <c r="AG159" s="1718"/>
      <c r="AH159" s="1541">
        <f t="shared" si="224"/>
        <v>557.90397502916517</v>
      </c>
      <c r="AI159" s="1718"/>
      <c r="AJ159" s="1541">
        <f t="shared" si="225"/>
        <v>0</v>
      </c>
      <c r="AK159" s="1718"/>
      <c r="AL159" s="1541">
        <f t="shared" si="226"/>
        <v>0</v>
      </c>
      <c r="AM159" s="1718"/>
      <c r="AN159" s="1541">
        <f t="shared" si="227"/>
        <v>131.57868466936011</v>
      </c>
      <c r="AO159" s="1718"/>
      <c r="AP159" s="1541">
        <f t="shared" si="228"/>
        <v>0</v>
      </c>
      <c r="AQ159" s="1718"/>
      <c r="AR159" s="1541">
        <f t="shared" si="229"/>
        <v>31.334796606871016</v>
      </c>
      <c r="AS159" s="1718"/>
      <c r="AT159" s="1541">
        <f t="shared" si="230"/>
        <v>59.470590686111883</v>
      </c>
      <c r="AU159" s="1718"/>
      <c r="AV159" s="1541">
        <f t="shared" si="231"/>
        <v>899.96595481965551</v>
      </c>
      <c r="AW159" s="1718"/>
      <c r="AX159" s="1541">
        <f t="shared" si="232"/>
        <v>341.06676167608572</v>
      </c>
      <c r="AY159" s="1718"/>
      <c r="AZ159" s="1541">
        <f t="shared" si="233"/>
        <v>19.169321300783341</v>
      </c>
      <c r="BA159" s="1718"/>
      <c r="BB159" s="1541">
        <f t="shared" si="234"/>
        <v>30.268547096857507</v>
      </c>
      <c r="BC159" s="1718"/>
      <c r="BD159" s="1541">
        <f t="shared" si="235"/>
        <v>0</v>
      </c>
      <c r="BE159" s="1718"/>
      <c r="BF159" s="1541">
        <f t="shared" si="236"/>
        <v>0</v>
      </c>
      <c r="BG159" s="1718"/>
      <c r="BH159" s="1541">
        <f t="shared" si="237"/>
        <v>0</v>
      </c>
      <c r="BI159" s="1718"/>
      <c r="BJ159" s="1541">
        <f t="shared" si="238"/>
        <v>0</v>
      </c>
      <c r="BK159" s="1718"/>
      <c r="BL159" s="1541">
        <f t="shared" si="239"/>
        <v>275.27519646596522</v>
      </c>
      <c r="BM159" s="1718"/>
      <c r="BN159" s="1541">
        <f t="shared" si="240"/>
        <v>0</v>
      </c>
      <c r="BO159" s="1718"/>
      <c r="BP159" s="1541">
        <f t="shared" si="241"/>
        <v>0</v>
      </c>
      <c r="BQ159" s="1718"/>
      <c r="BR159" s="1541">
        <f t="shared" si="242"/>
        <v>0</v>
      </c>
      <c r="BS159" s="1718"/>
      <c r="BT159" s="1541">
        <f t="shared" si="243"/>
        <v>0.39564274868021004</v>
      </c>
      <c r="BU159" s="1718"/>
      <c r="BV159" s="1541">
        <f t="shared" si="244"/>
        <v>0</v>
      </c>
      <c r="BW159" s="1718"/>
      <c r="BX159" s="1541">
        <f t="shared" si="245"/>
        <v>124.68299774669703</v>
      </c>
      <c r="BY159" s="1718"/>
      <c r="BZ159" s="1541">
        <f t="shared" si="246"/>
        <v>125.4790309299201</v>
      </c>
      <c r="CA159" s="1718"/>
      <c r="CB159" s="1541">
        <f t="shared" si="247"/>
        <v>0</v>
      </c>
      <c r="CC159" s="1718"/>
      <c r="CD159" s="1541">
        <f t="shared" si="248"/>
        <v>114.64915515694018</v>
      </c>
      <c r="CE159" s="1718"/>
      <c r="CF159" s="1541">
        <v>1269.5529466365285</v>
      </c>
      <c r="CG159" s="1718"/>
      <c r="CH159" s="1541">
        <f t="shared" si="249"/>
        <v>94.954302384355714</v>
      </c>
      <c r="CI159" s="1718"/>
      <c r="CJ159" s="1541">
        <v>0</v>
      </c>
      <c r="CK159" s="1718"/>
      <c r="CL159" s="1541">
        <v>601.99769555911087</v>
      </c>
      <c r="CM159" s="1718"/>
      <c r="CN159" s="1541">
        <f t="shared" si="250"/>
        <v>385.04427069776381</v>
      </c>
      <c r="CO159" s="1718"/>
      <c r="CP159" s="1541">
        <f t="shared" si="251"/>
        <v>0</v>
      </c>
      <c r="CQ159" s="1718"/>
      <c r="CR159" s="1541">
        <v>732.65165024611258</v>
      </c>
      <c r="CS159" s="1718"/>
      <c r="CT159" s="1541">
        <f t="shared" si="252"/>
        <v>301.74847590096459</v>
      </c>
      <c r="CU159" s="1718"/>
      <c r="CV159" s="1541">
        <f t="shared" si="253"/>
        <v>50.310529996397463</v>
      </c>
      <c r="CW159" s="1718"/>
      <c r="CX159" s="1541">
        <f t="shared" si="253"/>
        <v>547.1694974621887</v>
      </c>
      <c r="CY159" s="1718"/>
      <c r="CZ159" s="1541">
        <v>0</v>
      </c>
      <c r="DA159" s="1718"/>
      <c r="DB159" s="1541">
        <v>1459.5013888116118</v>
      </c>
      <c r="DC159" s="1718"/>
      <c r="DD159" s="1541">
        <v>0</v>
      </c>
      <c r="DE159" s="1718"/>
      <c r="DF159" s="1541">
        <v>633.40514614529582</v>
      </c>
      <c r="DG159" s="1718"/>
      <c r="DH159" s="1541">
        <v>0</v>
      </c>
      <c r="DI159" s="1718"/>
      <c r="DJ159" s="1541">
        <v>0</v>
      </c>
      <c r="DK159" s="1718"/>
      <c r="DL159" s="1541">
        <v>143.05358347615496</v>
      </c>
      <c r="DM159" s="1718"/>
      <c r="DN159" s="1541">
        <f t="shared" si="254"/>
        <v>0</v>
      </c>
      <c r="DO159" s="1718"/>
      <c r="DP159" s="1541">
        <f t="shared" si="255"/>
        <v>0</v>
      </c>
      <c r="DQ159" s="1718"/>
      <c r="DR159" s="1541">
        <f t="shared" si="256"/>
        <v>55.654018659557771</v>
      </c>
      <c r="DS159" s="1718"/>
      <c r="DT159" s="1541">
        <f t="shared" si="257"/>
        <v>596.69759217214471</v>
      </c>
      <c r="DU159" s="1718"/>
      <c r="DV159" s="1541">
        <f t="shared" si="258"/>
        <v>39.108539342262652</v>
      </c>
      <c r="DW159" s="1718"/>
      <c r="DX159" s="1541">
        <f t="shared" si="259"/>
        <v>645.44946417258859</v>
      </c>
      <c r="DY159" s="1718"/>
      <c r="DZ159" s="1541">
        <f t="shared" si="260"/>
        <v>128.47973950575542</v>
      </c>
      <c r="EA159" s="1718"/>
      <c r="EB159" s="1541">
        <f t="shared" si="261"/>
        <v>763.9622903933124</v>
      </c>
      <c r="EC159" s="1718"/>
      <c r="ED159" s="1541">
        <f t="shared" si="262"/>
        <v>0</v>
      </c>
      <c r="EE159" s="1718"/>
      <c r="EF159" s="1541">
        <f t="shared" si="263"/>
        <v>430.36032743551442</v>
      </c>
      <c r="EG159" s="1718"/>
      <c r="EH159" s="1541">
        <f t="shared" si="264"/>
        <v>1251.0307014832581</v>
      </c>
      <c r="EI159" s="1718"/>
      <c r="EJ159" s="1541">
        <f t="shared" si="265"/>
        <v>45.933904701326888</v>
      </c>
      <c r="EK159" s="1718"/>
      <c r="EL159" s="1541">
        <f t="shared" si="266"/>
        <v>1670.949767712468</v>
      </c>
      <c r="EM159" s="1718"/>
      <c r="EN159" s="1541">
        <f t="shared" si="267"/>
        <v>1.997619210272302</v>
      </c>
      <c r="EO159" s="1718"/>
      <c r="EP159" s="1720">
        <f t="shared" si="268"/>
        <v>905.03748190512886</v>
      </c>
      <c r="EQ159" s="1718"/>
      <c r="ER159" s="1541">
        <f t="shared" si="269"/>
        <v>0</v>
      </c>
      <c r="ES159" s="1718"/>
      <c r="ET159" s="1541">
        <f t="shared" si="270"/>
        <v>0</v>
      </c>
      <c r="EU159" s="1718"/>
      <c r="EV159" s="1541">
        <f t="shared" si="271"/>
        <v>44.835479867732253</v>
      </c>
      <c r="EW159" s="1718"/>
      <c r="EX159" s="1541">
        <f t="shared" si="272"/>
        <v>0</v>
      </c>
      <c r="EY159" s="1718"/>
      <c r="EZ159" s="1541">
        <f t="shared" si="273"/>
        <v>0</v>
      </c>
      <c r="FA159" s="1718"/>
      <c r="FB159" s="1541">
        <f t="shared" si="274"/>
        <v>0</v>
      </c>
      <c r="FC159" s="1718"/>
      <c r="FD159" s="1541">
        <f t="shared" si="275"/>
        <v>15.707884605574677</v>
      </c>
      <c r="FE159" s="1718"/>
      <c r="FF159" s="1541">
        <f t="shared" si="276"/>
        <v>73.357600000000005</v>
      </c>
      <c r="FG159" s="1718"/>
      <c r="FH159" s="1541">
        <f t="shared" si="277"/>
        <v>101.62232620567791</v>
      </c>
      <c r="FI159" s="1718"/>
      <c r="FJ159" s="1541">
        <f t="shared" si="278"/>
        <v>139.92738212902316</v>
      </c>
      <c r="FK159" s="1718"/>
      <c r="FL159" s="1541">
        <f t="shared" si="279"/>
        <v>0</v>
      </c>
      <c r="FM159" s="1718"/>
      <c r="FN159" s="1541">
        <f t="shared" si="280"/>
        <v>122.66183529687207</v>
      </c>
      <c r="FO159" s="1718"/>
      <c r="FP159" s="1541">
        <f t="shared" si="281"/>
        <v>0</v>
      </c>
      <c r="FQ159" s="1718"/>
      <c r="FR159" s="1541">
        <f t="shared" si="282"/>
        <v>563.58195773464934</v>
      </c>
      <c r="FS159" s="1718"/>
      <c r="FT159" s="1541">
        <f t="shared" si="283"/>
        <v>99.220300079789027</v>
      </c>
      <c r="FU159" s="1718"/>
      <c r="FV159" s="1541">
        <f t="shared" si="284"/>
        <v>1460.9397945784947</v>
      </c>
      <c r="FW159" s="1718"/>
      <c r="FX159" s="1541">
        <f t="shared" si="285"/>
        <v>12.829499754723644</v>
      </c>
      <c r="FY159" s="1718"/>
      <c r="FZ159" s="1541">
        <f t="shared" si="286"/>
        <v>0</v>
      </c>
      <c r="GA159" s="1718"/>
      <c r="GB159" s="1541">
        <f>GB130/GB$21</f>
        <v>0</v>
      </c>
      <c r="GC159" s="1718"/>
      <c r="GD159" s="1541">
        <f t="shared" si="287"/>
        <v>165.6819087584262</v>
      </c>
      <c r="GE159" s="1718"/>
      <c r="GF159" s="1541">
        <f t="shared" si="288"/>
        <v>0</v>
      </c>
      <c r="GG159" s="1718"/>
      <c r="GH159" s="1541">
        <f t="shared" si="289"/>
        <v>95.647436545033869</v>
      </c>
      <c r="GI159" s="1718"/>
      <c r="GJ159" s="1541">
        <f t="shared" si="290"/>
        <v>592.46777589084297</v>
      </c>
      <c r="GK159" s="1718"/>
      <c r="GL159" s="1541">
        <f t="shared" si="291"/>
        <v>0</v>
      </c>
      <c r="GM159" s="1718"/>
      <c r="GN159" s="1541">
        <f t="shared" si="292"/>
        <v>0</v>
      </c>
      <c r="GO159" s="1718"/>
      <c r="GP159" s="1541">
        <f t="shared" si="293"/>
        <v>224.20013736673144</v>
      </c>
      <c r="GQ159" s="1718"/>
      <c r="GR159" s="1541">
        <f t="shared" si="294"/>
        <v>4.2720749330936707</v>
      </c>
      <c r="GS159" s="1718"/>
      <c r="GT159" s="1541">
        <f t="shared" si="295"/>
        <v>67.334456724561818</v>
      </c>
      <c r="GU159" s="1718"/>
      <c r="GV159" s="1541">
        <f t="shared" si="296"/>
        <v>110.1006732155777</v>
      </c>
      <c r="GW159" s="1718"/>
      <c r="GX159" s="1541">
        <f t="shared" si="297"/>
        <v>0</v>
      </c>
      <c r="GY159" s="1718"/>
      <c r="GZ159" s="1541">
        <f t="shared" si="298"/>
        <v>172.06742278760109</v>
      </c>
      <c r="HA159" s="1718"/>
      <c r="HB159" s="1541">
        <f t="shared" si="299"/>
        <v>0</v>
      </c>
      <c r="HC159" s="1718"/>
      <c r="HD159" s="1541">
        <f t="shared" si="300"/>
        <v>0</v>
      </c>
      <c r="HE159" s="1718"/>
      <c r="HF159" s="1541">
        <f>HF130/HF$21</f>
        <v>618.12770372701243</v>
      </c>
      <c r="HG159" s="2035"/>
      <c r="HH159" s="1541">
        <f t="shared" si="302"/>
        <v>0</v>
      </c>
      <c r="HI159" s="1718"/>
      <c r="HJ159" s="1541">
        <f t="shared" si="303"/>
        <v>61.860120300343524</v>
      </c>
      <c r="HK159" s="1718"/>
      <c r="HL159" s="1541">
        <f t="shared" si="304"/>
        <v>52.336305175974658</v>
      </c>
      <c r="HM159" s="1718"/>
      <c r="HN159" s="1541">
        <f t="shared" si="305"/>
        <v>0</v>
      </c>
      <c r="HO159" s="1718"/>
      <c r="HP159" s="1541">
        <f>HP130/HP$21</f>
        <v>410.631879620289</v>
      </c>
      <c r="HQ159" s="2035"/>
      <c r="HR159" s="1541">
        <f t="shared" si="306"/>
        <v>1114.2668242910443</v>
      </c>
      <c r="HS159" s="1718"/>
      <c r="HT159" s="1541">
        <f t="shared" si="307"/>
        <v>144.63037399260318</v>
      </c>
      <c r="HU159" s="2035"/>
      <c r="HV159" s="1541">
        <f t="shared" si="308"/>
        <v>384.27181786305698</v>
      </c>
      <c r="HW159" s="2035"/>
      <c r="HX159" s="1541">
        <f t="shared" si="309"/>
        <v>632.74799829174992</v>
      </c>
      <c r="HY159" s="2035"/>
      <c r="HZ159" s="1541">
        <f t="shared" si="310"/>
        <v>208.7438480823478</v>
      </c>
      <c r="IA159" s="2035"/>
      <c r="IB159" s="1541">
        <f t="shared" si="311"/>
        <v>0</v>
      </c>
      <c r="IC159" s="1718"/>
      <c r="ID159" s="1541">
        <f t="shared" si="312"/>
        <v>27.620734717583854</v>
      </c>
      <c r="IE159" s="2035"/>
      <c r="IF159" s="1541">
        <f t="shared" si="313"/>
        <v>483.25616545199807</v>
      </c>
      <c r="IG159" s="2035"/>
    </row>
    <row r="160" spans="1:241">
      <c r="A160" s="1149"/>
      <c r="B160" s="1149"/>
      <c r="C160" s="1149"/>
      <c r="D160" s="1156" t="s">
        <v>1237</v>
      </c>
      <c r="E160" s="1143"/>
      <c r="F160" s="1541">
        <f t="shared" si="210"/>
        <v>0</v>
      </c>
      <c r="G160" s="1718"/>
      <c r="H160" s="1541">
        <f t="shared" si="211"/>
        <v>2265.8633727159709</v>
      </c>
      <c r="I160" s="1718"/>
      <c r="J160" s="1541">
        <f>J131/J$21</f>
        <v>1226.662677502597</v>
      </c>
      <c r="K160" s="1718"/>
      <c r="L160" s="1541">
        <f t="shared" si="213"/>
        <v>623.69006556402292</v>
      </c>
      <c r="M160" s="1718"/>
      <c r="N160" s="1541">
        <f t="shared" si="214"/>
        <v>1152.7128139866159</v>
      </c>
      <c r="O160" s="1718"/>
      <c r="P160" s="1541">
        <f t="shared" si="215"/>
        <v>1456.5351649916372</v>
      </c>
      <c r="Q160" s="1718"/>
      <c r="R160" s="1541">
        <f t="shared" si="216"/>
        <v>1886.6209978023762</v>
      </c>
      <c r="S160" s="1718"/>
      <c r="T160" s="1541">
        <f t="shared" si="217"/>
        <v>0</v>
      </c>
      <c r="U160" s="1718"/>
      <c r="V160" s="1541">
        <f t="shared" si="218"/>
        <v>344.76082557194979</v>
      </c>
      <c r="W160" s="1718"/>
      <c r="X160" s="1541">
        <f t="shared" si="219"/>
        <v>1062.8095588030917</v>
      </c>
      <c r="Y160" s="1718"/>
      <c r="Z160" s="1541">
        <f t="shared" si="220"/>
        <v>1162.0519628499173</v>
      </c>
      <c r="AA160" s="1718"/>
      <c r="AB160" s="1541">
        <f t="shared" si="221"/>
        <v>298.6423200859291</v>
      </c>
      <c r="AC160" s="1718"/>
      <c r="AD160" s="1541">
        <f t="shared" si="222"/>
        <v>1002.4177802858321</v>
      </c>
      <c r="AE160" s="1718"/>
      <c r="AF160" s="1541">
        <f t="shared" si="223"/>
        <v>1034.7354286356219</v>
      </c>
      <c r="AG160" s="1718"/>
      <c r="AH160" s="1541">
        <f t="shared" si="224"/>
        <v>0</v>
      </c>
      <c r="AI160" s="1718"/>
      <c r="AJ160" s="1541">
        <f t="shared" si="225"/>
        <v>3858.0316719897814</v>
      </c>
      <c r="AK160" s="1718"/>
      <c r="AL160" s="1541">
        <f t="shared" si="226"/>
        <v>0</v>
      </c>
      <c r="AM160" s="1718"/>
      <c r="AN160" s="1541">
        <f t="shared" si="227"/>
        <v>1769.0608449991705</v>
      </c>
      <c r="AO160" s="1718"/>
      <c r="AP160" s="1541">
        <f t="shared" si="228"/>
        <v>3422.0099669184337</v>
      </c>
      <c r="AQ160" s="1718"/>
      <c r="AR160" s="1541">
        <f t="shared" si="229"/>
        <v>1550.1094874120447</v>
      </c>
      <c r="AS160" s="1718"/>
      <c r="AT160" s="1541">
        <f t="shared" si="230"/>
        <v>0</v>
      </c>
      <c r="AU160" s="1718"/>
      <c r="AV160" s="1541">
        <f t="shared" si="231"/>
        <v>3889.2470666682229</v>
      </c>
      <c r="AW160" s="1718"/>
      <c r="AX160" s="1541">
        <f t="shared" si="232"/>
        <v>0</v>
      </c>
      <c r="AY160" s="1718"/>
      <c r="AZ160" s="1541">
        <f t="shared" si="233"/>
        <v>383.73220656719275</v>
      </c>
      <c r="BA160" s="1718"/>
      <c r="BB160" s="1541">
        <f t="shared" si="234"/>
        <v>0</v>
      </c>
      <c r="BC160" s="1718"/>
      <c r="BD160" s="1541">
        <f t="shared" si="235"/>
        <v>0</v>
      </c>
      <c r="BE160" s="1718"/>
      <c r="BF160" s="1541">
        <f t="shared" si="236"/>
        <v>404.80095589357751</v>
      </c>
      <c r="BG160" s="1718"/>
      <c r="BH160" s="1541">
        <f t="shared" si="237"/>
        <v>839.43727002021444</v>
      </c>
      <c r="BI160" s="1718"/>
      <c r="BJ160" s="1541">
        <f t="shared" si="238"/>
        <v>1126.407469665877</v>
      </c>
      <c r="BK160" s="1718"/>
      <c r="BL160" s="1541">
        <f t="shared" si="239"/>
        <v>1942.7135958046031</v>
      </c>
      <c r="BM160" s="1718"/>
      <c r="BN160" s="1541">
        <f t="shared" si="240"/>
        <v>0</v>
      </c>
      <c r="BO160" s="1718"/>
      <c r="BP160" s="1541">
        <f t="shared" si="241"/>
        <v>0</v>
      </c>
      <c r="BQ160" s="1718"/>
      <c r="BR160" s="1541">
        <f t="shared" si="242"/>
        <v>0</v>
      </c>
      <c r="BS160" s="1718"/>
      <c r="BT160" s="1541">
        <f t="shared" si="243"/>
        <v>0</v>
      </c>
      <c r="BU160" s="1718"/>
      <c r="BV160" s="1541">
        <f t="shared" si="244"/>
        <v>339.15282374104453</v>
      </c>
      <c r="BW160" s="1718"/>
      <c r="BX160" s="1541">
        <f t="shared" si="245"/>
        <v>0</v>
      </c>
      <c r="BY160" s="1718"/>
      <c r="BZ160" s="1541">
        <f t="shared" si="246"/>
        <v>0</v>
      </c>
      <c r="CA160" s="1718"/>
      <c r="CB160" s="1541">
        <f t="shared" si="247"/>
        <v>0</v>
      </c>
      <c r="CC160" s="1718"/>
      <c r="CD160" s="1541">
        <f t="shared" si="248"/>
        <v>1033.0742369129966</v>
      </c>
      <c r="CE160" s="1718"/>
      <c r="CF160" s="1541">
        <v>1742.6711009487994</v>
      </c>
      <c r="CG160" s="1718"/>
      <c r="CH160" s="1541">
        <f t="shared" si="249"/>
        <v>0</v>
      </c>
      <c r="CI160" s="1718"/>
      <c r="CJ160" s="1541">
        <v>1160.3952598875364</v>
      </c>
      <c r="CK160" s="1718"/>
      <c r="CL160" s="1541">
        <v>2024.1413408366084</v>
      </c>
      <c r="CM160" s="1718"/>
      <c r="CN160" s="1541">
        <f t="shared" si="250"/>
        <v>1138.3394815063389</v>
      </c>
      <c r="CO160" s="1718"/>
      <c r="CP160" s="1541">
        <f t="shared" si="251"/>
        <v>0</v>
      </c>
      <c r="CQ160" s="1718"/>
      <c r="CR160" s="1541">
        <v>2294.7551653700484</v>
      </c>
      <c r="CS160" s="1718"/>
      <c r="CT160" s="1541">
        <f t="shared" si="252"/>
        <v>0</v>
      </c>
      <c r="CU160" s="1718"/>
      <c r="CV160" s="1541">
        <f t="shared" si="253"/>
        <v>0</v>
      </c>
      <c r="CW160" s="1718"/>
      <c r="CX160" s="1541">
        <f t="shared" si="253"/>
        <v>1413.9447912881378</v>
      </c>
      <c r="CY160" s="1718"/>
      <c r="CZ160" s="1541">
        <v>0</v>
      </c>
      <c r="DA160" s="1718"/>
      <c r="DB160" s="1541">
        <v>1137.495874860032</v>
      </c>
      <c r="DC160" s="1718"/>
      <c r="DD160" s="1541">
        <v>1162.3673966536298</v>
      </c>
      <c r="DE160" s="1718"/>
      <c r="DF160" s="1541">
        <v>792.16666868524749</v>
      </c>
      <c r="DG160" s="1718"/>
      <c r="DH160" s="1541">
        <v>109.07705677867902</v>
      </c>
      <c r="DI160" s="1718"/>
      <c r="DJ160" s="1541">
        <v>1005.7149265262846</v>
      </c>
      <c r="DK160" s="1718"/>
      <c r="DL160" s="1541">
        <v>785.41249507126747</v>
      </c>
      <c r="DM160" s="1718"/>
      <c r="DN160" s="1541">
        <f t="shared" si="254"/>
        <v>3613.0660548536093</v>
      </c>
      <c r="DO160" s="1718"/>
      <c r="DP160" s="1541">
        <f t="shared" si="255"/>
        <v>0</v>
      </c>
      <c r="DQ160" s="1718"/>
      <c r="DR160" s="1541">
        <f t="shared" si="256"/>
        <v>660.29112234366721</v>
      </c>
      <c r="DS160" s="1718"/>
      <c r="DT160" s="1541">
        <f t="shared" si="257"/>
        <v>366.11931632092279</v>
      </c>
      <c r="DU160" s="1718"/>
      <c r="DV160" s="1541">
        <f t="shared" si="258"/>
        <v>781.50942740308358</v>
      </c>
      <c r="DW160" s="1718"/>
      <c r="DX160" s="1541">
        <f t="shared" si="259"/>
        <v>1394.8696732022679</v>
      </c>
      <c r="DY160" s="1718"/>
      <c r="DZ160" s="1541">
        <f t="shared" si="260"/>
        <v>427.67195291666508</v>
      </c>
      <c r="EA160" s="1718"/>
      <c r="EB160" s="1541">
        <f t="shared" si="261"/>
        <v>1258.6301493801409</v>
      </c>
      <c r="EC160" s="1718"/>
      <c r="ED160" s="1541">
        <f t="shared" si="262"/>
        <v>0</v>
      </c>
      <c r="EE160" s="1718"/>
      <c r="EF160" s="1541">
        <f t="shared" si="263"/>
        <v>760.38311632406419</v>
      </c>
      <c r="EG160" s="1718"/>
      <c r="EH160" s="1541">
        <f t="shared" si="264"/>
        <v>1563.8392988211342</v>
      </c>
      <c r="EI160" s="1718"/>
      <c r="EJ160" s="1541">
        <f t="shared" si="265"/>
        <v>128.75088115042999</v>
      </c>
      <c r="EK160" s="1718"/>
      <c r="EL160" s="1541">
        <f t="shared" si="266"/>
        <v>856.11988021944615</v>
      </c>
      <c r="EM160" s="1718"/>
      <c r="EN160" s="1541">
        <f t="shared" si="267"/>
        <v>0</v>
      </c>
      <c r="EO160" s="1718"/>
      <c r="EP160" s="1720">
        <f t="shared" si="268"/>
        <v>0</v>
      </c>
      <c r="EQ160" s="1718"/>
      <c r="ER160" s="1541">
        <f t="shared" si="269"/>
        <v>158.97130253303743</v>
      </c>
      <c r="ES160" s="1718"/>
      <c r="ET160" s="1541">
        <f t="shared" si="270"/>
        <v>1127.2461500564707</v>
      </c>
      <c r="EU160" s="1718"/>
      <c r="EV160" s="1541">
        <f t="shared" si="271"/>
        <v>118.6012280205386</v>
      </c>
      <c r="EW160" s="1718"/>
      <c r="EX160" s="1541">
        <f t="shared" si="272"/>
        <v>474.30225593303845</v>
      </c>
      <c r="EY160" s="1718"/>
      <c r="EZ160" s="1541">
        <f t="shared" si="273"/>
        <v>1030.4622704367825</v>
      </c>
      <c r="FA160" s="1718"/>
      <c r="FB160" s="1541">
        <f t="shared" si="274"/>
        <v>0</v>
      </c>
      <c r="FC160" s="1718"/>
      <c r="FD160" s="1541">
        <f t="shared" si="275"/>
        <v>931.48300335776901</v>
      </c>
      <c r="FE160" s="1718"/>
      <c r="FF160" s="1541">
        <f t="shared" si="276"/>
        <v>358.90719999999999</v>
      </c>
      <c r="FG160" s="1718"/>
      <c r="FH160" s="1541">
        <f t="shared" si="277"/>
        <v>1442.0376852461843</v>
      </c>
      <c r="FI160" s="1718"/>
      <c r="FJ160" s="1541">
        <f t="shared" si="278"/>
        <v>1374.0658182922823</v>
      </c>
      <c r="FK160" s="1718"/>
      <c r="FL160" s="1541">
        <f t="shared" si="279"/>
        <v>1038.847446439685</v>
      </c>
      <c r="FM160" s="1718"/>
      <c r="FN160" s="1541">
        <f t="shared" si="280"/>
        <v>1288.4766797728985</v>
      </c>
      <c r="FO160" s="1718"/>
      <c r="FP160" s="1541">
        <f t="shared" si="281"/>
        <v>210.53922631739263</v>
      </c>
      <c r="FQ160" s="1718"/>
      <c r="FR160" s="1541">
        <f t="shared" si="282"/>
        <v>905.78411425853642</v>
      </c>
      <c r="FS160" s="1718"/>
      <c r="FT160" s="1541">
        <f t="shared" si="283"/>
        <v>1400.8239169257288</v>
      </c>
      <c r="FU160" s="1718"/>
      <c r="FV160" s="1541">
        <f t="shared" si="284"/>
        <v>1705.671440514466</v>
      </c>
      <c r="FW160" s="1718"/>
      <c r="FX160" s="1541">
        <f t="shared" si="285"/>
        <v>610.13962682446504</v>
      </c>
      <c r="FY160" s="1718"/>
      <c r="FZ160" s="1541">
        <f t="shared" si="286"/>
        <v>1062.7608670432974</v>
      </c>
      <c r="GA160" s="1718"/>
      <c r="GB160" s="1541">
        <f>GB131/GB$21</f>
        <v>962.02557736402571</v>
      </c>
      <c r="GC160" s="1718"/>
      <c r="GD160" s="1541">
        <f t="shared" si="287"/>
        <v>415.89726294826971</v>
      </c>
      <c r="GE160" s="1718"/>
      <c r="GF160" s="1541">
        <f t="shared" si="288"/>
        <v>746.08112027141169</v>
      </c>
      <c r="GG160" s="1718"/>
      <c r="GH160" s="1541">
        <f t="shared" si="289"/>
        <v>470.55843857748062</v>
      </c>
      <c r="GI160" s="1718"/>
      <c r="GJ160" s="1541">
        <f t="shared" si="290"/>
        <v>1580.1585352223506</v>
      </c>
      <c r="GK160" s="1718"/>
      <c r="GL160" s="1541">
        <f t="shared" si="291"/>
        <v>625.55252137178104</v>
      </c>
      <c r="GM160" s="1718"/>
      <c r="GN160" s="1541">
        <f t="shared" si="292"/>
        <v>20.870129870129869</v>
      </c>
      <c r="GO160" s="1718"/>
      <c r="GP160" s="1541">
        <f t="shared" si="293"/>
        <v>539.68793881683132</v>
      </c>
      <c r="GQ160" s="1718"/>
      <c r="GR160" s="1541">
        <f t="shared" si="294"/>
        <v>876.27052346753715</v>
      </c>
      <c r="GS160" s="1718"/>
      <c r="GT160" s="1541">
        <f t="shared" si="295"/>
        <v>208.44046294667703</v>
      </c>
      <c r="GU160" s="1718"/>
      <c r="GV160" s="1541">
        <f t="shared" si="296"/>
        <v>447.45461350675305</v>
      </c>
      <c r="GW160" s="1718"/>
      <c r="GX160" s="1541">
        <f t="shared" si="297"/>
        <v>346.04645682782058</v>
      </c>
      <c r="GY160" s="1718"/>
      <c r="GZ160" s="1541">
        <f t="shared" si="298"/>
        <v>1534.8203129481915</v>
      </c>
      <c r="HA160" s="1718"/>
      <c r="HB160" s="1541">
        <f t="shared" si="299"/>
        <v>1020.1583816154023</v>
      </c>
      <c r="HC160" s="1718"/>
      <c r="HD160" s="1541">
        <f t="shared" si="300"/>
        <v>0</v>
      </c>
      <c r="HE160" s="1718"/>
      <c r="HF160" s="1541">
        <f t="shared" si="301"/>
        <v>996.7934192072895</v>
      </c>
      <c r="HG160" s="2035"/>
      <c r="HH160" s="1541">
        <f t="shared" si="302"/>
        <v>3037.2719207958994</v>
      </c>
      <c r="HI160" s="1718"/>
      <c r="HJ160" s="1541">
        <f t="shared" si="303"/>
        <v>758.56830823681696</v>
      </c>
      <c r="HK160" s="1718"/>
      <c r="HL160" s="1541">
        <f t="shared" si="304"/>
        <v>1005.6538667805545</v>
      </c>
      <c r="HM160" s="1718"/>
      <c r="HN160" s="1541">
        <f t="shared" si="305"/>
        <v>1097.7211589518643</v>
      </c>
      <c r="HO160" s="1718"/>
      <c r="HP160" s="1541">
        <f t="shared" ref="HP160:HP167" si="314">HP131/HP$21</f>
        <v>1458.4448024647324</v>
      </c>
      <c r="HQ160" s="2035"/>
      <c r="HR160" s="1541">
        <f t="shared" si="306"/>
        <v>0</v>
      </c>
      <c r="HS160" s="1718"/>
      <c r="HT160" s="1541">
        <f t="shared" si="307"/>
        <v>484.45483521685128</v>
      </c>
      <c r="HU160" s="2035"/>
      <c r="HV160" s="1541">
        <f t="shared" si="308"/>
        <v>840.94429490355401</v>
      </c>
      <c r="HW160" s="2035"/>
      <c r="HX160" s="1541">
        <f t="shared" si="309"/>
        <v>967.91590682408196</v>
      </c>
      <c r="HY160" s="2035"/>
      <c r="HZ160" s="1541">
        <f t="shared" si="310"/>
        <v>682.05860369574077</v>
      </c>
      <c r="IA160" s="2035"/>
      <c r="IB160" s="1541">
        <f t="shared" si="311"/>
        <v>1195.3193814965357</v>
      </c>
      <c r="IC160" s="1718"/>
      <c r="ID160" s="1541">
        <f t="shared" si="312"/>
        <v>462.30200121285628</v>
      </c>
      <c r="IE160" s="2035"/>
      <c r="IF160" s="1541">
        <f t="shared" si="313"/>
        <v>0</v>
      </c>
      <c r="IG160" s="2035"/>
    </row>
    <row r="161" spans="1:241">
      <c r="A161" s="1149"/>
      <c r="B161" s="1149"/>
      <c r="C161" s="1149"/>
      <c r="D161" s="1149" t="s">
        <v>10</v>
      </c>
      <c r="E161" s="1143"/>
      <c r="F161" s="1541">
        <f t="shared" si="210"/>
        <v>3670.2472275548193</v>
      </c>
      <c r="G161" s="1718"/>
      <c r="H161" s="1541">
        <f t="shared" si="211"/>
        <v>0</v>
      </c>
      <c r="I161" s="1718"/>
      <c r="J161" s="1541">
        <f>J132/J$21</f>
        <v>211.61123268020509</v>
      </c>
      <c r="K161" s="1718"/>
      <c r="L161" s="1541">
        <f t="shared" si="213"/>
        <v>658.62477078361394</v>
      </c>
      <c r="M161" s="1718"/>
      <c r="N161" s="1541">
        <f t="shared" si="214"/>
        <v>371.15070010737378</v>
      </c>
      <c r="O161" s="1718"/>
      <c r="P161" s="1541">
        <f t="shared" si="215"/>
        <v>1187.4316475361234</v>
      </c>
      <c r="Q161" s="1718"/>
      <c r="R161" s="1541">
        <f t="shared" si="216"/>
        <v>937.4150586614461</v>
      </c>
      <c r="S161" s="1718"/>
      <c r="T161" s="1541">
        <f t="shared" si="217"/>
        <v>2282.3029559525703</v>
      </c>
      <c r="U161" s="1718"/>
      <c r="V161" s="1541">
        <f t="shared" si="218"/>
        <v>0</v>
      </c>
      <c r="W161" s="1718"/>
      <c r="X161" s="1541">
        <f t="shared" si="219"/>
        <v>290.03439772528338</v>
      </c>
      <c r="Y161" s="1718"/>
      <c r="Z161" s="1541">
        <f t="shared" si="220"/>
        <v>196.50856323542908</v>
      </c>
      <c r="AA161" s="1718"/>
      <c r="AB161" s="1541">
        <f t="shared" si="221"/>
        <v>0</v>
      </c>
      <c r="AC161" s="1718"/>
      <c r="AD161" s="1541">
        <f t="shared" si="222"/>
        <v>1707.736364198483</v>
      </c>
      <c r="AE161" s="1718"/>
      <c r="AF161" s="1541">
        <f t="shared" si="223"/>
        <v>922.53525299452224</v>
      </c>
      <c r="AG161" s="1718"/>
      <c r="AH161" s="1541">
        <f t="shared" si="224"/>
        <v>0</v>
      </c>
      <c r="AI161" s="1718"/>
      <c r="AJ161" s="1541">
        <f t="shared" si="225"/>
        <v>35.834609094225016</v>
      </c>
      <c r="AK161" s="1718"/>
      <c r="AL161" s="1541">
        <f t="shared" si="226"/>
        <v>68.372230305784996</v>
      </c>
      <c r="AM161" s="1718"/>
      <c r="AN161" s="1541">
        <f t="shared" si="227"/>
        <v>196.71404949465534</v>
      </c>
      <c r="AO161" s="1718"/>
      <c r="AP161" s="1541">
        <f t="shared" si="228"/>
        <v>549.79118145621158</v>
      </c>
      <c r="AQ161" s="1718"/>
      <c r="AR161" s="1541">
        <f t="shared" si="229"/>
        <v>3217.7174997638353</v>
      </c>
      <c r="AS161" s="1718"/>
      <c r="AT161" s="1541">
        <f t="shared" si="230"/>
        <v>2663.8290206051142</v>
      </c>
      <c r="AU161" s="1718"/>
      <c r="AV161" s="1541">
        <f t="shared" si="231"/>
        <v>772.33654744361729</v>
      </c>
      <c r="AW161" s="1718"/>
      <c r="AX161" s="1541">
        <f t="shared" si="232"/>
        <v>2221.5553349188799</v>
      </c>
      <c r="AY161" s="1718"/>
      <c r="AZ161" s="1541">
        <f t="shared" si="233"/>
        <v>0</v>
      </c>
      <c r="BA161" s="1718"/>
      <c r="BB161" s="1541">
        <f t="shared" si="234"/>
        <v>0</v>
      </c>
      <c r="BC161" s="1718"/>
      <c r="BD161" s="1541">
        <f t="shared" si="235"/>
        <v>1972.109731521658</v>
      </c>
      <c r="BE161" s="1718"/>
      <c r="BF161" s="1541">
        <f t="shared" si="236"/>
        <v>0</v>
      </c>
      <c r="BG161" s="1718"/>
      <c r="BH161" s="1541">
        <f t="shared" si="237"/>
        <v>0</v>
      </c>
      <c r="BI161" s="1718"/>
      <c r="BJ161" s="1541">
        <f t="shared" si="238"/>
        <v>593.41805581630558</v>
      </c>
      <c r="BK161" s="1718"/>
      <c r="BL161" s="1541">
        <f t="shared" si="239"/>
        <v>554.34369854880367</v>
      </c>
      <c r="BM161" s="1718"/>
      <c r="BN161" s="1541">
        <f t="shared" si="240"/>
        <v>0</v>
      </c>
      <c r="BO161" s="1718"/>
      <c r="BP161" s="1541">
        <f t="shared" si="241"/>
        <v>2535.7619792383334</v>
      </c>
      <c r="BQ161" s="1718"/>
      <c r="BR161" s="1541">
        <f t="shared" si="242"/>
        <v>0</v>
      </c>
      <c r="BS161" s="1718"/>
      <c r="BT161" s="1541">
        <f t="shared" si="243"/>
        <v>491.90922347991648</v>
      </c>
      <c r="BU161" s="1718"/>
      <c r="BV161" s="1541">
        <f t="shared" si="244"/>
        <v>0</v>
      </c>
      <c r="BW161" s="1718"/>
      <c r="BX161" s="1541">
        <f t="shared" si="245"/>
        <v>732.33962590025203</v>
      </c>
      <c r="BY161" s="1718"/>
      <c r="BZ161" s="1541">
        <f t="shared" si="246"/>
        <v>331.95930501110809</v>
      </c>
      <c r="CA161" s="1718"/>
      <c r="CB161" s="1541">
        <f t="shared" si="247"/>
        <v>1180.5788052632472</v>
      </c>
      <c r="CC161" s="1718"/>
      <c r="CD161" s="1541">
        <f t="shared" si="248"/>
        <v>195.42669603131125</v>
      </c>
      <c r="CE161" s="1718"/>
      <c r="CF161" s="1541">
        <v>114.65756941301937</v>
      </c>
      <c r="CG161" s="1718"/>
      <c r="CH161" s="1541">
        <f t="shared" si="249"/>
        <v>44.237869418862175</v>
      </c>
      <c r="CI161" s="1718"/>
      <c r="CJ161" s="1541">
        <v>0</v>
      </c>
      <c r="CK161" s="1718"/>
      <c r="CL161" s="1541">
        <v>1837.8097715257322</v>
      </c>
      <c r="CM161" s="1718"/>
      <c r="CN161" s="1541">
        <f t="shared" si="250"/>
        <v>2055.7109819756924</v>
      </c>
      <c r="CO161" s="1718"/>
      <c r="CP161" s="1541">
        <f t="shared" si="251"/>
        <v>0</v>
      </c>
      <c r="CQ161" s="1718"/>
      <c r="CR161" s="1541">
        <v>2410.1663852657634</v>
      </c>
      <c r="CS161" s="1718"/>
      <c r="CT161" s="1541">
        <f t="shared" si="252"/>
        <v>1270.5598675199194</v>
      </c>
      <c r="CU161" s="1718"/>
      <c r="CV161" s="1541">
        <f t="shared" si="253"/>
        <v>178.03590667316536</v>
      </c>
      <c r="CW161" s="1718"/>
      <c r="CX161" s="1541">
        <f t="shared" si="253"/>
        <v>1821.6707247160132</v>
      </c>
      <c r="CY161" s="1718"/>
      <c r="CZ161" s="1541">
        <v>396.17179605151199</v>
      </c>
      <c r="DA161" s="1718"/>
      <c r="DB161" s="1541">
        <v>510.64918075328796</v>
      </c>
      <c r="DC161" s="1718"/>
      <c r="DD161" s="1541">
        <v>0</v>
      </c>
      <c r="DE161" s="1718"/>
      <c r="DF161" s="1541">
        <v>1612.6583460857062</v>
      </c>
      <c r="DG161" s="1718"/>
      <c r="DH161" s="1541">
        <v>0</v>
      </c>
      <c r="DI161" s="1718"/>
      <c r="DJ161" s="1541">
        <v>0</v>
      </c>
      <c r="DK161" s="1718"/>
      <c r="DL161" s="1541">
        <v>141.09427092509165</v>
      </c>
      <c r="DM161" s="1718"/>
      <c r="DN161" s="1541">
        <f t="shared" si="254"/>
        <v>1126.3975865156228</v>
      </c>
      <c r="DO161" s="1718"/>
      <c r="DP161" s="1541">
        <f t="shared" si="255"/>
        <v>316.32738468200182</v>
      </c>
      <c r="DQ161" s="1718"/>
      <c r="DR161" s="1541">
        <f t="shared" si="256"/>
        <v>319.95366033729448</v>
      </c>
      <c r="DS161" s="1718"/>
      <c r="DT161" s="1541">
        <f t="shared" si="257"/>
        <v>1560.8567097620594</v>
      </c>
      <c r="DU161" s="1718"/>
      <c r="DV161" s="1541">
        <f t="shared" si="258"/>
        <v>49.024401115612157</v>
      </c>
      <c r="DW161" s="1718"/>
      <c r="DX161" s="1541">
        <f t="shared" si="259"/>
        <v>1634.2932803558222</v>
      </c>
      <c r="DY161" s="1718"/>
      <c r="DZ161" s="1541">
        <f t="shared" si="260"/>
        <v>453.9019646366126</v>
      </c>
      <c r="EA161" s="1718"/>
      <c r="EB161" s="1541">
        <f t="shared" si="261"/>
        <v>1139.4693810343144</v>
      </c>
      <c r="EC161" s="1718"/>
      <c r="ED161" s="1541">
        <f t="shared" si="262"/>
        <v>229.24436167468863</v>
      </c>
      <c r="EE161" s="1718"/>
      <c r="EF161" s="1541">
        <f t="shared" si="263"/>
        <v>0</v>
      </c>
      <c r="EG161" s="1718"/>
      <c r="EH161" s="1541">
        <f t="shared" si="264"/>
        <v>1978.8634230146674</v>
      </c>
      <c r="EI161" s="1718"/>
      <c r="EJ161" s="1541">
        <f t="shared" si="265"/>
        <v>93.005895101295408</v>
      </c>
      <c r="EK161" s="1718"/>
      <c r="EL161" s="1541">
        <f t="shared" si="266"/>
        <v>0</v>
      </c>
      <c r="EM161" s="1718"/>
      <c r="EN161" s="1541">
        <f t="shared" si="267"/>
        <v>3246.3721576060107</v>
      </c>
      <c r="EO161" s="1718"/>
      <c r="EP161" s="1720">
        <f t="shared" si="268"/>
        <v>865.96788591303743</v>
      </c>
      <c r="EQ161" s="1718"/>
      <c r="ER161" s="1541">
        <f t="shared" si="269"/>
        <v>0</v>
      </c>
      <c r="ES161" s="1718"/>
      <c r="ET161" s="1541">
        <f t="shared" si="270"/>
        <v>1079.993366952817</v>
      </c>
      <c r="EU161" s="1718"/>
      <c r="EV161" s="1541">
        <f t="shared" si="271"/>
        <v>46.23152169536732</v>
      </c>
      <c r="EW161" s="1718"/>
      <c r="EX161" s="1541">
        <f t="shared" si="272"/>
        <v>101.70447898160089</v>
      </c>
      <c r="EY161" s="1718"/>
      <c r="EZ161" s="1541">
        <f t="shared" si="273"/>
        <v>108.19284667484359</v>
      </c>
      <c r="FA161" s="1718"/>
      <c r="FB161" s="1541">
        <f t="shared" si="274"/>
        <v>85.650176405197854</v>
      </c>
      <c r="FC161" s="1718"/>
      <c r="FD161" s="1541">
        <f t="shared" si="275"/>
        <v>218.75532621970433</v>
      </c>
      <c r="FE161" s="1718"/>
      <c r="FF161" s="1541">
        <f t="shared" si="276"/>
        <v>66.668000000000006</v>
      </c>
      <c r="FG161" s="1718"/>
      <c r="FH161" s="1541">
        <f t="shared" si="277"/>
        <v>476.51277621460542</v>
      </c>
      <c r="FI161" s="1718"/>
      <c r="FJ161" s="1541">
        <f t="shared" si="278"/>
        <v>834.99821291706132</v>
      </c>
      <c r="FK161" s="1718"/>
      <c r="FL161" s="1541">
        <f t="shared" si="279"/>
        <v>33.134268747019647</v>
      </c>
      <c r="FM161" s="1718"/>
      <c r="FN161" s="1541">
        <f t="shared" si="280"/>
        <v>3596.9841498115188</v>
      </c>
      <c r="FO161" s="1718"/>
      <c r="FP161" s="1541">
        <f t="shared" si="281"/>
        <v>0</v>
      </c>
      <c r="FQ161" s="1718"/>
      <c r="FR161" s="1541">
        <f t="shared" si="282"/>
        <v>667.12157945973195</v>
      </c>
      <c r="FS161" s="1718"/>
      <c r="FT161" s="1541">
        <f t="shared" si="283"/>
        <v>86.055938373932364</v>
      </c>
      <c r="FU161" s="1718"/>
      <c r="FV161" s="1541">
        <f t="shared" si="284"/>
        <v>4149.9061062190904</v>
      </c>
      <c r="FW161" s="1718"/>
      <c r="FX161" s="1541">
        <f t="shared" si="285"/>
        <v>2.7689567815950311</v>
      </c>
      <c r="FY161" s="1718"/>
      <c r="FZ161" s="1541">
        <f t="shared" si="286"/>
        <v>422.57694288458822</v>
      </c>
      <c r="GA161" s="1718"/>
      <c r="GB161" s="1541">
        <f>GB132/GB$21</f>
        <v>0</v>
      </c>
      <c r="GC161" s="1718"/>
      <c r="GD161" s="1541">
        <f t="shared" si="287"/>
        <v>538.45143609249828</v>
      </c>
      <c r="GE161" s="1718"/>
      <c r="GF161" s="1541">
        <f t="shared" si="288"/>
        <v>202.66133821055351</v>
      </c>
      <c r="GG161" s="1718"/>
      <c r="GH161" s="1541">
        <f t="shared" si="289"/>
        <v>0</v>
      </c>
      <c r="GI161" s="1718"/>
      <c r="GJ161" s="1541">
        <f t="shared" si="290"/>
        <v>1504.2292635045753</v>
      </c>
      <c r="GK161" s="1718"/>
      <c r="GL161" s="1541">
        <f t="shared" si="291"/>
        <v>0</v>
      </c>
      <c r="GM161" s="1718"/>
      <c r="GN161" s="1541">
        <f t="shared" si="292"/>
        <v>0</v>
      </c>
      <c r="GO161" s="1718"/>
      <c r="GP161" s="1541">
        <f t="shared" si="293"/>
        <v>32.062627042700917</v>
      </c>
      <c r="GQ161" s="1718"/>
      <c r="GR161" s="1541">
        <f t="shared" si="294"/>
        <v>0</v>
      </c>
      <c r="GS161" s="1718"/>
      <c r="GT161" s="1541">
        <f t="shared" si="295"/>
        <v>684.39170362446259</v>
      </c>
      <c r="GU161" s="1718"/>
      <c r="GV161" s="1541">
        <f t="shared" si="296"/>
        <v>472.97585012473451</v>
      </c>
      <c r="GW161" s="1718"/>
      <c r="GX161" s="1541">
        <f t="shared" si="297"/>
        <v>0</v>
      </c>
      <c r="GY161" s="1718"/>
      <c r="GZ161" s="1541">
        <f t="shared" si="298"/>
        <v>1736.7641142804423</v>
      </c>
      <c r="HA161" s="1718"/>
      <c r="HB161" s="1541">
        <f t="shared" si="299"/>
        <v>0</v>
      </c>
      <c r="HC161" s="1718"/>
      <c r="HD161" s="1541">
        <f t="shared" si="300"/>
        <v>0</v>
      </c>
      <c r="HE161" s="1718"/>
      <c r="HF161" s="1541">
        <f t="shared" si="301"/>
        <v>2674.8198888748775</v>
      </c>
      <c r="HG161" s="2035"/>
      <c r="HH161" s="1541">
        <f t="shared" si="302"/>
        <v>926.02346120702248</v>
      </c>
      <c r="HI161" s="1718"/>
      <c r="HJ161" s="1541">
        <f t="shared" si="303"/>
        <v>224.83140300615079</v>
      </c>
      <c r="HK161" s="1718"/>
      <c r="HL161" s="1541">
        <f t="shared" si="304"/>
        <v>0</v>
      </c>
      <c r="HM161" s="1718"/>
      <c r="HN161" s="1541">
        <f t="shared" si="305"/>
        <v>0</v>
      </c>
      <c r="HO161" s="1718"/>
      <c r="HP161" s="1541">
        <f t="shared" si="314"/>
        <v>1154.6830970127621</v>
      </c>
      <c r="HQ161" s="2035"/>
      <c r="HR161" s="1541">
        <f t="shared" si="306"/>
        <v>158.76673569430565</v>
      </c>
      <c r="HS161" s="1718"/>
      <c r="HT161" s="1541">
        <f t="shared" si="307"/>
        <v>890.03805812177347</v>
      </c>
      <c r="HU161" s="2035"/>
      <c r="HV161" s="1541">
        <f t="shared" si="308"/>
        <v>582.48708413536872</v>
      </c>
      <c r="HW161" s="2035"/>
      <c r="HX161" s="1541">
        <f t="shared" si="309"/>
        <v>359.60787698046954</v>
      </c>
      <c r="HY161" s="2035"/>
      <c r="HZ161" s="1541">
        <f t="shared" si="310"/>
        <v>349.44999379196111</v>
      </c>
      <c r="IA161" s="2035"/>
      <c r="IB161" s="1541">
        <f t="shared" si="311"/>
        <v>0</v>
      </c>
      <c r="IC161" s="1718"/>
      <c r="ID161" s="1541">
        <f t="shared" si="312"/>
        <v>33.546579659887769</v>
      </c>
      <c r="IE161" s="2035"/>
      <c r="IF161" s="1541">
        <f t="shared" si="313"/>
        <v>619.5494602730513</v>
      </c>
      <c r="IG161" s="2035"/>
    </row>
    <row r="162" spans="1:241">
      <c r="A162" s="1149"/>
      <c r="B162" s="1149"/>
      <c r="C162" s="1149"/>
      <c r="D162" s="1149" t="s">
        <v>45</v>
      </c>
      <c r="E162" s="1143"/>
      <c r="F162" s="1541">
        <f t="shared" si="210"/>
        <v>10900</v>
      </c>
      <c r="G162" s="1718"/>
      <c r="H162" s="1541">
        <f t="shared" si="211"/>
        <v>19000</v>
      </c>
      <c r="I162" s="1718"/>
      <c r="J162" s="1541">
        <f t="shared" si="212"/>
        <v>13124.999999999998</v>
      </c>
      <c r="K162" s="1718"/>
      <c r="L162" s="1541">
        <f t="shared" si="213"/>
        <v>19010</v>
      </c>
      <c r="M162" s="1718"/>
      <c r="N162" s="1541">
        <f t="shared" si="214"/>
        <v>24138</v>
      </c>
      <c r="O162" s="1718"/>
      <c r="P162" s="1541">
        <f t="shared" si="215"/>
        <v>15000</v>
      </c>
      <c r="Q162" s="1718"/>
      <c r="R162" s="1541">
        <f t="shared" si="216"/>
        <v>19450</v>
      </c>
      <c r="S162" s="1718"/>
      <c r="T162" s="1541">
        <f t="shared" si="217"/>
        <v>3863</v>
      </c>
      <c r="U162" s="1718"/>
      <c r="V162" s="1541">
        <f t="shared" si="218"/>
        <v>5500</v>
      </c>
      <c r="W162" s="1718"/>
      <c r="X162" s="1541">
        <f t="shared" si="219"/>
        <v>19305</v>
      </c>
      <c r="Y162" s="1718"/>
      <c r="Z162" s="1541">
        <f t="shared" si="220"/>
        <v>12528</v>
      </c>
      <c r="AA162" s="1718"/>
      <c r="AB162" s="1541">
        <f t="shared" si="221"/>
        <v>4800</v>
      </c>
      <c r="AC162" s="1718"/>
      <c r="AD162" s="1541">
        <f t="shared" si="222"/>
        <v>29689</v>
      </c>
      <c r="AE162" s="1718"/>
      <c r="AF162" s="1541">
        <f t="shared" si="223"/>
        <v>10438</v>
      </c>
      <c r="AG162" s="1718"/>
      <c r="AH162" s="1541">
        <f t="shared" si="224"/>
        <v>6165</v>
      </c>
      <c r="AI162" s="1718"/>
      <c r="AJ162" s="1541">
        <f t="shared" si="225"/>
        <v>25000</v>
      </c>
      <c r="AK162" s="1718"/>
      <c r="AL162" s="1541">
        <f t="shared" si="226"/>
        <v>2200</v>
      </c>
      <c r="AM162" s="1718"/>
      <c r="AN162" s="1541">
        <f t="shared" si="227"/>
        <v>12055</v>
      </c>
      <c r="AO162" s="1718"/>
      <c r="AP162" s="1541">
        <f t="shared" si="228"/>
        <v>21500</v>
      </c>
      <c r="AQ162" s="1718"/>
      <c r="AR162" s="1541">
        <f t="shared" si="229"/>
        <v>20750</v>
      </c>
      <c r="AS162" s="1718"/>
      <c r="AT162" s="1541">
        <f t="shared" si="230"/>
        <v>3000</v>
      </c>
      <c r="AU162" s="1718"/>
      <c r="AV162" s="1541">
        <f t="shared" si="231"/>
        <v>16773</v>
      </c>
      <c r="AW162" s="1718"/>
      <c r="AX162" s="1541">
        <f t="shared" si="232"/>
        <v>3273</v>
      </c>
      <c r="AY162" s="1718"/>
      <c r="AZ162" s="1541">
        <f t="shared" si="233"/>
        <v>5912</v>
      </c>
      <c r="BA162" s="1718"/>
      <c r="BB162" s="1541">
        <f t="shared" si="234"/>
        <v>23152</v>
      </c>
      <c r="BC162" s="1718"/>
      <c r="BD162" s="1541">
        <f t="shared" si="235"/>
        <v>6630</v>
      </c>
      <c r="BE162" s="1718"/>
      <c r="BF162" s="1541">
        <f t="shared" si="236"/>
        <v>6457</v>
      </c>
      <c r="BG162" s="1718"/>
      <c r="BH162" s="1541">
        <f t="shared" si="237"/>
        <v>14045</v>
      </c>
      <c r="BI162" s="1718"/>
      <c r="BJ162" s="1541">
        <f t="shared" si="238"/>
        <v>13967.999999999998</v>
      </c>
      <c r="BK162" s="1718"/>
      <c r="BL162" s="1541">
        <f t="shared" si="239"/>
        <v>19090</v>
      </c>
      <c r="BM162" s="1718"/>
      <c r="BN162" s="1541">
        <f t="shared" si="240"/>
        <v>11567</v>
      </c>
      <c r="BO162" s="1718"/>
      <c r="BP162" s="1541">
        <f t="shared" si="241"/>
        <v>4848</v>
      </c>
      <c r="BQ162" s="1718"/>
      <c r="BR162" s="1541">
        <f t="shared" si="242"/>
        <v>16500</v>
      </c>
      <c r="BS162" s="1718"/>
      <c r="BT162" s="1541">
        <f t="shared" si="243"/>
        <v>9749</v>
      </c>
      <c r="BU162" s="1718"/>
      <c r="BV162" s="1541">
        <f t="shared" si="244"/>
        <v>4162</v>
      </c>
      <c r="BW162" s="1718"/>
      <c r="BX162" s="1541">
        <f t="shared" si="245"/>
        <v>4417</v>
      </c>
      <c r="BY162" s="1718"/>
      <c r="BZ162" s="1541">
        <f t="shared" si="246"/>
        <v>10541</v>
      </c>
      <c r="CA162" s="1718"/>
      <c r="CB162" s="1541">
        <f t="shared" si="247"/>
        <v>15699.999999999998</v>
      </c>
      <c r="CC162" s="1718"/>
      <c r="CD162" s="1541">
        <f t="shared" si="248"/>
        <v>13670</v>
      </c>
      <c r="CE162" s="1718"/>
      <c r="CF162" s="1541">
        <v>15796</v>
      </c>
      <c r="CG162" s="1718"/>
      <c r="CH162" s="1541">
        <f t="shared" si="249"/>
        <v>13990</v>
      </c>
      <c r="CI162" s="1718"/>
      <c r="CJ162" s="1541">
        <v>9240</v>
      </c>
      <c r="CK162" s="1718"/>
      <c r="CL162" s="1541">
        <v>19949</v>
      </c>
      <c r="CM162" s="1718"/>
      <c r="CN162" s="1541">
        <f t="shared" si="250"/>
        <v>12762</v>
      </c>
      <c r="CO162" s="1718"/>
      <c r="CP162" s="1541">
        <f t="shared" si="251"/>
        <v>10058</v>
      </c>
      <c r="CQ162" s="1718"/>
      <c r="CR162" s="1541">
        <v>23542</v>
      </c>
      <c r="CS162" s="1718"/>
      <c r="CT162" s="1541">
        <f t="shared" si="252"/>
        <v>18635</v>
      </c>
      <c r="CU162" s="1718"/>
      <c r="CV162" s="1541">
        <f t="shared" si="253"/>
        <v>15940</v>
      </c>
      <c r="CW162" s="1718"/>
      <c r="CX162" s="1541">
        <f t="shared" si="253"/>
        <v>27480</v>
      </c>
      <c r="CY162" s="1718"/>
      <c r="CZ162" s="1541">
        <v>17325</v>
      </c>
      <c r="DA162" s="1718"/>
      <c r="DB162" s="1541">
        <v>13974</v>
      </c>
      <c r="DC162" s="1718"/>
      <c r="DD162" s="1541">
        <v>12872</v>
      </c>
      <c r="DE162" s="1718"/>
      <c r="DF162" s="1541">
        <v>27672</v>
      </c>
      <c r="DG162" s="1718"/>
      <c r="DH162" s="1541">
        <v>2448</v>
      </c>
      <c r="DI162" s="1718"/>
      <c r="DJ162" s="1541">
        <v>9287</v>
      </c>
      <c r="DK162" s="1718"/>
      <c r="DL162" s="1541">
        <v>10978</v>
      </c>
      <c r="DM162" s="1718"/>
      <c r="DN162" s="1541">
        <f t="shared" si="254"/>
        <v>20300</v>
      </c>
      <c r="DO162" s="1718"/>
      <c r="DP162" s="1541">
        <f t="shared" si="255"/>
        <v>18250</v>
      </c>
      <c r="DQ162" s="1718"/>
      <c r="DR162" s="1541">
        <f t="shared" si="256"/>
        <v>17430</v>
      </c>
      <c r="DS162" s="1718"/>
      <c r="DT162" s="1541">
        <f t="shared" si="257"/>
        <v>20572</v>
      </c>
      <c r="DU162" s="1718"/>
      <c r="DV162" s="1541">
        <f t="shared" si="258"/>
        <v>11128</v>
      </c>
      <c r="DW162" s="1718"/>
      <c r="DX162" s="1541">
        <f t="shared" si="259"/>
        <v>23075</v>
      </c>
      <c r="DY162" s="1718"/>
      <c r="DZ162" s="1541">
        <f t="shared" si="260"/>
        <v>14773.999999999998</v>
      </c>
      <c r="EA162" s="1718"/>
      <c r="EB162" s="1541">
        <f t="shared" si="261"/>
        <v>27234</v>
      </c>
      <c r="EC162" s="1718"/>
      <c r="ED162" s="1541">
        <f t="shared" si="262"/>
        <v>16240.000000000002</v>
      </c>
      <c r="EE162" s="1718"/>
      <c r="EF162" s="1541">
        <f t="shared" si="263"/>
        <v>20680</v>
      </c>
      <c r="EG162" s="1718"/>
      <c r="EH162" s="1541">
        <f t="shared" si="264"/>
        <v>20527</v>
      </c>
      <c r="EI162" s="1718"/>
      <c r="EJ162" s="1541">
        <f t="shared" si="265"/>
        <v>14600</v>
      </c>
      <c r="EK162" s="1718"/>
      <c r="EL162" s="1541">
        <f t="shared" si="266"/>
        <v>22018</v>
      </c>
      <c r="EM162" s="1718"/>
      <c r="EN162" s="1541">
        <f t="shared" si="267"/>
        <v>6434</v>
      </c>
      <c r="EO162" s="1718"/>
      <c r="EP162" s="1720">
        <f t="shared" si="268"/>
        <v>8100</v>
      </c>
      <c r="EQ162" s="1718"/>
      <c r="ER162" s="1541">
        <f t="shared" si="269"/>
        <v>6334</v>
      </c>
      <c r="ES162" s="1718"/>
      <c r="ET162" s="1541">
        <f t="shared" si="270"/>
        <v>13734</v>
      </c>
      <c r="EU162" s="1718"/>
      <c r="EV162" s="1541">
        <f t="shared" si="271"/>
        <v>3298.0000000000005</v>
      </c>
      <c r="EW162" s="1718"/>
      <c r="EX162" s="1541">
        <f t="shared" si="272"/>
        <v>6310</v>
      </c>
      <c r="EY162" s="1718"/>
      <c r="EZ162" s="1541">
        <f t="shared" si="273"/>
        <v>26880</v>
      </c>
      <c r="FA162" s="1718"/>
      <c r="FB162" s="1541">
        <f t="shared" si="274"/>
        <v>6815</v>
      </c>
      <c r="FC162" s="1718"/>
      <c r="FD162" s="1541">
        <f t="shared" si="275"/>
        <v>12100</v>
      </c>
      <c r="FE162" s="1718"/>
      <c r="FF162" s="1541">
        <f t="shared" si="276"/>
        <v>5404</v>
      </c>
      <c r="FG162" s="1718"/>
      <c r="FH162" s="1541">
        <f t="shared" si="277"/>
        <v>21987</v>
      </c>
      <c r="FI162" s="1718"/>
      <c r="FJ162" s="1541">
        <f t="shared" si="278"/>
        <v>13325</v>
      </c>
      <c r="FK162" s="1718"/>
      <c r="FL162" s="1541">
        <f t="shared" si="279"/>
        <v>26073.999999999996</v>
      </c>
      <c r="FM162" s="1718"/>
      <c r="FN162" s="1541">
        <f t="shared" si="280"/>
        <v>20921</v>
      </c>
      <c r="FO162" s="1718"/>
      <c r="FP162" s="1541">
        <f t="shared" si="281"/>
        <v>5210</v>
      </c>
      <c r="FQ162" s="1718"/>
      <c r="FR162" s="1541">
        <f t="shared" si="282"/>
        <v>11316</v>
      </c>
      <c r="FS162" s="1718"/>
      <c r="FT162" s="1541">
        <f t="shared" si="283"/>
        <v>12851</v>
      </c>
      <c r="FU162" s="1718"/>
      <c r="FV162" s="1541">
        <f t="shared" si="284"/>
        <v>28100</v>
      </c>
      <c r="FW162" s="1718"/>
      <c r="FX162" s="1541">
        <f t="shared" si="285"/>
        <v>10386</v>
      </c>
      <c r="FY162" s="1718"/>
      <c r="FZ162" s="1541">
        <f t="shared" si="286"/>
        <v>10500</v>
      </c>
      <c r="GA162" s="1718"/>
      <c r="GB162" s="1541">
        <f>GB133/GB$21</f>
        <v>13799.000000000002</v>
      </c>
      <c r="GC162" s="1718"/>
      <c r="GD162" s="1541">
        <f t="shared" si="287"/>
        <v>19257</v>
      </c>
      <c r="GE162" s="1718"/>
      <c r="GF162" s="1541">
        <f t="shared" si="288"/>
        <v>11168</v>
      </c>
      <c r="GG162" s="1718"/>
      <c r="GH162" s="1541">
        <f t="shared" si="289"/>
        <v>11770</v>
      </c>
      <c r="GI162" s="1718"/>
      <c r="GJ162" s="1541">
        <f t="shared" si="290"/>
        <v>19950</v>
      </c>
      <c r="GK162" s="1718"/>
      <c r="GL162" s="1541">
        <f t="shared" si="291"/>
        <v>7449</v>
      </c>
      <c r="GM162" s="1718"/>
      <c r="GN162" s="1541">
        <f t="shared" si="292"/>
        <v>4792</v>
      </c>
      <c r="GO162" s="1718"/>
      <c r="GP162" s="1541">
        <f t="shared" si="293"/>
        <v>12756</v>
      </c>
      <c r="GQ162" s="1718"/>
      <c r="GR162" s="1541">
        <f t="shared" si="294"/>
        <v>8946</v>
      </c>
      <c r="GS162" s="1718"/>
      <c r="GT162" s="1541">
        <f t="shared" si="295"/>
        <v>5334</v>
      </c>
      <c r="GU162" s="1718"/>
      <c r="GV162" s="1541">
        <f t="shared" si="296"/>
        <v>10440</v>
      </c>
      <c r="GW162" s="1718"/>
      <c r="GX162" s="1541">
        <f t="shared" si="297"/>
        <v>5918</v>
      </c>
      <c r="GY162" s="1718"/>
      <c r="GZ162" s="1541">
        <f t="shared" si="298"/>
        <v>16364</v>
      </c>
      <c r="HA162" s="1718"/>
      <c r="HB162" s="1541">
        <f t="shared" si="299"/>
        <v>8000</v>
      </c>
      <c r="HC162" s="1718"/>
      <c r="HD162" s="1541">
        <f t="shared" si="300"/>
        <v>21244</v>
      </c>
      <c r="HE162" s="1718"/>
      <c r="HF162" s="1541">
        <f t="shared" si="301"/>
        <v>24610</v>
      </c>
      <c r="HG162" s="2035"/>
      <c r="HH162" s="1541">
        <f t="shared" si="302"/>
        <v>25000.000000000004</v>
      </c>
      <c r="HI162" s="1718"/>
      <c r="HJ162" s="1541">
        <f t="shared" si="303"/>
        <v>5808</v>
      </c>
      <c r="HK162" s="1718"/>
      <c r="HL162" s="1541">
        <f t="shared" si="304"/>
        <v>9216</v>
      </c>
      <c r="HM162" s="1718"/>
      <c r="HN162" s="1541">
        <f t="shared" si="305"/>
        <v>15249.999999999998</v>
      </c>
      <c r="HO162" s="1718"/>
      <c r="HP162" s="1541">
        <f t="shared" si="314"/>
        <v>18611</v>
      </c>
      <c r="HQ162" s="2035"/>
      <c r="HR162" s="1541">
        <f t="shared" si="306"/>
        <v>5878</v>
      </c>
      <c r="HS162" s="1718"/>
      <c r="HT162" s="1541">
        <f t="shared" si="307"/>
        <v>16621</v>
      </c>
      <c r="HU162" s="2035"/>
      <c r="HV162" s="1541">
        <f t="shared" si="308"/>
        <v>24577</v>
      </c>
      <c r="HW162" s="2035"/>
      <c r="HX162" s="1541">
        <f t="shared" si="309"/>
        <v>17768</v>
      </c>
      <c r="HY162" s="2035"/>
      <c r="HZ162" s="1541">
        <f t="shared" si="310"/>
        <v>12148</v>
      </c>
      <c r="IA162" s="2035"/>
      <c r="IB162" s="1541">
        <f t="shared" si="311"/>
        <v>11650</v>
      </c>
      <c r="IC162" s="1718"/>
      <c r="ID162" s="1541">
        <f t="shared" si="312"/>
        <v>7920</v>
      </c>
      <c r="IE162" s="2035"/>
      <c r="IF162" s="1541">
        <f t="shared" si="313"/>
        <v>7103</v>
      </c>
      <c r="IG162" s="2035"/>
    </row>
    <row r="163" spans="1:241">
      <c r="A163" s="1149"/>
      <c r="B163" s="1149"/>
      <c r="C163" s="1149"/>
      <c r="D163" s="1149" t="s">
        <v>43</v>
      </c>
      <c r="E163" s="1143"/>
      <c r="F163" s="1541">
        <f t="shared" si="210"/>
        <v>0</v>
      </c>
      <c r="G163" s="1718"/>
      <c r="H163" s="1541">
        <f t="shared" si="211"/>
        <v>0</v>
      </c>
      <c r="I163" s="1718"/>
      <c r="J163" s="1541">
        <f t="shared" si="212"/>
        <v>0</v>
      </c>
      <c r="K163" s="1718"/>
      <c r="L163" s="1541">
        <f t="shared" si="213"/>
        <v>0</v>
      </c>
      <c r="M163" s="1718"/>
      <c r="N163" s="1541">
        <f t="shared" si="214"/>
        <v>0</v>
      </c>
      <c r="O163" s="1718"/>
      <c r="P163" s="1541">
        <f t="shared" si="215"/>
        <v>0</v>
      </c>
      <c r="Q163" s="1718"/>
      <c r="R163" s="1541">
        <f t="shared" si="216"/>
        <v>0</v>
      </c>
      <c r="S163" s="1718"/>
      <c r="T163" s="1541">
        <f t="shared" si="217"/>
        <v>0</v>
      </c>
      <c r="U163" s="1718"/>
      <c r="V163" s="1541">
        <f t="shared" si="218"/>
        <v>0</v>
      </c>
      <c r="W163" s="1718"/>
      <c r="X163" s="1541">
        <f t="shared" si="219"/>
        <v>0</v>
      </c>
      <c r="Y163" s="1718"/>
      <c r="Z163" s="1541">
        <f t="shared" si="220"/>
        <v>0</v>
      </c>
      <c r="AA163" s="1718"/>
      <c r="AB163" s="1541">
        <f t="shared" si="221"/>
        <v>0</v>
      </c>
      <c r="AC163" s="1718"/>
      <c r="AD163" s="1541">
        <f t="shared" si="222"/>
        <v>0</v>
      </c>
      <c r="AE163" s="1718"/>
      <c r="AF163" s="1541">
        <f t="shared" si="223"/>
        <v>0</v>
      </c>
      <c r="AG163" s="1718"/>
      <c r="AH163" s="1541">
        <f t="shared" si="224"/>
        <v>0</v>
      </c>
      <c r="AI163" s="1718"/>
      <c r="AJ163" s="1541">
        <f t="shared" si="225"/>
        <v>0</v>
      </c>
      <c r="AK163" s="1718"/>
      <c r="AL163" s="1541">
        <f t="shared" si="226"/>
        <v>0</v>
      </c>
      <c r="AM163" s="1718"/>
      <c r="AN163" s="1541">
        <f t="shared" si="227"/>
        <v>0</v>
      </c>
      <c r="AO163" s="1718"/>
      <c r="AP163" s="1541">
        <f t="shared" si="228"/>
        <v>0</v>
      </c>
      <c r="AQ163" s="1718"/>
      <c r="AR163" s="1541">
        <f t="shared" si="229"/>
        <v>0</v>
      </c>
      <c r="AS163" s="1718"/>
      <c r="AT163" s="1541">
        <f t="shared" si="230"/>
        <v>800.04876219633582</v>
      </c>
      <c r="AU163" s="1718"/>
      <c r="AV163" s="1541">
        <f t="shared" si="231"/>
        <v>0</v>
      </c>
      <c r="AW163" s="1718"/>
      <c r="AX163" s="1541">
        <f t="shared" si="232"/>
        <v>1768.929970536165</v>
      </c>
      <c r="AY163" s="1718"/>
      <c r="AZ163" s="1541">
        <f t="shared" si="233"/>
        <v>0</v>
      </c>
      <c r="BA163" s="1718"/>
      <c r="BB163" s="1541">
        <f t="shared" si="234"/>
        <v>0</v>
      </c>
      <c r="BC163" s="1718"/>
      <c r="BD163" s="1541">
        <f t="shared" si="235"/>
        <v>0</v>
      </c>
      <c r="BE163" s="1718"/>
      <c r="BF163" s="1541">
        <f t="shared" si="236"/>
        <v>0</v>
      </c>
      <c r="BG163" s="1718"/>
      <c r="BH163" s="1541">
        <f t="shared" si="237"/>
        <v>0</v>
      </c>
      <c r="BI163" s="1718"/>
      <c r="BJ163" s="1541">
        <f t="shared" si="238"/>
        <v>0</v>
      </c>
      <c r="BK163" s="1718"/>
      <c r="BL163" s="1541">
        <f t="shared" si="239"/>
        <v>0</v>
      </c>
      <c r="BM163" s="1718"/>
      <c r="BN163" s="1541">
        <f t="shared" si="240"/>
        <v>0</v>
      </c>
      <c r="BO163" s="1718"/>
      <c r="BP163" s="1541">
        <f t="shared" si="241"/>
        <v>0</v>
      </c>
      <c r="BQ163" s="1718"/>
      <c r="BR163" s="1541">
        <f t="shared" si="242"/>
        <v>0</v>
      </c>
      <c r="BS163" s="1718"/>
      <c r="BT163" s="1541">
        <f t="shared" si="243"/>
        <v>0</v>
      </c>
      <c r="BU163" s="1718"/>
      <c r="BV163" s="1541">
        <f t="shared" si="244"/>
        <v>0</v>
      </c>
      <c r="BW163" s="1718"/>
      <c r="BX163" s="1541">
        <f t="shared" si="245"/>
        <v>0</v>
      </c>
      <c r="BY163" s="1718"/>
      <c r="BZ163" s="1541">
        <f t="shared" si="246"/>
        <v>0</v>
      </c>
      <c r="CA163" s="1718"/>
      <c r="CB163" s="1541">
        <f t="shared" si="247"/>
        <v>0</v>
      </c>
      <c r="CC163" s="1718"/>
      <c r="CD163" s="1541">
        <f t="shared" si="248"/>
        <v>0</v>
      </c>
      <c r="CE163" s="1718"/>
      <c r="CF163" s="1541">
        <v>0</v>
      </c>
      <c r="CG163" s="1718"/>
      <c r="CH163" s="1541">
        <f t="shared" si="249"/>
        <v>0</v>
      </c>
      <c r="CI163" s="1718"/>
      <c r="CJ163" s="1541">
        <v>0</v>
      </c>
      <c r="CK163" s="1718"/>
      <c r="CL163" s="1541">
        <v>0</v>
      </c>
      <c r="CM163" s="1718"/>
      <c r="CN163" s="1541">
        <f t="shared" si="250"/>
        <v>0</v>
      </c>
      <c r="CO163" s="1718"/>
      <c r="CP163" s="1541">
        <f t="shared" si="251"/>
        <v>0</v>
      </c>
      <c r="CQ163" s="1718"/>
      <c r="CR163" s="1541">
        <v>0</v>
      </c>
      <c r="CS163" s="1718"/>
      <c r="CT163" s="1541">
        <f t="shared" si="252"/>
        <v>0</v>
      </c>
      <c r="CU163" s="1718"/>
      <c r="CV163" s="1541">
        <f t="shared" si="253"/>
        <v>0</v>
      </c>
      <c r="CW163" s="1718"/>
      <c r="CX163" s="1541">
        <f t="shared" si="253"/>
        <v>0</v>
      </c>
      <c r="CY163" s="1718"/>
      <c r="CZ163" s="1541">
        <v>0</v>
      </c>
      <c r="DA163" s="1718"/>
      <c r="DB163" s="1541">
        <v>0</v>
      </c>
      <c r="DC163" s="1718"/>
      <c r="DD163" s="1541">
        <v>0</v>
      </c>
      <c r="DE163" s="1718"/>
      <c r="DF163" s="1541">
        <v>0</v>
      </c>
      <c r="DG163" s="1718"/>
      <c r="DH163" s="1541">
        <v>0</v>
      </c>
      <c r="DI163" s="1718"/>
      <c r="DJ163" s="1541">
        <v>0</v>
      </c>
      <c r="DK163" s="1718"/>
      <c r="DL163" s="1541">
        <v>0</v>
      </c>
      <c r="DM163" s="1718"/>
      <c r="DN163" s="1541">
        <f t="shared" si="254"/>
        <v>0</v>
      </c>
      <c r="DO163" s="1718"/>
      <c r="DP163" s="1541">
        <f t="shared" si="255"/>
        <v>0</v>
      </c>
      <c r="DQ163" s="1718"/>
      <c r="DR163" s="1541">
        <f t="shared" si="256"/>
        <v>0</v>
      </c>
      <c r="DS163" s="1718"/>
      <c r="DT163" s="1541">
        <f t="shared" si="257"/>
        <v>0</v>
      </c>
      <c r="DU163" s="1718"/>
      <c r="DV163" s="1541">
        <f t="shared" si="258"/>
        <v>0</v>
      </c>
      <c r="DW163" s="1718"/>
      <c r="DX163" s="1541">
        <f t="shared" si="259"/>
        <v>0</v>
      </c>
      <c r="DY163" s="1718"/>
      <c r="DZ163" s="1541">
        <f t="shared" si="260"/>
        <v>0</v>
      </c>
      <c r="EA163" s="1718"/>
      <c r="EB163" s="1541">
        <f t="shared" si="261"/>
        <v>834.75946604843523</v>
      </c>
      <c r="EC163" s="1718"/>
      <c r="ED163" s="1541">
        <f t="shared" si="262"/>
        <v>0</v>
      </c>
      <c r="EE163" s="1718"/>
      <c r="EF163" s="1541">
        <f t="shared" si="263"/>
        <v>0</v>
      </c>
      <c r="EG163" s="1718"/>
      <c r="EH163" s="1541">
        <f t="shared" si="264"/>
        <v>0</v>
      </c>
      <c r="EI163" s="1718"/>
      <c r="EJ163" s="1541">
        <f t="shared" si="265"/>
        <v>0</v>
      </c>
      <c r="EK163" s="1718"/>
      <c r="EL163" s="1541">
        <f t="shared" si="266"/>
        <v>0</v>
      </c>
      <c r="EM163" s="1718"/>
      <c r="EN163" s="1541">
        <f t="shared" si="267"/>
        <v>0</v>
      </c>
      <c r="EO163" s="1718"/>
      <c r="EP163" s="1720">
        <f t="shared" si="268"/>
        <v>0</v>
      </c>
      <c r="EQ163" s="1718"/>
      <c r="ER163" s="1541">
        <f t="shared" si="269"/>
        <v>0</v>
      </c>
      <c r="ES163" s="1718"/>
      <c r="ET163" s="1541">
        <f t="shared" si="270"/>
        <v>0</v>
      </c>
      <c r="EU163" s="1718"/>
      <c r="EV163" s="1541">
        <f t="shared" si="271"/>
        <v>0</v>
      </c>
      <c r="EW163" s="1718"/>
      <c r="EX163" s="1541">
        <f t="shared" si="272"/>
        <v>0</v>
      </c>
      <c r="EY163" s="1718"/>
      <c r="EZ163" s="1541">
        <f t="shared" si="273"/>
        <v>3304.9567325437929</v>
      </c>
      <c r="FA163" s="1718"/>
      <c r="FB163" s="1541">
        <f t="shared" si="274"/>
        <v>0</v>
      </c>
      <c r="FC163" s="1718"/>
      <c r="FD163" s="1541">
        <f t="shared" si="275"/>
        <v>0</v>
      </c>
      <c r="FE163" s="1718"/>
      <c r="FF163" s="1541">
        <f t="shared" si="276"/>
        <v>0</v>
      </c>
      <c r="FG163" s="1718"/>
      <c r="FH163" s="1541">
        <f t="shared" si="277"/>
        <v>0</v>
      </c>
      <c r="FI163" s="1718"/>
      <c r="FJ163" s="1541">
        <f t="shared" si="278"/>
        <v>0</v>
      </c>
      <c r="FK163" s="1718"/>
      <c r="FL163" s="1541">
        <f t="shared" si="279"/>
        <v>0</v>
      </c>
      <c r="FM163" s="1718"/>
      <c r="FN163" s="1541">
        <f t="shared" si="280"/>
        <v>0</v>
      </c>
      <c r="FO163" s="1718"/>
      <c r="FP163" s="1541">
        <f t="shared" si="281"/>
        <v>0</v>
      </c>
      <c r="FQ163" s="1718"/>
      <c r="FR163" s="1541">
        <f t="shared" si="282"/>
        <v>0</v>
      </c>
      <c r="FS163" s="1718"/>
      <c r="FT163" s="1541">
        <f t="shared" si="283"/>
        <v>0</v>
      </c>
      <c r="FU163" s="1718"/>
      <c r="FV163" s="1541">
        <f t="shared" si="284"/>
        <v>0</v>
      </c>
      <c r="FW163" s="1718"/>
      <c r="FX163" s="1541">
        <f t="shared" si="285"/>
        <v>0</v>
      </c>
      <c r="FY163" s="1718"/>
      <c r="FZ163" s="1541">
        <f t="shared" si="286"/>
        <v>0</v>
      </c>
      <c r="GA163" s="1718"/>
      <c r="GB163" s="1541">
        <f t="shared" ref="GB163:GB167" si="315">GB134/GB$21</f>
        <v>0</v>
      </c>
      <c r="GC163" s="1718"/>
      <c r="GD163" s="1541">
        <f t="shared" si="287"/>
        <v>0</v>
      </c>
      <c r="GE163" s="1718"/>
      <c r="GF163" s="1541">
        <f t="shared" si="288"/>
        <v>0</v>
      </c>
      <c r="GG163" s="1718"/>
      <c r="GH163" s="1541">
        <f t="shared" si="289"/>
        <v>0</v>
      </c>
      <c r="GI163" s="1718"/>
      <c r="GJ163" s="1541">
        <f t="shared" si="290"/>
        <v>2076.6989081806578</v>
      </c>
      <c r="GK163" s="1718"/>
      <c r="GL163" s="1541">
        <f t="shared" si="291"/>
        <v>0</v>
      </c>
      <c r="GM163" s="1718"/>
      <c r="GN163" s="1541">
        <f t="shared" si="292"/>
        <v>0</v>
      </c>
      <c r="GO163" s="1718"/>
      <c r="GP163" s="1541">
        <f t="shared" si="293"/>
        <v>0</v>
      </c>
      <c r="GQ163" s="1718"/>
      <c r="GR163" s="1541">
        <f>GR134/GR$21</f>
        <v>0</v>
      </c>
      <c r="GS163" s="1718"/>
      <c r="GT163" s="1541">
        <f t="shared" si="295"/>
        <v>0</v>
      </c>
      <c r="GU163" s="1718"/>
      <c r="GV163" s="1541">
        <f t="shared" si="296"/>
        <v>0</v>
      </c>
      <c r="GW163" s="1718"/>
      <c r="GX163" s="1541">
        <f t="shared" si="297"/>
        <v>0</v>
      </c>
      <c r="GY163" s="1718"/>
      <c r="GZ163" s="1541">
        <f t="shared" si="298"/>
        <v>0</v>
      </c>
      <c r="HA163" s="1718"/>
      <c r="HB163" s="1541">
        <f>HB134/HB$21</f>
        <v>0</v>
      </c>
      <c r="HC163" s="1718"/>
      <c r="HD163" s="1541">
        <f t="shared" si="300"/>
        <v>0</v>
      </c>
      <c r="HE163" s="1718"/>
      <c r="HF163" s="1541">
        <f t="shared" si="301"/>
        <v>0</v>
      </c>
      <c r="HG163" s="2035"/>
      <c r="HH163" s="1541">
        <f t="shared" si="302"/>
        <v>0</v>
      </c>
      <c r="HI163" s="1718"/>
      <c r="HJ163" s="1541">
        <f t="shared" si="303"/>
        <v>0</v>
      </c>
      <c r="HK163" s="1718"/>
      <c r="HL163" s="1541">
        <f t="shared" si="304"/>
        <v>490.27691635600166</v>
      </c>
      <c r="HM163" s="1718"/>
      <c r="HN163" s="1541">
        <f t="shared" si="305"/>
        <v>0</v>
      </c>
      <c r="HO163" s="1718"/>
      <c r="HP163" s="1541">
        <f t="shared" si="314"/>
        <v>0</v>
      </c>
      <c r="HQ163" s="2035"/>
      <c r="HR163" s="1541">
        <f t="shared" si="306"/>
        <v>0</v>
      </c>
      <c r="HS163" s="1718"/>
      <c r="HT163" s="1541">
        <f t="shared" si="307"/>
        <v>0</v>
      </c>
      <c r="HU163" s="2035"/>
      <c r="HV163" s="1541">
        <f t="shared" si="308"/>
        <v>0</v>
      </c>
      <c r="HW163" s="2035"/>
      <c r="HX163" s="1541">
        <f t="shared" si="309"/>
        <v>0</v>
      </c>
      <c r="HY163" s="2035"/>
      <c r="HZ163" s="1541">
        <f>HZ134/HZ$21</f>
        <v>0</v>
      </c>
      <c r="IA163" s="2035"/>
      <c r="IB163" s="1541">
        <f t="shared" si="311"/>
        <v>0</v>
      </c>
      <c r="IC163" s="1718"/>
      <c r="ID163" s="1541">
        <f t="shared" si="312"/>
        <v>0</v>
      </c>
      <c r="IE163" s="2035"/>
      <c r="IF163" s="1541">
        <f t="shared" si="313"/>
        <v>0</v>
      </c>
      <c r="IG163" s="2035"/>
    </row>
    <row r="164" spans="1:241">
      <c r="A164" s="1149"/>
      <c r="B164" s="1149"/>
      <c r="C164" s="1149"/>
      <c r="D164" s="1149" t="s">
        <v>44</v>
      </c>
      <c r="E164" s="1143"/>
      <c r="F164" s="1541">
        <f t="shared" si="210"/>
        <v>0</v>
      </c>
      <c r="G164" s="1718"/>
      <c r="H164" s="1541">
        <f t="shared" si="211"/>
        <v>0</v>
      </c>
      <c r="I164" s="1718"/>
      <c r="J164" s="1541">
        <f t="shared" si="212"/>
        <v>0</v>
      </c>
      <c r="K164" s="1718"/>
      <c r="L164" s="1541">
        <f t="shared" si="213"/>
        <v>0</v>
      </c>
      <c r="M164" s="1718"/>
      <c r="N164" s="1541">
        <f t="shared" si="214"/>
        <v>0</v>
      </c>
      <c r="O164" s="1718"/>
      <c r="P164" s="1541">
        <f t="shared" si="215"/>
        <v>0</v>
      </c>
      <c r="Q164" s="1718"/>
      <c r="R164" s="1541">
        <f t="shared" si="216"/>
        <v>0</v>
      </c>
      <c r="S164" s="1718"/>
      <c r="T164" s="1541">
        <f t="shared" si="217"/>
        <v>0</v>
      </c>
      <c r="U164" s="1718"/>
      <c r="V164" s="1541">
        <f t="shared" si="218"/>
        <v>0</v>
      </c>
      <c r="W164" s="1718"/>
      <c r="X164" s="1541">
        <f t="shared" si="219"/>
        <v>0</v>
      </c>
      <c r="Y164" s="1718"/>
      <c r="Z164" s="1541">
        <f t="shared" si="220"/>
        <v>0</v>
      </c>
      <c r="AA164" s="1718"/>
      <c r="AB164" s="1541">
        <f t="shared" si="221"/>
        <v>0</v>
      </c>
      <c r="AC164" s="1718"/>
      <c r="AD164" s="1541">
        <f t="shared" si="222"/>
        <v>0</v>
      </c>
      <c r="AE164" s="1718"/>
      <c r="AF164" s="1541">
        <f t="shared" si="223"/>
        <v>0</v>
      </c>
      <c r="AG164" s="1718"/>
      <c r="AH164" s="1541">
        <f t="shared" si="224"/>
        <v>0</v>
      </c>
      <c r="AI164" s="1718"/>
      <c r="AJ164" s="1541">
        <f t="shared" si="225"/>
        <v>0</v>
      </c>
      <c r="AK164" s="1718"/>
      <c r="AL164" s="1541">
        <f t="shared" si="226"/>
        <v>0</v>
      </c>
      <c r="AM164" s="1718"/>
      <c r="AN164" s="1541">
        <f t="shared" si="227"/>
        <v>2002.6818866419965</v>
      </c>
      <c r="AO164" s="1718"/>
      <c r="AP164" s="1541">
        <f t="shared" si="228"/>
        <v>170.36016175725658</v>
      </c>
      <c r="AQ164" s="1718"/>
      <c r="AR164" s="1541">
        <f t="shared" si="229"/>
        <v>0</v>
      </c>
      <c r="AS164" s="1718"/>
      <c r="AT164" s="1541">
        <f t="shared" si="230"/>
        <v>0</v>
      </c>
      <c r="AU164" s="1718"/>
      <c r="AV164" s="1541">
        <f t="shared" si="231"/>
        <v>0</v>
      </c>
      <c r="AW164" s="1718"/>
      <c r="AX164" s="1541">
        <f t="shared" si="232"/>
        <v>0</v>
      </c>
      <c r="AY164" s="1718"/>
      <c r="AZ164" s="1541">
        <f t="shared" si="233"/>
        <v>0</v>
      </c>
      <c r="BA164" s="1718"/>
      <c r="BB164" s="1541">
        <f t="shared" si="234"/>
        <v>0</v>
      </c>
      <c r="BC164" s="1718"/>
      <c r="BD164" s="1541">
        <f t="shared" si="235"/>
        <v>0</v>
      </c>
      <c r="BE164" s="1718"/>
      <c r="BF164" s="1541">
        <f t="shared" si="236"/>
        <v>0</v>
      </c>
      <c r="BG164" s="1718"/>
      <c r="BH164" s="1541">
        <f t="shared" si="237"/>
        <v>0</v>
      </c>
      <c r="BI164" s="1718"/>
      <c r="BJ164" s="1541">
        <f t="shared" si="238"/>
        <v>0</v>
      </c>
      <c r="BK164" s="1718"/>
      <c r="BL164" s="1541">
        <f t="shared" si="239"/>
        <v>0</v>
      </c>
      <c r="BM164" s="1718"/>
      <c r="BN164" s="1541">
        <f t="shared" si="240"/>
        <v>0</v>
      </c>
      <c r="BO164" s="1718"/>
      <c r="BP164" s="1541">
        <f t="shared" si="241"/>
        <v>0</v>
      </c>
      <c r="BQ164" s="1718"/>
      <c r="BR164" s="1541">
        <f t="shared" si="242"/>
        <v>0</v>
      </c>
      <c r="BS164" s="1718"/>
      <c r="BT164" s="1541">
        <f t="shared" si="243"/>
        <v>0</v>
      </c>
      <c r="BU164" s="1718"/>
      <c r="BV164" s="1541">
        <f t="shared" si="244"/>
        <v>0</v>
      </c>
      <c r="BW164" s="1718"/>
      <c r="BX164" s="1541">
        <f t="shared" si="245"/>
        <v>0</v>
      </c>
      <c r="BY164" s="1718"/>
      <c r="BZ164" s="1541">
        <f t="shared" si="246"/>
        <v>0</v>
      </c>
      <c r="CA164" s="1718"/>
      <c r="CB164" s="1541">
        <f t="shared" si="247"/>
        <v>0</v>
      </c>
      <c r="CC164" s="1718"/>
      <c r="CD164" s="1541">
        <f t="shared" si="248"/>
        <v>0</v>
      </c>
      <c r="CE164" s="1718"/>
      <c r="CF164" s="1541">
        <v>0</v>
      </c>
      <c r="CG164" s="1718"/>
      <c r="CH164" s="1541">
        <f t="shared" si="249"/>
        <v>0</v>
      </c>
      <c r="CI164" s="1718"/>
      <c r="CJ164" s="1541">
        <v>0</v>
      </c>
      <c r="CK164" s="1718"/>
      <c r="CL164" s="1541">
        <v>0</v>
      </c>
      <c r="CM164" s="1718"/>
      <c r="CN164" s="1541">
        <f t="shared" si="250"/>
        <v>0</v>
      </c>
      <c r="CO164" s="1718"/>
      <c r="CP164" s="1541">
        <f t="shared" si="251"/>
        <v>0</v>
      </c>
      <c r="CQ164" s="1718"/>
      <c r="CR164" s="1541">
        <v>0</v>
      </c>
      <c r="CS164" s="1718"/>
      <c r="CT164" s="1541">
        <f t="shared" si="252"/>
        <v>0</v>
      </c>
      <c r="CU164" s="1718"/>
      <c r="CV164" s="1541">
        <f t="shared" si="253"/>
        <v>0</v>
      </c>
      <c r="CW164" s="1718"/>
      <c r="CX164" s="1541">
        <f t="shared" si="253"/>
        <v>0</v>
      </c>
      <c r="CY164" s="1718"/>
      <c r="CZ164" s="1541">
        <v>0</v>
      </c>
      <c r="DA164" s="1718"/>
      <c r="DB164" s="1541">
        <v>0</v>
      </c>
      <c r="DC164" s="1718"/>
      <c r="DD164" s="1541">
        <v>0</v>
      </c>
      <c r="DE164" s="1718"/>
      <c r="DF164" s="1541">
        <v>0</v>
      </c>
      <c r="DG164" s="1718"/>
      <c r="DH164" s="1541">
        <v>0</v>
      </c>
      <c r="DI164" s="1718"/>
      <c r="DJ164" s="1541">
        <v>0</v>
      </c>
      <c r="DK164" s="1718"/>
      <c r="DL164" s="1541">
        <v>0</v>
      </c>
      <c r="DM164" s="1718"/>
      <c r="DN164" s="1541">
        <f t="shared" si="254"/>
        <v>0</v>
      </c>
      <c r="DO164" s="1718"/>
      <c r="DP164" s="1541">
        <f t="shared" si="255"/>
        <v>0</v>
      </c>
      <c r="DQ164" s="1718"/>
      <c r="DR164" s="1541">
        <f t="shared" si="256"/>
        <v>0</v>
      </c>
      <c r="DS164" s="1718"/>
      <c r="DT164" s="1541">
        <f t="shared" si="257"/>
        <v>0</v>
      </c>
      <c r="DU164" s="1718"/>
      <c r="DV164" s="1541">
        <f t="shared" si="258"/>
        <v>0</v>
      </c>
      <c r="DW164" s="1718"/>
      <c r="DX164" s="1541">
        <f t="shared" si="259"/>
        <v>0</v>
      </c>
      <c r="DY164" s="1718"/>
      <c r="DZ164" s="1541">
        <f t="shared" si="260"/>
        <v>0</v>
      </c>
      <c r="EA164" s="1718"/>
      <c r="EB164" s="1541">
        <f t="shared" si="261"/>
        <v>0</v>
      </c>
      <c r="EC164" s="1718"/>
      <c r="ED164" s="1541">
        <f t="shared" si="262"/>
        <v>0</v>
      </c>
      <c r="EE164" s="1718"/>
      <c r="EF164" s="1541">
        <f t="shared" si="263"/>
        <v>0</v>
      </c>
      <c r="EG164" s="1718"/>
      <c r="EH164" s="1541">
        <f t="shared" si="264"/>
        <v>0</v>
      </c>
      <c r="EI164" s="1718"/>
      <c r="EJ164" s="1541">
        <f t="shared" si="265"/>
        <v>0</v>
      </c>
      <c r="EK164" s="1718"/>
      <c r="EL164" s="1541">
        <f t="shared" si="266"/>
        <v>0</v>
      </c>
      <c r="EM164" s="1718"/>
      <c r="EN164" s="1541">
        <f t="shared" si="267"/>
        <v>0</v>
      </c>
      <c r="EO164" s="1718"/>
      <c r="EP164" s="1720">
        <f t="shared" si="268"/>
        <v>0</v>
      </c>
      <c r="EQ164" s="1718"/>
      <c r="ER164" s="1541">
        <f t="shared" si="269"/>
        <v>0</v>
      </c>
      <c r="ES164" s="1718"/>
      <c r="ET164" s="1541">
        <f t="shared" si="270"/>
        <v>0</v>
      </c>
      <c r="EU164" s="1718"/>
      <c r="EV164" s="1541">
        <f t="shared" si="271"/>
        <v>0</v>
      </c>
      <c r="EW164" s="1718"/>
      <c r="EX164" s="1541">
        <f t="shared" si="272"/>
        <v>0</v>
      </c>
      <c r="EY164" s="1718"/>
      <c r="EZ164" s="1541">
        <f t="shared" si="273"/>
        <v>0</v>
      </c>
      <c r="FA164" s="1718"/>
      <c r="FB164" s="1541">
        <f t="shared" si="274"/>
        <v>0</v>
      </c>
      <c r="FC164" s="1718"/>
      <c r="FD164" s="1541">
        <f t="shared" si="275"/>
        <v>0</v>
      </c>
      <c r="FE164" s="1718"/>
      <c r="FF164" s="1541">
        <f t="shared" si="276"/>
        <v>0</v>
      </c>
      <c r="FG164" s="1718"/>
      <c r="FH164" s="1541">
        <f t="shared" si="277"/>
        <v>0</v>
      </c>
      <c r="FI164" s="1718"/>
      <c r="FJ164" s="1541">
        <f t="shared" si="278"/>
        <v>0</v>
      </c>
      <c r="FK164" s="1718"/>
      <c r="FL164" s="1541">
        <f t="shared" si="279"/>
        <v>0</v>
      </c>
      <c r="FM164" s="1718"/>
      <c r="FN164" s="1541">
        <f t="shared" si="280"/>
        <v>0</v>
      </c>
      <c r="FO164" s="1718"/>
      <c r="FP164" s="1541">
        <f t="shared" si="281"/>
        <v>0</v>
      </c>
      <c r="FQ164" s="1718"/>
      <c r="FR164" s="1541">
        <f t="shared" si="282"/>
        <v>0</v>
      </c>
      <c r="FS164" s="1718"/>
      <c r="FT164" s="1541">
        <f t="shared" si="283"/>
        <v>0</v>
      </c>
      <c r="FU164" s="1718"/>
      <c r="FV164" s="1541">
        <f t="shared" si="284"/>
        <v>0</v>
      </c>
      <c r="FW164" s="1718"/>
      <c r="FX164" s="1541">
        <f t="shared" si="285"/>
        <v>0</v>
      </c>
      <c r="FY164" s="1718"/>
      <c r="FZ164" s="1541">
        <f t="shared" si="286"/>
        <v>0</v>
      </c>
      <c r="GA164" s="1718"/>
      <c r="GB164" s="1541">
        <f t="shared" si="315"/>
        <v>0</v>
      </c>
      <c r="GC164" s="1718"/>
      <c r="GD164" s="1541">
        <f t="shared" si="287"/>
        <v>0</v>
      </c>
      <c r="GE164" s="1718"/>
      <c r="GF164" s="1541">
        <f t="shared" si="288"/>
        <v>0</v>
      </c>
      <c r="GG164" s="1718"/>
      <c r="GH164" s="1541">
        <f t="shared" si="289"/>
        <v>0</v>
      </c>
      <c r="GI164" s="1718"/>
      <c r="GJ164" s="1541">
        <f t="shared" si="290"/>
        <v>0</v>
      </c>
      <c r="GK164" s="1718"/>
      <c r="GL164" s="1541">
        <f t="shared" si="291"/>
        <v>0</v>
      </c>
      <c r="GM164" s="1718"/>
      <c r="GN164" s="1541">
        <f t="shared" si="292"/>
        <v>0</v>
      </c>
      <c r="GO164" s="1718"/>
      <c r="GP164" s="1541">
        <f t="shared" si="293"/>
        <v>0</v>
      </c>
      <c r="GQ164" s="1718"/>
      <c r="GR164" s="1541">
        <f>GR135/GR$21</f>
        <v>0</v>
      </c>
      <c r="GS164" s="1718"/>
      <c r="GT164" s="1541">
        <f t="shared" si="295"/>
        <v>0</v>
      </c>
      <c r="GU164" s="1718"/>
      <c r="GV164" s="1541">
        <f t="shared" si="296"/>
        <v>0</v>
      </c>
      <c r="GW164" s="1718"/>
      <c r="GX164" s="1541">
        <f t="shared" si="297"/>
        <v>0</v>
      </c>
      <c r="GY164" s="1718"/>
      <c r="GZ164" s="1541">
        <f t="shared" si="298"/>
        <v>0</v>
      </c>
      <c r="HA164" s="1718"/>
      <c r="HB164" s="1541">
        <f>HB135/HB$21</f>
        <v>0</v>
      </c>
      <c r="HC164" s="1718"/>
      <c r="HD164" s="1541">
        <f t="shared" si="300"/>
        <v>0</v>
      </c>
      <c r="HE164" s="1718"/>
      <c r="HF164" s="1541">
        <f t="shared" si="301"/>
        <v>0</v>
      </c>
      <c r="HG164" s="2035"/>
      <c r="HH164" s="1541">
        <f t="shared" si="302"/>
        <v>0</v>
      </c>
      <c r="HI164" s="1718"/>
      <c r="HJ164" s="1541">
        <f t="shared" si="303"/>
        <v>0</v>
      </c>
      <c r="HK164" s="1718"/>
      <c r="HL164" s="1541">
        <f t="shared" si="304"/>
        <v>0</v>
      </c>
      <c r="HM164" s="1718"/>
      <c r="HN164" s="1541">
        <f t="shared" si="305"/>
        <v>0</v>
      </c>
      <c r="HO164" s="1718"/>
      <c r="HP164" s="1541">
        <f t="shared" si="314"/>
        <v>0</v>
      </c>
      <c r="HQ164" s="2035"/>
      <c r="HR164" s="1541">
        <f t="shared" si="306"/>
        <v>0</v>
      </c>
      <c r="HS164" s="1718"/>
      <c r="HT164" s="1541">
        <f t="shared" si="307"/>
        <v>0</v>
      </c>
      <c r="HU164" s="2035"/>
      <c r="HV164" s="1541">
        <f t="shared" si="308"/>
        <v>0</v>
      </c>
      <c r="HW164" s="2035"/>
      <c r="HX164" s="1541">
        <f t="shared" si="309"/>
        <v>0</v>
      </c>
      <c r="HY164" s="2035"/>
      <c r="HZ164" s="1541">
        <f>HZ135/HZ$21</f>
        <v>0</v>
      </c>
      <c r="IA164" s="2035"/>
      <c r="IB164" s="1541">
        <f t="shared" si="311"/>
        <v>139.57397885547434</v>
      </c>
      <c r="IC164" s="1718"/>
      <c r="ID164" s="1541">
        <f t="shared" si="312"/>
        <v>0</v>
      </c>
      <c r="IE164" s="2035"/>
      <c r="IF164" s="1541">
        <f t="shared" si="313"/>
        <v>0</v>
      </c>
      <c r="IG164" s="2035"/>
    </row>
    <row r="165" spans="1:241">
      <c r="A165" s="1149"/>
      <c r="B165" s="1149"/>
      <c r="C165" s="1149"/>
      <c r="D165" s="1149" t="s">
        <v>11</v>
      </c>
      <c r="E165" s="1143"/>
      <c r="F165" s="1541">
        <f t="shared" si="210"/>
        <v>3633.5913184459359</v>
      </c>
      <c r="G165" s="1718"/>
      <c r="H165" s="1541">
        <f t="shared" si="211"/>
        <v>3999.1704639646096</v>
      </c>
      <c r="I165" s="1718"/>
      <c r="J165" s="1541">
        <f t="shared" si="212"/>
        <v>2370.6145327204576</v>
      </c>
      <c r="K165" s="1718"/>
      <c r="L165" s="1541">
        <f t="shared" si="213"/>
        <v>3352.8379491569826</v>
      </c>
      <c r="M165" s="1718"/>
      <c r="N165" s="1541">
        <f t="shared" si="214"/>
        <v>4255.97272442537</v>
      </c>
      <c r="O165" s="1718"/>
      <c r="P165" s="1541">
        <f t="shared" si="215"/>
        <v>2754.6528555550126</v>
      </c>
      <c r="Q165" s="1718"/>
      <c r="R165" s="1541">
        <f t="shared" si="216"/>
        <v>4833.2357737260509</v>
      </c>
      <c r="S165" s="1718"/>
      <c r="T165" s="1541">
        <f t="shared" si="217"/>
        <v>2405.61904278764</v>
      </c>
      <c r="U165" s="1718"/>
      <c r="V165" s="1541">
        <f t="shared" si="218"/>
        <v>1250.4559368414536</v>
      </c>
      <c r="W165" s="1718"/>
      <c r="X165" s="1541">
        <f t="shared" si="219"/>
        <v>6762.1058658995853</v>
      </c>
      <c r="Y165" s="1718"/>
      <c r="Z165" s="1541">
        <f t="shared" si="220"/>
        <v>3346.4860782143651</v>
      </c>
      <c r="AA165" s="1718"/>
      <c r="AB165" s="1541">
        <f t="shared" si="221"/>
        <v>751.14822771213744</v>
      </c>
      <c r="AC165" s="1718"/>
      <c r="AD165" s="1541">
        <f t="shared" si="222"/>
        <v>4415.3880197634981</v>
      </c>
      <c r="AE165" s="1718"/>
      <c r="AF165" s="1541">
        <f t="shared" si="223"/>
        <v>2988.4855005894337</v>
      </c>
      <c r="AG165" s="1718"/>
      <c r="AH165" s="1541">
        <f t="shared" si="224"/>
        <v>2732.5333814273772</v>
      </c>
      <c r="AI165" s="1718"/>
      <c r="AJ165" s="1541">
        <f t="shared" si="225"/>
        <v>4693.5036207205358</v>
      </c>
      <c r="AK165" s="1718"/>
      <c r="AL165" s="1541">
        <f t="shared" si="226"/>
        <v>3370.7642314449231</v>
      </c>
      <c r="AM165" s="1718"/>
      <c r="AN165" s="1541">
        <f t="shared" si="227"/>
        <v>2364.23206065257</v>
      </c>
      <c r="AO165" s="1718"/>
      <c r="AP165" s="1541">
        <f t="shared" si="228"/>
        <v>2942.8452410935879</v>
      </c>
      <c r="AQ165" s="1718"/>
      <c r="AR165" s="1541">
        <f t="shared" si="229"/>
        <v>5551.3854209845194</v>
      </c>
      <c r="AS165" s="1718"/>
      <c r="AT165" s="1541">
        <f t="shared" si="230"/>
        <v>3672.2864069205284</v>
      </c>
      <c r="AU165" s="1718"/>
      <c r="AV165" s="1541">
        <f t="shared" si="231"/>
        <v>2860.606002151053</v>
      </c>
      <c r="AW165" s="1718"/>
      <c r="AX165" s="1541">
        <f t="shared" si="232"/>
        <v>4427.1798842232874</v>
      </c>
      <c r="AY165" s="1718"/>
      <c r="AZ165" s="1541">
        <f t="shared" si="233"/>
        <v>1412.7724404946077</v>
      </c>
      <c r="BA165" s="1718"/>
      <c r="BB165" s="1541">
        <f t="shared" si="234"/>
        <v>3364.0460870684401</v>
      </c>
      <c r="BC165" s="1718"/>
      <c r="BD165" s="1541">
        <f t="shared" si="235"/>
        <v>3520.6468074362238</v>
      </c>
      <c r="BE165" s="1718"/>
      <c r="BF165" s="1541">
        <f t="shared" si="236"/>
        <v>1584.9793506228575</v>
      </c>
      <c r="BG165" s="1718"/>
      <c r="BH165" s="1541">
        <f t="shared" si="237"/>
        <v>2946.7953457685253</v>
      </c>
      <c r="BI165" s="1718"/>
      <c r="BJ165" s="1541">
        <f t="shared" si="238"/>
        <v>3427.2416127411452</v>
      </c>
      <c r="BK165" s="1718"/>
      <c r="BL165" s="1541">
        <f t="shared" si="239"/>
        <v>4046.039613967439</v>
      </c>
      <c r="BM165" s="1718"/>
      <c r="BN165" s="1541">
        <f t="shared" si="240"/>
        <v>0</v>
      </c>
      <c r="BO165" s="1718"/>
      <c r="BP165" s="1541">
        <f t="shared" si="241"/>
        <v>3055.805823521488</v>
      </c>
      <c r="BQ165" s="1718"/>
      <c r="BR165" s="1541">
        <f t="shared" si="242"/>
        <v>1379.5632308100833</v>
      </c>
      <c r="BS165" s="1718"/>
      <c r="BT165" s="1541">
        <f t="shared" si="243"/>
        <v>3453.2589300993263</v>
      </c>
      <c r="BU165" s="1718"/>
      <c r="BV165" s="1541">
        <f t="shared" si="244"/>
        <v>1234.914113414404</v>
      </c>
      <c r="BW165" s="1718"/>
      <c r="BX165" s="1541">
        <f t="shared" si="245"/>
        <v>2279.9898453068422</v>
      </c>
      <c r="BY165" s="1718"/>
      <c r="BZ165" s="1541">
        <f t="shared" si="246"/>
        <v>2030.1258505366868</v>
      </c>
      <c r="CA165" s="1718"/>
      <c r="CB165" s="1541">
        <f t="shared" si="247"/>
        <v>3011.5619905015237</v>
      </c>
      <c r="CC165" s="1718"/>
      <c r="CD165" s="1541">
        <f t="shared" si="248"/>
        <v>2239.3160519815651</v>
      </c>
      <c r="CE165" s="1718"/>
      <c r="CF165" s="1541">
        <v>4703.4718926923651</v>
      </c>
      <c r="CG165" s="1718"/>
      <c r="CH165" s="1541">
        <f t="shared" si="249"/>
        <v>2644.5175477792691</v>
      </c>
      <c r="CI165" s="1718"/>
      <c r="CJ165" s="1541">
        <v>2085.3728342705299</v>
      </c>
      <c r="CK165" s="1718"/>
      <c r="CL165" s="1541">
        <v>4467.3632205790154</v>
      </c>
      <c r="CM165" s="1718"/>
      <c r="CN165" s="1541">
        <f t="shared" si="250"/>
        <v>3142.1956476063947</v>
      </c>
      <c r="CO165" s="1718"/>
      <c r="CP165" s="1541">
        <f t="shared" si="251"/>
        <v>2187.2950740017468</v>
      </c>
      <c r="CQ165" s="1718"/>
      <c r="CR165" s="1541">
        <v>6680.2102012701953</v>
      </c>
      <c r="CS165" s="1718"/>
      <c r="CT165" s="1541">
        <f t="shared" si="252"/>
        <v>4278.1445335584749</v>
      </c>
      <c r="CU165" s="1718"/>
      <c r="CV165" s="1541">
        <f t="shared" si="253"/>
        <v>4656.9409170216222</v>
      </c>
      <c r="CW165" s="1718"/>
      <c r="CX165" s="1541">
        <f t="shared" si="253"/>
        <v>5262.0797524764821</v>
      </c>
      <c r="CY165" s="1718"/>
      <c r="CZ165" s="1541">
        <v>2271.675235617115</v>
      </c>
      <c r="DA165" s="1718"/>
      <c r="DB165" s="1541">
        <v>3560.7799972441107</v>
      </c>
      <c r="DC165" s="1718"/>
      <c r="DD165" s="1541">
        <v>2370.8746888960077</v>
      </c>
      <c r="DE165" s="1718"/>
      <c r="DF165" s="1541">
        <v>4852.9440185573103</v>
      </c>
      <c r="DG165" s="1718"/>
      <c r="DH165" s="1541">
        <v>456.89049826187716</v>
      </c>
      <c r="DI165" s="1718"/>
      <c r="DJ165" s="1541">
        <v>3024.190395072324</v>
      </c>
      <c r="DK165" s="1718"/>
      <c r="DL165" s="1541">
        <v>2422.7991501877182</v>
      </c>
      <c r="DM165" s="1718"/>
      <c r="DN165" s="1541">
        <f t="shared" si="254"/>
        <v>3002.8330809510071</v>
      </c>
      <c r="DO165" s="1718"/>
      <c r="DP165" s="1541">
        <f t="shared" si="255"/>
        <v>1759.4782659034959</v>
      </c>
      <c r="DQ165" s="1718"/>
      <c r="DR165" s="1541">
        <f t="shared" si="256"/>
        <v>2617.0205845252713</v>
      </c>
      <c r="DS165" s="1718"/>
      <c r="DT165" s="1541">
        <f t="shared" si="257"/>
        <v>2636.962004333594</v>
      </c>
      <c r="DU165" s="1718"/>
      <c r="DV165" s="1541">
        <f t="shared" si="258"/>
        <v>1882.1021363569846</v>
      </c>
      <c r="DW165" s="1718"/>
      <c r="DX165" s="1541">
        <f t="shared" si="259"/>
        <v>5815.9517689063714</v>
      </c>
      <c r="DY165" s="1718"/>
      <c r="DZ165" s="1541">
        <f t="shared" si="260"/>
        <v>3055.6438229820269</v>
      </c>
      <c r="EA165" s="1718"/>
      <c r="EB165" s="1541">
        <f t="shared" si="261"/>
        <v>5732.6709529175132</v>
      </c>
      <c r="EC165" s="1718"/>
      <c r="ED165" s="1541">
        <f t="shared" si="262"/>
        <v>2820.2239155049028</v>
      </c>
      <c r="EE165" s="1718"/>
      <c r="EF165" s="1541">
        <f t="shared" si="263"/>
        <v>4333.2907279120836</v>
      </c>
      <c r="EG165" s="1718"/>
      <c r="EH165" s="1541">
        <f t="shared" si="264"/>
        <v>7078.2185649690282</v>
      </c>
      <c r="EI165" s="1718"/>
      <c r="EJ165" s="1541">
        <f t="shared" si="265"/>
        <v>2155.2997550811642</v>
      </c>
      <c r="EK165" s="1718"/>
      <c r="EL165" s="1541">
        <f t="shared" si="266"/>
        <v>3583.1055240379169</v>
      </c>
      <c r="EM165" s="1718"/>
      <c r="EN165" s="1541">
        <f t="shared" si="267"/>
        <v>2288.4597171058949</v>
      </c>
      <c r="EO165" s="1718"/>
      <c r="EP165" s="1720">
        <f t="shared" si="268"/>
        <v>2825.6085978580481</v>
      </c>
      <c r="EQ165" s="1718"/>
      <c r="ER165" s="1541">
        <f t="shared" si="269"/>
        <v>925.47326732451245</v>
      </c>
      <c r="ES165" s="1718"/>
      <c r="ET165" s="1541">
        <f t="shared" si="270"/>
        <v>4831.0573063989677</v>
      </c>
      <c r="EU165" s="1718"/>
      <c r="EV165" s="1541">
        <f t="shared" si="271"/>
        <v>665.08995368218552</v>
      </c>
      <c r="EW165" s="1718"/>
      <c r="EX165" s="1541">
        <f t="shared" si="272"/>
        <v>1535.1463842419332</v>
      </c>
      <c r="EY165" s="1718"/>
      <c r="EZ165" s="1541">
        <f t="shared" si="273"/>
        <v>4236.4482487754904</v>
      </c>
      <c r="FA165" s="1718"/>
      <c r="FB165" s="1541">
        <f t="shared" si="274"/>
        <v>1417.7888000875539</v>
      </c>
      <c r="FC165" s="1718"/>
      <c r="FD165" s="1541">
        <f t="shared" si="275"/>
        <v>2744.6861956388016</v>
      </c>
      <c r="FE165" s="1718"/>
      <c r="FF165" s="1541">
        <f t="shared" si="276"/>
        <v>1693.16</v>
      </c>
      <c r="FG165" s="1718"/>
      <c r="FH165" s="1541">
        <f t="shared" si="277"/>
        <v>3148.5052007462182</v>
      </c>
      <c r="FI165" s="1718"/>
      <c r="FJ165" s="1541">
        <f t="shared" si="278"/>
        <v>2857.0642033739095</v>
      </c>
      <c r="FK165" s="1718"/>
      <c r="FL165" s="1541">
        <f t="shared" si="279"/>
        <v>3238.4531332610663</v>
      </c>
      <c r="FM165" s="1718"/>
      <c r="FN165" s="1541">
        <f t="shared" si="280"/>
        <v>7080.8922062932506</v>
      </c>
      <c r="FO165" s="1718"/>
      <c r="FP165" s="1541">
        <f t="shared" si="281"/>
        <v>818.65556807797748</v>
      </c>
      <c r="FQ165" s="1718"/>
      <c r="FR165" s="1541">
        <f t="shared" si="282"/>
        <v>3957.6608826256402</v>
      </c>
      <c r="FS165" s="1718"/>
      <c r="FT165" s="1541">
        <f t="shared" si="283"/>
        <v>3123.5494948915989</v>
      </c>
      <c r="FU165" s="1718"/>
      <c r="FV165" s="1541">
        <f t="shared" si="284"/>
        <v>7378.2373260079712</v>
      </c>
      <c r="FW165" s="1718"/>
      <c r="FX165" s="1541">
        <f t="shared" si="285"/>
        <v>1875.6328680981958</v>
      </c>
      <c r="FY165" s="1718"/>
      <c r="FZ165" s="1541">
        <f t="shared" si="286"/>
        <v>2780.8782364016643</v>
      </c>
      <c r="GA165" s="1718"/>
      <c r="GB165" s="1541">
        <f t="shared" si="315"/>
        <v>1530.0522038439724</v>
      </c>
      <c r="GC165" s="1718"/>
      <c r="GD165" s="1541">
        <f t="shared" si="287"/>
        <v>3175.1482551577265</v>
      </c>
      <c r="GE165" s="1718"/>
      <c r="GF165" s="1541">
        <f t="shared" si="288"/>
        <v>2673.1974774347123</v>
      </c>
      <c r="GG165" s="1718"/>
      <c r="GH165" s="1541">
        <f t="shared" si="289"/>
        <v>2185.8230101478284</v>
      </c>
      <c r="GI165" s="1718"/>
      <c r="GJ165" s="1541">
        <f t="shared" si="290"/>
        <v>5984.4011751649768</v>
      </c>
      <c r="GK165" s="1718"/>
      <c r="GL165" s="1541">
        <f t="shared" si="291"/>
        <v>1602.526222940804</v>
      </c>
      <c r="GM165" s="1718"/>
      <c r="GN165" s="1541">
        <f t="shared" si="292"/>
        <v>1144.9268004722551</v>
      </c>
      <c r="GO165" s="1718"/>
      <c r="GP165" s="1541">
        <f t="shared" si="293"/>
        <v>2209.239198398227</v>
      </c>
      <c r="GQ165" s="1718"/>
      <c r="GR165" s="1541">
        <f>GR136/GR$21</f>
        <v>1679.4146629950533</v>
      </c>
      <c r="GS165" s="1718"/>
      <c r="GT165" s="1541">
        <f t="shared" si="295"/>
        <v>1661.559157534258</v>
      </c>
      <c r="GU165" s="1718"/>
      <c r="GV165" s="1541">
        <f t="shared" si="296"/>
        <v>2199.5134559569301</v>
      </c>
      <c r="GW165" s="1718"/>
      <c r="GX165" s="1541">
        <f t="shared" si="297"/>
        <v>2060.6899365445202</v>
      </c>
      <c r="GY165" s="1718"/>
      <c r="GZ165" s="1541">
        <f t="shared" si="298"/>
        <v>3504.1449838333169</v>
      </c>
      <c r="HA165" s="1718"/>
      <c r="HB165" s="1541">
        <f>HB136/HB$21</f>
        <v>1129.6479540669091</v>
      </c>
      <c r="HC165" s="1718"/>
      <c r="HD165" s="1541">
        <f t="shared" si="300"/>
        <v>3826.9975953230137</v>
      </c>
      <c r="HE165" s="1718"/>
      <c r="HF165" s="1541">
        <f t="shared" si="301"/>
        <v>5831.8728526100995</v>
      </c>
      <c r="HG165" s="2035"/>
      <c r="HH165" s="1541">
        <f t="shared" si="302"/>
        <v>6274.0770541882057</v>
      </c>
      <c r="HI165" s="1718"/>
      <c r="HJ165" s="1541">
        <f t="shared" si="303"/>
        <v>2915.0775163274452</v>
      </c>
      <c r="HK165" s="1718"/>
      <c r="HL165" s="1541">
        <f t="shared" si="304"/>
        <v>4367.8746381642759</v>
      </c>
      <c r="HM165" s="1718"/>
      <c r="HN165" s="1541">
        <f t="shared" si="305"/>
        <v>2755.9156412328289</v>
      </c>
      <c r="HO165" s="1718"/>
      <c r="HP165" s="1541">
        <f t="shared" si="314"/>
        <v>3255.9864272009136</v>
      </c>
      <c r="HQ165" s="2035"/>
      <c r="HR165" s="1541">
        <f t="shared" si="306"/>
        <v>3037.6215491761654</v>
      </c>
      <c r="HS165" s="1718"/>
      <c r="HT165" s="1541">
        <f t="shared" si="307"/>
        <v>3591.7030031880886</v>
      </c>
      <c r="HU165" s="2035"/>
      <c r="HV165" s="1541">
        <f t="shared" si="308"/>
        <v>4304.0985669381089</v>
      </c>
      <c r="HW165" s="2035"/>
      <c r="HX165" s="1541">
        <f t="shared" si="309"/>
        <v>3755.2749623875666</v>
      </c>
      <c r="HY165" s="2035"/>
      <c r="HZ165" s="1541">
        <f>HZ136/HZ$21</f>
        <v>1416.8799769254326</v>
      </c>
      <c r="IA165" s="2035"/>
      <c r="IB165" s="1541">
        <f t="shared" si="311"/>
        <v>2318.8742581265969</v>
      </c>
      <c r="IC165" s="1718"/>
      <c r="ID165" s="1541">
        <f t="shared" si="312"/>
        <v>1656.9661168954296</v>
      </c>
      <c r="IE165" s="2035"/>
      <c r="IF165" s="1541">
        <f t="shared" si="313"/>
        <v>3230.6208629058497</v>
      </c>
      <c r="IG165" s="2035"/>
    </row>
    <row r="166" spans="1:241">
      <c r="A166" s="1149"/>
      <c r="B166" s="1149"/>
      <c r="C166" s="1149"/>
      <c r="D166" s="1149" t="s">
        <v>12</v>
      </c>
      <c r="E166" s="1143"/>
      <c r="F166" s="1541">
        <f t="shared" si="210"/>
        <v>1909.9896349906094</v>
      </c>
      <c r="G166" s="1718"/>
      <c r="H166" s="1541">
        <f t="shared" si="211"/>
        <v>3928.3316310122254</v>
      </c>
      <c r="I166" s="1718"/>
      <c r="J166" s="1541">
        <f t="shared" si="212"/>
        <v>1435.1967993942703</v>
      </c>
      <c r="K166" s="1718"/>
      <c r="L166" s="1541">
        <f t="shared" si="213"/>
        <v>608.26114228094457</v>
      </c>
      <c r="M166" s="1718"/>
      <c r="N166" s="1541">
        <f t="shared" si="214"/>
        <v>677.26460313398445</v>
      </c>
      <c r="O166" s="1718"/>
      <c r="P166" s="1541">
        <f t="shared" si="215"/>
        <v>1402.9808368700576</v>
      </c>
      <c r="Q166" s="1718"/>
      <c r="R166" s="1541">
        <f t="shared" si="216"/>
        <v>2796.2340399900095</v>
      </c>
      <c r="S166" s="1718"/>
      <c r="T166" s="1541">
        <f t="shared" si="217"/>
        <v>1697.8941204513519</v>
      </c>
      <c r="U166" s="1718"/>
      <c r="V166" s="1541">
        <f t="shared" si="218"/>
        <v>444.82996902139223</v>
      </c>
      <c r="W166" s="1718"/>
      <c r="X166" s="1541">
        <f t="shared" si="219"/>
        <v>3075.9183080844405</v>
      </c>
      <c r="Y166" s="1718"/>
      <c r="Z166" s="1541">
        <f t="shared" si="220"/>
        <v>1711.3533551867367</v>
      </c>
      <c r="AA166" s="1718"/>
      <c r="AB166" s="1541">
        <f t="shared" si="221"/>
        <v>470.56068743286789</v>
      </c>
      <c r="AC166" s="1718"/>
      <c r="AD166" s="1541">
        <f t="shared" si="222"/>
        <v>733.54294704841936</v>
      </c>
      <c r="AE166" s="1718"/>
      <c r="AF166" s="1541">
        <f t="shared" si="223"/>
        <v>2024.2150460955388</v>
      </c>
      <c r="AG166" s="1718"/>
      <c r="AH166" s="1541">
        <f t="shared" si="224"/>
        <v>1029.4184477287681</v>
      </c>
      <c r="AI166" s="1718"/>
      <c r="AJ166" s="1541">
        <f t="shared" si="225"/>
        <v>760.26960281238269</v>
      </c>
      <c r="AK166" s="1718"/>
      <c r="AL166" s="1541">
        <f t="shared" si="226"/>
        <v>1002.9206441410306</v>
      </c>
      <c r="AM166" s="1718"/>
      <c r="AN166" s="1541">
        <f t="shared" si="227"/>
        <v>1314.6796568068919</v>
      </c>
      <c r="AO166" s="1718"/>
      <c r="AP166" s="1541">
        <f t="shared" si="228"/>
        <v>1850.2014041978782</v>
      </c>
      <c r="AQ166" s="1718"/>
      <c r="AR166" s="1541">
        <f t="shared" si="229"/>
        <v>1705.9929775259147</v>
      </c>
      <c r="AS166" s="1718"/>
      <c r="AT166" s="1541">
        <f t="shared" si="230"/>
        <v>2134.3062883172875</v>
      </c>
      <c r="AU166" s="1718"/>
      <c r="AV166" s="1541">
        <f t="shared" si="231"/>
        <v>1260.6047014985302</v>
      </c>
      <c r="AW166" s="1718"/>
      <c r="AX166" s="1541">
        <f t="shared" si="232"/>
        <v>2392.1854071796652</v>
      </c>
      <c r="AY166" s="1718"/>
      <c r="AZ166" s="1541">
        <f t="shared" si="233"/>
        <v>915.22020518045338</v>
      </c>
      <c r="BA166" s="1718"/>
      <c r="BB166" s="1541">
        <f t="shared" si="234"/>
        <v>1545.0325584485829</v>
      </c>
      <c r="BC166" s="1718"/>
      <c r="BD166" s="1541">
        <f t="shared" si="235"/>
        <v>1521.8973544924067</v>
      </c>
      <c r="BE166" s="1718"/>
      <c r="BF166" s="1541">
        <f t="shared" si="236"/>
        <v>938.70522934075427</v>
      </c>
      <c r="BG166" s="1718"/>
      <c r="BH166" s="1541">
        <f t="shared" si="237"/>
        <v>1481.6599693794512</v>
      </c>
      <c r="BI166" s="1718"/>
      <c r="BJ166" s="1541">
        <f t="shared" si="238"/>
        <v>2402.3244169478244</v>
      </c>
      <c r="BK166" s="1718"/>
      <c r="BL166" s="1541">
        <f t="shared" si="239"/>
        <v>2924.1758546117976</v>
      </c>
      <c r="BM166" s="1718"/>
      <c r="BN166" s="1541">
        <f t="shared" si="240"/>
        <v>0</v>
      </c>
      <c r="BO166" s="1718"/>
      <c r="BP166" s="1541">
        <f t="shared" si="241"/>
        <v>1964.1868891827573</v>
      </c>
      <c r="BQ166" s="1718"/>
      <c r="BR166" s="1541">
        <f t="shared" si="242"/>
        <v>283.29096885844831</v>
      </c>
      <c r="BS166" s="1718"/>
      <c r="BT166" s="1541">
        <f t="shared" si="243"/>
        <v>1381.8053789259732</v>
      </c>
      <c r="BU166" s="1718"/>
      <c r="BV166" s="1541">
        <f t="shared" si="244"/>
        <v>462.74008853303235</v>
      </c>
      <c r="BW166" s="1718"/>
      <c r="BX166" s="1541">
        <f t="shared" si="245"/>
        <v>1510.0478701116917</v>
      </c>
      <c r="BY166" s="1718"/>
      <c r="BZ166" s="1541">
        <f t="shared" si="246"/>
        <v>834.48719859454559</v>
      </c>
      <c r="CA166" s="1718"/>
      <c r="CB166" s="1541">
        <f t="shared" si="247"/>
        <v>1294.8920550475773</v>
      </c>
      <c r="CC166" s="1718"/>
      <c r="CD166" s="1541">
        <f t="shared" si="248"/>
        <v>1363.6834294315952</v>
      </c>
      <c r="CE166" s="1718"/>
      <c r="CF166" s="1541">
        <v>2217.9702576753875</v>
      </c>
      <c r="CG166" s="1718"/>
      <c r="CH166" s="1541">
        <f t="shared" si="249"/>
        <v>1500.6287605769276</v>
      </c>
      <c r="CI166" s="1718"/>
      <c r="CJ166" s="1541">
        <v>1539.5618482680875</v>
      </c>
      <c r="CK166" s="1718"/>
      <c r="CL166" s="1541">
        <v>2730.1917990893808</v>
      </c>
      <c r="CM166" s="1718"/>
      <c r="CN166" s="1541">
        <f t="shared" si="250"/>
        <v>1606.0357047851192</v>
      </c>
      <c r="CO166" s="1718"/>
      <c r="CP166" s="1541">
        <f t="shared" si="251"/>
        <v>905.85775842093585</v>
      </c>
      <c r="CQ166" s="1718"/>
      <c r="CR166" s="1541">
        <v>2895.5423567390903</v>
      </c>
      <c r="CS166" s="1718"/>
      <c r="CT166" s="1541">
        <f t="shared" si="252"/>
        <v>2009.0351511142385</v>
      </c>
      <c r="CU166" s="1718"/>
      <c r="CV166" s="1541">
        <f t="shared" si="253"/>
        <v>3038.2923379036074</v>
      </c>
      <c r="CW166" s="1718"/>
      <c r="CX166" s="1541">
        <f t="shared" si="253"/>
        <v>1016.2678430636873</v>
      </c>
      <c r="CY166" s="1718"/>
      <c r="CZ166" s="1541">
        <v>898.30576780004856</v>
      </c>
      <c r="DA166" s="1718"/>
      <c r="DB166" s="1541">
        <v>1548.7474205921424</v>
      </c>
      <c r="DC166" s="1718"/>
      <c r="DD166" s="1541">
        <v>1172.4778451714196</v>
      </c>
      <c r="DE166" s="1718"/>
      <c r="DF166" s="1541">
        <v>987.61149845231353</v>
      </c>
      <c r="DG166" s="1718"/>
      <c r="DH166" s="1541">
        <v>208.62369640787949</v>
      </c>
      <c r="DI166" s="1718"/>
      <c r="DJ166" s="1541">
        <v>1360.7704478066703</v>
      </c>
      <c r="DK166" s="1718"/>
      <c r="DL166" s="1541">
        <v>938.26561220880569</v>
      </c>
      <c r="DM166" s="1718"/>
      <c r="DN166" s="1541">
        <f t="shared" si="254"/>
        <v>2436.8871367545398</v>
      </c>
      <c r="DO166" s="1718"/>
      <c r="DP166" s="1541">
        <f t="shared" si="255"/>
        <v>259.92422656540123</v>
      </c>
      <c r="DQ166" s="1718"/>
      <c r="DR166" s="1541">
        <f t="shared" si="256"/>
        <v>417.10676998442244</v>
      </c>
      <c r="DS166" s="1718"/>
      <c r="DT166" s="1541">
        <f t="shared" si="257"/>
        <v>378.94909947467659</v>
      </c>
      <c r="DU166" s="1718"/>
      <c r="DV166" s="1541">
        <f t="shared" si="258"/>
        <v>993.40718073051312</v>
      </c>
      <c r="DW166" s="1718"/>
      <c r="DX166" s="1541">
        <f t="shared" si="259"/>
        <v>1999.4153822094165</v>
      </c>
      <c r="DY166" s="1718"/>
      <c r="DZ166" s="1541">
        <f t="shared" si="260"/>
        <v>442.57544386994419</v>
      </c>
      <c r="EA166" s="1718"/>
      <c r="EB166" s="1541">
        <f t="shared" si="261"/>
        <v>1945.4424614287784</v>
      </c>
      <c r="EC166" s="1718"/>
      <c r="ED166" s="1541">
        <f t="shared" si="262"/>
        <v>1315.1292837102544</v>
      </c>
      <c r="EE166" s="1718"/>
      <c r="EF166" s="1541">
        <f t="shared" si="263"/>
        <v>723.28149574504039</v>
      </c>
      <c r="EG166" s="1718"/>
      <c r="EH166" s="1541">
        <f t="shared" si="264"/>
        <v>1460.9815129214578</v>
      </c>
      <c r="EI166" s="1718"/>
      <c r="EJ166" s="1541">
        <f t="shared" si="265"/>
        <v>485.06026249266387</v>
      </c>
      <c r="EK166" s="1718"/>
      <c r="EL166" s="1541">
        <f t="shared" si="266"/>
        <v>748.6603011396785</v>
      </c>
      <c r="EM166" s="1718"/>
      <c r="EN166" s="1541">
        <f t="shared" si="267"/>
        <v>1513.2491207078549</v>
      </c>
      <c r="EO166" s="1718"/>
      <c r="EP166" s="1720">
        <f t="shared" si="268"/>
        <v>904.94147119920899</v>
      </c>
      <c r="EQ166" s="1718"/>
      <c r="ER166" s="1541">
        <f t="shared" si="269"/>
        <v>369.21397203320976</v>
      </c>
      <c r="ES166" s="1718"/>
      <c r="ET166" s="1541">
        <f t="shared" si="270"/>
        <v>2156.8154671070924</v>
      </c>
      <c r="EU166" s="1718"/>
      <c r="EV166" s="1541">
        <f t="shared" si="271"/>
        <v>342.75333510997712</v>
      </c>
      <c r="EW166" s="1718"/>
      <c r="EX166" s="1541">
        <f t="shared" si="272"/>
        <v>808.51462682643546</v>
      </c>
      <c r="EY166" s="1718"/>
      <c r="EZ166" s="1541">
        <f t="shared" si="273"/>
        <v>804.45079867725246</v>
      </c>
      <c r="FA166" s="1718"/>
      <c r="FB166" s="1541">
        <f t="shared" si="274"/>
        <v>780.07141244133857</v>
      </c>
      <c r="FC166" s="1718"/>
      <c r="FD166" s="1541">
        <f t="shared" si="275"/>
        <v>1906.9331064313728</v>
      </c>
      <c r="FE166" s="1718"/>
      <c r="FF166" s="1541">
        <f t="shared" si="276"/>
        <v>1063.616</v>
      </c>
      <c r="FG166" s="1718"/>
      <c r="FH166" s="1541">
        <f t="shared" si="277"/>
        <v>1448.0000738829817</v>
      </c>
      <c r="FI166" s="1718"/>
      <c r="FJ166" s="1541">
        <f t="shared" si="278"/>
        <v>1775.2176711258642</v>
      </c>
      <c r="FK166" s="1718"/>
      <c r="FL166" s="1541">
        <f t="shared" si="279"/>
        <v>1397.4714981015047</v>
      </c>
      <c r="FM166" s="1718"/>
      <c r="FN166" s="1541">
        <f t="shared" si="280"/>
        <v>3018.8943040775821</v>
      </c>
      <c r="FO166" s="1718"/>
      <c r="FP166" s="1541">
        <f t="shared" si="281"/>
        <v>443.17056655498021</v>
      </c>
      <c r="FQ166" s="1718"/>
      <c r="FR166" s="1541">
        <f t="shared" si="282"/>
        <v>2899.8541123673695</v>
      </c>
      <c r="FS166" s="1718"/>
      <c r="FT166" s="1541">
        <f t="shared" si="283"/>
        <v>1546.2199705080266</v>
      </c>
      <c r="FU166" s="1718"/>
      <c r="FV166" s="1541">
        <f t="shared" si="284"/>
        <v>1284.7480668588296</v>
      </c>
      <c r="FW166" s="1718"/>
      <c r="FX166" s="1541">
        <f t="shared" si="285"/>
        <v>807.93851620838302</v>
      </c>
      <c r="FY166" s="1718"/>
      <c r="FZ166" s="1541">
        <f t="shared" si="286"/>
        <v>1214.5936772065972</v>
      </c>
      <c r="GA166" s="1718"/>
      <c r="GB166" s="1541">
        <f t="shared" si="315"/>
        <v>842.66155201518188</v>
      </c>
      <c r="GC166" s="1718"/>
      <c r="GD166" s="1541">
        <f t="shared" si="287"/>
        <v>570.20178731317401</v>
      </c>
      <c r="GE166" s="1718"/>
      <c r="GF166" s="1541">
        <f t="shared" si="288"/>
        <v>968.62252912719623</v>
      </c>
      <c r="GG166" s="1718"/>
      <c r="GH166" s="1541">
        <f t="shared" si="289"/>
        <v>596.03741688395951</v>
      </c>
      <c r="GI166" s="1718"/>
      <c r="GJ166" s="1541">
        <f t="shared" si="290"/>
        <v>2495.2027203332018</v>
      </c>
      <c r="GK166" s="1718"/>
      <c r="GL166" s="1541">
        <f t="shared" si="291"/>
        <v>766.87330960645431</v>
      </c>
      <c r="GM166" s="1718"/>
      <c r="GN166" s="1541">
        <f t="shared" si="292"/>
        <v>361.65643447461628</v>
      </c>
      <c r="GO166" s="1718"/>
      <c r="GP166" s="1541">
        <f t="shared" si="293"/>
        <v>950.27205580506916</v>
      </c>
      <c r="GQ166" s="1718"/>
      <c r="GR166" s="1541">
        <f>GR137/GR$21</f>
        <v>765.35419440059559</v>
      </c>
      <c r="GS166" s="1718"/>
      <c r="GT166" s="1541">
        <f t="shared" si="295"/>
        <v>950.8232201304902</v>
      </c>
      <c r="GU166" s="1718"/>
      <c r="GV166" s="1541">
        <f t="shared" si="296"/>
        <v>1384.1280446337416</v>
      </c>
      <c r="GW166" s="1718"/>
      <c r="GX166" s="1541">
        <f t="shared" si="297"/>
        <v>869.00678417913252</v>
      </c>
      <c r="GY166" s="1718"/>
      <c r="GZ166" s="1541">
        <f t="shared" si="298"/>
        <v>1563.2207771008557</v>
      </c>
      <c r="HA166" s="1718"/>
      <c r="HB166" s="1541">
        <f>HB137/HB$21</f>
        <v>397.85956340005458</v>
      </c>
      <c r="HC166" s="1718"/>
      <c r="HD166" s="1541">
        <f t="shared" si="300"/>
        <v>1724.390719564658</v>
      </c>
      <c r="HE166" s="1718"/>
      <c r="HF166" s="1541">
        <f t="shared" si="301"/>
        <v>1923.7881106498237</v>
      </c>
      <c r="HG166" s="2035"/>
      <c r="HH166" s="1541">
        <f t="shared" si="302"/>
        <v>3303.1935213258898</v>
      </c>
      <c r="HI166" s="1718"/>
      <c r="HJ166" s="1541">
        <f t="shared" si="303"/>
        <v>1862.9345137069072</v>
      </c>
      <c r="HK166" s="1718"/>
      <c r="HL166" s="1541">
        <f t="shared" si="304"/>
        <v>1432.4776326106128</v>
      </c>
      <c r="HM166" s="1718"/>
      <c r="HN166" s="1541">
        <f t="shared" si="305"/>
        <v>959.22165531571045</v>
      </c>
      <c r="HO166" s="1718"/>
      <c r="HP166" s="1541">
        <f t="shared" si="314"/>
        <v>1109.0712689612458</v>
      </c>
      <c r="HQ166" s="2035"/>
      <c r="HR166" s="1541">
        <f t="shared" si="306"/>
        <v>1265.1353777301861</v>
      </c>
      <c r="HS166" s="1718"/>
      <c r="HT166" s="1541">
        <f t="shared" si="307"/>
        <v>534.59126743508045</v>
      </c>
      <c r="HU166" s="2035"/>
      <c r="HV166" s="1541">
        <f t="shared" si="308"/>
        <v>933.44254937107667</v>
      </c>
      <c r="HW166" s="2035"/>
      <c r="HX166" s="1541">
        <f t="shared" si="309"/>
        <v>1289.9482872906108</v>
      </c>
      <c r="HY166" s="2035"/>
      <c r="HZ166" s="1541">
        <f>HZ137/HZ$21</f>
        <v>578.51932921014884</v>
      </c>
      <c r="IA166" s="2035"/>
      <c r="IB166" s="1541">
        <f t="shared" si="311"/>
        <v>1363.7760429671307</v>
      </c>
      <c r="IC166" s="1718"/>
      <c r="ID166" s="1541">
        <f t="shared" si="312"/>
        <v>787.11652815620221</v>
      </c>
      <c r="IE166" s="2035"/>
      <c r="IF166" s="1541">
        <f t="shared" si="313"/>
        <v>1740.6325683093633</v>
      </c>
      <c r="IG166" s="2035"/>
    </row>
    <row r="167" spans="1:241">
      <c r="A167" s="1149"/>
      <c r="B167" s="1149"/>
      <c r="C167" s="1149"/>
      <c r="D167" s="1149" t="s">
        <v>13</v>
      </c>
      <c r="E167" s="1143"/>
      <c r="F167" s="1542">
        <f t="shared" si="210"/>
        <v>979.73307286592956</v>
      </c>
      <c r="G167" s="1718"/>
      <c r="H167" s="1542">
        <f t="shared" si="211"/>
        <v>1635.1441347314803</v>
      </c>
      <c r="I167" s="1718"/>
      <c r="J167" s="1542">
        <f t="shared" si="212"/>
        <v>351.96699617656009</v>
      </c>
      <c r="K167" s="1718"/>
      <c r="L167" s="1542">
        <f t="shared" si="213"/>
        <v>235.45264849733405</v>
      </c>
      <c r="M167" s="1718"/>
      <c r="N167" s="1542">
        <f t="shared" si="214"/>
        <v>2453.2101201858395</v>
      </c>
      <c r="O167" s="1718"/>
      <c r="P167" s="1542">
        <f t="shared" si="215"/>
        <v>190.99011984128839</v>
      </c>
      <c r="Q167" s="1718"/>
      <c r="R167" s="1542">
        <f t="shared" si="216"/>
        <v>991.70772201476552</v>
      </c>
      <c r="S167" s="1718"/>
      <c r="T167" s="1542">
        <f t="shared" si="217"/>
        <v>530.80499766350351</v>
      </c>
      <c r="U167" s="1718"/>
      <c r="V167" s="1542">
        <f t="shared" si="218"/>
        <v>240.09048463994793</v>
      </c>
      <c r="W167" s="1718"/>
      <c r="X167" s="1542">
        <f t="shared" si="219"/>
        <v>6328.5939454346935</v>
      </c>
      <c r="Y167" s="1718"/>
      <c r="Z167" s="1542">
        <f t="shared" si="220"/>
        <v>342.06183380792567</v>
      </c>
      <c r="AA167" s="1718"/>
      <c r="AB167" s="1542">
        <f t="shared" si="221"/>
        <v>408.02363050483353</v>
      </c>
      <c r="AC167" s="1718"/>
      <c r="AD167" s="1542">
        <f t="shared" si="222"/>
        <v>917.48849088436998</v>
      </c>
      <c r="AE167" s="1718"/>
      <c r="AF167" s="1542">
        <f t="shared" si="223"/>
        <v>253.6022964540779</v>
      </c>
      <c r="AG167" s="1718"/>
      <c r="AH167" s="1542">
        <f t="shared" si="224"/>
        <v>25.821269430447447</v>
      </c>
      <c r="AI167" s="1718"/>
      <c r="AJ167" s="1542">
        <f t="shared" si="225"/>
        <v>33.461759203454555</v>
      </c>
      <c r="AK167" s="1718"/>
      <c r="AL167" s="1542">
        <f t="shared" si="226"/>
        <v>7399.9604885091348</v>
      </c>
      <c r="AM167" s="1718"/>
      <c r="AN167" s="1542">
        <f t="shared" si="227"/>
        <v>31.114619922190741</v>
      </c>
      <c r="AO167" s="1718"/>
      <c r="AP167" s="1542">
        <f t="shared" si="228"/>
        <v>59.927837473009802</v>
      </c>
      <c r="AQ167" s="1718"/>
      <c r="AR167" s="1542">
        <f t="shared" si="229"/>
        <v>19159.324729546475</v>
      </c>
      <c r="AS167" s="1718"/>
      <c r="AT167" s="1542">
        <f t="shared" si="230"/>
        <v>220.76081371143582</v>
      </c>
      <c r="AU167" s="1718"/>
      <c r="AV167" s="1542">
        <f t="shared" si="231"/>
        <v>642.68097189972832</v>
      </c>
      <c r="AW167" s="1718"/>
      <c r="AX167" s="1542">
        <f t="shared" si="232"/>
        <v>174.8192572750188</v>
      </c>
      <c r="AY167" s="1718"/>
      <c r="AZ167" s="1542">
        <f t="shared" si="233"/>
        <v>1039.088473426031</v>
      </c>
      <c r="BA167" s="1718"/>
      <c r="BB167" s="1542">
        <f t="shared" si="234"/>
        <v>1788.0608348483515</v>
      </c>
      <c r="BC167" s="1718"/>
      <c r="BD167" s="1542">
        <f t="shared" si="235"/>
        <v>492.72867182239844</v>
      </c>
      <c r="BE167" s="1718"/>
      <c r="BF167" s="1542">
        <f t="shared" si="236"/>
        <v>178.29665274380491</v>
      </c>
      <c r="BG167" s="1718"/>
      <c r="BH167" s="1542">
        <f t="shared" si="237"/>
        <v>94.397033423601115</v>
      </c>
      <c r="BI167" s="1718"/>
      <c r="BJ167" s="1542">
        <f t="shared" si="238"/>
        <v>117.94187438346931</v>
      </c>
      <c r="BK167" s="1718"/>
      <c r="BL167" s="1542">
        <f t="shared" si="239"/>
        <v>2273.9937977254508</v>
      </c>
      <c r="BM167" s="1718"/>
      <c r="BN167" s="1542">
        <f t="shared" si="240"/>
        <v>155.09363489951684</v>
      </c>
      <c r="BO167" s="1718"/>
      <c r="BP167" s="1542">
        <f t="shared" si="241"/>
        <v>270.03451355504797</v>
      </c>
      <c r="BQ167" s="1718"/>
      <c r="BR167" s="1542">
        <f t="shared" si="242"/>
        <v>0</v>
      </c>
      <c r="BS167" s="1718"/>
      <c r="BT167" s="1542">
        <f t="shared" si="243"/>
        <v>714.77808083438447</v>
      </c>
      <c r="BU167" s="1718"/>
      <c r="BV167" s="1542">
        <f t="shared" si="244"/>
        <v>192.94500816445941</v>
      </c>
      <c r="BW167" s="1718"/>
      <c r="BX167" s="1542">
        <f t="shared" si="245"/>
        <v>264.04084212016625</v>
      </c>
      <c r="BY167" s="1718"/>
      <c r="BZ167" s="1542">
        <f t="shared" si="246"/>
        <v>1707.1378460168219</v>
      </c>
      <c r="CA167" s="1718"/>
      <c r="CB167" s="1542">
        <f t="shared" si="247"/>
        <v>589.29125294515734</v>
      </c>
      <c r="CC167" s="1718"/>
      <c r="CD167" s="1542">
        <f t="shared" si="248"/>
        <v>778.25523103446005</v>
      </c>
      <c r="CE167" s="1718"/>
      <c r="CF167" s="1542">
        <v>252.6922973156276</v>
      </c>
      <c r="CG167" s="1718"/>
      <c r="CH167" s="1542">
        <f t="shared" si="249"/>
        <v>506.6160920792658</v>
      </c>
      <c r="CI167" s="1718"/>
      <c r="CJ167" s="1542">
        <v>149.42007434944239</v>
      </c>
      <c r="CK167" s="1718"/>
      <c r="CL167" s="1542">
        <v>772.41708494912223</v>
      </c>
      <c r="CM167" s="1718"/>
      <c r="CN167" s="1542">
        <f t="shared" si="250"/>
        <v>246.48524741145536</v>
      </c>
      <c r="CO167" s="1718"/>
      <c r="CP167" s="1542">
        <f t="shared" si="251"/>
        <v>704.11449616712855</v>
      </c>
      <c r="CQ167" s="1718"/>
      <c r="CR167" s="1542">
        <v>333.32175974052592</v>
      </c>
      <c r="CS167" s="1718"/>
      <c r="CT167" s="1542">
        <f t="shared" si="252"/>
        <v>445.37298980648558</v>
      </c>
      <c r="CU167" s="1718"/>
      <c r="CV167" s="1542">
        <f t="shared" si="253"/>
        <v>261.72915439332616</v>
      </c>
      <c r="CW167" s="1718"/>
      <c r="CX167" s="1542">
        <f t="shared" si="253"/>
        <v>1201.0685307456272</v>
      </c>
      <c r="CY167" s="1718"/>
      <c r="CZ167" s="1542">
        <v>172.25172665402613</v>
      </c>
      <c r="DA167" s="1718"/>
      <c r="DB167" s="1542">
        <v>224.32689386958126</v>
      </c>
      <c r="DC167" s="1718"/>
      <c r="DD167" s="1542">
        <v>265.57061312568425</v>
      </c>
      <c r="DE167" s="1718"/>
      <c r="DF167" s="1542">
        <v>1077.0932574215722</v>
      </c>
      <c r="DG167" s="1718"/>
      <c r="DH167" s="1542">
        <v>223.04316338354576</v>
      </c>
      <c r="DI167" s="1718"/>
      <c r="DJ167" s="1542">
        <v>191.16971555341493</v>
      </c>
      <c r="DK167" s="1718"/>
      <c r="DL167" s="1542">
        <v>494.90838714007401</v>
      </c>
      <c r="DM167" s="1718"/>
      <c r="DN167" s="1542">
        <f t="shared" si="254"/>
        <v>1129.3911187043825</v>
      </c>
      <c r="DO167" s="1718"/>
      <c r="DP167" s="1542">
        <f t="shared" si="255"/>
        <v>72.008555203952739</v>
      </c>
      <c r="DQ167" s="1718"/>
      <c r="DR167" s="1542">
        <f t="shared" si="256"/>
        <v>187.13571536250333</v>
      </c>
      <c r="DS167" s="1718"/>
      <c r="DT167" s="1542">
        <f t="shared" si="257"/>
        <v>252.97101332459951</v>
      </c>
      <c r="DU167" s="1718"/>
      <c r="DV167" s="1542">
        <f t="shared" si="258"/>
        <v>340.81528102895538</v>
      </c>
      <c r="DW167" s="1718"/>
      <c r="DX167" s="1542">
        <f t="shared" si="259"/>
        <v>612.90799354303442</v>
      </c>
      <c r="DY167" s="1718"/>
      <c r="DZ167" s="1542">
        <f t="shared" si="260"/>
        <v>876.59593980236446</v>
      </c>
      <c r="EA167" s="1718"/>
      <c r="EB167" s="1542">
        <f t="shared" si="261"/>
        <v>680.16333676811462</v>
      </c>
      <c r="EC167" s="1718"/>
      <c r="ED167" s="1542">
        <f t="shared" si="262"/>
        <v>99.446128160198256</v>
      </c>
      <c r="EE167" s="1718"/>
      <c r="EF167" s="1542">
        <f t="shared" si="263"/>
        <v>1670.6093701657348</v>
      </c>
      <c r="EG167" s="1718"/>
      <c r="EH167" s="1542">
        <f t="shared" si="264"/>
        <v>779.64559363827902</v>
      </c>
      <c r="EI167" s="1718"/>
      <c r="EJ167" s="1542">
        <f t="shared" si="265"/>
        <v>641.09887245531945</v>
      </c>
      <c r="EK167" s="1718"/>
      <c r="EL167" s="1542">
        <f t="shared" si="266"/>
        <v>33.201510621467314</v>
      </c>
      <c r="EM167" s="1718"/>
      <c r="EN167" s="1542">
        <f t="shared" si="267"/>
        <v>5031.6114442224543</v>
      </c>
      <c r="EO167" s="1718"/>
      <c r="EP167" s="1721">
        <f t="shared" si="268"/>
        <v>135.66447972831858</v>
      </c>
      <c r="EQ167" s="1718"/>
      <c r="ER167" s="1542">
        <f t="shared" si="269"/>
        <v>778.20953452718311</v>
      </c>
      <c r="ES167" s="1718"/>
      <c r="ET167" s="1542">
        <f t="shared" si="270"/>
        <v>137.52495021634243</v>
      </c>
      <c r="EU167" s="1718"/>
      <c r="EV167" s="1542">
        <f t="shared" si="271"/>
        <v>88.603717147725376</v>
      </c>
      <c r="EW167" s="1718"/>
      <c r="EX167" s="1542">
        <f t="shared" si="272"/>
        <v>189.54252160867668</v>
      </c>
      <c r="EY167" s="1718"/>
      <c r="EZ167" s="1542">
        <f t="shared" si="273"/>
        <v>205.17024484038069</v>
      </c>
      <c r="FA167" s="1718"/>
      <c r="FB167" s="1542">
        <f t="shared" si="274"/>
        <v>400.67369624188723</v>
      </c>
      <c r="FC167" s="1718"/>
      <c r="FD167" s="1542">
        <f t="shared" si="275"/>
        <v>64.503990163747503</v>
      </c>
      <c r="FE167" s="1718"/>
      <c r="FF167" s="1542">
        <f t="shared" si="276"/>
        <v>269.75839999999999</v>
      </c>
      <c r="FG167" s="1718"/>
      <c r="FH167" s="1542">
        <f t="shared" si="277"/>
        <v>104.38692517501032</v>
      </c>
      <c r="FI167" s="1718"/>
      <c r="FJ167" s="1542">
        <f t="shared" si="278"/>
        <v>91.98968413516431</v>
      </c>
      <c r="FK167" s="1718"/>
      <c r="FL167" s="1542">
        <f t="shared" si="279"/>
        <v>295.08020161549007</v>
      </c>
      <c r="FM167" s="1718"/>
      <c r="FN167" s="1542">
        <f t="shared" si="280"/>
        <v>920.94661478255603</v>
      </c>
      <c r="FO167" s="1718"/>
      <c r="FP167" s="1542">
        <f t="shared" si="281"/>
        <v>197.11669204995431</v>
      </c>
      <c r="FQ167" s="1718"/>
      <c r="FR167" s="1542">
        <f t="shared" si="282"/>
        <v>188.89278628242036</v>
      </c>
      <c r="FS167" s="1718"/>
      <c r="FT167" s="1542">
        <f t="shared" si="283"/>
        <v>30.112598755007614</v>
      </c>
      <c r="FU167" s="1718"/>
      <c r="FV167" s="1542">
        <f t="shared" si="284"/>
        <v>222.04909308308862</v>
      </c>
      <c r="FW167" s="1718"/>
      <c r="FX167" s="1542">
        <f t="shared" si="285"/>
        <v>214.80797556952695</v>
      </c>
      <c r="FY167" s="1718"/>
      <c r="FZ167" s="1542">
        <f t="shared" si="286"/>
        <v>142.13907699118093</v>
      </c>
      <c r="GA167" s="1718"/>
      <c r="GB167" s="1542">
        <f t="shared" si="315"/>
        <v>3090.9545865425221</v>
      </c>
      <c r="GC167" s="1718"/>
      <c r="GD167" s="1542">
        <f t="shared" si="287"/>
        <v>2086.6687641992089</v>
      </c>
      <c r="GE167" s="1718"/>
      <c r="GF167" s="1542">
        <f t="shared" si="288"/>
        <v>873.5381002575898</v>
      </c>
      <c r="GG167" s="1718"/>
      <c r="GH167" s="1542">
        <f t="shared" si="289"/>
        <v>7629.8473684240453</v>
      </c>
      <c r="GI167" s="1718"/>
      <c r="GJ167" s="1542">
        <f t="shared" si="290"/>
        <v>1347.6254485155137</v>
      </c>
      <c r="GK167" s="1718"/>
      <c r="GL167" s="1542">
        <f t="shared" si="291"/>
        <v>204.7992382088747</v>
      </c>
      <c r="GM167" s="1718"/>
      <c r="GN167" s="1542">
        <f t="shared" si="292"/>
        <v>245.97756788665879</v>
      </c>
      <c r="GO167" s="1718"/>
      <c r="GP167" s="1542">
        <f t="shared" si="293"/>
        <v>1900.8516424729457</v>
      </c>
      <c r="GQ167" s="1718"/>
      <c r="GR167" s="1542">
        <f>GR138/GR$21</f>
        <v>717.31156682895494</v>
      </c>
      <c r="GS167" s="1718"/>
      <c r="GT167" s="1542">
        <f t="shared" si="295"/>
        <v>131.99739663237864</v>
      </c>
      <c r="GU167" s="1718"/>
      <c r="GV167" s="1542">
        <f t="shared" si="296"/>
        <v>356.19504119664947</v>
      </c>
      <c r="GW167" s="1718"/>
      <c r="GX167" s="1542">
        <f t="shared" si="297"/>
        <v>491.25645553174638</v>
      </c>
      <c r="GY167" s="1718"/>
      <c r="GZ167" s="1542">
        <f t="shared" si="298"/>
        <v>996.87976121687495</v>
      </c>
      <c r="HA167" s="1718"/>
      <c r="HB167" s="1542">
        <f>HB138/HB$21</f>
        <v>197.60986528916405</v>
      </c>
      <c r="HC167" s="1718"/>
      <c r="HD167" s="1542">
        <f t="shared" si="300"/>
        <v>2808.504407295562</v>
      </c>
      <c r="HE167" s="1718"/>
      <c r="HF167" s="1542">
        <f t="shared" si="301"/>
        <v>661.85429772227781</v>
      </c>
      <c r="HG167" s="2035"/>
      <c r="HH167" s="1542">
        <f t="shared" si="302"/>
        <v>2866.7860075462695</v>
      </c>
      <c r="HI167" s="1718"/>
      <c r="HJ167" s="1542">
        <f t="shared" si="303"/>
        <v>1235.7558328467915</v>
      </c>
      <c r="HK167" s="1718"/>
      <c r="HL167" s="1542">
        <f t="shared" si="304"/>
        <v>75.33916139201817</v>
      </c>
      <c r="HM167" s="1718"/>
      <c r="HN167" s="1542">
        <f t="shared" si="305"/>
        <v>394.2080110816114</v>
      </c>
      <c r="HO167" s="1718"/>
      <c r="HP167" s="1542">
        <f t="shared" si="314"/>
        <v>548.99119978287933</v>
      </c>
      <c r="HQ167" s="2035"/>
      <c r="HR167" s="1542">
        <f t="shared" si="306"/>
        <v>356.17855055735578</v>
      </c>
      <c r="HS167" s="1718"/>
      <c r="HT167" s="1542">
        <f t="shared" si="307"/>
        <v>299.2487075687277</v>
      </c>
      <c r="HU167" s="2035"/>
      <c r="HV167" s="1542">
        <f t="shared" si="308"/>
        <v>1917.5968276116014</v>
      </c>
      <c r="HW167" s="2035"/>
      <c r="HX167" s="1542">
        <f t="shared" si="309"/>
        <v>1699.0423563088536</v>
      </c>
      <c r="HY167" s="2035"/>
      <c r="HZ167" s="1542">
        <f>HZ138/HZ$21</f>
        <v>855.27064378751447</v>
      </c>
      <c r="IA167" s="2035"/>
      <c r="IB167" s="1542">
        <f t="shared" si="311"/>
        <v>117.05691321993042</v>
      </c>
      <c r="IC167" s="1718"/>
      <c r="ID167" s="1542">
        <f t="shared" si="312"/>
        <v>176.94021985155322</v>
      </c>
      <c r="IE167" s="2035"/>
      <c r="IF167" s="1542">
        <f t="shared" si="313"/>
        <v>289.30593409350081</v>
      </c>
      <c r="IG167" s="2035"/>
    </row>
    <row r="168" spans="1:241">
      <c r="A168" s="1149"/>
      <c r="B168" s="1149"/>
      <c r="C168" s="1149"/>
      <c r="D168" s="1149"/>
      <c r="E168" s="1143"/>
      <c r="F168" s="1718"/>
      <c r="G168" s="1718"/>
      <c r="H168" s="1718"/>
      <c r="I168" s="1718"/>
      <c r="J168" s="1718"/>
      <c r="K168" s="1718"/>
      <c r="L168" s="1718"/>
      <c r="M168" s="1718"/>
      <c r="N168" s="1718"/>
      <c r="O168" s="1718"/>
      <c r="P168" s="1718"/>
      <c r="Q168" s="1718"/>
      <c r="R168" s="1718"/>
      <c r="S168" s="1718"/>
      <c r="T168" s="1718"/>
      <c r="U168" s="1718"/>
      <c r="V168" s="1718"/>
      <c r="W168" s="1718"/>
      <c r="X168" s="1718"/>
      <c r="Y168" s="1718"/>
      <c r="Z168" s="1718"/>
      <c r="AA168" s="1718"/>
      <c r="AB168" s="1718"/>
      <c r="AC168" s="1718"/>
      <c r="AD168" s="1718"/>
      <c r="AE168" s="1718"/>
      <c r="AF168" s="1718"/>
      <c r="AG168" s="1718"/>
      <c r="AH168" s="1718"/>
      <c r="AI168" s="1718"/>
      <c r="AJ168" s="1718"/>
      <c r="AK168" s="1718"/>
      <c r="AL168" s="1718"/>
      <c r="AM168" s="1718"/>
      <c r="AN168" s="1718"/>
      <c r="AO168" s="1718"/>
      <c r="AP168" s="1718"/>
      <c r="AQ168" s="1718"/>
      <c r="AR168" s="1718"/>
      <c r="AS168" s="1718"/>
      <c r="AT168" s="1718"/>
      <c r="AU168" s="1718"/>
      <c r="AV168" s="1718"/>
      <c r="AW168" s="1718"/>
      <c r="AX168" s="1718"/>
      <c r="AY168" s="1718"/>
      <c r="AZ168" s="1718"/>
      <c r="BA168" s="1718"/>
      <c r="BB168" s="1718"/>
      <c r="BC168" s="1718"/>
      <c r="BD168" s="1718"/>
      <c r="BE168" s="1718"/>
      <c r="BF168" s="1718"/>
      <c r="BG168" s="1718"/>
      <c r="BH168" s="1718"/>
      <c r="BI168" s="1718"/>
      <c r="BJ168" s="1718"/>
      <c r="BK168" s="1718"/>
      <c r="BL168" s="1718"/>
      <c r="BM168" s="1718"/>
      <c r="BN168" s="1718"/>
      <c r="BO168" s="1718"/>
      <c r="BP168" s="1718"/>
      <c r="BQ168" s="1718"/>
      <c r="BR168" s="1718"/>
      <c r="BS168" s="1718"/>
      <c r="BT168" s="1718"/>
      <c r="BU168" s="1718"/>
      <c r="BV168" s="1718"/>
      <c r="BW168" s="1718"/>
      <c r="BX168" s="1718"/>
      <c r="BY168" s="1718"/>
      <c r="BZ168" s="1718"/>
      <c r="CA168" s="1718"/>
      <c r="CB168" s="1718"/>
      <c r="CC168" s="1718"/>
      <c r="CD168" s="1718"/>
      <c r="CE168" s="1718"/>
      <c r="CF168" s="1718"/>
      <c r="CG168" s="1718"/>
      <c r="CH168" s="1718"/>
      <c r="CI168" s="1718"/>
      <c r="CJ168" s="1718"/>
      <c r="CK168" s="1718"/>
      <c r="CL168" s="1718"/>
      <c r="CM168" s="1718"/>
      <c r="CN168" s="1718"/>
      <c r="CO168" s="1718"/>
      <c r="CP168" s="1718"/>
      <c r="CQ168" s="1718"/>
      <c r="CR168" s="1718"/>
      <c r="CS168" s="1718"/>
      <c r="CT168" s="1718"/>
      <c r="CU168" s="1718"/>
      <c r="CV168" s="1718"/>
      <c r="CW168" s="1718"/>
      <c r="CX168" s="1718"/>
      <c r="CY168" s="1718"/>
      <c r="CZ168" s="1718"/>
      <c r="DA168" s="1718"/>
      <c r="DB168" s="1718"/>
      <c r="DC168" s="1718"/>
      <c r="DD168" s="1718"/>
      <c r="DE168" s="1718"/>
      <c r="DF168" s="1718"/>
      <c r="DG168" s="1718"/>
      <c r="DH168" s="1718"/>
      <c r="DI168" s="1718"/>
      <c r="DJ168" s="1718"/>
      <c r="DK168" s="1718"/>
      <c r="DL168" s="1718"/>
      <c r="DM168" s="1718"/>
      <c r="DN168" s="1718"/>
      <c r="DO168" s="1718"/>
      <c r="DP168" s="1718"/>
      <c r="DQ168" s="1718"/>
      <c r="DR168" s="1718"/>
      <c r="DS168" s="1718"/>
      <c r="DT168" s="1718"/>
      <c r="DU168" s="1718"/>
      <c r="DV168" s="1718"/>
      <c r="DW168" s="1718"/>
      <c r="DX168" s="1718"/>
      <c r="DY168" s="1718"/>
      <c r="DZ168" s="1718"/>
      <c r="EA168" s="1718"/>
      <c r="EB168" s="1718"/>
      <c r="EC168" s="1718"/>
      <c r="ED168" s="1718"/>
      <c r="EE168" s="1718"/>
      <c r="EF168" s="1718"/>
      <c r="EG168" s="1718"/>
      <c r="EH168" s="1718"/>
      <c r="EI168" s="1718"/>
      <c r="EJ168" s="1718"/>
      <c r="EK168" s="1718"/>
      <c r="EL168" s="1718"/>
      <c r="EM168" s="1718"/>
      <c r="EN168" s="1718"/>
      <c r="EO168" s="1718"/>
      <c r="EP168" s="1718"/>
      <c r="EQ168" s="1718"/>
      <c r="ER168" s="1718"/>
      <c r="ES168" s="1718"/>
      <c r="ET168" s="1718"/>
      <c r="EU168" s="1718"/>
      <c r="EV168" s="1718"/>
      <c r="EW168" s="1718"/>
      <c r="EX168" s="1718"/>
      <c r="EY168" s="1718"/>
      <c r="EZ168" s="1718"/>
      <c r="FA168" s="1718"/>
      <c r="FB168" s="1718"/>
      <c r="FC168" s="1718"/>
      <c r="FD168" s="1718"/>
      <c r="FE168" s="1718"/>
      <c r="FF168" s="1718"/>
      <c r="FG168" s="1718"/>
      <c r="FH168" s="1718"/>
      <c r="FI168" s="1718"/>
      <c r="FJ168" s="1718"/>
      <c r="FK168" s="1718"/>
      <c r="FL168" s="1718"/>
      <c r="FM168" s="1718"/>
      <c r="FN168" s="1718"/>
      <c r="FO168" s="1718"/>
      <c r="FP168" s="1718"/>
      <c r="FQ168" s="1718"/>
      <c r="FR168" s="1718"/>
      <c r="FS168" s="1718"/>
      <c r="FT168" s="1718"/>
      <c r="FU168" s="1718"/>
      <c r="FV168" s="1718"/>
      <c r="FW168" s="1718"/>
      <c r="FX168" s="1718"/>
      <c r="FY168" s="1718"/>
      <c r="FZ168" s="1718"/>
      <c r="GA168" s="1718"/>
      <c r="GB168" s="1718"/>
      <c r="GC168" s="1718"/>
      <c r="GD168" s="1718"/>
      <c r="GE168" s="1718"/>
      <c r="GF168" s="1718"/>
      <c r="GG168" s="1718"/>
      <c r="GH168" s="1718"/>
      <c r="GI168" s="1718"/>
      <c r="GJ168" s="1718"/>
      <c r="GK168" s="1718"/>
      <c r="GL168" s="1718"/>
      <c r="GM168" s="1718"/>
      <c r="GN168" s="1718"/>
      <c r="GO168" s="1718"/>
      <c r="GP168" s="1718"/>
      <c r="GQ168" s="1718"/>
      <c r="GR168" s="1718"/>
      <c r="GS168" s="1718"/>
      <c r="GT168" s="1718"/>
      <c r="GU168" s="1718"/>
      <c r="GV168" s="1718"/>
      <c r="GW168" s="1718"/>
      <c r="GX168" s="1718"/>
      <c r="GY168" s="1718"/>
      <c r="GZ168" s="1718"/>
      <c r="HA168" s="1718"/>
      <c r="HB168" s="1718"/>
      <c r="HC168" s="1718"/>
      <c r="HD168" s="1718"/>
      <c r="HE168" s="1718"/>
      <c r="HF168" s="2035"/>
      <c r="HG168" s="2035"/>
      <c r="HH168" s="1718"/>
      <c r="HI168" s="1718"/>
      <c r="HJ168" s="1718"/>
      <c r="HK168" s="1718"/>
      <c r="HL168" s="1718"/>
      <c r="HM168" s="1718"/>
      <c r="HN168" s="1718"/>
      <c r="HO168" s="1718"/>
      <c r="HP168" s="2035"/>
      <c r="HQ168" s="2035"/>
      <c r="HR168" s="1718"/>
      <c r="HS168" s="1718"/>
      <c r="HT168" s="2035"/>
      <c r="HU168" s="2035"/>
      <c r="HV168" s="2035"/>
      <c r="HW168" s="2035"/>
      <c r="HX168" s="2035"/>
      <c r="HY168" s="2035"/>
      <c r="HZ168" s="2035"/>
      <c r="IA168" s="2035"/>
      <c r="IB168" s="1718"/>
      <c r="IC168" s="1718"/>
      <c r="ID168" s="2035"/>
      <c r="IE168" s="2035"/>
      <c r="IF168" s="2035"/>
      <c r="IG168" s="2035"/>
    </row>
    <row r="169" spans="1:241" ht="16.2" thickBot="1">
      <c r="A169" s="1149"/>
      <c r="B169" s="1149"/>
      <c r="C169" s="1149"/>
      <c r="D169" s="1157" t="s">
        <v>58</v>
      </c>
      <c r="E169" s="1143"/>
      <c r="F169" s="1719">
        <f>F140/F$21</f>
        <v>21093.561253857293</v>
      </c>
      <c r="G169" s="1718"/>
      <c r="H169" s="1719">
        <f>H140/H$21</f>
        <v>34020.205104491943</v>
      </c>
      <c r="I169" s="1718"/>
      <c r="J169" s="1719">
        <f>J140/J$21</f>
        <v>20973.030381123859</v>
      </c>
      <c r="K169" s="1718"/>
      <c r="L169" s="1719">
        <f>L140/L$21</f>
        <v>25863.158029099373</v>
      </c>
      <c r="M169" s="1718"/>
      <c r="N169" s="1719">
        <f>N140/N$21</f>
        <v>34908.577784375011</v>
      </c>
      <c r="O169" s="1718"/>
      <c r="P169" s="1719">
        <f>P140/P$21</f>
        <v>26153.445941781658</v>
      </c>
      <c r="Q169" s="1718"/>
      <c r="R169" s="1719">
        <f>R140/R$21</f>
        <v>35191.724758411452</v>
      </c>
      <c r="S169" s="1718"/>
      <c r="T169" s="1719">
        <f>T140/T$21</f>
        <v>10779.621116855065</v>
      </c>
      <c r="U169" s="1718"/>
      <c r="V169" s="1719">
        <f>V140/V$21</f>
        <v>9256.6603379286753</v>
      </c>
      <c r="W169" s="1718"/>
      <c r="X169" s="1719">
        <f>X140/X$21</f>
        <v>37914.812173010709</v>
      </c>
      <c r="Y169" s="1718"/>
      <c r="Z169" s="1719">
        <f>Z140/Z$21</f>
        <v>21904.358726397426</v>
      </c>
      <c r="AA169" s="1718"/>
      <c r="AB169" s="1719">
        <f>AB140/AB$21</f>
        <v>8275.0322234156829</v>
      </c>
      <c r="AC169" s="1718"/>
      <c r="AD169" s="1719">
        <f>AD140/AD$21</f>
        <v>39403.030562688262</v>
      </c>
      <c r="AE169" s="1718"/>
      <c r="AF169" s="1719">
        <f>AF140/AF$21</f>
        <v>19559.333349641955</v>
      </c>
      <c r="AG169" s="1718"/>
      <c r="AH169" s="1719">
        <f>AH140/AH$21</f>
        <v>10510.677073615758</v>
      </c>
      <c r="AI169" s="1718"/>
      <c r="AJ169" s="1719">
        <f>AJ140/AJ$21</f>
        <v>37478.8600646095</v>
      </c>
      <c r="AK169" s="1718"/>
      <c r="AL169" s="1719">
        <f>AL140/AL$21</f>
        <v>14042.017594400873</v>
      </c>
      <c r="AM169" s="1718"/>
      <c r="AN169" s="1719">
        <f>AN140/AN$21</f>
        <v>21361.680388432887</v>
      </c>
      <c r="AO169" s="1718"/>
      <c r="AP169" s="1719">
        <f>AP140/AP$21</f>
        <v>35709.977162682633</v>
      </c>
      <c r="AQ169" s="1718"/>
      <c r="AR169" s="1719">
        <f>AR140/AR$21</f>
        <v>54080.823364954427</v>
      </c>
      <c r="AS169" s="1718"/>
      <c r="AT169" s="1719">
        <f>AT140/AT$21</f>
        <v>12550.701882436813</v>
      </c>
      <c r="AU169" s="1718"/>
      <c r="AV169" s="1719">
        <f>AV140/AV$21</f>
        <v>30361.086211641908</v>
      </c>
      <c r="AW169" s="1718"/>
      <c r="AX169" s="1719">
        <f>AX140/AX$21</f>
        <v>14598.736615809103</v>
      </c>
      <c r="AY169" s="1718"/>
      <c r="AZ169" s="1719">
        <f>AZ140/AZ$21</f>
        <v>10814.635216937129</v>
      </c>
      <c r="BA169" s="1718"/>
      <c r="BB169" s="1719">
        <f>BB140/BB$21</f>
        <v>30259.52466542277</v>
      </c>
      <c r="BC169" s="1718"/>
      <c r="BD169" s="1719">
        <f>BD140/BD$21</f>
        <v>14137.382565272686</v>
      </c>
      <c r="BE169" s="1718"/>
      <c r="BF169" s="1719">
        <f>BF140/BF$21</f>
        <v>11834.807061212468</v>
      </c>
      <c r="BG169" s="1718"/>
      <c r="BH169" s="1719">
        <f>BH140/BH$21</f>
        <v>24235.660747919934</v>
      </c>
      <c r="BI169" s="1718"/>
      <c r="BJ169" s="1719">
        <f>BJ140/BJ$21</f>
        <v>24993.102062210317</v>
      </c>
      <c r="BK169" s="1718"/>
      <c r="BL169" s="1719">
        <f>BL140/BL$21</f>
        <v>35203.606979691955</v>
      </c>
      <c r="BM169" s="1718"/>
      <c r="BN169" s="1719">
        <f>BN140/BN$21</f>
        <v>16863.167537287303</v>
      </c>
      <c r="BO169" s="1718"/>
      <c r="BP169" s="1719">
        <f>BP140/BP$21</f>
        <v>12673.789205497626</v>
      </c>
      <c r="BQ169" s="1718"/>
      <c r="BR169" s="1719">
        <f>BR140/BR$21</f>
        <v>20685.885213027992</v>
      </c>
      <c r="BS169" s="1718"/>
      <c r="BT169" s="1719">
        <f>BT140/BT$21</f>
        <v>16091.519230886295</v>
      </c>
      <c r="BU169" s="1718"/>
      <c r="BV169" s="1719">
        <f>BV140/BV$21</f>
        <v>7881.2088711467804</v>
      </c>
      <c r="BW169" s="1718"/>
      <c r="BX169" s="1719">
        <f>BX140/BX$21</f>
        <v>9328.1011811856497</v>
      </c>
      <c r="BY169" s="1718"/>
      <c r="BZ169" s="1719">
        <f>BZ140/BZ$21</f>
        <v>17689.996306285539</v>
      </c>
      <c r="CA169" s="1718"/>
      <c r="CB169" s="1719">
        <f>CB140/CB$21</f>
        <v>25521.805470170566</v>
      </c>
      <c r="CC169" s="1718"/>
      <c r="CD169" s="1719">
        <f>CD140/CD$21</f>
        <v>23850.211859912801</v>
      </c>
      <c r="CE169" s="1718"/>
      <c r="CF169" s="1719">
        <v>29057.716512606501</v>
      </c>
      <c r="CG169" s="1718"/>
      <c r="CH169" s="1719">
        <f>CH140/CH$21</f>
        <v>20089.637780306399</v>
      </c>
      <c r="CI169" s="1718"/>
      <c r="CJ169" s="1719">
        <v>19673.345510179432</v>
      </c>
      <c r="CK169" s="1718"/>
      <c r="CL169" s="1719">
        <v>36254.777563167496</v>
      </c>
      <c r="CM169" s="1718"/>
      <c r="CN169" s="1719">
        <f>CN140/CN$21</f>
        <v>23807.745773037048</v>
      </c>
      <c r="CO169" s="1718"/>
      <c r="CP169" s="1719">
        <f>CP140/CP$21</f>
        <v>17028.963568358831</v>
      </c>
      <c r="CQ169" s="1718"/>
      <c r="CR169" s="1719">
        <v>42171.089297200895</v>
      </c>
      <c r="CS169" s="1718"/>
      <c r="CT169" s="1719">
        <f>CT140/CT$21</f>
        <v>29432.075706520041</v>
      </c>
      <c r="CU169" s="1718"/>
      <c r="CV169" s="1719">
        <f>CV140/CV$21</f>
        <v>26520.378096590306</v>
      </c>
      <c r="CW169" s="1718"/>
      <c r="CX169" s="1719">
        <f>CX140/CX$21</f>
        <v>41532.987585779862</v>
      </c>
      <c r="CY169" s="1718"/>
      <c r="CZ169" s="1719">
        <v>23596.484003789152</v>
      </c>
      <c r="DA169" s="1718"/>
      <c r="DB169" s="1719">
        <v>24149.238177496645</v>
      </c>
      <c r="DC169" s="1718"/>
      <c r="DD169" s="1719">
        <v>20351.774950804207</v>
      </c>
      <c r="DE169" s="1718"/>
      <c r="DF169" s="1719">
        <v>39362.784206066062</v>
      </c>
      <c r="DG169" s="1718"/>
      <c r="DH169" s="1719">
        <v>4153.0280996523752</v>
      </c>
      <c r="DI169" s="1718"/>
      <c r="DJ169" s="1719">
        <v>16631.479649775054</v>
      </c>
      <c r="DK169" s="1718"/>
      <c r="DL169" s="1719">
        <v>18278.125241903686</v>
      </c>
      <c r="DM169" s="1718"/>
      <c r="DN169" s="1719">
        <f>DN140/DN$21</f>
        <v>36553.836771005823</v>
      </c>
      <c r="DO169" s="1718"/>
      <c r="DP169" s="1719">
        <f>DP140/DP$21</f>
        <v>24217.407682155193</v>
      </c>
      <c r="DQ169" s="1718"/>
      <c r="DR169" s="1719">
        <f>DR140/DR$21</f>
        <v>22877.244152621319</v>
      </c>
      <c r="DS169" s="1718"/>
      <c r="DT169" s="1719">
        <f>DT140/DT$21</f>
        <v>28097.868423049094</v>
      </c>
      <c r="DU169" s="1718"/>
      <c r="DV169" s="1719">
        <f>DV140/DV$21</f>
        <v>17867.214211904029</v>
      </c>
      <c r="DW169" s="1718"/>
      <c r="DX169" s="1719">
        <f>DX140/DX$21</f>
        <v>38096.508356150945</v>
      </c>
      <c r="DY169" s="1718"/>
      <c r="DZ169" s="1719">
        <f>DZ140/DZ$21</f>
        <v>21860.333320432608</v>
      </c>
      <c r="EA169" s="1718"/>
      <c r="EB169" s="1719">
        <f>EB140/EB$21</f>
        <v>41916.06247769326</v>
      </c>
      <c r="EC169" s="1718"/>
      <c r="ED169" s="1719">
        <f>ED140/ED$21</f>
        <v>24797.935535766592</v>
      </c>
      <c r="EE169" s="1718"/>
      <c r="EF169" s="1719">
        <f>EF140/EF$21</f>
        <v>29681.688977943781</v>
      </c>
      <c r="EG169" s="1718"/>
      <c r="EH169" s="1719">
        <f>EH140/EH$21</f>
        <v>36222.793514001176</v>
      </c>
      <c r="EI169" s="1718"/>
      <c r="EJ169" s="1719">
        <f>EJ140/EJ$21</f>
        <v>19094.77911402988</v>
      </c>
      <c r="EK169" s="1718"/>
      <c r="EL169" s="1719">
        <f>EL140/EL$21</f>
        <v>31160.489969435464</v>
      </c>
      <c r="EM169" s="1718"/>
      <c r="EN169" s="1719">
        <f>EN140/EN$21</f>
        <v>18515.690058852488</v>
      </c>
      <c r="EO169" s="1718"/>
      <c r="EP169" s="1719">
        <f>EP140/EP$21</f>
        <v>13737.219916603743</v>
      </c>
      <c r="EQ169" s="1718"/>
      <c r="ER169" s="1719">
        <f>ER140/ER$21</f>
        <v>10109.756932832313</v>
      </c>
      <c r="ES169" s="1718"/>
      <c r="ET169" s="1719">
        <f>ET140/ET$21</f>
        <v>26234.964262847134</v>
      </c>
      <c r="EU169" s="1718"/>
      <c r="EV169" s="1719">
        <f>EV140/EV$21</f>
        <v>5319.5516695201613</v>
      </c>
      <c r="EW169" s="1718"/>
      <c r="EX169" s="1719">
        <f>EX140/EX$21</f>
        <v>11951.697227966737</v>
      </c>
      <c r="EY169" s="1718"/>
      <c r="EZ169" s="1719">
        <f>EZ140/EZ$21</f>
        <v>36833.674195201253</v>
      </c>
      <c r="FA169" s="1718"/>
      <c r="FB169" s="1719">
        <f>FB140/FB$21</f>
        <v>9499.1840851759771</v>
      </c>
      <c r="FC169" s="1718"/>
      <c r="FD169" s="1719">
        <f>FD140/FD$21</f>
        <v>21310.479937405667</v>
      </c>
      <c r="FE169" s="1718"/>
      <c r="FF169" s="1719">
        <f>FF140/FF$21</f>
        <v>10961.5568</v>
      </c>
      <c r="FG169" s="1718"/>
      <c r="FH169" s="1719">
        <f>FH140/FH$21</f>
        <v>29691.419905306648</v>
      </c>
      <c r="FI169" s="1718"/>
      <c r="FJ169" s="1719">
        <f>FJ140/FJ$21</f>
        <v>23321.831305637821</v>
      </c>
      <c r="FK169" s="1718"/>
      <c r="FL169" s="1719">
        <f>FL140/FL$21</f>
        <v>32443.543234168017</v>
      </c>
      <c r="FM169" s="1718"/>
      <c r="FN169" s="1719">
        <f>FN140/FN$21</f>
        <v>40197.682188908409</v>
      </c>
      <c r="FO169" s="1718"/>
      <c r="FP169" s="1719">
        <f>FP140/FP$21</f>
        <v>8794.9243496801701</v>
      </c>
      <c r="FQ169" s="1718"/>
      <c r="FR169" s="1719">
        <f>FR140/FR$21</f>
        <v>22685.149473130437</v>
      </c>
      <c r="FS169" s="1718"/>
      <c r="FT169" s="1719">
        <f>FT140/FT$21</f>
        <v>22686.633501023574</v>
      </c>
      <c r="FU169" s="1718"/>
      <c r="FV169" s="1719">
        <f>FV140/FV$21</f>
        <v>47631.742187585485</v>
      </c>
      <c r="FW169" s="1718"/>
      <c r="FX169" s="1719">
        <f>FX140/FX$21</f>
        <v>16075.190902024537</v>
      </c>
      <c r="FY169" s="1718"/>
      <c r="FZ169" s="1719">
        <f>FZ140/FZ$21</f>
        <v>18887.693749675393</v>
      </c>
      <c r="GA169" s="1718"/>
      <c r="GB169" s="1719">
        <f>GB140/GB$21</f>
        <v>20939.124728360384</v>
      </c>
      <c r="GC169" s="1718"/>
      <c r="GD169" s="1719">
        <f>GD140/GD$21</f>
        <v>27751.449899622268</v>
      </c>
      <c r="GE169" s="1718"/>
      <c r="GF169" s="1719">
        <f>GF140/GF$21</f>
        <v>18721.714281087043</v>
      </c>
      <c r="GG169" s="1718"/>
      <c r="GH169" s="1719">
        <f>GH140/GH$21</f>
        <v>25171.684051671116</v>
      </c>
      <c r="GI169" s="1718"/>
      <c r="GJ169" s="1719">
        <f>GJ140/GJ$21</f>
        <v>37107.100113827619</v>
      </c>
      <c r="GK169" s="1718"/>
      <c r="GL169" s="1719">
        <f>GL140/GL$21</f>
        <v>11003.013585006333</v>
      </c>
      <c r="GM169" s="1718"/>
      <c r="GN169" s="1719">
        <f>GN140/GN$21</f>
        <v>7946.6139315230221</v>
      </c>
      <c r="GO169" s="1718"/>
      <c r="GP169" s="1719">
        <f>GP140/GP$21</f>
        <v>20142.494238081581</v>
      </c>
      <c r="GQ169" s="1718"/>
      <c r="GR169" s="1719">
        <f>GR140/GR$21</f>
        <v>15270.574227088748</v>
      </c>
      <c r="GS169" s="1718"/>
      <c r="GT169" s="1719">
        <f>GT140/GT$21</f>
        <v>10433.452069904748</v>
      </c>
      <c r="GU169" s="1718"/>
      <c r="GV169" s="1719">
        <f>GV140/GV$21</f>
        <v>17428.423921125668</v>
      </c>
      <c r="GW169" s="1718"/>
      <c r="GX169" s="1719">
        <f>GX140/GX$21</f>
        <v>11935.500741265776</v>
      </c>
      <c r="GY169" s="1718"/>
      <c r="GZ169" s="1719">
        <f>GZ140/GZ$21</f>
        <v>29020.148585925315</v>
      </c>
      <c r="HA169" s="1718"/>
      <c r="HB169" s="1719">
        <f>HB140/HB$21</f>
        <v>13786.002286462795</v>
      </c>
      <c r="HC169" s="1718"/>
      <c r="HD169" s="1719">
        <f>HD140/HD$21</f>
        <v>32142.980182916595</v>
      </c>
      <c r="HE169" s="1718"/>
      <c r="HF169" s="2036">
        <f>HF140/HF$21</f>
        <v>40311.526328553322</v>
      </c>
      <c r="HG169" s="2035"/>
      <c r="HH169" s="1719">
        <f>HH140/HH$21</f>
        <v>45857.55686671177</v>
      </c>
      <c r="HI169" s="1718"/>
      <c r="HJ169" s="1719">
        <f>HJ140/HJ$21</f>
        <v>13958.085586136041</v>
      </c>
      <c r="HK169" s="1718"/>
      <c r="HL169" s="1719">
        <f>HL140/HL$21</f>
        <v>21815.306722915095</v>
      </c>
      <c r="HM169" s="1718"/>
      <c r="HN169" s="1719">
        <f>HN140/HN$21</f>
        <v>24183.025049059215</v>
      </c>
      <c r="HO169" s="1718"/>
      <c r="HP169" s="2036">
        <f>HP140/HP$21</f>
        <v>28860.596098268936</v>
      </c>
      <c r="HQ169" s="2035"/>
      <c r="HR169" s="1719">
        <f>HR140/HR$21</f>
        <v>11809.969037449056</v>
      </c>
      <c r="HS169" s="1718"/>
      <c r="HT169" s="2036">
        <f>HT140/HT$21</f>
        <v>23939.753115603165</v>
      </c>
      <c r="HU169" s="2035"/>
      <c r="HV169" s="2036">
        <f>HV140/HV$21</f>
        <v>34819.419393138887</v>
      </c>
      <c r="HW169" s="2035"/>
      <c r="HX169" s="2036">
        <f>HX140/HX$21</f>
        <v>29531.313913153597</v>
      </c>
      <c r="HY169" s="2035"/>
      <c r="HZ169" s="2036">
        <f>HZ140/HZ$21</f>
        <v>17871.093450944958</v>
      </c>
      <c r="IA169" s="2035"/>
      <c r="IB169" s="1719">
        <f>IB140/IB$21</f>
        <v>20068.035381060305</v>
      </c>
      <c r="IC169" s="1718"/>
      <c r="ID169" s="2036">
        <f>ID140/ID$21</f>
        <v>13029.196354598178</v>
      </c>
      <c r="IE169" s="2035"/>
      <c r="IF169" s="2036">
        <f>IF140/IF$21</f>
        <v>15442.484516946024</v>
      </c>
      <c r="IG169" s="2035"/>
    </row>
    <row r="170" spans="1:241" ht="16.2" thickTop="1">
      <c r="A170" s="1149"/>
      <c r="B170" s="1149"/>
      <c r="C170" s="1149"/>
      <c r="D170" s="1158"/>
      <c r="E170" s="1143"/>
      <c r="F170" s="1717"/>
      <c r="G170" s="1356"/>
      <c r="H170" s="1717"/>
      <c r="I170" s="1356"/>
      <c r="J170" s="1717"/>
      <c r="K170" s="1356"/>
      <c r="L170" s="1717"/>
      <c r="M170" s="1356"/>
      <c r="N170" s="1717"/>
      <c r="O170" s="1356"/>
      <c r="P170" s="1717"/>
      <c r="Q170" s="1356"/>
      <c r="R170" s="1717"/>
      <c r="T170" s="1717"/>
      <c r="U170" s="1356"/>
      <c r="V170" s="1717"/>
      <c r="W170" s="1356"/>
      <c r="X170" s="1717"/>
      <c r="Y170" s="1356"/>
      <c r="Z170" s="1717"/>
      <c r="AA170" s="1356"/>
      <c r="AB170" s="1717"/>
      <c r="AC170" s="1356"/>
      <c r="AD170" s="1717"/>
      <c r="AE170" s="1356"/>
      <c r="AF170" s="1717"/>
      <c r="AG170" s="1356"/>
      <c r="AH170" s="1717"/>
      <c r="AI170" s="1356"/>
      <c r="AJ170" s="1717"/>
      <c r="AK170" s="1356"/>
      <c r="AL170" s="1717"/>
      <c r="AM170" s="1356"/>
      <c r="AN170" s="1717"/>
      <c r="AO170" s="1356"/>
      <c r="AP170" s="1717"/>
      <c r="AQ170" s="1356"/>
      <c r="AR170" s="1717"/>
      <c r="AS170" s="1356"/>
      <c r="AT170" s="1717"/>
      <c r="AU170" s="1356"/>
      <c r="AV170" s="1717"/>
      <c r="AW170" s="1356"/>
      <c r="AX170" s="1717"/>
      <c r="AY170" s="1356"/>
      <c r="AZ170" s="1717"/>
      <c r="BA170" s="1356"/>
      <c r="BB170" s="1717"/>
      <c r="BC170" s="1356"/>
      <c r="BD170" s="1717"/>
      <c r="BE170" s="1356"/>
      <c r="BF170" s="1717"/>
      <c r="BG170" s="1356"/>
      <c r="BH170" s="1717"/>
      <c r="BI170" s="1356"/>
      <c r="BJ170" s="1717"/>
      <c r="BK170" s="1356"/>
      <c r="BL170" s="1717"/>
      <c r="BM170" s="1356"/>
      <c r="BN170" s="1717"/>
      <c r="BO170" s="1356"/>
      <c r="BP170" s="1717"/>
      <c r="BQ170" s="1356"/>
      <c r="BR170" s="1717"/>
      <c r="BS170" s="1356"/>
      <c r="BT170" s="1717"/>
      <c r="BU170" s="1356"/>
      <c r="BV170" s="1717"/>
      <c r="BW170" s="1356"/>
      <c r="BX170" s="1717"/>
      <c r="BY170" s="1356"/>
      <c r="BZ170" s="1717"/>
      <c r="CA170" s="1356"/>
      <c r="CB170" s="1717"/>
      <c r="CC170" s="1356"/>
      <c r="CD170" s="1717"/>
      <c r="CE170" s="1356"/>
      <c r="CF170" s="1717"/>
      <c r="CG170" s="1356"/>
      <c r="CH170" s="1717"/>
      <c r="CI170" s="1356"/>
      <c r="CJ170" s="1717"/>
      <c r="CK170" s="1356"/>
      <c r="CL170" s="1717"/>
      <c r="CM170" s="1356"/>
      <c r="CN170" s="1717"/>
      <c r="CO170" s="1356"/>
      <c r="CP170" s="1717"/>
      <c r="CQ170" s="1356"/>
      <c r="CR170" s="1717"/>
      <c r="CS170" s="1356"/>
      <c r="CT170" s="1717"/>
      <c r="CU170" s="1356"/>
      <c r="CV170" s="1717"/>
      <c r="CW170" s="1356"/>
      <c r="CX170" s="1717"/>
      <c r="CY170" s="1356"/>
      <c r="CZ170" s="1717"/>
      <c r="DA170" s="1356"/>
      <c r="DB170" s="1717"/>
      <c r="DC170" s="1356"/>
      <c r="DD170" s="1717"/>
      <c r="DE170" s="1356"/>
      <c r="DF170" s="1717"/>
      <c r="DG170" s="1356"/>
      <c r="DH170" s="1717"/>
      <c r="DI170" s="1356"/>
      <c r="DJ170" s="1717"/>
      <c r="DK170" s="1356"/>
      <c r="DL170" s="1717"/>
      <c r="DM170" s="1356"/>
      <c r="DN170" s="1717"/>
      <c r="DO170" s="1356"/>
      <c r="DP170" s="1717"/>
      <c r="DQ170" s="1356"/>
      <c r="DR170" s="1717"/>
      <c r="DS170" s="1356"/>
      <c r="DT170" s="1717"/>
      <c r="DU170" s="1356"/>
      <c r="DV170" s="1717"/>
      <c r="DW170" s="1356"/>
      <c r="DX170" s="1717"/>
      <c r="DY170" s="1356"/>
      <c r="DZ170" s="1717"/>
      <c r="EA170" s="1356"/>
      <c r="EB170" s="1717"/>
      <c r="EC170" s="1356"/>
      <c r="ED170" s="1717"/>
      <c r="EE170" s="1356"/>
      <c r="EF170" s="1717"/>
      <c r="EG170" s="1356"/>
      <c r="EH170" s="1717"/>
      <c r="EI170" s="1356"/>
      <c r="EJ170" s="1717"/>
      <c r="EK170" s="1356"/>
      <c r="EL170" s="1717"/>
      <c r="EM170" s="1356"/>
      <c r="EN170" s="1717"/>
      <c r="EO170" s="1356"/>
      <c r="EP170" s="1717"/>
      <c r="EQ170" s="1356"/>
      <c r="ER170" s="1717"/>
      <c r="ES170" s="1356"/>
      <c r="ET170" s="1717"/>
      <c r="EU170" s="1356"/>
      <c r="EV170" s="1717"/>
      <c r="EW170" s="1356"/>
      <c r="EX170" s="1717"/>
      <c r="EY170" s="1356"/>
      <c r="EZ170" s="1717"/>
      <c r="FA170" s="1356"/>
      <c r="FB170" s="1717"/>
      <c r="FC170" s="1356"/>
      <c r="FD170" s="1717"/>
      <c r="FE170" s="1356"/>
      <c r="FF170" s="1717"/>
      <c r="FG170" s="1356"/>
      <c r="FH170" s="1717"/>
      <c r="FI170" s="1356"/>
      <c r="FJ170" s="1717"/>
      <c r="FK170" s="1356"/>
      <c r="FL170" s="1717"/>
      <c r="FM170" s="1356"/>
      <c r="FN170" s="1717"/>
      <c r="FO170" s="1356"/>
      <c r="FP170" s="1717"/>
      <c r="FQ170" s="1356"/>
      <c r="FR170" s="1717"/>
      <c r="FS170" s="1356"/>
      <c r="FT170" s="1717"/>
      <c r="FU170" s="1356"/>
      <c r="FV170" s="1717"/>
      <c r="FW170" s="1356"/>
      <c r="FX170" s="1717"/>
      <c r="FY170" s="1356"/>
      <c r="FZ170" s="1717"/>
      <c r="GA170" s="1356"/>
      <c r="GB170" s="1717"/>
      <c r="GC170" s="1356"/>
      <c r="GD170" s="1717"/>
      <c r="GE170" s="1356"/>
      <c r="GF170" s="1717"/>
      <c r="GG170" s="1356"/>
      <c r="GH170" s="1717"/>
      <c r="GI170" s="1356"/>
      <c r="GJ170" s="1717"/>
      <c r="GK170" s="1356"/>
      <c r="GL170" s="1717"/>
      <c r="GM170" s="1356"/>
      <c r="GN170" s="1717"/>
      <c r="GO170" s="1356"/>
      <c r="GP170" s="1717"/>
      <c r="GQ170" s="1356"/>
      <c r="GR170" s="1717"/>
      <c r="GS170" s="1356"/>
      <c r="GT170" s="1717"/>
      <c r="GU170" s="1356"/>
      <c r="GV170" s="1717"/>
      <c r="GW170" s="1356"/>
      <c r="GX170" s="1717"/>
      <c r="GY170" s="1356"/>
      <c r="GZ170" s="1717"/>
      <c r="HA170" s="1356"/>
      <c r="HB170" s="1717"/>
      <c r="HC170" s="1356"/>
      <c r="HD170" s="1717"/>
      <c r="HE170" s="1356"/>
      <c r="HF170" s="2034"/>
      <c r="HH170" s="1717"/>
      <c r="HI170" s="1356"/>
      <c r="HJ170" s="1717"/>
      <c r="HK170" s="1356"/>
      <c r="HL170" s="1717"/>
      <c r="HM170" s="1356"/>
      <c r="HN170" s="1717"/>
      <c r="HO170" s="1356"/>
      <c r="HP170" s="2034"/>
      <c r="HR170" s="1717"/>
      <c r="HS170" s="1356"/>
      <c r="HT170" s="2034"/>
      <c r="HV170" s="2034"/>
      <c r="HX170" s="2034"/>
      <c r="HZ170" s="2034"/>
      <c r="IB170" s="1717"/>
      <c r="IC170" s="1356"/>
      <c r="ID170" s="2034"/>
      <c r="IF170" s="2034"/>
    </row>
    <row r="171" spans="1:241">
      <c r="A171" s="1149"/>
      <c r="B171" s="1149" t="s">
        <v>15</v>
      </c>
      <c r="C171" s="1149"/>
      <c r="D171" s="1149"/>
      <c r="E171" s="1143"/>
      <c r="F171" s="1717"/>
      <c r="G171" s="1356"/>
      <c r="H171" s="1717"/>
      <c r="I171" s="1356"/>
      <c r="J171" s="1717"/>
      <c r="K171" s="1356"/>
      <c r="L171" s="1717"/>
      <c r="M171" s="1356"/>
      <c r="N171" s="1717"/>
      <c r="O171" s="1356"/>
      <c r="P171" s="1717"/>
      <c r="Q171" s="1356"/>
      <c r="R171" s="1717"/>
      <c r="T171" s="1717"/>
      <c r="U171" s="1356"/>
      <c r="V171" s="1717"/>
      <c r="W171" s="1356"/>
      <c r="X171" s="1717"/>
      <c r="Y171" s="1356"/>
      <c r="Z171" s="1717"/>
      <c r="AA171" s="1356"/>
      <c r="AB171" s="1717"/>
      <c r="AC171" s="1356"/>
      <c r="AD171" s="1717"/>
      <c r="AE171" s="1356"/>
      <c r="AF171" s="1717"/>
      <c r="AG171" s="1356"/>
      <c r="AH171" s="1717"/>
      <c r="AI171" s="1356"/>
      <c r="AJ171" s="1717"/>
      <c r="AK171" s="1356"/>
      <c r="AL171" s="1717"/>
      <c r="AM171" s="1356"/>
      <c r="AN171" s="1717"/>
      <c r="AO171" s="1356"/>
      <c r="AP171" s="1717"/>
      <c r="AQ171" s="1356"/>
      <c r="AR171" s="1717"/>
      <c r="AS171" s="1356"/>
      <c r="AT171" s="1717"/>
      <c r="AU171" s="1356"/>
      <c r="AV171" s="1717"/>
      <c r="AW171" s="1356"/>
      <c r="AX171" s="1717"/>
      <c r="AY171" s="1356"/>
      <c r="AZ171" s="1717"/>
      <c r="BA171" s="1356"/>
      <c r="BB171" s="1717"/>
      <c r="BC171" s="1356"/>
      <c r="BD171" s="1717"/>
      <c r="BE171" s="1356"/>
      <c r="BF171" s="1717"/>
      <c r="BG171" s="1356"/>
      <c r="BH171" s="1717"/>
      <c r="BI171" s="1356"/>
      <c r="BJ171" s="1717"/>
      <c r="BK171" s="1356"/>
      <c r="BL171" s="1717"/>
      <c r="BM171" s="1356"/>
      <c r="BN171" s="1717"/>
      <c r="BO171" s="1356"/>
      <c r="BP171" s="1717"/>
      <c r="BQ171" s="1356"/>
      <c r="BR171" s="1717"/>
      <c r="BS171" s="1356"/>
      <c r="BT171" s="1717"/>
      <c r="BU171" s="1356"/>
      <c r="BV171" s="1717"/>
      <c r="BW171" s="1356"/>
      <c r="BX171" s="1717"/>
      <c r="BY171" s="1356"/>
      <c r="BZ171" s="1717"/>
      <c r="CA171" s="1356"/>
      <c r="CB171" s="1717"/>
      <c r="CC171" s="1356"/>
      <c r="CD171" s="1717"/>
      <c r="CE171" s="1356"/>
      <c r="CF171" s="1717"/>
      <c r="CG171" s="1356"/>
      <c r="CH171" s="1717"/>
      <c r="CI171" s="1356"/>
      <c r="CJ171" s="1717"/>
      <c r="CK171" s="1356"/>
      <c r="CL171" s="1717"/>
      <c r="CM171" s="1356"/>
      <c r="CN171" s="1717"/>
      <c r="CO171" s="1356"/>
      <c r="CP171" s="1717"/>
      <c r="CQ171" s="1356"/>
      <c r="CR171" s="1717"/>
      <c r="CS171" s="1356"/>
      <c r="CT171" s="1717"/>
      <c r="CU171" s="1356"/>
      <c r="CV171" s="1717"/>
      <c r="CW171" s="1356"/>
      <c r="CX171" s="1717"/>
      <c r="CY171" s="1356"/>
      <c r="CZ171" s="1717"/>
      <c r="DA171" s="1356"/>
      <c r="DB171" s="1717"/>
      <c r="DC171" s="1356"/>
      <c r="DD171" s="1717"/>
      <c r="DE171" s="1356"/>
      <c r="DF171" s="1717"/>
      <c r="DG171" s="1356"/>
      <c r="DH171" s="1717"/>
      <c r="DI171" s="1356"/>
      <c r="DJ171" s="1717"/>
      <c r="DK171" s="1356"/>
      <c r="DL171" s="1717"/>
      <c r="DM171" s="1356"/>
      <c r="DN171" s="1717"/>
      <c r="DO171" s="1356"/>
      <c r="DP171" s="1717"/>
      <c r="DQ171" s="1356"/>
      <c r="DR171" s="1717"/>
      <c r="DS171" s="1356"/>
      <c r="DT171" s="1717"/>
      <c r="DU171" s="1356"/>
      <c r="DV171" s="1717"/>
      <c r="DW171" s="1356"/>
      <c r="DX171" s="1717"/>
      <c r="DY171" s="1356"/>
      <c r="DZ171" s="1717"/>
      <c r="EA171" s="1356"/>
      <c r="EB171" s="1717"/>
      <c r="EC171" s="1356"/>
      <c r="ED171" s="1717"/>
      <c r="EE171" s="1356"/>
      <c r="EF171" s="1717"/>
      <c r="EG171" s="1356"/>
      <c r="EH171" s="1717"/>
      <c r="EI171" s="1356"/>
      <c r="EJ171" s="1717"/>
      <c r="EK171" s="1356"/>
      <c r="EL171" s="1717"/>
      <c r="EM171" s="1356"/>
      <c r="EN171" s="1717"/>
      <c r="EO171" s="1356"/>
      <c r="EP171" s="1717"/>
      <c r="EQ171" s="1356"/>
      <c r="ER171" s="1717"/>
      <c r="ES171" s="1356"/>
      <c r="ET171" s="1717"/>
      <c r="EU171" s="1356"/>
      <c r="EV171" s="1717"/>
      <c r="EW171" s="1356"/>
      <c r="EX171" s="1717"/>
      <c r="EY171" s="1356"/>
      <c r="EZ171" s="1717"/>
      <c r="FA171" s="1356"/>
      <c r="FB171" s="1717"/>
      <c r="FC171" s="1356"/>
      <c r="FD171" s="1717"/>
      <c r="FE171" s="1356"/>
      <c r="FF171" s="1717"/>
      <c r="FG171" s="1356"/>
      <c r="FH171" s="1717"/>
      <c r="FI171" s="1356"/>
      <c r="FJ171" s="1717"/>
      <c r="FK171" s="1356"/>
      <c r="FL171" s="1717"/>
      <c r="FM171" s="1356"/>
      <c r="FN171" s="1717"/>
      <c r="FO171" s="1356"/>
      <c r="FP171" s="1717"/>
      <c r="FQ171" s="1356"/>
      <c r="FR171" s="1717"/>
      <c r="FS171" s="1356"/>
      <c r="FT171" s="1717"/>
      <c r="FU171" s="1356"/>
      <c r="FV171" s="1717"/>
      <c r="FW171" s="1356"/>
      <c r="FX171" s="1717"/>
      <c r="FY171" s="1356"/>
      <c r="FZ171" s="1717"/>
      <c r="GA171" s="1356"/>
      <c r="GB171" s="1717"/>
      <c r="GC171" s="1356"/>
      <c r="GD171" s="1717"/>
      <c r="GE171" s="1356"/>
      <c r="GF171" s="1717"/>
      <c r="GG171" s="1356"/>
      <c r="GH171" s="1717"/>
      <c r="GI171" s="1356"/>
      <c r="GJ171" s="1717"/>
      <c r="GK171" s="1356"/>
      <c r="GL171" s="1717"/>
      <c r="GM171" s="1356"/>
      <c r="GN171" s="1717"/>
      <c r="GO171" s="1356"/>
      <c r="GP171" s="1717"/>
      <c r="GQ171" s="1356"/>
      <c r="GR171" s="1717"/>
      <c r="GS171" s="1356"/>
      <c r="GT171" s="1717"/>
      <c r="GU171" s="1356"/>
      <c r="GV171" s="1717"/>
      <c r="GW171" s="1356"/>
      <c r="GX171" s="1717"/>
      <c r="GY171" s="1356"/>
      <c r="GZ171" s="1717"/>
      <c r="HA171" s="1356"/>
      <c r="HB171" s="1717"/>
      <c r="HC171" s="1356"/>
      <c r="HD171" s="1717"/>
      <c r="HE171" s="1356"/>
      <c r="HF171" s="2034"/>
      <c r="HH171" s="1717"/>
      <c r="HI171" s="1356"/>
      <c r="HJ171" s="1717"/>
      <c r="HK171" s="1356"/>
      <c r="HL171" s="1717"/>
      <c r="HM171" s="1356"/>
      <c r="HN171" s="1717"/>
      <c r="HO171" s="1356"/>
      <c r="HP171" s="2034"/>
      <c r="HR171" s="1717"/>
      <c r="HS171" s="1356"/>
      <c r="HT171" s="2034"/>
      <c r="HV171" s="2034"/>
      <c r="HX171" s="2034"/>
      <c r="HZ171" s="2034"/>
      <c r="IB171" s="1717"/>
      <c r="IC171" s="1356"/>
      <c r="ID171" s="2034"/>
      <c r="IF171" s="2034"/>
    </row>
    <row r="172" spans="1:241">
      <c r="A172" s="1149"/>
      <c r="B172" s="1149"/>
      <c r="C172" s="1149"/>
      <c r="D172" s="1149" t="s">
        <v>16</v>
      </c>
      <c r="E172" s="1143"/>
      <c r="F172" s="1722">
        <f t="shared" ref="F172:F177" si="316">F143/F$21</f>
        <v>9478.8827149108656</v>
      </c>
      <c r="G172" s="1718"/>
      <c r="H172" s="1722">
        <f t="shared" ref="H172:H177" si="317">H143/H$21</f>
        <v>16471.605706661619</v>
      </c>
      <c r="I172" s="1718"/>
      <c r="J172" s="1722">
        <f t="shared" ref="J172:J177" si="318">J143/J$21</f>
        <v>10552.550347279632</v>
      </c>
      <c r="K172" s="1718"/>
      <c r="L172" s="1722">
        <f t="shared" ref="L172:L174" si="319">L143/L$21</f>
        <v>12443.968213164439</v>
      </c>
      <c r="M172" s="1718"/>
      <c r="N172" s="1722">
        <f t="shared" ref="N172:N177" si="320">N143/N$21</f>
        <v>20724.171658768613</v>
      </c>
      <c r="O172" s="1718"/>
      <c r="P172" s="1722">
        <f t="shared" ref="P172:P177" si="321">P143/P$21</f>
        <v>13344.360403707238</v>
      </c>
      <c r="Q172" s="1718"/>
      <c r="R172" s="1722">
        <f t="shared" ref="R172:R177" si="322">R143/R$21</f>
        <v>18943.028112114203</v>
      </c>
      <c r="S172" s="1718"/>
      <c r="T172" s="1722">
        <f t="shared" ref="T172:T177" si="323">T143/T$21</f>
        <v>5639.7917942634376</v>
      </c>
      <c r="U172" s="1718"/>
      <c r="V172" s="1722">
        <f t="shared" ref="V172:V177" si="324">V143/V$21</f>
        <v>4807.1321279869089</v>
      </c>
      <c r="W172" s="1718"/>
      <c r="X172" s="1722">
        <f t="shared" ref="X172:X177" si="325">X143/X$21</f>
        <v>16772.252651145915</v>
      </c>
      <c r="Y172" s="1718"/>
      <c r="Z172" s="1722">
        <f t="shared" ref="Z172:Z177" si="326">Z143/Z$21</f>
        <v>11062.982052707708</v>
      </c>
      <c r="AA172" s="1718"/>
      <c r="AB172" s="1722">
        <f t="shared" ref="AB172:AB177" si="327">AB143/AB$21</f>
        <v>4319.0161117078414</v>
      </c>
      <c r="AC172" s="1718"/>
      <c r="AD172" s="1722">
        <f t="shared" ref="AD172:AD177" si="328">AD143/AD$21</f>
        <v>13008.060459209501</v>
      </c>
      <c r="AE172" s="1718"/>
      <c r="AF172" s="1722">
        <f t="shared" ref="AF172:AF177" si="329">AF143/AF$21</f>
        <v>10425.204267100204</v>
      </c>
      <c r="AG172" s="1718"/>
      <c r="AH172" s="1722">
        <f t="shared" ref="AH172:AH177" si="330">AH143/AH$21</f>
        <v>5621.6767734983005</v>
      </c>
      <c r="AI172" s="1718"/>
      <c r="AJ172" s="1722">
        <f t="shared" ref="AJ172:AJ177" si="331">AJ143/AJ$21</f>
        <v>18422.780404835645</v>
      </c>
      <c r="AK172" s="1718"/>
      <c r="AL172" s="1722">
        <f t="shared" ref="AL172:AL177" si="332">AL143/AL$21</f>
        <v>5194.9545052058038</v>
      </c>
      <c r="AM172" s="1718"/>
      <c r="AN172" s="1722">
        <f t="shared" ref="AN172:AN177" si="333">AN143/AN$21</f>
        <v>10744.570203117317</v>
      </c>
      <c r="AO172" s="1718"/>
      <c r="AP172" s="1722">
        <f t="shared" ref="AP172:AP177" si="334">AP143/AP$21</f>
        <v>18212.516151671483</v>
      </c>
      <c r="AQ172" s="1718"/>
      <c r="AR172" s="1722">
        <f t="shared" ref="AR172:AR177" si="335">AR143/AR$21</f>
        <v>27786.560949283219</v>
      </c>
      <c r="AS172" s="1718"/>
      <c r="AT172" s="1722">
        <f t="shared" ref="AT172:AT177" si="336">AT143/AT$21</f>
        <v>5929.915530296601</v>
      </c>
      <c r="AU172" s="1718"/>
      <c r="AV172" s="1722">
        <f t="shared" ref="AV172:AV177" si="337">AV143/AV$21</f>
        <v>16305.571062300229</v>
      </c>
      <c r="AW172" s="1718"/>
      <c r="AX172" s="1722">
        <f t="shared" ref="AX172:AX177" si="338">AX143/AX$21</f>
        <v>7089.964975124095</v>
      </c>
      <c r="AY172" s="1718"/>
      <c r="AZ172" s="1722">
        <f t="shared" ref="AZ172:AZ177" si="339">AZ143/AZ$21</f>
        <v>5875.7333532939756</v>
      </c>
      <c r="BA172" s="1718"/>
      <c r="BB172" s="1722">
        <f t="shared" ref="BB172:BB177" si="340">BB143/BB$21</f>
        <v>17628.569504464176</v>
      </c>
      <c r="BC172" s="1718"/>
      <c r="BD172" s="1722">
        <f t="shared" ref="BD172:BD177" si="341">BD143/BD$21</f>
        <v>7082.269217101818</v>
      </c>
      <c r="BE172" s="1718"/>
      <c r="BF172" s="1722">
        <f t="shared" ref="BF172:BF177" si="342">BF143/BF$21</f>
        <v>6010.6790778061713</v>
      </c>
      <c r="BG172" s="1718"/>
      <c r="BH172" s="1722">
        <f t="shared" ref="BH172:BH177" si="343">BH143/BH$21</f>
        <v>10964.824046019712</v>
      </c>
      <c r="BI172" s="1718"/>
      <c r="BJ172" s="1722">
        <f t="shared" ref="BJ172:BJ177" si="344">BJ143/BJ$21</f>
        <v>13721.721157216542</v>
      </c>
      <c r="BK172" s="1718"/>
      <c r="BL172" s="1722">
        <f t="shared" ref="BL172:BL177" si="345">BL143/BL$21</f>
        <v>20472.096913951817</v>
      </c>
      <c r="BM172" s="1718"/>
      <c r="BN172" s="1722">
        <f t="shared" ref="BN172:BN177" si="346">BN143/BN$21</f>
        <v>7602.1234647433648</v>
      </c>
      <c r="BO172" s="1718"/>
      <c r="BP172" s="1722">
        <f t="shared" ref="BP172:BP177" si="347">BP143/BP$21</f>
        <v>5945.2954746982577</v>
      </c>
      <c r="BQ172" s="1718"/>
      <c r="BR172" s="1722">
        <f t="shared" ref="BR172:BR177" si="348">BR143/BR$21</f>
        <v>10382.120116105521</v>
      </c>
      <c r="BS172" s="1718"/>
      <c r="BT172" s="1722">
        <f t="shared" ref="BT172:BT177" si="349">BT143/BT$21</f>
        <v>8688.3543252922809</v>
      </c>
      <c r="BU172" s="1718"/>
      <c r="BV172" s="1722">
        <f t="shared" ref="BV172:BV177" si="350">BV143/BV$21</f>
        <v>3928.5363997950071</v>
      </c>
      <c r="BW172" s="1718"/>
      <c r="BX172" s="1722">
        <f t="shared" ref="BX172:BX177" si="351">BX143/BX$21</f>
        <v>4324.6038362028494</v>
      </c>
      <c r="BY172" s="1718"/>
      <c r="BZ172" s="1722">
        <f t="shared" ref="BZ172:BZ177" si="352">BZ143/BZ$21</f>
        <v>9422.0232625434728</v>
      </c>
      <c r="CA172" s="1718"/>
      <c r="CB172" s="1722">
        <f t="shared" ref="CB172:CB177" si="353">CB143/CB$21</f>
        <v>15297.447486982328</v>
      </c>
      <c r="CC172" s="1718"/>
      <c r="CD172" s="1722">
        <f t="shared" ref="CD172:CD177" si="354">CD143/CD$21</f>
        <v>11104.45618818924</v>
      </c>
      <c r="CE172" s="1718"/>
      <c r="CF172" s="1722">
        <v>16028.018519355828</v>
      </c>
      <c r="CG172" s="1718"/>
      <c r="CH172" s="1722">
        <f t="shared" ref="CH172:CH177" si="355">CH143/CH$21</f>
        <v>11386.312779959922</v>
      </c>
      <c r="CI172" s="1718"/>
      <c r="CJ172" s="1722">
        <v>9351.3732100438847</v>
      </c>
      <c r="CK172" s="1718"/>
      <c r="CL172" s="1722">
        <v>16486.884380769156</v>
      </c>
      <c r="CM172" s="1718"/>
      <c r="CN172" s="1722">
        <f t="shared" ref="CN172:CN175" si="356">CN143/CN$21</f>
        <v>11639.948195098403</v>
      </c>
      <c r="CO172" s="1718"/>
      <c r="CP172" s="1722">
        <f t="shared" ref="CP172:CP177" si="357">CP143/CP$21</f>
        <v>9179.4045456566255</v>
      </c>
      <c r="CQ172" s="1718"/>
      <c r="CR172" s="1722">
        <v>23817.417722039037</v>
      </c>
      <c r="CS172" s="1718"/>
      <c r="CT172" s="1722">
        <f t="shared" ref="CT172:CT177" si="358">CT143/CT$21</f>
        <v>15035.985697317703</v>
      </c>
      <c r="CU172" s="1718"/>
      <c r="CV172" s="1722">
        <f t="shared" ref="CV172:CX177" si="359">CV143/CV$21</f>
        <v>14056.829864304535</v>
      </c>
      <c r="CW172" s="1718"/>
      <c r="CX172" s="1722">
        <f t="shared" si="359"/>
        <v>23358.200679285976</v>
      </c>
      <c r="CY172" s="1718"/>
      <c r="CZ172" s="1722">
        <v>13804.370917739583</v>
      </c>
      <c r="DA172" s="1718"/>
      <c r="DB172" s="1722">
        <v>13357.926001987369</v>
      </c>
      <c r="DC172" s="1718"/>
      <c r="DD172" s="1722">
        <v>11037.202815161105</v>
      </c>
      <c r="DE172" s="1718"/>
      <c r="DF172" s="1722">
        <v>18429.616988645797</v>
      </c>
      <c r="DG172" s="1718"/>
      <c r="DH172" s="1722">
        <v>1356.1080533024333</v>
      </c>
      <c r="DI172" s="1718"/>
      <c r="DJ172" s="1722">
        <v>8153.6423356593659</v>
      </c>
      <c r="DK172" s="1718"/>
      <c r="DL172" s="1722">
        <v>9924.4201542608753</v>
      </c>
      <c r="DM172" s="1718"/>
      <c r="DN172" s="1722">
        <f t="shared" ref="DN172:DN177" si="360">DN143/DN$21</f>
        <v>17564.638404161538</v>
      </c>
      <c r="DO172" s="1718"/>
      <c r="DP172" s="1722">
        <f t="shared" ref="DP172:DP177" si="361">DP143/DP$21</f>
        <v>12044.020435061891</v>
      </c>
      <c r="DQ172" s="1718"/>
      <c r="DR172" s="1722">
        <f t="shared" ref="DR172:DR177" si="362">DR143/DR$21</f>
        <v>14240.705827858428</v>
      </c>
      <c r="DS172" s="1718"/>
      <c r="DT172" s="1722">
        <f t="shared" ref="DT172:DT177" si="363">DT143/DT$21</f>
        <v>16181.350071443241</v>
      </c>
      <c r="DU172" s="1718"/>
      <c r="DV172" s="1722">
        <f t="shared" ref="DV172:DV177" si="364">DV143/DV$21</f>
        <v>10020.66233070781</v>
      </c>
      <c r="DW172" s="1718"/>
      <c r="DX172" s="1722">
        <f t="shared" ref="DX172:DX177" si="365">DX143/DX$21</f>
        <v>23266.640172609848</v>
      </c>
      <c r="DY172" s="1718"/>
      <c r="DZ172" s="1722">
        <f t="shared" ref="DZ172:DZ177" si="366">DZ143/DZ$21</f>
        <v>12122.63322279923</v>
      </c>
      <c r="EA172" s="1718"/>
      <c r="EB172" s="1722">
        <f t="shared" ref="EB172:EB177" si="367">EB143/EB$21</f>
        <v>22891.380317433348</v>
      </c>
      <c r="EC172" s="1718"/>
      <c r="ED172" s="1722">
        <f t="shared" ref="ED172:ED177" si="368">ED143/ED$21</f>
        <v>12938.287916724401</v>
      </c>
      <c r="EE172" s="1718"/>
      <c r="EF172" s="1722">
        <f t="shared" ref="EF172:EF177" si="369">EF143/EF$21</f>
        <v>15711.061178179336</v>
      </c>
      <c r="EG172" s="1718"/>
      <c r="EH172" s="1722">
        <f t="shared" ref="EH172:EH177" si="370">EH143/EH$21</f>
        <v>21144.728418589355</v>
      </c>
      <c r="EI172" s="1718"/>
      <c r="EJ172" s="1722">
        <f t="shared" ref="EJ172:EJ177" si="371">EJ143/EJ$21</f>
        <v>11954.200866232348</v>
      </c>
      <c r="EK172" s="1718"/>
      <c r="EL172" s="1722">
        <f t="shared" ref="EL172:EL177" si="372">EL143/EL$21</f>
        <v>15661.524509555382</v>
      </c>
      <c r="EM172" s="1718"/>
      <c r="EN172" s="1722">
        <f t="shared" ref="EN172:EN177" si="373">EN143/EN$21</f>
        <v>10932.324508221669</v>
      </c>
      <c r="EO172" s="1718"/>
      <c r="EP172" s="1722">
        <f t="shared" ref="EP172:EP177" si="374">EP143/EP$21</f>
        <v>7389.8033992564551</v>
      </c>
      <c r="EQ172" s="1718"/>
      <c r="ER172" s="1722">
        <f t="shared" ref="ER172:ER177" si="375">ER143/ER$21</f>
        <v>4330.8183653622627</v>
      </c>
      <c r="ES172" s="1718"/>
      <c r="ET172" s="1722">
        <f t="shared" ref="ET172:ET177" si="376">ET143/ET$21</f>
        <v>13794.453786356171</v>
      </c>
      <c r="EU172" s="1718"/>
      <c r="EV172" s="1722">
        <f t="shared" ref="EV172:EV177" si="377">EV143/EV$21</f>
        <v>2841.9179675378159</v>
      </c>
      <c r="EW172" s="1718"/>
      <c r="EX172" s="1722">
        <f t="shared" ref="EX172:EX177" si="378">EX143/EX$21</f>
        <v>6917.4261434241562</v>
      </c>
      <c r="EY172" s="1718"/>
      <c r="EZ172" s="1722">
        <f t="shared" ref="EZ172:EZ177" si="379">EZ143/EZ$21</f>
        <v>20485.975769776782</v>
      </c>
      <c r="FA172" s="1718"/>
      <c r="FB172" s="1722">
        <f t="shared" ref="FB172:FB177" si="380">FB143/FB$21</f>
        <v>4754.4584503009537</v>
      </c>
      <c r="FC172" s="1718"/>
      <c r="FD172" s="1722">
        <f t="shared" ref="FD172:FD177" si="381">FD143/FD$21</f>
        <v>10352.995942320791</v>
      </c>
      <c r="FE172" s="1718"/>
      <c r="FF172" s="1722">
        <f t="shared" ref="FF172:FF177" si="382">FF143/FF$21</f>
        <v>4830.8527999999997</v>
      </c>
      <c r="FG172" s="1718"/>
      <c r="FH172" s="1722">
        <f t="shared" ref="FH172:FH177" si="383">FH143/FH$21</f>
        <v>17163.421576293415</v>
      </c>
      <c r="FI172" s="1718"/>
      <c r="FJ172" s="1722">
        <f t="shared" ref="FJ172:FJ177" si="384">FJ143/FJ$21</f>
        <v>13365.102413032011</v>
      </c>
      <c r="FK172" s="1718"/>
      <c r="FL172" s="1722">
        <f t="shared" ref="FL172:FL177" si="385">FL143/FL$21</f>
        <v>15240.025342016828</v>
      </c>
      <c r="FM172" s="1718"/>
      <c r="FN172" s="1722">
        <f t="shared" ref="FN172:FN177" si="386">FN143/FN$21</f>
        <v>19384.428334721313</v>
      </c>
      <c r="FO172" s="1718"/>
      <c r="FP172" s="1722">
        <f t="shared" ref="FP172:FP177" si="387">FP143/FP$21</f>
        <v>4485.5370423393242</v>
      </c>
      <c r="FQ172" s="1718"/>
      <c r="FR172" s="1722">
        <f t="shared" ref="FR172:FR177" si="388">FR143/FR$21</f>
        <v>11619.271491685249</v>
      </c>
      <c r="FS172" s="1718"/>
      <c r="FT172" s="1722">
        <f t="shared" ref="FT172:FT177" si="389">FT143/FT$21</f>
        <v>11265.429507966615</v>
      </c>
      <c r="FU172" s="1718"/>
      <c r="FV172" s="1722">
        <f t="shared" ref="FV172:FV177" si="390">FV143/FV$21</f>
        <v>24077.0100161054</v>
      </c>
      <c r="FW172" s="1718"/>
      <c r="FX172" s="1722">
        <f t="shared" ref="FX172:FX177" si="391">FX143/FX$21</f>
        <v>8010.3473779720507</v>
      </c>
      <c r="FY172" s="1718"/>
      <c r="FZ172" s="1722">
        <f t="shared" ref="FZ172:FZ177" si="392">FZ143/FZ$21</f>
        <v>10966.407702758523</v>
      </c>
      <c r="GA172" s="1718"/>
      <c r="GB172" s="1722">
        <f t="shared" ref="GB172:GB177" si="393">GB143/GB$21</f>
        <v>10783.815852738235</v>
      </c>
      <c r="GC172" s="1718"/>
      <c r="GD172" s="1722">
        <f t="shared" ref="GD172:GD177" si="394">GD143/GD$21</f>
        <v>14259.161525897474</v>
      </c>
      <c r="GE172" s="1718"/>
      <c r="GF172" s="1722">
        <f t="shared" ref="GF172:GF177" si="395">GF143/GF$21</f>
        <v>10859.872937989961</v>
      </c>
      <c r="GG172" s="1718"/>
      <c r="GH172" s="1722">
        <f t="shared" ref="GH172:GH177" si="396">GH143/GH$21</f>
        <v>10790.774956798898</v>
      </c>
      <c r="GI172" s="1718"/>
      <c r="GJ172" s="1722">
        <f t="shared" ref="GJ172:GJ177" si="397">GJ143/GJ$21</f>
        <v>20553.577848787932</v>
      </c>
      <c r="GK172" s="1718"/>
      <c r="GL172" s="1722">
        <f t="shared" ref="GL172:GL177" si="398">GL143/GL$21</f>
        <v>4928.4427906151786</v>
      </c>
      <c r="GM172" s="1718"/>
      <c r="GN172" s="1722">
        <f t="shared" ref="GN172:GN177" si="399">GN143/GN$21</f>
        <v>4638.3813459268003</v>
      </c>
      <c r="GO172" s="1718"/>
      <c r="GP172" s="1722">
        <f t="shared" ref="GP172:GP177" si="400">GP143/GP$21</f>
        <v>10738.220730189618</v>
      </c>
      <c r="GQ172" s="1718"/>
      <c r="GR172" s="1722">
        <f t="shared" ref="GR172:GR177" si="401">GR143/GR$21</f>
        <v>7301.3314473292066</v>
      </c>
      <c r="GS172" s="1718"/>
      <c r="GT172" s="1722">
        <f t="shared" ref="GT172:GT177" si="402">GT143/GT$21</f>
        <v>4097.8226769299572</v>
      </c>
      <c r="GU172" s="1718"/>
      <c r="GV172" s="1722">
        <f t="shared" ref="GV172:GV177" si="403">GV143/GV$21</f>
        <v>5464.6301240995799</v>
      </c>
      <c r="GW172" s="1718"/>
      <c r="GX172" s="1722">
        <f t="shared" ref="GX172:GX177" si="404">GX143/GX$21</f>
        <v>5889.2330151040887</v>
      </c>
      <c r="GY172" s="1718"/>
      <c r="GZ172" s="1722">
        <f t="shared" ref="GZ172:GZ177" si="405">GZ143/GZ$21</f>
        <v>14647.436556635437</v>
      </c>
      <c r="HA172" s="1718"/>
      <c r="HB172" s="1722">
        <f t="shared" ref="HB172:HB177" si="406">HB143/HB$21</f>
        <v>8513.2135745884352</v>
      </c>
      <c r="HC172" s="1718"/>
      <c r="HD172" s="1722">
        <f t="shared" ref="HD172:HD177" si="407">HD143/HD$21</f>
        <v>19027.258555691085</v>
      </c>
      <c r="HE172" s="1718"/>
      <c r="HF172" s="2038">
        <f t="shared" ref="HF172:HF177" si="408">HF143/HF$21</f>
        <v>18881.881478247196</v>
      </c>
      <c r="HG172" s="2035"/>
      <c r="HH172" s="1722">
        <f t="shared" ref="HH172:HH177" si="409">HH143/HH$21</f>
        <v>24001.531209903307</v>
      </c>
      <c r="HI172" s="1718"/>
      <c r="HJ172" s="1722">
        <f t="shared" ref="HJ172:HJ177" si="410">HJ143/HJ$21</f>
        <v>7050.2893092008499</v>
      </c>
      <c r="HK172" s="1718"/>
      <c r="HL172" s="1722">
        <f t="shared" ref="HL172:HL177" si="411">HL143/HL$21</f>
        <v>11121.823893953891</v>
      </c>
      <c r="HM172" s="1718"/>
      <c r="HN172" s="1722">
        <f t="shared" ref="HN172:HN177" si="412">HN143/HN$21</f>
        <v>10862.320627957981</v>
      </c>
      <c r="HO172" s="1718"/>
      <c r="HP172" s="2038">
        <f t="shared" ref="HP172:HP177" si="413">HP143/HP$21</f>
        <v>16431.480017742892</v>
      </c>
      <c r="HQ172" s="2035"/>
      <c r="HR172" s="1722">
        <f t="shared" ref="HR172:HR177" si="414">HR143/HR$21</f>
        <v>6656.2487719879691</v>
      </c>
      <c r="HS172" s="1718"/>
      <c r="HT172" s="2038">
        <f t="shared" ref="HT172:HT177" si="415">HT143/HT$21</f>
        <v>13807.519225606618</v>
      </c>
      <c r="HU172" s="2035"/>
      <c r="HV172" s="2038">
        <f t="shared" ref="HV172:HV177" si="416">HV143/HV$21</f>
        <v>20623.910281740689</v>
      </c>
      <c r="HW172" s="2035"/>
      <c r="HX172" s="2038">
        <f t="shared" ref="HX172:HX177" si="417">HX143/HX$21</f>
        <v>12064.87902146506</v>
      </c>
      <c r="HY172" s="2035"/>
      <c r="HZ172" s="2038">
        <f t="shared" ref="HZ172:HZ177" si="418">HZ143/HZ$21</f>
        <v>7994.1451137947415</v>
      </c>
      <c r="IA172" s="2035"/>
      <c r="IB172" s="1722">
        <f t="shared" ref="IB172:IB177" si="419">IB143/IB$21</f>
        <v>9508.9142934816809</v>
      </c>
      <c r="IC172" s="1718"/>
      <c r="ID172" s="2038">
        <f t="shared" ref="ID172:ID177" si="420">ID143/ID$21</f>
        <v>6585.3208858975568</v>
      </c>
      <c r="IE172" s="2035"/>
      <c r="IF172" s="2038">
        <f t="shared" ref="IF172:IF177" si="421">IF143/IF$21</f>
        <v>7499.4342339919531</v>
      </c>
      <c r="IG172" s="2035"/>
    </row>
    <row r="173" spans="1:241">
      <c r="A173" s="1149"/>
      <c r="B173" s="1149"/>
      <c r="C173" s="1149"/>
      <c r="D173" s="1149" t="s">
        <v>17</v>
      </c>
      <c r="E173" s="1143"/>
      <c r="F173" s="1722">
        <f t="shared" si="316"/>
        <v>2649.7116068189121</v>
      </c>
      <c r="G173" s="1718"/>
      <c r="H173" s="1722">
        <f t="shared" si="317"/>
        <v>4361.2452210627362</v>
      </c>
      <c r="I173" s="1718"/>
      <c r="J173" s="1722">
        <f t="shared" si="318"/>
        <v>1482.4100955688918</v>
      </c>
      <c r="K173" s="1718"/>
      <c r="L173" s="1722">
        <f t="shared" si="319"/>
        <v>2714.918249838106</v>
      </c>
      <c r="M173" s="1718"/>
      <c r="N173" s="1722">
        <f t="shared" si="320"/>
        <v>2725.9531082944877</v>
      </c>
      <c r="O173" s="1718"/>
      <c r="P173" s="1722">
        <f t="shared" si="321"/>
        <v>1818.8209691438967</v>
      </c>
      <c r="Q173" s="1718"/>
      <c r="R173" s="1722">
        <f t="shared" si="322"/>
        <v>2959.8723627947961</v>
      </c>
      <c r="S173" s="1718"/>
      <c r="T173" s="1722">
        <f t="shared" si="323"/>
        <v>1746.7683187338887</v>
      </c>
      <c r="U173" s="1718"/>
      <c r="V173" s="1722">
        <f t="shared" si="324"/>
        <v>783.32971511894937</v>
      </c>
      <c r="W173" s="1718"/>
      <c r="X173" s="1722">
        <f t="shared" si="325"/>
        <v>3610.3951179026649</v>
      </c>
      <c r="Y173" s="1718"/>
      <c r="Z173" s="1722">
        <f t="shared" si="326"/>
        <v>2094.905066409518</v>
      </c>
      <c r="AA173" s="1718"/>
      <c r="AB173" s="1722">
        <f t="shared" si="327"/>
        <v>498.29538131041892</v>
      </c>
      <c r="AC173" s="1718"/>
      <c r="AD173" s="1722">
        <f t="shared" si="328"/>
        <v>3595.0840542215378</v>
      </c>
      <c r="AE173" s="1718"/>
      <c r="AF173" s="1722">
        <f t="shared" si="329"/>
        <v>2204.0728377572059</v>
      </c>
      <c r="AG173" s="1718"/>
      <c r="AH173" s="1722">
        <f t="shared" si="330"/>
        <v>1549.398968313041</v>
      </c>
      <c r="AI173" s="1718"/>
      <c r="AJ173" s="1722">
        <f t="shared" si="331"/>
        <v>2756.7841935513388</v>
      </c>
      <c r="AK173" s="1718"/>
      <c r="AL173" s="1722">
        <f t="shared" si="332"/>
        <v>1517.8408997681177</v>
      </c>
      <c r="AM173" s="1718"/>
      <c r="AN173" s="1722">
        <f t="shared" si="333"/>
        <v>1873.2977040102076</v>
      </c>
      <c r="AO173" s="1718"/>
      <c r="AP173" s="1722">
        <f t="shared" si="334"/>
        <v>2474.1527977836199</v>
      </c>
      <c r="AQ173" s="1718"/>
      <c r="AR173" s="1722">
        <f t="shared" si="335"/>
        <v>3493.6937883315636</v>
      </c>
      <c r="AS173" s="1718"/>
      <c r="AT173" s="1722">
        <f t="shared" si="336"/>
        <v>2332.4285579814918</v>
      </c>
      <c r="AU173" s="1718"/>
      <c r="AV173" s="1722">
        <f t="shared" si="337"/>
        <v>1949.8223047837246</v>
      </c>
      <c r="AW173" s="1718"/>
      <c r="AX173" s="1722">
        <f t="shared" si="338"/>
        <v>2772.253760927922</v>
      </c>
      <c r="AY173" s="1718"/>
      <c r="AZ173" s="1722">
        <f t="shared" si="339"/>
        <v>1093.0194898096172</v>
      </c>
      <c r="BA173" s="1718"/>
      <c r="BB173" s="1722">
        <f t="shared" si="340"/>
        <v>2436.042646261415</v>
      </c>
      <c r="BC173" s="1718"/>
      <c r="BD173" s="1722">
        <f t="shared" si="341"/>
        <v>2214.8742098077355</v>
      </c>
      <c r="BE173" s="1718"/>
      <c r="BF173" s="1722">
        <f t="shared" si="342"/>
        <v>1015.5298222619853</v>
      </c>
      <c r="BG173" s="1718"/>
      <c r="BH173" s="1722">
        <f t="shared" si="343"/>
        <v>1833.8897300089043</v>
      </c>
      <c r="BI173" s="1718"/>
      <c r="BJ173" s="1722">
        <f t="shared" si="344"/>
        <v>2640.6402000245253</v>
      </c>
      <c r="BK173" s="1718"/>
      <c r="BL173" s="1722">
        <f t="shared" si="345"/>
        <v>3645.144419580161</v>
      </c>
      <c r="BM173" s="1718"/>
      <c r="BN173" s="1722">
        <f t="shared" si="346"/>
        <v>0</v>
      </c>
      <c r="BO173" s="1718"/>
      <c r="BP173" s="1722">
        <f t="shared" si="347"/>
        <v>1986.0293513825902</v>
      </c>
      <c r="BQ173" s="1718"/>
      <c r="BR173" s="1722">
        <f t="shared" si="348"/>
        <v>454.79512137055792</v>
      </c>
      <c r="BS173" s="1718"/>
      <c r="BT173" s="1722">
        <f t="shared" si="349"/>
        <v>1945.4182565583665</v>
      </c>
      <c r="BU173" s="1718"/>
      <c r="BV173" s="1722">
        <f t="shared" si="350"/>
        <v>662.24479736164517</v>
      </c>
      <c r="BW173" s="1718"/>
      <c r="BX173" s="1722">
        <f t="shared" si="351"/>
        <v>1434.6651191287906</v>
      </c>
      <c r="BY173" s="1718"/>
      <c r="BZ173" s="1722">
        <f t="shared" si="352"/>
        <v>970.38353151186209</v>
      </c>
      <c r="CA173" s="1718"/>
      <c r="CB173" s="1722">
        <f t="shared" si="353"/>
        <v>1972.9213261879841</v>
      </c>
      <c r="CC173" s="1718"/>
      <c r="CD173" s="1722">
        <f t="shared" si="354"/>
        <v>1657.3834009788052</v>
      </c>
      <c r="CE173" s="1718"/>
      <c r="CF173" s="1722">
        <v>3252.9931381975166</v>
      </c>
      <c r="CG173" s="1718"/>
      <c r="CH173" s="1722">
        <f t="shared" si="355"/>
        <v>2254.0542776769144</v>
      </c>
      <c r="CI173" s="1718"/>
      <c r="CJ173" s="1722">
        <v>1767.8781689101231</v>
      </c>
      <c r="CK173" s="1718"/>
      <c r="CL173" s="1722">
        <v>2930.7614404010737</v>
      </c>
      <c r="CM173" s="1718"/>
      <c r="CN173" s="1722">
        <f t="shared" si="356"/>
        <v>2554.0568595483746</v>
      </c>
      <c r="CO173" s="1718"/>
      <c r="CP173" s="1722">
        <f t="shared" si="357"/>
        <v>1136.1099897527222</v>
      </c>
      <c r="CQ173" s="1718"/>
      <c r="CR173" s="1722">
        <v>3751.7591979590643</v>
      </c>
      <c r="CS173" s="1718"/>
      <c r="CT173" s="1722">
        <f t="shared" si="358"/>
        <v>2702.4756081198816</v>
      </c>
      <c r="CU173" s="1718"/>
      <c r="CV173" s="1722">
        <f t="shared" si="359"/>
        <v>3679.2015596855199</v>
      </c>
      <c r="CW173" s="1718"/>
      <c r="CX173" s="1722">
        <f t="shared" si="359"/>
        <v>3461.7011600861115</v>
      </c>
      <c r="CY173" s="1718"/>
      <c r="CZ173" s="1722">
        <v>1330.6212688309206</v>
      </c>
      <c r="DA173" s="1718"/>
      <c r="DB173" s="1722">
        <v>2414.7224561057287</v>
      </c>
      <c r="DC173" s="1718"/>
      <c r="DD173" s="1722">
        <v>1438.4676029415389</v>
      </c>
      <c r="DE173" s="1718"/>
      <c r="DF173" s="1722">
        <v>3423.2868659313035</v>
      </c>
      <c r="DG173" s="1718"/>
      <c r="DH173" s="1722">
        <v>258.35052143684823</v>
      </c>
      <c r="DI173" s="1718"/>
      <c r="DJ173" s="1722">
        <v>2307.3874458096161</v>
      </c>
      <c r="DK173" s="1718"/>
      <c r="DL173" s="1722">
        <v>1546.8527490894194</v>
      </c>
      <c r="DM173" s="1718"/>
      <c r="DN173" s="1722">
        <f t="shared" si="360"/>
        <v>2600.5828393234183</v>
      </c>
      <c r="DO173" s="1718"/>
      <c r="DP173" s="1722">
        <f t="shared" si="361"/>
        <v>1041.5580403933809</v>
      </c>
      <c r="DQ173" s="1718"/>
      <c r="DR173" s="1722">
        <f t="shared" si="362"/>
        <v>2183.1008275814083</v>
      </c>
      <c r="DS173" s="1718"/>
      <c r="DT173" s="1722">
        <f t="shared" si="363"/>
        <v>1779.804283189836</v>
      </c>
      <c r="DU173" s="1718"/>
      <c r="DV173" s="1722">
        <f t="shared" si="364"/>
        <v>1005.9299764694006</v>
      </c>
      <c r="DW173" s="1718"/>
      <c r="DX173" s="1722">
        <f t="shared" si="365"/>
        <v>4002.3342142302399</v>
      </c>
      <c r="DY173" s="1718"/>
      <c r="DZ173" s="1722">
        <f t="shared" si="366"/>
        <v>1934.3599597963332</v>
      </c>
      <c r="EA173" s="1718"/>
      <c r="EB173" s="1722">
        <f t="shared" si="367"/>
        <v>4348.2767778277494</v>
      </c>
      <c r="EC173" s="1718"/>
      <c r="ED173" s="1722">
        <f t="shared" si="368"/>
        <v>1809.0416581372131</v>
      </c>
      <c r="EE173" s="1718"/>
      <c r="EF173" s="1722">
        <f t="shared" si="369"/>
        <v>2968.5606428823617</v>
      </c>
      <c r="EG173" s="1718"/>
      <c r="EH173" s="1722">
        <f t="shared" si="370"/>
        <v>4159.8843027248213</v>
      </c>
      <c r="EI173" s="1718"/>
      <c r="EJ173" s="1722">
        <f t="shared" si="371"/>
        <v>1974.001865579887</v>
      </c>
      <c r="EK173" s="1718"/>
      <c r="EL173" s="1722">
        <f t="shared" si="372"/>
        <v>2719.9207405669272</v>
      </c>
      <c r="EM173" s="1718"/>
      <c r="EN173" s="1722">
        <f t="shared" si="373"/>
        <v>1756.6461712974806</v>
      </c>
      <c r="EO173" s="1718"/>
      <c r="EP173" s="1722">
        <f t="shared" si="374"/>
        <v>1423.2829885089325</v>
      </c>
      <c r="EQ173" s="1718"/>
      <c r="ER173" s="1722">
        <f t="shared" si="375"/>
        <v>612.93761590849465</v>
      </c>
      <c r="ES173" s="1718"/>
      <c r="ET173" s="1722">
        <f t="shared" si="376"/>
        <v>2935.3917263284711</v>
      </c>
      <c r="EU173" s="1718"/>
      <c r="EV173" s="1722">
        <f t="shared" si="377"/>
        <v>417.40205374904247</v>
      </c>
      <c r="EW173" s="1718"/>
      <c r="EX173" s="1722">
        <f t="shared" si="378"/>
        <v>994.81885147887124</v>
      </c>
      <c r="EY173" s="1718"/>
      <c r="EZ173" s="1722">
        <f t="shared" si="379"/>
        <v>3405.1761550604442</v>
      </c>
      <c r="FA173" s="1718"/>
      <c r="FB173" s="1722">
        <f t="shared" si="380"/>
        <v>961.86793875028616</v>
      </c>
      <c r="FC173" s="1718"/>
      <c r="FD173" s="1722">
        <f t="shared" si="381"/>
        <v>2116.4797363596263</v>
      </c>
      <c r="FE173" s="1718"/>
      <c r="FF173" s="1722">
        <f t="shared" si="382"/>
        <v>1065.9056</v>
      </c>
      <c r="FG173" s="1718"/>
      <c r="FH173" s="1722">
        <f t="shared" si="383"/>
        <v>1634.8466534087761</v>
      </c>
      <c r="FI173" s="1718"/>
      <c r="FJ173" s="1722">
        <f t="shared" si="384"/>
        <v>1654.5051586697393</v>
      </c>
      <c r="FK173" s="1718"/>
      <c r="FL173" s="1722">
        <f t="shared" si="385"/>
        <v>2120.9208520972729</v>
      </c>
      <c r="FM173" s="1718"/>
      <c r="FN173" s="1722">
        <f t="shared" si="386"/>
        <v>5035.9367843899954</v>
      </c>
      <c r="FO173" s="1718"/>
      <c r="FP173" s="1722">
        <f t="shared" si="387"/>
        <v>615.3560676210783</v>
      </c>
      <c r="FQ173" s="1718"/>
      <c r="FR173" s="1722">
        <f t="shared" si="388"/>
        <v>2956.1044660333682</v>
      </c>
      <c r="FS173" s="1718"/>
      <c r="FT173" s="1722">
        <f t="shared" si="389"/>
        <v>2022.275445802047</v>
      </c>
      <c r="FU173" s="1718"/>
      <c r="FV173" s="1722">
        <f t="shared" si="390"/>
        <v>6411.9495434464279</v>
      </c>
      <c r="FW173" s="1718"/>
      <c r="FX173" s="1722">
        <f t="shared" si="391"/>
        <v>1154.1134930433939</v>
      </c>
      <c r="FY173" s="1718"/>
      <c r="FZ173" s="1722">
        <f t="shared" si="392"/>
        <v>1929.2746033510386</v>
      </c>
      <c r="GA173" s="1718"/>
      <c r="GB173" s="1722">
        <f t="shared" si="393"/>
        <v>998.62245620188639</v>
      </c>
      <c r="GC173" s="1718"/>
      <c r="GD173" s="1722">
        <f t="shared" si="394"/>
        <v>2348.2835286939312</v>
      </c>
      <c r="GE173" s="1718"/>
      <c r="GF173" s="1722">
        <f t="shared" si="395"/>
        <v>1684.2551772762492</v>
      </c>
      <c r="GG173" s="1718"/>
      <c r="GH173" s="1722">
        <f t="shared" si="396"/>
        <v>1236.9046895633301</v>
      </c>
      <c r="GI173" s="1718"/>
      <c r="GJ173" s="1722">
        <f t="shared" si="397"/>
        <v>4465.150614494125</v>
      </c>
      <c r="GK173" s="1718"/>
      <c r="GL173" s="1722">
        <f t="shared" si="398"/>
        <v>1062.4123584009569</v>
      </c>
      <c r="GM173" s="1718"/>
      <c r="GN173" s="1722">
        <f t="shared" si="399"/>
        <v>690.94569067296345</v>
      </c>
      <c r="GO173" s="1718"/>
      <c r="GP173" s="1722">
        <f t="shared" si="400"/>
        <v>1368.0814583392666</v>
      </c>
      <c r="GQ173" s="1718"/>
      <c r="GR173" s="1722">
        <f t="shared" si="401"/>
        <v>1093.440032631639</v>
      </c>
      <c r="GS173" s="1718"/>
      <c r="GT173" s="1722">
        <f t="shared" si="402"/>
        <v>889.59536942352497</v>
      </c>
      <c r="GU173" s="1718"/>
      <c r="GV173" s="1722">
        <f t="shared" si="403"/>
        <v>1538.2803260308351</v>
      </c>
      <c r="GW173" s="1718"/>
      <c r="GX173" s="1722">
        <f t="shared" si="404"/>
        <v>1320.625297647221</v>
      </c>
      <c r="GY173" s="1718"/>
      <c r="GZ173" s="1722">
        <f t="shared" si="405"/>
        <v>2105.8298154212475</v>
      </c>
      <c r="HA173" s="1718"/>
      <c r="HB173" s="1722">
        <f t="shared" si="406"/>
        <v>585.90588244139428</v>
      </c>
      <c r="HC173" s="1718"/>
      <c r="HD173" s="1722">
        <f t="shared" si="407"/>
        <v>2627.5640810767172</v>
      </c>
      <c r="HE173" s="1718"/>
      <c r="HF173" s="2038">
        <f t="shared" si="408"/>
        <v>4772.6725092246843</v>
      </c>
      <c r="HG173" s="2035"/>
      <c r="HH173" s="1722">
        <f t="shared" si="409"/>
        <v>4824.8056004335367</v>
      </c>
      <c r="HI173" s="1718"/>
      <c r="HJ173" s="1722">
        <f t="shared" si="410"/>
        <v>1977.5013555287017</v>
      </c>
      <c r="HK173" s="1718"/>
      <c r="HL173" s="1722">
        <f t="shared" si="411"/>
        <v>1645.8219130877028</v>
      </c>
      <c r="HM173" s="1718"/>
      <c r="HN173" s="1722">
        <f t="shared" si="412"/>
        <v>1652.9105852476046</v>
      </c>
      <c r="HO173" s="1718"/>
      <c r="HP173" s="2038">
        <f t="shared" si="413"/>
        <v>2430.3043058015037</v>
      </c>
      <c r="HQ173" s="2035"/>
      <c r="HR173" s="1722">
        <f t="shared" si="414"/>
        <v>2155.5918771142187</v>
      </c>
      <c r="HS173" s="1718"/>
      <c r="HT173" s="2038">
        <f t="shared" si="415"/>
        <v>2367.0996542176404</v>
      </c>
      <c r="HU173" s="2035"/>
      <c r="HV173" s="2038">
        <f t="shared" si="416"/>
        <v>2985.2707736051821</v>
      </c>
      <c r="HW173" s="2035"/>
      <c r="HX173" s="2038">
        <f t="shared" si="417"/>
        <v>2825.3263999127844</v>
      </c>
      <c r="HY173" s="2035"/>
      <c r="HZ173" s="2038">
        <f t="shared" si="418"/>
        <v>988.1794218013498</v>
      </c>
      <c r="IA173" s="2035"/>
      <c r="IB173" s="1722">
        <f t="shared" si="419"/>
        <v>1806.8647264963599</v>
      </c>
      <c r="IC173" s="1718"/>
      <c r="ID173" s="2038">
        <f t="shared" si="420"/>
        <v>1060.485176675578</v>
      </c>
      <c r="IE173" s="2035"/>
      <c r="IF173" s="2038">
        <f t="shared" si="421"/>
        <v>1868.1975677780713</v>
      </c>
      <c r="IG173" s="2035"/>
    </row>
    <row r="174" spans="1:241">
      <c r="A174" s="1149"/>
      <c r="B174" s="1149"/>
      <c r="C174" s="1149"/>
      <c r="D174" s="1149" t="s">
        <v>18</v>
      </c>
      <c r="E174" s="1143"/>
      <c r="F174" s="1722">
        <f t="shared" si="316"/>
        <v>0</v>
      </c>
      <c r="G174" s="1718"/>
      <c r="H174" s="1722">
        <f t="shared" si="317"/>
        <v>1548.2629983679178</v>
      </c>
      <c r="I174" s="1718"/>
      <c r="J174" s="1722">
        <f t="shared" si="318"/>
        <v>910.39675172955629</v>
      </c>
      <c r="K174" s="1718"/>
      <c r="L174" s="1722">
        <f t="shared" si="319"/>
        <v>489.48430572238055</v>
      </c>
      <c r="M174" s="1718"/>
      <c r="N174" s="1722">
        <f t="shared" si="320"/>
        <v>882.2074652138491</v>
      </c>
      <c r="O174" s="1718"/>
      <c r="P174" s="1722">
        <f t="shared" si="321"/>
        <v>1016.2666643997628</v>
      </c>
      <c r="Q174" s="1718"/>
      <c r="R174" s="1722">
        <f t="shared" si="322"/>
        <v>1319.816645833195</v>
      </c>
      <c r="S174" s="1718"/>
      <c r="T174" s="1722">
        <f t="shared" si="323"/>
        <v>0</v>
      </c>
      <c r="U174" s="1718"/>
      <c r="V174" s="1722">
        <f t="shared" si="324"/>
        <v>273.08797238612249</v>
      </c>
      <c r="W174" s="1718"/>
      <c r="X174" s="1722">
        <f t="shared" si="325"/>
        <v>773.44876938163577</v>
      </c>
      <c r="Y174" s="1718"/>
      <c r="Z174" s="1722">
        <f t="shared" si="326"/>
        <v>791.08335557710177</v>
      </c>
      <c r="AA174" s="1718"/>
      <c r="AB174" s="1722">
        <f t="shared" si="327"/>
        <v>199.45435016111708</v>
      </c>
      <c r="AC174" s="1718"/>
      <c r="AD174" s="1722">
        <f t="shared" si="328"/>
        <v>954.74945145182141</v>
      </c>
      <c r="AE174" s="1718"/>
      <c r="AF174" s="1722">
        <f t="shared" si="329"/>
        <v>835.44866461105175</v>
      </c>
      <c r="AG174" s="1718"/>
      <c r="AH174" s="1722">
        <f t="shared" si="330"/>
        <v>0</v>
      </c>
      <c r="AI174" s="1718"/>
      <c r="AJ174" s="1722">
        <f t="shared" si="331"/>
        <v>2431.3148203105488</v>
      </c>
      <c r="AK174" s="1718"/>
      <c r="AL174" s="1722">
        <f t="shared" si="332"/>
        <v>0</v>
      </c>
      <c r="AM174" s="1718"/>
      <c r="AN174" s="1722">
        <f t="shared" si="333"/>
        <v>836.73540054091188</v>
      </c>
      <c r="AO174" s="1718"/>
      <c r="AP174" s="1722">
        <f t="shared" si="334"/>
        <v>2368.4321488302598</v>
      </c>
      <c r="AQ174" s="1718"/>
      <c r="AR174" s="1722">
        <f t="shared" si="335"/>
        <v>924.41398940434408</v>
      </c>
      <c r="AS174" s="1718"/>
      <c r="AT174" s="1722">
        <f t="shared" si="336"/>
        <v>0</v>
      </c>
      <c r="AU174" s="1718"/>
      <c r="AV174" s="1722">
        <f t="shared" si="337"/>
        <v>1606.0260810001093</v>
      </c>
      <c r="AW174" s="1718"/>
      <c r="AX174" s="1722">
        <f t="shared" si="338"/>
        <v>0</v>
      </c>
      <c r="AY174" s="1718"/>
      <c r="AZ174" s="1722">
        <f t="shared" si="339"/>
        <v>278.32467823313158</v>
      </c>
      <c r="BA174" s="1718"/>
      <c r="BB174" s="1722">
        <f t="shared" si="340"/>
        <v>0</v>
      </c>
      <c r="BC174" s="1718"/>
      <c r="BD174" s="1722">
        <f t="shared" si="341"/>
        <v>0</v>
      </c>
      <c r="BE174" s="1718"/>
      <c r="BF174" s="1722">
        <f t="shared" si="342"/>
        <v>317.85393279207989</v>
      </c>
      <c r="BG174" s="1718"/>
      <c r="BH174" s="1722">
        <f t="shared" si="343"/>
        <v>619.01250185822903</v>
      </c>
      <c r="BI174" s="1718"/>
      <c r="BJ174" s="1722">
        <f t="shared" si="344"/>
        <v>855.03353601298761</v>
      </c>
      <c r="BK174" s="1718"/>
      <c r="BL174" s="1722">
        <f t="shared" si="345"/>
        <v>1388.6340804039487</v>
      </c>
      <c r="BM174" s="1718"/>
      <c r="BN174" s="1722">
        <f t="shared" si="346"/>
        <v>0</v>
      </c>
      <c r="BO174" s="1718"/>
      <c r="BP174" s="1722">
        <f t="shared" si="347"/>
        <v>0</v>
      </c>
      <c r="BQ174" s="1718"/>
      <c r="BR174" s="1722">
        <f t="shared" si="348"/>
        <v>0</v>
      </c>
      <c r="BS174" s="1718"/>
      <c r="BT174" s="1722">
        <f t="shared" si="349"/>
        <v>0</v>
      </c>
      <c r="BU174" s="1718"/>
      <c r="BV174" s="1722">
        <f t="shared" si="350"/>
        <v>246.09617826531692</v>
      </c>
      <c r="BW174" s="1718"/>
      <c r="BX174" s="1722">
        <f t="shared" si="351"/>
        <v>0</v>
      </c>
      <c r="BY174" s="1718"/>
      <c r="BZ174" s="1722">
        <f t="shared" si="352"/>
        <v>0</v>
      </c>
      <c r="CA174" s="1718"/>
      <c r="CB174" s="1722">
        <f t="shared" si="353"/>
        <v>0</v>
      </c>
      <c r="CC174" s="1718"/>
      <c r="CD174" s="1722">
        <f t="shared" si="354"/>
        <v>814.60852398775</v>
      </c>
      <c r="CE174" s="1718"/>
      <c r="CF174" s="1722">
        <v>1098.059457744592</v>
      </c>
      <c r="CG174" s="1718"/>
      <c r="CH174" s="1722">
        <f t="shared" si="355"/>
        <v>0</v>
      </c>
      <c r="CI174" s="1718"/>
      <c r="CJ174" s="1722">
        <v>813.5444284889885</v>
      </c>
      <c r="CK174" s="1718"/>
      <c r="CL174" s="1722">
        <v>1425.0323208919749</v>
      </c>
      <c r="CM174" s="1718"/>
      <c r="CN174" s="1722">
        <f t="shared" si="356"/>
        <v>820.31262317853702</v>
      </c>
      <c r="CO174" s="1718"/>
      <c r="CP174" s="1722">
        <f t="shared" si="357"/>
        <v>0</v>
      </c>
      <c r="CQ174" s="1718"/>
      <c r="CR174" s="1722">
        <v>1467.7603348623156</v>
      </c>
      <c r="CS174" s="1718"/>
      <c r="CT174" s="1722">
        <f t="shared" si="358"/>
        <v>0</v>
      </c>
      <c r="CU174" s="1718"/>
      <c r="CV174" s="1722">
        <f t="shared" si="359"/>
        <v>0</v>
      </c>
      <c r="CW174" s="1718"/>
      <c r="CX174" s="1722">
        <f t="shared" si="359"/>
        <v>1091.6998219793225</v>
      </c>
      <c r="CY174" s="1718"/>
      <c r="CZ174" s="1722">
        <v>0</v>
      </c>
      <c r="DA174" s="1718"/>
      <c r="DB174" s="1722">
        <v>766.59410470118166</v>
      </c>
      <c r="DC174" s="1718"/>
      <c r="DD174" s="1722">
        <v>815.43174545620957</v>
      </c>
      <c r="DE174" s="1718"/>
      <c r="DF174" s="1722">
        <v>598.02233811640383</v>
      </c>
      <c r="DG174" s="1718"/>
      <c r="DH174" s="1722">
        <v>91.366454229432208</v>
      </c>
      <c r="DI174" s="1718"/>
      <c r="DJ174" s="1722">
        <v>472.54835464202762</v>
      </c>
      <c r="DK174" s="1718"/>
      <c r="DL174" s="1722">
        <v>527.7458118965601</v>
      </c>
      <c r="DM174" s="1718"/>
      <c r="DN174" s="1722">
        <f t="shared" si="360"/>
        <v>2475.922139479298</v>
      </c>
      <c r="DO174" s="1718"/>
      <c r="DP174" s="1722">
        <f t="shared" si="361"/>
        <v>0</v>
      </c>
      <c r="DQ174" s="1718"/>
      <c r="DR174" s="1722">
        <f t="shared" si="362"/>
        <v>361.33244085621106</v>
      </c>
      <c r="DS174" s="1718"/>
      <c r="DT174" s="1722">
        <f t="shared" si="363"/>
        <v>314.89078091664214</v>
      </c>
      <c r="DU174" s="1718"/>
      <c r="DV174" s="1722">
        <f t="shared" si="364"/>
        <v>511.1561061203372</v>
      </c>
      <c r="DW174" s="1718"/>
      <c r="DX174" s="1722">
        <f t="shared" si="365"/>
        <v>1880.8974916968618</v>
      </c>
      <c r="DY174" s="1718"/>
      <c r="DZ174" s="1722">
        <f t="shared" si="366"/>
        <v>370.14063946011908</v>
      </c>
      <c r="EA174" s="1718"/>
      <c r="EB174" s="1722">
        <f t="shared" si="367"/>
        <v>1107.7351836192026</v>
      </c>
      <c r="EC174" s="1718"/>
      <c r="ED174" s="1722">
        <f t="shared" si="368"/>
        <v>0</v>
      </c>
      <c r="EE174" s="1718"/>
      <c r="EF174" s="1722">
        <f t="shared" si="369"/>
        <v>573.37422183450929</v>
      </c>
      <c r="EG174" s="1718"/>
      <c r="EH174" s="1722">
        <f t="shared" si="370"/>
        <v>1253.1391461734811</v>
      </c>
      <c r="EI174" s="1718"/>
      <c r="EJ174" s="1722">
        <f t="shared" si="371"/>
        <v>95.874445489985206</v>
      </c>
      <c r="EK174" s="1718"/>
      <c r="EL174" s="1722">
        <f t="shared" si="372"/>
        <v>1012.8518943069321</v>
      </c>
      <c r="EM174" s="1718"/>
      <c r="EN174" s="1722">
        <f t="shared" si="373"/>
        <v>0</v>
      </c>
      <c r="EO174" s="1718"/>
      <c r="EP174" s="1722">
        <f t="shared" si="374"/>
        <v>0</v>
      </c>
      <c r="EQ174" s="1718"/>
      <c r="ER174" s="1722">
        <f t="shared" si="375"/>
        <v>124.16699755793276</v>
      </c>
      <c r="ES174" s="1718"/>
      <c r="ET174" s="1722">
        <f t="shared" si="376"/>
        <v>851.003998556395</v>
      </c>
      <c r="EU174" s="1718"/>
      <c r="EV174" s="1722">
        <f t="shared" si="377"/>
        <v>89.088334708725839</v>
      </c>
      <c r="EW174" s="1718"/>
      <c r="EX174" s="1722">
        <f t="shared" si="378"/>
        <v>360.64779034926408</v>
      </c>
      <c r="EY174" s="1718"/>
      <c r="EZ174" s="1722">
        <f t="shared" si="379"/>
        <v>963.59332424972808</v>
      </c>
      <c r="FA174" s="1718"/>
      <c r="FB174" s="1722">
        <f t="shared" si="380"/>
        <v>0</v>
      </c>
      <c r="FC174" s="1718"/>
      <c r="FD174" s="1722">
        <f t="shared" si="381"/>
        <v>746.56475707937125</v>
      </c>
      <c r="FE174" s="1718"/>
      <c r="FF174" s="1722">
        <f t="shared" si="382"/>
        <v>269.916</v>
      </c>
      <c r="FG174" s="1718"/>
      <c r="FH174" s="1722">
        <f t="shared" si="383"/>
        <v>1028.7948171088358</v>
      </c>
      <c r="FI174" s="1718"/>
      <c r="FJ174" s="1722">
        <f t="shared" si="384"/>
        <v>985.84095754466057</v>
      </c>
      <c r="FK174" s="1718"/>
      <c r="FL174" s="1722">
        <f t="shared" si="385"/>
        <v>853.45833290894689</v>
      </c>
      <c r="FM174" s="1718"/>
      <c r="FN174" s="1722">
        <f t="shared" si="386"/>
        <v>876.0534615135798</v>
      </c>
      <c r="FO174" s="1718"/>
      <c r="FP174" s="1722">
        <f t="shared" si="387"/>
        <v>99.220109655802617</v>
      </c>
      <c r="FQ174" s="1718"/>
      <c r="FR174" s="1722">
        <f t="shared" si="388"/>
        <v>639.55745035093457</v>
      </c>
      <c r="FS174" s="1718"/>
      <c r="FT174" s="1722">
        <f t="shared" si="389"/>
        <v>956.83435960501004</v>
      </c>
      <c r="FU174" s="1718"/>
      <c r="FV174" s="1722">
        <f t="shared" si="390"/>
        <v>1371.7994301845551</v>
      </c>
      <c r="FW174" s="1718"/>
      <c r="FX174" s="1722">
        <f t="shared" si="391"/>
        <v>462.59422640785073</v>
      </c>
      <c r="FY174" s="1718"/>
      <c r="FZ174" s="1722">
        <f t="shared" si="392"/>
        <v>804.72255808546458</v>
      </c>
      <c r="GA174" s="1718"/>
      <c r="GB174" s="1722">
        <f t="shared" si="393"/>
        <v>849.76159317782367</v>
      </c>
      <c r="GC174" s="1718"/>
      <c r="GD174" s="1722">
        <f t="shared" si="394"/>
        <v>361.25598276125424</v>
      </c>
      <c r="GE174" s="1718"/>
      <c r="GF174" s="1722">
        <f t="shared" si="395"/>
        <v>511.31541699534381</v>
      </c>
      <c r="GG174" s="1718"/>
      <c r="GH174" s="1722">
        <f t="shared" si="396"/>
        <v>414.73249623240139</v>
      </c>
      <c r="GI174" s="1718"/>
      <c r="GJ174" s="1722">
        <f t="shared" si="397"/>
        <v>999.94456795604503</v>
      </c>
      <c r="GK174" s="1718"/>
      <c r="GL174" s="1722">
        <f t="shared" si="398"/>
        <v>579.38171056334727</v>
      </c>
      <c r="GM174" s="1718"/>
      <c r="GN174" s="1722">
        <f t="shared" si="399"/>
        <v>20.273907910271546</v>
      </c>
      <c r="GO174" s="1718"/>
      <c r="GP174" s="1722">
        <f t="shared" si="400"/>
        <v>412.27046754363249</v>
      </c>
      <c r="GQ174" s="1718"/>
      <c r="GR174" s="1722">
        <f t="shared" si="401"/>
        <v>711.70121572468679</v>
      </c>
      <c r="GS174" s="1718"/>
      <c r="GT174" s="1722">
        <f t="shared" si="402"/>
        <v>151.23172579636582</v>
      </c>
      <c r="GU174" s="1718"/>
      <c r="GV174" s="1722">
        <f t="shared" si="403"/>
        <v>307.5980623956716</v>
      </c>
      <c r="GW174" s="1718"/>
      <c r="GX174" s="1722">
        <f t="shared" si="404"/>
        <v>260.04798760358489</v>
      </c>
      <c r="GY174" s="1718"/>
      <c r="GZ174" s="1722">
        <f t="shared" si="405"/>
        <v>1064.7984380978967</v>
      </c>
      <c r="HA174" s="1718"/>
      <c r="HB174" s="1722">
        <f t="shared" si="406"/>
        <v>681.6014930092465</v>
      </c>
      <c r="HC174" s="1718"/>
      <c r="HD174" s="1722">
        <f t="shared" si="407"/>
        <v>0</v>
      </c>
      <c r="HE174" s="1718"/>
      <c r="HF174" s="2038">
        <f t="shared" si="408"/>
        <v>770.05538408304244</v>
      </c>
      <c r="HG174" s="2035"/>
      <c r="HH174" s="1722">
        <f t="shared" si="409"/>
        <v>1961.2368470148072</v>
      </c>
      <c r="HI174" s="1718"/>
      <c r="HJ174" s="1722">
        <f t="shared" si="410"/>
        <v>554.83727771818587</v>
      </c>
      <c r="HK174" s="1718"/>
      <c r="HL174" s="1722">
        <f t="shared" si="411"/>
        <v>853.16079410695568</v>
      </c>
      <c r="HM174" s="1718"/>
      <c r="HN174" s="1722">
        <f t="shared" si="412"/>
        <v>826.00886528916078</v>
      </c>
      <c r="HO174" s="1718"/>
      <c r="HP174" s="2038">
        <f t="shared" si="413"/>
        <v>1015.380647788351</v>
      </c>
      <c r="HQ174" s="2035"/>
      <c r="HR174" s="1722">
        <f t="shared" si="414"/>
        <v>0</v>
      </c>
      <c r="HS174" s="1718"/>
      <c r="HT174" s="2038">
        <f t="shared" si="415"/>
        <v>386.24716238098699</v>
      </c>
      <c r="HU174" s="2035"/>
      <c r="HV174" s="2038">
        <f t="shared" si="416"/>
        <v>696.17856551073578</v>
      </c>
      <c r="HW174" s="2035"/>
      <c r="HX174" s="2038">
        <f t="shared" si="417"/>
        <v>718.6858968250765</v>
      </c>
      <c r="HY174" s="2035"/>
      <c r="HZ174" s="2038">
        <f t="shared" si="418"/>
        <v>445.21399603087571</v>
      </c>
      <c r="IA174" s="2035"/>
      <c r="IB174" s="1722">
        <f t="shared" si="419"/>
        <v>819.29142930338071</v>
      </c>
      <c r="IC174" s="1718"/>
      <c r="ID174" s="2038">
        <f t="shared" si="420"/>
        <v>335.25055731600031</v>
      </c>
      <c r="IE174" s="2035"/>
      <c r="IF174" s="2038">
        <f t="shared" si="421"/>
        <v>0</v>
      </c>
      <c r="IG174" s="2035"/>
    </row>
    <row r="175" spans="1:241">
      <c r="A175" s="1149"/>
      <c r="B175" s="1149"/>
      <c r="C175" s="1149"/>
      <c r="D175" s="1149" t="s">
        <v>19</v>
      </c>
      <c r="E175" s="1143"/>
      <c r="F175" s="1722">
        <f t="shared" si="316"/>
        <v>7844.8113040082371</v>
      </c>
      <c r="G175" s="1718"/>
      <c r="H175" s="1722">
        <f t="shared" si="317"/>
        <v>11310.312001152439</v>
      </c>
      <c r="I175" s="1718"/>
      <c r="J175" s="1722">
        <f t="shared" si="318"/>
        <v>6659.7986621951532</v>
      </c>
      <c r="K175" s="1718"/>
      <c r="L175" s="1722">
        <f>L146/L$21</f>
        <v>7845.4120832695062</v>
      </c>
      <c r="M175" s="1718"/>
      <c r="N175" s="1722">
        <f t="shared" si="320"/>
        <v>10413.817837399944</v>
      </c>
      <c r="O175" s="1718"/>
      <c r="P175" s="1722">
        <f t="shared" si="321"/>
        <v>7191.2219815998251</v>
      </c>
      <c r="Q175" s="1718"/>
      <c r="R175" s="1722">
        <f t="shared" si="322"/>
        <v>10089.971980949163</v>
      </c>
      <c r="S175" s="1718"/>
      <c r="T175" s="1722">
        <f t="shared" si="323"/>
        <v>3102.516670747812</v>
      </c>
      <c r="U175" s="1718"/>
      <c r="V175" s="1722">
        <f t="shared" si="324"/>
        <v>2868.2749315885594</v>
      </c>
      <c r="W175" s="1718"/>
      <c r="X175" s="1722">
        <f t="shared" si="325"/>
        <v>10285.498823094556</v>
      </c>
      <c r="Y175" s="1718"/>
      <c r="Z175" s="1722">
        <f t="shared" si="326"/>
        <v>7298.8215156499409</v>
      </c>
      <c r="AA175" s="1718"/>
      <c r="AB175" s="1722">
        <f t="shared" si="327"/>
        <v>2710.6863587540279</v>
      </c>
      <c r="AC175" s="1718"/>
      <c r="AD175" s="1722">
        <f t="shared" si="328"/>
        <v>21524.029242924695</v>
      </c>
      <c r="AE175" s="1718"/>
      <c r="AF175" s="1722">
        <f t="shared" si="329"/>
        <v>5631.9298553516555</v>
      </c>
      <c r="AG175" s="1718"/>
      <c r="AH175" s="1722">
        <f t="shared" si="330"/>
        <v>2113.5801970948364</v>
      </c>
      <c r="AI175" s="1718"/>
      <c r="AJ175" s="1722">
        <f t="shared" si="331"/>
        <v>9314.6124410546163</v>
      </c>
      <c r="AK175" s="1718"/>
      <c r="AL175" s="1722">
        <f t="shared" si="332"/>
        <v>3303.7021041047633</v>
      </c>
      <c r="AM175" s="1718"/>
      <c r="AN175" s="1722">
        <f t="shared" si="333"/>
        <v>6280.3527510753429</v>
      </c>
      <c r="AO175" s="1718"/>
      <c r="AP175" s="1722">
        <f t="shared" si="334"/>
        <v>11180.469707303131</v>
      </c>
      <c r="AQ175" s="1718"/>
      <c r="AR175" s="1722">
        <f t="shared" si="335"/>
        <v>19275.683573636092</v>
      </c>
      <c r="AS175" s="1718"/>
      <c r="AT175" s="1722">
        <f t="shared" si="336"/>
        <v>3493.7577444706603</v>
      </c>
      <c r="AU175" s="1718"/>
      <c r="AV175" s="1722">
        <f t="shared" si="337"/>
        <v>10272.906694825737</v>
      </c>
      <c r="AW175" s="1718"/>
      <c r="AX175" s="1722">
        <f t="shared" si="338"/>
        <v>3728.9093778852525</v>
      </c>
      <c r="AY175" s="1718"/>
      <c r="AZ175" s="1722">
        <f t="shared" si="339"/>
        <v>3059.4627366828622</v>
      </c>
      <c r="BA175" s="1718"/>
      <c r="BB175" s="1722">
        <f t="shared" si="340"/>
        <v>8772.3046422625703</v>
      </c>
      <c r="BC175" s="1718"/>
      <c r="BD175" s="1722">
        <f t="shared" si="341"/>
        <v>4031.3879423206404</v>
      </c>
      <c r="BE175" s="1718"/>
      <c r="BF175" s="1722">
        <f t="shared" si="342"/>
        <v>3494.0333210124613</v>
      </c>
      <c r="BG175" s="1718"/>
      <c r="BH175" s="1722">
        <f t="shared" si="343"/>
        <v>8173.9952866117092</v>
      </c>
      <c r="BI175" s="1718"/>
      <c r="BJ175" s="1722">
        <f t="shared" si="344"/>
        <v>6874.1011864518969</v>
      </c>
      <c r="BK175" s="1718"/>
      <c r="BL175" s="1722">
        <f t="shared" si="345"/>
        <v>8318.946961896183</v>
      </c>
      <c r="BM175" s="1718"/>
      <c r="BN175" s="1722">
        <f t="shared" si="346"/>
        <v>9274.101337441356</v>
      </c>
      <c r="BO175" s="1718"/>
      <c r="BP175" s="1722">
        <f t="shared" si="347"/>
        <v>3777.7656970453659</v>
      </c>
      <c r="BQ175" s="1718"/>
      <c r="BR175" s="1722">
        <f t="shared" si="348"/>
        <v>8254.0671727206973</v>
      </c>
      <c r="BS175" s="1718"/>
      <c r="BT175" s="1722">
        <f t="shared" si="349"/>
        <v>4698.4554619518349</v>
      </c>
      <c r="BU175" s="1718"/>
      <c r="BV175" s="1722">
        <f t="shared" si="350"/>
        <v>2477.0247916351123</v>
      </c>
      <c r="BW175" s="1718"/>
      <c r="BX175" s="1722">
        <f t="shared" si="351"/>
        <v>2577.5233558761952</v>
      </c>
      <c r="BY175" s="1718"/>
      <c r="BZ175" s="1722">
        <f t="shared" si="352"/>
        <v>7144.1822600957357</v>
      </c>
      <c r="CA175" s="1718"/>
      <c r="CB175" s="1722">
        <f t="shared" si="353"/>
        <v>6835.4954112024434</v>
      </c>
      <c r="CC175" s="1718"/>
      <c r="CD175" s="1722">
        <f t="shared" si="354"/>
        <v>8689.9268229351437</v>
      </c>
      <c r="CE175" s="1718"/>
      <c r="CF175" s="1722">
        <v>8938.9254580980887</v>
      </c>
      <c r="CG175" s="1718"/>
      <c r="CH175" s="1722">
        <f t="shared" si="355"/>
        <v>4936.9707418333619</v>
      </c>
      <c r="CI175" s="1718"/>
      <c r="CJ175" s="1722">
        <v>6546.1398145290086</v>
      </c>
      <c r="CK175" s="1718"/>
      <c r="CL175" s="1722">
        <v>13920.320561347142</v>
      </c>
      <c r="CM175" s="1718"/>
      <c r="CN175" s="1722">
        <f t="shared" si="356"/>
        <v>8918.5282950048841</v>
      </c>
      <c r="CO175" s="1718"/>
      <c r="CP175" s="1722">
        <f t="shared" si="357"/>
        <v>5138.9680194759549</v>
      </c>
      <c r="CQ175" s="1718"/>
      <c r="CR175" s="1722">
        <v>11639.613719480038</v>
      </c>
      <c r="CS175" s="1718"/>
      <c r="CT175" s="1722">
        <f t="shared" si="358"/>
        <v>9921.0915627821578</v>
      </c>
      <c r="CU175" s="1718"/>
      <c r="CV175" s="1722">
        <f t="shared" si="359"/>
        <v>8006.8045363679394</v>
      </c>
      <c r="CW175" s="1718"/>
      <c r="CX175" s="1722">
        <f t="shared" si="359"/>
        <v>12135.42641003003</v>
      </c>
      <c r="CY175" s="1718"/>
      <c r="CZ175" s="1722">
        <v>6321.7107730259449</v>
      </c>
      <c r="DA175" s="1718"/>
      <c r="DB175" s="1722">
        <v>6208.1115976419323</v>
      </c>
      <c r="DC175" s="1718"/>
      <c r="DD175" s="1722">
        <v>5480.8826376690167</v>
      </c>
      <c r="DE175" s="1718"/>
      <c r="DF175" s="1722">
        <v>16376.847471486954</v>
      </c>
      <c r="DG175" s="1718"/>
      <c r="DH175" s="1722">
        <v>2235.5535921205101</v>
      </c>
      <c r="DI175" s="1718"/>
      <c r="DJ175" s="1722">
        <v>4236.2537579017535</v>
      </c>
      <c r="DK175" s="1718"/>
      <c r="DL175" s="1722">
        <v>5647.1041936106312</v>
      </c>
      <c r="DM175" s="1718"/>
      <c r="DN175" s="1722">
        <f t="shared" si="360"/>
        <v>9319.1613611087396</v>
      </c>
      <c r="DO175" s="1718"/>
      <c r="DP175" s="1722">
        <f t="shared" si="361"/>
        <v>8995.2112436750922</v>
      </c>
      <c r="DQ175" s="1718"/>
      <c r="DR175" s="1722">
        <f t="shared" si="362"/>
        <v>5633.319531720088</v>
      </c>
      <c r="DS175" s="1718"/>
      <c r="DT175" s="1722">
        <f t="shared" si="363"/>
        <v>9255.3151221714597</v>
      </c>
      <c r="DU175" s="1718"/>
      <c r="DV175" s="1722">
        <f t="shared" si="364"/>
        <v>5592.8812497493982</v>
      </c>
      <c r="DW175" s="1718"/>
      <c r="DX175" s="1722">
        <f t="shared" si="365"/>
        <v>8577.8861522476127</v>
      </c>
      <c r="DY175" s="1718"/>
      <c r="DZ175" s="1722">
        <f t="shared" si="366"/>
        <v>8165.6888722135109</v>
      </c>
      <c r="EA175" s="1718"/>
      <c r="EB175" s="1722">
        <f t="shared" si="367"/>
        <v>12999.913474166664</v>
      </c>
      <c r="EC175" s="1718"/>
      <c r="ED175" s="1722">
        <f t="shared" si="368"/>
        <v>8813.5809507409085</v>
      </c>
      <c r="EE175" s="1718"/>
      <c r="EF175" s="1722">
        <f t="shared" si="369"/>
        <v>9579.1807562040485</v>
      </c>
      <c r="EG175" s="1718"/>
      <c r="EH175" s="1722">
        <f t="shared" si="370"/>
        <v>8351.8632073922035</v>
      </c>
      <c r="EI175" s="1718"/>
      <c r="EJ175" s="1722">
        <f t="shared" si="371"/>
        <v>5349.2540959150683</v>
      </c>
      <c r="EK175" s="1718"/>
      <c r="EL175" s="1722">
        <f t="shared" si="372"/>
        <v>9515.8790165702958</v>
      </c>
      <c r="EM175" s="1718"/>
      <c r="EN175" s="1722">
        <f t="shared" si="373"/>
        <v>5316.0808892034029</v>
      </c>
      <c r="EO175" s="1718"/>
      <c r="EP175" s="1722">
        <f t="shared" si="374"/>
        <v>3849.8453995579603</v>
      </c>
      <c r="EQ175" s="1718"/>
      <c r="ER175" s="1722">
        <f t="shared" si="375"/>
        <v>4902.8025685434532</v>
      </c>
      <c r="ES175" s="1718"/>
      <c r="ET175" s="1722">
        <f t="shared" si="376"/>
        <v>5935.8382992871429</v>
      </c>
      <c r="EU175" s="1718"/>
      <c r="EV175" s="1722">
        <f t="shared" si="377"/>
        <v>1726.8901913653472</v>
      </c>
      <c r="EW175" s="1718"/>
      <c r="EX175" s="1722">
        <f t="shared" si="378"/>
        <v>3461.5564915912632</v>
      </c>
      <c r="EY175" s="1718"/>
      <c r="EZ175" s="1722">
        <f t="shared" si="379"/>
        <v>10342.850007737576</v>
      </c>
      <c r="FA175" s="1718"/>
      <c r="FB175" s="1722">
        <f t="shared" si="380"/>
        <v>2869.713362427196</v>
      </c>
      <c r="FC175" s="1718"/>
      <c r="FD175" s="1722">
        <f t="shared" si="381"/>
        <v>7043.8901883531335</v>
      </c>
      <c r="FE175" s="1718"/>
      <c r="FF175" s="1722">
        <f t="shared" si="382"/>
        <v>4374.92</v>
      </c>
      <c r="FG175" s="1718"/>
      <c r="FH175" s="1722">
        <f t="shared" si="383"/>
        <v>10528.296810102267</v>
      </c>
      <c r="FI175" s="1718"/>
      <c r="FJ175" s="1722">
        <f t="shared" si="384"/>
        <v>5808.856756316357</v>
      </c>
      <c r="FK175" s="1718"/>
      <c r="FL175" s="1722">
        <f t="shared" si="385"/>
        <v>15820.663135066636</v>
      </c>
      <c r="FM175" s="1718"/>
      <c r="FN175" s="1722">
        <f t="shared" si="386"/>
        <v>13699.780437075198</v>
      </c>
      <c r="FO175" s="1718"/>
      <c r="FP175" s="1722">
        <f t="shared" si="387"/>
        <v>2863.2988821200124</v>
      </c>
      <c r="FQ175" s="1718"/>
      <c r="FR175" s="1722">
        <f t="shared" si="388"/>
        <v>7483.3956472288173</v>
      </c>
      <c r="FS175" s="1718"/>
      <c r="FT175" s="1722">
        <f t="shared" si="389"/>
        <v>7312.5479961798028</v>
      </c>
      <c r="FU175" s="1718"/>
      <c r="FV175" s="1722">
        <f t="shared" si="390"/>
        <v>14260.457550192039</v>
      </c>
      <c r="FW175" s="1718"/>
      <c r="FX175" s="1722">
        <f t="shared" si="391"/>
        <v>6222.6811902064828</v>
      </c>
      <c r="FY175" s="1718"/>
      <c r="FZ175" s="1722">
        <f t="shared" si="392"/>
        <v>5208.8347619183987</v>
      </c>
      <c r="GA175" s="1718"/>
      <c r="GB175" s="1722">
        <f t="shared" si="393"/>
        <v>8836.5212299223422</v>
      </c>
      <c r="GC175" s="1718"/>
      <c r="GD175" s="1722">
        <f t="shared" si="394"/>
        <v>9696.5160142694731</v>
      </c>
      <c r="GE175" s="1718"/>
      <c r="GF175" s="1722">
        <f t="shared" si="395"/>
        <v>5217.6391436010917</v>
      </c>
      <c r="GG175" s="1718"/>
      <c r="GH175" s="1722">
        <f t="shared" si="396"/>
        <v>10830.185966128667</v>
      </c>
      <c r="GI175" s="1718"/>
      <c r="GJ175" s="1722">
        <f t="shared" si="397"/>
        <v>10641.534693925647</v>
      </c>
      <c r="GK175" s="1718"/>
      <c r="GL175" s="1722">
        <f t="shared" si="398"/>
        <v>3860.8493869904778</v>
      </c>
      <c r="GM175" s="1718"/>
      <c r="GN175" s="1722">
        <f t="shared" si="399"/>
        <v>2553.0979929161749</v>
      </c>
      <c r="GO175" s="1718"/>
      <c r="GP175" s="1722">
        <f t="shared" si="400"/>
        <v>7040.6200217640835</v>
      </c>
      <c r="GQ175" s="1718"/>
      <c r="GR175" s="1722">
        <f t="shared" si="401"/>
        <v>5244.9704830935298</v>
      </c>
      <c r="GS175" s="1718"/>
      <c r="GT175" s="1722">
        <f t="shared" si="402"/>
        <v>4662.2328904316255</v>
      </c>
      <c r="GU175" s="1718"/>
      <c r="GV175" s="1722">
        <f t="shared" si="403"/>
        <v>9067.2958923657116</v>
      </c>
      <c r="GW175" s="1718"/>
      <c r="GX175" s="1722">
        <f t="shared" si="404"/>
        <v>3679.431634693794</v>
      </c>
      <c r="GY175" s="1718"/>
      <c r="GZ175" s="1722">
        <f t="shared" si="405"/>
        <v>9593.725423358921</v>
      </c>
      <c r="HA175" s="1718"/>
      <c r="HB175" s="1722">
        <f t="shared" si="406"/>
        <v>5144.0885079138598</v>
      </c>
      <c r="HC175" s="1718"/>
      <c r="HD175" s="1722">
        <f t="shared" si="407"/>
        <v>9591.7255515713859</v>
      </c>
      <c r="HE175" s="1718"/>
      <c r="HF175" s="2038">
        <f t="shared" si="408"/>
        <v>12528.07824157918</v>
      </c>
      <c r="HG175" s="2035"/>
      <c r="HH175" s="1722">
        <f t="shared" si="409"/>
        <v>16978.712819139553</v>
      </c>
      <c r="HI175" s="1718"/>
      <c r="HJ175" s="1722">
        <f t="shared" si="410"/>
        <v>3913.7435131502125</v>
      </c>
      <c r="HK175" s="1718"/>
      <c r="HL175" s="1722">
        <f t="shared" si="411"/>
        <v>7269.8309710841131</v>
      </c>
      <c r="HM175" s="1718"/>
      <c r="HN175" s="1722">
        <f t="shared" si="412"/>
        <v>6813.4781946208004</v>
      </c>
      <c r="HO175" s="1718"/>
      <c r="HP175" s="2038">
        <f t="shared" si="413"/>
        <v>8164.1527202026773</v>
      </c>
      <c r="HQ175" s="2035"/>
      <c r="HR175" s="1722">
        <f t="shared" si="414"/>
        <v>3843.8300213206235</v>
      </c>
      <c r="HS175" s="1718"/>
      <c r="HT175" s="2038">
        <f t="shared" si="415"/>
        <v>6658.5667373638707</v>
      </c>
      <c r="HU175" s="2035"/>
      <c r="HV175" s="2038">
        <f t="shared" si="416"/>
        <v>11668.835160853569</v>
      </c>
      <c r="HW175" s="2035"/>
      <c r="HX175" s="2038">
        <f t="shared" si="417"/>
        <v>11625.339114974971</v>
      </c>
      <c r="HY175" s="2035"/>
      <c r="HZ175" s="2038">
        <f t="shared" si="418"/>
        <v>8242.6979836461978</v>
      </c>
      <c r="IA175" s="2035"/>
      <c r="IB175" s="1722">
        <f t="shared" si="419"/>
        <v>8141.3893195310857</v>
      </c>
      <c r="IC175" s="1718"/>
      <c r="ID175" s="2038">
        <f t="shared" si="420"/>
        <v>5116.3718173199295</v>
      </c>
      <c r="IE175" s="2035"/>
      <c r="IF175" s="2038">
        <f t="shared" si="421"/>
        <v>4952.7969867527545</v>
      </c>
      <c r="IG175" s="2035"/>
    </row>
    <row r="176" spans="1:241">
      <c r="A176" s="1149"/>
      <c r="B176" s="1149"/>
      <c r="C176" s="1149"/>
      <c r="D176" s="1149" t="s">
        <v>41</v>
      </c>
      <c r="E176" s="1143"/>
      <c r="F176" s="1722">
        <f t="shared" si="316"/>
        <v>82.004658048497632</v>
      </c>
      <c r="G176" s="1718"/>
      <c r="H176" s="1722">
        <f t="shared" si="317"/>
        <v>329.13134797492074</v>
      </c>
      <c r="I176" s="1718"/>
      <c r="J176" s="1722">
        <f t="shared" si="318"/>
        <v>311.37786943289251</v>
      </c>
      <c r="K176" s="1718"/>
      <c r="L176" s="1722">
        <f>L147/L$21</f>
        <v>540.88320594184995</v>
      </c>
      <c r="M176" s="1718"/>
      <c r="N176" s="1722">
        <f t="shared" si="320"/>
        <v>94.869682569657556</v>
      </c>
      <c r="O176" s="1718"/>
      <c r="P176" s="1722">
        <f t="shared" si="321"/>
        <v>294.23639698303435</v>
      </c>
      <c r="Q176" s="1718"/>
      <c r="R176" s="1722">
        <f t="shared" si="322"/>
        <v>536.64775667267281</v>
      </c>
      <c r="S176" s="1718"/>
      <c r="T176" s="1722">
        <f t="shared" si="323"/>
        <v>136.8253946110018</v>
      </c>
      <c r="U176" s="1718"/>
      <c r="V176" s="1722">
        <f t="shared" si="324"/>
        <v>0</v>
      </c>
      <c r="W176" s="1718"/>
      <c r="X176" s="1722">
        <f t="shared" si="325"/>
        <v>868.58129863847614</v>
      </c>
      <c r="Y176" s="1718"/>
      <c r="Z176" s="1722">
        <f t="shared" si="326"/>
        <v>201.42218602261372</v>
      </c>
      <c r="AA176" s="1718"/>
      <c r="AB176" s="1722">
        <f t="shared" si="327"/>
        <v>0</v>
      </c>
      <c r="AC176" s="1718"/>
      <c r="AD176" s="1722">
        <f t="shared" si="328"/>
        <v>0</v>
      </c>
      <c r="AE176" s="1718"/>
      <c r="AF176" s="1722">
        <f t="shared" si="329"/>
        <v>195.31680586847909</v>
      </c>
      <c r="AG176" s="1718"/>
      <c r="AH176" s="1722">
        <f t="shared" si="330"/>
        <v>237.74356656399374</v>
      </c>
      <c r="AI176" s="1718"/>
      <c r="AJ176" s="1722">
        <f t="shared" si="331"/>
        <v>1620.0191396817634</v>
      </c>
      <c r="AK176" s="1718"/>
      <c r="AL176" s="1722">
        <f t="shared" si="332"/>
        <v>990.68264351676794</v>
      </c>
      <c r="AM176" s="1718"/>
      <c r="AN176" s="1722">
        <f t="shared" si="333"/>
        <v>177.61750866590134</v>
      </c>
      <c r="AO176" s="1718"/>
      <c r="AP176" s="1722">
        <f t="shared" si="334"/>
        <v>571.16408060695767</v>
      </c>
      <c r="AQ176" s="1718"/>
      <c r="AR176" s="1722">
        <f t="shared" si="335"/>
        <v>958.12669154438163</v>
      </c>
      <c r="AS176" s="1718"/>
      <c r="AT176" s="1722">
        <f t="shared" si="336"/>
        <v>273.90196329564549</v>
      </c>
      <c r="AU176" s="1718"/>
      <c r="AV176" s="1722">
        <f t="shared" si="337"/>
        <v>492.21112335882708</v>
      </c>
      <c r="AW176" s="1718"/>
      <c r="AX176" s="1722">
        <f t="shared" si="338"/>
        <v>436.24490540464546</v>
      </c>
      <c r="AY176" s="1718"/>
      <c r="AZ176" s="1722">
        <f t="shared" si="339"/>
        <v>3.5885929777530761</v>
      </c>
      <c r="BA176" s="1718"/>
      <c r="BB176" s="1722">
        <f t="shared" si="340"/>
        <v>223.63093860122075</v>
      </c>
      <c r="BC176" s="1718"/>
      <c r="BD176" s="1722">
        <f t="shared" si="341"/>
        <v>268.88805219944641</v>
      </c>
      <c r="BE176" s="1718"/>
      <c r="BF176" s="1722">
        <f t="shared" si="342"/>
        <v>10.630423242667725</v>
      </c>
      <c r="BG176" s="1718"/>
      <c r="BH176" s="1722">
        <f t="shared" si="343"/>
        <v>764.82583758235592</v>
      </c>
      <c r="BI176" s="1718"/>
      <c r="BJ176" s="1722">
        <f t="shared" si="344"/>
        <v>375.62298328679623</v>
      </c>
      <c r="BK176" s="1718"/>
      <c r="BL176" s="1722">
        <f t="shared" si="345"/>
        <v>471.47217790352124</v>
      </c>
      <c r="BM176" s="1718"/>
      <c r="BN176" s="1722">
        <f t="shared" si="346"/>
        <v>241.68748687066733</v>
      </c>
      <c r="BO176" s="1718"/>
      <c r="BP176" s="1722">
        <f t="shared" si="347"/>
        <v>370.55084783323457</v>
      </c>
      <c r="BQ176" s="1718"/>
      <c r="BR176" s="1722">
        <f t="shared" si="348"/>
        <v>708.23799800386405</v>
      </c>
      <c r="BS176" s="1718"/>
      <c r="BT176" s="1722">
        <f t="shared" si="349"/>
        <v>241.92235272632578</v>
      </c>
      <c r="BU176" s="1718"/>
      <c r="BV176" s="1722">
        <f t="shared" si="350"/>
        <v>80.664780472521983</v>
      </c>
      <c r="BW176" s="1718"/>
      <c r="BX176" s="1722">
        <f t="shared" si="351"/>
        <v>167.850570011423</v>
      </c>
      <c r="BY176" s="1718"/>
      <c r="BZ176" s="1722">
        <f t="shared" si="352"/>
        <v>261.39787485953934</v>
      </c>
      <c r="CA176" s="1718"/>
      <c r="CB176" s="1722">
        <f t="shared" si="353"/>
        <v>931.0821885080635</v>
      </c>
      <c r="CC176" s="1718"/>
      <c r="CD176" s="1722">
        <f t="shared" si="354"/>
        <v>691.04052364836446</v>
      </c>
      <c r="CE176" s="1718"/>
      <c r="CF176" s="1722">
        <v>317.78002024573647</v>
      </c>
      <c r="CG176" s="1718"/>
      <c r="CH176" s="1722">
        <f t="shared" si="355"/>
        <v>380.76213934264183</v>
      </c>
      <c r="CI176" s="1718"/>
      <c r="CJ176" s="1722">
        <v>282.54586448002362</v>
      </c>
      <c r="CK176" s="1718"/>
      <c r="CL176" s="1722">
        <v>274.70815812856199</v>
      </c>
      <c r="CM176" s="1718"/>
      <c r="CN176" s="1722">
        <f>CN147/CN$21</f>
        <v>325.30406188844097</v>
      </c>
      <c r="CO176" s="1718"/>
      <c r="CP176" s="1722">
        <f t="shared" si="357"/>
        <v>213.65373218174648</v>
      </c>
      <c r="CQ176" s="1718"/>
      <c r="CR176" s="1722">
        <v>889.8107683400724</v>
      </c>
      <c r="CS176" s="1718"/>
      <c r="CT176" s="1722">
        <f t="shared" si="358"/>
        <v>680.60616216773872</v>
      </c>
      <c r="CU176" s="1718"/>
      <c r="CV176" s="1722">
        <f t="shared" si="359"/>
        <v>272.42360437107516</v>
      </c>
      <c r="CW176" s="1718"/>
      <c r="CX176" s="1722">
        <f t="shared" si="359"/>
        <v>68.743170079932213</v>
      </c>
      <c r="CY176" s="1718"/>
      <c r="CZ176" s="1722">
        <v>845.75682585568404</v>
      </c>
      <c r="DA176" s="1718"/>
      <c r="DB176" s="1722">
        <v>289.40800981339936</v>
      </c>
      <c r="DC176" s="1718"/>
      <c r="DD176" s="1722">
        <v>210.50406943383473</v>
      </c>
      <c r="DE176" s="1718"/>
      <c r="DF176" s="1722">
        <v>0</v>
      </c>
      <c r="DG176" s="1718"/>
      <c r="DH176" s="1722">
        <v>5.3079374275782154</v>
      </c>
      <c r="DI176" s="1718"/>
      <c r="DJ176" s="1722">
        <v>186.22438331898979</v>
      </c>
      <c r="DK176" s="1718"/>
      <c r="DL176" s="1722">
        <v>318.79604640545534</v>
      </c>
      <c r="DM176" s="1718"/>
      <c r="DN176" s="1722">
        <f t="shared" si="360"/>
        <v>434.55082351618006</v>
      </c>
      <c r="DO176" s="1718"/>
      <c r="DP176" s="1722">
        <f t="shared" si="361"/>
        <v>511.43573434885536</v>
      </c>
      <c r="DQ176" s="1718"/>
      <c r="DR176" s="1722">
        <f t="shared" si="362"/>
        <v>386.15650088839698</v>
      </c>
      <c r="DS176" s="1718"/>
      <c r="DT176" s="1722">
        <f t="shared" si="363"/>
        <v>552.49909579241671</v>
      </c>
      <c r="DU176" s="1718"/>
      <c r="DV176" s="1722">
        <f t="shared" si="364"/>
        <v>254.00958931461253</v>
      </c>
      <c r="DW176" s="1718"/>
      <c r="DX176" s="1722">
        <f t="shared" si="365"/>
        <v>1099.9388947350285</v>
      </c>
      <c r="DY176" s="1718"/>
      <c r="DZ176" s="1722">
        <f t="shared" si="366"/>
        <v>66.363551034808111</v>
      </c>
      <c r="EA176" s="1718"/>
      <c r="EB176" s="1722">
        <f t="shared" si="367"/>
        <v>910.06482583994853</v>
      </c>
      <c r="EC176" s="1718"/>
      <c r="ED176" s="1722">
        <f t="shared" si="368"/>
        <v>516.52597392106452</v>
      </c>
      <c r="EE176" s="1718"/>
      <c r="EF176" s="1722">
        <f t="shared" si="369"/>
        <v>568.80771065827764</v>
      </c>
      <c r="EG176" s="1718"/>
      <c r="EH176" s="1722">
        <f t="shared" si="370"/>
        <v>510.18214166833945</v>
      </c>
      <c r="EI176" s="1718"/>
      <c r="EJ176" s="1722">
        <f t="shared" si="371"/>
        <v>521.80331738792586</v>
      </c>
      <c r="EK176" s="1718"/>
      <c r="EL176" s="1722">
        <f t="shared" si="372"/>
        <v>790.25515835913382</v>
      </c>
      <c r="EM176" s="1718"/>
      <c r="EN176" s="1722">
        <f t="shared" si="373"/>
        <v>0</v>
      </c>
      <c r="EO176" s="1718"/>
      <c r="EP176" s="1722">
        <f t="shared" si="374"/>
        <v>334.07804096089507</v>
      </c>
      <c r="EQ176" s="1718"/>
      <c r="ER176" s="1722">
        <f t="shared" si="375"/>
        <v>27.994715581764403</v>
      </c>
      <c r="ES176" s="1718"/>
      <c r="ET176" s="1722">
        <f t="shared" si="376"/>
        <v>799.94448488731632</v>
      </c>
      <c r="EU176" s="1718"/>
      <c r="EV176" s="1722">
        <f t="shared" si="377"/>
        <v>32.21826068403341</v>
      </c>
      <c r="EW176" s="1718"/>
      <c r="EX176" s="1722">
        <f t="shared" si="378"/>
        <v>0.1372159727220735</v>
      </c>
      <c r="EY176" s="1718"/>
      <c r="EZ176" s="1722">
        <f t="shared" si="379"/>
        <v>952.65117864395711</v>
      </c>
      <c r="FA176" s="1718"/>
      <c r="FB176" s="1722">
        <f t="shared" si="380"/>
        <v>192.59734270804137</v>
      </c>
      <c r="FC176" s="1718"/>
      <c r="FD176" s="1722">
        <f t="shared" si="381"/>
        <v>282.69880677675189</v>
      </c>
      <c r="FE176" s="1718"/>
      <c r="FF176" s="1722">
        <f t="shared" si="382"/>
        <v>0</v>
      </c>
      <c r="FG176" s="1718"/>
      <c r="FH176" s="1722">
        <f t="shared" si="383"/>
        <v>912.98549553931502</v>
      </c>
      <c r="FI176" s="1718"/>
      <c r="FJ176" s="1722">
        <f t="shared" si="384"/>
        <v>247.13323878414215</v>
      </c>
      <c r="FK176" s="1718"/>
      <c r="FL176" s="1722">
        <f t="shared" si="385"/>
        <v>0</v>
      </c>
      <c r="FM176" s="1718"/>
      <c r="FN176" s="1722">
        <f t="shared" si="386"/>
        <v>667.68924963828647</v>
      </c>
      <c r="FO176" s="1718"/>
      <c r="FP176" s="1722">
        <f t="shared" si="387"/>
        <v>0</v>
      </c>
      <c r="FQ176" s="1718"/>
      <c r="FR176" s="1722">
        <f t="shared" si="388"/>
        <v>402.88153962944409</v>
      </c>
      <c r="FS176" s="1718"/>
      <c r="FT176" s="1722">
        <f t="shared" si="389"/>
        <v>225.44353055946078</v>
      </c>
      <c r="FU176" s="1718"/>
      <c r="FV176" s="1722">
        <f t="shared" si="390"/>
        <v>865.42281349234167</v>
      </c>
      <c r="FW176" s="1718"/>
      <c r="FX176" s="1722">
        <f t="shared" si="391"/>
        <v>0</v>
      </c>
      <c r="FY176" s="1718"/>
      <c r="FZ176" s="1722">
        <f t="shared" si="392"/>
        <v>82.837587861743316</v>
      </c>
      <c r="GA176" s="1718"/>
      <c r="GB176" s="1722">
        <f t="shared" si="393"/>
        <v>186.90108356306146</v>
      </c>
      <c r="GC176" s="1718"/>
      <c r="GD176" s="1722">
        <f t="shared" si="394"/>
        <v>0</v>
      </c>
      <c r="GE176" s="1718"/>
      <c r="GF176" s="1722">
        <f t="shared" si="395"/>
        <v>213.80197387801829</v>
      </c>
      <c r="GG176" s="1718"/>
      <c r="GH176" s="1722">
        <f t="shared" si="396"/>
        <v>0</v>
      </c>
      <c r="GI176" s="1718"/>
      <c r="GJ176" s="1722">
        <f t="shared" si="397"/>
        <v>380.42902574513624</v>
      </c>
      <c r="GK176" s="1718"/>
      <c r="GL176" s="1722">
        <f t="shared" si="398"/>
        <v>0</v>
      </c>
      <c r="GM176" s="1718"/>
      <c r="GN176" s="1722">
        <f t="shared" si="399"/>
        <v>0</v>
      </c>
      <c r="GO176" s="1718"/>
      <c r="GP176" s="1722">
        <f t="shared" si="400"/>
        <v>0</v>
      </c>
      <c r="GQ176" s="1718"/>
      <c r="GR176" s="1722">
        <f t="shared" si="401"/>
        <v>19.10463583027758</v>
      </c>
      <c r="GS176" s="1718"/>
      <c r="GT176" s="1722">
        <f t="shared" si="402"/>
        <v>46.09944953090001</v>
      </c>
      <c r="GU176" s="1718"/>
      <c r="GV176" s="1722">
        <f t="shared" si="403"/>
        <v>0</v>
      </c>
      <c r="GW176" s="1718"/>
      <c r="GX176" s="1722">
        <f t="shared" si="404"/>
        <v>0</v>
      </c>
      <c r="GY176" s="1718"/>
      <c r="GZ176" s="1722">
        <f t="shared" si="405"/>
        <v>411.53937195081926</v>
      </c>
      <c r="HA176" s="1718"/>
      <c r="HB176" s="1722">
        <f t="shared" si="406"/>
        <v>320.59934229734796</v>
      </c>
      <c r="HC176" s="1718"/>
      <c r="HD176" s="1722">
        <f t="shared" si="407"/>
        <v>1281.3827253965032</v>
      </c>
      <c r="HE176" s="1718"/>
      <c r="HF176" s="2038">
        <f t="shared" si="408"/>
        <v>663.61222531508315</v>
      </c>
      <c r="HG176" s="2035"/>
      <c r="HH176" s="1722">
        <f t="shared" si="409"/>
        <v>1510.5452325624192</v>
      </c>
      <c r="HI176" s="1718"/>
      <c r="HJ176" s="1722">
        <f t="shared" si="410"/>
        <v>132.20212992256063</v>
      </c>
      <c r="HK176" s="1718"/>
      <c r="HL176" s="1722">
        <f t="shared" si="411"/>
        <v>354.18870195560004</v>
      </c>
      <c r="HM176" s="1718"/>
      <c r="HN176" s="1722">
        <f t="shared" si="412"/>
        <v>497.51721112778478</v>
      </c>
      <c r="HO176" s="1718"/>
      <c r="HP176" s="2038">
        <f t="shared" si="413"/>
        <v>217.20310801475566</v>
      </c>
      <c r="HQ176" s="2035"/>
      <c r="HR176" s="1722">
        <f t="shared" si="414"/>
        <v>301.60438322318379</v>
      </c>
      <c r="HS176" s="1718"/>
      <c r="HT176" s="2038">
        <f t="shared" si="415"/>
        <v>88.333442280270688</v>
      </c>
      <c r="HU176" s="2035"/>
      <c r="HV176" s="2038">
        <f t="shared" si="416"/>
        <v>935.02117404539251</v>
      </c>
      <c r="HW176" s="2035"/>
      <c r="HX176" s="2038">
        <f t="shared" si="417"/>
        <v>357.9369786636563</v>
      </c>
      <c r="HY176" s="2035"/>
      <c r="HZ176" s="2038">
        <f t="shared" si="418"/>
        <v>267.68055126236663</v>
      </c>
      <c r="IA176" s="2035"/>
      <c r="IB176" s="1722">
        <f t="shared" si="419"/>
        <v>330.1929010807844</v>
      </c>
      <c r="IC176" s="1718"/>
      <c r="ID176" s="2038">
        <f t="shared" si="420"/>
        <v>20.257091365659086</v>
      </c>
      <c r="IE176" s="2035"/>
      <c r="IF176" s="2038">
        <f t="shared" si="421"/>
        <v>234.58825636537117</v>
      </c>
      <c r="IG176" s="2035"/>
    </row>
    <row r="177" spans="1:241">
      <c r="A177" s="1149"/>
      <c r="B177" s="1149"/>
      <c r="C177" s="1149"/>
      <c r="D177" s="1149" t="s">
        <v>20</v>
      </c>
      <c r="E177" s="1143"/>
      <c r="F177" s="1723">
        <f t="shared" si="316"/>
        <v>1650.9128048996968</v>
      </c>
      <c r="G177" s="1718"/>
      <c r="H177" s="1723">
        <f t="shared" si="317"/>
        <v>746.77802805854412</v>
      </c>
      <c r="I177" s="1718"/>
      <c r="J177" s="1723">
        <f t="shared" si="318"/>
        <v>438.42542809869099</v>
      </c>
      <c r="K177" s="1718"/>
      <c r="L177" s="1723">
        <f>L148/L$21</f>
        <v>602.57640105578162</v>
      </c>
      <c r="M177" s="1718"/>
      <c r="N177" s="1723">
        <f t="shared" si="320"/>
        <v>1055.7818747798865</v>
      </c>
      <c r="O177" s="1718"/>
      <c r="P177" s="1723">
        <f t="shared" si="321"/>
        <v>544.86131861546016</v>
      </c>
      <c r="Q177" s="1718"/>
      <c r="R177" s="1723">
        <f t="shared" si="322"/>
        <v>918.01921560949233</v>
      </c>
      <c r="S177" s="1718"/>
      <c r="T177" s="1723">
        <f t="shared" si="323"/>
        <v>433.36311691555147</v>
      </c>
      <c r="U177" s="1718"/>
      <c r="V177" s="1723">
        <f t="shared" si="324"/>
        <v>330.48215948419738</v>
      </c>
      <c r="W177" s="1718"/>
      <c r="X177" s="1723">
        <f t="shared" si="325"/>
        <v>1024.4504946318775</v>
      </c>
      <c r="Y177" s="1718"/>
      <c r="Z177" s="1723">
        <f t="shared" si="326"/>
        <v>610.79933026035224</v>
      </c>
      <c r="AA177" s="1718"/>
      <c r="AB177" s="1723">
        <f t="shared" si="327"/>
        <v>205.54135338345864</v>
      </c>
      <c r="AC177" s="1718"/>
      <c r="AD177" s="1723">
        <f t="shared" si="328"/>
        <v>1026.527813594183</v>
      </c>
      <c r="AE177" s="1718"/>
      <c r="AF177" s="1723">
        <f t="shared" si="329"/>
        <v>317.2086436412647</v>
      </c>
      <c r="AG177" s="1718"/>
      <c r="AH177" s="1723">
        <f t="shared" si="330"/>
        <v>735.01995415905026</v>
      </c>
      <c r="AI177" s="1718"/>
      <c r="AJ177" s="1723">
        <f t="shared" si="331"/>
        <v>853.67687144644481</v>
      </c>
      <c r="AK177" s="1718"/>
      <c r="AL177" s="1723">
        <f t="shared" si="332"/>
        <v>1235.6065485345387</v>
      </c>
      <c r="AM177" s="1718"/>
      <c r="AN177" s="1723">
        <f t="shared" si="333"/>
        <v>621.32832825520802</v>
      </c>
      <c r="AO177" s="1718"/>
      <c r="AP177" s="1723">
        <f t="shared" si="334"/>
        <v>1090.5800452218502</v>
      </c>
      <c r="AQ177" s="1718"/>
      <c r="AR177" s="1723">
        <f t="shared" si="335"/>
        <v>3313.9348413103594</v>
      </c>
      <c r="AS177" s="1718"/>
      <c r="AT177" s="1723">
        <f t="shared" si="336"/>
        <v>567.08852653296162</v>
      </c>
      <c r="AU177" s="1718"/>
      <c r="AV177" s="1723">
        <f t="shared" si="337"/>
        <v>671.64404812482974</v>
      </c>
      <c r="AW177" s="1718"/>
      <c r="AX177" s="1723">
        <f t="shared" si="338"/>
        <v>584.32840181296194</v>
      </c>
      <c r="AY177" s="1718"/>
      <c r="AZ177" s="1723">
        <f t="shared" si="339"/>
        <v>234.78409868153693</v>
      </c>
      <c r="BA177" s="1718"/>
      <c r="BB177" s="1723">
        <f t="shared" si="340"/>
        <v>1084.5168224017309</v>
      </c>
      <c r="BC177" s="1718"/>
      <c r="BD177" s="1723">
        <f t="shared" si="341"/>
        <v>436.1926946958929</v>
      </c>
      <c r="BE177" s="1718"/>
      <c r="BF177" s="1723">
        <f t="shared" si="342"/>
        <v>430.76385746176965</v>
      </c>
      <c r="BG177" s="1718"/>
      <c r="BH177" s="1723">
        <f t="shared" si="343"/>
        <v>846.71050171416834</v>
      </c>
      <c r="BI177" s="1718"/>
      <c r="BJ177" s="1723">
        <f t="shared" si="344"/>
        <v>522.56400361589465</v>
      </c>
      <c r="BK177" s="1718"/>
      <c r="BL177" s="1723">
        <f t="shared" si="345"/>
        <v>692.16349205637198</v>
      </c>
      <c r="BM177" s="1718"/>
      <c r="BN177" s="1723">
        <f t="shared" si="346"/>
        <v>477.26073804355434</v>
      </c>
      <c r="BO177" s="1718"/>
      <c r="BP177" s="1723">
        <f t="shared" si="347"/>
        <v>139.57801007231964</v>
      </c>
      <c r="BQ177" s="1718"/>
      <c r="BR177" s="1723">
        <f t="shared" si="348"/>
        <v>535.99655712336676</v>
      </c>
      <c r="BS177" s="1718"/>
      <c r="BT177" s="1723">
        <f t="shared" si="349"/>
        <v>504.29284151360707</v>
      </c>
      <c r="BU177" s="1718"/>
      <c r="BV177" s="1723">
        <f t="shared" si="350"/>
        <v>204.1948354347912</v>
      </c>
      <c r="BW177" s="1718"/>
      <c r="BX177" s="1723">
        <f t="shared" si="351"/>
        <v>677.16509774445205</v>
      </c>
      <c r="BY177" s="1718"/>
      <c r="BZ177" s="1723">
        <f t="shared" si="352"/>
        <v>366.00588694182397</v>
      </c>
      <c r="CA177" s="1718"/>
      <c r="CB177" s="1723">
        <f t="shared" si="353"/>
        <v>961.24011991551129</v>
      </c>
      <c r="CC177" s="1718"/>
      <c r="CD177" s="1723">
        <f t="shared" si="354"/>
        <v>703.47291389483587</v>
      </c>
      <c r="CE177" s="1718"/>
      <c r="CF177" s="1723">
        <v>796.32854592789033</v>
      </c>
      <c r="CG177" s="1718"/>
      <c r="CH177" s="1723">
        <f t="shared" si="355"/>
        <v>613.38870285295275</v>
      </c>
      <c r="CI177" s="1718"/>
      <c r="CJ177" s="1723">
        <v>454.54315354367697</v>
      </c>
      <c r="CK177" s="1718"/>
      <c r="CL177" s="1723">
        <v>645.80943560771391</v>
      </c>
      <c r="CM177" s="1718"/>
      <c r="CN177" s="1723">
        <f>CN148/CN$21</f>
        <v>533.6826633627918</v>
      </c>
      <c r="CO177" s="1718"/>
      <c r="CP177" s="1723">
        <f t="shared" si="357"/>
        <v>368.54988341227596</v>
      </c>
      <c r="CQ177" s="1718"/>
      <c r="CR177" s="1723">
        <v>1368.8066911666153</v>
      </c>
      <c r="CS177" s="1718"/>
      <c r="CT177" s="1723">
        <f t="shared" si="358"/>
        <v>1052.2380925045427</v>
      </c>
      <c r="CU177" s="1718"/>
      <c r="CV177" s="1723">
        <f t="shared" si="359"/>
        <v>728.39247988584907</v>
      </c>
      <c r="CW177" s="1718"/>
      <c r="CX177" s="1723">
        <f t="shared" si="359"/>
        <v>925.57011876353693</v>
      </c>
      <c r="CY177" s="1718"/>
      <c r="CZ177" s="1723">
        <v>1563.937657849913</v>
      </c>
      <c r="DA177" s="1718"/>
      <c r="DB177" s="1723">
        <v>429.85851574073428</v>
      </c>
      <c r="DC177" s="1718"/>
      <c r="DD177" s="1723">
        <v>658.09107646381688</v>
      </c>
      <c r="DE177" s="1718"/>
      <c r="DF177" s="1723">
        <v>763.33401892174811</v>
      </c>
      <c r="DG177" s="1718"/>
      <c r="DH177" s="1723">
        <v>133.57242178447277</v>
      </c>
      <c r="DI177" s="1718"/>
      <c r="DJ177" s="1723">
        <v>403.99695450397019</v>
      </c>
      <c r="DK177" s="1718"/>
      <c r="DL177" s="1723">
        <v>450.18585266330177</v>
      </c>
      <c r="DM177" s="1718"/>
      <c r="DN177" s="1723">
        <f t="shared" si="360"/>
        <v>830.61689576616675</v>
      </c>
      <c r="DO177" s="1718"/>
      <c r="DP177" s="1723">
        <f t="shared" si="361"/>
        <v>1006.068927335789</v>
      </c>
      <c r="DQ177" s="1718"/>
      <c r="DR177" s="1723">
        <f t="shared" si="362"/>
        <v>772.67714146191872</v>
      </c>
      <c r="DS177" s="1718"/>
      <c r="DT177" s="1723">
        <f t="shared" si="363"/>
        <v>793.96730863813741</v>
      </c>
      <c r="DU177" s="1718"/>
      <c r="DV177" s="1723">
        <f t="shared" si="364"/>
        <v>928.15002919699418</v>
      </c>
      <c r="DW177" s="1718"/>
      <c r="DX177" s="1723">
        <f t="shared" si="365"/>
        <v>836.84008937967008</v>
      </c>
      <c r="DY177" s="1718"/>
      <c r="DZ177" s="1723">
        <f t="shared" si="366"/>
        <v>907.93959604256008</v>
      </c>
      <c r="EA177" s="1718"/>
      <c r="EB177" s="1723">
        <f t="shared" si="367"/>
        <v>820.20725438065983</v>
      </c>
      <c r="EC177" s="1718"/>
      <c r="ED177" s="1723">
        <f t="shared" si="368"/>
        <v>875.24445937138455</v>
      </c>
      <c r="EE177" s="1718"/>
      <c r="EF177" s="1723">
        <f t="shared" si="369"/>
        <v>1028.6887370291279</v>
      </c>
      <c r="EG177" s="1718"/>
      <c r="EH177" s="1723">
        <f t="shared" si="370"/>
        <v>827.97742172656467</v>
      </c>
      <c r="EI177" s="1718"/>
      <c r="EJ177" s="1723">
        <f t="shared" si="371"/>
        <v>376.08406912809551</v>
      </c>
      <c r="EK177" s="1718"/>
      <c r="EL177" s="1723">
        <f t="shared" si="372"/>
        <v>864.71867897578102</v>
      </c>
      <c r="EM177" s="1718"/>
      <c r="EN177" s="1723">
        <f t="shared" si="373"/>
        <v>460.61039499548468</v>
      </c>
      <c r="EO177" s="1718"/>
      <c r="EP177" s="1723">
        <f t="shared" si="374"/>
        <v>989.78653769968628</v>
      </c>
      <c r="EQ177" s="1718"/>
      <c r="ER177" s="1723">
        <f t="shared" si="375"/>
        <v>339.68286725753683</v>
      </c>
      <c r="ES177" s="1718"/>
      <c r="ET177" s="1723">
        <f t="shared" si="376"/>
        <v>714.54420665406667</v>
      </c>
      <c r="EU177" s="1718"/>
      <c r="EV177" s="1723">
        <f t="shared" si="377"/>
        <v>229.81621597341501</v>
      </c>
      <c r="EW177" s="1718"/>
      <c r="EX177" s="1723">
        <f t="shared" si="378"/>
        <v>269.51199051110115</v>
      </c>
      <c r="EY177" s="1718"/>
      <c r="EZ177" s="1723">
        <f t="shared" si="379"/>
        <v>577.73726441322742</v>
      </c>
      <c r="FA177" s="1718"/>
      <c r="FB177" s="1723">
        <f t="shared" si="380"/>
        <v>369.24470366932576</v>
      </c>
      <c r="FC177" s="1718"/>
      <c r="FD177" s="1723">
        <f t="shared" si="381"/>
        <v>698.71039843124072</v>
      </c>
      <c r="FE177" s="1718"/>
      <c r="FF177" s="1723">
        <f t="shared" si="382"/>
        <v>365.82799999999997</v>
      </c>
      <c r="FG177" s="1718"/>
      <c r="FH177" s="1723">
        <f t="shared" si="383"/>
        <v>2658.6236782642427</v>
      </c>
      <c r="FI177" s="1718"/>
      <c r="FJ177" s="1723">
        <f t="shared" si="384"/>
        <v>816.56441553816546</v>
      </c>
      <c r="FK177" s="1718"/>
      <c r="FL177" s="1723">
        <f t="shared" si="385"/>
        <v>1251.911106907665</v>
      </c>
      <c r="FM177" s="1718"/>
      <c r="FN177" s="1723">
        <f t="shared" si="386"/>
        <v>1401.62581551122</v>
      </c>
      <c r="FO177" s="1718"/>
      <c r="FP177" s="1723">
        <f t="shared" si="387"/>
        <v>276.18078282059093</v>
      </c>
      <c r="FQ177" s="1718"/>
      <c r="FR177" s="1723">
        <f t="shared" si="388"/>
        <v>506.52978736100886</v>
      </c>
      <c r="FS177" s="1718"/>
      <c r="FT177" s="1723">
        <f t="shared" si="389"/>
        <v>488.61889185770542</v>
      </c>
      <c r="FU177" s="1718"/>
      <c r="FV177" s="1723">
        <f t="shared" si="390"/>
        <v>973.61928003988828</v>
      </c>
      <c r="FW177" s="1718"/>
      <c r="FX177" s="1723">
        <f t="shared" si="391"/>
        <v>377.90106831479739</v>
      </c>
      <c r="FY177" s="1718"/>
      <c r="FZ177" s="1723">
        <f t="shared" si="392"/>
        <v>722.52714182187424</v>
      </c>
      <c r="GA177" s="1718"/>
      <c r="GB177" s="1723">
        <f t="shared" si="393"/>
        <v>311.77847420909274</v>
      </c>
      <c r="GC177" s="1718"/>
      <c r="GD177" s="1723">
        <f t="shared" si="394"/>
        <v>770.64559008140952</v>
      </c>
      <c r="GE177" s="1718"/>
      <c r="GF177" s="1723">
        <f t="shared" si="395"/>
        <v>349.42459543039837</v>
      </c>
      <c r="GG177" s="1718"/>
      <c r="GH177" s="1723">
        <f t="shared" si="396"/>
        <v>766.2123972238328</v>
      </c>
      <c r="GI177" s="1718"/>
      <c r="GJ177" s="1723">
        <f t="shared" si="397"/>
        <v>1168.3263975070258</v>
      </c>
      <c r="GK177" s="1718"/>
      <c r="GL177" s="1723">
        <f t="shared" si="398"/>
        <v>311.84432768305265</v>
      </c>
      <c r="GM177" s="1718"/>
      <c r="GN177" s="1723">
        <f t="shared" si="399"/>
        <v>171.61865407319954</v>
      </c>
      <c r="GO177" s="1718"/>
      <c r="GP177" s="1723">
        <f t="shared" si="400"/>
        <v>741.03278799491602</v>
      </c>
      <c r="GQ177" s="1718"/>
      <c r="GR177" s="1723">
        <f t="shared" si="401"/>
        <v>513.48318411793935</v>
      </c>
      <c r="GS177" s="1718"/>
      <c r="GT177" s="1723">
        <f t="shared" si="402"/>
        <v>252.67932137108477</v>
      </c>
      <c r="GU177" s="1718"/>
      <c r="GV177" s="1723">
        <f t="shared" si="403"/>
        <v>314.38177455549226</v>
      </c>
      <c r="GW177" s="1718"/>
      <c r="GX177" s="1723">
        <f t="shared" si="404"/>
        <v>241.7352707165204</v>
      </c>
      <c r="GY177" s="1718"/>
      <c r="GZ177" s="1723">
        <f t="shared" si="405"/>
        <v>643.62570032463486</v>
      </c>
      <c r="HA177" s="1718"/>
      <c r="HB177" s="1723">
        <f t="shared" si="406"/>
        <v>409.50490186045562</v>
      </c>
      <c r="HC177" s="1718"/>
      <c r="HD177" s="1723">
        <f t="shared" si="407"/>
        <v>1434.973818403884</v>
      </c>
      <c r="HE177" s="1718"/>
      <c r="HF177" s="2039">
        <f t="shared" si="408"/>
        <v>661.07574453401799</v>
      </c>
      <c r="HG177" s="2035"/>
      <c r="HH177" s="1723">
        <f t="shared" si="409"/>
        <v>1159.9216436805389</v>
      </c>
      <c r="HI177" s="1718"/>
      <c r="HJ177" s="1723">
        <f t="shared" si="410"/>
        <v>313.79724549326312</v>
      </c>
      <c r="HK177" s="1718"/>
      <c r="HL177" s="1723">
        <f t="shared" si="411"/>
        <v>450.64386040696434</v>
      </c>
      <c r="HM177" s="1718"/>
      <c r="HN177" s="1723">
        <f t="shared" si="412"/>
        <v>516.90933856631648</v>
      </c>
      <c r="HO177" s="1718"/>
      <c r="HP177" s="2039">
        <f t="shared" si="413"/>
        <v>487.831255081785</v>
      </c>
      <c r="HQ177" s="2035"/>
      <c r="HR177" s="1723">
        <f t="shared" si="414"/>
        <v>559.01628840515536</v>
      </c>
      <c r="HS177" s="1718"/>
      <c r="HT177" s="2039">
        <f t="shared" si="415"/>
        <v>658.71640398112697</v>
      </c>
      <c r="HU177" s="2035"/>
      <c r="HV177" s="2039">
        <f t="shared" si="416"/>
        <v>1026.4695541320898</v>
      </c>
      <c r="HW177" s="2035"/>
      <c r="HX177" s="2039">
        <f t="shared" si="417"/>
        <v>655.78322921690267</v>
      </c>
      <c r="HY177" s="2035"/>
      <c r="HZ177" s="2039">
        <f t="shared" si="418"/>
        <v>530.33380639515121</v>
      </c>
      <c r="IA177" s="2035"/>
      <c r="IB177" s="1723">
        <f t="shared" si="419"/>
        <v>519.22563678003598</v>
      </c>
      <c r="IC177" s="1718"/>
      <c r="ID177" s="2039">
        <f t="shared" si="420"/>
        <v>321.6646537807805</v>
      </c>
      <c r="IE177" s="2035"/>
      <c r="IF177" s="2039">
        <f t="shared" si="421"/>
        <v>547.215682096774</v>
      </c>
      <c r="IG177" s="2035"/>
    </row>
    <row r="178" spans="1:241">
      <c r="A178" s="1149"/>
      <c r="B178" s="1149"/>
      <c r="C178" s="1149"/>
      <c r="D178" s="1149"/>
      <c r="E178" s="1143"/>
      <c r="F178" s="1717"/>
      <c r="G178" s="1356"/>
      <c r="H178" s="1717"/>
      <c r="I178" s="1356"/>
      <c r="J178" s="1717"/>
      <c r="K178" s="1356"/>
      <c r="L178" s="1717"/>
      <c r="M178" s="1356"/>
      <c r="N178" s="1717"/>
      <c r="O178" s="1356"/>
      <c r="P178" s="1717"/>
      <c r="Q178" s="1356"/>
      <c r="R178" s="1717"/>
      <c r="T178" s="1717"/>
      <c r="U178" s="1356"/>
      <c r="V178" s="1717"/>
      <c r="W178" s="1356"/>
      <c r="X178" s="1717"/>
      <c r="Y178" s="1356"/>
      <c r="Z178" s="1717"/>
      <c r="AA178" s="1356"/>
      <c r="AB178" s="1717"/>
      <c r="AC178" s="1356"/>
      <c r="AD178" s="1717"/>
      <c r="AE178" s="1356"/>
      <c r="AF178" s="1717"/>
      <c r="AG178" s="1356"/>
      <c r="AH178" s="1717"/>
      <c r="AI178" s="1356"/>
      <c r="AJ178" s="1717"/>
      <c r="AK178" s="1356"/>
      <c r="AL178" s="1717"/>
      <c r="AM178" s="1356"/>
      <c r="AN178" s="1717"/>
      <c r="AO178" s="1356"/>
      <c r="AP178" s="1717"/>
      <c r="AQ178" s="1356"/>
      <c r="AR178" s="1717"/>
      <c r="AS178" s="1356"/>
      <c r="AT178" s="1717"/>
      <c r="AU178" s="1356"/>
      <c r="AV178" s="1717"/>
      <c r="AW178" s="1356"/>
      <c r="AX178" s="1717"/>
      <c r="AY178" s="1356"/>
      <c r="AZ178" s="1717"/>
      <c r="BA178" s="1356"/>
      <c r="BB178" s="1717"/>
      <c r="BC178" s="1356"/>
      <c r="BD178" s="1717"/>
      <c r="BE178" s="1356"/>
      <c r="BF178" s="1717"/>
      <c r="BG178" s="1356"/>
      <c r="BH178" s="1717"/>
      <c r="BI178" s="1356"/>
      <c r="BJ178" s="1717"/>
      <c r="BK178" s="1356"/>
      <c r="BL178" s="1717"/>
      <c r="BM178" s="1356"/>
      <c r="BN178" s="1717"/>
      <c r="BO178" s="1356"/>
      <c r="BP178" s="1717"/>
      <c r="BQ178" s="1356"/>
      <c r="BR178" s="1717"/>
      <c r="BS178" s="1356"/>
      <c r="BT178" s="1717"/>
      <c r="BU178" s="1356"/>
      <c r="BV178" s="1717"/>
      <c r="BW178" s="1356"/>
      <c r="BX178" s="1717"/>
      <c r="BY178" s="1356"/>
      <c r="BZ178" s="1717"/>
      <c r="CA178" s="1356"/>
      <c r="CB178" s="1717"/>
      <c r="CC178" s="1356"/>
      <c r="CD178" s="1717"/>
      <c r="CE178" s="1356"/>
      <c r="CF178" s="1717"/>
      <c r="CG178" s="1356"/>
      <c r="CH178" s="1717"/>
      <c r="CI178" s="1356"/>
      <c r="CJ178" s="1717"/>
      <c r="CK178" s="1356"/>
      <c r="CL178" s="1717"/>
      <c r="CM178" s="1356"/>
      <c r="CN178" s="1717"/>
      <c r="CO178" s="1356"/>
      <c r="CP178" s="1717"/>
      <c r="CQ178" s="1356"/>
      <c r="CR178" s="1717"/>
      <c r="CS178" s="1356"/>
      <c r="CT178" s="1717"/>
      <c r="CU178" s="1356"/>
      <c r="CV178" s="1717"/>
      <c r="CW178" s="1356"/>
      <c r="CX178" s="1717"/>
      <c r="CY178" s="1356"/>
      <c r="CZ178" s="1717"/>
      <c r="DA178" s="1356"/>
      <c r="DB178" s="1717"/>
      <c r="DC178" s="1356"/>
      <c r="DD178" s="1717"/>
      <c r="DE178" s="1356"/>
      <c r="DF178" s="1717"/>
      <c r="DG178" s="1356"/>
      <c r="DH178" s="1717"/>
      <c r="DI178" s="1356"/>
      <c r="DJ178" s="1717"/>
      <c r="DK178" s="1356"/>
      <c r="DL178" s="1717"/>
      <c r="DM178" s="1356"/>
      <c r="DN178" s="1717"/>
      <c r="DO178" s="1356"/>
      <c r="DP178" s="1717"/>
      <c r="DQ178" s="1356"/>
      <c r="DR178" s="1717"/>
      <c r="DS178" s="1356"/>
      <c r="DT178" s="1717"/>
      <c r="DU178" s="1356"/>
      <c r="DV178" s="1717"/>
      <c r="DW178" s="1356"/>
      <c r="DX178" s="1717"/>
      <c r="DY178" s="1356"/>
      <c r="DZ178" s="1717"/>
      <c r="EA178" s="1356"/>
      <c r="EB178" s="1717"/>
      <c r="EC178" s="1356"/>
      <c r="ED178" s="1717"/>
      <c r="EE178" s="1356"/>
      <c r="EF178" s="1717"/>
      <c r="EG178" s="1356"/>
      <c r="EH178" s="1717"/>
      <c r="EI178" s="1356"/>
      <c r="EJ178" s="1717"/>
      <c r="EK178" s="1356"/>
      <c r="EL178" s="1717"/>
      <c r="EM178" s="1356"/>
      <c r="EN178" s="1717"/>
      <c r="EO178" s="1356"/>
      <c r="EP178" s="1717"/>
      <c r="EQ178" s="1356"/>
      <c r="ER178" s="1717"/>
      <c r="ES178" s="1356"/>
      <c r="ET178" s="1717"/>
      <c r="EU178" s="1356"/>
      <c r="EV178" s="1717"/>
      <c r="EW178" s="1356"/>
      <c r="EX178" s="1717"/>
      <c r="EY178" s="1356"/>
      <c r="EZ178" s="1717"/>
      <c r="FA178" s="1356"/>
      <c r="FB178" s="1717"/>
      <c r="FC178" s="1356"/>
      <c r="FD178" s="1717"/>
      <c r="FE178" s="1356"/>
      <c r="FF178" s="1717"/>
      <c r="FG178" s="1356"/>
      <c r="FH178" s="1717"/>
      <c r="FI178" s="1356"/>
      <c r="FJ178" s="1717"/>
      <c r="FK178" s="1356"/>
      <c r="FL178" s="1717"/>
      <c r="FM178" s="1356"/>
      <c r="FN178" s="1717"/>
      <c r="FO178" s="1356"/>
      <c r="FP178" s="1717"/>
      <c r="FQ178" s="1356"/>
      <c r="FR178" s="1717"/>
      <c r="FS178" s="1356"/>
      <c r="FT178" s="1717"/>
      <c r="FU178" s="1356"/>
      <c r="FV178" s="1717"/>
      <c r="FW178" s="1356"/>
      <c r="FX178" s="1717"/>
      <c r="FY178" s="1356"/>
      <c r="FZ178" s="1717"/>
      <c r="GA178" s="1356"/>
      <c r="GB178" s="1717"/>
      <c r="GC178" s="1356"/>
      <c r="GD178" s="1717"/>
      <c r="GE178" s="1356"/>
      <c r="GF178" s="1717"/>
      <c r="GG178" s="1356"/>
      <c r="GH178" s="1717"/>
      <c r="GI178" s="1356"/>
      <c r="GJ178" s="1717"/>
      <c r="GK178" s="1356"/>
      <c r="GL178" s="1717"/>
      <c r="GM178" s="1356"/>
      <c r="GN178" s="1717"/>
      <c r="GO178" s="1356"/>
      <c r="GP178" s="1717"/>
      <c r="GQ178" s="1356"/>
      <c r="GR178" s="1717"/>
      <c r="GS178" s="1356"/>
      <c r="GT178" s="1717"/>
      <c r="GU178" s="1356"/>
      <c r="GV178" s="1717"/>
      <c r="GW178" s="1356"/>
      <c r="GX178" s="1717"/>
      <c r="GY178" s="1356"/>
      <c r="GZ178" s="1717"/>
      <c r="HA178" s="1356"/>
      <c r="HB178" s="1717"/>
      <c r="HC178" s="1356"/>
      <c r="HD178" s="1717"/>
      <c r="HE178" s="1356"/>
      <c r="HF178" s="2034"/>
      <c r="HH178" s="1717"/>
      <c r="HI178" s="1356"/>
      <c r="HJ178" s="1717"/>
      <c r="HK178" s="1356"/>
      <c r="HL178" s="1717"/>
      <c r="HM178" s="1356"/>
      <c r="HN178" s="1717"/>
      <c r="HO178" s="1356"/>
      <c r="HP178" s="2034"/>
      <c r="HR178" s="1717"/>
      <c r="HS178" s="1356"/>
      <c r="HT178" s="2034"/>
      <c r="HV178" s="2034"/>
      <c r="HX178" s="2034"/>
      <c r="HZ178" s="2034"/>
      <c r="IB178" s="1717"/>
      <c r="IC178" s="1356"/>
      <c r="ID178" s="2034"/>
      <c r="IF178" s="2034"/>
    </row>
    <row r="179" spans="1:241" ht="16.2" thickBot="1">
      <c r="A179" s="1149"/>
      <c r="B179" s="1149"/>
      <c r="C179" s="1149"/>
      <c r="D179" s="1157" t="s">
        <v>59</v>
      </c>
      <c r="E179" s="1143"/>
      <c r="F179" s="1719">
        <f>F150/F21</f>
        <v>21706.323088686207</v>
      </c>
      <c r="G179" s="1718"/>
      <c r="H179" s="1719">
        <f>H150/H21</f>
        <v>34767.335303278174</v>
      </c>
      <c r="I179" s="1718"/>
      <c r="J179" s="1719">
        <f>J150/J21</f>
        <v>20354.959154304819</v>
      </c>
      <c r="K179" s="1718"/>
      <c r="L179" s="1719">
        <f>L150/L21</f>
        <v>24637.242458992063</v>
      </c>
      <c r="M179" s="1718"/>
      <c r="N179" s="1719">
        <f>N150/N21</f>
        <v>35896.801627026442</v>
      </c>
      <c r="O179" s="1718"/>
      <c r="P179" s="1719">
        <f>P150/P21</f>
        <v>24209.767734449215</v>
      </c>
      <c r="Q179" s="1718"/>
      <c r="R179" s="1719">
        <f>R150/R21</f>
        <v>34767.356073973519</v>
      </c>
      <c r="S179" s="1718"/>
      <c r="T179" s="1719">
        <f>T150/T21</f>
        <v>11059.265295271691</v>
      </c>
      <c r="U179" s="1718"/>
      <c r="V179" s="1719">
        <f>V150/V21</f>
        <v>9062.3069065647378</v>
      </c>
      <c r="W179" s="1718"/>
      <c r="X179" s="1719">
        <f>X150/X21</f>
        <v>33334.627154795126</v>
      </c>
      <c r="Y179" s="1718"/>
      <c r="Z179" s="1719">
        <f>Z150/Z21</f>
        <v>22060.013506627234</v>
      </c>
      <c r="AA179" s="1718"/>
      <c r="AB179" s="1719">
        <f>AB150/AB21</f>
        <v>7932.9935553168634</v>
      </c>
      <c r="AC179" s="1718"/>
      <c r="AD179" s="1719">
        <f>AD150/AD21</f>
        <v>40108.451021401735</v>
      </c>
      <c r="AE179" s="1718"/>
      <c r="AF179" s="1719">
        <f>AF150/AF21</f>
        <v>19609.181074329859</v>
      </c>
      <c r="AG179" s="1718"/>
      <c r="AH179" s="1719">
        <f>AH150/AH21</f>
        <v>10257.419459629222</v>
      </c>
      <c r="AI179" s="1718"/>
      <c r="AJ179" s="1719">
        <f>AJ150/AJ21</f>
        <v>35399.187870880356</v>
      </c>
      <c r="AK179" s="1718"/>
      <c r="AL179" s="1719">
        <f>AL150/AL21</f>
        <v>12242.786701129991</v>
      </c>
      <c r="AM179" s="1718"/>
      <c r="AN179" s="1719">
        <f>AN150/AN21</f>
        <v>20533.901895664891</v>
      </c>
      <c r="AO179" s="1718"/>
      <c r="AP179" s="1719">
        <f>AP150/AP21</f>
        <v>35897.314931417299</v>
      </c>
      <c r="AQ179" s="1718"/>
      <c r="AR179" s="1719">
        <f>AR150/AR21</f>
        <v>55752.413833509963</v>
      </c>
      <c r="AS179" s="1718"/>
      <c r="AT179" s="1719">
        <f>AT150/AT21</f>
        <v>12597.09232257736</v>
      </c>
      <c r="AU179" s="1718"/>
      <c r="AV179" s="1719">
        <f>AV150/AV21</f>
        <v>31298.181314393456</v>
      </c>
      <c r="AW179" s="1718"/>
      <c r="AX179" s="1719">
        <f>AX150/AX21</f>
        <v>14611.701421154878</v>
      </c>
      <c r="AY179" s="1718"/>
      <c r="AZ179" s="1719">
        <f>AZ150/AZ21</f>
        <v>10544.912949678877</v>
      </c>
      <c r="BA179" s="1718"/>
      <c r="BB179" s="1719">
        <f>BB150/BB21</f>
        <v>30145.064553991113</v>
      </c>
      <c r="BC179" s="1718"/>
      <c r="BD179" s="1719">
        <f>BD150/BD21</f>
        <v>14033.612116125534</v>
      </c>
      <c r="BE179" s="1718"/>
      <c r="BF179" s="1719">
        <f>BF150/BF21</f>
        <v>11279.490434577136</v>
      </c>
      <c r="BG179" s="1718"/>
      <c r="BH179" s="1719">
        <f>BH150/BH21</f>
        <v>23203.257903795078</v>
      </c>
      <c r="BI179" s="1718"/>
      <c r="BJ179" s="1719">
        <f>BJ150/BJ21</f>
        <v>24989.683066608643</v>
      </c>
      <c r="BK179" s="1718"/>
      <c r="BL179" s="1719">
        <f>BL150/BL21</f>
        <v>34988.458045792002</v>
      </c>
      <c r="BM179" s="1718"/>
      <c r="BN179" s="1719">
        <f>BN150/BN21</f>
        <v>17595.173027098943</v>
      </c>
      <c r="BO179" s="1718"/>
      <c r="BP179" s="1719">
        <f>BP150/BP21</f>
        <v>12219.219381031768</v>
      </c>
      <c r="BQ179" s="1718"/>
      <c r="BR179" s="1719">
        <f>BR150/BR21</f>
        <v>20335.216965324005</v>
      </c>
      <c r="BS179" s="1718"/>
      <c r="BT179" s="1719">
        <f>BT150/BT21</f>
        <v>16078.443238042415</v>
      </c>
      <c r="BU179" s="1718"/>
      <c r="BV179" s="1719">
        <f>BV150/BV21</f>
        <v>7598.7617829643941</v>
      </c>
      <c r="BW179" s="1718"/>
      <c r="BX179" s="1719">
        <f>BX150/BX21</f>
        <v>9181.8079789637104</v>
      </c>
      <c r="BY179" s="1718"/>
      <c r="BZ179" s="1719">
        <f>BZ150/BZ21</f>
        <v>18163.992815952435</v>
      </c>
      <c r="CA179" s="1718"/>
      <c r="CB179" s="1719">
        <f>CB150/CB21</f>
        <v>25998.186532796331</v>
      </c>
      <c r="CC179" s="1718"/>
      <c r="CD179" s="1719">
        <f>CD150/CD21</f>
        <v>23660.888373634138</v>
      </c>
      <c r="CE179" s="1718"/>
      <c r="CF179" s="1719">
        <v>30432.105139569652</v>
      </c>
      <c r="CG179" s="1718"/>
      <c r="CH179" s="1719">
        <f>CH150/CH21</f>
        <v>19571.488641665794</v>
      </c>
      <c r="CI179" s="1718"/>
      <c r="CJ179" s="1719">
        <v>19216.024639995707</v>
      </c>
      <c r="CK179" s="1718"/>
      <c r="CL179" s="1719">
        <v>35683.516297145623</v>
      </c>
      <c r="CM179" s="1718"/>
      <c r="CN179" s="1719">
        <f>CN150/CN21</f>
        <v>24791.832698081431</v>
      </c>
      <c r="CO179" s="1718"/>
      <c r="CP179" s="1719">
        <f>CP150/CP21</f>
        <v>16036.686170479326</v>
      </c>
      <c r="CQ179" s="1718"/>
      <c r="CR179" s="1719">
        <v>42935.168433847146</v>
      </c>
      <c r="CS179" s="1718"/>
      <c r="CT179" s="1719">
        <f>CT150/CT21</f>
        <v>29392.397122892024</v>
      </c>
      <c r="CU179" s="1718"/>
      <c r="CV179" s="1719">
        <f>CV150/CV21</f>
        <v>26743.652044614919</v>
      </c>
      <c r="CW179" s="1718"/>
      <c r="CX179" s="1719">
        <f>CX150/CX21</f>
        <v>41041.341360224913</v>
      </c>
      <c r="CY179" s="1718"/>
      <c r="CZ179" s="1719">
        <v>23866.397443302045</v>
      </c>
      <c r="DA179" s="1718"/>
      <c r="DB179" s="1719">
        <v>23466.620685990347</v>
      </c>
      <c r="DC179" s="1718"/>
      <c r="DD179" s="1719">
        <v>19640.579947125523</v>
      </c>
      <c r="DE179" s="1718"/>
      <c r="DF179" s="1719">
        <v>39591.107683102207</v>
      </c>
      <c r="DG179" s="1718"/>
      <c r="DH179" s="1719">
        <v>4080.2589803012747</v>
      </c>
      <c r="DI179" s="1718"/>
      <c r="DJ179" s="1719">
        <v>15760.053231835724</v>
      </c>
      <c r="DK179" s="1718"/>
      <c r="DL179" s="1719">
        <v>18415.104807926244</v>
      </c>
      <c r="DM179" s="1718"/>
      <c r="DN179" s="1719">
        <f>DN150/DN21</f>
        <v>33225.472463355341</v>
      </c>
      <c r="DO179" s="1718"/>
      <c r="DP179" s="1719">
        <f>DP150/DP21</f>
        <v>23598.294380815008</v>
      </c>
      <c r="DQ179" s="1718"/>
      <c r="DR179" s="1719">
        <f>DR150/DR21</f>
        <v>23577.292270366452</v>
      </c>
      <c r="DS179" s="1718"/>
      <c r="DT179" s="1719">
        <f>DT150/DT21</f>
        <v>28877.826662151732</v>
      </c>
      <c r="DU179" s="1718"/>
      <c r="DV179" s="1719">
        <f>DV150/DV21</f>
        <v>18312.789281558551</v>
      </c>
      <c r="DW179" s="1718"/>
      <c r="DX179" s="1719">
        <f>DX150/DX21</f>
        <v>39664.537014899259</v>
      </c>
      <c r="DY179" s="1718"/>
      <c r="DZ179" s="1719">
        <f>DZ150/DZ21</f>
        <v>23567.125841346562</v>
      </c>
      <c r="EA179" s="1718"/>
      <c r="EB179" s="1719">
        <f>EB150/EB21</f>
        <v>43077.577833267569</v>
      </c>
      <c r="EC179" s="1718"/>
      <c r="ED179" s="1719">
        <f>ED150/ED21</f>
        <v>24952.680958894973</v>
      </c>
      <c r="EE179" s="1718"/>
      <c r="EF179" s="1719">
        <f>EF150/EF21</f>
        <v>30429.673246787661</v>
      </c>
      <c r="EG179" s="1718"/>
      <c r="EH179" s="1719">
        <f>EH150/EH21</f>
        <v>36247.774638274765</v>
      </c>
      <c r="EI179" s="1718"/>
      <c r="EJ179" s="1719">
        <f>EJ150/EJ21</f>
        <v>20271.218659733309</v>
      </c>
      <c r="EK179" s="1718"/>
      <c r="EL179" s="1719">
        <f>EL150/EL21</f>
        <v>30565.149998334451</v>
      </c>
      <c r="EM179" s="1718"/>
      <c r="EN179" s="1719">
        <f>EN150/EN21</f>
        <v>18465.661963718037</v>
      </c>
      <c r="EO179" s="1718"/>
      <c r="EP179" s="1719">
        <f>EP150/EP21</f>
        <v>13986.79636598393</v>
      </c>
      <c r="EQ179" s="1718"/>
      <c r="ER179" s="1719">
        <f>ER150/ER21</f>
        <v>10338.403130211445</v>
      </c>
      <c r="ES179" s="1718"/>
      <c r="ET179" s="1719">
        <f>ET150/ET21</f>
        <v>25031.17650206956</v>
      </c>
      <c r="EU179" s="1718"/>
      <c r="EV179" s="1719">
        <f>EV150/EV21</f>
        <v>5337.3330240183795</v>
      </c>
      <c r="EW179" s="1718"/>
      <c r="EX179" s="1719">
        <f>EX150/EX21</f>
        <v>12004.098483327378</v>
      </c>
      <c r="EY179" s="1718"/>
      <c r="EZ179" s="1719">
        <f>EZ150/EZ21</f>
        <v>36727.983699881712</v>
      </c>
      <c r="FA179" s="1718"/>
      <c r="FB179" s="1719">
        <f>FB150/FB21</f>
        <v>9147.8817978558036</v>
      </c>
      <c r="FC179" s="1718"/>
      <c r="FD179" s="1719">
        <f>FD150/FD21</f>
        <v>21241.339829320914</v>
      </c>
      <c r="FE179" s="1718"/>
      <c r="FF179" s="1719">
        <f>FF150/FF21</f>
        <v>10907.422399999999</v>
      </c>
      <c r="FG179" s="1718"/>
      <c r="FH179" s="1719">
        <f>FH150/FH21</f>
        <v>33926.969030716849</v>
      </c>
      <c r="FI179" s="1718"/>
      <c r="FJ179" s="1719">
        <f>FJ150/FJ21</f>
        <v>22878.002939885075</v>
      </c>
      <c r="FK179" s="1718"/>
      <c r="FL179" s="1719">
        <f>FL150/FL21</f>
        <v>35286.978768997353</v>
      </c>
      <c r="FM179" s="1718"/>
      <c r="FN179" s="1719">
        <f>FN150/FN21</f>
        <v>41065.514082849593</v>
      </c>
      <c r="FO179" s="1718"/>
      <c r="FP179" s="1719">
        <f>FP150/FP21</f>
        <v>8339.5928845568087</v>
      </c>
      <c r="FQ179" s="1718"/>
      <c r="FR179" s="1719">
        <f>FR150/FR21</f>
        <v>23607.740382288823</v>
      </c>
      <c r="FS179" s="1718"/>
      <c r="FT179" s="1719">
        <f>FT150/FT21</f>
        <v>22271.14973197064</v>
      </c>
      <c r="FU179" s="1718"/>
      <c r="FV179" s="1719">
        <f>FV150/FV21</f>
        <v>47960.258633460653</v>
      </c>
      <c r="FW179" s="1718"/>
      <c r="FX179" s="1719">
        <f>FX150/FX21</f>
        <v>16227.637355944575</v>
      </c>
      <c r="FY179" s="1718"/>
      <c r="FZ179" s="1719">
        <f>FZ150/FZ21</f>
        <v>19714.604355797041</v>
      </c>
      <c r="GA179" s="1718"/>
      <c r="GB179" s="1719">
        <f>GB150/GB21</f>
        <v>21967.400689812443</v>
      </c>
      <c r="GC179" s="1718"/>
      <c r="GD179" s="1719">
        <f>GD150/GD21</f>
        <v>27435.862641703545</v>
      </c>
      <c r="GE179" s="1718"/>
      <c r="GF179" s="1719">
        <f>GF150/GF21</f>
        <v>18836.309245171062</v>
      </c>
      <c r="GG179" s="1718"/>
      <c r="GH179" s="1719">
        <f>GH150/GH21</f>
        <v>24038.810505947127</v>
      </c>
      <c r="GI179" s="1718"/>
      <c r="GJ179" s="1719">
        <f>GJ150/GJ21</f>
        <v>38208.963148415911</v>
      </c>
      <c r="GK179" s="1718"/>
      <c r="GL179" s="1719">
        <f>GL150/GL21</f>
        <v>10742.930574253014</v>
      </c>
      <c r="GM179" s="1718"/>
      <c r="GN179" s="1719">
        <f>GN150/GN21</f>
        <v>8074.3175914994099</v>
      </c>
      <c r="GO179" s="1718"/>
      <c r="GP179" s="1719">
        <f>GP150/GP21</f>
        <v>20300.225465831518</v>
      </c>
      <c r="GQ179" s="1718"/>
      <c r="GR179" s="1719">
        <f>GR150/GR21</f>
        <v>14884.030998727279</v>
      </c>
      <c r="GS179" s="1718"/>
      <c r="GT179" s="1719">
        <f>GT150/GT21</f>
        <v>10099.661433483458</v>
      </c>
      <c r="GU179" s="1718"/>
      <c r="GV179" s="1719">
        <f>GV150/GV21</f>
        <v>16692.18617944729</v>
      </c>
      <c r="GW179" s="1718"/>
      <c r="GX179" s="1719">
        <f>GX150/GX21</f>
        <v>11391.073205765209</v>
      </c>
      <c r="GY179" s="1718"/>
      <c r="GZ179" s="1719">
        <f>GZ150/GZ21</f>
        <v>28466.955305788957</v>
      </c>
      <c r="HA179" s="1718"/>
      <c r="HB179" s="1719">
        <f>HB150/HB21</f>
        <v>15654.91370211074</v>
      </c>
      <c r="HC179" s="1718"/>
      <c r="HD179" s="1719">
        <f>HD150/HD21</f>
        <v>33962.904732139577</v>
      </c>
      <c r="HE179" s="1718"/>
      <c r="HF179" s="2036">
        <f>HF150/HF21</f>
        <v>38277.375582983208</v>
      </c>
      <c r="HG179" s="2035"/>
      <c r="HH179" s="1719">
        <f>HH150/HH21</f>
        <v>50436.753352734166</v>
      </c>
      <c r="HI179" s="1718"/>
      <c r="HJ179" s="1719">
        <f>HJ150/HJ21</f>
        <v>13942.370831013774</v>
      </c>
      <c r="HK179" s="1718"/>
      <c r="HL179" s="1719">
        <f>HL150/HL21</f>
        <v>21695.470134595227</v>
      </c>
      <c r="HM179" s="1718"/>
      <c r="HN179" s="1719">
        <f>HN150/HN21</f>
        <v>21169.144822809649</v>
      </c>
      <c r="HO179" s="1718"/>
      <c r="HP179" s="2036">
        <f>HP150/HP21</f>
        <v>28746.352054631967</v>
      </c>
      <c r="HQ179" s="2035"/>
      <c r="HR179" s="1719">
        <f>HR150/HR21</f>
        <v>13516.29134205115</v>
      </c>
      <c r="HS179" s="1718"/>
      <c r="HT179" s="2036">
        <f>HT150/HT21</f>
        <v>23966.482625830515</v>
      </c>
      <c r="HU179" s="2035"/>
      <c r="HV179" s="2036">
        <f>HV150/HV21</f>
        <v>37935.685509887662</v>
      </c>
      <c r="HW179" s="2035"/>
      <c r="HX179" s="2036">
        <f>HX150/HX21</f>
        <v>28247.950641058451</v>
      </c>
      <c r="HY179" s="2035"/>
      <c r="HZ179" s="2036">
        <f>HZ150/HZ21</f>
        <v>18468.250872930683</v>
      </c>
      <c r="IA179" s="2035"/>
      <c r="IB179" s="1719">
        <f>IB150/IB21</f>
        <v>21125.878306673327</v>
      </c>
      <c r="IC179" s="1718"/>
      <c r="ID179" s="2036">
        <f>ID150/ID21</f>
        <v>13439.350182355503</v>
      </c>
      <c r="IE179" s="2035"/>
      <c r="IF179" s="2036">
        <f>IF150/IF21</f>
        <v>15102.232726984925</v>
      </c>
      <c r="IG179" s="2035"/>
    </row>
    <row r="180" spans="1:241" ht="16.2" thickTop="1">
      <c r="A180" s="1149"/>
      <c r="B180" s="1149"/>
      <c r="C180" s="1149"/>
      <c r="D180" s="1149"/>
      <c r="E180" s="1143"/>
      <c r="F180" s="1717"/>
      <c r="G180" s="1356"/>
      <c r="H180" s="1717"/>
      <c r="I180" s="1356"/>
      <c r="J180" s="1717"/>
      <c r="K180" s="1356"/>
      <c r="L180" s="1717"/>
      <c r="M180" s="1356"/>
      <c r="N180" s="1717"/>
      <c r="O180" s="1356"/>
      <c r="P180" s="1717"/>
      <c r="Q180" s="1356"/>
      <c r="R180" s="1717"/>
      <c r="T180" s="1717"/>
      <c r="U180" s="1356"/>
      <c r="V180" s="1717"/>
      <c r="W180" s="1356"/>
      <c r="X180" s="1717"/>
      <c r="Y180" s="1356"/>
      <c r="Z180" s="1717"/>
      <c r="AA180" s="1356"/>
      <c r="AB180" s="1717"/>
      <c r="AC180" s="1356"/>
      <c r="AD180" s="1717"/>
      <c r="AE180" s="1356"/>
      <c r="AF180" s="1717"/>
      <c r="AG180" s="1356"/>
      <c r="AH180" s="1717"/>
      <c r="AI180" s="1356"/>
      <c r="AJ180" s="1717"/>
      <c r="AK180" s="1356"/>
      <c r="AL180" s="1717"/>
      <c r="AM180" s="1356"/>
      <c r="AN180" s="1717"/>
      <c r="AO180" s="1356"/>
      <c r="AP180" s="1717"/>
      <c r="AQ180" s="1356"/>
      <c r="AR180" s="1717"/>
      <c r="AS180" s="1356"/>
      <c r="AT180" s="1717"/>
      <c r="AU180" s="1356"/>
      <c r="AV180" s="1717"/>
      <c r="AW180" s="1356"/>
      <c r="AX180" s="1717"/>
      <c r="AY180" s="1356"/>
      <c r="AZ180" s="1717"/>
      <c r="BA180" s="1356"/>
      <c r="BB180" s="1717"/>
      <c r="BC180" s="1356"/>
      <c r="BD180" s="1717"/>
      <c r="BE180" s="1356"/>
      <c r="BF180" s="1717"/>
      <c r="BG180" s="1356"/>
      <c r="BH180" s="1717"/>
      <c r="BI180" s="1356"/>
      <c r="BJ180" s="1717"/>
      <c r="BK180" s="1356"/>
      <c r="BL180" s="1717"/>
      <c r="BM180" s="1356"/>
      <c r="BN180" s="1717"/>
      <c r="BO180" s="1356"/>
      <c r="BP180" s="1717"/>
      <c r="BQ180" s="1356"/>
      <c r="BR180" s="1717"/>
      <c r="BS180" s="1356"/>
      <c r="BT180" s="1717"/>
      <c r="BU180" s="1356"/>
      <c r="BV180" s="1717"/>
      <c r="BW180" s="1356"/>
      <c r="BX180" s="1717"/>
      <c r="BY180" s="1356"/>
      <c r="BZ180" s="1717"/>
      <c r="CA180" s="1356"/>
      <c r="CB180" s="1717"/>
      <c r="CC180" s="1356"/>
      <c r="CD180" s="1717"/>
      <c r="CE180" s="1356"/>
      <c r="CF180" s="1717"/>
      <c r="CG180" s="1356"/>
      <c r="CH180" s="1717"/>
      <c r="CI180" s="1356"/>
      <c r="CJ180" s="1717"/>
      <c r="CK180" s="1356"/>
      <c r="CL180" s="1717"/>
      <c r="CM180" s="1356"/>
      <c r="CN180" s="1717"/>
      <c r="CO180" s="1356"/>
      <c r="CP180" s="1717"/>
      <c r="CQ180" s="1356"/>
      <c r="CR180" s="1717"/>
      <c r="CS180" s="1356"/>
      <c r="CT180" s="1717"/>
      <c r="CU180" s="1356"/>
      <c r="CV180" s="1717"/>
      <c r="CW180" s="1356"/>
      <c r="CX180" s="1717"/>
      <c r="CY180" s="1356"/>
      <c r="CZ180" s="1717"/>
      <c r="DA180" s="1356"/>
      <c r="DB180" s="1717"/>
      <c r="DC180" s="1356"/>
      <c r="DD180" s="1717"/>
      <c r="DE180" s="1356"/>
      <c r="DF180" s="1717"/>
      <c r="DG180" s="1356"/>
      <c r="DH180" s="1717"/>
      <c r="DI180" s="1356"/>
      <c r="DJ180" s="1717"/>
      <c r="DK180" s="1356"/>
      <c r="DL180" s="1717"/>
      <c r="DM180" s="1356"/>
      <c r="DN180" s="1717"/>
      <c r="DO180" s="1356"/>
      <c r="DP180" s="1717"/>
      <c r="DQ180" s="1356"/>
      <c r="DR180" s="1717"/>
      <c r="DS180" s="1356"/>
      <c r="DT180" s="1717"/>
      <c r="DU180" s="1356"/>
      <c r="DV180" s="1717"/>
      <c r="DW180" s="1356"/>
      <c r="DX180" s="1717"/>
      <c r="DY180" s="1356"/>
      <c r="DZ180" s="1717"/>
      <c r="EA180" s="1356"/>
      <c r="EB180" s="1717"/>
      <c r="EC180" s="1356"/>
      <c r="ED180" s="1717"/>
      <c r="EE180" s="1356"/>
      <c r="EF180" s="1717"/>
      <c r="EG180" s="1356"/>
      <c r="EH180" s="1717"/>
      <c r="EI180" s="1356"/>
      <c r="EJ180" s="1717"/>
      <c r="EK180" s="1356"/>
      <c r="EL180" s="1717"/>
      <c r="EM180" s="1356"/>
      <c r="EN180" s="1717"/>
      <c r="EO180" s="1356"/>
      <c r="EP180" s="1717"/>
      <c r="EQ180" s="1356"/>
      <c r="ER180" s="1717"/>
      <c r="ES180" s="1356"/>
      <c r="ET180" s="1717"/>
      <c r="EU180" s="1356"/>
      <c r="EV180" s="1717"/>
      <c r="EW180" s="1356"/>
      <c r="EX180" s="1717"/>
      <c r="EY180" s="1356"/>
      <c r="EZ180" s="1717"/>
      <c r="FA180" s="1356"/>
      <c r="FB180" s="1717"/>
      <c r="FC180" s="1356"/>
      <c r="FD180" s="1717"/>
      <c r="FE180" s="1356"/>
      <c r="FF180" s="1717"/>
      <c r="FG180" s="1356"/>
      <c r="FH180" s="1717"/>
      <c r="FI180" s="1356"/>
      <c r="FJ180" s="1717"/>
      <c r="FK180" s="1356"/>
      <c r="FL180" s="1717"/>
      <c r="FM180" s="1356"/>
      <c r="FN180" s="1717"/>
      <c r="FO180" s="1356"/>
      <c r="FP180" s="1717"/>
      <c r="FQ180" s="1356"/>
      <c r="FR180" s="1717"/>
      <c r="FS180" s="1356"/>
      <c r="FT180" s="1717"/>
      <c r="FU180" s="1356"/>
      <c r="FV180" s="1717"/>
      <c r="FW180" s="1356"/>
      <c r="FX180" s="1717"/>
      <c r="FY180" s="1356"/>
      <c r="FZ180" s="1717"/>
      <c r="GA180" s="1356"/>
      <c r="GB180" s="1717"/>
      <c r="GC180" s="1356"/>
      <c r="GD180" s="1717"/>
      <c r="GE180" s="1356"/>
      <c r="GF180" s="1717"/>
      <c r="GG180" s="1356"/>
      <c r="GH180" s="1717"/>
      <c r="GI180" s="1356"/>
      <c r="GJ180" s="1717"/>
      <c r="GK180" s="1356"/>
      <c r="GL180" s="1717"/>
      <c r="GM180" s="1356"/>
      <c r="GN180" s="1717"/>
      <c r="GO180" s="1356"/>
      <c r="GP180" s="1717"/>
      <c r="GQ180" s="1356"/>
      <c r="GR180" s="1717"/>
      <c r="GS180" s="1356"/>
      <c r="GT180" s="1717"/>
      <c r="GU180" s="1356"/>
      <c r="GV180" s="1717"/>
      <c r="GW180" s="1356"/>
      <c r="GX180" s="1717"/>
      <c r="GY180" s="1356"/>
      <c r="GZ180" s="1717"/>
      <c r="HA180" s="1356"/>
      <c r="HB180" s="1717"/>
      <c r="HC180" s="1356"/>
      <c r="HD180" s="1717"/>
      <c r="HE180" s="1356"/>
      <c r="HF180" s="2034"/>
      <c r="HH180" s="1717"/>
      <c r="HI180" s="1356"/>
      <c r="HJ180" s="1717"/>
      <c r="HK180" s="1356"/>
      <c r="HL180" s="1717"/>
      <c r="HM180" s="1356"/>
      <c r="HN180" s="1717"/>
      <c r="HO180" s="1356"/>
      <c r="HP180" s="2034"/>
      <c r="HR180" s="1717"/>
      <c r="HS180" s="1356"/>
      <c r="HT180" s="2034"/>
      <c r="HV180" s="2034"/>
      <c r="HX180" s="2034"/>
      <c r="HZ180" s="2034"/>
      <c r="IB180" s="1717"/>
      <c r="IC180" s="1356"/>
      <c r="ID180" s="2034"/>
      <c r="IF180" s="2034"/>
    </row>
    <row r="181" spans="1:241" ht="16.2" thickBot="1">
      <c r="A181" s="1149"/>
      <c r="B181" s="1149"/>
      <c r="C181" s="1149"/>
      <c r="D181" s="1157" t="s">
        <v>60</v>
      </c>
      <c r="E181" s="1143"/>
      <c r="F181" s="1719">
        <f>F152/F21</f>
        <v>-612.76183482891395</v>
      </c>
      <c r="G181" s="1356"/>
      <c r="H181" s="1719">
        <f>H152/H21</f>
        <v>-747.13019878623038</v>
      </c>
      <c r="I181" s="1356"/>
      <c r="J181" s="1719">
        <f>J152/J21</f>
        <v>618.07122681904161</v>
      </c>
      <c r="K181" s="1356"/>
      <c r="L181" s="1719">
        <f>L152/L21</f>
        <v>1225.9155701073105</v>
      </c>
      <c r="M181" s="1356"/>
      <c r="N181" s="1719">
        <f>N152/N21</f>
        <v>-988.22384265143012</v>
      </c>
      <c r="O181" s="1356"/>
      <c r="P181" s="1719">
        <f>P152/P21</f>
        <v>1943.6782073324421</v>
      </c>
      <c r="Q181" s="1356"/>
      <c r="R181" s="1719">
        <f>R152/R21</f>
        <v>424.36868443793048</v>
      </c>
      <c r="T181" s="1719">
        <f>T152/T21</f>
        <v>-279.64417841662606</v>
      </c>
      <c r="U181" s="1356"/>
      <c r="V181" s="1719">
        <f>V152/V21</f>
        <v>194.35343136393715</v>
      </c>
      <c r="W181" s="1356"/>
      <c r="X181" s="1719">
        <f>X152/X21</f>
        <v>4580.1850182155804</v>
      </c>
      <c r="Y181" s="1356"/>
      <c r="Z181" s="1719">
        <f>Z152/Z21</f>
        <v>-155.65478022980889</v>
      </c>
      <c r="AA181" s="1356"/>
      <c r="AB181" s="1719">
        <f>AB152/AB21</f>
        <v>342.03866809881845</v>
      </c>
      <c r="AC181" s="1356"/>
      <c r="AD181" s="1719">
        <f>AD152/AD21</f>
        <v>-705.42045871347682</v>
      </c>
      <c r="AE181" s="1356"/>
      <c r="AF181" s="1719">
        <f>AF152/AF21</f>
        <v>-49.847724687906322</v>
      </c>
      <c r="AG181" s="1356"/>
      <c r="AH181" s="1719">
        <f>AH152/AH21</f>
        <v>253.25761398653589</v>
      </c>
      <c r="AI181" s="1356"/>
      <c r="AJ181" s="1719">
        <f>AJ152/AJ21</f>
        <v>2079.6721937291395</v>
      </c>
      <c r="AK181" s="1356"/>
      <c r="AL181" s="1719">
        <f>AL152/AL21</f>
        <v>1799.230893270882</v>
      </c>
      <c r="AM181" s="1356"/>
      <c r="AN181" s="1719">
        <f>AN152/AN21</f>
        <v>827.77849276799986</v>
      </c>
      <c r="AO181" s="1356"/>
      <c r="AP181" s="1719">
        <f>AP152/AP21</f>
        <v>-187.33776873466547</v>
      </c>
      <c r="AQ181" s="1356"/>
      <c r="AR181" s="1719">
        <f>AR152/AR21</f>
        <v>-1671.5904685555352</v>
      </c>
      <c r="AS181" s="1356"/>
      <c r="AT181" s="1719">
        <f>AT152/AT21</f>
        <v>-46.390440140546232</v>
      </c>
      <c r="AU181" s="1356"/>
      <c r="AV181" s="1719">
        <f>AV152/AV21</f>
        <v>-937.09510275154935</v>
      </c>
      <c r="AW181" s="1356"/>
      <c r="AX181" s="1719">
        <f>AX152/AX21</f>
        <v>-12.964805345774726</v>
      </c>
      <c r="AY181" s="1356"/>
      <c r="AZ181" s="1719">
        <f>AZ152/AZ21</f>
        <v>269.72226725825323</v>
      </c>
      <c r="BA181" s="1356"/>
      <c r="BB181" s="1719">
        <f>BB152/BB21</f>
        <v>114.46011143165603</v>
      </c>
      <c r="BC181" s="1356"/>
      <c r="BD181" s="1719">
        <f>BD152/BD21</f>
        <v>103.77044914715344</v>
      </c>
      <c r="BE181" s="1356"/>
      <c r="BF181" s="1719">
        <f>BF152/BF21</f>
        <v>555.31662663533359</v>
      </c>
      <c r="BG181" s="1356"/>
      <c r="BH181" s="1719">
        <f>BH152/BH21</f>
        <v>1032.4028441248547</v>
      </c>
      <c r="BI181" s="1356"/>
      <c r="BJ181" s="1719">
        <f>BJ152/BJ21</f>
        <v>3.4189956016742502</v>
      </c>
      <c r="BK181" s="1356"/>
      <c r="BL181" s="1719">
        <f>BL152/BL21</f>
        <v>215.14893389995524</v>
      </c>
      <c r="BM181" s="1356"/>
      <c r="BN181" s="1719">
        <f>BN152/BN21</f>
        <v>-732.00548981163786</v>
      </c>
      <c r="BO181" s="1356"/>
      <c r="BP181" s="1719">
        <f>BP152/BP21</f>
        <v>454.56982446585852</v>
      </c>
      <c r="BQ181" s="1356"/>
      <c r="BR181" s="1719">
        <f>BR152/BR21</f>
        <v>350.66824770398586</v>
      </c>
      <c r="BS181" s="1356"/>
      <c r="BT181" s="1719">
        <f>BT152/BT21</f>
        <v>13.075992843880941</v>
      </c>
      <c r="BU181" s="1356"/>
      <c r="BV181" s="1719">
        <f>BV152/BV21</f>
        <v>282.44708818238593</v>
      </c>
      <c r="BW181" s="1356"/>
      <c r="BX181" s="1719">
        <f>BX152/BX21</f>
        <v>146.29320222193928</v>
      </c>
      <c r="BY181" s="1356"/>
      <c r="BZ181" s="1719">
        <f>BZ152/BZ21</f>
        <v>-473.99650966689546</v>
      </c>
      <c r="CA181" s="1356"/>
      <c r="CB181" s="1719">
        <f>CB152/CB21</f>
        <v>-476.38106262576582</v>
      </c>
      <c r="CC181" s="1356"/>
      <c r="CD181" s="1719">
        <f>CD152/CD21</f>
        <v>189.32348627866034</v>
      </c>
      <c r="CE181" s="1356"/>
      <c r="CF181" s="1719">
        <v>-1374.3886269631507</v>
      </c>
      <c r="CG181" s="1356"/>
      <c r="CH181" s="1719">
        <f>CH152/CH21</f>
        <v>518.14913864060645</v>
      </c>
      <c r="CI181" s="1356"/>
      <c r="CJ181" s="1719">
        <v>457.32087018372636</v>
      </c>
      <c r="CK181" s="1356"/>
      <c r="CL181" s="1719">
        <v>571.26126602187071</v>
      </c>
      <c r="CM181" s="1356"/>
      <c r="CN181" s="1719">
        <f>CN152/CN21</f>
        <v>-984.08692504438466</v>
      </c>
      <c r="CO181" s="1356"/>
      <c r="CP181" s="1719">
        <f>CP152/CP21</f>
        <v>992.27739787950634</v>
      </c>
      <c r="CQ181" s="1356"/>
      <c r="CR181" s="1719">
        <v>-764.07913664624596</v>
      </c>
      <c r="CS181" s="1356"/>
      <c r="CT181" s="1719">
        <f>CT152/CT21</f>
        <v>39.67858362801708</v>
      </c>
      <c r="CU181" s="1356"/>
      <c r="CV181" s="1719">
        <f>CV152/CV21</f>
        <v>-223.27394802461026</v>
      </c>
      <c r="CW181" s="1356"/>
      <c r="CX181" s="1719">
        <f>CX152/CX21</f>
        <v>491.64622555495356</v>
      </c>
      <c r="CY181" s="1356"/>
      <c r="CZ181" s="1719">
        <v>-269.9134395128923</v>
      </c>
      <c r="DA181" s="1356"/>
      <c r="DB181" s="1719">
        <v>682.61749150629771</v>
      </c>
      <c r="DC181" s="1356"/>
      <c r="DD181" s="1719">
        <v>711.19500367868375</v>
      </c>
      <c r="DE181" s="1356"/>
      <c r="DF181" s="1719">
        <v>-228.32347703614633</v>
      </c>
      <c r="DG181" s="1356"/>
      <c r="DH181" s="1719">
        <v>72.769119351100812</v>
      </c>
      <c r="DI181" s="1356"/>
      <c r="DJ181" s="1719">
        <v>871.42641793932944</v>
      </c>
      <c r="DK181" s="1356"/>
      <c r="DL181" s="1719">
        <v>-136.97956602255542</v>
      </c>
      <c r="DM181" s="1356"/>
      <c r="DN181" s="1719">
        <f>DN152/DN21</f>
        <v>3328.3643076504818</v>
      </c>
      <c r="DO181" s="1356"/>
      <c r="DP181" s="1719">
        <f>DP152/DP21</f>
        <v>619.1133013401851</v>
      </c>
      <c r="DQ181" s="1356"/>
      <c r="DR181" s="1719">
        <f>DR152/DR21</f>
        <v>-700.04811774513371</v>
      </c>
      <c r="DS181" s="1356"/>
      <c r="DT181" s="1719">
        <f>DT152/DT21</f>
        <v>-779.9582391026388</v>
      </c>
      <c r="DU181" s="1356"/>
      <c r="DV181" s="1719">
        <f>DV152/DV21</f>
        <v>-445.57506965452296</v>
      </c>
      <c r="DW181" s="1356"/>
      <c r="DX181" s="1719">
        <f>DX152/DX21</f>
        <v>-1568.0286587483135</v>
      </c>
      <c r="DY181" s="1356"/>
      <c r="DZ181" s="1719">
        <f>DZ152/DZ21</f>
        <v>-1706.7925209139514</v>
      </c>
      <c r="EA181" s="1356"/>
      <c r="EB181" s="1719">
        <f>EB152/EB21</f>
        <v>-1161.5153555743084</v>
      </c>
      <c r="EC181" s="1356"/>
      <c r="ED181" s="1719">
        <f>ED152/ED21</f>
        <v>-154.74542312838125</v>
      </c>
      <c r="EE181" s="1356"/>
      <c r="EF181" s="1719">
        <f>EF152/EF21</f>
        <v>-747.98426884388016</v>
      </c>
      <c r="EG181" s="1356"/>
      <c r="EH181" s="1719">
        <f>EH152/EH21</f>
        <v>-24.981124273587181</v>
      </c>
      <c r="EI181" s="1356"/>
      <c r="EJ181" s="1719">
        <f>EJ152/EJ21</f>
        <v>-1176.4395457034284</v>
      </c>
      <c r="EK181" s="1356"/>
      <c r="EL181" s="1719">
        <f>EL152/EL21</f>
        <v>595.33997110101495</v>
      </c>
      <c r="EM181" s="1356"/>
      <c r="EN181" s="1719">
        <f>EN152/EN21</f>
        <v>50.028095134451071</v>
      </c>
      <c r="EO181" s="1356"/>
      <c r="EP181" s="1719">
        <f>EP152/EP21</f>
        <v>-249.57644938018754</v>
      </c>
      <c r="EQ181" s="1356"/>
      <c r="ER181" s="1719">
        <f>ER152/ER21</f>
        <v>-228.64619737913188</v>
      </c>
      <c r="ES181" s="1356"/>
      <c r="ET181" s="1719">
        <f>ET152/ET21</f>
        <v>1203.7877607775724</v>
      </c>
      <c r="EU181" s="1356"/>
      <c r="EV181" s="1719">
        <f>EV152/EV21</f>
        <v>-17.781354498218199</v>
      </c>
      <c r="EW181" s="1356"/>
      <c r="EX181" s="1719">
        <f>EX152/EX21</f>
        <v>-52.401255360640739</v>
      </c>
      <c r="EY181" s="1356"/>
      <c r="EZ181" s="1719">
        <f>EZ152/EZ21</f>
        <v>105.69049531953667</v>
      </c>
      <c r="FA181" s="1356"/>
      <c r="FB181" s="1719">
        <f>FB152/FB21</f>
        <v>351.30228732017474</v>
      </c>
      <c r="FC181" s="1356"/>
      <c r="FD181" s="1719">
        <f>FD152/FD21</f>
        <v>69.140108084751404</v>
      </c>
      <c r="FE181" s="1356"/>
      <c r="FF181" s="1719">
        <f>FF152/FF21</f>
        <v>54.134399999999999</v>
      </c>
      <c r="FG181" s="1356"/>
      <c r="FH181" s="1719">
        <f>FH152/FH21</f>
        <v>-4235.5491254102044</v>
      </c>
      <c r="FI181" s="1356"/>
      <c r="FJ181" s="1719">
        <f>FJ152/FJ21</f>
        <v>443.82836575274445</v>
      </c>
      <c r="FK181" s="1356"/>
      <c r="FL181" s="1719">
        <f>FL152/FL21</f>
        <v>-2843.4355348293338</v>
      </c>
      <c r="FM181" s="1356"/>
      <c r="FN181" s="1719">
        <f>FN152/FN21</f>
        <v>-867.83189394118324</v>
      </c>
      <c r="FO181" s="1356"/>
      <c r="FP181" s="1719">
        <f>FP152/FP21</f>
        <v>455.33146512336276</v>
      </c>
      <c r="FQ181" s="1356"/>
      <c r="FR181" s="1719">
        <f>FR152/FR21</f>
        <v>-922.59090915838328</v>
      </c>
      <c r="FS181" s="1356"/>
      <c r="FT181" s="1719">
        <f>FT152/FT21</f>
        <v>415.48376905293418</v>
      </c>
      <c r="FU181" s="1356"/>
      <c r="FV181" s="1719">
        <f>FV152/FV21</f>
        <v>-328.51644587516319</v>
      </c>
      <c r="FW181" s="1356"/>
      <c r="FX181" s="1719">
        <f>FX152/FX21</f>
        <v>-152.44645392003753</v>
      </c>
      <c r="FY181" s="1356"/>
      <c r="FZ181" s="1719">
        <f>FZ152/FZ21</f>
        <v>-826.91060612164756</v>
      </c>
      <c r="GA181" s="1356"/>
      <c r="GB181" s="1719">
        <f>GB152/GB21</f>
        <v>-1028.2759614520558</v>
      </c>
      <c r="GC181" s="1356"/>
      <c r="GD181" s="1719">
        <f>GD152/GD21</f>
        <v>315.58725791872519</v>
      </c>
      <c r="GE181" s="1356"/>
      <c r="GF181" s="1719">
        <f>GF152/GF21</f>
        <v>-114.59496408402035</v>
      </c>
      <c r="GG181" s="1356"/>
      <c r="GH181" s="1719">
        <f>GH152/GH21</f>
        <v>1132.8735457239864</v>
      </c>
      <c r="GI181" s="1356"/>
      <c r="GJ181" s="1719">
        <f>GJ152/GJ21</f>
        <v>-1101.8630345882971</v>
      </c>
      <c r="GK181" s="1356"/>
      <c r="GL181" s="1719">
        <f>GL152/GL21</f>
        <v>260.0830107533186</v>
      </c>
      <c r="GM181" s="1356"/>
      <c r="GN181" s="1719">
        <f>GN152/GN21</f>
        <v>-127.70365997638724</v>
      </c>
      <c r="GO181" s="1356"/>
      <c r="GP181" s="1719">
        <f>GP152/GP21</f>
        <v>-157.73122774993428</v>
      </c>
      <c r="GQ181" s="1356"/>
      <c r="GR181" s="1719">
        <f>GR152/GR21</f>
        <v>386.54322836146855</v>
      </c>
      <c r="GS181" s="1356"/>
      <c r="GT181" s="1719">
        <f>GT152/GT21</f>
        <v>333.79063642129057</v>
      </c>
      <c r="GU181" s="1356"/>
      <c r="GV181" s="1719">
        <f>GV152/GV21</f>
        <v>736.23774167837701</v>
      </c>
      <c r="GW181" s="1356"/>
      <c r="GX181" s="1719">
        <f>GX152/GX21</f>
        <v>544.42753550056761</v>
      </c>
      <c r="GY181" s="1356"/>
      <c r="GZ181" s="1719">
        <f>GZ152/GZ21</f>
        <v>553.1932801363597</v>
      </c>
      <c r="HA181" s="1356"/>
      <c r="HB181" s="1719">
        <f>HB152/HB21</f>
        <v>-1868.9114156479434</v>
      </c>
      <c r="HC181" s="1356"/>
      <c r="HD181" s="1719">
        <f>HD152/HD21</f>
        <v>-1819.9245492229802</v>
      </c>
      <c r="HE181" s="1356"/>
      <c r="HF181" s="2036">
        <f>HF152/HF21</f>
        <v>2034.1507455701153</v>
      </c>
      <c r="HH181" s="1719">
        <f>HH152/HH21</f>
        <v>-4579.1964860223952</v>
      </c>
      <c r="HI181" s="1356"/>
      <c r="HJ181" s="1719">
        <f>HJ152/HJ21</f>
        <v>15.714755122269143</v>
      </c>
      <c r="HK181" s="1356"/>
      <c r="HL181" s="1719">
        <f>HL152/HL21</f>
        <v>119.83658831986619</v>
      </c>
      <c r="HM181" s="1356"/>
      <c r="HN181" s="1719">
        <f>HN152/HN21</f>
        <v>3013.8802262495669</v>
      </c>
      <c r="HO181" s="1356"/>
      <c r="HP181" s="2036">
        <f>HP152/HP21</f>
        <v>114.2440436369713</v>
      </c>
      <c r="HR181" s="1719">
        <f>HR152/HR21</f>
        <v>-1706.3223046020935</v>
      </c>
      <c r="HS181" s="1356"/>
      <c r="HT181" s="2036">
        <f>HT152/HT21</f>
        <v>-26.729510227348445</v>
      </c>
      <c r="HV181" s="2036">
        <f>HV152/HV21</f>
        <v>-3116.2661167487749</v>
      </c>
      <c r="HX181" s="2036">
        <f>HX152/HX21</f>
        <v>1283.3632720951462</v>
      </c>
      <c r="HZ181" s="2036">
        <f>HZ152/HZ21</f>
        <v>-597.15742198572434</v>
      </c>
      <c r="IB181" s="1719">
        <f>IB152/IB21</f>
        <v>-1057.8429256130203</v>
      </c>
      <c r="IC181" s="1356"/>
      <c r="ID181" s="2036">
        <f>ID152/ID21</f>
        <v>-410.15382775732627</v>
      </c>
      <c r="IF181" s="2036">
        <f>IF152/IF21</f>
        <v>340.25178996110066</v>
      </c>
    </row>
    <row r="182" spans="1:241" ht="16.2" thickTop="1">
      <c r="A182" s="1149"/>
      <c r="B182" s="1149"/>
      <c r="C182" s="1149"/>
      <c r="D182" s="1157"/>
      <c r="E182" s="1143"/>
      <c r="F182" s="1717"/>
      <c r="G182" s="1356"/>
      <c r="H182" s="1717"/>
      <c r="I182" s="1356"/>
      <c r="J182" s="1717"/>
      <c r="K182" s="1356"/>
      <c r="L182" s="1717"/>
      <c r="M182" s="1356"/>
      <c r="N182" s="1717"/>
      <c r="O182" s="1356"/>
      <c r="P182" s="1717"/>
      <c r="Q182" s="1356"/>
      <c r="R182" s="1717"/>
      <c r="T182" s="1717"/>
      <c r="U182" s="1356"/>
      <c r="V182" s="1717"/>
      <c r="W182" s="1356"/>
      <c r="X182" s="1717"/>
      <c r="Y182" s="1356"/>
      <c r="Z182" s="1717"/>
      <c r="AA182" s="1356"/>
      <c r="AB182" s="1717"/>
      <c r="AC182" s="1356"/>
      <c r="AD182" s="1717"/>
      <c r="AE182" s="1356"/>
      <c r="AF182" s="1717"/>
      <c r="AG182" s="1356"/>
      <c r="AH182" s="1717"/>
      <c r="AI182" s="1356"/>
      <c r="AJ182" s="1717"/>
      <c r="AK182" s="1356"/>
      <c r="AL182" s="1717"/>
      <c r="AM182" s="1356"/>
      <c r="AN182" s="1717"/>
      <c r="AO182" s="1356"/>
      <c r="AP182" s="1717"/>
      <c r="AQ182" s="1356"/>
      <c r="AR182" s="1717"/>
      <c r="AS182" s="1356"/>
      <c r="AT182" s="1717"/>
      <c r="AU182" s="1356"/>
      <c r="AV182" s="1717"/>
      <c r="AW182" s="1356"/>
      <c r="AX182" s="1717"/>
      <c r="AY182" s="1356"/>
      <c r="AZ182" s="1717"/>
      <c r="BA182" s="1356"/>
      <c r="BB182" s="1717"/>
      <c r="BC182" s="1356"/>
      <c r="BD182" s="1717"/>
      <c r="BE182" s="1356"/>
      <c r="BF182" s="1717"/>
      <c r="BG182" s="1356"/>
      <c r="BH182" s="1717"/>
      <c r="BI182" s="1356"/>
      <c r="BJ182" s="1717"/>
      <c r="BK182" s="1356"/>
      <c r="BL182" s="1717"/>
      <c r="BM182" s="1356"/>
      <c r="BN182" s="1717"/>
      <c r="BO182" s="1356"/>
      <c r="BP182" s="1717"/>
      <c r="BQ182" s="1356"/>
      <c r="BR182" s="1717"/>
      <c r="BS182" s="1356"/>
      <c r="BT182" s="1717"/>
      <c r="BU182" s="1356"/>
      <c r="BV182" s="1717"/>
      <c r="BW182" s="1356"/>
      <c r="BX182" s="1717"/>
      <c r="BY182" s="1356"/>
      <c r="BZ182" s="1717"/>
      <c r="CA182" s="1356"/>
      <c r="CB182" s="1717"/>
      <c r="CC182" s="1356"/>
      <c r="CD182" s="1717"/>
      <c r="CE182" s="1356"/>
      <c r="CF182" s="1717"/>
      <c r="CG182" s="1356"/>
      <c r="CH182" s="1717"/>
      <c r="CI182" s="1356"/>
      <c r="CJ182" s="1717"/>
      <c r="CK182" s="1356"/>
      <c r="CL182" s="1717"/>
      <c r="CM182" s="1356"/>
      <c r="CN182" s="1717"/>
      <c r="CO182" s="1356"/>
      <c r="CP182" s="1717"/>
      <c r="CQ182" s="1356"/>
      <c r="CR182" s="1717"/>
      <c r="CS182" s="1356"/>
      <c r="CT182" s="1717"/>
      <c r="CU182" s="1356"/>
      <c r="CV182" s="1717"/>
      <c r="CW182" s="1356"/>
      <c r="CX182" s="1717"/>
      <c r="CY182" s="1356"/>
      <c r="CZ182" s="1717"/>
      <c r="DA182" s="1356"/>
      <c r="DB182" s="1717"/>
      <c r="DC182" s="1356"/>
      <c r="DD182" s="1717"/>
      <c r="DE182" s="1356"/>
      <c r="DF182" s="1717"/>
      <c r="DG182" s="1356"/>
      <c r="DH182" s="1717"/>
      <c r="DI182" s="1356"/>
      <c r="DJ182" s="1717"/>
      <c r="DK182" s="1356"/>
      <c r="DL182" s="1717"/>
      <c r="DM182" s="1356"/>
      <c r="DN182" s="1717"/>
      <c r="DO182" s="1356"/>
      <c r="DP182" s="1717"/>
      <c r="DQ182" s="1356"/>
      <c r="DR182" s="1717"/>
      <c r="DS182" s="1356"/>
      <c r="DT182" s="1717"/>
      <c r="DU182" s="1356"/>
      <c r="DV182" s="1717"/>
      <c r="DW182" s="1356"/>
      <c r="DX182" s="1717"/>
      <c r="DY182" s="1356"/>
      <c r="DZ182" s="1717"/>
      <c r="EA182" s="1356"/>
      <c r="EB182" s="1717"/>
      <c r="EC182" s="1356"/>
      <c r="ED182" s="1717"/>
      <c r="EE182" s="1356"/>
      <c r="EF182" s="1717"/>
      <c r="EG182" s="1356"/>
      <c r="EH182" s="1717"/>
      <c r="EI182" s="1356"/>
      <c r="EJ182" s="1717"/>
      <c r="EK182" s="1356"/>
      <c r="EL182" s="1717"/>
      <c r="EM182" s="1356"/>
      <c r="EN182" s="1717"/>
      <c r="EO182" s="1356"/>
      <c r="EP182" s="1717"/>
      <c r="EQ182" s="1356"/>
      <c r="ER182" s="1717"/>
      <c r="ES182" s="1356"/>
      <c r="ET182" s="1717"/>
      <c r="EU182" s="1356"/>
      <c r="EV182" s="1717"/>
      <c r="EW182" s="1356"/>
      <c r="EX182" s="1717"/>
      <c r="EY182" s="1356"/>
      <c r="EZ182" s="1717"/>
      <c r="FA182" s="1356"/>
      <c r="FB182" s="1717"/>
      <c r="FC182" s="1356"/>
      <c r="FD182" s="1717"/>
      <c r="FE182" s="1356"/>
      <c r="FF182" s="1717"/>
      <c r="FG182" s="1356"/>
      <c r="FH182" s="1717"/>
      <c r="FI182" s="1356"/>
      <c r="FJ182" s="1717"/>
      <c r="FK182" s="1356"/>
      <c r="FL182" s="1717"/>
      <c r="FM182" s="1356"/>
      <c r="FN182" s="1717"/>
      <c r="FO182" s="1356"/>
      <c r="FP182" s="1717"/>
      <c r="FQ182" s="1356"/>
      <c r="FR182" s="1717"/>
      <c r="FS182" s="1356"/>
      <c r="FT182" s="1717"/>
      <c r="FU182" s="1356"/>
      <c r="FV182" s="1717"/>
      <c r="FW182" s="1356"/>
      <c r="FX182" s="1717"/>
      <c r="FY182" s="1356"/>
      <c r="FZ182" s="1717"/>
      <c r="GA182" s="1356"/>
      <c r="GB182" s="1717"/>
      <c r="GC182" s="1356"/>
      <c r="GD182" s="1717"/>
      <c r="GE182" s="1356"/>
      <c r="GF182" s="1717"/>
      <c r="GG182" s="1356"/>
      <c r="GH182" s="1717"/>
      <c r="GI182" s="1356"/>
      <c r="GJ182" s="1717"/>
      <c r="GK182" s="1356"/>
      <c r="GL182" s="1717"/>
      <c r="GM182" s="1356"/>
      <c r="GN182" s="1717"/>
      <c r="GO182" s="1356"/>
      <c r="GP182" s="1717"/>
      <c r="GQ182" s="1356"/>
      <c r="GR182" s="1717"/>
      <c r="GS182" s="1356"/>
      <c r="GT182" s="1717"/>
      <c r="GU182" s="1356"/>
      <c r="GV182" s="1717"/>
      <c r="GW182" s="1356"/>
      <c r="GX182" s="1717"/>
      <c r="GY182" s="1356"/>
      <c r="GZ182" s="1717"/>
      <c r="HA182" s="1356"/>
      <c r="HB182" s="1717"/>
      <c r="HC182" s="1356"/>
      <c r="HD182" s="1717"/>
      <c r="HE182" s="1356"/>
      <c r="HF182" s="2040"/>
      <c r="HH182" s="1717"/>
      <c r="HI182" s="1356"/>
      <c r="HJ182" s="1717"/>
      <c r="HK182" s="1356"/>
      <c r="HL182" s="1717"/>
      <c r="HM182" s="1356"/>
      <c r="HN182" s="1717"/>
      <c r="HO182" s="1356"/>
      <c r="HP182" s="2040"/>
      <c r="HR182" s="1717"/>
      <c r="HS182" s="1356"/>
      <c r="HT182" s="2040"/>
      <c r="HV182" s="2040"/>
      <c r="HX182" s="2040"/>
      <c r="HZ182" s="2040"/>
      <c r="IB182" s="1717"/>
      <c r="IC182" s="1356"/>
      <c r="ID182" s="2040"/>
      <c r="IF182" s="2040"/>
    </row>
    <row r="183" spans="1:241">
      <c r="A183" s="1149"/>
      <c r="B183" s="1149" t="s">
        <v>1242</v>
      </c>
      <c r="C183" s="1149"/>
      <c r="D183" s="1149"/>
      <c r="E183" s="1143"/>
      <c r="F183" s="1537">
        <v>53</v>
      </c>
      <c r="G183" s="1356"/>
      <c r="H183" s="1537">
        <v>110</v>
      </c>
      <c r="I183" s="1356"/>
      <c r="J183" s="1537">
        <v>43</v>
      </c>
      <c r="K183" s="1356"/>
      <c r="L183" s="1537">
        <v>660</v>
      </c>
      <c r="M183" s="1356"/>
      <c r="N183" s="1537">
        <v>70</v>
      </c>
      <c r="O183" s="1356"/>
      <c r="P183" s="1537">
        <v>425</v>
      </c>
      <c r="Q183" s="1356"/>
      <c r="R183" s="1537">
        <v>217</v>
      </c>
      <c r="T183" s="1537">
        <v>75</v>
      </c>
      <c r="U183" s="1356"/>
      <c r="V183" s="1537">
        <v>98</v>
      </c>
      <c r="W183" s="1356"/>
      <c r="X183" s="1537">
        <v>305</v>
      </c>
      <c r="Y183" s="1356"/>
      <c r="Z183" s="1537">
        <v>151</v>
      </c>
      <c r="AA183" s="1356"/>
      <c r="AB183" s="1537">
        <v>90</v>
      </c>
      <c r="AC183" s="1356"/>
      <c r="AD183" s="1537">
        <v>255</v>
      </c>
      <c r="AE183" s="1356"/>
      <c r="AF183" s="1537">
        <v>194</v>
      </c>
      <c r="AG183" s="1356"/>
      <c r="AH183" s="1537">
        <v>45</v>
      </c>
      <c r="AI183" s="1356"/>
      <c r="AJ183" s="1537">
        <v>120</v>
      </c>
      <c r="AK183" s="1356"/>
      <c r="AL183" s="1537">
        <v>105</v>
      </c>
      <c r="AM183" s="1356"/>
      <c r="AN183" s="1537">
        <v>116</v>
      </c>
      <c r="AO183" s="1356"/>
      <c r="AP183" s="1537">
        <v>150</v>
      </c>
      <c r="AQ183" s="1356"/>
      <c r="AR183" s="1537">
        <v>298</v>
      </c>
      <c r="AS183" s="1356"/>
      <c r="AT183" s="1537">
        <v>82</v>
      </c>
      <c r="AU183" s="1356"/>
      <c r="AV183" s="1537">
        <v>140</v>
      </c>
      <c r="AW183" s="1356"/>
      <c r="AX183" s="1537">
        <v>97</v>
      </c>
      <c r="AY183" s="1356"/>
      <c r="AZ183" s="1537">
        <v>146</v>
      </c>
      <c r="BA183" s="1356"/>
      <c r="BB183" s="1537">
        <v>122</v>
      </c>
      <c r="BC183" s="1356"/>
      <c r="BD183" s="1537">
        <v>76</v>
      </c>
      <c r="BE183" s="1356"/>
      <c r="BF183" s="1537">
        <v>68</v>
      </c>
      <c r="BG183" s="1356"/>
      <c r="BH183" s="1537">
        <v>115</v>
      </c>
      <c r="BI183" s="1356"/>
      <c r="BJ183" s="1537">
        <v>155</v>
      </c>
      <c r="BK183" s="1356"/>
      <c r="BL183" s="1537">
        <v>225</v>
      </c>
      <c r="BM183" s="1356"/>
      <c r="BN183" s="1537">
        <v>250</v>
      </c>
      <c r="BO183" s="1356"/>
      <c r="BP183" s="1537">
        <v>80</v>
      </c>
      <c r="BQ183" s="1356"/>
      <c r="BR183" s="1537">
        <v>30</v>
      </c>
      <c r="BS183" s="1356"/>
      <c r="BT183" s="1537">
        <v>39</v>
      </c>
      <c r="BU183" s="1356"/>
      <c r="BV183" s="1537">
        <v>86</v>
      </c>
      <c r="BW183" s="1356"/>
      <c r="BX183" s="1537">
        <v>115</v>
      </c>
      <c r="BY183" s="1356"/>
      <c r="BZ183" s="1537">
        <v>296</v>
      </c>
      <c r="CA183" s="1356"/>
      <c r="CB183" s="1537">
        <v>118</v>
      </c>
      <c r="CC183" s="1356"/>
      <c r="CD183" s="1537">
        <v>79</v>
      </c>
      <c r="CE183" s="1356"/>
      <c r="CF183" s="1537">
        <v>60</v>
      </c>
      <c r="CG183" s="1356"/>
      <c r="CH183" s="1537">
        <v>76</v>
      </c>
      <c r="CI183" s="1356"/>
      <c r="CJ183" s="1537">
        <v>95</v>
      </c>
      <c r="CK183" s="1356"/>
      <c r="CL183" s="1537">
        <v>260</v>
      </c>
      <c r="CM183" s="1356"/>
      <c r="CN183" s="1537">
        <v>158</v>
      </c>
      <c r="CO183" s="1356"/>
      <c r="CP183" s="1537">
        <v>120</v>
      </c>
      <c r="CQ183" s="1356"/>
      <c r="CR183" s="1537">
        <v>210</v>
      </c>
      <c r="CS183" s="1356"/>
      <c r="CT183" s="1537">
        <v>165</v>
      </c>
      <c r="CU183" s="1356"/>
      <c r="CV183" s="1537">
        <v>196</v>
      </c>
      <c r="CW183" s="1356"/>
      <c r="CX183" s="1537">
        <v>269</v>
      </c>
      <c r="CY183" s="1356"/>
      <c r="CZ183" s="1537">
        <v>81</v>
      </c>
      <c r="DA183" s="1356"/>
      <c r="DB183" s="1537">
        <v>155</v>
      </c>
      <c r="DC183" s="1356"/>
      <c r="DD183" s="1537">
        <v>82</v>
      </c>
      <c r="DE183" s="1356"/>
      <c r="DF183" s="1537">
        <v>435</v>
      </c>
      <c r="DG183" s="1356"/>
      <c r="DH183" s="1537">
        <v>95</v>
      </c>
      <c r="DI183" s="1356"/>
      <c r="DJ183" s="1537">
        <v>60</v>
      </c>
      <c r="DK183" s="1356"/>
      <c r="DL183" s="1537">
        <v>110</v>
      </c>
      <c r="DM183" s="1356"/>
      <c r="DN183" s="1537">
        <v>76</v>
      </c>
      <c r="DO183" s="1356"/>
      <c r="DP183" s="1537">
        <v>71</v>
      </c>
      <c r="DQ183" s="1356"/>
      <c r="DR183" s="1537">
        <v>146</v>
      </c>
      <c r="DS183" s="1356"/>
      <c r="DT183" s="1537">
        <v>406</v>
      </c>
      <c r="DU183" s="1356"/>
      <c r="DV183" s="1537">
        <v>106</v>
      </c>
      <c r="DW183" s="1356"/>
      <c r="DX183" s="1537">
        <v>145</v>
      </c>
      <c r="DY183" s="1356"/>
      <c r="DZ183" s="1537">
        <v>420</v>
      </c>
      <c r="EA183" s="1356"/>
      <c r="EB183" s="1537">
        <v>174</v>
      </c>
      <c r="EC183" s="1356"/>
      <c r="ED183" s="1537">
        <v>68</v>
      </c>
      <c r="EE183" s="1356"/>
      <c r="EF183" s="1537">
        <v>102</v>
      </c>
      <c r="EG183" s="1356"/>
      <c r="EH183" s="1537">
        <v>400</v>
      </c>
      <c r="EI183" s="1356"/>
      <c r="EJ183" s="1537">
        <v>175</v>
      </c>
      <c r="EK183" s="1356"/>
      <c r="EL183" s="1537">
        <v>424</v>
      </c>
      <c r="EM183" s="1356"/>
      <c r="EN183" s="1537">
        <v>165</v>
      </c>
      <c r="EO183" s="1356"/>
      <c r="EP183" s="1537">
        <v>95</v>
      </c>
      <c r="EQ183" s="1356"/>
      <c r="ER183" s="1537">
        <v>63</v>
      </c>
      <c r="ES183" s="1356"/>
      <c r="ET183" s="1537">
        <v>168</v>
      </c>
      <c r="EU183" s="1356"/>
      <c r="EV183" s="1537">
        <v>135</v>
      </c>
      <c r="EW183" s="1356"/>
      <c r="EX183" s="1537">
        <v>54</v>
      </c>
      <c r="EY183" s="1356"/>
      <c r="EZ183" s="1537">
        <v>127</v>
      </c>
      <c r="FA183" s="1356"/>
      <c r="FB183" s="1537">
        <v>43</v>
      </c>
      <c r="FC183" s="1356"/>
      <c r="FD183" s="1537">
        <v>90</v>
      </c>
      <c r="FE183" s="1356"/>
      <c r="FF183" s="1537">
        <v>142</v>
      </c>
      <c r="FG183" s="1356"/>
      <c r="FH183" s="1537">
        <v>103</v>
      </c>
      <c r="FI183" s="1356"/>
      <c r="FJ183" s="1537">
        <v>93</v>
      </c>
      <c r="FK183" s="1356"/>
      <c r="FL183" s="1537">
        <v>75</v>
      </c>
      <c r="FM183" s="1356"/>
      <c r="FN183" s="1537">
        <v>167</v>
      </c>
      <c r="FO183" s="1356"/>
      <c r="FP183" s="1537">
        <v>78</v>
      </c>
      <c r="FQ183" s="1356"/>
      <c r="FR183" s="1537">
        <v>225</v>
      </c>
      <c r="FS183" s="1356"/>
      <c r="FT183" s="1537">
        <v>135</v>
      </c>
      <c r="FU183" s="1356"/>
      <c r="FV183" s="1537">
        <v>344</v>
      </c>
      <c r="FW183" s="1356"/>
      <c r="FX183" s="1537">
        <v>124</v>
      </c>
      <c r="FY183" s="1356"/>
      <c r="FZ183" s="1537">
        <v>65</v>
      </c>
      <c r="GA183" s="1356"/>
      <c r="GB183" s="1537">
        <v>61</v>
      </c>
      <c r="GC183" s="1356"/>
      <c r="GD183" s="1537">
        <v>290</v>
      </c>
      <c r="GE183" s="1356"/>
      <c r="GF183" s="1537">
        <v>145</v>
      </c>
      <c r="GG183" s="1356"/>
      <c r="GH183" s="1537">
        <v>100</v>
      </c>
      <c r="GI183" s="1356"/>
      <c r="GJ183" s="1537">
        <v>625</v>
      </c>
      <c r="GK183" s="1356"/>
      <c r="GL183" s="1537">
        <v>115</v>
      </c>
      <c r="GM183" s="1356"/>
      <c r="GN183" s="1537">
        <v>65</v>
      </c>
      <c r="GO183" s="1356"/>
      <c r="GP183" s="1537">
        <v>118</v>
      </c>
      <c r="GQ183" s="1356"/>
      <c r="GR183" s="1537">
        <v>80</v>
      </c>
      <c r="GS183" s="1356"/>
      <c r="GT183" s="1537">
        <v>90</v>
      </c>
      <c r="GU183" s="1356"/>
      <c r="GV183" s="1537">
        <v>100</v>
      </c>
      <c r="GW183" s="1356"/>
      <c r="GX183" s="1537">
        <v>84</v>
      </c>
      <c r="GY183" s="1356"/>
      <c r="GZ183" s="1537">
        <v>265</v>
      </c>
      <c r="HA183" s="1356"/>
      <c r="HB183" s="1537">
        <v>54</v>
      </c>
      <c r="HC183" s="1356"/>
      <c r="HD183" s="1537">
        <v>135</v>
      </c>
      <c r="HE183" s="1356"/>
      <c r="HF183" s="2012">
        <v>325</v>
      </c>
      <c r="HH183" s="1537">
        <v>125</v>
      </c>
      <c r="HI183" s="1356"/>
      <c r="HJ183" s="1537">
        <v>142</v>
      </c>
      <c r="HK183" s="1356"/>
      <c r="HL183" s="1537">
        <v>66</v>
      </c>
      <c r="HM183" s="1356"/>
      <c r="HN183" s="1537">
        <v>72</v>
      </c>
      <c r="HO183" s="1356"/>
      <c r="HP183" s="2012">
        <v>370</v>
      </c>
      <c r="HR183" s="1537">
        <v>30</v>
      </c>
      <c r="HS183" s="1356"/>
      <c r="HT183" s="2012">
        <v>270</v>
      </c>
      <c r="HV183" s="2012">
        <v>174</v>
      </c>
      <c r="HX183" s="2012">
        <v>93</v>
      </c>
      <c r="HZ183" s="2012">
        <v>127</v>
      </c>
      <c r="IB183" s="1537">
        <v>85</v>
      </c>
      <c r="IC183" s="1356"/>
      <c r="ID183" s="2012">
        <v>115</v>
      </c>
      <c r="IF183" s="2012">
        <v>72</v>
      </c>
    </row>
    <row r="184" spans="1:241">
      <c r="A184" s="1149"/>
      <c r="B184" s="1149"/>
      <c r="C184" s="1149"/>
      <c r="D184" s="1149"/>
      <c r="E184" s="1143"/>
      <c r="F184" s="1699"/>
      <c r="G184" s="1356"/>
      <c r="H184" s="1699"/>
      <c r="I184" s="1356"/>
      <c r="J184" s="1699"/>
      <c r="K184" s="1356"/>
      <c r="L184" s="1699"/>
      <c r="M184" s="1356"/>
      <c r="N184" s="1699"/>
      <c r="O184" s="1356"/>
      <c r="P184" s="1699"/>
      <c r="Q184" s="1356"/>
      <c r="R184" s="1699"/>
      <c r="T184" s="1699"/>
      <c r="U184" s="1356"/>
      <c r="V184" s="1699"/>
      <c r="W184" s="1356"/>
      <c r="X184" s="1699"/>
      <c r="Y184" s="1356"/>
      <c r="Z184" s="1699"/>
      <c r="AA184" s="1356"/>
      <c r="AB184" s="1699"/>
      <c r="AC184" s="1356"/>
      <c r="AD184" s="1699"/>
      <c r="AE184" s="1356"/>
      <c r="AF184" s="1699"/>
      <c r="AG184" s="1356"/>
      <c r="AH184" s="1699"/>
      <c r="AI184" s="1356"/>
      <c r="AJ184" s="1699"/>
      <c r="AK184" s="1356"/>
      <c r="AL184" s="1699"/>
      <c r="AM184" s="1356"/>
      <c r="AN184" s="1699"/>
      <c r="AO184" s="1356"/>
      <c r="AP184" s="1699"/>
      <c r="AQ184" s="1356"/>
      <c r="AR184" s="1699"/>
      <c r="AS184" s="1356"/>
      <c r="AT184" s="1699"/>
      <c r="AU184" s="1356"/>
      <c r="AV184" s="1699"/>
      <c r="AW184" s="1356"/>
      <c r="AX184" s="1699"/>
      <c r="AY184" s="1356"/>
      <c r="AZ184" s="1699"/>
      <c r="BA184" s="1356"/>
      <c r="BB184" s="1699"/>
      <c r="BC184" s="1356"/>
      <c r="BD184" s="1699"/>
      <c r="BE184" s="1356"/>
      <c r="BF184" s="1699"/>
      <c r="BG184" s="1356"/>
      <c r="BH184" s="1699"/>
      <c r="BI184" s="1356"/>
      <c r="BJ184" s="1699"/>
      <c r="BK184" s="1356"/>
      <c r="BL184" s="1699"/>
      <c r="BM184" s="1356"/>
      <c r="BN184" s="1699"/>
      <c r="BO184" s="1356"/>
      <c r="BP184" s="1699"/>
      <c r="BQ184" s="1356"/>
      <c r="BR184" s="1699"/>
      <c r="BS184" s="1356"/>
      <c r="BT184" s="1699"/>
      <c r="BU184" s="1356"/>
      <c r="BV184" s="1699"/>
      <c r="BW184" s="1356"/>
      <c r="BX184" s="1699"/>
      <c r="BY184" s="1356"/>
      <c r="BZ184" s="1699"/>
      <c r="CA184" s="1356"/>
      <c r="CB184" s="1699"/>
      <c r="CC184" s="1356"/>
      <c r="CD184" s="1699"/>
      <c r="CE184" s="1356"/>
      <c r="CF184" s="1699"/>
      <c r="CG184" s="1356"/>
      <c r="CH184" s="1699"/>
      <c r="CI184" s="1356"/>
      <c r="CJ184" s="1699"/>
      <c r="CK184" s="1356"/>
      <c r="CL184" s="1699"/>
      <c r="CM184" s="1356"/>
      <c r="CN184" s="1699"/>
      <c r="CO184" s="1356"/>
      <c r="CP184" s="1699"/>
      <c r="CQ184" s="1356"/>
      <c r="CR184" s="1699"/>
      <c r="CS184" s="1356"/>
      <c r="CT184" s="1699"/>
      <c r="CU184" s="1356"/>
      <c r="CV184" s="1699"/>
      <c r="CW184" s="1356"/>
      <c r="CX184" s="1699"/>
      <c r="CY184" s="1356"/>
      <c r="CZ184" s="1699"/>
      <c r="DA184" s="1356"/>
      <c r="DB184" s="1699"/>
      <c r="DC184" s="1356"/>
      <c r="DD184" s="1699"/>
      <c r="DE184" s="1356"/>
      <c r="DF184" s="1699"/>
      <c r="DG184" s="1356"/>
      <c r="DH184" s="1699"/>
      <c r="DI184" s="1356"/>
      <c r="DJ184" s="1699"/>
      <c r="DK184" s="1356"/>
      <c r="DL184" s="1699"/>
      <c r="DM184" s="1356"/>
      <c r="DN184" s="1699"/>
      <c r="DO184" s="1356"/>
      <c r="DP184" s="1699"/>
      <c r="DQ184" s="1356"/>
      <c r="DR184" s="1699"/>
      <c r="DS184" s="1356"/>
      <c r="DT184" s="1699"/>
      <c r="DU184" s="1356"/>
      <c r="DV184" s="1699"/>
      <c r="DW184" s="1356"/>
      <c r="DX184" s="1699"/>
      <c r="DY184" s="1356"/>
      <c r="DZ184" s="1699"/>
      <c r="EA184" s="1356"/>
      <c r="EB184" s="1699"/>
      <c r="EC184" s="1356"/>
      <c r="ED184" s="1699"/>
      <c r="EE184" s="1356"/>
      <c r="EF184" s="1699"/>
      <c r="EG184" s="1356"/>
      <c r="EH184" s="1699"/>
      <c r="EI184" s="1356"/>
      <c r="EJ184" s="1699"/>
      <c r="EK184" s="1356"/>
      <c r="EL184" s="1699"/>
      <c r="EM184" s="1356"/>
      <c r="EN184" s="1699"/>
      <c r="EO184" s="1356"/>
      <c r="EP184" s="1699"/>
      <c r="EQ184" s="1356"/>
      <c r="ER184" s="1699"/>
      <c r="ES184" s="1356"/>
      <c r="ET184" s="1699"/>
      <c r="EU184" s="1356"/>
      <c r="EV184" s="1699"/>
      <c r="EW184" s="1356"/>
      <c r="EX184" s="1699"/>
      <c r="EY184" s="1356"/>
      <c r="EZ184" s="1699"/>
      <c r="FA184" s="1356"/>
      <c r="FB184" s="1699"/>
      <c r="FC184" s="1356"/>
      <c r="FD184" s="1699"/>
      <c r="FE184" s="1356"/>
      <c r="FF184" s="1699"/>
      <c r="FG184" s="1356"/>
      <c r="FH184" s="1699"/>
      <c r="FI184" s="1356"/>
      <c r="FJ184" s="1699"/>
      <c r="FK184" s="1356"/>
      <c r="FL184" s="1699"/>
      <c r="FM184" s="1356"/>
      <c r="FN184" s="1699"/>
      <c r="FO184" s="1356"/>
      <c r="FP184" s="1699"/>
      <c r="FQ184" s="1356"/>
      <c r="FR184" s="1699"/>
      <c r="FS184" s="1356"/>
      <c r="FT184" s="1699"/>
      <c r="FU184" s="1356"/>
      <c r="FV184" s="1699"/>
      <c r="FW184" s="1356"/>
      <c r="FX184" s="1699"/>
      <c r="FY184" s="1356"/>
      <c r="FZ184" s="1699"/>
      <c r="GA184" s="1356"/>
      <c r="GB184" s="1699"/>
      <c r="GC184" s="1356"/>
      <c r="GD184" s="1699"/>
      <c r="GE184" s="1356"/>
      <c r="GF184" s="1699"/>
      <c r="GG184" s="1356"/>
      <c r="GH184" s="1699"/>
      <c r="GI184" s="1356"/>
      <c r="GJ184" s="1699"/>
      <c r="GK184" s="1356"/>
      <c r="GL184" s="1699"/>
      <c r="GM184" s="1356"/>
      <c r="GN184" s="1699"/>
      <c r="GO184" s="1356"/>
      <c r="GP184" s="1699"/>
      <c r="GQ184" s="1356"/>
      <c r="GR184" s="1699"/>
      <c r="GS184" s="1356"/>
      <c r="GT184" s="1699"/>
      <c r="GU184" s="1356"/>
      <c r="GV184" s="1699"/>
      <c r="GW184" s="1356"/>
      <c r="GX184" s="1699"/>
      <c r="GY184" s="1356"/>
      <c r="GZ184" s="1699"/>
      <c r="HA184" s="1356"/>
      <c r="HB184" s="1699"/>
      <c r="HC184" s="1356"/>
      <c r="HD184" s="1699"/>
      <c r="HE184" s="1356"/>
      <c r="HF184" s="2014"/>
      <c r="HH184" s="1699"/>
      <c r="HI184" s="1356"/>
      <c r="HJ184" s="1699"/>
      <c r="HK184" s="1356"/>
      <c r="HL184" s="1699"/>
      <c r="HM184" s="1356"/>
      <c r="HN184" s="1699"/>
      <c r="HO184" s="1356"/>
      <c r="HP184" s="2014"/>
      <c r="HR184" s="1699"/>
      <c r="HS184" s="1356"/>
      <c r="HT184" s="2014"/>
      <c r="HV184" s="2014"/>
      <c r="HX184" s="2014"/>
      <c r="HZ184" s="2014"/>
      <c r="IB184" s="1699"/>
      <c r="IC184" s="1356"/>
      <c r="ID184" s="2014"/>
      <c r="IF184" s="2014"/>
    </row>
    <row r="185" spans="1:241">
      <c r="A185" s="1149"/>
      <c r="B185" s="1149" t="s">
        <v>91</v>
      </c>
      <c r="C185" s="1149"/>
      <c r="D185" s="1149"/>
      <c r="E185" s="1143"/>
      <c r="F185" s="1537">
        <v>0</v>
      </c>
      <c r="G185" s="1356"/>
      <c r="H185" s="1537">
        <v>0</v>
      </c>
      <c r="I185" s="1356"/>
      <c r="J185" s="1537">
        <v>0</v>
      </c>
      <c r="K185" s="1356"/>
      <c r="L185" s="1537">
        <v>1</v>
      </c>
      <c r="M185" s="1356"/>
      <c r="N185" s="1537">
        <v>0</v>
      </c>
      <c r="O185" s="1356"/>
      <c r="P185" s="1537">
        <v>1</v>
      </c>
      <c r="Q185" s="1356"/>
      <c r="R185" s="1537">
        <v>1</v>
      </c>
      <c r="T185" s="1537">
        <v>0</v>
      </c>
      <c r="U185" s="1356"/>
      <c r="V185" s="1537">
        <v>0</v>
      </c>
      <c r="W185" s="1356"/>
      <c r="X185" s="1537">
        <v>0</v>
      </c>
      <c r="Y185" s="1356"/>
      <c r="Z185" s="1537">
        <v>1</v>
      </c>
      <c r="AA185" s="1356"/>
      <c r="AB185" s="1537">
        <v>0</v>
      </c>
      <c r="AC185" s="1356"/>
      <c r="AD185" s="1537">
        <v>1</v>
      </c>
      <c r="AE185" s="1356"/>
      <c r="AF185" s="1537">
        <v>1</v>
      </c>
      <c r="AG185" s="1356"/>
      <c r="AH185" s="1537">
        <v>0</v>
      </c>
      <c r="AI185" s="1356"/>
      <c r="AJ185" s="1537">
        <v>1</v>
      </c>
      <c r="AK185" s="1356"/>
      <c r="AL185" s="1537">
        <v>0</v>
      </c>
      <c r="AM185" s="1356"/>
      <c r="AN185" s="1537">
        <v>1</v>
      </c>
      <c r="AO185" s="1356"/>
      <c r="AP185" s="1537">
        <v>1</v>
      </c>
      <c r="AQ185" s="1356"/>
      <c r="AR185" s="1537">
        <v>1</v>
      </c>
      <c r="AS185" s="1356"/>
      <c r="AT185" s="1537">
        <v>0</v>
      </c>
      <c r="AU185" s="1356"/>
      <c r="AV185" s="1537">
        <v>0</v>
      </c>
      <c r="AW185" s="1356"/>
      <c r="AX185" s="1537">
        <v>0</v>
      </c>
      <c r="AY185" s="1356"/>
      <c r="AZ185" s="1537">
        <v>1</v>
      </c>
      <c r="BA185" s="1356"/>
      <c r="BB185" s="1537">
        <v>1</v>
      </c>
      <c r="BC185" s="1356"/>
      <c r="BD185" s="1537">
        <v>0</v>
      </c>
      <c r="BE185" s="1356"/>
      <c r="BF185" s="1537">
        <v>1</v>
      </c>
      <c r="BG185" s="1356"/>
      <c r="BH185" s="1537">
        <v>1</v>
      </c>
      <c r="BI185" s="1356"/>
      <c r="BJ185" s="1537">
        <v>1</v>
      </c>
      <c r="BK185" s="1356"/>
      <c r="BL185" s="1537">
        <v>1</v>
      </c>
      <c r="BM185" s="1356"/>
      <c r="BN185" s="1537">
        <v>1</v>
      </c>
      <c r="BO185" s="1356"/>
      <c r="BP185" s="1537">
        <v>0</v>
      </c>
      <c r="BQ185" s="1356"/>
      <c r="BR185" s="1537">
        <v>0</v>
      </c>
      <c r="BS185" s="1356"/>
      <c r="BT185" s="1537">
        <v>1</v>
      </c>
      <c r="BU185" s="1356"/>
      <c r="BV185" s="1537">
        <v>0</v>
      </c>
      <c r="BW185" s="1356"/>
      <c r="BX185" s="1537">
        <v>0</v>
      </c>
      <c r="BY185" s="1356"/>
      <c r="BZ185" s="1537">
        <v>1</v>
      </c>
      <c r="CA185" s="1356"/>
      <c r="CB185" s="1537">
        <v>1</v>
      </c>
      <c r="CC185" s="1356"/>
      <c r="CD185" s="1537">
        <v>1</v>
      </c>
      <c r="CE185" s="1356"/>
      <c r="CF185" s="1537">
        <v>1</v>
      </c>
      <c r="CG185" s="1356"/>
      <c r="CH185" s="1537">
        <v>1</v>
      </c>
      <c r="CI185" s="1356"/>
      <c r="CJ185" s="1537">
        <v>1</v>
      </c>
      <c r="CK185" s="1356"/>
      <c r="CL185" s="1537">
        <v>1</v>
      </c>
      <c r="CM185" s="1356"/>
      <c r="CN185" s="1537">
        <v>1</v>
      </c>
      <c r="CO185" s="1356"/>
      <c r="CP185" s="1537">
        <v>1</v>
      </c>
      <c r="CQ185" s="1356"/>
      <c r="CR185" s="1537">
        <v>0</v>
      </c>
      <c r="CS185" s="1356"/>
      <c r="CT185" s="1537">
        <v>0</v>
      </c>
      <c r="CU185" s="1356"/>
      <c r="CV185" s="1537">
        <v>1</v>
      </c>
      <c r="CW185" s="1356"/>
      <c r="CX185" s="1537">
        <v>1</v>
      </c>
      <c r="CY185" s="1356"/>
      <c r="CZ185" s="1537">
        <v>0</v>
      </c>
      <c r="DA185" s="1356"/>
      <c r="DB185" s="1537">
        <v>0</v>
      </c>
      <c r="DC185" s="1356"/>
      <c r="DD185" s="1537">
        <v>1</v>
      </c>
      <c r="DE185" s="1356"/>
      <c r="DF185" s="1537">
        <v>1</v>
      </c>
      <c r="DG185" s="1356"/>
      <c r="DH185" s="1537">
        <v>0</v>
      </c>
      <c r="DI185" s="1356"/>
      <c r="DJ185" s="1537">
        <v>0</v>
      </c>
      <c r="DK185" s="1356"/>
      <c r="DL185" s="1537">
        <v>1</v>
      </c>
      <c r="DM185" s="1356"/>
      <c r="DN185" s="1537">
        <v>0</v>
      </c>
      <c r="DO185" s="1356"/>
      <c r="DP185" s="1537">
        <v>0</v>
      </c>
      <c r="DQ185" s="1356"/>
      <c r="DR185" s="1537">
        <v>1</v>
      </c>
      <c r="DS185" s="1356"/>
      <c r="DT185" s="1537">
        <v>1</v>
      </c>
      <c r="DU185" s="1356"/>
      <c r="DV185" s="1537">
        <v>1</v>
      </c>
      <c r="DW185" s="1356"/>
      <c r="DX185" s="1537">
        <v>1</v>
      </c>
      <c r="DY185" s="1356"/>
      <c r="DZ185" s="1537">
        <v>1</v>
      </c>
      <c r="EA185" s="1356"/>
      <c r="EB185" s="1537">
        <v>1</v>
      </c>
      <c r="EC185" s="1356"/>
      <c r="ED185" s="1537">
        <v>1</v>
      </c>
      <c r="EE185" s="1356"/>
      <c r="EF185" s="1537">
        <v>1</v>
      </c>
      <c r="EG185" s="1356"/>
      <c r="EH185" s="1537">
        <v>1</v>
      </c>
      <c r="EI185" s="1356"/>
      <c r="EJ185" s="1537">
        <v>1</v>
      </c>
      <c r="EK185" s="1356"/>
      <c r="EL185" s="1537">
        <v>1</v>
      </c>
      <c r="EM185" s="1356"/>
      <c r="EN185" s="1537">
        <v>1</v>
      </c>
      <c r="EO185" s="1356"/>
      <c r="EP185" s="1537">
        <v>1</v>
      </c>
      <c r="EQ185" s="1356"/>
      <c r="ER185" s="1537">
        <v>0</v>
      </c>
      <c r="ES185" s="1356"/>
      <c r="ET185" s="1537">
        <v>0</v>
      </c>
      <c r="EU185" s="1356"/>
      <c r="EV185" s="1537">
        <v>1</v>
      </c>
      <c r="EW185" s="1356"/>
      <c r="EX185" s="1537">
        <v>1</v>
      </c>
      <c r="EY185" s="1356"/>
      <c r="EZ185" s="1537">
        <v>1</v>
      </c>
      <c r="FA185" s="1356"/>
      <c r="FB185" s="1537">
        <v>1</v>
      </c>
      <c r="FC185" s="1356"/>
      <c r="FD185" s="1537">
        <v>0</v>
      </c>
      <c r="FE185" s="1356"/>
      <c r="FF185" s="1537">
        <v>0</v>
      </c>
      <c r="FG185" s="1356"/>
      <c r="FH185" s="1537">
        <v>0</v>
      </c>
      <c r="FI185" s="1356"/>
      <c r="FJ185" s="1537">
        <v>1</v>
      </c>
      <c r="FK185" s="1356"/>
      <c r="FL185" s="1537">
        <v>1</v>
      </c>
      <c r="FM185" s="1356"/>
      <c r="FN185" s="1537">
        <v>1</v>
      </c>
      <c r="FO185" s="1356"/>
      <c r="FP185" s="1537">
        <v>0</v>
      </c>
      <c r="FQ185" s="1356"/>
      <c r="FR185" s="1537">
        <v>0</v>
      </c>
      <c r="FS185" s="1356"/>
      <c r="FT185" s="1537">
        <v>1</v>
      </c>
      <c r="FU185" s="1356"/>
      <c r="FV185" s="1537">
        <v>1</v>
      </c>
      <c r="FW185" s="1356"/>
      <c r="FX185" s="1537">
        <v>1</v>
      </c>
      <c r="FY185" s="1356"/>
      <c r="FZ185" s="1537">
        <v>0</v>
      </c>
      <c r="GA185" s="1356"/>
      <c r="GB185" s="1537">
        <v>0</v>
      </c>
      <c r="GC185" s="1356"/>
      <c r="GD185" s="1537">
        <v>1</v>
      </c>
      <c r="GE185" s="1356"/>
      <c r="GF185" s="1537">
        <v>0</v>
      </c>
      <c r="GG185" s="1356"/>
      <c r="GH185" s="1537">
        <v>0</v>
      </c>
      <c r="GI185" s="1356"/>
      <c r="GJ185" s="1537">
        <v>1</v>
      </c>
      <c r="GK185" s="1356"/>
      <c r="GL185" s="1537">
        <v>1</v>
      </c>
      <c r="GM185" s="1356"/>
      <c r="GN185" s="1537">
        <v>1</v>
      </c>
      <c r="GO185" s="1356"/>
      <c r="GP185" s="1537">
        <v>0</v>
      </c>
      <c r="GQ185" s="1356"/>
      <c r="GR185" s="1537">
        <v>1</v>
      </c>
      <c r="GS185" s="1356"/>
      <c r="GT185" s="1537">
        <v>0</v>
      </c>
      <c r="GU185" s="1356"/>
      <c r="GV185" s="1537">
        <v>0</v>
      </c>
      <c r="GW185" s="1356"/>
      <c r="GX185" s="1537">
        <v>1</v>
      </c>
      <c r="GY185" s="1356"/>
      <c r="GZ185" s="1537">
        <v>1</v>
      </c>
      <c r="HA185" s="1356"/>
      <c r="HB185" s="1537">
        <v>0</v>
      </c>
      <c r="HC185" s="1356"/>
      <c r="HD185" s="1537">
        <v>1</v>
      </c>
      <c r="HE185" s="1356"/>
      <c r="HF185" s="2012">
        <v>1</v>
      </c>
      <c r="HG185" s="2008"/>
      <c r="HH185" s="1537">
        <v>1</v>
      </c>
      <c r="HI185" s="1356"/>
      <c r="HJ185" s="1537">
        <v>0</v>
      </c>
      <c r="HK185" s="1356"/>
      <c r="HL185" s="1537">
        <v>0</v>
      </c>
      <c r="HM185" s="1356"/>
      <c r="HN185" s="1537">
        <v>0</v>
      </c>
      <c r="HO185" s="1356"/>
      <c r="HP185" s="2012">
        <v>1</v>
      </c>
      <c r="HQ185" s="2008"/>
      <c r="HR185" s="1537">
        <v>0</v>
      </c>
      <c r="HS185" s="1356"/>
      <c r="HT185" s="2012">
        <v>1</v>
      </c>
      <c r="HU185" s="2008"/>
      <c r="HV185" s="2012">
        <v>1</v>
      </c>
      <c r="HW185" s="2008"/>
      <c r="HX185" s="2012">
        <v>0</v>
      </c>
      <c r="HY185" s="2008"/>
      <c r="HZ185" s="2012">
        <v>1</v>
      </c>
      <c r="IA185" s="2008"/>
      <c r="IB185" s="1537">
        <v>1</v>
      </c>
      <c r="IC185" s="1356"/>
      <c r="ID185" s="2012">
        <v>1</v>
      </c>
      <c r="IE185" s="2008"/>
      <c r="IF185" s="2012">
        <v>0</v>
      </c>
      <c r="IG185" s="2008"/>
    </row>
    <row r="186" spans="1:241">
      <c r="A186" s="1149"/>
      <c r="B186" s="1149" t="s">
        <v>1243</v>
      </c>
      <c r="C186" s="1149"/>
      <c r="D186" s="1149"/>
      <c r="E186" s="1143"/>
      <c r="F186" s="1537">
        <v>0</v>
      </c>
      <c r="G186" s="1356"/>
      <c r="H186" s="1537"/>
      <c r="I186" s="1356"/>
      <c r="J186" s="1537"/>
      <c r="K186" s="1356"/>
      <c r="L186" s="1537">
        <v>375</v>
      </c>
      <c r="M186" s="1356"/>
      <c r="N186" s="1537"/>
      <c r="O186" s="1356"/>
      <c r="P186" s="1537">
        <v>24</v>
      </c>
      <c r="Q186" s="1356"/>
      <c r="R186" s="1537">
        <v>54</v>
      </c>
      <c r="T186" s="1537"/>
      <c r="U186" s="1356"/>
      <c r="V186" s="1537">
        <v>0</v>
      </c>
      <c r="W186" s="1356"/>
      <c r="X186" s="1537"/>
      <c r="Y186" s="1356"/>
      <c r="Z186" s="1537">
        <v>24</v>
      </c>
      <c r="AA186" s="1356"/>
      <c r="AB186" s="1537"/>
      <c r="AC186" s="1356"/>
      <c r="AD186" s="1537">
        <v>123</v>
      </c>
      <c r="AE186" s="1356"/>
      <c r="AF186" s="1537">
        <v>24</v>
      </c>
      <c r="AG186" s="1356"/>
      <c r="AH186" s="1537"/>
      <c r="AI186" s="1356"/>
      <c r="AJ186" s="1537">
        <v>15</v>
      </c>
      <c r="AK186" s="1356"/>
      <c r="AL186" s="1537"/>
      <c r="AM186" s="1356"/>
      <c r="AN186" s="1537">
        <v>26</v>
      </c>
      <c r="AO186" s="1356"/>
      <c r="AP186" s="1537">
        <v>19</v>
      </c>
      <c r="AQ186" s="1356"/>
      <c r="AR186" s="1537">
        <v>75</v>
      </c>
      <c r="AS186" s="1356"/>
      <c r="AT186" s="1537"/>
      <c r="AU186" s="1356"/>
      <c r="AV186" s="1537"/>
      <c r="AW186" s="1356"/>
      <c r="AX186" s="1537"/>
      <c r="AY186" s="1356"/>
      <c r="AZ186" s="1537">
        <v>16</v>
      </c>
      <c r="BA186" s="1356"/>
      <c r="BB186" s="1537">
        <v>16</v>
      </c>
      <c r="BC186" s="1356"/>
      <c r="BD186" s="1537"/>
      <c r="BE186" s="1356"/>
      <c r="BF186" s="1537">
        <v>6</v>
      </c>
      <c r="BG186" s="1356"/>
      <c r="BH186" s="1537">
        <v>28</v>
      </c>
      <c r="BI186" s="1356"/>
      <c r="BJ186" s="1537">
        <v>18</v>
      </c>
      <c r="BK186" s="1356"/>
      <c r="BL186" s="1537">
        <v>42</v>
      </c>
      <c r="BM186" s="1356"/>
      <c r="BN186" s="1537">
        <v>50</v>
      </c>
      <c r="BO186" s="1356"/>
      <c r="BP186" s="1537"/>
      <c r="BQ186" s="1356"/>
      <c r="BR186" s="1537"/>
      <c r="BS186" s="1356"/>
      <c r="BT186" s="1537">
        <v>6</v>
      </c>
      <c r="BU186" s="1356"/>
      <c r="BV186" s="1537"/>
      <c r="BW186" s="1356"/>
      <c r="BX186" s="1537"/>
      <c r="BY186" s="1356"/>
      <c r="BZ186" s="1537">
        <v>20</v>
      </c>
      <c r="CA186" s="1356"/>
      <c r="CB186" s="1537">
        <v>15</v>
      </c>
      <c r="CC186" s="1356"/>
      <c r="CD186" s="1537">
        <v>16</v>
      </c>
      <c r="CE186" s="1356"/>
      <c r="CF186" s="1537">
        <v>21</v>
      </c>
      <c r="CG186" s="1356"/>
      <c r="CH186" s="1537">
        <v>30</v>
      </c>
      <c r="CI186" s="1356"/>
      <c r="CJ186" s="1537">
        <v>2</v>
      </c>
      <c r="CK186" s="1356"/>
      <c r="CL186" s="1537">
        <v>100</v>
      </c>
      <c r="CM186" s="1356"/>
      <c r="CN186" s="1537">
        <v>43</v>
      </c>
      <c r="CO186" s="1356"/>
      <c r="CP186" s="1537">
        <v>14</v>
      </c>
      <c r="CQ186" s="1356"/>
      <c r="CR186" s="1537"/>
      <c r="CS186" s="1356"/>
      <c r="CT186" s="1537">
        <v>0</v>
      </c>
      <c r="CU186" s="1356"/>
      <c r="CV186" s="1537">
        <v>50</v>
      </c>
      <c r="CW186" s="1356"/>
      <c r="CX186" s="1537">
        <v>100</v>
      </c>
      <c r="CY186" s="1356"/>
      <c r="CZ186" s="1537"/>
      <c r="DA186" s="1356"/>
      <c r="DB186" s="1537"/>
      <c r="DC186" s="1356"/>
      <c r="DD186" s="1537">
        <v>15</v>
      </c>
      <c r="DE186" s="1356"/>
      <c r="DF186" s="1537">
        <v>148</v>
      </c>
      <c r="DG186" s="1356"/>
      <c r="DH186" s="1537"/>
      <c r="DI186" s="1356"/>
      <c r="DJ186" s="1537"/>
      <c r="DK186" s="1356"/>
      <c r="DL186" s="1537">
        <v>15</v>
      </c>
      <c r="DM186" s="1356"/>
      <c r="DN186" s="1537"/>
      <c r="DO186" s="1356"/>
      <c r="DP186" s="1537"/>
      <c r="DQ186" s="1356"/>
      <c r="DR186" s="1537">
        <v>20</v>
      </c>
      <c r="DS186" s="1356"/>
      <c r="DT186" s="1537">
        <v>120</v>
      </c>
      <c r="DU186" s="1356"/>
      <c r="DV186" s="1537">
        <v>14</v>
      </c>
      <c r="DW186" s="1356"/>
      <c r="DX186" s="1537">
        <v>40</v>
      </c>
      <c r="DY186" s="1356"/>
      <c r="DZ186" s="1537">
        <v>85</v>
      </c>
      <c r="EA186" s="1356"/>
      <c r="EB186" s="1537">
        <v>30</v>
      </c>
      <c r="EC186" s="1356"/>
      <c r="ED186" s="1537">
        <v>18</v>
      </c>
      <c r="EE186" s="1356"/>
      <c r="EF186" s="1537">
        <v>12</v>
      </c>
      <c r="EG186" s="1356"/>
      <c r="EH186" s="1537">
        <v>50</v>
      </c>
      <c r="EI186" s="1356"/>
      <c r="EJ186" s="1537">
        <v>36</v>
      </c>
      <c r="EK186" s="1356"/>
      <c r="EL186" s="1537">
        <v>130</v>
      </c>
      <c r="EM186" s="1356"/>
      <c r="EN186" s="1537">
        <v>25</v>
      </c>
      <c r="EO186" s="1356"/>
      <c r="EP186" s="1537">
        <v>35</v>
      </c>
      <c r="EQ186" s="1356"/>
      <c r="ER186" s="1537"/>
      <c r="ES186" s="1356"/>
      <c r="ET186" s="1537"/>
      <c r="EU186" s="1356"/>
      <c r="EV186" s="1537">
        <v>6</v>
      </c>
      <c r="EW186" s="1356"/>
      <c r="EX186" s="1537">
        <v>8</v>
      </c>
      <c r="EY186" s="1356"/>
      <c r="EZ186" s="1537">
        <v>16</v>
      </c>
      <c r="FA186" s="1356"/>
      <c r="FB186" s="1537">
        <v>10</v>
      </c>
      <c r="FC186" s="1356"/>
      <c r="FD186" s="1537"/>
      <c r="FE186" s="1356"/>
      <c r="FF186" s="1537"/>
      <c r="FG186" s="1356"/>
      <c r="FH186" s="1537"/>
      <c r="FI186" s="1356"/>
      <c r="FJ186" s="1537">
        <v>10</v>
      </c>
      <c r="FK186" s="1356"/>
      <c r="FL186" s="1537">
        <v>8</v>
      </c>
      <c r="FM186" s="1356"/>
      <c r="FN186" s="1537">
        <v>47</v>
      </c>
      <c r="FO186" s="1356"/>
      <c r="FP186" s="1537"/>
      <c r="FQ186" s="1356"/>
      <c r="FR186" s="1537"/>
      <c r="FS186" s="1356"/>
      <c r="FT186" s="1537">
        <v>30</v>
      </c>
      <c r="FU186" s="1356"/>
      <c r="FV186" s="1537">
        <v>100</v>
      </c>
      <c r="FW186" s="1356"/>
      <c r="FX186" s="1537">
        <v>22</v>
      </c>
      <c r="FY186" s="1356"/>
      <c r="FZ186" s="1537"/>
      <c r="GA186" s="1356"/>
      <c r="GB186" s="1537"/>
      <c r="GC186" s="1356"/>
      <c r="GD186" s="1537">
        <v>24</v>
      </c>
      <c r="GE186" s="1356"/>
      <c r="GF186" s="1537"/>
      <c r="GG186" s="1356"/>
      <c r="GH186" s="1537"/>
      <c r="GI186" s="1356"/>
      <c r="GJ186" s="1537">
        <v>150</v>
      </c>
      <c r="GK186" s="1356"/>
      <c r="GL186" s="1537">
        <v>35</v>
      </c>
      <c r="GM186" s="1356"/>
      <c r="GN186" s="1537">
        <v>16</v>
      </c>
      <c r="GO186" s="1356"/>
      <c r="GP186" s="1537"/>
      <c r="GQ186" s="1356"/>
      <c r="GR186" s="1537">
        <v>30</v>
      </c>
      <c r="GS186" s="1356"/>
      <c r="GT186" s="1537"/>
      <c r="GU186" s="1356"/>
      <c r="GV186" s="1537">
        <v>0</v>
      </c>
      <c r="GW186" s="1356"/>
      <c r="GX186" s="1537">
        <v>15</v>
      </c>
      <c r="GY186" s="1356"/>
      <c r="GZ186" s="1537">
        <v>75</v>
      </c>
      <c r="HA186" s="1356"/>
      <c r="HB186" s="1537"/>
      <c r="HC186" s="1356"/>
      <c r="HD186" s="1537">
        <v>15</v>
      </c>
      <c r="HE186" s="1356"/>
      <c r="HF186" s="2012">
        <v>97</v>
      </c>
      <c r="HG186" s="2008"/>
      <c r="HH186" s="1537">
        <v>15</v>
      </c>
      <c r="HI186" s="1356"/>
      <c r="HJ186" s="1537"/>
      <c r="HK186" s="1356"/>
      <c r="HL186" s="1537"/>
      <c r="HM186" s="1356"/>
      <c r="HN186" s="1537"/>
      <c r="HO186" s="1356"/>
      <c r="HP186" s="2012">
        <v>150</v>
      </c>
      <c r="HQ186" s="2008"/>
      <c r="HR186" s="1537"/>
      <c r="HS186" s="1356"/>
      <c r="HT186" s="2012">
        <v>58</v>
      </c>
      <c r="HU186" s="2008"/>
      <c r="HV186" s="2012">
        <v>9</v>
      </c>
      <c r="HW186" s="2008"/>
      <c r="HX186" s="2012">
        <v>0</v>
      </c>
      <c r="HY186" s="2008"/>
      <c r="HZ186" s="2012">
        <v>18</v>
      </c>
      <c r="IA186" s="2008"/>
      <c r="IB186" s="1537">
        <v>12</v>
      </c>
      <c r="IC186" s="1356"/>
      <c r="ID186" s="2012">
        <v>24</v>
      </c>
      <c r="IE186" s="2008"/>
      <c r="IF186" s="2012"/>
      <c r="IG186" s="2008"/>
    </row>
    <row r="187" spans="1:241">
      <c r="A187" s="1149"/>
      <c r="B187" s="1154" t="s">
        <v>1244</v>
      </c>
      <c r="C187" s="1149"/>
      <c r="D187" s="1149"/>
      <c r="E187" s="1143"/>
      <c r="F187" s="1537">
        <v>0</v>
      </c>
      <c r="G187" s="1356"/>
      <c r="H187" s="1537"/>
      <c r="I187" s="1356"/>
      <c r="J187" s="1537"/>
      <c r="K187" s="1356"/>
      <c r="L187" s="1537">
        <v>3116235</v>
      </c>
      <c r="M187" s="1356"/>
      <c r="N187" s="1537"/>
      <c r="O187" s="1356"/>
      <c r="P187" s="1537">
        <v>206031</v>
      </c>
      <c r="Q187" s="1356"/>
      <c r="R187" s="1537">
        <v>550000</v>
      </c>
      <c r="T187" s="1537"/>
      <c r="U187" s="1356"/>
      <c r="V187" s="1537">
        <v>0</v>
      </c>
      <c r="W187" s="1356"/>
      <c r="X187" s="1537"/>
      <c r="Y187" s="1356"/>
      <c r="Z187" s="1537">
        <v>51464.77</v>
      </c>
      <c r="AA187" s="1356"/>
      <c r="AB187" s="1537"/>
      <c r="AC187" s="1356"/>
      <c r="AD187" s="1537">
        <v>805000</v>
      </c>
      <c r="AE187" s="1356"/>
      <c r="AF187" s="1537">
        <v>110000</v>
      </c>
      <c r="AG187" s="1356"/>
      <c r="AH187" s="1537"/>
      <c r="AI187" s="1356"/>
      <c r="AJ187" s="1537">
        <v>140000</v>
      </c>
      <c r="AK187" s="1356"/>
      <c r="AL187" s="1537"/>
      <c r="AM187" s="1356"/>
      <c r="AN187" s="1537">
        <v>166000</v>
      </c>
      <c r="AO187" s="1356"/>
      <c r="AP187" s="1537">
        <v>311828</v>
      </c>
      <c r="AQ187" s="1356"/>
      <c r="AR187" s="1537">
        <v>75000</v>
      </c>
      <c r="AS187" s="1356"/>
      <c r="AT187" s="1537"/>
      <c r="AU187" s="1356"/>
      <c r="AV187" s="1537"/>
      <c r="AW187" s="1356"/>
      <c r="AX187" s="1537"/>
      <c r="AY187" s="1356"/>
      <c r="AZ187" s="1537">
        <v>45000</v>
      </c>
      <c r="BA187" s="1356"/>
      <c r="BB187" s="1537">
        <v>135000</v>
      </c>
      <c r="BC187" s="1356"/>
      <c r="BD187" s="1537"/>
      <c r="BE187" s="1356"/>
      <c r="BF187" s="1537">
        <v>7000</v>
      </c>
      <c r="BG187" s="1356"/>
      <c r="BH187" s="1537">
        <v>150000</v>
      </c>
      <c r="BI187" s="1356"/>
      <c r="BJ187" s="1537"/>
      <c r="BK187" s="1356"/>
      <c r="BL187" s="1537">
        <v>160000</v>
      </c>
      <c r="BM187" s="1356"/>
      <c r="BN187" s="1537">
        <v>350000</v>
      </c>
      <c r="BO187" s="1356"/>
      <c r="BP187" s="1537"/>
      <c r="BQ187" s="1356"/>
      <c r="BR187" s="1537"/>
      <c r="BS187" s="1356"/>
      <c r="BT187" s="1537">
        <v>16564</v>
      </c>
      <c r="BU187" s="1356"/>
      <c r="BV187" s="1537"/>
      <c r="BW187" s="1356"/>
      <c r="BX187" s="1537"/>
      <c r="BY187" s="1356"/>
      <c r="BZ187" s="1537">
        <v>165000</v>
      </c>
      <c r="CA187" s="1356"/>
      <c r="CB187" s="1537">
        <v>80467</v>
      </c>
      <c r="CC187" s="1356"/>
      <c r="CD187" s="1537">
        <v>93732</v>
      </c>
      <c r="CE187" s="1356"/>
      <c r="CF187" s="1537">
        <v>47000</v>
      </c>
      <c r="CG187" s="1356"/>
      <c r="CH187" s="1537">
        <v>0</v>
      </c>
      <c r="CI187" s="1356"/>
      <c r="CJ187" s="1537">
        <v>8000</v>
      </c>
      <c r="CK187" s="1356"/>
      <c r="CL187" s="1537">
        <v>860000</v>
      </c>
      <c r="CM187" s="1356"/>
      <c r="CN187" s="1537">
        <v>276872</v>
      </c>
      <c r="CO187" s="1356"/>
      <c r="CP187" s="1537">
        <v>30616</v>
      </c>
      <c r="CQ187" s="1356"/>
      <c r="CR187" s="1537"/>
      <c r="CS187" s="1356"/>
      <c r="CT187" s="1537">
        <v>0</v>
      </c>
      <c r="CU187" s="1356"/>
      <c r="CV187" s="1537">
        <v>599752</v>
      </c>
      <c r="CW187" s="1356"/>
      <c r="CX187" s="1537">
        <v>980000</v>
      </c>
      <c r="CY187" s="1356"/>
      <c r="CZ187" s="1537"/>
      <c r="DA187" s="1356"/>
      <c r="DB187" s="1537"/>
      <c r="DC187" s="1356"/>
      <c r="DD187" s="1537">
        <v>118000</v>
      </c>
      <c r="DE187" s="1356"/>
      <c r="DF187" s="1537">
        <v>1601020</v>
      </c>
      <c r="DG187" s="1356"/>
      <c r="DH187" s="1537"/>
      <c r="DI187" s="1356"/>
      <c r="DJ187" s="1537"/>
      <c r="DK187" s="1356"/>
      <c r="DL187" s="1537">
        <v>147560</v>
      </c>
      <c r="DM187" s="1356"/>
      <c r="DN187" s="1537"/>
      <c r="DO187" s="1356"/>
      <c r="DP187" s="1537"/>
      <c r="DQ187" s="1356"/>
      <c r="DR187" s="1537">
        <v>104743</v>
      </c>
      <c r="DS187" s="1356"/>
      <c r="DT187" s="1537">
        <v>654000</v>
      </c>
      <c r="DU187" s="1356"/>
      <c r="DV187" s="1537">
        <v>89000</v>
      </c>
      <c r="DW187" s="1356"/>
      <c r="DX187" s="1537">
        <v>250000</v>
      </c>
      <c r="DY187" s="1356"/>
      <c r="DZ187" s="1537">
        <v>1448417</v>
      </c>
      <c r="EA187" s="1356"/>
      <c r="EB187" s="1537">
        <v>231170</v>
      </c>
      <c r="EC187" s="1356"/>
      <c r="ED187" s="1537">
        <v>100000</v>
      </c>
      <c r="EE187" s="1356"/>
      <c r="EF187" s="1537">
        <v>100000</v>
      </c>
      <c r="EG187" s="1356"/>
      <c r="EH187" s="1537">
        <v>300000</v>
      </c>
      <c r="EI187" s="1356"/>
      <c r="EJ187" s="1537">
        <v>605000</v>
      </c>
      <c r="EK187" s="1356"/>
      <c r="EL187" s="1537">
        <v>1927000</v>
      </c>
      <c r="EM187" s="1356"/>
      <c r="EN187" s="1537">
        <v>130000</v>
      </c>
      <c r="EO187" s="1356"/>
      <c r="EP187" s="1537">
        <v>279000</v>
      </c>
      <c r="EQ187" s="1356"/>
      <c r="ER187" s="1537"/>
      <c r="ES187" s="1356"/>
      <c r="ET187" s="1537"/>
      <c r="EU187" s="1356"/>
      <c r="EV187" s="1537">
        <v>42000</v>
      </c>
      <c r="EW187" s="1356"/>
      <c r="EX187" s="1537">
        <v>25000</v>
      </c>
      <c r="EY187" s="1356"/>
      <c r="EZ187" s="1537">
        <v>100000</v>
      </c>
      <c r="FA187" s="1356"/>
      <c r="FB187" s="1537">
        <v>96000</v>
      </c>
      <c r="FC187" s="1356"/>
      <c r="FD187" s="1537"/>
      <c r="FE187" s="1356"/>
      <c r="FF187" s="1537"/>
      <c r="FG187" s="1356"/>
      <c r="FH187" s="1537"/>
      <c r="FI187" s="1356"/>
      <c r="FJ187" s="1537">
        <v>50000</v>
      </c>
      <c r="FK187" s="1356"/>
      <c r="FL187" s="1537">
        <v>71394</v>
      </c>
      <c r="FM187" s="1356"/>
      <c r="FN187" s="1537">
        <v>642000</v>
      </c>
      <c r="FO187" s="1356"/>
      <c r="FP187" s="1537"/>
      <c r="FQ187" s="1356"/>
      <c r="FR187" s="1537"/>
      <c r="FS187" s="1356"/>
      <c r="FT187" s="1537">
        <v>175000</v>
      </c>
      <c r="FU187" s="1356"/>
      <c r="FV187" s="1537">
        <v>1300000</v>
      </c>
      <c r="FW187" s="1356"/>
      <c r="FX187" s="1537">
        <v>109000</v>
      </c>
      <c r="FY187" s="1356"/>
      <c r="FZ187" s="1537"/>
      <c r="GA187" s="1356"/>
      <c r="GB187" s="1537"/>
      <c r="GC187" s="1356"/>
      <c r="GD187" s="1537">
        <v>180000</v>
      </c>
      <c r="GE187" s="1356"/>
      <c r="GF187" s="1537"/>
      <c r="GG187" s="1356"/>
      <c r="GH187" s="1537"/>
      <c r="GI187" s="1356"/>
      <c r="GJ187" s="1537"/>
      <c r="GK187" s="1356"/>
      <c r="GL187" s="1537">
        <v>100000</v>
      </c>
      <c r="GM187" s="1356"/>
      <c r="GN187" s="1537">
        <v>20000</v>
      </c>
      <c r="GO187" s="1356"/>
      <c r="GP187" s="1537"/>
      <c r="GQ187" s="1356"/>
      <c r="GR187" s="1537">
        <v>100000</v>
      </c>
      <c r="GS187" s="1356"/>
      <c r="GT187" s="1537"/>
      <c r="GU187" s="1356"/>
      <c r="GV187" s="1537">
        <v>0</v>
      </c>
      <c r="GW187" s="1356"/>
      <c r="GX187" s="1537">
        <v>25000</v>
      </c>
      <c r="GY187" s="1356"/>
      <c r="GZ187" s="1537">
        <v>825000</v>
      </c>
      <c r="HA187" s="1356"/>
      <c r="HB187" s="1537"/>
      <c r="HC187" s="1356"/>
      <c r="HD187" s="1537">
        <v>94000</v>
      </c>
      <c r="HE187" s="1356"/>
      <c r="HF187" s="2012">
        <v>959000</v>
      </c>
      <c r="HG187" s="2008"/>
      <c r="HH187" s="1537">
        <v>29000</v>
      </c>
      <c r="HI187" s="1356"/>
      <c r="HJ187" s="1537"/>
      <c r="HK187" s="1356"/>
      <c r="HL187" s="1537"/>
      <c r="HM187" s="1356"/>
      <c r="HN187" s="1537"/>
      <c r="HO187" s="1356"/>
      <c r="HP187" s="2012">
        <v>1200000</v>
      </c>
      <c r="HQ187" s="2008"/>
      <c r="HR187" s="1537"/>
      <c r="HS187" s="1356"/>
      <c r="HT187" s="2012">
        <v>379379</v>
      </c>
      <c r="HU187" s="2008"/>
      <c r="HV187" s="2012">
        <v>60000</v>
      </c>
      <c r="HW187" s="2008"/>
      <c r="HX187" s="2012">
        <v>0</v>
      </c>
      <c r="HY187" s="2008"/>
      <c r="HZ187" s="2012"/>
      <c r="IA187" s="2008"/>
      <c r="IB187" s="1537">
        <v>58277</v>
      </c>
      <c r="IC187" s="1356"/>
      <c r="ID187" s="2012">
        <v>56000</v>
      </c>
      <c r="IE187" s="2008"/>
      <c r="IF187" s="2012"/>
      <c r="IG187" s="2008"/>
    </row>
    <row r="188" spans="1:241">
      <c r="A188" s="1149"/>
      <c r="B188" s="1149"/>
      <c r="C188" s="1149"/>
      <c r="D188" s="1149"/>
      <c r="E188" s="1143"/>
      <c r="F188" s="1713"/>
      <c r="G188" s="1713"/>
      <c r="H188" s="1713"/>
      <c r="I188" s="1713"/>
      <c r="J188" s="1713"/>
      <c r="K188" s="1713"/>
      <c r="L188" s="1713"/>
      <c r="M188" s="1713"/>
      <c r="N188" s="1713"/>
      <c r="O188" s="1713"/>
      <c r="P188" s="1713"/>
      <c r="Q188" s="1713"/>
      <c r="R188" s="1713"/>
      <c r="S188" s="1713"/>
      <c r="T188" s="1713"/>
      <c r="U188" s="1713"/>
      <c r="V188" s="1713"/>
      <c r="W188" s="1713"/>
      <c r="X188" s="1713"/>
      <c r="Y188" s="1713"/>
      <c r="Z188" s="1713"/>
      <c r="AA188" s="1713"/>
      <c r="AB188" s="1713"/>
      <c r="AC188" s="1713"/>
      <c r="AD188" s="1713"/>
      <c r="AE188" s="1713"/>
      <c r="AF188" s="1713"/>
      <c r="AG188" s="1713"/>
      <c r="AH188" s="1713"/>
      <c r="AI188" s="1713"/>
      <c r="AJ188" s="1713"/>
      <c r="AK188" s="1713"/>
      <c r="AL188" s="1713"/>
      <c r="AM188" s="1713"/>
      <c r="AN188" s="1713"/>
      <c r="AO188" s="1713"/>
      <c r="AP188" s="1713"/>
      <c r="AQ188" s="1713"/>
      <c r="AR188" s="1713"/>
      <c r="AS188" s="1713"/>
      <c r="AT188" s="1713"/>
      <c r="AU188" s="1713"/>
      <c r="AV188" s="1713"/>
      <c r="AW188" s="1713"/>
      <c r="AX188" s="1713"/>
      <c r="AY188" s="1713"/>
      <c r="AZ188" s="1713"/>
      <c r="BA188" s="1713"/>
      <c r="BB188" s="1713"/>
      <c r="BC188" s="1713"/>
      <c r="BD188" s="1713"/>
      <c r="BE188" s="1713"/>
      <c r="BF188" s="1713"/>
      <c r="BG188" s="1713"/>
      <c r="BH188" s="1713"/>
      <c r="BI188" s="1713"/>
      <c r="BJ188" s="1713"/>
      <c r="BK188" s="1713"/>
      <c r="BL188" s="1713"/>
      <c r="BM188" s="1713"/>
      <c r="BN188" s="1713"/>
      <c r="BO188" s="1713"/>
      <c r="BP188" s="1713"/>
      <c r="BQ188" s="1713"/>
      <c r="BR188" s="1713"/>
      <c r="BS188" s="1713"/>
      <c r="BT188" s="1713"/>
      <c r="BU188" s="1713"/>
      <c r="BV188" s="1713"/>
      <c r="BW188" s="1713"/>
      <c r="BX188" s="1713"/>
      <c r="BY188" s="1713"/>
      <c r="BZ188" s="1713"/>
      <c r="CA188" s="1713"/>
      <c r="CB188" s="1713"/>
      <c r="CC188" s="1713"/>
      <c r="CD188" s="1713"/>
      <c r="CE188" s="1713"/>
      <c r="CF188" s="1713"/>
      <c r="CG188" s="1713"/>
      <c r="CH188" s="1713"/>
      <c r="CI188" s="1713"/>
      <c r="CJ188" s="1713"/>
      <c r="CK188" s="1713"/>
      <c r="CL188" s="1713"/>
      <c r="CM188" s="1713"/>
      <c r="CN188" s="1713"/>
      <c r="CO188" s="1713"/>
      <c r="CP188" s="1713"/>
      <c r="CQ188" s="1713"/>
      <c r="CR188" s="1713"/>
      <c r="CS188" s="1713"/>
      <c r="CT188" s="1713"/>
      <c r="CU188" s="1713"/>
      <c r="CV188" s="1713"/>
      <c r="CW188" s="1713"/>
      <c r="CX188" s="1713"/>
      <c r="CY188" s="1713"/>
      <c r="CZ188" s="1713"/>
      <c r="DA188" s="1713"/>
      <c r="DB188" s="1713"/>
      <c r="DC188" s="1713"/>
      <c r="DD188" s="1713"/>
      <c r="DE188" s="1713"/>
      <c r="DF188" s="1713"/>
      <c r="DG188" s="1713"/>
      <c r="DH188" s="1713"/>
      <c r="DI188" s="1713"/>
      <c r="DJ188" s="1713"/>
      <c r="DK188" s="1713"/>
      <c r="DL188" s="1713"/>
      <c r="DM188" s="1713"/>
      <c r="DN188" s="1713"/>
      <c r="DO188" s="1713"/>
      <c r="DP188" s="1713"/>
      <c r="DQ188" s="1713"/>
      <c r="DR188" s="1713"/>
      <c r="DS188" s="1713"/>
      <c r="DT188" s="1713"/>
      <c r="DU188" s="1713"/>
      <c r="DV188" s="1713"/>
      <c r="DW188" s="1713"/>
      <c r="DX188" s="1713"/>
      <c r="DY188" s="1713"/>
      <c r="DZ188" s="1713"/>
      <c r="EA188" s="1713"/>
      <c r="EB188" s="1713"/>
      <c r="EC188" s="1713"/>
      <c r="ED188" s="1713"/>
      <c r="EE188" s="1713"/>
      <c r="EF188" s="1713"/>
      <c r="EG188" s="1713"/>
      <c r="EH188" s="1713"/>
      <c r="EI188" s="1713"/>
      <c r="EJ188" s="1713"/>
      <c r="EK188" s="1713"/>
      <c r="EL188" s="1713"/>
      <c r="EM188" s="1713"/>
      <c r="EN188" s="1713"/>
      <c r="EO188" s="1713"/>
      <c r="EP188" s="1713"/>
      <c r="EQ188" s="1713"/>
      <c r="ER188" s="1713"/>
      <c r="ES188" s="1713"/>
      <c r="ET188" s="1713"/>
      <c r="EU188" s="1713"/>
      <c r="EV188" s="1713"/>
      <c r="EW188" s="1713"/>
      <c r="EX188" s="1713"/>
      <c r="EY188" s="1713"/>
      <c r="EZ188" s="1713"/>
      <c r="FA188" s="1713"/>
      <c r="FB188" s="1713"/>
      <c r="FC188" s="1713"/>
      <c r="FD188" s="1713"/>
      <c r="FE188" s="1713"/>
      <c r="FF188" s="1713"/>
      <c r="FG188" s="1713"/>
      <c r="FH188" s="1713"/>
      <c r="FI188" s="1713"/>
      <c r="FJ188" s="1713"/>
      <c r="FK188" s="1713"/>
      <c r="FL188" s="1713"/>
      <c r="FM188" s="1713"/>
      <c r="FN188" s="1713"/>
      <c r="FO188" s="1713"/>
      <c r="FP188" s="1713"/>
      <c r="FQ188" s="1713"/>
      <c r="FR188" s="1713"/>
      <c r="FS188" s="1713"/>
      <c r="FT188" s="1713"/>
      <c r="FU188" s="1713"/>
      <c r="FV188" s="1713"/>
      <c r="FW188" s="1713"/>
      <c r="FX188" s="1713"/>
      <c r="FY188" s="1713"/>
      <c r="FZ188" s="1713"/>
      <c r="GA188" s="1713"/>
      <c r="GB188" s="1713"/>
      <c r="GC188" s="1713"/>
      <c r="GD188" s="1713"/>
      <c r="GE188" s="1713"/>
      <c r="GF188" s="1713"/>
      <c r="GG188" s="1713"/>
      <c r="GH188" s="1713"/>
      <c r="GI188" s="1713"/>
      <c r="GJ188" s="1713"/>
      <c r="GK188" s="1713"/>
      <c r="GL188" s="1713"/>
      <c r="GM188" s="1713"/>
      <c r="GN188" s="1713"/>
      <c r="GO188" s="1713"/>
      <c r="GP188" s="1713"/>
      <c r="GQ188" s="1713"/>
      <c r="GR188" s="1713"/>
      <c r="GS188" s="1713"/>
      <c r="GT188" s="1713"/>
      <c r="GU188" s="1713"/>
      <c r="GV188" s="1713"/>
      <c r="GW188" s="1713"/>
      <c r="GX188" s="1713"/>
      <c r="GY188" s="1713"/>
      <c r="GZ188" s="1713"/>
      <c r="HA188" s="1713"/>
      <c r="HB188" s="1713"/>
      <c r="HC188" s="1713"/>
      <c r="HD188" s="1713"/>
      <c r="HE188" s="1713"/>
      <c r="HF188" s="2030"/>
      <c r="HG188" s="2030"/>
      <c r="HH188" s="1713"/>
      <c r="HI188" s="1713"/>
      <c r="HJ188" s="1713"/>
      <c r="HK188" s="1713"/>
      <c r="HL188" s="1713"/>
      <c r="HM188" s="1713"/>
      <c r="HN188" s="1713"/>
      <c r="HO188" s="1713"/>
      <c r="HP188" s="2030"/>
      <c r="HQ188" s="2030"/>
      <c r="HR188" s="1713"/>
      <c r="HS188" s="1713"/>
      <c r="HT188" s="2030"/>
      <c r="HU188" s="2030"/>
      <c r="HV188" s="2030"/>
      <c r="HW188" s="2030"/>
      <c r="HX188" s="2030"/>
      <c r="HY188" s="2030"/>
      <c r="HZ188" s="2030"/>
      <c r="IA188" s="2030"/>
      <c r="IB188" s="1713"/>
      <c r="IC188" s="1713"/>
      <c r="ID188" s="2030"/>
      <c r="IE188" s="2030"/>
      <c r="IF188" s="2030"/>
      <c r="IG188" s="2030"/>
    </row>
    <row r="189" spans="1:241">
      <c r="A189" s="1149"/>
      <c r="B189" s="1149" t="s">
        <v>1181</v>
      </c>
      <c r="C189" s="1149"/>
      <c r="D189" s="1149"/>
      <c r="E189" s="1143"/>
      <c r="F189" s="1537">
        <v>1</v>
      </c>
      <c r="G189" s="1356"/>
      <c r="H189" s="1537">
        <v>1</v>
      </c>
      <c r="I189" s="1356"/>
      <c r="J189" s="1537">
        <v>1</v>
      </c>
      <c r="K189" s="1356"/>
      <c r="L189" s="1537">
        <v>1</v>
      </c>
      <c r="M189" s="1356"/>
      <c r="N189" s="1537">
        <v>1</v>
      </c>
      <c r="O189" s="1356"/>
      <c r="P189" s="1537">
        <v>1</v>
      </c>
      <c r="Q189" s="1356"/>
      <c r="R189" s="1537">
        <v>1</v>
      </c>
      <c r="T189" s="1537">
        <v>1</v>
      </c>
      <c r="U189" s="1356"/>
      <c r="V189" s="1537">
        <v>1</v>
      </c>
      <c r="W189" s="1356"/>
      <c r="X189" s="1537">
        <v>1</v>
      </c>
      <c r="Y189" s="1356"/>
      <c r="Z189" s="1537">
        <v>1</v>
      </c>
      <c r="AA189" s="1356"/>
      <c r="AB189" s="1537">
        <v>1</v>
      </c>
      <c r="AC189" s="1356"/>
      <c r="AD189" s="1537"/>
      <c r="AE189" s="1356"/>
      <c r="AF189" s="1537">
        <v>1</v>
      </c>
      <c r="AG189" s="1356"/>
      <c r="AH189" s="1537">
        <v>0</v>
      </c>
      <c r="AI189" s="1356"/>
      <c r="AJ189" s="1537">
        <v>1</v>
      </c>
      <c r="AK189" s="1356"/>
      <c r="AL189" s="1537">
        <v>1</v>
      </c>
      <c r="AM189" s="1356"/>
      <c r="AN189" s="1537">
        <v>1</v>
      </c>
      <c r="AO189" s="1356"/>
      <c r="AP189" s="1537">
        <v>1</v>
      </c>
      <c r="AQ189" s="1356"/>
      <c r="AR189" s="1537">
        <v>1</v>
      </c>
      <c r="AS189" s="1356"/>
      <c r="AT189" s="1537">
        <v>0</v>
      </c>
      <c r="AU189" s="1356"/>
      <c r="AV189" s="1537">
        <v>1</v>
      </c>
      <c r="AW189" s="1356"/>
      <c r="AX189" s="1537">
        <v>1</v>
      </c>
      <c r="AY189" s="1356"/>
      <c r="AZ189" s="1537">
        <v>0</v>
      </c>
      <c r="BA189" s="1356"/>
      <c r="BB189" s="1537">
        <v>1</v>
      </c>
      <c r="BC189" s="1356"/>
      <c r="BD189" s="1537">
        <v>1</v>
      </c>
      <c r="BE189" s="1356"/>
      <c r="BF189" s="1537">
        <v>1</v>
      </c>
      <c r="BG189" s="1356"/>
      <c r="BH189" s="1537">
        <v>1</v>
      </c>
      <c r="BI189" s="1356"/>
      <c r="BJ189" s="1537">
        <v>1</v>
      </c>
      <c r="BK189" s="1356"/>
      <c r="BL189" s="1537">
        <v>1</v>
      </c>
      <c r="BM189" s="1356"/>
      <c r="BN189" s="1537">
        <v>1</v>
      </c>
      <c r="BO189" s="1356"/>
      <c r="BP189" s="1537">
        <v>1</v>
      </c>
      <c r="BQ189" s="1356"/>
      <c r="BR189" s="1537">
        <v>1</v>
      </c>
      <c r="BS189" s="1356"/>
      <c r="BT189" s="1537">
        <v>1</v>
      </c>
      <c r="BU189" s="1356"/>
      <c r="BV189" s="1537">
        <v>1</v>
      </c>
      <c r="BW189" s="1356"/>
      <c r="BX189" s="1537">
        <v>1</v>
      </c>
      <c r="BY189" s="1356"/>
      <c r="BZ189" s="1537">
        <v>1</v>
      </c>
      <c r="CA189" s="1356"/>
      <c r="CB189" s="1537">
        <v>1</v>
      </c>
      <c r="CC189" s="1356"/>
      <c r="CD189" s="1537">
        <v>1</v>
      </c>
      <c r="CE189" s="1356"/>
      <c r="CF189" s="1537">
        <v>1</v>
      </c>
      <c r="CG189" s="1356"/>
      <c r="CH189" s="1537">
        <v>1</v>
      </c>
      <c r="CI189" s="1356"/>
      <c r="CJ189" s="1537">
        <v>1</v>
      </c>
      <c r="CK189" s="1356"/>
      <c r="CL189" s="1537">
        <v>1</v>
      </c>
      <c r="CM189" s="1356"/>
      <c r="CN189" s="1537">
        <v>1</v>
      </c>
      <c r="CO189" s="1356"/>
      <c r="CP189" s="1537">
        <v>1</v>
      </c>
      <c r="CQ189" s="1356"/>
      <c r="CR189" s="1537">
        <v>1</v>
      </c>
      <c r="CS189" s="1356"/>
      <c r="CT189" s="1537">
        <v>1</v>
      </c>
      <c r="CU189" s="1356"/>
      <c r="CV189" s="1537">
        <v>1</v>
      </c>
      <c r="CW189" s="1356"/>
      <c r="CX189" s="1537">
        <v>1</v>
      </c>
      <c r="CY189" s="1356"/>
      <c r="CZ189" s="1537">
        <v>1</v>
      </c>
      <c r="DA189" s="1356"/>
      <c r="DB189" s="1537">
        <v>1</v>
      </c>
      <c r="DC189" s="1356"/>
      <c r="DD189" s="1537">
        <v>1</v>
      </c>
      <c r="DE189" s="1356"/>
      <c r="DF189" s="1537">
        <v>1</v>
      </c>
      <c r="DG189" s="1356"/>
      <c r="DH189" s="1537">
        <v>1</v>
      </c>
      <c r="DI189" s="1356"/>
      <c r="DJ189" s="1537">
        <v>1</v>
      </c>
      <c r="DK189" s="1356"/>
      <c r="DL189" s="1537">
        <v>1</v>
      </c>
      <c r="DM189" s="1356"/>
      <c r="DN189" s="1537">
        <v>1</v>
      </c>
      <c r="DO189" s="1356"/>
      <c r="DP189" s="1537">
        <v>1</v>
      </c>
      <c r="DQ189" s="1356"/>
      <c r="DR189" s="1537">
        <v>1</v>
      </c>
      <c r="DS189" s="1356"/>
      <c r="DT189" s="1537">
        <v>0</v>
      </c>
      <c r="DU189" s="1356"/>
      <c r="DV189" s="1537">
        <v>1</v>
      </c>
      <c r="DW189" s="1356"/>
      <c r="DX189" s="1537">
        <v>1</v>
      </c>
      <c r="DY189" s="1356"/>
      <c r="DZ189" s="1537">
        <v>1</v>
      </c>
      <c r="EA189" s="1356"/>
      <c r="EB189" s="1537">
        <v>1</v>
      </c>
      <c r="EC189" s="1356"/>
      <c r="ED189" s="1537">
        <v>1</v>
      </c>
      <c r="EE189" s="1356"/>
      <c r="EF189" s="1537">
        <v>1</v>
      </c>
      <c r="EG189" s="1356"/>
      <c r="EH189" s="1537">
        <v>1</v>
      </c>
      <c r="EI189" s="1356"/>
      <c r="EJ189" s="1537">
        <v>1</v>
      </c>
      <c r="EK189" s="1356"/>
      <c r="EL189" s="1537">
        <v>1</v>
      </c>
      <c r="EM189" s="1356"/>
      <c r="EN189" s="1537">
        <v>0</v>
      </c>
      <c r="EO189" s="1356"/>
      <c r="EP189" s="1537">
        <v>0</v>
      </c>
      <c r="EQ189" s="1356"/>
      <c r="ER189" s="1537">
        <v>1</v>
      </c>
      <c r="ES189" s="1356"/>
      <c r="ET189" s="1537">
        <v>1</v>
      </c>
      <c r="EU189" s="1356"/>
      <c r="EV189" s="1537">
        <v>1</v>
      </c>
      <c r="EW189" s="1356"/>
      <c r="EX189" s="1537">
        <v>0</v>
      </c>
      <c r="EY189" s="1356"/>
      <c r="EZ189" s="1537">
        <v>1</v>
      </c>
      <c r="FA189" s="1356"/>
      <c r="FB189" s="1537">
        <v>1</v>
      </c>
      <c r="FC189" s="1356"/>
      <c r="FD189" s="1537">
        <v>1</v>
      </c>
      <c r="FE189" s="1356"/>
      <c r="FF189" s="1537">
        <v>1</v>
      </c>
      <c r="FG189" s="1356"/>
      <c r="FH189" s="1537">
        <v>0</v>
      </c>
      <c r="FI189" s="1356"/>
      <c r="FJ189" s="1537">
        <v>1</v>
      </c>
      <c r="FK189" s="1356"/>
      <c r="FL189" s="1537">
        <v>1</v>
      </c>
      <c r="FM189" s="1356"/>
      <c r="FN189" s="1537">
        <v>1</v>
      </c>
      <c r="FO189" s="1356"/>
      <c r="FP189" s="1537">
        <v>1</v>
      </c>
      <c r="FQ189" s="1356"/>
      <c r="FR189" s="1537">
        <v>0</v>
      </c>
      <c r="FS189" s="1356"/>
      <c r="FT189" s="1537">
        <v>1</v>
      </c>
      <c r="FU189" s="1356"/>
      <c r="FV189" s="1537">
        <v>1</v>
      </c>
      <c r="FW189" s="1356"/>
      <c r="FX189" s="1537">
        <v>0</v>
      </c>
      <c r="FY189" s="1356"/>
      <c r="FZ189" s="1537">
        <v>1</v>
      </c>
      <c r="GA189" s="1356"/>
      <c r="GB189" s="1537">
        <v>1</v>
      </c>
      <c r="GC189" s="1356"/>
      <c r="GD189" s="1537">
        <v>1</v>
      </c>
      <c r="GE189" s="1356"/>
      <c r="GF189" s="1537">
        <v>1</v>
      </c>
      <c r="GG189" s="1356"/>
      <c r="GH189" s="1537">
        <v>1</v>
      </c>
      <c r="GI189" s="1356"/>
      <c r="GJ189" s="1537">
        <v>1</v>
      </c>
      <c r="GK189" s="1356"/>
      <c r="GL189" s="1537">
        <v>1</v>
      </c>
      <c r="GM189" s="1356"/>
      <c r="GN189" s="1537">
        <v>1</v>
      </c>
      <c r="GO189" s="1356"/>
      <c r="GP189" s="1537">
        <v>1</v>
      </c>
      <c r="GQ189" s="1356"/>
      <c r="GR189" s="1537">
        <v>1</v>
      </c>
      <c r="GS189" s="1356"/>
      <c r="GT189" s="1537">
        <v>1</v>
      </c>
      <c r="GU189" s="1356"/>
      <c r="GV189" s="1537">
        <v>1</v>
      </c>
      <c r="GW189" s="1356"/>
      <c r="GX189" s="1537">
        <v>0</v>
      </c>
      <c r="GY189" s="1356"/>
      <c r="GZ189" s="1537">
        <v>1</v>
      </c>
      <c r="HA189" s="1356"/>
      <c r="HB189" s="1537">
        <v>1</v>
      </c>
      <c r="HC189" s="1356"/>
      <c r="HD189" s="1537">
        <v>1</v>
      </c>
      <c r="HE189" s="1356"/>
      <c r="HF189" s="2012">
        <v>1</v>
      </c>
      <c r="HG189" s="2008"/>
      <c r="HH189" s="1537">
        <v>1</v>
      </c>
      <c r="HI189" s="1356"/>
      <c r="HJ189" s="1537">
        <v>1</v>
      </c>
      <c r="HK189" s="1356"/>
      <c r="HL189" s="1537">
        <v>1</v>
      </c>
      <c r="HM189" s="1356"/>
      <c r="HN189" s="1537">
        <v>1</v>
      </c>
      <c r="HO189" s="1356"/>
      <c r="HP189" s="2012">
        <v>1</v>
      </c>
      <c r="HQ189" s="2008"/>
      <c r="HR189" s="1537">
        <v>1</v>
      </c>
      <c r="HS189" s="1356"/>
      <c r="HT189" s="2012">
        <v>1</v>
      </c>
      <c r="HU189" s="2008"/>
      <c r="HV189" s="2012">
        <v>1</v>
      </c>
      <c r="HW189" s="2008"/>
      <c r="HX189" s="2012">
        <v>1</v>
      </c>
      <c r="HY189" s="2008"/>
      <c r="HZ189" s="2012">
        <v>1</v>
      </c>
      <c r="IA189" s="2008"/>
      <c r="IB189" s="1537">
        <v>1</v>
      </c>
      <c r="IC189" s="1356"/>
      <c r="ID189" s="2012">
        <v>1</v>
      </c>
      <c r="IE189" s="2008"/>
      <c r="IF189" s="2012">
        <v>0</v>
      </c>
      <c r="IG189" s="2008"/>
    </row>
    <row r="190" spans="1:241">
      <c r="A190" s="1149"/>
      <c r="B190" s="1149" t="s">
        <v>1245</v>
      </c>
      <c r="C190" s="1149"/>
      <c r="D190" s="1149"/>
      <c r="E190" s="1143"/>
      <c r="F190" s="1543">
        <v>0.04</v>
      </c>
      <c r="G190" s="1356"/>
      <c r="H190" s="1543">
        <v>0.02</v>
      </c>
      <c r="I190" s="1356"/>
      <c r="J190" s="1543">
        <v>0.08</v>
      </c>
      <c r="K190" s="1356"/>
      <c r="L190" s="1543">
        <v>0.1</v>
      </c>
      <c r="M190" s="1356"/>
      <c r="N190" s="1543">
        <v>0.03</v>
      </c>
      <c r="O190" s="1356"/>
      <c r="P190" s="1543">
        <v>0.04</v>
      </c>
      <c r="Q190" s="1356"/>
      <c r="R190" s="1543">
        <v>0.02</v>
      </c>
      <c r="T190" s="1543">
        <v>0.24</v>
      </c>
      <c r="U190" s="1356"/>
      <c r="V190" s="1543">
        <v>0.06</v>
      </c>
      <c r="W190" s="1356"/>
      <c r="X190" s="1543">
        <v>0.02</v>
      </c>
      <c r="Y190" s="1356"/>
      <c r="Z190" s="1543">
        <v>0.03</v>
      </c>
      <c r="AA190" s="1356"/>
      <c r="AB190" s="1543">
        <v>0.01</v>
      </c>
      <c r="AC190" s="1356"/>
      <c r="AD190" s="1543"/>
      <c r="AE190" s="1356"/>
      <c r="AF190" s="1543">
        <v>0.09</v>
      </c>
      <c r="AG190" s="1356"/>
      <c r="AH190" s="1543"/>
      <c r="AI190" s="1356"/>
      <c r="AJ190" s="1543">
        <v>0.05</v>
      </c>
      <c r="AK190" s="1356"/>
      <c r="AL190" s="1543">
        <v>2.5999999999999999E-2</v>
      </c>
      <c r="AM190" s="1356"/>
      <c r="AN190" s="1543">
        <v>0.115</v>
      </c>
      <c r="AO190" s="1356"/>
      <c r="AP190" s="1543">
        <v>0.06</v>
      </c>
      <c r="AQ190" s="1356"/>
      <c r="AR190" s="1543">
        <v>0.05</v>
      </c>
      <c r="AS190" s="1356"/>
      <c r="AT190" s="1543"/>
      <c r="AU190" s="1356"/>
      <c r="AV190" s="1543">
        <v>0.18</v>
      </c>
      <c r="AW190" s="1356"/>
      <c r="AX190" s="1543">
        <v>0.04</v>
      </c>
      <c r="AY190" s="1356"/>
      <c r="AZ190" s="1543"/>
      <c r="BA190" s="1356"/>
      <c r="BB190" s="1543">
        <v>0.12</v>
      </c>
      <c r="BC190" s="1356"/>
      <c r="BD190" s="1543">
        <v>4.1000000000000002E-2</v>
      </c>
      <c r="BE190" s="1356"/>
      <c r="BF190" s="1543">
        <v>0.06</v>
      </c>
      <c r="BG190" s="1356"/>
      <c r="BH190" s="1543">
        <v>0.112</v>
      </c>
      <c r="BI190" s="1356"/>
      <c r="BJ190" s="1543">
        <v>0.1</v>
      </c>
      <c r="BK190" s="1356"/>
      <c r="BL190" s="1543">
        <v>0.11</v>
      </c>
      <c r="BM190" s="1356"/>
      <c r="BN190" s="1543">
        <v>0.08</v>
      </c>
      <c r="BO190" s="1356"/>
      <c r="BP190" s="1543">
        <v>2.8000000000000001E-2</v>
      </c>
      <c r="BQ190" s="1356"/>
      <c r="BR190" s="1543">
        <v>0</v>
      </c>
      <c r="BS190" s="1356"/>
      <c r="BT190" s="1543">
        <v>0.09</v>
      </c>
      <c r="BU190" s="1356"/>
      <c r="BV190" s="1543">
        <v>7.0000000000000007E-2</v>
      </c>
      <c r="BW190" s="1356"/>
      <c r="BX190" s="1543">
        <v>0.05</v>
      </c>
      <c r="BY190" s="1356"/>
      <c r="BZ190" s="1543">
        <v>9.9000000000000005E-2</v>
      </c>
      <c r="CA190" s="1356"/>
      <c r="CB190" s="1543">
        <v>0.04</v>
      </c>
      <c r="CC190" s="1356"/>
      <c r="CD190" s="1543">
        <v>7.0000000000000007E-2</v>
      </c>
      <c r="CE190" s="1356"/>
      <c r="CF190" s="1543">
        <v>7.0000000000000007E-2</v>
      </c>
      <c r="CG190" s="1356"/>
      <c r="CH190" s="1543">
        <v>0.1</v>
      </c>
      <c r="CI190" s="1356"/>
      <c r="CJ190" s="1543">
        <v>0.14000000000000001</v>
      </c>
      <c r="CK190" s="1356"/>
      <c r="CL190" s="1543">
        <v>0.08</v>
      </c>
      <c r="CM190" s="1356"/>
      <c r="CN190" s="1543">
        <v>0.22</v>
      </c>
      <c r="CO190" s="1356"/>
      <c r="CP190" s="1543">
        <v>7.0000000000000007E-2</v>
      </c>
      <c r="CQ190" s="1356"/>
      <c r="CR190" s="1543">
        <v>7.0000000000000007E-2</v>
      </c>
      <c r="CS190" s="1356"/>
      <c r="CT190" s="1543">
        <v>0.04</v>
      </c>
      <c r="CU190" s="1356"/>
      <c r="CV190" s="1543">
        <v>0.05</v>
      </c>
      <c r="CW190" s="1356"/>
      <c r="CX190" s="1543">
        <v>0.1</v>
      </c>
      <c r="CY190" s="1356"/>
      <c r="CZ190" s="1543">
        <v>0.05</v>
      </c>
      <c r="DA190" s="1356"/>
      <c r="DB190" s="1543">
        <v>0.05</v>
      </c>
      <c r="DC190" s="1356"/>
      <c r="DD190" s="1543">
        <v>0.04</v>
      </c>
      <c r="DE190" s="1356"/>
      <c r="DF190" s="1543">
        <v>7.0000000000000007E-2</v>
      </c>
      <c r="DG190" s="1356"/>
      <c r="DH190" s="1543">
        <v>0.15</v>
      </c>
      <c r="DI190" s="1356"/>
      <c r="DJ190" s="1543">
        <v>0.05</v>
      </c>
      <c r="DK190" s="1356"/>
      <c r="DL190" s="1543">
        <v>0.05</v>
      </c>
      <c r="DM190" s="1356"/>
      <c r="DN190" s="1543">
        <v>0.09</v>
      </c>
      <c r="DO190" s="1356"/>
      <c r="DP190" s="1543">
        <v>0.1</v>
      </c>
      <c r="DQ190" s="1356"/>
      <c r="DR190" s="1543">
        <v>0.14000000000000001</v>
      </c>
      <c r="DS190" s="1356"/>
      <c r="DT190" s="1543"/>
      <c r="DU190" s="1356"/>
      <c r="DV190" s="1543">
        <v>0.09</v>
      </c>
      <c r="DW190" s="1356"/>
      <c r="DX190" s="1543">
        <v>0.15</v>
      </c>
      <c r="DY190" s="1356"/>
      <c r="DZ190" s="1543">
        <v>0.34</v>
      </c>
      <c r="EA190" s="1356"/>
      <c r="EB190" s="1543">
        <v>8.3000000000000004E-2</v>
      </c>
      <c r="EC190" s="1356"/>
      <c r="ED190" s="1543">
        <v>0.02</v>
      </c>
      <c r="EE190" s="1356"/>
      <c r="EF190" s="1543">
        <v>0.08</v>
      </c>
      <c r="EG190" s="1356"/>
      <c r="EH190" s="1543">
        <v>7.0000000000000007E-2</v>
      </c>
      <c r="EI190" s="1356"/>
      <c r="EJ190" s="1543">
        <v>0.05</v>
      </c>
      <c r="EK190" s="1356"/>
      <c r="EL190" s="1543">
        <v>7.0000000000000007E-2</v>
      </c>
      <c r="EM190" s="1356"/>
      <c r="EN190" s="1543"/>
      <c r="EO190" s="1356"/>
      <c r="EP190" s="1543"/>
      <c r="EQ190" s="1356"/>
      <c r="ER190" s="1543">
        <v>0.23</v>
      </c>
      <c r="ES190" s="1356"/>
      <c r="ET190" s="1543">
        <v>6.8000000000000005E-2</v>
      </c>
      <c r="EU190" s="1356"/>
      <c r="EV190" s="1543">
        <v>0.08</v>
      </c>
      <c r="EW190" s="1356"/>
      <c r="EX190" s="1543">
        <v>0</v>
      </c>
      <c r="EY190" s="1356"/>
      <c r="EZ190" s="1543">
        <v>0.08</v>
      </c>
      <c r="FA190" s="1356"/>
      <c r="FB190" s="1543">
        <v>0.31</v>
      </c>
      <c r="FC190" s="1356"/>
      <c r="FD190" s="1543">
        <v>0.5</v>
      </c>
      <c r="FE190" s="1356"/>
      <c r="FF190" s="1543">
        <v>0.05</v>
      </c>
      <c r="FG190" s="1356"/>
      <c r="FH190" s="1543"/>
      <c r="FI190" s="1356"/>
      <c r="FJ190" s="1543">
        <v>0.14000000000000001</v>
      </c>
      <c r="FK190" s="1356"/>
      <c r="FL190" s="1543">
        <v>0.08</v>
      </c>
      <c r="FM190" s="1356"/>
      <c r="FN190" s="1543">
        <v>0.1</v>
      </c>
      <c r="FO190" s="1356"/>
      <c r="FP190" s="1543">
        <v>0.21</v>
      </c>
      <c r="FQ190" s="1356"/>
      <c r="FR190" s="1543"/>
      <c r="FS190" s="1356"/>
      <c r="FT190" s="1543">
        <v>0.13</v>
      </c>
      <c r="FU190" s="1356"/>
      <c r="FV190" s="1543">
        <v>0.05</v>
      </c>
      <c r="FW190" s="1356"/>
      <c r="FX190" s="1543"/>
      <c r="FY190" s="1356"/>
      <c r="FZ190" s="1543">
        <v>7.0000000000000007E-2</v>
      </c>
      <c r="GA190" s="1356"/>
      <c r="GB190" s="1543">
        <v>0.04</v>
      </c>
      <c r="GC190" s="1356"/>
      <c r="GD190" s="1543">
        <v>0.11</v>
      </c>
      <c r="GE190" s="1356"/>
      <c r="GF190" s="1543">
        <v>0.1</v>
      </c>
      <c r="GG190" s="1356"/>
      <c r="GH190" s="1543">
        <v>0.04</v>
      </c>
      <c r="GI190" s="1356"/>
      <c r="GJ190" s="1543">
        <v>0.05</v>
      </c>
      <c r="GK190" s="1356"/>
      <c r="GL190" s="1543">
        <v>0.08</v>
      </c>
      <c r="GM190" s="1356"/>
      <c r="GN190" s="1543">
        <v>0.09</v>
      </c>
      <c r="GO190" s="1356"/>
      <c r="GP190" s="1543">
        <v>0.13</v>
      </c>
      <c r="GQ190" s="1356"/>
      <c r="GR190" s="1543">
        <v>5.5E-2</v>
      </c>
      <c r="GS190" s="1356"/>
      <c r="GT190" s="1543">
        <v>0.03</v>
      </c>
      <c r="GU190" s="1356"/>
      <c r="GV190" s="1543">
        <v>0.03</v>
      </c>
      <c r="GW190" s="1356"/>
      <c r="GX190" s="1543"/>
      <c r="GY190" s="1356"/>
      <c r="GZ190" s="1543">
        <v>0.03</v>
      </c>
      <c r="HA190" s="1356"/>
      <c r="HB190" s="1543">
        <v>0.09</v>
      </c>
      <c r="HC190" s="1356"/>
      <c r="HD190" s="1543">
        <v>0.08</v>
      </c>
      <c r="HE190" s="1356"/>
      <c r="HF190" s="1543">
        <v>0.09</v>
      </c>
      <c r="HG190" s="2008"/>
      <c r="HH190" s="1543">
        <v>0.09</v>
      </c>
      <c r="HI190" s="1356"/>
      <c r="HJ190" s="1543">
        <v>0.22</v>
      </c>
      <c r="HK190" s="1356"/>
      <c r="HL190" s="1543">
        <v>0.06</v>
      </c>
      <c r="HM190" s="1356"/>
      <c r="HN190" s="1543">
        <v>0.03</v>
      </c>
      <c r="HO190" s="1356"/>
      <c r="HP190" s="1543">
        <v>0.17</v>
      </c>
      <c r="HQ190" s="2008"/>
      <c r="HR190" s="1543">
        <v>0.09</v>
      </c>
      <c r="HS190" s="1356"/>
      <c r="HT190" s="1543">
        <v>7.0000000000000007E-2</v>
      </c>
      <c r="HU190" s="2008"/>
      <c r="HV190" s="1543">
        <v>4.4999999999999998E-2</v>
      </c>
      <c r="HW190" s="2008"/>
      <c r="HX190" s="1543">
        <v>0.03</v>
      </c>
      <c r="HY190" s="2008"/>
      <c r="HZ190" s="1543">
        <v>0.11</v>
      </c>
      <c r="IA190" s="2008"/>
      <c r="IB190" s="1543">
        <v>7.0000000000000007E-2</v>
      </c>
      <c r="IC190" s="1356"/>
      <c r="ID190" s="1543">
        <v>0.05</v>
      </c>
      <c r="IE190" s="2008"/>
      <c r="IF190" s="1543"/>
      <c r="IG190" s="2008"/>
    </row>
    <row r="191" spans="1:241">
      <c r="A191" s="1149"/>
      <c r="B191" s="1149"/>
      <c r="C191" s="1149"/>
      <c r="D191" s="1149"/>
      <c r="E191" s="1143"/>
      <c r="F191" s="1406"/>
      <c r="G191" s="1356"/>
      <c r="H191" s="1406"/>
      <c r="I191" s="1356"/>
      <c r="J191" s="1406"/>
      <c r="K191" s="1356"/>
      <c r="L191" s="1406"/>
      <c r="M191" s="1356"/>
      <c r="N191" s="1406"/>
      <c r="O191" s="1356"/>
      <c r="P191" s="1406"/>
      <c r="Q191" s="1356"/>
      <c r="T191" s="1406"/>
      <c r="U191" s="1356"/>
      <c r="V191" s="1406"/>
      <c r="W191" s="1356"/>
      <c r="X191" s="1406"/>
      <c r="Y191" s="1356"/>
      <c r="Z191" s="1406"/>
      <c r="AA191" s="1356"/>
      <c r="AB191" s="1406"/>
      <c r="AC191" s="1356"/>
      <c r="AD191" s="1406"/>
      <c r="AE191" s="1356"/>
      <c r="AF191" s="1406"/>
      <c r="AG191" s="1356"/>
      <c r="AH191" s="1406"/>
      <c r="AI191" s="1356"/>
      <c r="AJ191" s="1406"/>
      <c r="AK191" s="1356"/>
      <c r="AL191" s="1406"/>
      <c r="AM191" s="1356"/>
      <c r="AN191" s="1406"/>
      <c r="AO191" s="1356"/>
      <c r="AP191" s="1406"/>
      <c r="AQ191" s="1356"/>
      <c r="AR191" s="1406"/>
      <c r="AS191" s="1356"/>
      <c r="AT191" s="1406"/>
      <c r="AU191" s="1356"/>
      <c r="AV191" s="1406"/>
      <c r="AW191" s="1356"/>
      <c r="AX191" s="1406"/>
      <c r="AY191" s="1356"/>
      <c r="AZ191" s="1406"/>
      <c r="BA191" s="1356"/>
      <c r="BB191" s="1406"/>
      <c r="BC191" s="1356"/>
      <c r="BD191" s="1406"/>
      <c r="BE191" s="1356"/>
      <c r="BF191" s="1406"/>
      <c r="BG191" s="1356"/>
      <c r="BH191" s="1406"/>
      <c r="BI191" s="1356"/>
      <c r="BJ191" s="1406"/>
      <c r="BK191" s="1356"/>
      <c r="BL191" s="1406"/>
      <c r="BM191" s="1356"/>
      <c r="BN191" s="1406"/>
      <c r="BO191" s="1356"/>
      <c r="BP191" s="1406"/>
      <c r="BQ191" s="1356"/>
      <c r="BR191" s="1406"/>
      <c r="BS191" s="1356"/>
      <c r="BT191" s="1406"/>
      <c r="BU191" s="1356"/>
      <c r="BV191" s="1406"/>
      <c r="BW191" s="1356"/>
      <c r="BX191" s="1406"/>
      <c r="BY191" s="1356"/>
      <c r="BZ191" s="1406"/>
      <c r="CA191" s="1356"/>
      <c r="CB191" s="1406"/>
      <c r="CC191" s="1356"/>
      <c r="CD191" s="1406"/>
      <c r="CE191" s="1356"/>
      <c r="CF191" s="1406"/>
      <c r="CG191" s="1356"/>
      <c r="CH191" s="1406"/>
      <c r="CI191" s="1356"/>
      <c r="CJ191" s="1406"/>
      <c r="CK191" s="1356"/>
      <c r="CL191" s="1406"/>
      <c r="CM191" s="1356"/>
      <c r="CN191" s="1406"/>
      <c r="CO191" s="1356"/>
      <c r="CP191" s="1406"/>
      <c r="CQ191" s="1356"/>
      <c r="CR191" s="1406"/>
      <c r="CS191" s="1356"/>
      <c r="CT191" s="1406"/>
      <c r="CU191" s="1356"/>
      <c r="CV191" s="1406"/>
      <c r="CW191" s="1356"/>
      <c r="CX191" s="1406"/>
      <c r="CY191" s="1356"/>
      <c r="CZ191" s="1406"/>
      <c r="DA191" s="1356"/>
      <c r="DB191" s="1406"/>
      <c r="DC191" s="1356"/>
      <c r="DD191" s="1406"/>
      <c r="DE191" s="1356"/>
      <c r="DF191" s="1406"/>
      <c r="DG191" s="1356"/>
      <c r="DH191" s="1406"/>
      <c r="DI191" s="1356"/>
      <c r="DJ191" s="1406"/>
      <c r="DK191" s="1356"/>
      <c r="DL191" s="1406"/>
      <c r="DM191" s="1356"/>
      <c r="DN191" s="1406"/>
      <c r="DO191" s="1356"/>
      <c r="DP191" s="1406"/>
      <c r="DQ191" s="1356"/>
      <c r="DR191" s="1406"/>
      <c r="DS191" s="1356"/>
      <c r="DT191" s="1406"/>
      <c r="DU191" s="1356"/>
      <c r="DV191" s="1406"/>
      <c r="DW191" s="1356"/>
      <c r="DX191" s="1406"/>
      <c r="DY191" s="1356"/>
      <c r="DZ191" s="1406"/>
      <c r="EA191" s="1356"/>
      <c r="EB191" s="1406"/>
      <c r="EC191" s="1356"/>
      <c r="ED191" s="1406"/>
      <c r="EE191" s="1356"/>
      <c r="EF191" s="1406"/>
      <c r="EG191" s="1356"/>
      <c r="EH191" s="1406"/>
      <c r="EI191" s="1356"/>
      <c r="EJ191" s="1406"/>
      <c r="EK191" s="1356"/>
      <c r="EL191" s="1406"/>
      <c r="EM191" s="1356"/>
      <c r="EN191" s="1406"/>
      <c r="EO191" s="1356"/>
      <c r="EP191" s="1406"/>
      <c r="EQ191" s="1356"/>
      <c r="ER191" s="1406"/>
      <c r="ES191" s="1356"/>
      <c r="ET191" s="1406"/>
      <c r="EU191" s="1356"/>
      <c r="EV191" s="1406"/>
      <c r="EW191" s="1356"/>
      <c r="EX191" s="1406"/>
      <c r="EY191" s="1356"/>
      <c r="EZ191" s="1406"/>
      <c r="FA191" s="1356"/>
      <c r="FB191" s="1406"/>
      <c r="FC191" s="1356"/>
      <c r="FD191" s="1406"/>
      <c r="FE191" s="1356"/>
      <c r="FF191" s="1406"/>
      <c r="FG191" s="1356"/>
      <c r="FH191" s="1406"/>
      <c r="FI191" s="1356"/>
      <c r="FJ191" s="1406"/>
      <c r="FK191" s="1356"/>
      <c r="FL191" s="1406"/>
      <c r="FM191" s="1356"/>
      <c r="FN191" s="1406"/>
      <c r="FO191" s="1356"/>
      <c r="FP191" s="1406"/>
      <c r="FQ191" s="1356"/>
      <c r="FR191" s="1406"/>
      <c r="FS191" s="1356"/>
      <c r="FT191" s="1406"/>
      <c r="FU191" s="1356"/>
      <c r="FV191" s="1406"/>
      <c r="FW191" s="1356"/>
      <c r="FX191" s="1406"/>
      <c r="FY191" s="1356"/>
      <c r="FZ191" s="1406"/>
      <c r="GA191" s="1356"/>
      <c r="GB191" s="1406"/>
      <c r="GC191" s="1356"/>
      <c r="GD191" s="1406"/>
      <c r="GE191" s="1356"/>
      <c r="GF191" s="1406"/>
      <c r="GG191" s="1356"/>
      <c r="GH191" s="1406"/>
      <c r="GI191" s="1356"/>
      <c r="GJ191" s="1406"/>
      <c r="GK191" s="1356"/>
      <c r="GL191" s="1406"/>
      <c r="GM191" s="1356"/>
      <c r="GN191" s="1406"/>
      <c r="GO191" s="1356"/>
      <c r="GP191" s="1406"/>
      <c r="GQ191" s="1356"/>
      <c r="GR191" s="1406"/>
      <c r="GS191" s="1356"/>
      <c r="GT191" s="1406"/>
      <c r="GU191" s="1356"/>
      <c r="GV191" s="1406"/>
      <c r="GW191" s="1356"/>
      <c r="GX191" s="1406"/>
      <c r="GY191" s="1356"/>
      <c r="GZ191" s="1406"/>
      <c r="HA191" s="1356"/>
      <c r="HB191" s="1406"/>
      <c r="HC191" s="1356"/>
      <c r="HD191" s="1406"/>
      <c r="HE191" s="1356"/>
      <c r="HH191" s="1406"/>
      <c r="HI191" s="1356"/>
      <c r="HJ191" s="1406"/>
      <c r="HK191" s="1356"/>
      <c r="HL191" s="1406"/>
      <c r="HM191" s="1356"/>
      <c r="HN191" s="1406"/>
      <c r="HO191" s="1356"/>
      <c r="HR191" s="1406"/>
      <c r="HS191" s="1356"/>
      <c r="IB191" s="1406"/>
      <c r="IC191" s="1356"/>
    </row>
    <row r="192" spans="1:241">
      <c r="A192" s="1149"/>
      <c r="B192" s="1149"/>
      <c r="C192" s="1149"/>
      <c r="D192" s="1150" t="s">
        <v>1246</v>
      </c>
      <c r="E192" s="1143"/>
      <c r="F192" s="1714">
        <f>F21/F183</f>
        <v>5.9971282672667474</v>
      </c>
      <c r="G192" s="1356"/>
      <c r="H192" s="1714">
        <f>H21/H183</f>
        <v>2.9427875598086128</v>
      </c>
      <c r="I192" s="1356"/>
      <c r="J192" s="1714">
        <f>J21/J183</f>
        <v>7.7692934662236999</v>
      </c>
      <c r="K192" s="1356"/>
      <c r="L192" s="1714">
        <f>L21/L183</f>
        <v>4.1754519152599112</v>
      </c>
      <c r="M192" s="1356"/>
      <c r="N192" s="1714">
        <f>N21/N183</f>
        <v>4.1306286471834568</v>
      </c>
      <c r="O192" s="1356"/>
      <c r="P192" s="1714">
        <f>P21/P183</f>
        <v>3.6905019607843137</v>
      </c>
      <c r="Q192" s="1356"/>
      <c r="R192" s="1714">
        <f>R21/R183</f>
        <v>2.8183149514885151</v>
      </c>
      <c r="T192" s="1714">
        <f>T21/T183</f>
        <v>10.613916645094486</v>
      </c>
      <c r="U192" s="1356"/>
      <c r="V192" s="1714">
        <f>V21/V183</f>
        <v>8.8708051948051949</v>
      </c>
      <c r="W192" s="1356"/>
      <c r="X192" s="1714">
        <f>X21/X183</f>
        <v>3.1345744965417097</v>
      </c>
      <c r="Y192" s="1356"/>
      <c r="Z192" s="1714">
        <f>Z21/Z183</f>
        <v>4.0083183206042312</v>
      </c>
      <c r="AA192" s="1356"/>
      <c r="AB192" s="1714">
        <f>AB21/AB183</f>
        <v>10.344444444444445</v>
      </c>
      <c r="AC192" s="1356"/>
      <c r="AD192" s="1714">
        <f>AD21/AD183</f>
        <v>3.8878940440738927</v>
      </c>
      <c r="AE192" s="1356"/>
      <c r="AF192" s="1714">
        <f>AF21/AF183</f>
        <v>3.6134790999579254</v>
      </c>
      <c r="AG192" s="1356"/>
      <c r="AH192" s="1714">
        <f>AH21/AH183</f>
        <v>10.85754348021988</v>
      </c>
      <c r="AI192" s="1356"/>
      <c r="AJ192" s="1714">
        <f>AJ21/AJ183</f>
        <v>2.549676666666667</v>
      </c>
      <c r="AK192" s="1356"/>
      <c r="AL192" s="1714">
        <f>AL21/AL183</f>
        <v>9.1813939393939386</v>
      </c>
      <c r="AM192" s="1356"/>
      <c r="AN192" s="1714">
        <f>AN21/AN183</f>
        <v>4.3368569344527241</v>
      </c>
      <c r="AO192" s="1356"/>
      <c r="AP192" s="1714">
        <f>AP21/AP183</f>
        <v>2.7392945736434107</v>
      </c>
      <c r="AQ192" s="1356"/>
      <c r="AR192" s="1714">
        <f>AR21/AR183</f>
        <v>1.5664340583811758</v>
      </c>
      <c r="AS192" s="1356"/>
      <c r="AT192" s="1714">
        <f>AT21/AT183</f>
        <v>10.537284552845527</v>
      </c>
      <c r="AU192" s="1356"/>
      <c r="AV192" s="1714">
        <f>AV21/AV183</f>
        <v>3.7227201880573366</v>
      </c>
      <c r="AW192" s="1356"/>
      <c r="AX192" s="1714">
        <f>AX21/AX183</f>
        <v>8.8494933555078887</v>
      </c>
      <c r="AY192" s="1356"/>
      <c r="AZ192" s="1714">
        <f>AZ21/AZ183</f>
        <v>7.6459928262924723</v>
      </c>
      <c r="BA192" s="1356"/>
      <c r="BB192" s="1714">
        <f>BB21/BB183</f>
        <v>4.1454057716927046</v>
      </c>
      <c r="BC192" s="1356"/>
      <c r="BD192" s="1714">
        <f>BD21/BD183</f>
        <v>8.4890053187266812</v>
      </c>
      <c r="BE192" s="1356"/>
      <c r="BF192" s="1714">
        <f>BF21/BF183</f>
        <v>8.2504600570288513</v>
      </c>
      <c r="BG192" s="1356"/>
      <c r="BH192" s="1714">
        <f>BH21/BH183</f>
        <v>4.0398285015555588</v>
      </c>
      <c r="BI192" s="1356"/>
      <c r="BJ192" s="1714">
        <f>BJ21/BJ183</f>
        <v>3.8305911207183243</v>
      </c>
      <c r="BK192" s="1356"/>
      <c r="BL192" s="1714">
        <f>BL21/BL183</f>
        <v>2.4393851347418658</v>
      </c>
      <c r="BM192" s="1356"/>
      <c r="BN192" s="1714">
        <f>BN21/BN183</f>
        <v>1.0617843866171004</v>
      </c>
      <c r="BO192" s="1356"/>
      <c r="BP192" s="1714">
        <f>BP21/BP183</f>
        <v>8.9006678011551159</v>
      </c>
      <c r="BQ192" s="1356"/>
      <c r="BR192" s="1714">
        <f>BR21/BR183</f>
        <v>11.031414141414141</v>
      </c>
      <c r="BS192" s="1356"/>
      <c r="BT192" s="1714">
        <f>BT21/BT183</f>
        <v>7.7770238104631382</v>
      </c>
      <c r="BU192" s="1356"/>
      <c r="BV192" s="1714">
        <f>BV21/BV183</f>
        <v>10.772258417800028</v>
      </c>
      <c r="BW192" s="1356"/>
      <c r="BX192" s="1714">
        <f>BX21/BX183</f>
        <v>12.014050457225542</v>
      </c>
      <c r="BY192" s="1356"/>
      <c r="BZ192" s="1714">
        <f>BZ21/BZ183</f>
        <v>5.102607706843548</v>
      </c>
      <c r="CA192" s="1356"/>
      <c r="CB192" s="1714">
        <f>CB21/CB183</f>
        <v>2.6999109359818636</v>
      </c>
      <c r="CC192" s="1356"/>
      <c r="CD192" s="1714">
        <f>CD21/CD183</f>
        <v>6.3299334216106597</v>
      </c>
      <c r="CE192" s="1356"/>
      <c r="CF192" s="1714">
        <v>5.6472503587406093</v>
      </c>
      <c r="CG192" s="1356"/>
      <c r="CH192" s="1714">
        <f>CH21/CH183</f>
        <v>5.9040865655919648</v>
      </c>
      <c r="CI192" s="1356"/>
      <c r="CJ192" s="1714">
        <v>5.0931647300068352</v>
      </c>
      <c r="CK192" s="1356"/>
      <c r="CL192" s="1714">
        <v>4.0090237798694366</v>
      </c>
      <c r="CM192" s="1356"/>
      <c r="CN192" s="1714">
        <f>CN21/CN183</f>
        <v>4.5060082444123077</v>
      </c>
      <c r="CO192" s="1356"/>
      <c r="CP192" s="1714">
        <f>CP21/CP183</f>
        <v>5.2740712202558493</v>
      </c>
      <c r="CQ192" s="1356"/>
      <c r="CR192" s="1714">
        <v>2.1958333839015176</v>
      </c>
      <c r="CS192" s="1356"/>
      <c r="CT192" s="1714">
        <f>CT21/CT183</f>
        <v>2.4021812978185393</v>
      </c>
      <c r="CU192" s="1356"/>
      <c r="CV192" s="1714">
        <f>CV21/CV183</f>
        <v>4.5312459990269636</v>
      </c>
      <c r="CW192" s="1356"/>
      <c r="CX192" s="1714">
        <f>CX21/CX183</f>
        <v>2.4748656677651337</v>
      </c>
      <c r="CY192" s="1356"/>
      <c r="CZ192" s="1714">
        <v>3.7853013378939302</v>
      </c>
      <c r="DA192" s="1356"/>
      <c r="DB192" s="1714">
        <v>4.2484946698246056</v>
      </c>
      <c r="DC192" s="1356"/>
      <c r="DD192" s="1714">
        <v>4.3060983189073658</v>
      </c>
      <c r="DE192" s="1356"/>
      <c r="DF192" s="1714">
        <v>3.038620972110071</v>
      </c>
      <c r="DG192" s="1356"/>
      <c r="DH192" s="1714">
        <v>36.336842105263159</v>
      </c>
      <c r="DI192" s="1356"/>
      <c r="DJ192" s="1714">
        <v>7.5862783101826929</v>
      </c>
      <c r="DK192" s="1356"/>
      <c r="DL192" s="1714">
        <v>6.1199572699117235</v>
      </c>
      <c r="DM192" s="1356"/>
      <c r="DN192" s="1714">
        <f>DN21/DN183</f>
        <v>3.2042766398755509</v>
      </c>
      <c r="DO192" s="1356"/>
      <c r="DP192" s="1714">
        <f>DP21/DP183</f>
        <v>4.3060219949835998</v>
      </c>
      <c r="DQ192" s="1356"/>
      <c r="DR192" s="1714">
        <f>DR21/DR183</f>
        <v>4.2697749903724489</v>
      </c>
      <c r="DS192" s="1356"/>
      <c r="DT192" s="1714">
        <f>DT21/DT183</f>
        <v>3.2352370001216442</v>
      </c>
      <c r="DU192" s="1356"/>
      <c r="DV192" s="1714">
        <f>DV21/DV183</f>
        <v>4.1652342213420503</v>
      </c>
      <c r="DW192" s="1356"/>
      <c r="DX192" s="1714">
        <f>DX21/DX183</f>
        <v>2.8188964022863976</v>
      </c>
      <c r="DY192" s="1356"/>
      <c r="DZ192" s="1714">
        <f>DZ21/DZ183</f>
        <v>3.5977508750894431</v>
      </c>
      <c r="EA192" s="1356"/>
      <c r="EB192" s="1714">
        <f>EB21/EB183</f>
        <v>2.8912933376889436</v>
      </c>
      <c r="EC192" s="1356"/>
      <c r="ED192" s="1714">
        <f>ED21/ED183</f>
        <v>4.7641815778035346</v>
      </c>
      <c r="EE192" s="1356"/>
      <c r="EF192" s="1714">
        <f>EF21/EF183</f>
        <v>3.821512686312436</v>
      </c>
      <c r="EG192" s="1356"/>
      <c r="EH192" s="1714">
        <f>EH21/EH183</f>
        <v>2.7247572709114825</v>
      </c>
      <c r="EI192" s="1356"/>
      <c r="EJ192" s="1714">
        <f>EJ21/EJ183</f>
        <v>4.7749354207436401</v>
      </c>
      <c r="EK192" s="1356"/>
      <c r="EL192" s="1714">
        <f>EL21/EL183</f>
        <v>3.2027839143616625</v>
      </c>
      <c r="EM192" s="1356"/>
      <c r="EN192" s="1714">
        <f>EN21/EN183</f>
        <v>4.1503951545294413</v>
      </c>
      <c r="EO192" s="1356"/>
      <c r="EP192" s="1714">
        <f>EP21/EP183</f>
        <v>7.7842196231319036</v>
      </c>
      <c r="EQ192" s="1356"/>
      <c r="ER192" s="1714">
        <f>ER21/ER183</f>
        <v>13.410127254775185</v>
      </c>
      <c r="ES192" s="1356"/>
      <c r="ET192" s="1714">
        <f>ET21/ET183</f>
        <v>3.934134612050733</v>
      </c>
      <c r="EU192" s="1356"/>
      <c r="EV192" s="1714">
        <f>EV21/EV183</f>
        <v>16.400866967634705</v>
      </c>
      <c r="EW192" s="1356"/>
      <c r="EX192" s="1714">
        <f>EX21/EX183</f>
        <v>12.146302165874273</v>
      </c>
      <c r="EY192" s="1356"/>
      <c r="EZ192" s="1714">
        <f>EZ21/EZ183</f>
        <v>3.1403534519122607</v>
      </c>
      <c r="FA192" s="1356"/>
      <c r="FB192" s="1714">
        <f>FB21/FB183</f>
        <v>13.282802982477094</v>
      </c>
      <c r="FC192" s="1356"/>
      <c r="FD192" s="1714">
        <f>FD21/FD183</f>
        <v>4.8963379247015606</v>
      </c>
      <c r="FE192" s="1356"/>
      <c r="FF192" s="1714">
        <f>FF21/FF183</f>
        <v>8.8028169014084501</v>
      </c>
      <c r="FG192" s="1356"/>
      <c r="FH192" s="1714">
        <f>FH21/FH183</f>
        <v>3.2273505835972802</v>
      </c>
      <c r="FI192" s="1356"/>
      <c r="FJ192" s="1714">
        <f>FJ21/FJ183</f>
        <v>4.3777699772034939</v>
      </c>
      <c r="FK192" s="1356"/>
      <c r="FL192" s="1714">
        <f>FL21/FL183</f>
        <v>3.8658868349057811</v>
      </c>
      <c r="FM192" s="1356"/>
      <c r="FN192" s="1714">
        <f>FN21/FN183</f>
        <v>2.7873233982300682</v>
      </c>
      <c r="FO192" s="1356"/>
      <c r="FP192" s="1714">
        <f>FP21/FP183</f>
        <v>8.0786456026379252</v>
      </c>
      <c r="FQ192" s="1356"/>
      <c r="FR192" s="1714">
        <f>FR21/FR183</f>
        <v>3.9687651702603985</v>
      </c>
      <c r="FS192" s="1356"/>
      <c r="FT192" s="1714">
        <f>FT21/FT183</f>
        <v>7.4820411727578486</v>
      </c>
      <c r="FU192" s="1356"/>
      <c r="FV192" s="1714">
        <f>FV21/FV183</f>
        <v>2.1082180542911528</v>
      </c>
      <c r="FW192" s="1356"/>
      <c r="FX192" s="1714">
        <f>FX21/FX183</f>
        <v>5.2424541721796709</v>
      </c>
      <c r="FY192" s="1356"/>
      <c r="FZ192" s="1714">
        <f>FZ21/FZ183</f>
        <v>6.0372073260073265</v>
      </c>
      <c r="GA192" s="1356"/>
      <c r="GB192" s="1714">
        <f>GB21/GB183</f>
        <v>4.918004274484133</v>
      </c>
      <c r="GC192" s="1356"/>
      <c r="GD192" s="1714">
        <f>GD21/GD183</f>
        <v>3.4442192986697182</v>
      </c>
      <c r="GE192" s="1356"/>
      <c r="GF192" s="1714">
        <f>GF21/GF183</f>
        <v>4.4230745479695681</v>
      </c>
      <c r="GG192" s="1356"/>
      <c r="GH192" s="1714">
        <f>GH21/GH183</f>
        <v>4.482503823279524</v>
      </c>
      <c r="GI192" s="1356"/>
      <c r="GJ192" s="1714">
        <f>GJ21/GJ183</f>
        <v>2.2732524110275687</v>
      </c>
      <c r="GK192" s="1356"/>
      <c r="GL192" s="1714">
        <f>GL21/GL183</f>
        <v>7.9638118918792724</v>
      </c>
      <c r="GM192" s="1356"/>
      <c r="GN192" s="1714">
        <f>GN21/GN183</f>
        <v>13.030769230769231</v>
      </c>
      <c r="GO192" s="1356"/>
      <c r="GP192" s="1714">
        <f>GP21/GP183</f>
        <v>5.0153433944013051</v>
      </c>
      <c r="GQ192" s="1356"/>
      <c r="GR192" s="1714">
        <f>GR21/GR183</f>
        <v>8.4063366308964902</v>
      </c>
      <c r="GS192" s="1356"/>
      <c r="GT192" s="1714">
        <f>GT21/GT183</f>
        <v>11.262848393950756</v>
      </c>
      <c r="GU192" s="1356"/>
      <c r="GV192" s="1714">
        <f>GV21/GV183</f>
        <v>9.1719693486590046</v>
      </c>
      <c r="GW192" s="1356"/>
      <c r="GX192" s="1714">
        <f>GX21/GX183</f>
        <v>7.7138693091295325</v>
      </c>
      <c r="GY192" s="1356"/>
      <c r="GZ192" s="1714">
        <f>GZ21/GZ183</f>
        <v>3.1192687122676097</v>
      </c>
      <c r="HA192" s="1356"/>
      <c r="HB192" s="1714">
        <f>HB21/HB183</f>
        <v>5.5418773148148146</v>
      </c>
      <c r="HC192" s="1356"/>
      <c r="HD192" s="1714">
        <f>HD21/HD183</f>
        <v>2.1811160624001897</v>
      </c>
      <c r="HE192" s="1356"/>
      <c r="HF192" s="2031">
        <f>HF21/HF183</f>
        <v>3.1103057543837718</v>
      </c>
      <c r="HH192" s="1714">
        <f>HH21/HH183</f>
        <v>2.5214048</v>
      </c>
      <c r="HI192" s="1356"/>
      <c r="HJ192" s="1714">
        <f>HJ21/HJ183</f>
        <v>8.8407090268886037</v>
      </c>
      <c r="HK192" s="1356"/>
      <c r="HL192" s="1714">
        <f>HL21/HL183</f>
        <v>5.0428520228324913</v>
      </c>
      <c r="HM192" s="1356"/>
      <c r="HN192" s="1714">
        <f>HN21/HN183</f>
        <v>4.9311247723132974</v>
      </c>
      <c r="HO192" s="1356"/>
      <c r="HP192" s="2031">
        <f>HP21/HP183</f>
        <v>3.9001855920721109</v>
      </c>
      <c r="HR192" s="1714">
        <f>HR21/HR183</f>
        <v>14.817755472382895</v>
      </c>
      <c r="HS192" s="1356"/>
      <c r="HT192" s="2031">
        <f>HT21/HT183</f>
        <v>3.4845659328783092</v>
      </c>
      <c r="HV192" s="2031">
        <f>HV21/HV183</f>
        <v>2.2608068753189015</v>
      </c>
      <c r="HX192" s="2031">
        <f>HX21/HX183</f>
        <v>4.363115641021917</v>
      </c>
      <c r="HZ192" s="2031">
        <f>HZ21/HZ183</f>
        <v>6.7709100879182991</v>
      </c>
      <c r="IB192" s="1714">
        <f>IB21/IB183</f>
        <v>4.5095208280737191</v>
      </c>
      <c r="IC192" s="1356"/>
      <c r="ID192" s="2031">
        <f>ID21/ID183</f>
        <v>7.0699879227053142</v>
      </c>
      <c r="IF192" s="2031">
        <f>IF21/IF183</f>
        <v>7.1399330486335977</v>
      </c>
    </row>
    <row r="193" spans="1:241" ht="16.2" thickBot="1">
      <c r="A193" s="1149"/>
      <c r="B193" s="1149"/>
      <c r="C193" s="1149"/>
      <c r="D193" s="1149"/>
      <c r="E193" s="1143"/>
      <c r="F193" s="1406"/>
      <c r="G193" s="1356"/>
      <c r="H193" s="1406"/>
      <c r="I193" s="1356"/>
      <c r="J193" s="1406"/>
      <c r="K193" s="1356"/>
      <c r="L193" s="1406"/>
      <c r="M193" s="1356"/>
      <c r="N193" s="1406"/>
      <c r="O193" s="1356"/>
      <c r="P193" s="1406"/>
      <c r="Q193" s="1356"/>
      <c r="T193" s="1406"/>
      <c r="U193" s="1356"/>
      <c r="V193" s="1406"/>
      <c r="W193" s="1356"/>
      <c r="X193" s="1406"/>
      <c r="Y193" s="1356"/>
      <c r="Z193" s="1406"/>
      <c r="AA193" s="1356"/>
      <c r="AB193" s="1406"/>
      <c r="AC193" s="1356"/>
      <c r="AD193" s="1406"/>
      <c r="AE193" s="1356"/>
      <c r="AF193" s="1406"/>
      <c r="AG193" s="1356"/>
      <c r="AH193" s="1406"/>
      <c r="AI193" s="1356"/>
      <c r="AJ193" s="1406"/>
      <c r="AK193" s="1356"/>
      <c r="AL193" s="1406"/>
      <c r="AM193" s="1356"/>
      <c r="AN193" s="1406"/>
      <c r="AO193" s="1356"/>
      <c r="AP193" s="1406"/>
      <c r="AQ193" s="1356"/>
      <c r="AR193" s="1406"/>
      <c r="AS193" s="1356"/>
      <c r="AT193" s="1406"/>
      <c r="AU193" s="1356"/>
      <c r="AV193" s="1406"/>
      <c r="AW193" s="1356"/>
      <c r="AX193" s="1406"/>
      <c r="AY193" s="1356"/>
      <c r="AZ193" s="1406"/>
      <c r="BA193" s="1356"/>
      <c r="BB193" s="1406"/>
      <c r="BC193" s="1356"/>
      <c r="BD193" s="1406"/>
      <c r="BE193" s="1356"/>
      <c r="BF193" s="1406"/>
      <c r="BG193" s="1356"/>
      <c r="BH193" s="1406"/>
      <c r="BI193" s="1356"/>
      <c r="BJ193" s="1406"/>
      <c r="BK193" s="1356"/>
      <c r="BL193" s="1406"/>
      <c r="BM193" s="1356"/>
      <c r="BN193" s="1406"/>
      <c r="BO193" s="1356"/>
      <c r="BP193" s="1406"/>
      <c r="BQ193" s="1356"/>
      <c r="BR193" s="1406"/>
      <c r="BS193" s="1356"/>
      <c r="BT193" s="1406"/>
      <c r="BU193" s="1356"/>
      <c r="BV193" s="1406"/>
      <c r="BW193" s="1356"/>
      <c r="BX193" s="1406"/>
      <c r="BY193" s="1356"/>
      <c r="BZ193" s="1406"/>
      <c r="CA193" s="1356"/>
      <c r="CB193" s="1406"/>
      <c r="CC193" s="1356"/>
      <c r="CD193" s="1406"/>
      <c r="CE193" s="1356"/>
      <c r="CF193" s="1406"/>
      <c r="CG193" s="1356"/>
      <c r="CH193" s="1406"/>
      <c r="CI193" s="1356"/>
      <c r="CJ193" s="1406"/>
      <c r="CK193" s="1356"/>
      <c r="CL193" s="1406"/>
      <c r="CM193" s="1356"/>
      <c r="CN193" s="1406"/>
      <c r="CO193" s="1356"/>
      <c r="CP193" s="1406"/>
      <c r="CQ193" s="1356"/>
      <c r="CR193" s="1406"/>
      <c r="CS193" s="1356"/>
      <c r="CT193" s="1406"/>
      <c r="CU193" s="1356"/>
      <c r="CV193" s="1406"/>
      <c r="CW193" s="1356"/>
      <c r="CX193" s="1406"/>
      <c r="CY193" s="1356"/>
      <c r="CZ193" s="1406"/>
      <c r="DA193" s="1356"/>
      <c r="DB193" s="1406"/>
      <c r="DC193" s="1356"/>
      <c r="DD193" s="1406"/>
      <c r="DE193" s="1356"/>
      <c r="DF193" s="1406"/>
      <c r="DG193" s="1356"/>
      <c r="DH193" s="1406"/>
      <c r="DI193" s="1356"/>
      <c r="DJ193" s="1406"/>
      <c r="DK193" s="1356"/>
      <c r="DL193" s="1406"/>
      <c r="DM193" s="1356"/>
      <c r="DN193" s="1406"/>
      <c r="DO193" s="1356"/>
      <c r="DP193" s="1406"/>
      <c r="DQ193" s="1356"/>
      <c r="DR193" s="1406"/>
      <c r="DS193" s="1356"/>
      <c r="DT193" s="1406"/>
      <c r="DU193" s="1356"/>
      <c r="DV193" s="1406"/>
      <c r="DW193" s="1356"/>
      <c r="DX193" s="1406"/>
      <c r="DY193" s="1356"/>
      <c r="DZ193" s="1406"/>
      <c r="EA193" s="1356"/>
      <c r="EB193" s="1406"/>
      <c r="EC193" s="1356"/>
      <c r="ED193" s="1406"/>
      <c r="EE193" s="1356"/>
      <c r="EF193" s="1406"/>
      <c r="EG193" s="1356"/>
      <c r="EH193" s="1406"/>
      <c r="EI193" s="1356"/>
      <c r="EJ193" s="1406"/>
      <c r="EK193" s="1356"/>
      <c r="EL193" s="1406"/>
      <c r="EM193" s="1356"/>
      <c r="EN193" s="1406"/>
      <c r="EO193" s="1356"/>
      <c r="EP193" s="1406"/>
      <c r="EQ193" s="1356"/>
      <c r="ER193" s="1406"/>
      <c r="ES193" s="1356"/>
      <c r="ET193" s="1406"/>
      <c r="EU193" s="1356"/>
      <c r="EV193" s="1406"/>
      <c r="EW193" s="1356"/>
      <c r="EX193" s="1406"/>
      <c r="EY193" s="1356"/>
      <c r="EZ193" s="1406"/>
      <c r="FA193" s="1356"/>
      <c r="FB193" s="1406"/>
      <c r="FC193" s="1356"/>
      <c r="FD193" s="1406"/>
      <c r="FE193" s="1356"/>
      <c r="FF193" s="1406"/>
      <c r="FG193" s="1356"/>
      <c r="FH193" s="1406"/>
      <c r="FI193" s="1356"/>
      <c r="FJ193" s="1406"/>
      <c r="FK193" s="1356"/>
      <c r="FL193" s="1406"/>
      <c r="FM193" s="1356"/>
      <c r="FN193" s="1406"/>
      <c r="FO193" s="1356"/>
      <c r="FP193" s="1406"/>
      <c r="FQ193" s="1356"/>
      <c r="FR193" s="1406"/>
      <c r="FS193" s="1356"/>
      <c r="FT193" s="1406"/>
      <c r="FU193" s="1356"/>
      <c r="FV193" s="1406"/>
      <c r="FW193" s="1356"/>
      <c r="FX193" s="1406"/>
      <c r="FY193" s="1356"/>
      <c r="FZ193" s="1406"/>
      <c r="GA193" s="1356"/>
      <c r="GB193" s="1406"/>
      <c r="GC193" s="1356"/>
      <c r="GD193" s="1406"/>
      <c r="GE193" s="1356"/>
      <c r="GF193" s="1406"/>
      <c r="GG193" s="1356"/>
      <c r="GH193" s="1406"/>
      <c r="GI193" s="1356"/>
      <c r="GJ193" s="1406"/>
      <c r="GK193" s="1356"/>
      <c r="GL193" s="1406"/>
      <c r="GM193" s="1356"/>
      <c r="GN193" s="1406"/>
      <c r="GO193" s="1356"/>
      <c r="GP193" s="1406"/>
      <c r="GQ193" s="1356"/>
      <c r="GR193" s="1406"/>
      <c r="GS193" s="1356"/>
      <c r="GT193" s="1406"/>
      <c r="GU193" s="1356"/>
      <c r="GV193" s="1406"/>
      <c r="GW193" s="1356"/>
      <c r="GX193" s="1406"/>
      <c r="GY193" s="1356"/>
      <c r="GZ193" s="1406"/>
      <c r="HA193" s="1356"/>
      <c r="HB193" s="1406"/>
      <c r="HC193" s="1356"/>
      <c r="HD193" s="1406"/>
      <c r="HE193" s="1356"/>
      <c r="HH193" s="1406"/>
      <c r="HI193" s="1356"/>
      <c r="HJ193" s="1406"/>
      <c r="HK193" s="1356"/>
      <c r="HL193" s="1406"/>
      <c r="HM193" s="1356"/>
      <c r="HN193" s="1406"/>
      <c r="HO193" s="1356"/>
      <c r="HR193" s="1406"/>
      <c r="HS193" s="1356"/>
      <c r="IB193" s="1406"/>
      <c r="IC193" s="1356"/>
    </row>
    <row r="194" spans="1:241" ht="21.6" thickBot="1">
      <c r="A194" s="1149"/>
      <c r="B194" s="1147" t="s">
        <v>67</v>
      </c>
      <c r="C194" s="1148"/>
      <c r="D194" s="1148"/>
      <c r="E194" s="1148"/>
      <c r="F194" s="1932"/>
      <c r="G194" s="1356"/>
      <c r="H194" s="1538"/>
      <c r="I194" s="1356"/>
      <c r="J194" s="1538"/>
      <c r="K194" s="1356"/>
      <c r="L194" s="1538"/>
      <c r="M194" s="1356"/>
      <c r="N194" s="1538"/>
      <c r="O194" s="1356"/>
      <c r="P194" s="1538"/>
      <c r="Q194" s="1356"/>
      <c r="R194" s="1538"/>
      <c r="T194" s="1538"/>
      <c r="U194" s="1356"/>
      <c r="V194" s="1538"/>
      <c r="W194" s="1356"/>
      <c r="X194" s="1538"/>
      <c r="Y194" s="1356"/>
      <c r="Z194" s="1538"/>
      <c r="AA194" s="1356"/>
      <c r="AB194" s="1538"/>
      <c r="AC194" s="1356"/>
      <c r="AD194" s="1538"/>
      <c r="AE194" s="1356"/>
      <c r="AF194" s="1538"/>
      <c r="AG194" s="1356"/>
      <c r="AH194" s="1538"/>
      <c r="AI194" s="1356"/>
      <c r="AJ194" s="1538"/>
      <c r="AK194" s="1356"/>
      <c r="AL194" s="1538"/>
      <c r="AM194" s="1356"/>
      <c r="AN194" s="1538"/>
      <c r="AO194" s="1356"/>
      <c r="AP194" s="1538"/>
      <c r="AQ194" s="1356"/>
      <c r="AR194" s="1538"/>
      <c r="AS194" s="1356"/>
      <c r="AT194" s="1538"/>
      <c r="AU194" s="1356"/>
      <c r="AV194" s="1538"/>
      <c r="AW194" s="1356"/>
      <c r="AX194" s="1538"/>
      <c r="AY194" s="1356"/>
      <c r="AZ194" s="1538"/>
      <c r="BA194" s="1356"/>
      <c r="BB194" s="1538"/>
      <c r="BC194" s="1356"/>
      <c r="BD194" s="1538"/>
      <c r="BE194" s="1356"/>
      <c r="BF194" s="1538"/>
      <c r="BG194" s="1356"/>
      <c r="BH194" s="1538"/>
      <c r="BI194" s="1356"/>
      <c r="BJ194" s="1538"/>
      <c r="BK194" s="1356"/>
      <c r="BL194" s="1538"/>
      <c r="BM194" s="1356"/>
      <c r="BN194" s="1538"/>
      <c r="BO194" s="1356"/>
      <c r="BP194" s="1538"/>
      <c r="BQ194" s="1356"/>
      <c r="BR194" s="1538"/>
      <c r="BS194" s="1356"/>
      <c r="BT194" s="1538"/>
      <c r="BU194" s="1356"/>
      <c r="BV194" s="1538"/>
      <c r="BW194" s="1356"/>
      <c r="BX194" s="1538"/>
      <c r="BY194" s="1356"/>
      <c r="BZ194" s="1538"/>
      <c r="CA194" s="1356"/>
      <c r="CB194" s="1538"/>
      <c r="CC194" s="1356"/>
      <c r="CD194" s="1538"/>
      <c r="CE194" s="1356"/>
      <c r="CF194" s="1538"/>
      <c r="CG194" s="1356"/>
      <c r="CH194" s="1538"/>
      <c r="CI194" s="1356"/>
      <c r="CJ194" s="1538"/>
      <c r="CK194" s="1356"/>
      <c r="CL194" s="1538"/>
      <c r="CM194" s="1356"/>
      <c r="CN194" s="1538"/>
      <c r="CO194" s="1356"/>
      <c r="CP194" s="1538"/>
      <c r="CQ194" s="1356"/>
      <c r="CR194" s="1538"/>
      <c r="CS194" s="1356"/>
      <c r="CT194" s="1538"/>
      <c r="CU194" s="1356"/>
      <c r="CV194" s="1538"/>
      <c r="CW194" s="1356"/>
      <c r="CX194" s="1538"/>
      <c r="CY194" s="1356"/>
      <c r="CZ194" s="1538"/>
      <c r="DA194" s="1356"/>
      <c r="DB194" s="1538"/>
      <c r="DC194" s="1356"/>
      <c r="DD194" s="1538"/>
      <c r="DE194" s="1356"/>
      <c r="DF194" s="1538"/>
      <c r="DG194" s="1356"/>
      <c r="DH194" s="1538"/>
      <c r="DI194" s="1356"/>
      <c r="DJ194" s="1538"/>
      <c r="DK194" s="1356"/>
      <c r="DL194" s="1538"/>
      <c r="DM194" s="1356"/>
      <c r="DN194" s="1538"/>
      <c r="DO194" s="1356"/>
      <c r="DP194" s="1538"/>
      <c r="DQ194" s="1356"/>
      <c r="DR194" s="1538"/>
      <c r="DS194" s="1356"/>
      <c r="DT194" s="1538"/>
      <c r="DU194" s="1356"/>
      <c r="DV194" s="1538"/>
      <c r="DW194" s="1356"/>
      <c r="DX194" s="1538"/>
      <c r="DY194" s="1356"/>
      <c r="DZ194" s="1538"/>
      <c r="EA194" s="1356"/>
      <c r="EB194" s="1538"/>
      <c r="EC194" s="1356"/>
      <c r="ED194" s="1538"/>
      <c r="EE194" s="1356"/>
      <c r="EF194" s="1538"/>
      <c r="EG194" s="1356"/>
      <c r="EH194" s="1538"/>
      <c r="EI194" s="1356"/>
      <c r="EJ194" s="1538"/>
      <c r="EK194" s="1356"/>
      <c r="EL194" s="1538"/>
      <c r="EM194" s="1356"/>
      <c r="EN194" s="1538"/>
      <c r="EO194" s="1356"/>
      <c r="EP194" s="1538"/>
      <c r="EQ194" s="1356"/>
      <c r="ER194" s="1538"/>
      <c r="ES194" s="1356"/>
      <c r="ET194" s="1538"/>
      <c r="EU194" s="1356"/>
      <c r="EV194" s="1538"/>
      <c r="EW194" s="1356"/>
      <c r="EX194" s="1538"/>
      <c r="EY194" s="1356"/>
      <c r="EZ194" s="1538"/>
      <c r="FA194" s="1356"/>
      <c r="FB194" s="1538"/>
      <c r="FC194" s="1356"/>
      <c r="FD194" s="1538"/>
      <c r="FE194" s="1356"/>
      <c r="FF194" s="1538"/>
      <c r="FG194" s="1356"/>
      <c r="FH194" s="1538"/>
      <c r="FI194" s="1356"/>
      <c r="FJ194" s="1538"/>
      <c r="FK194" s="1356"/>
      <c r="FL194" s="1538"/>
      <c r="FM194" s="1356"/>
      <c r="FN194" s="1538"/>
      <c r="FO194" s="1356"/>
      <c r="FP194" s="1538"/>
      <c r="FQ194" s="1356"/>
      <c r="FR194" s="1538"/>
      <c r="FS194" s="1356"/>
      <c r="FT194" s="1538"/>
      <c r="FU194" s="1356"/>
      <c r="FV194" s="1538"/>
      <c r="FW194" s="1356"/>
      <c r="FX194" s="1538"/>
      <c r="FY194" s="1356"/>
      <c r="FZ194" s="1538"/>
      <c r="GA194" s="1356"/>
      <c r="GB194" s="1538"/>
      <c r="GC194" s="1356"/>
      <c r="GD194" s="1538"/>
      <c r="GE194" s="1356"/>
      <c r="GF194" s="1538"/>
      <c r="GG194" s="1356"/>
      <c r="GH194" s="1538"/>
      <c r="GI194" s="1356"/>
      <c r="GJ194" s="1538"/>
      <c r="GK194" s="1356"/>
      <c r="GL194" s="1538"/>
      <c r="GM194" s="1356"/>
      <c r="GN194" s="1538"/>
      <c r="GO194" s="1356"/>
      <c r="GP194" s="1538"/>
      <c r="GQ194" s="1356"/>
      <c r="GR194" s="1538"/>
      <c r="GS194" s="1356"/>
      <c r="GT194" s="1538"/>
      <c r="GU194" s="1356"/>
      <c r="GV194" s="1538"/>
      <c r="GW194" s="1356"/>
      <c r="GX194" s="1538"/>
      <c r="GY194" s="1356"/>
      <c r="GZ194" s="1538"/>
      <c r="HA194" s="1356"/>
      <c r="HB194" s="1538"/>
      <c r="HC194" s="1356"/>
      <c r="HD194" s="1538"/>
      <c r="HE194" s="1356"/>
      <c r="HF194" s="2076"/>
      <c r="HH194" s="1538"/>
      <c r="HI194" s="1356"/>
      <c r="HJ194" s="1538"/>
      <c r="HK194" s="1356"/>
      <c r="HL194" s="1538"/>
      <c r="HM194" s="1356"/>
      <c r="HN194" s="1538"/>
      <c r="HO194" s="1356"/>
      <c r="HP194" s="2077"/>
      <c r="HR194" s="1538"/>
      <c r="HS194" s="1356"/>
      <c r="HT194" s="1538"/>
      <c r="HV194" s="1538"/>
      <c r="HX194" s="1538"/>
      <c r="HZ194" s="1538"/>
      <c r="IB194" s="1538"/>
      <c r="IC194" s="1356"/>
      <c r="ID194" s="1538"/>
      <c r="IF194" s="1005"/>
    </row>
    <row r="195" spans="1:241">
      <c r="A195" s="1149"/>
      <c r="B195" s="1149"/>
      <c r="C195" s="1149"/>
      <c r="D195" s="1149"/>
      <c r="E195" s="1143"/>
      <c r="F195" s="1406"/>
      <c r="G195" s="1356"/>
      <c r="H195" s="1406"/>
      <c r="I195" s="1356"/>
      <c r="J195" s="1406"/>
      <c r="K195" s="1356"/>
      <c r="L195" s="1406"/>
      <c r="M195" s="1356"/>
      <c r="N195" s="1406"/>
      <c r="O195" s="1356"/>
      <c r="P195" s="1406"/>
      <c r="Q195" s="1356"/>
      <c r="T195" s="1406"/>
      <c r="U195" s="1356"/>
      <c r="V195" s="1406"/>
      <c r="W195" s="1356"/>
      <c r="X195" s="1406"/>
      <c r="Y195" s="1356"/>
      <c r="Z195" s="1406"/>
      <c r="AA195" s="1356"/>
      <c r="AB195" s="1406"/>
      <c r="AC195" s="1356"/>
      <c r="AD195" s="1406"/>
      <c r="AE195" s="1356"/>
      <c r="AF195" s="1406"/>
      <c r="AG195" s="1356"/>
      <c r="AH195" s="1406"/>
      <c r="AI195" s="1356"/>
      <c r="AJ195" s="1406"/>
      <c r="AK195" s="1356"/>
      <c r="AL195" s="1406"/>
      <c r="AM195" s="1356"/>
      <c r="AN195" s="1406"/>
      <c r="AO195" s="1356"/>
      <c r="AP195" s="1406"/>
      <c r="AQ195" s="1356"/>
      <c r="AR195" s="1406"/>
      <c r="AS195" s="1356"/>
      <c r="AT195" s="1406"/>
      <c r="AU195" s="1356"/>
      <c r="AV195" s="1406"/>
      <c r="AW195" s="1356"/>
      <c r="AX195" s="1406"/>
      <c r="AY195" s="1356"/>
      <c r="AZ195" s="1406"/>
      <c r="BA195" s="1356"/>
      <c r="BB195" s="1406"/>
      <c r="BC195" s="1356"/>
      <c r="BD195" s="1406"/>
      <c r="BE195" s="1356"/>
      <c r="BF195" s="1406"/>
      <c r="BG195" s="1356"/>
      <c r="BH195" s="1406"/>
      <c r="BI195" s="1356"/>
      <c r="BJ195" s="1406"/>
      <c r="BK195" s="1356"/>
      <c r="BL195" s="1406"/>
      <c r="BM195" s="1356"/>
      <c r="BN195" s="1406"/>
      <c r="BO195" s="1356"/>
      <c r="BP195" s="1406"/>
      <c r="BQ195" s="1356"/>
      <c r="BR195" s="1406"/>
      <c r="BS195" s="1356"/>
      <c r="BT195" s="1406"/>
      <c r="BU195" s="1356"/>
      <c r="BV195" s="1406"/>
      <c r="BW195" s="1356"/>
      <c r="BX195" s="1406"/>
      <c r="BY195" s="1356"/>
      <c r="BZ195" s="1406"/>
      <c r="CA195" s="1356"/>
      <c r="CB195" s="1406"/>
      <c r="CC195" s="1356"/>
      <c r="CD195" s="1406"/>
      <c r="CE195" s="1356"/>
      <c r="CF195" s="1406"/>
      <c r="CG195" s="1356"/>
      <c r="CH195" s="1406"/>
      <c r="CI195" s="1356"/>
      <c r="CJ195" s="1406"/>
      <c r="CK195" s="1356"/>
      <c r="CL195" s="1406"/>
      <c r="CM195" s="1356"/>
      <c r="CN195" s="1406"/>
      <c r="CO195" s="1356"/>
      <c r="CP195" s="1406"/>
      <c r="CQ195" s="1356"/>
      <c r="CR195" s="1406"/>
      <c r="CS195" s="1356"/>
      <c r="CT195" s="1406"/>
      <c r="CU195" s="1356"/>
      <c r="CV195" s="1406"/>
      <c r="CW195" s="1356"/>
      <c r="CX195" s="1406"/>
      <c r="CY195" s="1356"/>
      <c r="CZ195" s="1406"/>
      <c r="DA195" s="1356"/>
      <c r="DB195" s="1406"/>
      <c r="DC195" s="1356"/>
      <c r="DD195" s="1406"/>
      <c r="DE195" s="1356"/>
      <c r="DF195" s="1406"/>
      <c r="DG195" s="1356"/>
      <c r="DH195" s="1406"/>
      <c r="DI195" s="1356"/>
      <c r="DJ195" s="1406"/>
      <c r="DK195" s="1356"/>
      <c r="DL195" s="1406"/>
      <c r="DM195" s="1356"/>
      <c r="DN195" s="1406"/>
      <c r="DO195" s="1356"/>
      <c r="DP195" s="1406"/>
      <c r="DQ195" s="1356"/>
      <c r="DR195" s="1406"/>
      <c r="DS195" s="1356"/>
      <c r="DT195" s="1406"/>
      <c r="DU195" s="1356"/>
      <c r="DV195" s="1406"/>
      <c r="DW195" s="1356"/>
      <c r="DX195" s="1406"/>
      <c r="DY195" s="1356"/>
      <c r="DZ195" s="1406"/>
      <c r="EA195" s="1356"/>
      <c r="EB195" s="1406"/>
      <c r="EC195" s="1356"/>
      <c r="ED195" s="1406"/>
      <c r="EE195" s="1356"/>
      <c r="EF195" s="1406"/>
      <c r="EG195" s="1356"/>
      <c r="EH195" s="1406"/>
      <c r="EI195" s="1356"/>
      <c r="EJ195" s="1406"/>
      <c r="EK195" s="1356"/>
      <c r="EL195" s="1406"/>
      <c r="EM195" s="1356"/>
      <c r="EN195" s="1406"/>
      <c r="EO195" s="1356"/>
      <c r="EP195" s="1406"/>
      <c r="EQ195" s="1356"/>
      <c r="ER195" s="1406"/>
      <c r="ES195" s="1356"/>
      <c r="ET195" s="1406"/>
      <c r="EU195" s="1356"/>
      <c r="EV195" s="1406"/>
      <c r="EW195" s="1356"/>
      <c r="EX195" s="1406"/>
      <c r="EY195" s="1356"/>
      <c r="EZ195" s="1406"/>
      <c r="FA195" s="1356"/>
      <c r="FB195" s="1406"/>
      <c r="FC195" s="1356"/>
      <c r="FD195" s="1406"/>
      <c r="FE195" s="1356"/>
      <c r="FF195" s="1406"/>
      <c r="FG195" s="1356"/>
      <c r="FH195" s="1406"/>
      <c r="FI195" s="1356"/>
      <c r="FJ195" s="1406"/>
      <c r="FK195" s="1356"/>
      <c r="FL195" s="1406"/>
      <c r="FM195" s="1356"/>
      <c r="FN195" s="1406"/>
      <c r="FO195" s="1356"/>
      <c r="FP195" s="1406"/>
      <c r="FQ195" s="1356"/>
      <c r="FR195" s="1406"/>
      <c r="FS195" s="1356"/>
      <c r="FT195" s="1406"/>
      <c r="FU195" s="1356"/>
      <c r="FV195" s="1406"/>
      <c r="FW195" s="1356"/>
      <c r="FX195" s="1406"/>
      <c r="FY195" s="1356"/>
      <c r="FZ195" s="1406"/>
      <c r="GA195" s="1356"/>
      <c r="GB195" s="1406"/>
      <c r="GC195" s="1356"/>
      <c r="GD195" s="1406"/>
      <c r="GE195" s="1356"/>
      <c r="GF195" s="1406"/>
      <c r="GG195" s="1356"/>
      <c r="GH195" s="1406"/>
      <c r="GI195" s="1356"/>
      <c r="GJ195" s="1406"/>
      <c r="GK195" s="1356"/>
      <c r="GL195" s="1406"/>
      <c r="GM195" s="1356"/>
      <c r="GN195" s="1406"/>
      <c r="GO195" s="1356"/>
      <c r="GP195" s="1406"/>
      <c r="GQ195" s="1356"/>
      <c r="GR195" s="1406"/>
      <c r="GS195" s="1356"/>
      <c r="GT195" s="1406"/>
      <c r="GU195" s="1356"/>
      <c r="GV195" s="1406"/>
      <c r="GW195" s="1356"/>
      <c r="GX195" s="1406"/>
      <c r="GY195" s="1356"/>
      <c r="GZ195" s="1406"/>
      <c r="HA195" s="1356"/>
      <c r="HB195" s="1406"/>
      <c r="HC195" s="1356"/>
      <c r="HD195" s="1406"/>
      <c r="HE195" s="1356"/>
      <c r="HH195" s="1406"/>
      <c r="HI195" s="1356"/>
      <c r="HJ195" s="1406"/>
      <c r="HK195" s="1356"/>
      <c r="HL195" s="1406"/>
      <c r="HM195" s="1356"/>
      <c r="HN195" s="1406"/>
      <c r="HO195" s="1356"/>
      <c r="HR195" s="1406"/>
      <c r="HS195" s="1356"/>
      <c r="IB195" s="1406"/>
      <c r="IC195" s="1356"/>
    </row>
    <row r="196" spans="1:241">
      <c r="A196" s="1149"/>
      <c r="B196" s="1149" t="s">
        <v>92</v>
      </c>
      <c r="C196" s="1149"/>
      <c r="D196" s="1149"/>
      <c r="E196" s="1143"/>
      <c r="F196" s="1702">
        <f>IF(F72&gt;0,1,0)</f>
        <v>1</v>
      </c>
      <c r="G196" s="1356"/>
      <c r="H196" s="1702">
        <f>IF(H72&gt;0,1,0)</f>
        <v>1</v>
      </c>
      <c r="I196" s="1356"/>
      <c r="J196" s="1702">
        <f>IF(J72&gt;0,1,0)</f>
        <v>1</v>
      </c>
      <c r="K196" s="1356"/>
      <c r="L196" s="1702">
        <f>IF(L72&gt;0,1,0)</f>
        <v>0</v>
      </c>
      <c r="M196" s="1356"/>
      <c r="N196" s="1702">
        <f>IF(N72&gt;0,1,0)</f>
        <v>0</v>
      </c>
      <c r="O196" s="1356"/>
      <c r="P196" s="1702">
        <f>IF(P72&gt;0,1,0)</f>
        <v>0</v>
      </c>
      <c r="Q196" s="1356"/>
      <c r="R196" s="1702">
        <f>IF(R72&gt;0,1,0)</f>
        <v>1</v>
      </c>
      <c r="T196" s="1702">
        <f>IF(T72&gt;0,1,0)</f>
        <v>1</v>
      </c>
      <c r="U196" s="1356"/>
      <c r="V196" s="1702">
        <f>IF(V72&gt;0,1,0)</f>
        <v>1</v>
      </c>
      <c r="W196" s="1356"/>
      <c r="X196" s="1702">
        <f>IF(X72&gt;0,1,0)</f>
        <v>0</v>
      </c>
      <c r="Y196" s="1356"/>
      <c r="Z196" s="1702">
        <f>IF(Z72&gt;0,1,0)</f>
        <v>1</v>
      </c>
      <c r="AA196" s="1356"/>
      <c r="AB196" s="1702">
        <f>IF(AB72&gt;0,1,0)</f>
        <v>0</v>
      </c>
      <c r="AC196" s="1356"/>
      <c r="AD196" s="1702">
        <f>IF(AD72&gt;0,1,0)</f>
        <v>1</v>
      </c>
      <c r="AE196" s="1356"/>
      <c r="AF196" s="1702">
        <f>IF(AF72&gt;0,1,0)</f>
        <v>0</v>
      </c>
      <c r="AG196" s="1356"/>
      <c r="AH196" s="1702">
        <f>IF(AH72&gt;0,1,0)</f>
        <v>0</v>
      </c>
      <c r="AI196" s="1356"/>
      <c r="AJ196" s="1702">
        <f>IF(AJ72&gt;0,1,0)</f>
        <v>0</v>
      </c>
      <c r="AK196" s="1356"/>
      <c r="AL196" s="1702">
        <f>IF(AL72&gt;0,1,0)</f>
        <v>0</v>
      </c>
      <c r="AM196" s="1356"/>
      <c r="AN196" s="1702">
        <f>IF(AN72&gt;0,1,0)</f>
        <v>0</v>
      </c>
      <c r="AO196" s="1356"/>
      <c r="AP196" s="1702">
        <f>IF(AP72&gt;0,1,0)</f>
        <v>0</v>
      </c>
      <c r="AQ196" s="1356"/>
      <c r="AR196" s="1702">
        <f>IF(AR72&gt;0,1,0)</f>
        <v>1</v>
      </c>
      <c r="AS196" s="1356"/>
      <c r="AT196" s="1702">
        <f>IF(AT72&gt;0,1,0)</f>
        <v>1</v>
      </c>
      <c r="AU196" s="1356"/>
      <c r="AV196" s="1702">
        <f>IF(AV72&gt;0,1,0)</f>
        <v>1</v>
      </c>
      <c r="AW196" s="1356"/>
      <c r="AX196" s="1702">
        <f>IF(AX72&gt;0,1,0)</f>
        <v>1</v>
      </c>
      <c r="AY196" s="1356"/>
      <c r="AZ196" s="1702">
        <f>IF(AZ72&gt;0,1,0)</f>
        <v>1</v>
      </c>
      <c r="BA196" s="1356"/>
      <c r="BB196" s="1702">
        <f>IF(BB72&gt;0,1,0)</f>
        <v>0</v>
      </c>
      <c r="BC196" s="1356"/>
      <c r="BD196" s="1702">
        <f>IF(BD72&gt;0,1,0)</f>
        <v>0</v>
      </c>
      <c r="BE196" s="1356"/>
      <c r="BF196" s="1702">
        <f>IF(BF72&gt;0,1,0)</f>
        <v>1</v>
      </c>
      <c r="BG196" s="1356"/>
      <c r="BH196" s="1702">
        <f>IF(BH72&gt;0,1,0)</f>
        <v>1</v>
      </c>
      <c r="BI196" s="1356"/>
      <c r="BJ196" s="1702">
        <f>IF(BJ72&gt;0,1,0)</f>
        <v>0</v>
      </c>
      <c r="BK196" s="1356"/>
      <c r="BL196" s="1702">
        <f>IF(BL72&gt;0,1,0)</f>
        <v>1</v>
      </c>
      <c r="BM196" s="1356"/>
      <c r="BN196" s="1702">
        <f>IF(BN72&gt;0,1,0)</f>
        <v>0</v>
      </c>
      <c r="BO196" s="1356"/>
      <c r="BP196" s="1702">
        <f>IF(BP72&gt;0,1,0)</f>
        <v>1</v>
      </c>
      <c r="BQ196" s="1356"/>
      <c r="BR196" s="1702">
        <f>IF(BR72&gt;0,1,0)</f>
        <v>0</v>
      </c>
      <c r="BS196" s="1356"/>
      <c r="BT196" s="1702">
        <f>IF(BT72&gt;0,1,0)</f>
        <v>0</v>
      </c>
      <c r="BU196" s="1356"/>
      <c r="BV196" s="1702">
        <f>IF(BV72&gt;0,1,0)</f>
        <v>1</v>
      </c>
      <c r="BW196" s="1356"/>
      <c r="BX196" s="1702">
        <f>IF(BX72&gt;0,1,0)</f>
        <v>1</v>
      </c>
      <c r="BY196" s="1356"/>
      <c r="BZ196" s="1702">
        <f>IF(BZ72&gt;0,1,0)</f>
        <v>0</v>
      </c>
      <c r="CA196" s="1356"/>
      <c r="CB196" s="1702">
        <f>IF(CB72&gt;0,1,0)</f>
        <v>0</v>
      </c>
      <c r="CC196" s="1356"/>
      <c r="CD196" s="1702">
        <f>IF(CD72&gt;0,1,0)</f>
        <v>1</v>
      </c>
      <c r="CE196" s="1356"/>
      <c r="CF196" s="1702">
        <v>1</v>
      </c>
      <c r="CG196" s="1356"/>
      <c r="CH196" s="1702">
        <v>0</v>
      </c>
      <c r="CI196" s="1356"/>
      <c r="CJ196" s="1702">
        <v>1</v>
      </c>
      <c r="CK196" s="1356"/>
      <c r="CL196" s="1702">
        <v>0</v>
      </c>
      <c r="CM196" s="1356"/>
      <c r="CN196" s="1702">
        <f>IF(CN72&gt;0,1,0)</f>
        <v>0</v>
      </c>
      <c r="CO196" s="1356"/>
      <c r="CP196" s="1702">
        <f>IF(CP72&gt;0,1,0)</f>
        <v>1</v>
      </c>
      <c r="CQ196" s="1356"/>
      <c r="CR196" s="1702">
        <v>0</v>
      </c>
      <c r="CS196" s="1356"/>
      <c r="CT196" s="1702">
        <f>IF(CT72&gt;0,1,0)</f>
        <v>0</v>
      </c>
      <c r="CU196" s="1356"/>
      <c r="CV196" s="1702">
        <f>IF(CV72&gt;0,1,0)</f>
        <v>0</v>
      </c>
      <c r="CW196" s="1356"/>
      <c r="CX196" s="1702">
        <f>IF(CX72&gt;0,1,0)</f>
        <v>1</v>
      </c>
      <c r="CY196" s="1356"/>
      <c r="CZ196" s="1702">
        <v>0</v>
      </c>
      <c r="DA196" s="1356"/>
      <c r="DB196" s="1702">
        <v>0</v>
      </c>
      <c r="DC196" s="1356"/>
      <c r="DD196" s="1702">
        <v>1</v>
      </c>
      <c r="DE196" s="1356"/>
      <c r="DF196" s="1702">
        <v>0</v>
      </c>
      <c r="DG196" s="1356"/>
      <c r="DH196" s="1702">
        <v>0</v>
      </c>
      <c r="DI196" s="1356"/>
      <c r="DJ196" s="1702">
        <v>1</v>
      </c>
      <c r="DK196" s="1356"/>
      <c r="DL196" s="1702">
        <v>1</v>
      </c>
      <c r="DM196" s="1356"/>
      <c r="DN196" s="1702">
        <f>IF(DN72&gt;0,1,0)</f>
        <v>0</v>
      </c>
      <c r="DO196" s="1356"/>
      <c r="DP196" s="1702">
        <f>IF(DP72&gt;0,1,0)</f>
        <v>0</v>
      </c>
      <c r="DQ196" s="1356"/>
      <c r="DR196" s="1702">
        <f>IF(DR72&gt;0,1,0)</f>
        <v>1</v>
      </c>
      <c r="DS196" s="1356"/>
      <c r="DT196" s="1702">
        <f>IF(DT72&gt;0,1,0)</f>
        <v>0</v>
      </c>
      <c r="DU196" s="1356"/>
      <c r="DV196" s="1702">
        <f>IF(DV72&gt;0,1,0)</f>
        <v>1</v>
      </c>
      <c r="DW196" s="1356"/>
      <c r="DX196" s="1702">
        <f>IF(DX72&gt;0,1,0)</f>
        <v>1</v>
      </c>
      <c r="DY196" s="1356"/>
      <c r="DZ196" s="1702">
        <f>IF(DZ72&gt;0,1,0)</f>
        <v>1</v>
      </c>
      <c r="EA196" s="1356"/>
      <c r="EB196" s="1702">
        <f>IF(EB72&gt;0,1,0)</f>
        <v>1</v>
      </c>
      <c r="EC196" s="1356"/>
      <c r="ED196" s="1702">
        <f>IF(ED72&gt;0,1,0)</f>
        <v>0</v>
      </c>
      <c r="EE196" s="1356"/>
      <c r="EF196" s="1702">
        <f>IF(EF72&gt;0,1,0)</f>
        <v>1</v>
      </c>
      <c r="EG196" s="1356"/>
      <c r="EH196" s="1702">
        <f>IF(EH72&gt;0,1,0)</f>
        <v>1</v>
      </c>
      <c r="EI196" s="1356"/>
      <c r="EJ196" s="1702">
        <f>IF(EJ72&gt;0,1,0)</f>
        <v>1</v>
      </c>
      <c r="EK196" s="1356"/>
      <c r="EL196" s="1702">
        <f>IF(EL72&gt;0,1,0)</f>
        <v>0</v>
      </c>
      <c r="EM196" s="1356"/>
      <c r="EN196" s="1702">
        <f>IF(EN72&gt;0,1,0)</f>
        <v>0</v>
      </c>
      <c r="EO196" s="1356"/>
      <c r="EP196" s="1702">
        <f>IF(EP72&gt;0,1,0)</f>
        <v>0</v>
      </c>
      <c r="EQ196" s="1356"/>
      <c r="ER196" s="1702">
        <f>IF(ER72&gt;0,1,0)</f>
        <v>1</v>
      </c>
      <c r="ES196" s="1356"/>
      <c r="ET196" s="1702">
        <f>IF(ET72&gt;0,1,0)</f>
        <v>0</v>
      </c>
      <c r="EU196" s="1356"/>
      <c r="EV196" s="1702">
        <f>IF(EV72&gt;0,1,0)</f>
        <v>0</v>
      </c>
      <c r="EW196" s="1356"/>
      <c r="EX196" s="1702">
        <f>IF(EX72&gt;0,1,0)</f>
        <v>1</v>
      </c>
      <c r="EY196" s="1356"/>
      <c r="EZ196" s="1702">
        <f>IF(EZ72&gt;0,1,0)</f>
        <v>0</v>
      </c>
      <c r="FA196" s="1356"/>
      <c r="FB196" s="1702">
        <f>IF(FB72&gt;0,1,0)</f>
        <v>0</v>
      </c>
      <c r="FC196" s="1356"/>
      <c r="FD196" s="1702">
        <f>IF(FD72&gt;0,1,0)</f>
        <v>0</v>
      </c>
      <c r="FE196" s="1356"/>
      <c r="FF196" s="1702">
        <f>IF(FF72&gt;0,1,0)</f>
        <v>1</v>
      </c>
      <c r="FG196" s="1356"/>
      <c r="FH196" s="1702">
        <f>IF(FH72&gt;0,1,0)</f>
        <v>0</v>
      </c>
      <c r="FI196" s="1356"/>
      <c r="FJ196" s="1702">
        <f>IF(FJ72&gt;0,1,0)</f>
        <v>1</v>
      </c>
      <c r="FK196" s="1356"/>
      <c r="FL196" s="1702">
        <f>IF(FL72&gt;0,1,0)</f>
        <v>1</v>
      </c>
      <c r="FM196" s="1356"/>
      <c r="FN196" s="1702">
        <f>IF(FN72&gt;0,1,0)</f>
        <v>0</v>
      </c>
      <c r="FO196" s="1356"/>
      <c r="FP196" s="1702">
        <f>IF(FP72&gt;0,1,0)</f>
        <v>1</v>
      </c>
      <c r="FQ196" s="1356"/>
      <c r="FR196" s="1702">
        <f>IF(FR72&gt;0,1,0)</f>
        <v>1</v>
      </c>
      <c r="FS196" s="1356"/>
      <c r="FT196" s="1702">
        <f>IF(FT72&gt;0,1,0)</f>
        <v>0</v>
      </c>
      <c r="FU196" s="1356"/>
      <c r="FV196" s="1702">
        <f>IF(FV72&gt;0,1,0)</f>
        <v>1</v>
      </c>
      <c r="FW196" s="1356"/>
      <c r="FX196" s="1702">
        <f>IF(FX72&gt;0,1,0)</f>
        <v>1</v>
      </c>
      <c r="FY196" s="1356"/>
      <c r="FZ196" s="1702">
        <f>IF(FZ72&gt;0,1,0)</f>
        <v>1</v>
      </c>
      <c r="GA196" s="1356"/>
      <c r="GB196" s="1702">
        <f>IF(GB72&gt;0,1,0)</f>
        <v>1</v>
      </c>
      <c r="GC196" s="1356"/>
      <c r="GD196" s="1702">
        <f>IF(GD72&gt;0,1,0)</f>
        <v>1</v>
      </c>
      <c r="GE196" s="1356"/>
      <c r="GF196" s="1702">
        <f>IF(GF72&gt;0,1,0)</f>
        <v>0</v>
      </c>
      <c r="GG196" s="1356"/>
      <c r="GH196" s="1702">
        <f>IF(GH72&gt;0,1,0)</f>
        <v>1</v>
      </c>
      <c r="GI196" s="1356"/>
      <c r="GJ196" s="1702">
        <f>IF(GJ72&gt;0,1,0)</f>
        <v>1</v>
      </c>
      <c r="GK196" s="1356"/>
      <c r="GL196" s="1702">
        <f>IF(GL72&gt;0,1,0)</f>
        <v>1</v>
      </c>
      <c r="GM196" s="1356"/>
      <c r="GN196" s="1702">
        <f>IF(GN72&gt;0,1,0)</f>
        <v>1</v>
      </c>
      <c r="GO196" s="1356"/>
      <c r="GP196" s="1702">
        <f>IF(GP72&gt;0,1,0)</f>
        <v>0</v>
      </c>
      <c r="GQ196" s="1356"/>
      <c r="GR196" s="1702">
        <f>IF(GR72&gt;0,1,0)</f>
        <v>0</v>
      </c>
      <c r="GS196" s="1356"/>
      <c r="GT196" s="1702">
        <f>IF(GT72&gt;0,1,0)</f>
        <v>1</v>
      </c>
      <c r="GU196" s="1356"/>
      <c r="GV196" s="1702">
        <f>IF(GV72&gt;0,1,0)</f>
        <v>1</v>
      </c>
      <c r="GW196" s="1356"/>
      <c r="GX196" s="1702">
        <f>IF(GX72&gt;0,1,0)</f>
        <v>1</v>
      </c>
      <c r="GY196" s="1356"/>
      <c r="GZ196" s="1702">
        <f>IF(GZ72&gt;0,1,0)</f>
        <v>0</v>
      </c>
      <c r="HA196" s="1356"/>
      <c r="HB196" s="1702">
        <f>IF(HB72&gt;0,1,0)</f>
        <v>0</v>
      </c>
      <c r="HC196" s="1356"/>
      <c r="HD196" s="1702">
        <f>IF(HD72&gt;0,1,0)</f>
        <v>0</v>
      </c>
      <c r="HE196" s="1356"/>
      <c r="HF196" s="2018">
        <f>IF(HF72&gt;0,1,0)</f>
        <v>0</v>
      </c>
      <c r="HH196" s="1702">
        <f>IF(HH72&gt;0,1,0)</f>
        <v>0</v>
      </c>
      <c r="HI196" s="1356"/>
      <c r="HJ196" s="1702">
        <f>IF(HJ72&gt;0,1,0)</f>
        <v>0</v>
      </c>
      <c r="HK196" s="1356"/>
      <c r="HL196" s="1702">
        <f>IF(HL72&gt;0,1,0)</f>
        <v>1</v>
      </c>
      <c r="HM196" s="1356"/>
      <c r="HN196" s="1702">
        <f>IF(HN72&gt;0,1,0)</f>
        <v>1</v>
      </c>
      <c r="HO196" s="1356"/>
      <c r="HP196" s="2018">
        <f>IF(HP72&gt;0,1,0)</f>
        <v>0</v>
      </c>
      <c r="HR196" s="1702">
        <f>IF(HR72&gt;0,1,0)</f>
        <v>1</v>
      </c>
      <c r="HS196" s="1356"/>
      <c r="HT196" s="2018">
        <f>IF(HT72&gt;0,1,0)</f>
        <v>1</v>
      </c>
      <c r="HV196" s="2018">
        <f>IF(HV72&gt;0,1,0)</f>
        <v>1</v>
      </c>
      <c r="HX196" s="2018">
        <f>IF(HX72&gt;0,1,0)</f>
        <v>1</v>
      </c>
      <c r="HZ196" s="2018">
        <f>IF(HZ72&gt;0,1,0)</f>
        <v>0</v>
      </c>
      <c r="IB196" s="1702">
        <f>IF(IB72&gt;0,1,0)</f>
        <v>1</v>
      </c>
      <c r="IC196" s="1356"/>
      <c r="ID196" s="2018">
        <f>IF(ID72&gt;0,1,0)</f>
        <v>1</v>
      </c>
      <c r="IF196" s="2018">
        <f>IF(IF72&gt;0,1,0)</f>
        <v>1</v>
      </c>
    </row>
    <row r="197" spans="1:241">
      <c r="A197" s="1149"/>
      <c r="B197" s="1149" t="s">
        <v>1247</v>
      </c>
      <c r="C197" s="1149"/>
      <c r="D197" s="1149"/>
      <c r="E197" s="1143"/>
      <c r="F197" s="1702">
        <f>F72</f>
        <v>720</v>
      </c>
      <c r="G197" s="1356"/>
      <c r="H197" s="1702">
        <f>H72</f>
        <v>1900</v>
      </c>
      <c r="I197" s="1356"/>
      <c r="J197" s="1702">
        <f>J72</f>
        <v>1500</v>
      </c>
      <c r="K197" s="1356"/>
      <c r="L197" s="1702">
        <f>L72</f>
        <v>0</v>
      </c>
      <c r="M197" s="1356"/>
      <c r="N197" s="1702">
        <f>N72</f>
        <v>0</v>
      </c>
      <c r="O197" s="1356"/>
      <c r="P197" s="1702">
        <f>P72</f>
        <v>0</v>
      </c>
      <c r="Q197" s="1356"/>
      <c r="R197" s="1702">
        <f>R72</f>
        <v>1200</v>
      </c>
      <c r="T197" s="1702">
        <f>T72</f>
        <v>500</v>
      </c>
      <c r="U197" s="1356"/>
      <c r="V197" s="1702">
        <f>V72</f>
        <v>600</v>
      </c>
      <c r="W197" s="1356"/>
      <c r="X197" s="1702">
        <f>X72</f>
        <v>0</v>
      </c>
      <c r="Y197" s="1356"/>
      <c r="Z197" s="1702">
        <f>Z72</f>
        <v>1600</v>
      </c>
      <c r="AA197" s="1356"/>
      <c r="AB197" s="1702">
        <f>AB72</f>
        <v>0</v>
      </c>
      <c r="AC197" s="1356"/>
      <c r="AD197" s="1702">
        <f>AD72</f>
        <v>2000</v>
      </c>
      <c r="AE197" s="1356"/>
      <c r="AF197" s="1702">
        <f>AF72</f>
        <v>0</v>
      </c>
      <c r="AG197" s="1356"/>
      <c r="AH197" s="1702">
        <f>AH72</f>
        <v>0</v>
      </c>
      <c r="AI197" s="1356"/>
      <c r="AJ197" s="1702">
        <f>AJ72</f>
        <v>0</v>
      </c>
      <c r="AK197" s="1356"/>
      <c r="AL197" s="1702">
        <f>AL72</f>
        <v>0</v>
      </c>
      <c r="AM197" s="1356"/>
      <c r="AN197" s="1702">
        <f>AN72</f>
        <v>0</v>
      </c>
      <c r="AO197" s="1356"/>
      <c r="AP197" s="1702">
        <f>AP72</f>
        <v>0</v>
      </c>
      <c r="AQ197" s="1356"/>
      <c r="AR197" s="1702">
        <f>AR72</f>
        <v>1000</v>
      </c>
      <c r="AS197" s="1356"/>
      <c r="AT197" s="1702">
        <f>AT72</f>
        <v>900</v>
      </c>
      <c r="AU197" s="1356"/>
      <c r="AV197" s="1702">
        <f>AV72</f>
        <v>1800</v>
      </c>
      <c r="AW197" s="1356"/>
      <c r="AX197" s="1702">
        <f>AX72</f>
        <v>1000</v>
      </c>
      <c r="AY197" s="1356"/>
      <c r="AZ197" s="1702">
        <f>AZ72</f>
        <v>700</v>
      </c>
      <c r="BA197" s="1356"/>
      <c r="BB197" s="1702">
        <f>BB72</f>
        <v>0</v>
      </c>
      <c r="BC197" s="1356"/>
      <c r="BD197" s="1702">
        <f>BD72</f>
        <v>0</v>
      </c>
      <c r="BE197" s="1356"/>
      <c r="BF197" s="1702">
        <f>BF72</f>
        <v>800</v>
      </c>
      <c r="BG197" s="1356"/>
      <c r="BH197" s="1702">
        <f>BH72</f>
        <v>1700</v>
      </c>
      <c r="BI197" s="1356"/>
      <c r="BJ197" s="1702">
        <f>BJ72</f>
        <v>0</v>
      </c>
      <c r="BK197" s="1356"/>
      <c r="BL197" s="1702">
        <f>BL72</f>
        <v>1200</v>
      </c>
      <c r="BM197" s="1356"/>
      <c r="BN197" s="1702">
        <f>BN72</f>
        <v>0</v>
      </c>
      <c r="BO197" s="1356"/>
      <c r="BP197" s="1702">
        <f>BP72</f>
        <v>1500</v>
      </c>
      <c r="BQ197" s="1356"/>
      <c r="BR197" s="1702">
        <f>BR72</f>
        <v>0</v>
      </c>
      <c r="BS197" s="1356"/>
      <c r="BT197" s="1702">
        <f>BT72</f>
        <v>0</v>
      </c>
      <c r="BU197" s="1356"/>
      <c r="BV197" s="1702">
        <f>BV72</f>
        <v>600</v>
      </c>
      <c r="BW197" s="1356"/>
      <c r="BX197" s="1702">
        <f>BX72</f>
        <v>600</v>
      </c>
      <c r="BY197" s="1356"/>
      <c r="BZ197" s="1702">
        <f>BZ72</f>
        <v>0</v>
      </c>
      <c r="CA197" s="1356"/>
      <c r="CB197" s="1702">
        <f>CB72</f>
        <v>0</v>
      </c>
      <c r="CC197" s="1356"/>
      <c r="CD197" s="1702">
        <f>CD72</f>
        <v>720</v>
      </c>
      <c r="CE197" s="1356"/>
      <c r="CF197" s="1702">
        <v>1500</v>
      </c>
      <c r="CG197" s="1356"/>
      <c r="CH197" s="1702">
        <v>0</v>
      </c>
      <c r="CI197" s="1356"/>
      <c r="CJ197" s="1702">
        <v>1200</v>
      </c>
      <c r="CK197" s="1356"/>
      <c r="CL197" s="1702">
        <v>0</v>
      </c>
      <c r="CM197" s="1356"/>
      <c r="CN197" s="1702">
        <f>CN72</f>
        <v>0</v>
      </c>
      <c r="CO197" s="1356"/>
      <c r="CP197" s="1702">
        <f>CP72</f>
        <v>1100</v>
      </c>
      <c r="CQ197" s="1356"/>
      <c r="CR197" s="1702" t="s">
        <v>288</v>
      </c>
      <c r="CS197" s="1356"/>
      <c r="CT197" s="1702">
        <f>CT72</f>
        <v>0</v>
      </c>
      <c r="CU197" s="1356"/>
      <c r="CV197" s="1702">
        <f>CV72</f>
        <v>0</v>
      </c>
      <c r="CW197" s="1356"/>
      <c r="CX197" s="1702">
        <f>CX72</f>
        <v>1800</v>
      </c>
      <c r="CY197" s="1356"/>
      <c r="CZ197" s="1702">
        <v>0</v>
      </c>
      <c r="DA197" s="1356"/>
      <c r="DB197" s="1702">
        <v>0</v>
      </c>
      <c r="DC197" s="1356"/>
      <c r="DD197" s="1702">
        <v>1200</v>
      </c>
      <c r="DE197" s="1356"/>
      <c r="DF197" s="1702">
        <v>0</v>
      </c>
      <c r="DG197" s="1356"/>
      <c r="DH197" s="1702">
        <v>0</v>
      </c>
      <c r="DI197" s="1356"/>
      <c r="DJ197" s="1702">
        <v>1000</v>
      </c>
      <c r="DK197" s="1356"/>
      <c r="DL197" s="1702">
        <v>1200</v>
      </c>
      <c r="DM197" s="1356"/>
      <c r="DN197" s="1702">
        <f>DN72</f>
        <v>0</v>
      </c>
      <c r="DO197" s="1356"/>
      <c r="DP197" s="1702">
        <f>DP72</f>
        <v>0</v>
      </c>
      <c r="DQ197" s="1356"/>
      <c r="DR197" s="1702">
        <f>DR72</f>
        <v>1000</v>
      </c>
      <c r="DS197" s="1356"/>
      <c r="DT197" s="1702">
        <f>DT72</f>
        <v>0</v>
      </c>
      <c r="DU197" s="1356"/>
      <c r="DV197" s="1702">
        <f>DV72</f>
        <v>1200</v>
      </c>
      <c r="DW197" s="1356"/>
      <c r="DX197" s="1702">
        <f>DX72</f>
        <v>1200</v>
      </c>
      <c r="DY197" s="1356"/>
      <c r="DZ197" s="1702">
        <f>DZ72</f>
        <v>1400</v>
      </c>
      <c r="EA197" s="1356"/>
      <c r="EB197" s="1702">
        <f>EB72</f>
        <v>2000</v>
      </c>
      <c r="EC197" s="1356"/>
      <c r="ED197" s="1702">
        <f>ED72</f>
        <v>0</v>
      </c>
      <c r="EE197" s="1356"/>
      <c r="EF197" s="1702">
        <f>EF72</f>
        <v>2000</v>
      </c>
      <c r="EG197" s="1356"/>
      <c r="EH197" s="1702">
        <f>EH72</f>
        <v>2500</v>
      </c>
      <c r="EI197" s="1356"/>
      <c r="EJ197" s="1702">
        <f>EJ72</f>
        <v>1250</v>
      </c>
      <c r="EK197" s="1356"/>
      <c r="EL197" s="1702">
        <f>EL72</f>
        <v>0</v>
      </c>
      <c r="EM197" s="1356"/>
      <c r="EN197" s="1702">
        <f>EN72</f>
        <v>0</v>
      </c>
      <c r="EO197" s="1356"/>
      <c r="EP197" s="1702">
        <f>EP72</f>
        <v>0</v>
      </c>
      <c r="EQ197" s="1356"/>
      <c r="ER197" s="1702">
        <f>ER72</f>
        <v>750</v>
      </c>
      <c r="ES197" s="1356"/>
      <c r="ET197" s="1702">
        <f>ET72</f>
        <v>0</v>
      </c>
      <c r="EU197" s="1356"/>
      <c r="EV197" s="1702">
        <f>EV72</f>
        <v>0</v>
      </c>
      <c r="EW197" s="1356"/>
      <c r="EX197" s="1702">
        <f>EX72</f>
        <v>1000</v>
      </c>
      <c r="EY197" s="1356"/>
      <c r="EZ197" s="1702">
        <f>EZ72</f>
        <v>0</v>
      </c>
      <c r="FA197" s="1356"/>
      <c r="FB197" s="1702">
        <f>FB72</f>
        <v>0</v>
      </c>
      <c r="FC197" s="1356"/>
      <c r="FD197" s="1702">
        <f>FD72</f>
        <v>0</v>
      </c>
      <c r="FE197" s="1356"/>
      <c r="FF197" s="1702">
        <f>FF72</f>
        <v>750</v>
      </c>
      <c r="FG197" s="1356"/>
      <c r="FH197" s="1702">
        <f>FH72</f>
        <v>0</v>
      </c>
      <c r="FI197" s="1356"/>
      <c r="FJ197" s="1702">
        <f>FJ72</f>
        <v>600</v>
      </c>
      <c r="FK197" s="1356"/>
      <c r="FL197" s="1702">
        <f>FL72</f>
        <v>1</v>
      </c>
      <c r="FM197" s="1356"/>
      <c r="FN197" s="1702">
        <f>FN72</f>
        <v>0</v>
      </c>
      <c r="FO197" s="1356"/>
      <c r="FP197" s="1702">
        <f>FP72</f>
        <v>400</v>
      </c>
      <c r="FQ197" s="1356"/>
      <c r="FR197" s="1702">
        <f>FR72</f>
        <v>750</v>
      </c>
      <c r="FS197" s="1356"/>
      <c r="FT197" s="1702">
        <f>FT72</f>
        <v>0</v>
      </c>
      <c r="FU197" s="1356"/>
      <c r="FV197" s="1702">
        <f>FV72</f>
        <v>2400</v>
      </c>
      <c r="FW197" s="1356"/>
      <c r="FX197" s="1702">
        <f>FX72</f>
        <v>1</v>
      </c>
      <c r="FY197" s="1356"/>
      <c r="FZ197" s="1702">
        <f>FZ72</f>
        <v>1200</v>
      </c>
      <c r="GA197" s="1356"/>
      <c r="GB197" s="1702">
        <f>GB72</f>
        <v>1200</v>
      </c>
      <c r="GC197" s="1356"/>
      <c r="GD197" s="1702">
        <f>GD72</f>
        <v>1750</v>
      </c>
      <c r="GE197" s="1356"/>
      <c r="GF197" s="1702">
        <f>GF72</f>
        <v>0</v>
      </c>
      <c r="GG197" s="1356"/>
      <c r="GH197" s="1702">
        <f>GH72</f>
        <v>912</v>
      </c>
      <c r="GI197" s="1356"/>
      <c r="GJ197" s="1702">
        <f>GJ72</f>
        <v>1750</v>
      </c>
      <c r="GK197" s="1356"/>
      <c r="GL197" s="1702">
        <f>GL72</f>
        <v>500</v>
      </c>
      <c r="GM197" s="1356"/>
      <c r="GN197" s="1702">
        <f>GN72</f>
        <v>725</v>
      </c>
      <c r="GO197" s="1356"/>
      <c r="GP197" s="1702">
        <f>GP72</f>
        <v>0</v>
      </c>
      <c r="GQ197" s="1356"/>
      <c r="GR197" s="1702">
        <f>GR72</f>
        <v>0</v>
      </c>
      <c r="GS197" s="1356"/>
      <c r="GT197" s="1702">
        <f>GT72</f>
        <v>500</v>
      </c>
      <c r="GU197" s="1356"/>
      <c r="GV197" s="1702">
        <f>GV72</f>
        <v>750</v>
      </c>
      <c r="GW197" s="1356"/>
      <c r="GX197" s="1702">
        <f>GX72</f>
        <v>750</v>
      </c>
      <c r="GY197" s="1356"/>
      <c r="GZ197" s="1702">
        <f>GZ72</f>
        <v>0</v>
      </c>
      <c r="HA197" s="1356"/>
      <c r="HB197" s="1702">
        <f>HB72</f>
        <v>0</v>
      </c>
      <c r="HC197" s="1356"/>
      <c r="HD197" s="1702">
        <f>HD72</f>
        <v>0</v>
      </c>
      <c r="HE197" s="1356"/>
      <c r="HF197" s="2018">
        <f>HF72</f>
        <v>0</v>
      </c>
      <c r="HG197" s="2041"/>
      <c r="HH197" s="1702">
        <f>HH72</f>
        <v>0</v>
      </c>
      <c r="HI197" s="1356"/>
      <c r="HJ197" s="1702">
        <f>HJ72</f>
        <v>0</v>
      </c>
      <c r="HK197" s="1356"/>
      <c r="HL197" s="1702">
        <f>HL72</f>
        <v>450</v>
      </c>
      <c r="HM197" s="1356"/>
      <c r="HN197" s="1702">
        <f>HN72</f>
        <v>1200</v>
      </c>
      <c r="HO197" s="1356"/>
      <c r="HP197" s="2018">
        <f>HP72</f>
        <v>0</v>
      </c>
      <c r="HQ197" s="2041"/>
      <c r="HR197" s="1702">
        <f>HR72</f>
        <v>735</v>
      </c>
      <c r="HS197" s="1356"/>
      <c r="HT197" s="2018">
        <f>HT72</f>
        <v>900</v>
      </c>
      <c r="HU197" s="2041"/>
      <c r="HV197" s="2018">
        <f>HV72</f>
        <v>2500</v>
      </c>
      <c r="HW197" s="2041"/>
      <c r="HX197" s="2018">
        <f>HX72</f>
        <v>2600</v>
      </c>
      <c r="HY197" s="2041"/>
      <c r="HZ197" s="2018">
        <f>HZ72</f>
        <v>0</v>
      </c>
      <c r="IA197" s="2041"/>
      <c r="IB197" s="1702">
        <f>IB72</f>
        <v>1200</v>
      </c>
      <c r="IC197" s="1356"/>
      <c r="ID197" s="2018">
        <f>ID72</f>
        <v>1000</v>
      </c>
      <c r="IE197" s="2041"/>
      <c r="IF197" s="2018">
        <f>IF72</f>
        <v>1200</v>
      </c>
      <c r="IG197" s="2041"/>
    </row>
    <row r="198" spans="1:241">
      <c r="A198" s="1149"/>
      <c r="B198" s="1149"/>
      <c r="C198" s="1149"/>
      <c r="D198" s="1149"/>
      <c r="E198" s="1143"/>
      <c r="F198" s="1699"/>
      <c r="G198" s="1356"/>
      <c r="H198" s="1699"/>
      <c r="I198" s="1356"/>
      <c r="J198" s="1699"/>
      <c r="K198" s="1356"/>
      <c r="L198" s="1699"/>
      <c r="M198" s="1356"/>
      <c r="N198" s="1699"/>
      <c r="O198" s="1356"/>
      <c r="P198" s="1699"/>
      <c r="Q198" s="1356"/>
      <c r="R198" s="1699"/>
      <c r="T198" s="1699"/>
      <c r="U198" s="1356"/>
      <c r="V198" s="1699"/>
      <c r="W198" s="1356"/>
      <c r="X198" s="1699"/>
      <c r="Y198" s="1356"/>
      <c r="Z198" s="1699"/>
      <c r="AA198" s="1356"/>
      <c r="AB198" s="1699"/>
      <c r="AC198" s="1356"/>
      <c r="AD198" s="1699"/>
      <c r="AE198" s="1356"/>
      <c r="AF198" s="1699"/>
      <c r="AG198" s="1356"/>
      <c r="AH198" s="1699"/>
      <c r="AI198" s="1356"/>
      <c r="AJ198" s="1699"/>
      <c r="AK198" s="1356"/>
      <c r="AL198" s="1699"/>
      <c r="AM198" s="1356"/>
      <c r="AN198" s="1699"/>
      <c r="AO198" s="1356"/>
      <c r="AP198" s="1699"/>
      <c r="AQ198" s="1356"/>
      <c r="AR198" s="1699"/>
      <c r="AS198" s="1356"/>
      <c r="AT198" s="1699"/>
      <c r="AU198" s="1356"/>
      <c r="AV198" s="1699"/>
      <c r="AW198" s="1356"/>
      <c r="AX198" s="1699"/>
      <c r="AY198" s="1356"/>
      <c r="AZ198" s="1699"/>
      <c r="BA198" s="1356"/>
      <c r="BB198" s="1699"/>
      <c r="BC198" s="1356"/>
      <c r="BD198" s="1699"/>
      <c r="BE198" s="1356"/>
      <c r="BF198" s="1699"/>
      <c r="BG198" s="1356"/>
      <c r="BH198" s="1699"/>
      <c r="BI198" s="1356"/>
      <c r="BJ198" s="1699"/>
      <c r="BK198" s="1356"/>
      <c r="BL198" s="1699"/>
      <c r="BM198" s="1356"/>
      <c r="BN198" s="1699"/>
      <c r="BO198" s="1356"/>
      <c r="BP198" s="1699"/>
      <c r="BQ198" s="1356"/>
      <c r="BR198" s="1699"/>
      <c r="BS198" s="1356"/>
      <c r="BT198" s="1699"/>
      <c r="BU198" s="1356"/>
      <c r="BV198" s="1699"/>
      <c r="BW198" s="1356"/>
      <c r="BX198" s="1699"/>
      <c r="BY198" s="1356"/>
      <c r="BZ198" s="1699"/>
      <c r="CA198" s="1356"/>
      <c r="CB198" s="1699"/>
      <c r="CC198" s="1356"/>
      <c r="CD198" s="1699"/>
      <c r="CE198" s="1356"/>
      <c r="CF198" s="1699"/>
      <c r="CG198" s="1356"/>
      <c r="CH198" s="1699"/>
      <c r="CI198" s="1356"/>
      <c r="CJ198" s="1699"/>
      <c r="CK198" s="1356"/>
      <c r="CL198" s="1699"/>
      <c r="CM198" s="1356"/>
      <c r="CN198" s="1699"/>
      <c r="CO198" s="1356"/>
      <c r="CP198" s="1699"/>
      <c r="CQ198" s="1356"/>
      <c r="CR198" s="1699"/>
      <c r="CS198" s="1356"/>
      <c r="CT198" s="1699"/>
      <c r="CU198" s="1356"/>
      <c r="CV198" s="1699"/>
      <c r="CW198" s="1356"/>
      <c r="CX198" s="1699"/>
      <c r="CY198" s="1356"/>
      <c r="CZ198" s="1699"/>
      <c r="DA198" s="1356"/>
      <c r="DB198" s="1699"/>
      <c r="DC198" s="1356"/>
      <c r="DD198" s="1699"/>
      <c r="DE198" s="1356"/>
      <c r="DF198" s="1699"/>
      <c r="DG198" s="1356"/>
      <c r="DH198" s="1699"/>
      <c r="DI198" s="1356"/>
      <c r="DJ198" s="1699"/>
      <c r="DK198" s="1356"/>
      <c r="DL198" s="1699"/>
      <c r="DM198" s="1356"/>
      <c r="DN198" s="1699"/>
      <c r="DO198" s="1356"/>
      <c r="DP198" s="1699"/>
      <c r="DQ198" s="1356"/>
      <c r="DR198" s="1699"/>
      <c r="DS198" s="1356"/>
      <c r="DT198" s="1699"/>
      <c r="DU198" s="1356"/>
      <c r="DV198" s="1699"/>
      <c r="DW198" s="1356"/>
      <c r="DX198" s="1699"/>
      <c r="DY198" s="1356"/>
      <c r="DZ198" s="1699"/>
      <c r="EA198" s="1356"/>
      <c r="EB198" s="1699"/>
      <c r="EC198" s="1356"/>
      <c r="ED198" s="1699"/>
      <c r="EE198" s="1356"/>
      <c r="EF198" s="1699"/>
      <c r="EG198" s="1356"/>
      <c r="EH198" s="1699"/>
      <c r="EI198" s="1356"/>
      <c r="EJ198" s="1699"/>
      <c r="EK198" s="1356"/>
      <c r="EL198" s="1699"/>
      <c r="EM198" s="1356"/>
      <c r="EN198" s="1699"/>
      <c r="EO198" s="1356"/>
      <c r="EP198" s="1699"/>
      <c r="EQ198" s="1356"/>
      <c r="ER198" s="1699"/>
      <c r="ES198" s="1356"/>
      <c r="ET198" s="1699"/>
      <c r="EU198" s="1356"/>
      <c r="EV198" s="1699"/>
      <c r="EW198" s="1356"/>
      <c r="EX198" s="1699"/>
      <c r="EY198" s="1356"/>
      <c r="EZ198" s="1699"/>
      <c r="FA198" s="1356"/>
      <c r="FB198" s="1699"/>
      <c r="FC198" s="1356"/>
      <c r="FD198" s="1699"/>
      <c r="FE198" s="1356"/>
      <c r="FF198" s="1699"/>
      <c r="FG198" s="1356"/>
      <c r="FH198" s="1699"/>
      <c r="FI198" s="1356"/>
      <c r="FJ198" s="1699"/>
      <c r="FK198" s="1356"/>
      <c r="FL198" s="1699"/>
      <c r="FM198" s="1356"/>
      <c r="FN198" s="1699"/>
      <c r="FO198" s="1356"/>
      <c r="FP198" s="1699"/>
      <c r="FQ198" s="1356"/>
      <c r="FR198" s="1699"/>
      <c r="FS198" s="1356"/>
      <c r="FT198" s="1699"/>
      <c r="FU198" s="1356"/>
      <c r="FV198" s="1699"/>
      <c r="FW198" s="1356"/>
      <c r="FX198" s="1699"/>
      <c r="FY198" s="1356"/>
      <c r="FZ198" s="1699"/>
      <c r="GA198" s="1356"/>
      <c r="GB198" s="1699"/>
      <c r="GC198" s="1356"/>
      <c r="GD198" s="1699"/>
      <c r="GE198" s="1356"/>
      <c r="GF198" s="1699"/>
      <c r="GG198" s="1356"/>
      <c r="GH198" s="1699"/>
      <c r="GI198" s="1356"/>
      <c r="GJ198" s="1699"/>
      <c r="GK198" s="1356"/>
      <c r="GL198" s="1699"/>
      <c r="GM198" s="1356"/>
      <c r="GN198" s="1699"/>
      <c r="GO198" s="1356"/>
      <c r="GP198" s="1699"/>
      <c r="GQ198" s="1356"/>
      <c r="GR198" s="1699"/>
      <c r="GS198" s="1356"/>
      <c r="GT198" s="1699"/>
      <c r="GU198" s="1356"/>
      <c r="GV198" s="1699"/>
      <c r="GW198" s="1356"/>
      <c r="GX198" s="1699"/>
      <c r="GY198" s="1356"/>
      <c r="GZ198" s="1699"/>
      <c r="HA198" s="1356"/>
      <c r="HB198" s="1699"/>
      <c r="HC198" s="1356"/>
      <c r="HD198" s="1699"/>
      <c r="HE198" s="1356"/>
      <c r="HF198" s="2042"/>
      <c r="HH198" s="1699"/>
      <c r="HI198" s="1356"/>
      <c r="HJ198" s="1699"/>
      <c r="HK198" s="1356"/>
      <c r="HL198" s="1699"/>
      <c r="HM198" s="1356"/>
      <c r="HN198" s="1699"/>
      <c r="HO198" s="1356"/>
      <c r="HP198" s="2042"/>
      <c r="HR198" s="1699"/>
      <c r="HS198" s="1356"/>
      <c r="HT198" s="2042"/>
      <c r="HV198" s="2042"/>
      <c r="HX198" s="2042"/>
      <c r="HZ198" s="2042"/>
      <c r="IB198" s="1699"/>
      <c r="IC198" s="1356"/>
      <c r="ID198" s="2042"/>
      <c r="IF198" s="2042"/>
    </row>
    <row r="199" spans="1:241">
      <c r="A199" s="1149"/>
      <c r="B199" s="1149" t="s">
        <v>1248</v>
      </c>
      <c r="C199" s="1149"/>
      <c r="D199" s="1149"/>
      <c r="E199" s="1143"/>
      <c r="F199" s="1537">
        <v>1</v>
      </c>
      <c r="G199" s="1356"/>
      <c r="H199" s="1537">
        <v>1</v>
      </c>
      <c r="I199" s="1356"/>
      <c r="J199" s="1537">
        <v>1</v>
      </c>
      <c r="K199" s="1356"/>
      <c r="L199" s="1537">
        <v>1</v>
      </c>
      <c r="M199" s="1356"/>
      <c r="N199" s="1537">
        <v>0</v>
      </c>
      <c r="O199" s="1356"/>
      <c r="P199" s="1537">
        <v>1</v>
      </c>
      <c r="Q199" s="1356"/>
      <c r="R199" s="1537">
        <v>1</v>
      </c>
      <c r="T199" s="1537">
        <v>0</v>
      </c>
      <c r="U199" s="1356"/>
      <c r="V199" s="1537">
        <v>1</v>
      </c>
      <c r="W199" s="1356"/>
      <c r="X199" s="1537">
        <v>1</v>
      </c>
      <c r="Y199" s="1356"/>
      <c r="Z199" s="1537">
        <v>1</v>
      </c>
      <c r="AA199" s="1356"/>
      <c r="AB199" s="1537">
        <v>1</v>
      </c>
      <c r="AC199" s="1356"/>
      <c r="AD199" s="1537"/>
      <c r="AE199" s="1356"/>
      <c r="AF199" s="1537">
        <v>1</v>
      </c>
      <c r="AG199" s="1356"/>
      <c r="AH199" s="1537">
        <v>0</v>
      </c>
      <c r="AI199" s="1356"/>
      <c r="AJ199" s="1537">
        <v>0</v>
      </c>
      <c r="AK199" s="1356"/>
      <c r="AL199" s="1537">
        <v>0</v>
      </c>
      <c r="AM199" s="1356"/>
      <c r="AN199" s="1537">
        <v>1</v>
      </c>
      <c r="AO199" s="1356"/>
      <c r="AP199" s="1537">
        <v>0</v>
      </c>
      <c r="AQ199" s="1356"/>
      <c r="AR199" s="1537">
        <v>1</v>
      </c>
      <c r="AS199" s="1356"/>
      <c r="AT199" s="1537">
        <v>1</v>
      </c>
      <c r="AU199" s="1356"/>
      <c r="AV199" s="1537">
        <v>0</v>
      </c>
      <c r="AW199" s="1356"/>
      <c r="AX199" s="1537">
        <v>0</v>
      </c>
      <c r="AY199" s="1356"/>
      <c r="AZ199" s="1537">
        <v>1</v>
      </c>
      <c r="BA199" s="1356"/>
      <c r="BB199" s="1537">
        <v>0</v>
      </c>
      <c r="BC199" s="1356"/>
      <c r="BD199" s="1537">
        <v>0</v>
      </c>
      <c r="BE199" s="1356"/>
      <c r="BF199" s="1537">
        <v>1</v>
      </c>
      <c r="BG199" s="1356"/>
      <c r="BH199" s="1537">
        <v>1</v>
      </c>
      <c r="BI199" s="1356"/>
      <c r="BJ199" s="1537">
        <v>0</v>
      </c>
      <c r="BK199" s="1356"/>
      <c r="BL199" s="1537">
        <v>1</v>
      </c>
      <c r="BM199" s="1356"/>
      <c r="BN199" s="1537">
        <v>0</v>
      </c>
      <c r="BO199" s="1356"/>
      <c r="BP199" s="1537">
        <v>1</v>
      </c>
      <c r="BQ199" s="1356"/>
      <c r="BR199" s="1537">
        <v>0</v>
      </c>
      <c r="BS199" s="1356"/>
      <c r="BT199" s="1537">
        <v>0</v>
      </c>
      <c r="BU199" s="1356"/>
      <c r="BV199" s="1537">
        <v>1</v>
      </c>
      <c r="BW199" s="1356"/>
      <c r="BX199" s="1537">
        <v>1</v>
      </c>
      <c r="BY199" s="1356"/>
      <c r="BZ199" s="1537">
        <v>0</v>
      </c>
      <c r="CA199" s="1356"/>
      <c r="CB199" s="1537">
        <v>0</v>
      </c>
      <c r="CC199" s="1356"/>
      <c r="CD199" s="1537">
        <v>1</v>
      </c>
      <c r="CE199" s="1356"/>
      <c r="CF199" s="1537">
        <v>1</v>
      </c>
      <c r="CG199" s="1356"/>
      <c r="CH199" s="1537">
        <v>0</v>
      </c>
      <c r="CI199" s="1356"/>
      <c r="CJ199" s="1537">
        <v>1</v>
      </c>
      <c r="CK199" s="1356"/>
      <c r="CL199" s="1537">
        <v>1</v>
      </c>
      <c r="CM199" s="1356"/>
      <c r="CN199" s="1537">
        <v>0</v>
      </c>
      <c r="CO199" s="1356"/>
      <c r="CP199" s="1537">
        <v>1</v>
      </c>
      <c r="CQ199" s="1356"/>
      <c r="CR199" s="1537">
        <v>0</v>
      </c>
      <c r="CS199" s="1356"/>
      <c r="CT199" s="1537">
        <v>0</v>
      </c>
      <c r="CU199" s="1356"/>
      <c r="CV199" s="1537">
        <v>0</v>
      </c>
      <c r="CW199" s="1356"/>
      <c r="CX199" s="1537">
        <v>0</v>
      </c>
      <c r="CY199" s="1356"/>
      <c r="CZ199" s="1537">
        <v>1</v>
      </c>
      <c r="DA199" s="1356"/>
      <c r="DB199" s="1537">
        <v>1</v>
      </c>
      <c r="DC199" s="1356"/>
      <c r="DD199" s="1537">
        <v>0</v>
      </c>
      <c r="DE199" s="1356"/>
      <c r="DF199" s="1537">
        <v>0</v>
      </c>
      <c r="DG199" s="1356"/>
      <c r="DH199" s="1537">
        <v>0</v>
      </c>
      <c r="DI199" s="1356"/>
      <c r="DJ199" s="1537">
        <v>0</v>
      </c>
      <c r="DK199" s="1356"/>
      <c r="DL199" s="1537">
        <v>1</v>
      </c>
      <c r="DM199" s="1356"/>
      <c r="DN199" s="1537">
        <v>0</v>
      </c>
      <c r="DO199" s="1356"/>
      <c r="DP199" s="1537">
        <v>0</v>
      </c>
      <c r="DQ199" s="1356"/>
      <c r="DR199" s="1537">
        <v>0</v>
      </c>
      <c r="DS199" s="1356"/>
      <c r="DT199" s="1537">
        <v>0</v>
      </c>
      <c r="DU199" s="1356"/>
      <c r="DV199" s="1537">
        <v>1</v>
      </c>
      <c r="DW199" s="1356"/>
      <c r="DX199" s="1537">
        <v>0</v>
      </c>
      <c r="DY199" s="1356"/>
      <c r="DZ199" s="1537">
        <v>0</v>
      </c>
      <c r="EA199" s="1356"/>
      <c r="EB199" s="1537">
        <v>0</v>
      </c>
      <c r="EC199" s="1356"/>
      <c r="ED199" s="1537">
        <v>0</v>
      </c>
      <c r="EE199" s="1356"/>
      <c r="EF199" s="1537">
        <v>0</v>
      </c>
      <c r="EG199" s="1356"/>
      <c r="EH199" s="1537">
        <v>1</v>
      </c>
      <c r="EI199" s="1356"/>
      <c r="EJ199" s="1537">
        <v>0</v>
      </c>
      <c r="EK199" s="1356"/>
      <c r="EL199" s="1537">
        <v>0</v>
      </c>
      <c r="EM199" s="1356"/>
      <c r="EN199" s="1537">
        <v>1</v>
      </c>
      <c r="EO199" s="1356"/>
      <c r="EP199" s="1537">
        <v>1</v>
      </c>
      <c r="EQ199" s="1356"/>
      <c r="ER199" s="1537">
        <v>1</v>
      </c>
      <c r="ES199" s="1356"/>
      <c r="ET199" s="1537">
        <v>1</v>
      </c>
      <c r="EU199" s="1356"/>
      <c r="EV199" s="1537">
        <v>1</v>
      </c>
      <c r="EW199" s="1356"/>
      <c r="EX199" s="1537">
        <v>1</v>
      </c>
      <c r="EY199" s="1356"/>
      <c r="EZ199" s="1537">
        <v>0</v>
      </c>
      <c r="FA199" s="1356"/>
      <c r="FB199" s="1537">
        <v>0</v>
      </c>
      <c r="FC199" s="1356"/>
      <c r="FD199" s="1537">
        <v>1</v>
      </c>
      <c r="FE199" s="1356"/>
      <c r="FF199" s="1537">
        <v>1</v>
      </c>
      <c r="FG199" s="1356"/>
      <c r="FH199" s="1537">
        <v>1</v>
      </c>
      <c r="FI199" s="1356"/>
      <c r="FJ199" s="1537">
        <v>0</v>
      </c>
      <c r="FK199" s="1356"/>
      <c r="FL199" s="1537">
        <v>0</v>
      </c>
      <c r="FM199" s="1356"/>
      <c r="FN199" s="1537">
        <v>0</v>
      </c>
      <c r="FO199" s="1356"/>
      <c r="FP199" s="1537">
        <v>1</v>
      </c>
      <c r="FQ199" s="1356"/>
      <c r="FR199" s="1537">
        <v>1</v>
      </c>
      <c r="FS199" s="1356"/>
      <c r="FT199" s="1537">
        <v>1</v>
      </c>
      <c r="FU199" s="1356"/>
      <c r="FV199" s="1537">
        <v>0</v>
      </c>
      <c r="FW199" s="1356"/>
      <c r="FX199" s="1537">
        <v>0</v>
      </c>
      <c r="FY199" s="1356"/>
      <c r="FZ199" s="1537">
        <v>1</v>
      </c>
      <c r="GA199" s="1356"/>
      <c r="GB199" s="1537">
        <v>0</v>
      </c>
      <c r="GC199" s="1356"/>
      <c r="GD199" s="1537">
        <v>0</v>
      </c>
      <c r="GE199" s="1356"/>
      <c r="GF199" s="1537">
        <v>0</v>
      </c>
      <c r="GG199" s="1356"/>
      <c r="GH199" s="1537">
        <v>1</v>
      </c>
      <c r="GI199" s="1356"/>
      <c r="GJ199" s="1537">
        <v>1</v>
      </c>
      <c r="GK199" s="1356"/>
      <c r="GL199" s="1537">
        <v>0</v>
      </c>
      <c r="GM199" s="1356"/>
      <c r="GN199" s="1537">
        <v>1</v>
      </c>
      <c r="GO199" s="1356"/>
      <c r="GP199" s="1537">
        <v>1</v>
      </c>
      <c r="GQ199" s="1356"/>
      <c r="GR199" s="1537">
        <v>1</v>
      </c>
      <c r="GS199" s="1356"/>
      <c r="GT199" s="1537">
        <v>1</v>
      </c>
      <c r="GU199" s="1356"/>
      <c r="GV199" s="1537">
        <v>1</v>
      </c>
      <c r="GW199" s="1356"/>
      <c r="GX199" s="1537">
        <v>1</v>
      </c>
      <c r="GY199" s="1356"/>
      <c r="GZ199" s="1537">
        <v>0</v>
      </c>
      <c r="HA199" s="1356"/>
      <c r="HB199" s="1537">
        <v>1</v>
      </c>
      <c r="HC199" s="1356"/>
      <c r="HD199" s="1537">
        <v>0</v>
      </c>
      <c r="HE199" s="1356"/>
      <c r="HF199" s="2012">
        <v>1</v>
      </c>
      <c r="HH199" s="1537">
        <v>0</v>
      </c>
      <c r="HI199" s="1356"/>
      <c r="HJ199" s="1537">
        <v>0</v>
      </c>
      <c r="HK199" s="1356"/>
      <c r="HL199" s="1537">
        <v>1</v>
      </c>
      <c r="HM199" s="1356"/>
      <c r="HN199" s="1537">
        <v>1</v>
      </c>
      <c r="HO199" s="1356"/>
      <c r="HP199" s="2012">
        <v>0</v>
      </c>
      <c r="HR199" s="1537">
        <v>1</v>
      </c>
      <c r="HS199" s="1356"/>
      <c r="HT199" s="2012">
        <v>0</v>
      </c>
      <c r="HV199" s="2012">
        <v>0</v>
      </c>
      <c r="HX199" s="2012">
        <v>1</v>
      </c>
      <c r="HZ199" s="2012">
        <v>1</v>
      </c>
      <c r="IB199" s="1537">
        <v>1</v>
      </c>
      <c r="IC199" s="1356"/>
      <c r="ID199" s="2012">
        <v>1</v>
      </c>
      <c r="IF199" s="2012">
        <v>1</v>
      </c>
    </row>
    <row r="200" spans="1:241">
      <c r="A200" s="1149"/>
      <c r="B200" s="1149" t="s">
        <v>1249</v>
      </c>
      <c r="C200" s="1149"/>
      <c r="D200" s="1149"/>
      <c r="E200" s="1143"/>
      <c r="F200" s="1543">
        <v>0.22</v>
      </c>
      <c r="G200" s="1356"/>
      <c r="H200" s="1543">
        <v>0.2</v>
      </c>
      <c r="I200" s="1356"/>
      <c r="J200" s="1543">
        <v>0.2</v>
      </c>
      <c r="K200" s="1356"/>
      <c r="L200" s="1543">
        <v>0.2</v>
      </c>
      <c r="M200" s="1356"/>
      <c r="N200" s="1543"/>
      <c r="O200" s="1356"/>
      <c r="P200" s="1543">
        <v>0.2</v>
      </c>
      <c r="Q200" s="1356"/>
      <c r="R200" s="1543">
        <v>0.23</v>
      </c>
      <c r="T200" s="1543"/>
      <c r="U200" s="1356"/>
      <c r="V200" s="1543">
        <v>0.18</v>
      </c>
      <c r="W200" s="1356"/>
      <c r="X200" s="1543">
        <v>0.2</v>
      </c>
      <c r="Y200" s="1356"/>
      <c r="Z200" s="1543">
        <v>0.2</v>
      </c>
      <c r="AA200" s="1356"/>
      <c r="AB200" s="1543">
        <v>0.18</v>
      </c>
      <c r="AC200" s="1356"/>
      <c r="AD200" s="1543"/>
      <c r="AE200" s="1356"/>
      <c r="AF200" s="1543">
        <v>0.2</v>
      </c>
      <c r="AG200" s="1356"/>
      <c r="AH200" s="1543"/>
      <c r="AI200" s="1356"/>
      <c r="AJ200" s="1543"/>
      <c r="AK200" s="1356"/>
      <c r="AL200" s="1543"/>
      <c r="AM200" s="1356"/>
      <c r="AN200" s="1543">
        <v>0.22</v>
      </c>
      <c r="AO200" s="1356"/>
      <c r="AP200" s="1543"/>
      <c r="AQ200" s="1356"/>
      <c r="AR200" s="1543">
        <v>0.2</v>
      </c>
      <c r="AS200" s="1356"/>
      <c r="AT200" s="1543">
        <v>0.2</v>
      </c>
      <c r="AU200" s="1356"/>
      <c r="AV200" s="1543"/>
      <c r="AW200" s="1356"/>
      <c r="AX200" s="1543"/>
      <c r="AY200" s="1356"/>
      <c r="AZ200" s="1543">
        <v>0.2</v>
      </c>
      <c r="BA200" s="1356"/>
      <c r="BB200" s="1543"/>
      <c r="BC200" s="1356"/>
      <c r="BD200" s="1543"/>
      <c r="BE200" s="1356"/>
      <c r="BF200" s="1543">
        <v>0.2</v>
      </c>
      <c r="BG200" s="1356"/>
      <c r="BH200" s="1543">
        <v>0.2</v>
      </c>
      <c r="BI200" s="1356"/>
      <c r="BJ200" s="1543"/>
      <c r="BK200" s="1356"/>
      <c r="BL200" s="1543">
        <v>0.2</v>
      </c>
      <c r="BM200" s="1356"/>
      <c r="BN200" s="1543"/>
      <c r="BO200" s="1356"/>
      <c r="BP200" s="1543">
        <v>0.2</v>
      </c>
      <c r="BQ200" s="1356"/>
      <c r="BR200" s="1543"/>
      <c r="BS200" s="1356"/>
      <c r="BT200" s="1543"/>
      <c r="BU200" s="1356"/>
      <c r="BV200" s="1543">
        <v>0.18</v>
      </c>
      <c r="BW200" s="1356"/>
      <c r="BX200" s="1543">
        <v>0.2</v>
      </c>
      <c r="BY200" s="1356"/>
      <c r="BZ200" s="1543"/>
      <c r="CA200" s="1356"/>
      <c r="CB200" s="1543"/>
      <c r="CC200" s="1356"/>
      <c r="CD200" s="1543">
        <v>0.2</v>
      </c>
      <c r="CE200" s="1356"/>
      <c r="CF200" s="1543">
        <v>0.2</v>
      </c>
      <c r="CG200" s="1356"/>
      <c r="CH200" s="1543"/>
      <c r="CI200" s="1356"/>
      <c r="CJ200" s="1543">
        <v>0.2</v>
      </c>
      <c r="CK200" s="1356"/>
      <c r="CL200" s="1543">
        <v>0.2</v>
      </c>
      <c r="CM200" s="1356"/>
      <c r="CN200" s="1543"/>
      <c r="CO200" s="1356"/>
      <c r="CP200" s="1543">
        <v>0.2</v>
      </c>
      <c r="CQ200" s="1356"/>
      <c r="CR200" s="1543"/>
      <c r="CS200" s="1356"/>
      <c r="CT200" s="1543"/>
      <c r="CU200" s="1356"/>
      <c r="CV200" s="1543"/>
      <c r="CW200" s="1356"/>
      <c r="CX200" s="1543"/>
      <c r="CY200" s="1356"/>
      <c r="CZ200" s="1543">
        <v>0.2</v>
      </c>
      <c r="DA200" s="1356"/>
      <c r="DB200" s="1543">
        <v>0.2</v>
      </c>
      <c r="DC200" s="1356"/>
      <c r="DD200" s="1543"/>
      <c r="DE200" s="1356"/>
      <c r="DF200" s="1543"/>
      <c r="DG200" s="1356"/>
      <c r="DH200" s="1543"/>
      <c r="DI200" s="1356"/>
      <c r="DJ200" s="1543"/>
      <c r="DK200" s="1356"/>
      <c r="DL200" s="1543">
        <v>0.2</v>
      </c>
      <c r="DM200" s="1356"/>
      <c r="DN200" s="1543">
        <v>0</v>
      </c>
      <c r="DO200" s="1356"/>
      <c r="DP200" s="1543"/>
      <c r="DQ200" s="1356"/>
      <c r="DR200" s="1543"/>
      <c r="DS200" s="1356"/>
      <c r="DT200" s="1543"/>
      <c r="DU200" s="1356"/>
      <c r="DV200" s="1543">
        <v>0.22</v>
      </c>
      <c r="DW200" s="1356"/>
      <c r="DX200" s="1543"/>
      <c r="DY200" s="1356"/>
      <c r="DZ200" s="1543"/>
      <c r="EA200" s="1356"/>
      <c r="EB200" s="1543"/>
      <c r="EC200" s="1356"/>
      <c r="ED200" s="1543"/>
      <c r="EE200" s="1356"/>
      <c r="EF200" s="1543"/>
      <c r="EG200" s="1356"/>
      <c r="EH200" s="1543">
        <v>0.2</v>
      </c>
      <c r="EI200" s="1356"/>
      <c r="EJ200" s="1543"/>
      <c r="EK200" s="1356"/>
      <c r="EL200" s="1543"/>
      <c r="EM200" s="1356"/>
      <c r="EN200" s="1543">
        <v>0.2</v>
      </c>
      <c r="EO200" s="1356"/>
      <c r="EP200" s="1543">
        <v>0.2</v>
      </c>
      <c r="EQ200" s="1356"/>
      <c r="ER200" s="1543">
        <v>0.2</v>
      </c>
      <c r="ES200" s="1356"/>
      <c r="ET200" s="1543">
        <v>0.2</v>
      </c>
      <c r="EU200" s="1356"/>
      <c r="EV200" s="1543">
        <v>0.18</v>
      </c>
      <c r="EW200" s="1356"/>
      <c r="EX200" s="1543">
        <v>0.2</v>
      </c>
      <c r="EY200" s="1356"/>
      <c r="EZ200" s="1543"/>
      <c r="FA200" s="1356"/>
      <c r="FB200" s="1543"/>
      <c r="FC200" s="1356"/>
      <c r="FD200" s="1543">
        <v>0.2</v>
      </c>
      <c r="FE200" s="1356"/>
      <c r="FF200" s="1543">
        <v>0.2</v>
      </c>
      <c r="FG200" s="1356"/>
      <c r="FH200" s="1543">
        <v>0.2</v>
      </c>
      <c r="FI200" s="1356"/>
      <c r="FJ200" s="1543"/>
      <c r="FK200" s="1356"/>
      <c r="FL200" s="1543"/>
      <c r="FM200" s="1356"/>
      <c r="FN200" s="1543"/>
      <c r="FO200" s="1356"/>
      <c r="FP200" s="1543">
        <v>0.18</v>
      </c>
      <c r="FQ200" s="1356"/>
      <c r="FR200" s="1543">
        <v>0.2</v>
      </c>
      <c r="FS200" s="1356"/>
      <c r="FT200" s="1543">
        <v>0.2</v>
      </c>
      <c r="FU200" s="1356"/>
      <c r="FV200" s="1543"/>
      <c r="FW200" s="1356"/>
      <c r="FX200" s="1543"/>
      <c r="FY200" s="1356"/>
      <c r="FZ200" s="1543">
        <v>0.2</v>
      </c>
      <c r="GA200" s="1356"/>
      <c r="GB200" s="1543"/>
      <c r="GC200" s="1356"/>
      <c r="GD200" s="1543"/>
      <c r="GE200" s="1356"/>
      <c r="GF200" s="1543"/>
      <c r="GG200" s="1356"/>
      <c r="GH200" s="1543">
        <v>0.2</v>
      </c>
      <c r="GI200" s="1356"/>
      <c r="GJ200" s="1543">
        <v>0.2</v>
      </c>
      <c r="GK200" s="1356"/>
      <c r="GL200" s="1543"/>
      <c r="GM200" s="1356"/>
      <c r="GN200" s="1543">
        <v>0.2</v>
      </c>
      <c r="GO200" s="1356"/>
      <c r="GP200" s="1543">
        <v>0.18</v>
      </c>
      <c r="GQ200" s="1356"/>
      <c r="GR200" s="1543">
        <v>0.2</v>
      </c>
      <c r="GS200" s="1356"/>
      <c r="GT200" s="1543">
        <v>0.18</v>
      </c>
      <c r="GU200" s="1356"/>
      <c r="GV200" s="1543">
        <v>0.19</v>
      </c>
      <c r="GW200" s="1356"/>
      <c r="GX200" s="1543">
        <v>0.18</v>
      </c>
      <c r="GY200" s="1356"/>
      <c r="GZ200" s="1543"/>
      <c r="HA200" s="1356"/>
      <c r="HB200" s="1543">
        <v>0.2</v>
      </c>
      <c r="HC200" s="1356"/>
      <c r="HD200" s="1543"/>
      <c r="HE200" s="1356"/>
      <c r="HF200" s="1543">
        <v>0.2</v>
      </c>
      <c r="HH200" s="1543"/>
      <c r="HI200" s="1356"/>
      <c r="HJ200" s="1543"/>
      <c r="HK200" s="1356"/>
      <c r="HL200" s="1543">
        <v>0.2</v>
      </c>
      <c r="HM200" s="1356"/>
      <c r="HN200" s="1543">
        <v>0.2</v>
      </c>
      <c r="HO200" s="1356"/>
      <c r="HP200" s="1543"/>
      <c r="HR200" s="1543">
        <v>0.22</v>
      </c>
      <c r="HS200" s="1356"/>
      <c r="HT200" s="1543"/>
      <c r="HV200" s="1543"/>
      <c r="HX200" s="1543">
        <v>0.2</v>
      </c>
      <c r="HZ200" s="1543">
        <v>0.22</v>
      </c>
      <c r="IB200" s="1543">
        <v>0.2</v>
      </c>
      <c r="IC200" s="1356"/>
      <c r="ID200" s="1543">
        <v>0.2</v>
      </c>
      <c r="IF200" s="1543">
        <v>0.18</v>
      </c>
    </row>
    <row r="201" spans="1:241">
      <c r="A201" s="1149"/>
      <c r="B201" s="1149"/>
      <c r="C201" s="1149"/>
      <c r="D201" s="1149"/>
      <c r="E201" s="1143"/>
      <c r="F201" s="1699"/>
      <c r="G201" s="1356"/>
      <c r="H201" s="1699"/>
      <c r="I201" s="1356"/>
      <c r="J201" s="1699"/>
      <c r="K201" s="1356"/>
      <c r="L201" s="1699"/>
      <c r="M201" s="1356"/>
      <c r="N201" s="1699"/>
      <c r="O201" s="1356"/>
      <c r="P201" s="1699"/>
      <c r="Q201" s="1356"/>
      <c r="R201" s="1699"/>
      <c r="T201" s="1699"/>
      <c r="U201" s="1356"/>
      <c r="V201" s="1699"/>
      <c r="W201" s="1356"/>
      <c r="X201" s="1699"/>
      <c r="Y201" s="1356"/>
      <c r="Z201" s="1699"/>
      <c r="AA201" s="1356"/>
      <c r="AB201" s="1699"/>
      <c r="AC201" s="1356"/>
      <c r="AD201" s="1699"/>
      <c r="AE201" s="1356"/>
      <c r="AF201" s="1699"/>
      <c r="AG201" s="1356"/>
      <c r="AH201" s="1699"/>
      <c r="AI201" s="1356"/>
      <c r="AJ201" s="1699"/>
      <c r="AK201" s="1356"/>
      <c r="AL201" s="1699"/>
      <c r="AM201" s="1356"/>
      <c r="AN201" s="1699"/>
      <c r="AO201" s="1356"/>
      <c r="AP201" s="1699"/>
      <c r="AQ201" s="1356"/>
      <c r="AR201" s="1699"/>
      <c r="AS201" s="1356"/>
      <c r="AT201" s="1699"/>
      <c r="AU201" s="1356"/>
      <c r="AV201" s="1699"/>
      <c r="AW201" s="1356"/>
      <c r="AX201" s="1699"/>
      <c r="AY201" s="1356"/>
      <c r="AZ201" s="1699"/>
      <c r="BA201" s="1356"/>
      <c r="BB201" s="1699"/>
      <c r="BC201" s="1356"/>
      <c r="BD201" s="1699"/>
      <c r="BE201" s="1356"/>
      <c r="BF201" s="1699"/>
      <c r="BG201" s="1356"/>
      <c r="BH201" s="1699"/>
      <c r="BI201" s="1356"/>
      <c r="BJ201" s="1699"/>
      <c r="BK201" s="1356"/>
      <c r="BL201" s="1699"/>
      <c r="BM201" s="1356"/>
      <c r="BN201" s="1699"/>
      <c r="BO201" s="1356"/>
      <c r="BP201" s="1699"/>
      <c r="BQ201" s="1356"/>
      <c r="BR201" s="1699"/>
      <c r="BS201" s="1356"/>
      <c r="BT201" s="1699"/>
      <c r="BU201" s="1356"/>
      <c r="BV201" s="1699"/>
      <c r="BW201" s="1356"/>
      <c r="BX201" s="1699"/>
      <c r="BY201" s="1356"/>
      <c r="BZ201" s="1699"/>
      <c r="CA201" s="1356"/>
      <c r="CB201" s="1699"/>
      <c r="CC201" s="1356"/>
      <c r="CD201" s="1699"/>
      <c r="CE201" s="1356"/>
      <c r="CF201" s="1699"/>
      <c r="CG201" s="1356"/>
      <c r="CH201" s="1699"/>
      <c r="CI201" s="1356"/>
      <c r="CJ201" s="1699"/>
      <c r="CK201" s="1356"/>
      <c r="CL201" s="1699"/>
      <c r="CM201" s="1356"/>
      <c r="CN201" s="1699"/>
      <c r="CO201" s="1356"/>
      <c r="CP201" s="1699"/>
      <c r="CQ201" s="1356"/>
      <c r="CR201" s="1699"/>
      <c r="CS201" s="1356"/>
      <c r="CT201" s="1699"/>
      <c r="CU201" s="1356"/>
      <c r="CV201" s="1699"/>
      <c r="CW201" s="1356"/>
      <c r="CX201" s="1699"/>
      <c r="CY201" s="1356"/>
      <c r="CZ201" s="1699"/>
      <c r="DA201" s="1356"/>
      <c r="DB201" s="1699"/>
      <c r="DC201" s="1356"/>
      <c r="DD201" s="1699"/>
      <c r="DE201" s="1356"/>
      <c r="DF201" s="1699"/>
      <c r="DG201" s="1356"/>
      <c r="DH201" s="1699"/>
      <c r="DI201" s="1356"/>
      <c r="DJ201" s="1699"/>
      <c r="DK201" s="1356"/>
      <c r="DL201" s="1699"/>
      <c r="DM201" s="1356"/>
      <c r="DN201" s="1699"/>
      <c r="DO201" s="1356"/>
      <c r="DP201" s="1699"/>
      <c r="DQ201" s="1356"/>
      <c r="DR201" s="1699"/>
      <c r="DS201" s="1356"/>
      <c r="DT201" s="1699"/>
      <c r="DU201" s="1356"/>
      <c r="DV201" s="1699"/>
      <c r="DW201" s="1356"/>
      <c r="DX201" s="1699"/>
      <c r="DY201" s="1356"/>
      <c r="DZ201" s="1699"/>
      <c r="EA201" s="1356"/>
      <c r="EB201" s="1699"/>
      <c r="EC201" s="1356"/>
      <c r="ED201" s="1699"/>
      <c r="EE201" s="1356"/>
      <c r="EF201" s="1699"/>
      <c r="EG201" s="1356"/>
      <c r="EH201" s="1699"/>
      <c r="EI201" s="1356"/>
      <c r="EJ201" s="1699"/>
      <c r="EK201" s="1356"/>
      <c r="EL201" s="1699"/>
      <c r="EM201" s="1356"/>
      <c r="EN201" s="1699"/>
      <c r="EO201" s="1356"/>
      <c r="EP201" s="1699"/>
      <c r="EQ201" s="1356"/>
      <c r="ER201" s="1699"/>
      <c r="ES201" s="1356"/>
      <c r="ET201" s="1699"/>
      <c r="EU201" s="1356"/>
      <c r="EV201" s="1699"/>
      <c r="EW201" s="1356"/>
      <c r="EX201" s="1699"/>
      <c r="EY201" s="1356"/>
      <c r="EZ201" s="1699"/>
      <c r="FA201" s="1356"/>
      <c r="FB201" s="1699"/>
      <c r="FC201" s="1356"/>
      <c r="FD201" s="1699"/>
      <c r="FE201" s="1356"/>
      <c r="FF201" s="1699"/>
      <c r="FG201" s="1356"/>
      <c r="FH201" s="1699"/>
      <c r="FI201" s="1356"/>
      <c r="FJ201" s="1699"/>
      <c r="FK201" s="1356"/>
      <c r="FL201" s="1699"/>
      <c r="FM201" s="1356"/>
      <c r="FN201" s="1699"/>
      <c r="FO201" s="1356"/>
      <c r="FP201" s="1699"/>
      <c r="FQ201" s="1356"/>
      <c r="FR201" s="1699"/>
      <c r="FS201" s="1356"/>
      <c r="FT201" s="1699"/>
      <c r="FU201" s="1356"/>
      <c r="FV201" s="1699"/>
      <c r="FW201" s="1356"/>
      <c r="FX201" s="1699"/>
      <c r="FY201" s="1356"/>
      <c r="FZ201" s="1699"/>
      <c r="GA201" s="1356"/>
      <c r="GB201" s="1699"/>
      <c r="GC201" s="1356"/>
      <c r="GD201" s="1699"/>
      <c r="GE201" s="1356"/>
      <c r="GF201" s="1699"/>
      <c r="GG201" s="1356"/>
      <c r="GH201" s="1699"/>
      <c r="GI201" s="1356"/>
      <c r="GJ201" s="1699"/>
      <c r="GK201" s="1356"/>
      <c r="GL201" s="1699"/>
      <c r="GM201" s="1356"/>
      <c r="GN201" s="1699"/>
      <c r="GO201" s="1356"/>
      <c r="GP201" s="1699"/>
      <c r="GQ201" s="1356"/>
      <c r="GR201" s="1699"/>
      <c r="GS201" s="1356"/>
      <c r="GT201" s="1699"/>
      <c r="GU201" s="1356"/>
      <c r="GV201" s="1699"/>
      <c r="GW201" s="1356"/>
      <c r="GX201" s="1699"/>
      <c r="GY201" s="1356"/>
      <c r="GZ201" s="1699"/>
      <c r="HA201" s="1356"/>
      <c r="HB201" s="1699"/>
      <c r="HC201" s="1356"/>
      <c r="HD201" s="1699"/>
      <c r="HE201" s="1356"/>
      <c r="HF201" s="2042"/>
      <c r="HH201" s="1699"/>
      <c r="HI201" s="1356"/>
      <c r="HJ201" s="1699"/>
      <c r="HK201" s="1356"/>
      <c r="HL201" s="1699"/>
      <c r="HM201" s="1356"/>
      <c r="HN201" s="1699"/>
      <c r="HO201" s="1356"/>
      <c r="HP201" s="2042"/>
      <c r="HR201" s="1699"/>
      <c r="HS201" s="1356"/>
      <c r="HT201" s="2042"/>
      <c r="HV201" s="2042"/>
      <c r="HX201" s="2042"/>
      <c r="HZ201" s="2042"/>
      <c r="IB201" s="1699"/>
      <c r="IC201" s="1356"/>
      <c r="ID201" s="2042"/>
      <c r="IF201" s="2042"/>
    </row>
    <row r="202" spans="1:241">
      <c r="A202" s="1149"/>
      <c r="B202" s="1149" t="s">
        <v>96</v>
      </c>
      <c r="C202" s="1149"/>
      <c r="D202" s="1149"/>
      <c r="E202" s="1143"/>
      <c r="F202" s="1702">
        <f>IF(F73&gt;0,1,0)</f>
        <v>0</v>
      </c>
      <c r="G202" s="1356"/>
      <c r="H202" s="1702">
        <f>IF(H73&gt;0,1,0)</f>
        <v>0</v>
      </c>
      <c r="I202" s="1356"/>
      <c r="J202" s="1702">
        <f>IF(J73&gt;0,1,0)</f>
        <v>0</v>
      </c>
      <c r="K202" s="1356"/>
      <c r="L202" s="1702">
        <f>IF(L73&gt;0,1,0)</f>
        <v>0</v>
      </c>
      <c r="M202" s="1356"/>
      <c r="N202" s="1702">
        <f>IF(N73&gt;0,1,0)</f>
        <v>1</v>
      </c>
      <c r="O202" s="1356"/>
      <c r="P202" s="1702">
        <f>IF(P73&gt;0,1,0)</f>
        <v>0</v>
      </c>
      <c r="Q202" s="1356"/>
      <c r="R202" s="1702">
        <f>IF(R73&gt;0,1,0)</f>
        <v>0</v>
      </c>
      <c r="T202" s="1702">
        <f>IF(T73&gt;0,1,0)</f>
        <v>1</v>
      </c>
      <c r="U202" s="1356"/>
      <c r="V202" s="1702">
        <f>IF(V73&gt;0,1,0)</f>
        <v>0</v>
      </c>
      <c r="W202" s="1356"/>
      <c r="X202" s="1702">
        <f>IF(X73&gt;0,1,0)</f>
        <v>0</v>
      </c>
      <c r="Y202" s="1356"/>
      <c r="Z202" s="1702">
        <f>IF(Z73&gt;0,1,0)</f>
        <v>0</v>
      </c>
      <c r="AA202" s="1356"/>
      <c r="AB202" s="1702">
        <f>IF(AB73&gt;0,1,0)</f>
        <v>0</v>
      </c>
      <c r="AC202" s="1356"/>
      <c r="AD202" s="1702">
        <f>IF(AD73&gt;0,1,0)</f>
        <v>1</v>
      </c>
      <c r="AE202" s="1356"/>
      <c r="AF202" s="1702">
        <f>IF(AF73&gt;0,1,0)</f>
        <v>0</v>
      </c>
      <c r="AG202" s="1356"/>
      <c r="AH202" s="1702">
        <f>IF(AH73&gt;0,1,0)</f>
        <v>1</v>
      </c>
      <c r="AI202" s="1356"/>
      <c r="AJ202" s="1702">
        <f>IF(AJ73&gt;0,1,0)</f>
        <v>0</v>
      </c>
      <c r="AK202" s="1356"/>
      <c r="AL202" s="1702">
        <f>IF(AL73&gt;0,1,0)</f>
        <v>0</v>
      </c>
      <c r="AM202" s="1356"/>
      <c r="AN202" s="1702">
        <f>IF(AN73&gt;0,1,0)</f>
        <v>0</v>
      </c>
      <c r="AO202" s="1356"/>
      <c r="AP202" s="1702">
        <f>IF(AP73&gt;0,1,0)</f>
        <v>0</v>
      </c>
      <c r="AQ202" s="1356"/>
      <c r="AR202" s="1702">
        <f>IF(AR73&gt;0,1,0)</f>
        <v>0</v>
      </c>
      <c r="AS202" s="1356"/>
      <c r="AT202" s="1702">
        <f>IF(AT73&gt;0,1,0)</f>
        <v>0</v>
      </c>
      <c r="AU202" s="1356"/>
      <c r="AV202" s="1702">
        <f>IF(AV73&gt;0,1,0)</f>
        <v>1</v>
      </c>
      <c r="AW202" s="1356"/>
      <c r="AX202" s="1702">
        <f>IF(AX73&gt;0,1,0)</f>
        <v>1</v>
      </c>
      <c r="AY202" s="1356"/>
      <c r="AZ202" s="1702">
        <f>IF(AZ73&gt;0,1,0)</f>
        <v>0</v>
      </c>
      <c r="BA202" s="1356"/>
      <c r="BB202" s="1702">
        <f>IF(BB73&gt;0,1,0)</f>
        <v>1</v>
      </c>
      <c r="BC202" s="1356"/>
      <c r="BD202" s="1702">
        <f>IF(BD73&gt;0,1,0)</f>
        <v>1</v>
      </c>
      <c r="BE202" s="1356"/>
      <c r="BF202" s="1702">
        <f>IF(BF73&gt;0,1,0)</f>
        <v>0</v>
      </c>
      <c r="BG202" s="1356"/>
      <c r="BH202" s="1702">
        <f>IF(BH73&gt;0,1,0)</f>
        <v>0</v>
      </c>
      <c r="BI202" s="1356"/>
      <c r="BJ202" s="1702">
        <f>IF(BJ73&gt;0,1,0)</f>
        <v>1</v>
      </c>
      <c r="BK202" s="1356"/>
      <c r="BL202" s="1702">
        <f>IF(BL73&gt;0,1,0)</f>
        <v>0</v>
      </c>
      <c r="BM202" s="1356"/>
      <c r="BN202" s="1702">
        <f>IF(BN73&gt;0,1,0)</f>
        <v>0</v>
      </c>
      <c r="BO202" s="1356"/>
      <c r="BP202" s="1702">
        <f>IF(BP73&gt;0,1,0)</f>
        <v>0</v>
      </c>
      <c r="BQ202" s="1356"/>
      <c r="BR202" s="1702">
        <f>IF(BR73&gt;0,1,0)</f>
        <v>0</v>
      </c>
      <c r="BS202" s="1356"/>
      <c r="BT202" s="1702">
        <f>IF(BT73&gt;0,1,0)</f>
        <v>1</v>
      </c>
      <c r="BU202" s="1356"/>
      <c r="BV202" s="1702">
        <f>IF(BV73&gt;0,1,0)</f>
        <v>0</v>
      </c>
      <c r="BW202" s="1356"/>
      <c r="BX202" s="1702">
        <f>IF(BX73&gt;0,1,0)</f>
        <v>0</v>
      </c>
      <c r="BY202" s="1356"/>
      <c r="BZ202" s="1702">
        <f>IF(BZ73&gt;0,1,0)</f>
        <v>1</v>
      </c>
      <c r="CA202" s="1356"/>
      <c r="CB202" s="1702">
        <f>IF(CB73&gt;0,1,0)</f>
        <v>0</v>
      </c>
      <c r="CC202" s="1356"/>
      <c r="CD202" s="1702">
        <f>IF(CD73&gt;0,1,0)</f>
        <v>0</v>
      </c>
      <c r="CE202" s="1356"/>
      <c r="CF202" s="1702">
        <v>0</v>
      </c>
      <c r="CG202" s="1356"/>
      <c r="CH202" s="1702">
        <v>1</v>
      </c>
      <c r="CI202" s="1356"/>
      <c r="CJ202" s="1702">
        <v>0</v>
      </c>
      <c r="CK202" s="1356"/>
      <c r="CL202" s="1702">
        <v>0</v>
      </c>
      <c r="CM202" s="1356"/>
      <c r="CN202" s="1702">
        <f>IF(CN73&gt;0,1,0)</f>
        <v>1</v>
      </c>
      <c r="CO202" s="1356"/>
      <c r="CP202" s="1702">
        <f>IF(CP73&gt;0,1,0)</f>
        <v>0</v>
      </c>
      <c r="CQ202" s="1356"/>
      <c r="CR202" s="1702">
        <v>0</v>
      </c>
      <c r="CS202" s="1356"/>
      <c r="CT202" s="1702">
        <f>IF(CT73&gt;0,1,0)</f>
        <v>0</v>
      </c>
      <c r="CU202" s="1356"/>
      <c r="CV202" s="1702">
        <f>IF(CV73&gt;0,1,0)</f>
        <v>1</v>
      </c>
      <c r="CW202" s="1356"/>
      <c r="CX202" s="1702">
        <f>IF(CX73&gt;0,1,0)</f>
        <v>1</v>
      </c>
      <c r="CY202" s="1356"/>
      <c r="CZ202" s="1702">
        <v>0</v>
      </c>
      <c r="DA202" s="1356"/>
      <c r="DB202" s="1702">
        <v>0</v>
      </c>
      <c r="DC202" s="1356"/>
      <c r="DD202" s="1702">
        <v>1</v>
      </c>
      <c r="DE202" s="1356"/>
      <c r="DF202" s="1702">
        <v>0</v>
      </c>
      <c r="DG202" s="1356"/>
      <c r="DH202" s="1702">
        <v>0</v>
      </c>
      <c r="DI202" s="1356"/>
      <c r="DJ202" s="1702">
        <v>0</v>
      </c>
      <c r="DK202" s="1356"/>
      <c r="DL202" s="1702">
        <v>0</v>
      </c>
      <c r="DM202" s="1356"/>
      <c r="DN202" s="1702">
        <f>IF(DN73&gt;0,1,0)</f>
        <v>1</v>
      </c>
      <c r="DO202" s="1356"/>
      <c r="DP202" s="1702">
        <f>IF(DP73&gt;0,1,0)</f>
        <v>0</v>
      </c>
      <c r="DQ202" s="1356"/>
      <c r="DR202" s="1702">
        <f>IF(DR73&gt;0,1,0)</f>
        <v>1</v>
      </c>
      <c r="DS202" s="1356"/>
      <c r="DT202" s="1702">
        <f>IF(DT73&gt;0,1,0)</f>
        <v>1</v>
      </c>
      <c r="DU202" s="1356"/>
      <c r="DV202" s="1702">
        <f>IF(DV73&gt;0,1,0)</f>
        <v>0</v>
      </c>
      <c r="DW202" s="1356"/>
      <c r="DX202" s="1702">
        <f>IF(DX73&gt;0,1,0)</f>
        <v>0</v>
      </c>
      <c r="DY202" s="1356"/>
      <c r="DZ202" s="1702">
        <f>IF(DZ73&gt;0,1,0)</f>
        <v>1</v>
      </c>
      <c r="EA202" s="1356"/>
      <c r="EB202" s="1702">
        <f>IF(EB73&gt;0,1,0)</f>
        <v>0</v>
      </c>
      <c r="EC202" s="1356"/>
      <c r="ED202" s="1702">
        <f>IF(ED73&gt;0,1,0)</f>
        <v>0</v>
      </c>
      <c r="EE202" s="1356"/>
      <c r="EF202" s="1702">
        <f>IF(EF73&gt;0,1,0)</f>
        <v>1</v>
      </c>
      <c r="EG202" s="1356"/>
      <c r="EH202" s="1702">
        <f>IF(EH73&gt;0,1,0)</f>
        <v>0</v>
      </c>
      <c r="EI202" s="1356"/>
      <c r="EJ202" s="1702">
        <f>IF(EJ73&gt;0,1,0)</f>
        <v>0</v>
      </c>
      <c r="EK202" s="1356"/>
      <c r="EL202" s="1702">
        <f>IF(EL73&gt;0,1,0)</f>
        <v>0</v>
      </c>
      <c r="EM202" s="1356"/>
      <c r="EN202" s="1702">
        <f>IF(EN73&gt;0,1,0)</f>
        <v>0</v>
      </c>
      <c r="EO202" s="1356"/>
      <c r="EP202" s="1702">
        <f>IF(EP73&gt;0,1,0)</f>
        <v>0</v>
      </c>
      <c r="EQ202" s="1356"/>
      <c r="ER202" s="1702">
        <f>IF(ER73&gt;0,1,0)</f>
        <v>0</v>
      </c>
      <c r="ES202" s="1356"/>
      <c r="ET202" s="1702">
        <f>IF(ET73&gt;0,1,0)</f>
        <v>0</v>
      </c>
      <c r="EU202" s="1356"/>
      <c r="EV202" s="1702">
        <f>IF(EV73&gt;0,1,0)</f>
        <v>0</v>
      </c>
      <c r="EW202" s="1356"/>
      <c r="EX202" s="1702">
        <f>IF(EX73&gt;0,1,0)</f>
        <v>0</v>
      </c>
      <c r="EY202" s="1356"/>
      <c r="EZ202" s="1702">
        <f>IF(EZ73&gt;0,1,0)</f>
        <v>0</v>
      </c>
      <c r="FA202" s="1356"/>
      <c r="FB202" s="1702">
        <f>IF(FB73&gt;0,1,0)</f>
        <v>0</v>
      </c>
      <c r="FC202" s="1356"/>
      <c r="FD202" s="1702">
        <f>IF(FD73&gt;0,1,0)</f>
        <v>0</v>
      </c>
      <c r="FE202" s="1356"/>
      <c r="FF202" s="1702">
        <f>IF(FF73&gt;0,1,0)</f>
        <v>0</v>
      </c>
      <c r="FG202" s="1356"/>
      <c r="FH202" s="1702">
        <f>IF(FH73&gt;0,1,0)</f>
        <v>0</v>
      </c>
      <c r="FI202" s="1356"/>
      <c r="FJ202" s="1702">
        <f>IF(FJ73&gt;0,1,0)</f>
        <v>0</v>
      </c>
      <c r="FK202" s="1356"/>
      <c r="FL202" s="1702">
        <f>IF(FL73&gt;0,1,0)</f>
        <v>1</v>
      </c>
      <c r="FM202" s="1356"/>
      <c r="FN202" s="1702">
        <f>IF(FN73&gt;0,1,0)</f>
        <v>1</v>
      </c>
      <c r="FO202" s="1356"/>
      <c r="FP202" s="1702">
        <f>IF(FP73&gt;0,1,0)</f>
        <v>0</v>
      </c>
      <c r="FQ202" s="1356"/>
      <c r="FR202" s="1702">
        <f>IF(FR73&gt;0,1,0)</f>
        <v>0</v>
      </c>
      <c r="FS202" s="1356"/>
      <c r="FT202" s="1702">
        <f>IF(FT73&gt;0,1,0)</f>
        <v>0</v>
      </c>
      <c r="FU202" s="1356"/>
      <c r="FV202" s="1702">
        <f>IF(FV73&gt;0,1,0)</f>
        <v>1</v>
      </c>
      <c r="FW202" s="1356"/>
      <c r="FX202" s="1702">
        <f>IF(FX73&gt;0,1,0)</f>
        <v>1</v>
      </c>
      <c r="FY202" s="1356"/>
      <c r="FZ202" s="1702">
        <f>IF(FZ73&gt;0,1,0)</f>
        <v>0</v>
      </c>
      <c r="GA202" s="1356"/>
      <c r="GB202" s="1702">
        <f>IF(GB73&gt;0,1,0)</f>
        <v>0</v>
      </c>
      <c r="GC202" s="1356"/>
      <c r="GD202" s="1702">
        <f>IF(GD73&gt;0,1,0)</f>
        <v>0</v>
      </c>
      <c r="GE202" s="1356"/>
      <c r="GF202" s="1702">
        <f>IF(GF73&gt;0,1,0)</f>
        <v>1</v>
      </c>
      <c r="GG202" s="1356"/>
      <c r="GH202" s="1702">
        <f>IF(GH73&gt;0,1,0)</f>
        <v>0</v>
      </c>
      <c r="GI202" s="1356"/>
      <c r="GJ202" s="1702">
        <f>IF(GJ73&gt;0,1,0)</f>
        <v>0</v>
      </c>
      <c r="GK202" s="1356"/>
      <c r="GL202" s="1702">
        <f>IF(GL73&gt;0,1,0)</f>
        <v>0</v>
      </c>
      <c r="GM202" s="1356"/>
      <c r="GN202" s="1702">
        <f>IF(GN73&gt;0,1,0)</f>
        <v>0</v>
      </c>
      <c r="GO202" s="1356"/>
      <c r="GP202" s="1702">
        <f>IF(GP73&gt;0,1,0)</f>
        <v>0</v>
      </c>
      <c r="GQ202" s="1356"/>
      <c r="GR202" s="1702">
        <f>IF(GR73&gt;0,1,0)</f>
        <v>0</v>
      </c>
      <c r="GS202" s="1356"/>
      <c r="GT202" s="1702">
        <f>IF(GT73&gt;0,1,0)</f>
        <v>0</v>
      </c>
      <c r="GU202" s="1356"/>
      <c r="GV202" s="1702">
        <f>IF(GV73&gt;0,1,0)</f>
        <v>0</v>
      </c>
      <c r="GW202" s="1356"/>
      <c r="GX202" s="1702">
        <f>IF(GX73&gt;0,1,0)</f>
        <v>0</v>
      </c>
      <c r="GY202" s="1356"/>
      <c r="GZ202" s="1702">
        <f>IF(GZ73&gt;0,1,0)</f>
        <v>1</v>
      </c>
      <c r="HA202" s="1356"/>
      <c r="HB202" s="1702">
        <f>IF(HB73&gt;0,1,0)</f>
        <v>0</v>
      </c>
      <c r="HC202" s="1356"/>
      <c r="HD202" s="1702">
        <f>IF(HD73&gt;0,1,0)</f>
        <v>0</v>
      </c>
      <c r="HE202" s="1356"/>
      <c r="HF202" s="2043">
        <f>IF(HF73&gt;0,1,0)</f>
        <v>0</v>
      </c>
      <c r="HH202" s="1702">
        <f>IF(HH73&gt;0,1,0)</f>
        <v>1</v>
      </c>
      <c r="HI202" s="1356"/>
      <c r="HJ202" s="1702">
        <f>IF(HJ73&gt;0,1,0)</f>
        <v>1</v>
      </c>
      <c r="HK202" s="1356"/>
      <c r="HL202" s="1702">
        <f>IF(HL73&gt;0,1,0)</f>
        <v>0</v>
      </c>
      <c r="HM202" s="1356"/>
      <c r="HN202" s="1702">
        <f>IF(HN73&gt;0,1,0)</f>
        <v>0</v>
      </c>
      <c r="HO202" s="1356"/>
      <c r="HP202" s="2043">
        <f>IF(HP73&gt;0,1,0)</f>
        <v>0</v>
      </c>
      <c r="HR202" s="1702">
        <f>IF(HR73&gt;0,1,0)</f>
        <v>0</v>
      </c>
      <c r="HS202" s="1356"/>
      <c r="HT202" s="2043">
        <f>IF(HT73&gt;0,1,0)</f>
        <v>1</v>
      </c>
      <c r="HV202" s="2043">
        <f>IF(HV73&gt;0,1,0)</f>
        <v>1</v>
      </c>
      <c r="HX202" s="2043">
        <f>IF(HX73&gt;0,1,0)</f>
        <v>0</v>
      </c>
      <c r="HZ202" s="2043">
        <f>IF(HZ73&gt;0,1,0)</f>
        <v>0</v>
      </c>
      <c r="IB202" s="1702">
        <f>IF(IB73&gt;0,1,0)</f>
        <v>0</v>
      </c>
      <c r="IC202" s="1356"/>
      <c r="ID202" s="2043">
        <f>IF(ID73&gt;0,1,0)</f>
        <v>0</v>
      </c>
      <c r="IF202" s="2043">
        <f>IF(IF73&gt;0,1,0)</f>
        <v>0</v>
      </c>
    </row>
    <row r="203" spans="1:241">
      <c r="A203" s="1149"/>
      <c r="B203" s="1149" t="s">
        <v>1250</v>
      </c>
      <c r="C203" s="1149"/>
      <c r="D203" s="1149"/>
      <c r="E203" s="1143"/>
      <c r="F203" s="1702">
        <f>F73/12</f>
        <v>0</v>
      </c>
      <c r="G203" s="1356"/>
      <c r="H203" s="1702">
        <f>H73/12</f>
        <v>0</v>
      </c>
      <c r="I203" s="1356"/>
      <c r="J203" s="1702">
        <f>J73/12</f>
        <v>0</v>
      </c>
      <c r="K203" s="1356"/>
      <c r="L203" s="1702">
        <f>L73/12</f>
        <v>0</v>
      </c>
      <c r="M203" s="1356"/>
      <c r="N203" s="1702">
        <f>N73/12</f>
        <v>200</v>
      </c>
      <c r="O203" s="1356"/>
      <c r="P203" s="1702">
        <f>P73/12</f>
        <v>0</v>
      </c>
      <c r="Q203" s="1356"/>
      <c r="R203" s="1702">
        <f>R73/12</f>
        <v>0</v>
      </c>
      <c r="T203" s="1702">
        <f>T73/12</f>
        <v>70</v>
      </c>
      <c r="U203" s="1356"/>
      <c r="V203" s="1702">
        <f>V73/12</f>
        <v>0</v>
      </c>
      <c r="W203" s="1356"/>
      <c r="X203" s="1702">
        <f>X73/12</f>
        <v>0</v>
      </c>
      <c r="Y203" s="1356"/>
      <c r="Z203" s="1702">
        <f>Z73/12</f>
        <v>0</v>
      </c>
      <c r="AA203" s="1356"/>
      <c r="AB203" s="1702">
        <f>AB73/12</f>
        <v>0</v>
      </c>
      <c r="AC203" s="1356"/>
      <c r="AD203" s="1702">
        <f>AD73/12</f>
        <v>175</v>
      </c>
      <c r="AE203" s="1356"/>
      <c r="AF203" s="1702">
        <f>AF73/12</f>
        <v>0</v>
      </c>
      <c r="AG203" s="1356"/>
      <c r="AH203" s="1702">
        <f>AH73/12</f>
        <v>72.916666666666671</v>
      </c>
      <c r="AI203" s="1356"/>
      <c r="AJ203" s="1702">
        <f>AJ73/12</f>
        <v>0</v>
      </c>
      <c r="AK203" s="1356"/>
      <c r="AL203" s="1702">
        <f>AL73/12</f>
        <v>0</v>
      </c>
      <c r="AM203" s="1356"/>
      <c r="AN203" s="1702">
        <f>AN73/12</f>
        <v>0</v>
      </c>
      <c r="AO203" s="1356"/>
      <c r="AP203" s="1702">
        <f>AP73/12</f>
        <v>0</v>
      </c>
      <c r="AQ203" s="1356"/>
      <c r="AR203" s="1702">
        <f>AR73/12</f>
        <v>0</v>
      </c>
      <c r="AS203" s="1356"/>
      <c r="AT203" s="1702">
        <f>AT73/12</f>
        <v>0</v>
      </c>
      <c r="AU203" s="1356"/>
      <c r="AV203" s="1702">
        <f>AV73/12</f>
        <v>53.5</v>
      </c>
      <c r="AW203" s="1356"/>
      <c r="AX203" s="1702">
        <f>AX73/12</f>
        <v>52.5</v>
      </c>
      <c r="AY203" s="1356"/>
      <c r="AZ203" s="1702">
        <f>AZ73/12</f>
        <v>0</v>
      </c>
      <c r="BA203" s="1356"/>
      <c r="BB203" s="1702">
        <f>BB73/12</f>
        <v>56.25</v>
      </c>
      <c r="BC203" s="1356"/>
      <c r="BD203" s="1702">
        <f>BD73/12</f>
        <v>62.5</v>
      </c>
      <c r="BE203" s="1356"/>
      <c r="BF203" s="1702">
        <f>BF73/12</f>
        <v>0</v>
      </c>
      <c r="BG203" s="1356"/>
      <c r="BH203" s="1702">
        <f>BH73/12</f>
        <v>0</v>
      </c>
      <c r="BI203" s="1356"/>
      <c r="BJ203" s="1702">
        <f>BJ73/12</f>
        <v>76.666666666666671</v>
      </c>
      <c r="BK203" s="1356"/>
      <c r="BL203" s="1702">
        <f>BL73/12</f>
        <v>0</v>
      </c>
      <c r="BM203" s="1356"/>
      <c r="BN203" s="1702">
        <f>BN73/12</f>
        <v>0</v>
      </c>
      <c r="BO203" s="1356"/>
      <c r="BP203" s="1702">
        <f>BP73/12</f>
        <v>0</v>
      </c>
      <c r="BQ203" s="1356"/>
      <c r="BR203" s="1702">
        <f>BR73/12</f>
        <v>0</v>
      </c>
      <c r="BS203" s="1356"/>
      <c r="BT203" s="1702">
        <f>BT73/12</f>
        <v>75</v>
      </c>
      <c r="BU203" s="1356"/>
      <c r="BV203" s="1702">
        <f>BV73/12</f>
        <v>0</v>
      </c>
      <c r="BW203" s="1356"/>
      <c r="BX203" s="1702">
        <f>BX73/12</f>
        <v>0</v>
      </c>
      <c r="BY203" s="1356"/>
      <c r="BZ203" s="1702">
        <f>BZ73/12</f>
        <v>50</v>
      </c>
      <c r="CA203" s="1356"/>
      <c r="CB203" s="1702">
        <f>CB73/12</f>
        <v>0</v>
      </c>
      <c r="CC203" s="1356"/>
      <c r="CD203" s="1702">
        <f>CD73/12</f>
        <v>0</v>
      </c>
      <c r="CE203" s="1356"/>
      <c r="CF203" s="1702">
        <v>0</v>
      </c>
      <c r="CG203" s="1356"/>
      <c r="CH203" s="1702">
        <v>60</v>
      </c>
      <c r="CI203" s="1356"/>
      <c r="CJ203" s="1702">
        <v>0</v>
      </c>
      <c r="CK203" s="1356"/>
      <c r="CL203" s="1702">
        <v>0</v>
      </c>
      <c r="CM203" s="1356"/>
      <c r="CN203" s="1702">
        <f>CN73/12</f>
        <v>1.6666666666666666E-2</v>
      </c>
      <c r="CO203" s="1356"/>
      <c r="CP203" s="1702">
        <f>CP73/12</f>
        <v>0</v>
      </c>
      <c r="CQ203" s="1356"/>
      <c r="CR203" s="1702">
        <v>0</v>
      </c>
      <c r="CS203" s="1356"/>
      <c r="CT203" s="1702">
        <f>CT73/12</f>
        <v>0</v>
      </c>
      <c r="CU203" s="1356"/>
      <c r="CV203" s="1702">
        <f>CV73/12</f>
        <v>63.333333333333336</v>
      </c>
      <c r="CW203" s="1356"/>
      <c r="CX203" s="1702">
        <f>CX73/12</f>
        <v>200</v>
      </c>
      <c r="CY203" s="1356"/>
      <c r="CZ203" s="1702">
        <v>0</v>
      </c>
      <c r="DA203" s="1356"/>
      <c r="DB203" s="1702">
        <v>0</v>
      </c>
      <c r="DC203" s="1356"/>
      <c r="DD203" s="1702">
        <v>45.833333333333336</v>
      </c>
      <c r="DE203" s="1356"/>
      <c r="DF203" s="1702">
        <v>0</v>
      </c>
      <c r="DG203" s="1356"/>
      <c r="DH203" s="1702">
        <v>0</v>
      </c>
      <c r="DI203" s="1356"/>
      <c r="DJ203" s="1702">
        <v>0</v>
      </c>
      <c r="DK203" s="1356"/>
      <c r="DL203" s="1702">
        <v>0</v>
      </c>
      <c r="DM203" s="1356"/>
      <c r="DN203" s="1702">
        <f>DN73/12</f>
        <v>75</v>
      </c>
      <c r="DO203" s="1356"/>
      <c r="DP203" s="1702">
        <f>DP73/12</f>
        <v>0</v>
      </c>
      <c r="DQ203" s="1356"/>
      <c r="DR203" s="1702">
        <f>DR73/12</f>
        <v>100</v>
      </c>
      <c r="DS203" s="1356"/>
      <c r="DT203" s="1702">
        <f>DT73/12</f>
        <v>165.83333333333334</v>
      </c>
      <c r="DU203" s="1356"/>
      <c r="DV203" s="1702">
        <f>DV73/12</f>
        <v>0</v>
      </c>
      <c r="DW203" s="1356"/>
      <c r="DX203" s="1702">
        <f>DX73/12</f>
        <v>0</v>
      </c>
      <c r="DY203" s="1356"/>
      <c r="DZ203" s="1702">
        <f>DZ73/12</f>
        <v>59</v>
      </c>
      <c r="EA203" s="1356"/>
      <c r="EB203" s="1702">
        <f>EB73/12</f>
        <v>0</v>
      </c>
      <c r="EC203" s="1356"/>
      <c r="ED203" s="1702">
        <f>ED73/12</f>
        <v>0</v>
      </c>
      <c r="EE203" s="1356"/>
      <c r="EF203" s="1702">
        <f>EF73/12</f>
        <v>135</v>
      </c>
      <c r="EG203" s="1356"/>
      <c r="EH203" s="1702">
        <f>EH73/12</f>
        <v>0</v>
      </c>
      <c r="EI203" s="1356"/>
      <c r="EJ203" s="1702">
        <f>EJ73/12</f>
        <v>0</v>
      </c>
      <c r="EK203" s="1356"/>
      <c r="EL203" s="1702">
        <f>EL73/12</f>
        <v>0</v>
      </c>
      <c r="EM203" s="1356"/>
      <c r="EN203" s="1702">
        <f>EN73/12</f>
        <v>0</v>
      </c>
      <c r="EO203" s="1356"/>
      <c r="EP203" s="1702">
        <f>EP73/12</f>
        <v>0</v>
      </c>
      <c r="EQ203" s="1356"/>
      <c r="ER203" s="1702">
        <f>ER73/12</f>
        <v>0</v>
      </c>
      <c r="ES203" s="1356"/>
      <c r="ET203" s="1702">
        <f>ET73/12</f>
        <v>0</v>
      </c>
      <c r="EU203" s="1356"/>
      <c r="EV203" s="1702">
        <f>EV73/12</f>
        <v>0</v>
      </c>
      <c r="EW203" s="1356"/>
      <c r="EX203" s="1702">
        <f>EX73/12</f>
        <v>0</v>
      </c>
      <c r="EY203" s="1356"/>
      <c r="EZ203" s="1702">
        <f>EZ73/12</f>
        <v>0</v>
      </c>
      <c r="FA203" s="1356"/>
      <c r="FB203" s="1702">
        <f>FB73/12</f>
        <v>0</v>
      </c>
      <c r="FC203" s="1356"/>
      <c r="FD203" s="1702">
        <f>FD73/12</f>
        <v>0</v>
      </c>
      <c r="FE203" s="1356"/>
      <c r="FF203" s="1702">
        <f>FF73/12</f>
        <v>0</v>
      </c>
      <c r="FG203" s="1356"/>
      <c r="FH203" s="1702">
        <f>FH73/12</f>
        <v>0</v>
      </c>
      <c r="FI203" s="1356"/>
      <c r="FJ203" s="1702">
        <f>FJ73/12</f>
        <v>0</v>
      </c>
      <c r="FK203" s="1356"/>
      <c r="FL203" s="1702">
        <f>FL73/12</f>
        <v>100</v>
      </c>
      <c r="FM203" s="1356"/>
      <c r="FN203" s="1702">
        <f>FN73/12</f>
        <v>220</v>
      </c>
      <c r="FO203" s="1356"/>
      <c r="FP203" s="1702">
        <f>FP73/12</f>
        <v>0</v>
      </c>
      <c r="FQ203" s="1356"/>
      <c r="FR203" s="1702">
        <f>FR73/12</f>
        <v>0</v>
      </c>
      <c r="FS203" s="1356"/>
      <c r="FT203" s="1702">
        <f>FT73/12</f>
        <v>0</v>
      </c>
      <c r="FU203" s="1356"/>
      <c r="FV203" s="1702">
        <f>FV73/12</f>
        <v>360.41666666666669</v>
      </c>
      <c r="FW203" s="1356"/>
      <c r="FX203" s="1702">
        <f>FX73/12</f>
        <v>48.333333333333336</v>
      </c>
      <c r="FY203" s="1356"/>
      <c r="FZ203" s="1702">
        <f>FZ73/12</f>
        <v>0</v>
      </c>
      <c r="GA203" s="1356"/>
      <c r="GB203" s="1702">
        <f>GB73/12</f>
        <v>0</v>
      </c>
      <c r="GC203" s="1356"/>
      <c r="GD203" s="1702">
        <f>GD73/12</f>
        <v>0</v>
      </c>
      <c r="GE203" s="1356"/>
      <c r="GF203" s="1702">
        <f>GF73/12</f>
        <v>75</v>
      </c>
      <c r="GG203" s="1356"/>
      <c r="GH203" s="1702">
        <f>GH73/12</f>
        <v>0</v>
      </c>
      <c r="GI203" s="1356"/>
      <c r="GJ203" s="1702">
        <f>GJ73/12</f>
        <v>0</v>
      </c>
      <c r="GK203" s="1356"/>
      <c r="GL203" s="1702">
        <f>GL73/12</f>
        <v>0</v>
      </c>
      <c r="GM203" s="1356"/>
      <c r="GN203" s="1702">
        <f>GN73/12</f>
        <v>0</v>
      </c>
      <c r="GO203" s="1356"/>
      <c r="GP203" s="1702">
        <f>GP73/12</f>
        <v>0</v>
      </c>
      <c r="GQ203" s="1356"/>
      <c r="GR203" s="1702">
        <f>GR73/12</f>
        <v>0</v>
      </c>
      <c r="GS203" s="1356"/>
      <c r="GT203" s="1702">
        <f>GT73/12</f>
        <v>0</v>
      </c>
      <c r="GU203" s="1356"/>
      <c r="GV203" s="1702">
        <f>GV73/12</f>
        <v>0</v>
      </c>
      <c r="GW203" s="1356"/>
      <c r="GX203" s="1702">
        <f>GX73/12</f>
        <v>0</v>
      </c>
      <c r="GY203" s="1356"/>
      <c r="GZ203" s="1702">
        <f>GZ73/12</f>
        <v>62.5</v>
      </c>
      <c r="HA203" s="1356"/>
      <c r="HB203" s="1702">
        <f>HB73/12</f>
        <v>0</v>
      </c>
      <c r="HC203" s="1356"/>
      <c r="HD203" s="1702">
        <f>HD73/12</f>
        <v>0</v>
      </c>
      <c r="HE203" s="1356"/>
      <c r="HF203" s="2043">
        <f>HF73/12</f>
        <v>0</v>
      </c>
      <c r="HG203" s="2041"/>
      <c r="HH203" s="1702">
        <f>HH73/12</f>
        <v>133.33333333333334</v>
      </c>
      <c r="HI203" s="1356"/>
      <c r="HJ203" s="1702">
        <f>HJ73/12</f>
        <v>40</v>
      </c>
      <c r="HK203" s="1356"/>
      <c r="HL203" s="1702">
        <f>HL73/12</f>
        <v>0</v>
      </c>
      <c r="HM203" s="1356"/>
      <c r="HN203" s="1702">
        <f>HN73/12</f>
        <v>0</v>
      </c>
      <c r="HO203" s="1356"/>
      <c r="HP203" s="2043">
        <f>HP73/12</f>
        <v>0</v>
      </c>
      <c r="HQ203" s="2041"/>
      <c r="HR203" s="1702">
        <f>HR73/12</f>
        <v>0</v>
      </c>
      <c r="HS203" s="1356"/>
      <c r="HT203" s="2043">
        <f>HT73/12</f>
        <v>84</v>
      </c>
      <c r="HU203" s="2041"/>
      <c r="HV203" s="2043">
        <f>HV73/12</f>
        <v>147.5</v>
      </c>
      <c r="HW203" s="2041"/>
      <c r="HX203" s="2043">
        <f>HX73/12</f>
        <v>0</v>
      </c>
      <c r="HY203" s="2041"/>
      <c r="HZ203" s="2043">
        <f>HZ73/12</f>
        <v>0</v>
      </c>
      <c r="IA203" s="2041"/>
      <c r="IB203" s="1702">
        <f>IB73/12</f>
        <v>0</v>
      </c>
      <c r="IC203" s="1356"/>
      <c r="ID203" s="2043">
        <f>ID73/12</f>
        <v>0</v>
      </c>
      <c r="IE203" s="2041"/>
      <c r="IF203" s="2043">
        <f>IF73/12</f>
        <v>0</v>
      </c>
      <c r="IG203" s="2041"/>
    </row>
    <row r="204" spans="1:241">
      <c r="A204" s="1149"/>
      <c r="B204" s="1149"/>
      <c r="C204" s="1149"/>
      <c r="D204" s="1149"/>
      <c r="E204" s="1143"/>
      <c r="F204" s="1699"/>
      <c r="G204" s="1356"/>
      <c r="H204" s="1699"/>
      <c r="I204" s="1356"/>
      <c r="J204" s="1699"/>
      <c r="K204" s="1356"/>
      <c r="L204" s="1699"/>
      <c r="M204" s="1356"/>
      <c r="N204" s="1699"/>
      <c r="O204" s="1356"/>
      <c r="P204" s="1699"/>
      <c r="Q204" s="1356"/>
      <c r="R204" s="1699"/>
      <c r="T204" s="1699"/>
      <c r="U204" s="1356"/>
      <c r="V204" s="1699"/>
      <c r="W204" s="1356"/>
      <c r="X204" s="1699"/>
      <c r="Y204" s="1356"/>
      <c r="Z204" s="1699"/>
      <c r="AA204" s="1356"/>
      <c r="AB204" s="1699"/>
      <c r="AC204" s="1356"/>
      <c r="AD204" s="1699"/>
      <c r="AE204" s="1356"/>
      <c r="AF204" s="1699"/>
      <c r="AG204" s="1356"/>
      <c r="AH204" s="1699"/>
      <c r="AI204" s="1356"/>
      <c r="AJ204" s="1699"/>
      <c r="AK204" s="1356"/>
      <c r="AL204" s="1699"/>
      <c r="AM204" s="1356"/>
      <c r="AN204" s="1699"/>
      <c r="AO204" s="1356"/>
      <c r="AP204" s="1699"/>
      <c r="AQ204" s="1356"/>
      <c r="AR204" s="1699"/>
      <c r="AS204" s="1356"/>
      <c r="AT204" s="1699"/>
      <c r="AU204" s="1356"/>
      <c r="AV204" s="1699"/>
      <c r="AW204" s="1356"/>
      <c r="AX204" s="1699"/>
      <c r="AY204" s="1356"/>
      <c r="AZ204" s="1699"/>
      <c r="BA204" s="1356"/>
      <c r="BB204" s="1699"/>
      <c r="BC204" s="1356"/>
      <c r="BD204" s="1699"/>
      <c r="BE204" s="1356"/>
      <c r="BF204" s="1699"/>
      <c r="BG204" s="1356"/>
      <c r="BH204" s="1699"/>
      <c r="BI204" s="1356"/>
      <c r="BJ204" s="1699"/>
      <c r="BK204" s="1356"/>
      <c r="BL204" s="1699"/>
      <c r="BM204" s="1356"/>
      <c r="BN204" s="1699"/>
      <c r="BO204" s="1356"/>
      <c r="BP204" s="1699"/>
      <c r="BQ204" s="1356"/>
      <c r="BR204" s="1699"/>
      <c r="BS204" s="1356"/>
      <c r="BT204" s="1699"/>
      <c r="BU204" s="1356"/>
      <c r="BV204" s="1699"/>
      <c r="BW204" s="1356"/>
      <c r="BX204" s="1699"/>
      <c r="BY204" s="1356"/>
      <c r="BZ204" s="1699"/>
      <c r="CA204" s="1356"/>
      <c r="CB204" s="1699"/>
      <c r="CC204" s="1356"/>
      <c r="CD204" s="1699"/>
      <c r="CE204" s="1356"/>
      <c r="CF204" s="1699"/>
      <c r="CG204" s="1356"/>
      <c r="CH204" s="1699"/>
      <c r="CI204" s="1356"/>
      <c r="CJ204" s="1699"/>
      <c r="CK204" s="1356"/>
      <c r="CL204" s="1699"/>
      <c r="CM204" s="1356"/>
      <c r="CN204" s="1699"/>
      <c r="CO204" s="1356"/>
      <c r="CP204" s="1699"/>
      <c r="CQ204" s="1356"/>
      <c r="CR204" s="1699"/>
      <c r="CS204" s="1356"/>
      <c r="CT204" s="1699"/>
      <c r="CU204" s="1356"/>
      <c r="CV204" s="1699"/>
      <c r="CW204" s="1356"/>
      <c r="CX204" s="1699"/>
      <c r="CY204" s="1356"/>
      <c r="CZ204" s="1699"/>
      <c r="DA204" s="1356"/>
      <c r="DB204" s="1699"/>
      <c r="DC204" s="1356"/>
      <c r="DD204" s="1699"/>
      <c r="DE204" s="1356"/>
      <c r="DF204" s="1699"/>
      <c r="DG204" s="1356"/>
      <c r="DH204" s="1699"/>
      <c r="DI204" s="1356"/>
      <c r="DJ204" s="1699"/>
      <c r="DK204" s="1356"/>
      <c r="DL204" s="1699"/>
      <c r="DM204" s="1356"/>
      <c r="DN204" s="1699"/>
      <c r="DO204" s="1356"/>
      <c r="DP204" s="1699"/>
      <c r="DQ204" s="1356"/>
      <c r="DR204" s="1699"/>
      <c r="DS204" s="1356"/>
      <c r="DT204" s="1699"/>
      <c r="DU204" s="1356"/>
      <c r="DV204" s="1699"/>
      <c r="DW204" s="1356"/>
      <c r="DX204" s="1699"/>
      <c r="DY204" s="1356"/>
      <c r="DZ204" s="1699"/>
      <c r="EA204" s="1356"/>
      <c r="EB204" s="1699"/>
      <c r="EC204" s="1356"/>
      <c r="ED204" s="1699"/>
      <c r="EE204" s="1356"/>
      <c r="EF204" s="1699"/>
      <c r="EG204" s="1356"/>
      <c r="EH204" s="1699"/>
      <c r="EI204" s="1356"/>
      <c r="EJ204" s="1699"/>
      <c r="EK204" s="1356"/>
      <c r="EL204" s="1699"/>
      <c r="EM204" s="1356"/>
      <c r="EN204" s="1699"/>
      <c r="EO204" s="1356"/>
      <c r="EP204" s="1699"/>
      <c r="EQ204" s="1356"/>
      <c r="ER204" s="1699"/>
      <c r="ES204" s="1356"/>
      <c r="ET204" s="1699"/>
      <c r="EU204" s="1356"/>
      <c r="EV204" s="1699"/>
      <c r="EW204" s="1356"/>
      <c r="EX204" s="1699"/>
      <c r="EY204" s="1356"/>
      <c r="EZ204" s="1699"/>
      <c r="FA204" s="1356"/>
      <c r="FB204" s="1699"/>
      <c r="FC204" s="1356"/>
      <c r="FD204" s="1699"/>
      <c r="FE204" s="1356"/>
      <c r="FF204" s="1699"/>
      <c r="FG204" s="1356"/>
      <c r="FH204" s="1699"/>
      <c r="FI204" s="1356"/>
      <c r="FJ204" s="1699"/>
      <c r="FK204" s="1356"/>
      <c r="FL204" s="1699"/>
      <c r="FM204" s="1356"/>
      <c r="FN204" s="1699"/>
      <c r="FO204" s="1356"/>
      <c r="FP204" s="1699"/>
      <c r="FQ204" s="1356"/>
      <c r="FR204" s="1699"/>
      <c r="FS204" s="1356"/>
      <c r="FT204" s="1699"/>
      <c r="FU204" s="1356"/>
      <c r="FV204" s="1699"/>
      <c r="FW204" s="1356"/>
      <c r="FX204" s="1699"/>
      <c r="FY204" s="1356"/>
      <c r="FZ204" s="1699"/>
      <c r="GA204" s="1356"/>
      <c r="GB204" s="1699"/>
      <c r="GC204" s="1356"/>
      <c r="GD204" s="1699"/>
      <c r="GE204" s="1356"/>
      <c r="GF204" s="1699"/>
      <c r="GG204" s="1356"/>
      <c r="GH204" s="1699"/>
      <c r="GI204" s="1356"/>
      <c r="GJ204" s="1699"/>
      <c r="GK204" s="1356"/>
      <c r="GL204" s="1699"/>
      <c r="GM204" s="1356"/>
      <c r="GN204" s="1699"/>
      <c r="GO204" s="1356"/>
      <c r="GP204" s="1699"/>
      <c r="GQ204" s="1356"/>
      <c r="GR204" s="1699"/>
      <c r="GS204" s="1356"/>
      <c r="GT204" s="1699"/>
      <c r="GU204" s="1356"/>
      <c r="GV204" s="1699"/>
      <c r="GW204" s="1356"/>
      <c r="GX204" s="1699"/>
      <c r="GY204" s="1356"/>
      <c r="GZ204" s="1699"/>
      <c r="HA204" s="1356"/>
      <c r="HB204" s="1699"/>
      <c r="HC204" s="1356"/>
      <c r="HD204" s="1699"/>
      <c r="HE204" s="1356"/>
      <c r="HF204" s="2042"/>
      <c r="HH204" s="1699"/>
      <c r="HI204" s="1356"/>
      <c r="HJ204" s="1699"/>
      <c r="HK204" s="1356"/>
      <c r="HL204" s="1699"/>
      <c r="HM204" s="1356"/>
      <c r="HN204" s="1699"/>
      <c r="HO204" s="1356"/>
      <c r="HP204" s="2042"/>
      <c r="HR204" s="1699"/>
      <c r="HS204" s="1356"/>
      <c r="HT204" s="2042"/>
      <c r="HV204" s="2042"/>
      <c r="HX204" s="2042"/>
      <c r="HZ204" s="2042"/>
      <c r="IB204" s="1699"/>
      <c r="IC204" s="1356"/>
      <c r="ID204" s="2042"/>
      <c r="IF204" s="2042"/>
    </row>
    <row r="205" spans="1:241">
      <c r="A205" s="1149"/>
      <c r="B205" s="1149" t="s">
        <v>614</v>
      </c>
      <c r="C205" s="1160"/>
      <c r="D205" s="1149"/>
      <c r="E205" s="1143"/>
      <c r="F205" s="1702">
        <f>IF(AND(F72&gt;0,F73&gt;0),1,0)</f>
        <v>0</v>
      </c>
      <c r="G205" s="1356"/>
      <c r="H205" s="1702">
        <f>IF(AND(H72&gt;0,H73&gt;0),1,0)</f>
        <v>0</v>
      </c>
      <c r="I205" s="1356"/>
      <c r="J205" s="1702">
        <f>IF(AND(J72&gt;0,J73&gt;0),1,0)</f>
        <v>0</v>
      </c>
      <c r="K205" s="1356"/>
      <c r="L205" s="1702">
        <f>IF(AND(L72&gt;0,L73&gt;0),1,0)</f>
        <v>0</v>
      </c>
      <c r="M205" s="1356"/>
      <c r="N205" s="1702">
        <f>IF(AND(N72&gt;0,N73&gt;0),1,0)</f>
        <v>0</v>
      </c>
      <c r="O205" s="1356"/>
      <c r="P205" s="1702">
        <f>IF(AND(P72&gt;0,P73&gt;0),1,0)</f>
        <v>0</v>
      </c>
      <c r="Q205" s="1356"/>
      <c r="R205" s="1702">
        <f>IF(AND(R72&gt;0,R73&gt;0),1,0)</f>
        <v>0</v>
      </c>
      <c r="T205" s="1702">
        <f>IF(AND(T72&gt;0,T73&gt;0),1,0)</f>
        <v>1</v>
      </c>
      <c r="U205" s="1356"/>
      <c r="V205" s="1702">
        <f>IF(AND(V72&gt;0,V73&gt;0),1,0)</f>
        <v>0</v>
      </c>
      <c r="W205" s="1356"/>
      <c r="X205" s="1702">
        <f>IF(AND(X72&gt;0,X73&gt;0),1,0)</f>
        <v>0</v>
      </c>
      <c r="Y205" s="1356"/>
      <c r="Z205" s="1702">
        <f>IF(AND(Z72&gt;0,Z73&gt;0),1,0)</f>
        <v>0</v>
      </c>
      <c r="AA205" s="1356"/>
      <c r="AB205" s="1702">
        <f>IF(AND(AB72&gt;0,AB73&gt;0),1,0)</f>
        <v>0</v>
      </c>
      <c r="AC205" s="1356"/>
      <c r="AD205" s="1702">
        <f>IF(AND(AD72&gt;0,AD73&gt;0),1,0)</f>
        <v>1</v>
      </c>
      <c r="AE205" s="1356"/>
      <c r="AF205" s="1702">
        <f>IF(AND(AF72&gt;0,AF73&gt;0),1,0)</f>
        <v>0</v>
      </c>
      <c r="AG205" s="1356"/>
      <c r="AH205" s="1702">
        <f>IF(AND(AH72&gt;0,AH73&gt;0),1,0)</f>
        <v>0</v>
      </c>
      <c r="AI205" s="1356"/>
      <c r="AJ205" s="1702">
        <f>IF(AND(AJ72&gt;0,AJ73&gt;0),1,0)</f>
        <v>0</v>
      </c>
      <c r="AK205" s="1356"/>
      <c r="AL205" s="1702">
        <f>IF(AND(AL72&gt;0,AL73&gt;0),1,0)</f>
        <v>0</v>
      </c>
      <c r="AM205" s="1356"/>
      <c r="AN205" s="1702">
        <f>IF(AND(AN72&gt;0,AN73&gt;0),1,0)</f>
        <v>0</v>
      </c>
      <c r="AO205" s="1356"/>
      <c r="AP205" s="1702">
        <f>IF(AND(AP72&gt;0,AP73&gt;0),1,0)</f>
        <v>0</v>
      </c>
      <c r="AQ205" s="1356"/>
      <c r="AR205" s="1702">
        <f>IF(AND(AR72&gt;0,AR73&gt;0),1,0)</f>
        <v>0</v>
      </c>
      <c r="AS205" s="1356"/>
      <c r="AT205" s="1702">
        <f>IF(AND(AT72&gt;0,AT73&gt;0),1,0)</f>
        <v>0</v>
      </c>
      <c r="AU205" s="1356"/>
      <c r="AV205" s="1702">
        <f>IF(AND(AV72&gt;0,AV73&gt;0),1,0)</f>
        <v>1</v>
      </c>
      <c r="AW205" s="1356"/>
      <c r="AX205" s="1702">
        <f>IF(AND(AX72&gt;0,AX73&gt;0),1,0)</f>
        <v>1</v>
      </c>
      <c r="AY205" s="1356"/>
      <c r="AZ205" s="1702">
        <f>IF(AND(AZ72&gt;0,AZ73&gt;0),1,0)</f>
        <v>0</v>
      </c>
      <c r="BA205" s="1356"/>
      <c r="BB205" s="1702">
        <f>IF(AND(BB72&gt;0,BB73&gt;0),1,0)</f>
        <v>0</v>
      </c>
      <c r="BC205" s="1356"/>
      <c r="BD205" s="1702">
        <f>IF(AND(BD72&gt;0,BD73&gt;0),1,0)</f>
        <v>0</v>
      </c>
      <c r="BE205" s="1356"/>
      <c r="BF205" s="1702">
        <f>IF(AND(BF72&gt;0,BF73&gt;0),1,0)</f>
        <v>0</v>
      </c>
      <c r="BG205" s="1356"/>
      <c r="BH205" s="1702">
        <f>IF(AND(BH72&gt;0,BH73&gt;0),1,0)</f>
        <v>0</v>
      </c>
      <c r="BI205" s="1356"/>
      <c r="BJ205" s="1702">
        <f>IF(AND(BJ72&gt;0,BJ73&gt;0),1,0)</f>
        <v>0</v>
      </c>
      <c r="BK205" s="1356"/>
      <c r="BL205" s="1702">
        <f>IF(AND(BL72&gt;0,BL73&gt;0),1,0)</f>
        <v>0</v>
      </c>
      <c r="BM205" s="1356"/>
      <c r="BN205" s="1702">
        <f>IF(AND(BN72&gt;0,BN73&gt;0),1,0)</f>
        <v>0</v>
      </c>
      <c r="BO205" s="1356"/>
      <c r="BP205" s="1702">
        <f>IF(AND(BP72&gt;0,BP73&gt;0),1,0)</f>
        <v>0</v>
      </c>
      <c r="BQ205" s="1356"/>
      <c r="BR205" s="1702">
        <f>IF(AND(BR72&gt;0,BR73&gt;0),1,0)</f>
        <v>0</v>
      </c>
      <c r="BS205" s="1356"/>
      <c r="BT205" s="1702">
        <f>IF(AND(BT72&gt;0,BT73&gt;0),1,0)</f>
        <v>0</v>
      </c>
      <c r="BU205" s="1356"/>
      <c r="BV205" s="1702">
        <f>IF(AND(BV72&gt;0,BV73&gt;0),1,0)</f>
        <v>0</v>
      </c>
      <c r="BW205" s="1356"/>
      <c r="BX205" s="1702">
        <f>IF(AND(BX72&gt;0,BX73&gt;0),1,0)</f>
        <v>0</v>
      </c>
      <c r="BY205" s="1356"/>
      <c r="BZ205" s="1702">
        <f>IF(AND(BZ72&gt;0,BZ73&gt;0),1,0)</f>
        <v>0</v>
      </c>
      <c r="CA205" s="1356"/>
      <c r="CB205" s="1702">
        <f>IF(AND(CB72&gt;0,CB73&gt;0),1,0)</f>
        <v>0</v>
      </c>
      <c r="CC205" s="1356"/>
      <c r="CD205" s="1702">
        <f>IF(AND(CD72&gt;0,CD73&gt;0),1,0)</f>
        <v>0</v>
      </c>
      <c r="CE205" s="1356"/>
      <c r="CF205" s="1702">
        <v>0</v>
      </c>
      <c r="CG205" s="1356"/>
      <c r="CH205" s="1702">
        <v>0</v>
      </c>
      <c r="CI205" s="1356"/>
      <c r="CJ205" s="1702">
        <v>0</v>
      </c>
      <c r="CK205" s="1356"/>
      <c r="CL205" s="1702">
        <v>0</v>
      </c>
      <c r="CM205" s="1356"/>
      <c r="CN205" s="1702">
        <f>IF(AND(CN72&gt;0,CN73&gt;0),1,0)</f>
        <v>0</v>
      </c>
      <c r="CO205" s="1356"/>
      <c r="CP205" s="1702">
        <f>IF(AND(CP72&gt;0,CP73&gt;0),1,0)</f>
        <v>0</v>
      </c>
      <c r="CQ205" s="1356"/>
      <c r="CR205" s="1702">
        <v>0</v>
      </c>
      <c r="CS205" s="1356"/>
      <c r="CT205" s="1702">
        <f>IF(AND(CT72&gt;0,CT73&gt;0),1,0)</f>
        <v>0</v>
      </c>
      <c r="CU205" s="1356"/>
      <c r="CV205" s="1702">
        <f>IF(AND(CV72&gt;0,CV73&gt;0),1,0)</f>
        <v>0</v>
      </c>
      <c r="CW205" s="1356"/>
      <c r="CX205" s="1702">
        <f>IF(AND(CX72&gt;0,CX73&gt;0),1,0)</f>
        <v>1</v>
      </c>
      <c r="CY205" s="1356"/>
      <c r="CZ205" s="1702">
        <v>0</v>
      </c>
      <c r="DA205" s="1356"/>
      <c r="DB205" s="1702">
        <v>0</v>
      </c>
      <c r="DC205" s="1356"/>
      <c r="DD205" s="1702">
        <v>1</v>
      </c>
      <c r="DE205" s="1356"/>
      <c r="DF205" s="1702">
        <v>0</v>
      </c>
      <c r="DG205" s="1356"/>
      <c r="DH205" s="1702">
        <v>0</v>
      </c>
      <c r="DI205" s="1356"/>
      <c r="DJ205" s="1702">
        <v>0</v>
      </c>
      <c r="DK205" s="1356"/>
      <c r="DL205" s="1702">
        <v>0</v>
      </c>
      <c r="DM205" s="1356"/>
      <c r="DN205" s="1702">
        <f>IF(AND(DN72&gt;0,DN73&gt;0),1,0)</f>
        <v>0</v>
      </c>
      <c r="DO205" s="1356"/>
      <c r="DP205" s="1702">
        <f>IF(AND(DP72&gt;0,DP73&gt;0),1,0)</f>
        <v>0</v>
      </c>
      <c r="DQ205" s="1356"/>
      <c r="DR205" s="1702">
        <f>IF(AND(DR72&gt;0,DR73&gt;0),1,0)</f>
        <v>1</v>
      </c>
      <c r="DS205" s="1356"/>
      <c r="DT205" s="1702">
        <f>IF(AND(DT72&gt;0,DT73&gt;0),1,0)</f>
        <v>0</v>
      </c>
      <c r="DU205" s="1356"/>
      <c r="DV205" s="1702">
        <f>IF(AND(DV72&gt;0,DV73&gt;0),1,0)</f>
        <v>0</v>
      </c>
      <c r="DW205" s="1356"/>
      <c r="DX205" s="1702">
        <f>IF(AND(DX72&gt;0,DX73&gt;0),1,0)</f>
        <v>0</v>
      </c>
      <c r="DY205" s="1356"/>
      <c r="DZ205" s="1702">
        <f>IF(AND(DZ72&gt;0,DZ73&gt;0),1,0)</f>
        <v>1</v>
      </c>
      <c r="EA205" s="1356"/>
      <c r="EB205" s="1702">
        <f>IF(AND(EB72&gt;0,EB73&gt;0),1,0)</f>
        <v>0</v>
      </c>
      <c r="EC205" s="1356"/>
      <c r="ED205" s="1702">
        <f>IF(AND(ED72&gt;0,ED73&gt;0),1,0)</f>
        <v>0</v>
      </c>
      <c r="EE205" s="1356"/>
      <c r="EF205" s="1702">
        <f>IF(AND(EF72&gt;0,EF73&gt;0),1,0)</f>
        <v>1</v>
      </c>
      <c r="EG205" s="1356"/>
      <c r="EH205" s="1702">
        <f>IF(AND(EH72&gt;0,EH73&gt;0),1,0)</f>
        <v>0</v>
      </c>
      <c r="EI205" s="1356"/>
      <c r="EJ205" s="1702">
        <f>IF(AND(EJ72&gt;0,EJ73&gt;0),1,0)</f>
        <v>0</v>
      </c>
      <c r="EK205" s="1356"/>
      <c r="EL205" s="1702">
        <f>IF(AND(EL72&gt;0,EL73&gt;0),1,0)</f>
        <v>0</v>
      </c>
      <c r="EM205" s="1356"/>
      <c r="EN205" s="1702">
        <f>IF(AND(EN72&gt;0,EN73&gt;0),1,0)</f>
        <v>0</v>
      </c>
      <c r="EO205" s="1356"/>
      <c r="EP205" s="1702">
        <f>IF(AND(EP72&gt;0,EP73&gt;0),1,0)</f>
        <v>0</v>
      </c>
      <c r="EQ205" s="1356"/>
      <c r="ER205" s="1702">
        <f>IF(AND(ER72&gt;0,ER73&gt;0),1,0)</f>
        <v>0</v>
      </c>
      <c r="ES205" s="1356"/>
      <c r="ET205" s="1702">
        <f>IF(AND(ET72&gt;0,ET73&gt;0),1,0)</f>
        <v>0</v>
      </c>
      <c r="EU205" s="1356"/>
      <c r="EV205" s="1702">
        <f>IF(AND(EV72&gt;0,EV73&gt;0),1,0)</f>
        <v>0</v>
      </c>
      <c r="EW205" s="1356"/>
      <c r="EX205" s="1702">
        <f>IF(AND(EX72&gt;0,EX73&gt;0),1,0)</f>
        <v>0</v>
      </c>
      <c r="EY205" s="1356"/>
      <c r="EZ205" s="1702">
        <f>IF(AND(EZ72&gt;0,EZ73&gt;0),1,0)</f>
        <v>0</v>
      </c>
      <c r="FA205" s="1356"/>
      <c r="FB205" s="1702">
        <f>IF(AND(FB72&gt;0,FB73&gt;0),1,0)</f>
        <v>0</v>
      </c>
      <c r="FC205" s="1356"/>
      <c r="FD205" s="1702">
        <f>IF(AND(FD72&gt;0,FD73&gt;0),1,0)</f>
        <v>0</v>
      </c>
      <c r="FE205" s="1356"/>
      <c r="FF205" s="1702">
        <f>IF(AND(FF72&gt;0,FF73&gt;0),1,0)</f>
        <v>0</v>
      </c>
      <c r="FG205" s="1356"/>
      <c r="FH205" s="1702">
        <f>IF(AND(FH72&gt;0,FH73&gt;0),1,0)</f>
        <v>0</v>
      </c>
      <c r="FI205" s="1356"/>
      <c r="FJ205" s="1702">
        <f>IF(AND(FJ72&gt;0,FJ73&gt;0),1,0)</f>
        <v>0</v>
      </c>
      <c r="FK205" s="1356"/>
      <c r="FL205" s="1702">
        <f>IF(AND(FL72&gt;0,FL73&gt;0),1,0)</f>
        <v>1</v>
      </c>
      <c r="FM205" s="1356"/>
      <c r="FN205" s="1702">
        <f>IF(AND(FN72&gt;0,FN73&gt;0),1,0)</f>
        <v>0</v>
      </c>
      <c r="FO205" s="1356"/>
      <c r="FP205" s="1702">
        <f>IF(AND(FP72&gt;0,FP73&gt;0),1,0)</f>
        <v>0</v>
      </c>
      <c r="FQ205" s="1356"/>
      <c r="FR205" s="1702">
        <f>IF(AND(FR72&gt;0,FR73&gt;0),1,0)</f>
        <v>0</v>
      </c>
      <c r="FS205" s="1356"/>
      <c r="FT205" s="1702">
        <f>IF(AND(FT72&gt;0,FT73&gt;0),1,0)</f>
        <v>0</v>
      </c>
      <c r="FU205" s="1356"/>
      <c r="FV205" s="1702">
        <f>IF(AND(FV72&gt;0,FV73&gt;0),1,0)</f>
        <v>1</v>
      </c>
      <c r="FW205" s="1356"/>
      <c r="FX205" s="1702">
        <f>IF(AND(FX72&gt;0,FX73&gt;0),1,0)</f>
        <v>1</v>
      </c>
      <c r="FY205" s="1356"/>
      <c r="FZ205" s="1702">
        <f>IF(AND(FZ72&gt;0,FZ73&gt;0),1,0)</f>
        <v>0</v>
      </c>
      <c r="GA205" s="1356"/>
      <c r="GB205" s="1702">
        <f>IF(AND(GB72&gt;0,GB73&gt;0),1,0)</f>
        <v>0</v>
      </c>
      <c r="GC205" s="1356"/>
      <c r="GD205" s="1702">
        <f>IF(AND(GD72&gt;0,GD73&gt;0),1,0)</f>
        <v>0</v>
      </c>
      <c r="GE205" s="1356"/>
      <c r="GF205" s="1702">
        <f>IF(AND(GF72&gt;0,GF73&gt;0),1,0)</f>
        <v>0</v>
      </c>
      <c r="GG205" s="1356"/>
      <c r="GH205" s="1702">
        <f>IF(AND(GH72&gt;0,GH73&gt;0),1,0)</f>
        <v>0</v>
      </c>
      <c r="GI205" s="1356"/>
      <c r="GJ205" s="1702">
        <f>IF(AND(GJ72&gt;0,GJ73&gt;0),1,0)</f>
        <v>0</v>
      </c>
      <c r="GK205" s="1356"/>
      <c r="GL205" s="1702">
        <f>IF(AND(GL72&gt;0,GL73&gt;0),1,0)</f>
        <v>0</v>
      </c>
      <c r="GM205" s="1356"/>
      <c r="GN205" s="1702">
        <f>IF(AND(GN72&gt;0,GN73&gt;0),1,0)</f>
        <v>0</v>
      </c>
      <c r="GO205" s="1356"/>
      <c r="GP205" s="1702">
        <f>IF(AND(GP72&gt;0,GP73&gt;0),1,0)</f>
        <v>0</v>
      </c>
      <c r="GQ205" s="1356"/>
      <c r="GR205" s="1702">
        <f>IF(AND(GR72&gt;0,GR73&gt;0),1,0)</f>
        <v>0</v>
      </c>
      <c r="GS205" s="1356"/>
      <c r="GT205" s="1702">
        <f>IF(AND(GT72&gt;0,GT73&gt;0),1,0)</f>
        <v>0</v>
      </c>
      <c r="GU205" s="1356"/>
      <c r="GV205" s="1702">
        <f>IF(AND(GV72&gt;0,GV73&gt;0),1,0)</f>
        <v>0</v>
      </c>
      <c r="GW205" s="1356"/>
      <c r="GX205" s="1702">
        <f>IF(AND(GX72&gt;0,GX73&gt;0),1,0)</f>
        <v>0</v>
      </c>
      <c r="GY205" s="1356"/>
      <c r="GZ205" s="1702">
        <f>IF(AND(GZ72&gt;0,GZ73&gt;0),1,0)</f>
        <v>0</v>
      </c>
      <c r="HA205" s="1356"/>
      <c r="HB205" s="1702">
        <f>IF(AND(HB72&gt;0,HB73&gt;0),1,0)</f>
        <v>0</v>
      </c>
      <c r="HC205" s="1356"/>
      <c r="HD205" s="1702">
        <f>IF(AND(HD72&gt;0,HD73&gt;0),1,0)</f>
        <v>0</v>
      </c>
      <c r="HE205" s="1356"/>
      <c r="HF205" s="2043">
        <f>IF(AND(HF72&gt;0,HF73&gt;0),1,0)</f>
        <v>0</v>
      </c>
      <c r="HH205" s="1702">
        <f>IF(AND(HH72&gt;0,HH73&gt;0),1,0)</f>
        <v>0</v>
      </c>
      <c r="HI205" s="1356"/>
      <c r="HJ205" s="1702">
        <f>IF(AND(HJ72&gt;0,HJ73&gt;0),1,0)</f>
        <v>0</v>
      </c>
      <c r="HK205" s="1356"/>
      <c r="HL205" s="1702">
        <f>IF(AND(HL72&gt;0,HL73&gt;0),1,0)</f>
        <v>0</v>
      </c>
      <c r="HM205" s="1356"/>
      <c r="HN205" s="1702">
        <f>IF(AND(HN72&gt;0,HN73&gt;0),1,0)</f>
        <v>0</v>
      </c>
      <c r="HO205" s="1356"/>
      <c r="HP205" s="2043">
        <f>IF(AND(HP72&gt;0,HP73&gt;0),1,0)</f>
        <v>0</v>
      </c>
      <c r="HR205" s="1702">
        <f>IF(AND(HR72&gt;0,HR73&gt;0),1,0)</f>
        <v>0</v>
      </c>
      <c r="HS205" s="1356"/>
      <c r="HT205" s="2043">
        <f>IF(AND(HT72&gt;0,HT73&gt;0),1,0)</f>
        <v>1</v>
      </c>
      <c r="HV205" s="2043">
        <f>IF(AND(HV72&gt;0,HV73&gt;0),1,0)</f>
        <v>1</v>
      </c>
      <c r="HX205" s="2043">
        <f>IF(AND(HX72&gt;0,HX73&gt;0),1,0)</f>
        <v>0</v>
      </c>
      <c r="HZ205" s="2043">
        <f>IF(AND(HZ72&gt;0,HZ73&gt;0),1,0)</f>
        <v>0</v>
      </c>
      <c r="IB205" s="1702">
        <f>IF(AND(IB72&gt;0,IB73&gt;0),1,0)</f>
        <v>0</v>
      </c>
      <c r="IC205" s="1356"/>
      <c r="ID205" s="2043">
        <f>IF(AND(ID72&gt;0,ID73&gt;0),1,0)</f>
        <v>0</v>
      </c>
      <c r="IF205" s="2043">
        <f>IF(AND(IF72&gt;0,IF73&gt;0),1,0)</f>
        <v>0</v>
      </c>
    </row>
    <row r="206" spans="1:241">
      <c r="A206" s="1149"/>
      <c r="B206" s="1149"/>
      <c r="C206" s="1149"/>
      <c r="D206" s="1149"/>
      <c r="E206" s="1143"/>
      <c r="F206" s="1699"/>
      <c r="G206" s="1356"/>
      <c r="H206" s="1699"/>
      <c r="I206" s="1356"/>
      <c r="J206" s="1699"/>
      <c r="K206" s="1356"/>
      <c r="L206" s="1699"/>
      <c r="M206" s="1356"/>
      <c r="N206" s="1699"/>
      <c r="O206" s="1356"/>
      <c r="P206" s="1699"/>
      <c r="Q206" s="1356"/>
      <c r="R206" s="1699"/>
      <c r="T206" s="1699"/>
      <c r="U206" s="1356"/>
      <c r="V206" s="1699"/>
      <c r="W206" s="1356"/>
      <c r="X206" s="1699"/>
      <c r="Y206" s="1356"/>
      <c r="Z206" s="1699"/>
      <c r="AA206" s="1356"/>
      <c r="AB206" s="1699"/>
      <c r="AC206" s="1356"/>
      <c r="AD206" s="1699"/>
      <c r="AE206" s="1356"/>
      <c r="AF206" s="1699"/>
      <c r="AG206" s="1356"/>
      <c r="AH206" s="1699"/>
      <c r="AI206" s="1356"/>
      <c r="AJ206" s="1699"/>
      <c r="AK206" s="1356"/>
      <c r="AL206" s="1699"/>
      <c r="AM206" s="1356"/>
      <c r="AN206" s="1699"/>
      <c r="AO206" s="1356"/>
      <c r="AP206" s="1699"/>
      <c r="AQ206" s="1356"/>
      <c r="AR206" s="1699"/>
      <c r="AS206" s="1356"/>
      <c r="AT206" s="1699"/>
      <c r="AU206" s="1356"/>
      <c r="AV206" s="1699"/>
      <c r="AW206" s="1356"/>
      <c r="AX206" s="1699"/>
      <c r="AY206" s="1356"/>
      <c r="AZ206" s="1699"/>
      <c r="BA206" s="1356"/>
      <c r="BB206" s="1699"/>
      <c r="BC206" s="1356"/>
      <c r="BD206" s="1699"/>
      <c r="BE206" s="1356"/>
      <c r="BF206" s="1699"/>
      <c r="BG206" s="1356"/>
      <c r="BH206" s="1699"/>
      <c r="BI206" s="1356"/>
      <c r="BJ206" s="1699"/>
      <c r="BK206" s="1356"/>
      <c r="BL206" s="1699"/>
      <c r="BM206" s="1356"/>
      <c r="BN206" s="1699"/>
      <c r="BO206" s="1356"/>
      <c r="BP206" s="1699"/>
      <c r="BQ206" s="1356"/>
      <c r="BR206" s="1699"/>
      <c r="BS206" s="1356"/>
      <c r="BT206" s="1699"/>
      <c r="BU206" s="1356"/>
      <c r="BV206" s="1699"/>
      <c r="BW206" s="1356"/>
      <c r="BX206" s="1699"/>
      <c r="BY206" s="1356"/>
      <c r="BZ206" s="1699"/>
      <c r="CA206" s="1356"/>
      <c r="CB206" s="1699"/>
      <c r="CC206" s="1356"/>
      <c r="CD206" s="1699"/>
      <c r="CE206" s="1356"/>
      <c r="CF206" s="1699"/>
      <c r="CG206" s="1356"/>
      <c r="CH206" s="1699"/>
      <c r="CI206" s="1356"/>
      <c r="CJ206" s="1699"/>
      <c r="CK206" s="1356"/>
      <c r="CL206" s="1699"/>
      <c r="CM206" s="1356"/>
      <c r="CN206" s="1699"/>
      <c r="CO206" s="1356"/>
      <c r="CP206" s="1699"/>
      <c r="CQ206" s="1356"/>
      <c r="CR206" s="1699"/>
      <c r="CS206" s="1356"/>
      <c r="CT206" s="1699"/>
      <c r="CU206" s="1356"/>
      <c r="CV206" s="1699"/>
      <c r="CW206" s="1356"/>
      <c r="CX206" s="1699"/>
      <c r="CY206" s="1356"/>
      <c r="CZ206" s="1699"/>
      <c r="DA206" s="1356"/>
      <c r="DB206" s="1699"/>
      <c r="DC206" s="1356"/>
      <c r="DD206" s="1699"/>
      <c r="DE206" s="1356"/>
      <c r="DF206" s="1699"/>
      <c r="DG206" s="1356"/>
      <c r="DH206" s="1699"/>
      <c r="DI206" s="1356"/>
      <c r="DJ206" s="1699"/>
      <c r="DK206" s="1356"/>
      <c r="DL206" s="1699"/>
      <c r="DM206" s="1356"/>
      <c r="DN206" s="1699"/>
      <c r="DO206" s="1356"/>
      <c r="DP206" s="1699"/>
      <c r="DQ206" s="1356"/>
      <c r="DR206" s="1699"/>
      <c r="DS206" s="1356"/>
      <c r="DT206" s="1699"/>
      <c r="DU206" s="1356"/>
      <c r="DV206" s="1699"/>
      <c r="DW206" s="1356"/>
      <c r="DX206" s="1699"/>
      <c r="DY206" s="1356"/>
      <c r="DZ206" s="1699"/>
      <c r="EA206" s="1356"/>
      <c r="EB206" s="1699"/>
      <c r="EC206" s="1356"/>
      <c r="ED206" s="1699"/>
      <c r="EE206" s="1356"/>
      <c r="EF206" s="1699"/>
      <c r="EG206" s="1356"/>
      <c r="EH206" s="1699"/>
      <c r="EI206" s="1356"/>
      <c r="EJ206" s="1699"/>
      <c r="EK206" s="1356"/>
      <c r="EL206" s="1699"/>
      <c r="EM206" s="1356"/>
      <c r="EN206" s="1699"/>
      <c r="EO206" s="1356"/>
      <c r="EP206" s="1699"/>
      <c r="EQ206" s="1356"/>
      <c r="ER206" s="1699"/>
      <c r="ES206" s="1356"/>
      <c r="ET206" s="1699"/>
      <c r="EU206" s="1356"/>
      <c r="EV206" s="1699"/>
      <c r="EW206" s="1356"/>
      <c r="EX206" s="1699"/>
      <c r="EY206" s="1356"/>
      <c r="EZ206" s="1699"/>
      <c r="FA206" s="1356"/>
      <c r="FB206" s="1699"/>
      <c r="FC206" s="1356"/>
      <c r="FD206" s="1699"/>
      <c r="FE206" s="1356"/>
      <c r="FF206" s="1699"/>
      <c r="FG206" s="1356"/>
      <c r="FH206" s="1699"/>
      <c r="FI206" s="1356"/>
      <c r="FJ206" s="1699"/>
      <c r="FK206" s="1356"/>
      <c r="FL206" s="1699"/>
      <c r="FM206" s="1356"/>
      <c r="FN206" s="1699"/>
      <c r="FO206" s="1356"/>
      <c r="FP206" s="1699"/>
      <c r="FQ206" s="1356"/>
      <c r="FR206" s="1699"/>
      <c r="FS206" s="1356"/>
      <c r="FT206" s="1699"/>
      <c r="FU206" s="1356"/>
      <c r="FV206" s="1699"/>
      <c r="FW206" s="1356"/>
      <c r="FX206" s="1699"/>
      <c r="FY206" s="1356"/>
      <c r="FZ206" s="1699"/>
      <c r="GA206" s="1356"/>
      <c r="GB206" s="1699"/>
      <c r="GC206" s="1356"/>
      <c r="GD206" s="1699"/>
      <c r="GE206" s="1356"/>
      <c r="GF206" s="1699"/>
      <c r="GG206" s="1356"/>
      <c r="GH206" s="1699"/>
      <c r="GI206" s="1356"/>
      <c r="GJ206" s="1699"/>
      <c r="GK206" s="1356"/>
      <c r="GL206" s="1699"/>
      <c r="GM206" s="1356"/>
      <c r="GN206" s="1699"/>
      <c r="GO206" s="1356"/>
      <c r="GP206" s="1699"/>
      <c r="GQ206" s="1356"/>
      <c r="GR206" s="1699"/>
      <c r="GS206" s="1356"/>
      <c r="GT206" s="1699"/>
      <c r="GU206" s="1356"/>
      <c r="GV206" s="1699"/>
      <c r="GW206" s="1356"/>
      <c r="GX206" s="1699"/>
      <c r="GY206" s="1356"/>
      <c r="GZ206" s="1699"/>
      <c r="HA206" s="1356"/>
      <c r="HB206" s="1699"/>
      <c r="HC206" s="1356"/>
      <c r="HD206" s="1699"/>
      <c r="HE206" s="1356"/>
      <c r="HF206" s="2042"/>
      <c r="HH206" s="1699"/>
      <c r="HI206" s="1356"/>
      <c r="HJ206" s="1699"/>
      <c r="HK206" s="1356"/>
      <c r="HL206" s="1699"/>
      <c r="HM206" s="1356"/>
      <c r="HN206" s="1699"/>
      <c r="HO206" s="1356"/>
      <c r="HP206" s="2042"/>
      <c r="HR206" s="1699"/>
      <c r="HS206" s="1356"/>
      <c r="HT206" s="2042"/>
      <c r="HV206" s="2042"/>
      <c r="HX206" s="2042"/>
      <c r="HZ206" s="2042"/>
      <c r="IB206" s="1699"/>
      <c r="IC206" s="1356"/>
      <c r="ID206" s="2042"/>
      <c r="IF206" s="2042"/>
    </row>
    <row r="207" spans="1:241">
      <c r="A207" s="1149"/>
      <c r="B207" s="1149" t="s">
        <v>1251</v>
      </c>
      <c r="C207" s="1149"/>
      <c r="D207" s="1149"/>
      <c r="E207" s="1143"/>
      <c r="F207" s="1702">
        <f>IF(AND(F199=0,F202=0),1,0)</f>
        <v>0</v>
      </c>
      <c r="G207" s="1356"/>
      <c r="H207" s="1702">
        <f>IF(AND(H199=0,H202=0),1,0)</f>
        <v>0</v>
      </c>
      <c r="I207" s="1356"/>
      <c r="J207" s="1702">
        <f>IF(AND(J199=0,J202=0),1,0)</f>
        <v>0</v>
      </c>
      <c r="K207" s="1356"/>
      <c r="L207" s="1702">
        <f>IF(AND(L199=0,L202=0),1,0)</f>
        <v>0</v>
      </c>
      <c r="M207" s="1356"/>
      <c r="N207" s="1702">
        <f>IF(AND(N199=0,N202=0),1,0)</f>
        <v>0</v>
      </c>
      <c r="O207" s="1356"/>
      <c r="P207" s="1702">
        <f>IF(AND(P199=0,P202=0),1,0)</f>
        <v>0</v>
      </c>
      <c r="Q207" s="1356"/>
      <c r="R207" s="1702">
        <f>IF(AND(R199=0,R202=0),1,0)</f>
        <v>0</v>
      </c>
      <c r="T207" s="1702">
        <f>IF(AND(T199=0,T202=0),1,0)</f>
        <v>0</v>
      </c>
      <c r="U207" s="1356"/>
      <c r="V207" s="1702">
        <f>IF(AND(V199=0,V202=0),1,0)</f>
        <v>0</v>
      </c>
      <c r="W207" s="1356"/>
      <c r="X207" s="1702">
        <f>IF(AND(X199=0,X202=0),1,0)</f>
        <v>0</v>
      </c>
      <c r="Y207" s="1356"/>
      <c r="Z207" s="1702">
        <f>IF(AND(Z199=0,Z202=0),1,0)</f>
        <v>0</v>
      </c>
      <c r="AA207" s="1356"/>
      <c r="AB207" s="1702">
        <f>IF(AND(AB199=0,AB202=0),1,0)</f>
        <v>0</v>
      </c>
      <c r="AC207" s="1356"/>
      <c r="AD207" s="1702">
        <f>IF(AND(AD199=0,AD202=0),1,0)</f>
        <v>0</v>
      </c>
      <c r="AE207" s="1356"/>
      <c r="AF207" s="1702">
        <f>IF(AND(AF199=0,AF202=0),1,0)</f>
        <v>0</v>
      </c>
      <c r="AG207" s="1356"/>
      <c r="AH207" s="1702">
        <f>IF(AND(AH199=0,AH202=0),1,0)</f>
        <v>0</v>
      </c>
      <c r="AI207" s="1356"/>
      <c r="AJ207" s="1702">
        <f>IF(AND(AJ199=0,AJ202=0),1,0)</f>
        <v>1</v>
      </c>
      <c r="AK207" s="1356"/>
      <c r="AL207" s="1702">
        <f>IF(AND(AL199=0,AL202=0),1,0)</f>
        <v>1</v>
      </c>
      <c r="AM207" s="1356"/>
      <c r="AN207" s="1702">
        <f>IF(AND(AN199=0,AN202=0),1,0)</f>
        <v>0</v>
      </c>
      <c r="AO207" s="1356"/>
      <c r="AP207" s="1702">
        <f>IF(AND(AP199=0,AP202=0),1,0)</f>
        <v>1</v>
      </c>
      <c r="AQ207" s="1356"/>
      <c r="AR207" s="1702">
        <f>IF(AND(AR199=0,AR202=0),1,0)</f>
        <v>0</v>
      </c>
      <c r="AS207" s="1356"/>
      <c r="AT207" s="1702">
        <f>IF(AND(AT199=0,AT202=0),1,0)</f>
        <v>0</v>
      </c>
      <c r="AU207" s="1356"/>
      <c r="AV207" s="1702">
        <f>IF(AND(AV199=0,AV202=0),1,0)</f>
        <v>0</v>
      </c>
      <c r="AW207" s="1356"/>
      <c r="AX207" s="1702">
        <f>IF(AND(AX199=0,AX202=0),1,0)</f>
        <v>0</v>
      </c>
      <c r="AY207" s="1356"/>
      <c r="AZ207" s="1702">
        <f>IF(AND(AZ199=0,AZ202=0),1,0)</f>
        <v>0</v>
      </c>
      <c r="BA207" s="1356"/>
      <c r="BB207" s="1702">
        <f>IF(AND(BB199=0,BB202=0),1,0)</f>
        <v>0</v>
      </c>
      <c r="BC207" s="1356"/>
      <c r="BD207" s="1702">
        <f>IF(AND(BD199=0,BD202=0),1,0)</f>
        <v>0</v>
      </c>
      <c r="BE207" s="1356"/>
      <c r="BF207" s="1702">
        <f>IF(AND(BF199=0,BF202=0),1,0)</f>
        <v>0</v>
      </c>
      <c r="BG207" s="1356"/>
      <c r="BH207" s="1702">
        <f>IF(AND(BH199=0,BH202=0),1,0)</f>
        <v>0</v>
      </c>
      <c r="BI207" s="1356"/>
      <c r="BJ207" s="1702">
        <f>IF(AND(BJ199=0,BJ202=0),1,0)</f>
        <v>0</v>
      </c>
      <c r="BK207" s="1356"/>
      <c r="BL207" s="1702">
        <f>IF(AND(BL199=0,BL202=0),1,0)</f>
        <v>0</v>
      </c>
      <c r="BM207" s="1356"/>
      <c r="BN207" s="1702">
        <f>IF(AND(BN199=0,BN202=0),1,0)</f>
        <v>1</v>
      </c>
      <c r="BO207" s="1356"/>
      <c r="BP207" s="1702">
        <f>IF(AND(BP199=0,BP202=0),1,0)</f>
        <v>0</v>
      </c>
      <c r="BQ207" s="1356"/>
      <c r="BR207" s="1702">
        <f>IF(AND(BR199=0,BR202=0),1,0)</f>
        <v>1</v>
      </c>
      <c r="BS207" s="1356"/>
      <c r="BT207" s="1702">
        <f>IF(AND(BT199=0,BT202=0),1,0)</f>
        <v>0</v>
      </c>
      <c r="BU207" s="1356"/>
      <c r="BV207" s="1702">
        <f>IF(AND(BV199=0,BV202=0),1,0)</f>
        <v>0</v>
      </c>
      <c r="BW207" s="1356"/>
      <c r="BX207" s="1702">
        <f>IF(AND(BX199=0,BX202=0),1,0)</f>
        <v>0</v>
      </c>
      <c r="BY207" s="1356"/>
      <c r="BZ207" s="1702">
        <f>IF(AND(BZ199=0,BZ202=0),1,0)</f>
        <v>0</v>
      </c>
      <c r="CA207" s="1356"/>
      <c r="CB207" s="1702">
        <f>IF(AND(CB199=0,CB202=0),1,0)</f>
        <v>1</v>
      </c>
      <c r="CC207" s="1356"/>
      <c r="CD207" s="1702">
        <f>IF(AND(CD199=0,CD202=0),1,0)</f>
        <v>0</v>
      </c>
      <c r="CE207" s="1356"/>
      <c r="CF207" s="1702">
        <v>0</v>
      </c>
      <c r="CG207" s="1356"/>
      <c r="CH207" s="1702">
        <v>0</v>
      </c>
      <c r="CI207" s="1356"/>
      <c r="CJ207" s="1702">
        <v>0</v>
      </c>
      <c r="CK207" s="1356"/>
      <c r="CL207" s="1702">
        <v>0</v>
      </c>
      <c r="CM207" s="1356"/>
      <c r="CN207" s="1702">
        <f>IF(AND(CN199=0,CN202=0),1,0)</f>
        <v>0</v>
      </c>
      <c r="CO207" s="1356"/>
      <c r="CP207" s="1702">
        <f>IF(AND(CP199=0,CP202=0),1,0)</f>
        <v>0</v>
      </c>
      <c r="CQ207" s="1356"/>
      <c r="CR207" s="1702">
        <v>1</v>
      </c>
      <c r="CS207" s="1356"/>
      <c r="CT207" s="1702">
        <f>IF(AND(CT199=0,CT202=0),1,0)</f>
        <v>1</v>
      </c>
      <c r="CU207" s="1356"/>
      <c r="CV207" s="1702">
        <f>IF(AND(CV199=0,CV202=0),1,0)</f>
        <v>0</v>
      </c>
      <c r="CW207" s="1356"/>
      <c r="CX207" s="1702">
        <f>IF(AND(CX199=0,CX202=0),1,0)</f>
        <v>0</v>
      </c>
      <c r="CY207" s="1356"/>
      <c r="CZ207" s="1702">
        <v>0</v>
      </c>
      <c r="DA207" s="1356"/>
      <c r="DB207" s="1702">
        <v>0</v>
      </c>
      <c r="DC207" s="1356"/>
      <c r="DD207" s="1702">
        <v>0</v>
      </c>
      <c r="DE207" s="1356"/>
      <c r="DF207" s="1702">
        <v>1</v>
      </c>
      <c r="DG207" s="1356"/>
      <c r="DH207" s="1702">
        <v>1</v>
      </c>
      <c r="DI207" s="1356"/>
      <c r="DJ207" s="1702">
        <v>1</v>
      </c>
      <c r="DK207" s="1356"/>
      <c r="DL207" s="1702">
        <v>0</v>
      </c>
      <c r="DM207" s="1356"/>
      <c r="DN207" s="1702">
        <f>IF(AND(DN199=0,DN202=0),1,0)</f>
        <v>0</v>
      </c>
      <c r="DO207" s="1356"/>
      <c r="DP207" s="1702">
        <f>IF(AND(DP199=0,DP202=0),1,0)</f>
        <v>1</v>
      </c>
      <c r="DQ207" s="1356"/>
      <c r="DR207" s="1702">
        <f>IF(AND(DR199=0,DR202=0),1,0)</f>
        <v>0</v>
      </c>
      <c r="DS207" s="1356"/>
      <c r="DT207" s="1702">
        <f>IF(AND(DT199=0,DT202=0),1,0)</f>
        <v>0</v>
      </c>
      <c r="DU207" s="1356"/>
      <c r="DV207" s="1702">
        <f>IF(AND(DV199=0,DV202=0),1,0)</f>
        <v>0</v>
      </c>
      <c r="DW207" s="1356"/>
      <c r="DX207" s="1702">
        <f>IF(AND(DX199=0,DX202=0),1,0)</f>
        <v>1</v>
      </c>
      <c r="DY207" s="1356"/>
      <c r="DZ207" s="1702">
        <f>IF(AND(DZ199=0,DZ202=0),1,0)</f>
        <v>0</v>
      </c>
      <c r="EA207" s="1356"/>
      <c r="EB207" s="1702">
        <f>IF(AND(EB199=0,EB202=0),1,0)</f>
        <v>1</v>
      </c>
      <c r="EC207" s="1356"/>
      <c r="ED207" s="1702">
        <f>IF(AND(ED199=0,ED202=0),1,0)</f>
        <v>1</v>
      </c>
      <c r="EE207" s="1356"/>
      <c r="EF207" s="1702">
        <f>IF(AND(EF199=0,EF202=0),1,0)</f>
        <v>0</v>
      </c>
      <c r="EG207" s="1356"/>
      <c r="EH207" s="1702">
        <f>IF(AND(EH199=0,EH202=0),1,0)</f>
        <v>0</v>
      </c>
      <c r="EI207" s="1356"/>
      <c r="EJ207" s="1702">
        <f>IF(AND(EJ199=0,EJ202=0),1,0)</f>
        <v>1</v>
      </c>
      <c r="EK207" s="1356"/>
      <c r="EL207" s="1702">
        <f>IF(AND(EL199=0,EL202=0),1,0)</f>
        <v>1</v>
      </c>
      <c r="EM207" s="1356"/>
      <c r="EN207" s="1702">
        <f>IF(AND(EN199=0,EN202=0),1,0)</f>
        <v>0</v>
      </c>
      <c r="EO207" s="1356"/>
      <c r="EP207" s="1702">
        <f>IF(AND(EP199=0,EP202=0),1,0)</f>
        <v>0</v>
      </c>
      <c r="EQ207" s="1356"/>
      <c r="ER207" s="1702">
        <f>IF(AND(ER199=0,ER202=0),1,0)</f>
        <v>0</v>
      </c>
      <c r="ES207" s="1356"/>
      <c r="ET207" s="1702">
        <f>IF(AND(ET199=0,ET202=0),1,0)</f>
        <v>0</v>
      </c>
      <c r="EU207" s="1356"/>
      <c r="EV207" s="1702">
        <f>IF(AND(EV199=0,EV202=0),1,0)</f>
        <v>0</v>
      </c>
      <c r="EW207" s="1356"/>
      <c r="EX207" s="1702">
        <f>IF(AND(EX199=0,EX202=0),1,0)</f>
        <v>0</v>
      </c>
      <c r="EY207" s="1356"/>
      <c r="EZ207" s="1702">
        <f>IF(AND(EZ199=0,EZ202=0),1,0)</f>
        <v>1</v>
      </c>
      <c r="FA207" s="1356"/>
      <c r="FB207" s="1702">
        <f>IF(AND(FB199=0,FB202=0),1,0)</f>
        <v>1</v>
      </c>
      <c r="FC207" s="1356"/>
      <c r="FD207" s="1702">
        <f>IF(AND(FD199=0,FD202=0),1,0)</f>
        <v>0</v>
      </c>
      <c r="FE207" s="1356"/>
      <c r="FF207" s="1702">
        <f>IF(AND(FF199=0,FF202=0),1,0)</f>
        <v>0</v>
      </c>
      <c r="FG207" s="1356"/>
      <c r="FH207" s="1702">
        <f>IF(AND(FH199=0,FH202=0),1,0)</f>
        <v>0</v>
      </c>
      <c r="FI207" s="1356"/>
      <c r="FJ207" s="1702">
        <f>IF(AND(FJ199=0,FJ202=0),1,0)</f>
        <v>1</v>
      </c>
      <c r="FK207" s="1356"/>
      <c r="FL207" s="1702">
        <f>IF(AND(FL199=0,FL202=0),1,0)</f>
        <v>0</v>
      </c>
      <c r="FM207" s="1356"/>
      <c r="FN207" s="1702">
        <f>IF(AND(FN199=0,FN202=0),1,0)</f>
        <v>0</v>
      </c>
      <c r="FO207" s="1356"/>
      <c r="FP207" s="1702">
        <f>IF(AND(FP199=0,FP202=0),1,0)</f>
        <v>0</v>
      </c>
      <c r="FQ207" s="1356"/>
      <c r="FR207" s="1702">
        <f>IF(AND(FR199=0,FR202=0),1,0)</f>
        <v>0</v>
      </c>
      <c r="FS207" s="1356"/>
      <c r="FT207" s="1702">
        <f>IF(AND(FT199=0,FT202=0),1,0)</f>
        <v>0</v>
      </c>
      <c r="FU207" s="1356"/>
      <c r="FV207" s="1702">
        <f>IF(AND(FV199=0,FV202=0),1,0)</f>
        <v>0</v>
      </c>
      <c r="FW207" s="1356"/>
      <c r="FX207" s="1702">
        <f>IF(AND(FX199=0,FX202=0),1,0)</f>
        <v>0</v>
      </c>
      <c r="FY207" s="1356"/>
      <c r="FZ207" s="1702">
        <f>IF(AND(FZ199=0,FZ202=0),1,0)</f>
        <v>0</v>
      </c>
      <c r="GA207" s="1356"/>
      <c r="GB207" s="1702">
        <f>IF(AND(GB199=0,GB202=0),1,0)</f>
        <v>1</v>
      </c>
      <c r="GC207" s="1356"/>
      <c r="GD207" s="1702">
        <f>IF(AND(GD199=0,GD202=0),1,0)</f>
        <v>1</v>
      </c>
      <c r="GE207" s="1356"/>
      <c r="GF207" s="1702">
        <f>IF(AND(GF199=0,GF202=0),1,0)</f>
        <v>0</v>
      </c>
      <c r="GG207" s="1356"/>
      <c r="GH207" s="1702">
        <f>IF(AND(GH199=0,GH202=0),1,0)</f>
        <v>0</v>
      </c>
      <c r="GI207" s="1356"/>
      <c r="GJ207" s="1702">
        <f>IF(AND(GJ199=0,GJ202=0),1,0)</f>
        <v>0</v>
      </c>
      <c r="GK207" s="1356"/>
      <c r="GL207" s="1702">
        <f>IF(AND(GL199=0,GL202=0),1,0)</f>
        <v>1</v>
      </c>
      <c r="GM207" s="1356"/>
      <c r="GN207" s="1702">
        <f>IF(AND(GN199=0,GN202=0),1,0)</f>
        <v>0</v>
      </c>
      <c r="GO207" s="1356"/>
      <c r="GP207" s="1702">
        <f>IF(AND(GP199=0,GP202=0),1,0)</f>
        <v>0</v>
      </c>
      <c r="GQ207" s="1356"/>
      <c r="GR207" s="1702">
        <f>IF(AND(GR199=0,GR202=0),1,0)</f>
        <v>0</v>
      </c>
      <c r="GS207" s="1356"/>
      <c r="GT207" s="1702">
        <f>IF(AND(GT199=0,GT202=0),1,0)</f>
        <v>0</v>
      </c>
      <c r="GU207" s="1356"/>
      <c r="GV207" s="1702">
        <f>IF(AND(GV199=0,GV202=0),1,0)</f>
        <v>0</v>
      </c>
      <c r="GW207" s="1356"/>
      <c r="GX207" s="1702">
        <f>IF(AND(GX199=0,GX202=0),1,0)</f>
        <v>0</v>
      </c>
      <c r="GY207" s="1356"/>
      <c r="GZ207" s="1702">
        <f>IF(AND(GZ199=0,GZ202=0),1,0)</f>
        <v>0</v>
      </c>
      <c r="HA207" s="1356"/>
      <c r="HB207" s="1702">
        <f>IF(AND(HB199=0,HB202=0),1,0)</f>
        <v>0</v>
      </c>
      <c r="HC207" s="1356"/>
      <c r="HD207" s="1702">
        <f>IF(AND(HD199=0,HD202=0),1,0)</f>
        <v>1</v>
      </c>
      <c r="HE207" s="1356"/>
      <c r="HF207" s="2043">
        <f>IF(AND(HF199=0,HF202=0),1,0)</f>
        <v>0</v>
      </c>
      <c r="HH207" s="1702">
        <f>IF(AND(HH199=0,HH202=0),1,0)</f>
        <v>0</v>
      </c>
      <c r="HI207" s="1356"/>
      <c r="HJ207" s="1702">
        <f>IF(AND(HJ199=0,HJ202=0),1,0)</f>
        <v>0</v>
      </c>
      <c r="HK207" s="1356"/>
      <c r="HL207" s="1702">
        <f>IF(AND(HL199=0,HL202=0),1,0)</f>
        <v>0</v>
      </c>
      <c r="HM207" s="1356"/>
      <c r="HN207" s="1702">
        <f>IF(AND(HN199=0,HN202=0),1,0)</f>
        <v>0</v>
      </c>
      <c r="HO207" s="1356"/>
      <c r="HP207" s="2043">
        <f>IF(AND(HP199=0,HP202=0),1,0)</f>
        <v>1</v>
      </c>
      <c r="HR207" s="1702">
        <f>IF(AND(HR199=0,HR202=0),1,0)</f>
        <v>0</v>
      </c>
      <c r="HS207" s="1356"/>
      <c r="HT207" s="2043">
        <f>IF(AND(HT199=0,HT202=0),1,0)</f>
        <v>0</v>
      </c>
      <c r="HV207" s="2043">
        <f>IF(AND(HV199=0,HV202=0),1,0)</f>
        <v>0</v>
      </c>
      <c r="HX207" s="2043">
        <f>IF(AND(HX199=0,HX202=0),1,0)</f>
        <v>0</v>
      </c>
      <c r="HZ207" s="2043">
        <f>IF(AND(HZ199=0,HZ202=0),1,0)</f>
        <v>0</v>
      </c>
      <c r="IB207" s="1702">
        <f>IF(AND(IB199=0,IB202=0),1,0)</f>
        <v>0</v>
      </c>
      <c r="IC207" s="1356"/>
      <c r="ID207" s="2043">
        <f>IF(AND(ID199=0,ID202=0),1,0)</f>
        <v>0</v>
      </c>
      <c r="IF207" s="2043">
        <f>IF(AND(IF199=0,IF202=0),1,0)</f>
        <v>0</v>
      </c>
    </row>
    <row r="208" spans="1:241">
      <c r="A208" s="1149"/>
      <c r="B208" s="1149"/>
      <c r="C208" s="1149"/>
      <c r="D208" s="1149"/>
      <c r="E208" s="1143"/>
      <c r="F208" s="1699"/>
      <c r="G208" s="1356"/>
      <c r="H208" s="1699"/>
      <c r="I208" s="1356"/>
      <c r="J208" s="1699"/>
      <c r="K208" s="1356"/>
      <c r="L208" s="1699"/>
      <c r="M208" s="1356"/>
      <c r="N208" s="1699"/>
      <c r="O208" s="1356"/>
      <c r="P208" s="1699"/>
      <c r="Q208" s="1356"/>
      <c r="R208" s="1699"/>
      <c r="T208" s="1699"/>
      <c r="U208" s="1356"/>
      <c r="V208" s="1699"/>
      <c r="W208" s="1356"/>
      <c r="X208" s="1699"/>
      <c r="Y208" s="1356"/>
      <c r="Z208" s="1699"/>
      <c r="AA208" s="1356"/>
      <c r="AB208" s="1699"/>
      <c r="AC208" s="1356"/>
      <c r="AD208" s="1699"/>
      <c r="AE208" s="1356"/>
      <c r="AF208" s="1699"/>
      <c r="AG208" s="1356"/>
      <c r="AH208" s="1699"/>
      <c r="AI208" s="1356"/>
      <c r="AJ208" s="1699"/>
      <c r="AK208" s="1356"/>
      <c r="AL208" s="1699"/>
      <c r="AM208" s="1356"/>
      <c r="AN208" s="1699"/>
      <c r="AO208" s="1356"/>
      <c r="AP208" s="1699"/>
      <c r="AQ208" s="1356"/>
      <c r="AR208" s="1699"/>
      <c r="AS208" s="1356"/>
      <c r="AT208" s="1699"/>
      <c r="AU208" s="1356"/>
      <c r="AV208" s="1699"/>
      <c r="AW208" s="1356"/>
      <c r="AX208" s="1699"/>
      <c r="AY208" s="1356"/>
      <c r="AZ208" s="1699"/>
      <c r="BA208" s="1356"/>
      <c r="BB208" s="1699"/>
      <c r="BC208" s="1356"/>
      <c r="BD208" s="1699"/>
      <c r="BE208" s="1356"/>
      <c r="BF208" s="1699"/>
      <c r="BG208" s="1356"/>
      <c r="BH208" s="1699"/>
      <c r="BI208" s="1356"/>
      <c r="BJ208" s="1699"/>
      <c r="BK208" s="1356"/>
      <c r="BL208" s="1699"/>
      <c r="BM208" s="1356"/>
      <c r="BN208" s="1699"/>
      <c r="BO208" s="1356"/>
      <c r="BP208" s="1699"/>
      <c r="BQ208" s="1356"/>
      <c r="BR208" s="1699"/>
      <c r="BS208" s="1356"/>
      <c r="BT208" s="1699"/>
      <c r="BU208" s="1356"/>
      <c r="BV208" s="1699"/>
      <c r="BW208" s="1356"/>
      <c r="BX208" s="1699"/>
      <c r="BY208" s="1356"/>
      <c r="BZ208" s="1699"/>
      <c r="CA208" s="1356"/>
      <c r="CB208" s="1699"/>
      <c r="CC208" s="1356"/>
      <c r="CD208" s="1699"/>
      <c r="CE208" s="1356"/>
      <c r="CF208" s="1699"/>
      <c r="CG208" s="1356"/>
      <c r="CH208" s="1699"/>
      <c r="CI208" s="1356"/>
      <c r="CJ208" s="1699"/>
      <c r="CK208" s="1356"/>
      <c r="CL208" s="1699"/>
      <c r="CM208" s="1356"/>
      <c r="CN208" s="1699"/>
      <c r="CO208" s="1356"/>
      <c r="CP208" s="1699"/>
      <c r="CQ208" s="1356"/>
      <c r="CR208" s="1699"/>
      <c r="CS208" s="1356"/>
      <c r="CT208" s="1699"/>
      <c r="CU208" s="1356"/>
      <c r="CV208" s="1699"/>
      <c r="CW208" s="1356"/>
      <c r="CX208" s="1699"/>
      <c r="CY208" s="1356"/>
      <c r="CZ208" s="1699"/>
      <c r="DA208" s="1356"/>
      <c r="DB208" s="1699"/>
      <c r="DC208" s="1356"/>
      <c r="DD208" s="1699"/>
      <c r="DE208" s="1356"/>
      <c r="DF208" s="1699"/>
      <c r="DG208" s="1356"/>
      <c r="DH208" s="1699"/>
      <c r="DI208" s="1356"/>
      <c r="DJ208" s="1699"/>
      <c r="DK208" s="1356"/>
      <c r="DL208" s="1699"/>
      <c r="DM208" s="1356"/>
      <c r="DN208" s="1699"/>
      <c r="DO208" s="1356"/>
      <c r="DP208" s="1699"/>
      <c r="DQ208" s="1356"/>
      <c r="DR208" s="1699"/>
      <c r="DS208" s="1356"/>
      <c r="DT208" s="1699"/>
      <c r="DU208" s="1356"/>
      <c r="DV208" s="1699"/>
      <c r="DW208" s="1356"/>
      <c r="DX208" s="1699"/>
      <c r="DY208" s="1356"/>
      <c r="DZ208" s="1699"/>
      <c r="EA208" s="1356"/>
      <c r="EB208" s="1699"/>
      <c r="EC208" s="1356"/>
      <c r="ED208" s="1699"/>
      <c r="EE208" s="1356"/>
      <c r="EF208" s="1699"/>
      <c r="EG208" s="1356"/>
      <c r="EH208" s="1699"/>
      <c r="EI208" s="1356"/>
      <c r="EJ208" s="1699"/>
      <c r="EK208" s="1356"/>
      <c r="EL208" s="1699"/>
      <c r="EM208" s="1356"/>
      <c r="EN208" s="1699"/>
      <c r="EO208" s="1356"/>
      <c r="EP208" s="1699"/>
      <c r="EQ208" s="1356"/>
      <c r="ER208" s="1699"/>
      <c r="ES208" s="1356"/>
      <c r="ET208" s="1699"/>
      <c r="EU208" s="1356"/>
      <c r="EV208" s="1699"/>
      <c r="EW208" s="1356"/>
      <c r="EX208" s="1699"/>
      <c r="EY208" s="1356"/>
      <c r="EZ208" s="1699"/>
      <c r="FA208" s="1356"/>
      <c r="FB208" s="1699"/>
      <c r="FC208" s="1356"/>
      <c r="FD208" s="1699"/>
      <c r="FE208" s="1356"/>
      <c r="FF208" s="1699"/>
      <c r="FG208" s="1356"/>
      <c r="FH208" s="1699"/>
      <c r="FI208" s="1356"/>
      <c r="FJ208" s="1699"/>
      <c r="FK208" s="1356"/>
      <c r="FL208" s="1699"/>
      <c r="FM208" s="1356"/>
      <c r="FN208" s="1699"/>
      <c r="FO208" s="1356"/>
      <c r="FP208" s="1699"/>
      <c r="FQ208" s="1356"/>
      <c r="FR208" s="1699"/>
      <c r="FS208" s="1356"/>
      <c r="FT208" s="1699"/>
      <c r="FU208" s="1356"/>
      <c r="FV208" s="1699"/>
      <c r="FW208" s="1356"/>
      <c r="FX208" s="1699"/>
      <c r="FY208" s="1356"/>
      <c r="FZ208" s="1699"/>
      <c r="GA208" s="1356"/>
      <c r="GB208" s="1699"/>
      <c r="GC208" s="1356"/>
      <c r="GD208" s="1699"/>
      <c r="GE208" s="1356"/>
      <c r="GF208" s="1699"/>
      <c r="GG208" s="1356"/>
      <c r="GH208" s="1699"/>
      <c r="GI208" s="1356"/>
      <c r="GJ208" s="1699"/>
      <c r="GK208" s="1356"/>
      <c r="GL208" s="1699"/>
      <c r="GM208" s="1356"/>
      <c r="GN208" s="1699"/>
      <c r="GO208" s="1356"/>
      <c r="GP208" s="1699"/>
      <c r="GQ208" s="1356"/>
      <c r="GR208" s="1699"/>
      <c r="GS208" s="1356"/>
      <c r="GT208" s="1699"/>
      <c r="GU208" s="1356"/>
      <c r="GV208" s="1699"/>
      <c r="GW208" s="1356"/>
      <c r="GX208" s="1699"/>
      <c r="GY208" s="1356"/>
      <c r="GZ208" s="1699"/>
      <c r="HA208" s="1356"/>
      <c r="HB208" s="1699"/>
      <c r="HC208" s="1356"/>
      <c r="HD208" s="1699"/>
      <c r="HE208" s="1356"/>
      <c r="HF208" s="2042"/>
      <c r="HH208" s="1699"/>
      <c r="HI208" s="1356"/>
      <c r="HJ208" s="1699"/>
      <c r="HK208" s="1356"/>
      <c r="HL208" s="1699"/>
      <c r="HM208" s="1356"/>
      <c r="HN208" s="1699"/>
      <c r="HO208" s="1356"/>
      <c r="HP208" s="2042"/>
      <c r="HR208" s="1699"/>
      <c r="HS208" s="1356"/>
      <c r="HT208" s="2042"/>
      <c r="HV208" s="2042"/>
      <c r="HX208" s="2042"/>
      <c r="HZ208" s="2042"/>
      <c r="IB208" s="1699"/>
      <c r="IC208" s="1356"/>
      <c r="ID208" s="2042"/>
      <c r="IF208" s="2042"/>
    </row>
    <row r="209" spans="1:241">
      <c r="A209" s="1149"/>
      <c r="B209" s="1149"/>
      <c r="C209" s="1149" t="s">
        <v>1252</v>
      </c>
      <c r="D209" s="1149"/>
      <c r="E209" s="1143"/>
      <c r="F209" s="1702">
        <f>+F229/F21</f>
        <v>5543.5809534365453</v>
      </c>
      <c r="G209" s="1356"/>
      <c r="H209" s="1702">
        <f>+H229/H21</f>
        <v>7927.502094976835</v>
      </c>
      <c r="I209" s="1356"/>
      <c r="J209" s="1702">
        <f>+J229/J21</f>
        <v>3805.811332114728</v>
      </c>
      <c r="K209" s="1356"/>
      <c r="L209" s="1702">
        <f>+L229/L21</f>
        <v>3961.0990914379277</v>
      </c>
      <c r="M209" s="1356"/>
      <c r="N209" s="1702">
        <f>+N229/N21</f>
        <v>4933.2373275593545</v>
      </c>
      <c r="O209" s="1356"/>
      <c r="P209" s="1702">
        <f>+P229/P21</f>
        <v>4157.63369242507</v>
      </c>
      <c r="Q209" s="1356"/>
      <c r="R209" s="1702">
        <f>+R229/R21</f>
        <v>7629.4698137160603</v>
      </c>
      <c r="T209" s="1702">
        <f>+T229/T21</f>
        <v>4103.5131632389921</v>
      </c>
      <c r="U209" s="1356"/>
      <c r="V209" s="1702">
        <f>+V229/V21</f>
        <v>1695.285905862846</v>
      </c>
      <c r="W209" s="1356"/>
      <c r="X209" s="1702">
        <f>+X229/X21</f>
        <v>9838.0241739840258</v>
      </c>
      <c r="Y209" s="1356"/>
      <c r="Z209" s="1702">
        <f>+Z229/Z21</f>
        <v>5057.8394334011018</v>
      </c>
      <c r="AA209" s="1356"/>
      <c r="AB209" s="1702">
        <f>+AB229/AB21</f>
        <v>1221.7089151450054</v>
      </c>
      <c r="AC209" s="1356"/>
      <c r="AD209" s="1702">
        <f>+AD229/AD21</f>
        <v>5148.9309668119176</v>
      </c>
      <c r="AE209" s="1356"/>
      <c r="AF209" s="1702">
        <f>+AF229/AF21</f>
        <v>5012.7005466849723</v>
      </c>
      <c r="AG209" s="1356"/>
      <c r="AH209" s="1702">
        <f>+AH229/AH21</f>
        <v>3761.9518291561453</v>
      </c>
      <c r="AI209" s="1356"/>
      <c r="AJ209" s="1702">
        <f>+AJ229/AJ21</f>
        <v>5453.7732235329186</v>
      </c>
      <c r="AK209" s="1356"/>
      <c r="AL209" s="1702">
        <f>+AL229/AL21</f>
        <v>4373.6848755859537</v>
      </c>
      <c r="AM209" s="1356"/>
      <c r="AN209" s="1702">
        <f>+AN229/AN21</f>
        <v>3678.9117174594621</v>
      </c>
      <c r="AO209" s="1356"/>
      <c r="AP209" s="1702">
        <f>+AP229/AP21</f>
        <v>4793.0466452914661</v>
      </c>
      <c r="AQ209" s="1356"/>
      <c r="AR209" s="1702">
        <f>+AR229/AR21</f>
        <v>7257.3783985104337</v>
      </c>
      <c r="AS209" s="1356"/>
      <c r="AT209" s="1702">
        <f>+AT229/AT21</f>
        <v>5806.5926952378159</v>
      </c>
      <c r="AU209" s="1356"/>
      <c r="AV209" s="1702">
        <f>+AV229/AV21</f>
        <v>4121.2107036495836</v>
      </c>
      <c r="AW209" s="1356"/>
      <c r="AX209" s="1702">
        <f>+AX229/AX21</f>
        <v>6819.3652914029526</v>
      </c>
      <c r="AY209" s="1356"/>
      <c r="AZ209" s="1702">
        <f>+AZ229/AZ21</f>
        <v>2327.9926456750609</v>
      </c>
      <c r="BA209" s="1356"/>
      <c r="BB209" s="1702">
        <f>+BB229/BB21</f>
        <v>4909.0786455170228</v>
      </c>
      <c r="BC209" s="1356"/>
      <c r="BD209" s="1702">
        <f>+BD229/BD21</f>
        <v>5042.5441619286303</v>
      </c>
      <c r="BE209" s="1356"/>
      <c r="BF209" s="1702">
        <f>+BF229/BF21</f>
        <v>2523.6845799636117</v>
      </c>
      <c r="BG209" s="1356"/>
      <c r="BH209" s="1702">
        <f>+BH229/BH21</f>
        <v>4428.4553151479768</v>
      </c>
      <c r="BI209" s="1356"/>
      <c r="BJ209" s="1702">
        <f>+BJ229/BJ21</f>
        <v>5829.56602968897</v>
      </c>
      <c r="BK209" s="1356"/>
      <c r="BL209" s="1702">
        <f>+BL229/BL21</f>
        <v>6970.2154685792366</v>
      </c>
      <c r="BM209" s="1356"/>
      <c r="BN209" s="1702">
        <f>+BN229/BN21</f>
        <v>0</v>
      </c>
      <c r="BO209" s="1356"/>
      <c r="BP209" s="1702">
        <f>+BP229/BP21</f>
        <v>5019.9927127042456</v>
      </c>
      <c r="BQ209" s="1356"/>
      <c r="BR209" s="1702">
        <f>+BR229/BR21</f>
        <v>1662.8541996685317</v>
      </c>
      <c r="BS209" s="1356"/>
      <c r="BT209" s="1702">
        <f>+BT229/BT21</f>
        <v>4835.0643090252997</v>
      </c>
      <c r="BU209" s="1356"/>
      <c r="BV209" s="1702">
        <f>+BV229/BV21</f>
        <v>1697.6542019474364</v>
      </c>
      <c r="BW209" s="1356"/>
      <c r="BX209" s="1702">
        <f>+BX229/BX21</f>
        <v>3790.0377154185339</v>
      </c>
      <c r="BY209" s="1356"/>
      <c r="BZ209" s="1702">
        <f>+BZ229/BZ21</f>
        <v>2864.6130491312324</v>
      </c>
      <c r="CA209" s="1356"/>
      <c r="CB209" s="1702">
        <f>+CB229/CB21</f>
        <v>4306.4540455491006</v>
      </c>
      <c r="CC209" s="1356"/>
      <c r="CD209" s="1702">
        <f>+CD229/CD21</f>
        <v>3602.9994814131601</v>
      </c>
      <c r="CE209" s="1356"/>
      <c r="CF209" s="1702">
        <v>6921.4421503677522</v>
      </c>
      <c r="CG209" s="1356"/>
      <c r="CH209" s="1702">
        <v>4589.5865844487125</v>
      </c>
      <c r="CI209" s="1356"/>
      <c r="CJ209" s="1702">
        <v>3624.9346825386174</v>
      </c>
      <c r="CK209" s="1356"/>
      <c r="CL209" s="1702">
        <v>7197.5550196683962</v>
      </c>
      <c r="CM209" s="1356"/>
      <c r="CN209" s="1702">
        <f>+CN229/CN21</f>
        <v>4748.2313523915136</v>
      </c>
      <c r="CO209" s="1356"/>
      <c r="CP209" s="1702">
        <f>+CP229/CP21</f>
        <v>3093.1528324226824</v>
      </c>
      <c r="CQ209" s="1356"/>
      <c r="CR209" s="1702">
        <v>9575.7525580092861</v>
      </c>
      <c r="CS209" s="1356"/>
      <c r="CT209" s="1702">
        <f>+CT229/CT21</f>
        <v>6287.1796846727138</v>
      </c>
      <c r="CU209" s="1356"/>
      <c r="CV209" s="1702">
        <f>+CV229/CV21</f>
        <v>7695.2332549252296</v>
      </c>
      <c r="CW209" s="1356"/>
      <c r="CX209" s="1702">
        <f>+CX229/CX21</f>
        <v>6278.3475955401691</v>
      </c>
      <c r="CY209" s="1356"/>
      <c r="CZ209" s="1702">
        <v>3169.9810034171637</v>
      </c>
      <c r="DA209" s="1356"/>
      <c r="DB209" s="1702">
        <v>5109.5274178362533</v>
      </c>
      <c r="DC209" s="1356"/>
      <c r="DD209" s="1702">
        <v>3543.3525340674273</v>
      </c>
      <c r="DE209" s="1356"/>
      <c r="DF209" s="1702">
        <v>5840.5555170096241</v>
      </c>
      <c r="DG209" s="1356"/>
      <c r="DH209" s="1702">
        <v>665.51419466975665</v>
      </c>
      <c r="DI209" s="1356"/>
      <c r="DJ209" s="1702">
        <v>4384.9608428789943</v>
      </c>
      <c r="DK209" s="1356"/>
      <c r="DL209" s="1702">
        <v>3361.0647623965237</v>
      </c>
      <c r="DM209" s="1356"/>
      <c r="DN209" s="1702">
        <f>+DN229/DN21</f>
        <v>5439.7202177055469</v>
      </c>
      <c r="DO209" s="1356"/>
      <c r="DP209" s="1702">
        <f>+DP229/DP21</f>
        <v>2019.4024924688972</v>
      </c>
      <c r="DQ209" s="1356"/>
      <c r="DR209" s="1702">
        <f>+DR229/DR21</f>
        <v>3034.1273545096938</v>
      </c>
      <c r="DS209" s="1356"/>
      <c r="DT209" s="1702">
        <f>+DT229/DT21</f>
        <v>3015.9111038082706</v>
      </c>
      <c r="DU209" s="1356"/>
      <c r="DV209" s="1702">
        <f>+DV229/DV21</f>
        <v>2875.5093170874975</v>
      </c>
      <c r="DW209" s="1356"/>
      <c r="DX209" s="1702">
        <f>+DX229/DX21</f>
        <v>7815.3671511157872</v>
      </c>
      <c r="DY209" s="1356"/>
      <c r="DZ209" s="1702">
        <f>+DZ229/DZ21</f>
        <v>3498.219266851971</v>
      </c>
      <c r="EA209" s="1356"/>
      <c r="EB209" s="1702">
        <f>+EB229/EB21</f>
        <v>7678.1134143462914</v>
      </c>
      <c r="EC209" s="1356"/>
      <c r="ED209" s="1702">
        <f>+ED229/ED21</f>
        <v>4135.3531992151575</v>
      </c>
      <c r="EE209" s="1356"/>
      <c r="EF209" s="1702">
        <f>+EF229/EF21</f>
        <v>5056.5722236571246</v>
      </c>
      <c r="EG209" s="1356"/>
      <c r="EH209" s="1702">
        <f>+EH229/EH21</f>
        <v>8539.2000778904858</v>
      </c>
      <c r="EI209" s="1356"/>
      <c r="EJ209" s="1702">
        <f>+EJ229/EJ21</f>
        <v>2640.3600175738279</v>
      </c>
      <c r="EK209" s="1356"/>
      <c r="EL209" s="1702">
        <f>+EL229/EL21</f>
        <v>4331.7658251775956</v>
      </c>
      <c r="EM209" s="1356"/>
      <c r="EN209" s="1702">
        <f>+EN229/EN21</f>
        <v>3801.7088378137496</v>
      </c>
      <c r="EO209" s="1356"/>
      <c r="EP209" s="1702">
        <f>+EP229/EP21</f>
        <v>3730.5500690572571</v>
      </c>
      <c r="EQ209" s="1356"/>
      <c r="ER209" s="1702">
        <f>+ER229/ER21</f>
        <v>1294.6872393577221</v>
      </c>
      <c r="ES209" s="1356"/>
      <c r="ET209" s="1702">
        <f>+ET229/ET21</f>
        <v>6987.8727735060602</v>
      </c>
      <c r="EU209" s="1356"/>
      <c r="EV209" s="1702">
        <f>+EV229/EV21</f>
        <v>1007.8432887921626</v>
      </c>
      <c r="EW209" s="1356"/>
      <c r="EX209" s="1702">
        <f>+EX229/EX21</f>
        <v>2343.6610110683687</v>
      </c>
      <c r="EY209" s="1356"/>
      <c r="EZ209" s="1702">
        <f>+EZ229/EZ21</f>
        <v>5040.8990474527427</v>
      </c>
      <c r="FA209" s="1356"/>
      <c r="FB209" s="1702">
        <f>+FB229/FB21</f>
        <v>2197.8602125288926</v>
      </c>
      <c r="FC209" s="1356"/>
      <c r="FD209" s="1702">
        <f>+FD229/FD21</f>
        <v>4651.6193020701739</v>
      </c>
      <c r="FE209" s="1356"/>
      <c r="FF209" s="1702">
        <f>+FF229/FF21</f>
        <v>2756.7759999999998</v>
      </c>
      <c r="FG209" s="1356"/>
      <c r="FH209" s="1702">
        <f>+FH229/FH21</f>
        <v>4596.5052746292004</v>
      </c>
      <c r="FI209" s="1356"/>
      <c r="FJ209" s="1702">
        <f>+FJ229/FJ21</f>
        <v>4632.2818744997739</v>
      </c>
      <c r="FK209" s="1356"/>
      <c r="FL209" s="1702">
        <f>+FL229/FL21</f>
        <v>4635.9246313625708</v>
      </c>
      <c r="FM209" s="1356"/>
      <c r="FN209" s="1702">
        <f>+FN229/FN21</f>
        <v>10099.786510370832</v>
      </c>
      <c r="FO209" s="1356"/>
      <c r="FP209" s="1702">
        <f>+FP229/FP21</f>
        <v>1261.8261346329577</v>
      </c>
      <c r="FQ209" s="1356"/>
      <c r="FR209" s="1702">
        <f>+FR229/FR21</f>
        <v>6857.5149949930092</v>
      </c>
      <c r="FS209" s="1356"/>
      <c r="FT209" s="1702">
        <f>+FT229/FT21</f>
        <v>4669.7694653996259</v>
      </c>
      <c r="FU209" s="1356"/>
      <c r="FV209" s="1702">
        <f>+FV229/FV21</f>
        <v>8662.9853928667999</v>
      </c>
      <c r="FW209" s="1356"/>
      <c r="FX209" s="1702">
        <f>+FX229/FX21</f>
        <v>2683.5713843065787</v>
      </c>
      <c r="FY209" s="1356"/>
      <c r="FZ209" s="1702">
        <f>+FZ229/FZ21</f>
        <v>3995.4719136082617</v>
      </c>
      <c r="GA209" s="1356"/>
      <c r="GB209" s="1702">
        <f>+GB229/GB21</f>
        <v>2372.7137558591544</v>
      </c>
      <c r="GC209" s="1356"/>
      <c r="GD209" s="1702">
        <f>+GD229/GD21</f>
        <v>3745.3500424709009</v>
      </c>
      <c r="GE209" s="1356"/>
      <c r="GF209" s="1702">
        <f>+GF229/GF21</f>
        <v>3641.8200065619085</v>
      </c>
      <c r="GG209" s="1356"/>
      <c r="GH209" s="1702">
        <f>+GH229/GH21</f>
        <v>2781.8604270317883</v>
      </c>
      <c r="GI209" s="1356"/>
      <c r="GJ209" s="1702">
        <f>+GJ229/GJ21</f>
        <v>8479.6038954981796</v>
      </c>
      <c r="GK209" s="1356"/>
      <c r="GL209" s="1702">
        <f>+GL229/GL21</f>
        <v>2369.3995325472583</v>
      </c>
      <c r="GM209" s="1356"/>
      <c r="GN209" s="1702">
        <f>+GN229/GN21</f>
        <v>1506.5832349468712</v>
      </c>
      <c r="GO209" s="1356"/>
      <c r="GP209" s="1702">
        <f>+GP229/GP21</f>
        <v>3159.5112542032962</v>
      </c>
      <c r="GQ209" s="1356"/>
      <c r="GR209" s="1702">
        <f>+GR229/GR21</f>
        <v>2444.7688573956489</v>
      </c>
      <c r="GS209" s="1356"/>
      <c r="GT209" s="1702">
        <f>+GT229/GT21</f>
        <v>2612.3823776647482</v>
      </c>
      <c r="GU209" s="1356"/>
      <c r="GV209" s="1702">
        <f>+GV229/GV21</f>
        <v>3583.641500590672</v>
      </c>
      <c r="GW209" s="1356"/>
      <c r="GX209" s="1702">
        <f>+GX229/GX21</f>
        <v>2929.6967207236526</v>
      </c>
      <c r="GY209" s="1356"/>
      <c r="GZ209" s="1702">
        <f>+GZ229/GZ21</f>
        <v>5067.3657609341726</v>
      </c>
      <c r="HA209" s="1356"/>
      <c r="HB209" s="1702">
        <f>+HB229/HB21</f>
        <v>1527.5075174669635</v>
      </c>
      <c r="HC209" s="1356"/>
      <c r="HD209" s="1702">
        <f>+HD229/HD21</f>
        <v>5551.3883148876721</v>
      </c>
      <c r="HE209" s="1356"/>
      <c r="HF209" s="2043">
        <f>+HF229/HF21</f>
        <v>7755.6609632599229</v>
      </c>
      <c r="HH209" s="1702">
        <f>+HH229/HH21</f>
        <v>9577.270575514096</v>
      </c>
      <c r="HI209" s="1356"/>
      <c r="HJ209" s="1702">
        <f>+HJ229/HJ21</f>
        <v>4778.0120300343524</v>
      </c>
      <c r="HK209" s="1356"/>
      <c r="HL209" s="1702">
        <f>+HL229/HL21</f>
        <v>5800.352270774888</v>
      </c>
      <c r="HM209" s="1356"/>
      <c r="HN209" s="1702">
        <f>+HN229/HN21</f>
        <v>3715.1372965485393</v>
      </c>
      <c r="HO209" s="1356"/>
      <c r="HP209" s="2043">
        <f>+HP229/HP21</f>
        <v>4365.0576961621591</v>
      </c>
      <c r="HR209" s="1702">
        <f>+HR229/HR21</f>
        <v>4302.7569269063515</v>
      </c>
      <c r="HS209" s="1356"/>
      <c r="HT209" s="2043">
        <f>+HT229/HT21</f>
        <v>4126.2942706231688</v>
      </c>
      <c r="HV209" s="2043">
        <f>+HV229/HV21</f>
        <v>5237.5411163091858</v>
      </c>
      <c r="HX209" s="2043">
        <f>+HX229/HX21</f>
        <v>5045.2232496781771</v>
      </c>
      <c r="HZ209" s="2043">
        <f>+HZ229/HZ21</f>
        <v>1995.3993061355814</v>
      </c>
      <c r="IB209" s="1702">
        <f>+IB229/IB21</f>
        <v>3682.6503010937276</v>
      </c>
      <c r="IC209" s="1356"/>
      <c r="ID209" s="2043">
        <f>+ID229/ID21</f>
        <v>2444.082645051632</v>
      </c>
      <c r="IF209" s="2043">
        <f>+IF229/IF21</f>
        <v>4971.2534312152129</v>
      </c>
    </row>
    <row r="210" spans="1:241">
      <c r="A210" s="1149"/>
      <c r="B210" s="1149"/>
      <c r="C210" s="1149" t="s">
        <v>1253</v>
      </c>
      <c r="D210" s="1149"/>
      <c r="E210" s="1143"/>
      <c r="F210" s="1702">
        <f>+F247/F21</f>
        <v>-2191.7093779522311</v>
      </c>
      <c r="G210" s="1356"/>
      <c r="H210" s="1702">
        <f>+H247/H21</f>
        <v>-2921.5187695941709</v>
      </c>
      <c r="I210" s="1356"/>
      <c r="J210" s="1702">
        <f>+J247/J21</f>
        <v>-1632.5419717455434</v>
      </c>
      <c r="K210" s="1356"/>
      <c r="L210" s="1702">
        <f>+L247/L21</f>
        <v>-5092.750141755535</v>
      </c>
      <c r="M210" s="1356"/>
      <c r="N210" s="1702">
        <f>+N247/N21</f>
        <v>-5961.1396687775568</v>
      </c>
      <c r="O210" s="1356"/>
      <c r="P210" s="1702">
        <f>+P247/P21</f>
        <v>-1324.3726874924289</v>
      </c>
      <c r="Q210" s="1356"/>
      <c r="R210" s="1702">
        <f>+R247/R21</f>
        <v>-1708.4889342445529</v>
      </c>
      <c r="T210" s="1702">
        <f>+T247/T21</f>
        <v>-984.42680015101837</v>
      </c>
      <c r="U210" s="1356"/>
      <c r="V210" s="1702">
        <f>+V247/V21</f>
        <v>-593.03223933588822</v>
      </c>
      <c r="W210" s="1356"/>
      <c r="X210" s="1702">
        <f>+X247/X21</f>
        <v>-1072.8195455540672</v>
      </c>
      <c r="Y210" s="1356"/>
      <c r="Z210" s="1702">
        <f>+Z247/Z21</f>
        <v>-509.53144811680562</v>
      </c>
      <c r="AA210" s="1356"/>
      <c r="AB210" s="1702">
        <f>+AB247/AB21</f>
        <v>-636.27067669172936</v>
      </c>
      <c r="AC210" s="1356"/>
      <c r="AD210" s="1702">
        <f>+AD247/AD21</f>
        <v>-2834.8020988066201</v>
      </c>
      <c r="AE210" s="1356"/>
      <c r="AF210" s="1702">
        <f>+AF247/AF21</f>
        <v>-1433.2989711629896</v>
      </c>
      <c r="AG210" s="1356"/>
      <c r="AH210" s="1702">
        <f>+AH247/AH21</f>
        <v>-762.76512920654125</v>
      </c>
      <c r="AI210" s="1356"/>
      <c r="AJ210" s="1702">
        <f>+AJ247/AJ21</f>
        <v>-2729.8801285914678</v>
      </c>
      <c r="AK210" s="1356"/>
      <c r="AL210" s="1702">
        <f>+AL247/AL21</f>
        <v>367.50825827878896</v>
      </c>
      <c r="AM210" s="1356"/>
      <c r="AN210" s="1702">
        <f>+AN247/AN21</f>
        <v>-2323.4489100141245</v>
      </c>
      <c r="AO210" s="1356"/>
      <c r="AP210" s="1702">
        <f>+AP247/AP21</f>
        <v>-2261.1125480729775</v>
      </c>
      <c r="AQ210" s="1356"/>
      <c r="AR210" s="1702">
        <f>+AR247/AR21</f>
        <v>-5653.6546392258142</v>
      </c>
      <c r="AS210" s="1356"/>
      <c r="AT210" s="1702">
        <f>+AT247/AT21</f>
        <v>-819.60764949239478</v>
      </c>
      <c r="AU210" s="1356"/>
      <c r="AV210" s="1702">
        <f>+AV247/AV21</f>
        <v>-2753.9155845626619</v>
      </c>
      <c r="AW210" s="1356"/>
      <c r="AX210" s="1702">
        <f>+AX247/AX21</f>
        <v>51.883452486629295</v>
      </c>
      <c r="AY210" s="1356"/>
      <c r="AZ210" s="1702">
        <f>+AZ247/AZ21</f>
        <v>-928.5847130773825</v>
      </c>
      <c r="BA210" s="1356"/>
      <c r="BB210" s="1702">
        <f>+BB247/BB21</f>
        <v>-3967.564296536962</v>
      </c>
      <c r="BC210" s="1356"/>
      <c r="BD210" s="1702">
        <f>+BD247/BD21</f>
        <v>-2758.9091839979055</v>
      </c>
      <c r="BE210" s="1356"/>
      <c r="BF210" s="1702">
        <f>+BF247/BF21</f>
        <v>-692.99165870502759</v>
      </c>
      <c r="BG210" s="1356"/>
      <c r="BH210" s="1702">
        <f>+BH247/BH21</f>
        <v>-1546.0277469988644</v>
      </c>
      <c r="BI210" s="1356"/>
      <c r="BJ210" s="1702">
        <f>+BJ247/BJ21</f>
        <v>-1944.5424640825097</v>
      </c>
      <c r="BK210" s="1356"/>
      <c r="BL210" s="1702">
        <f>+BL247/BL21</f>
        <v>-3353.3623312367358</v>
      </c>
      <c r="BM210" s="1356"/>
      <c r="BN210" s="1702">
        <f>+BN247/BN21</f>
        <v>0</v>
      </c>
      <c r="BO210" s="1356"/>
      <c r="BP210" s="1702">
        <f>+BP247/BP21</f>
        <v>-542.95504651604051</v>
      </c>
      <c r="BQ210" s="1356"/>
      <c r="BR210" s="1702">
        <f>+BR247/BR21</f>
        <v>-812.04155259085621</v>
      </c>
      <c r="BS210" s="1356"/>
      <c r="BT210" s="1702">
        <f>+BT247/BT21</f>
        <v>-1477.8641412826225</v>
      </c>
      <c r="BU210" s="1356"/>
      <c r="BV210" s="1702">
        <f>+BV247/BV21</f>
        <v>-543.46531712752119</v>
      </c>
      <c r="BW210" s="1356"/>
      <c r="BX210" s="1702">
        <f>+BX247/BX21</f>
        <v>-710.43194364628698</v>
      </c>
      <c r="BY210" s="1356"/>
      <c r="BZ210" s="1702">
        <f>+BZ247/BZ21</f>
        <v>79.92415742144108</v>
      </c>
      <c r="CA210" s="1356"/>
      <c r="CB210" s="1702">
        <f>+CB247/CB21</f>
        <v>-1915.9232124881667</v>
      </c>
      <c r="CC210" s="1356"/>
      <c r="CD210" s="1702">
        <f>+CD247/CD21</f>
        <v>1945.6141835032797</v>
      </c>
      <c r="CE210" s="1356"/>
      <c r="CF210" s="1702">
        <v>-2897.1503464532034</v>
      </c>
      <c r="CG210" s="1356"/>
      <c r="CH210" s="1702">
        <v>-3965.5899880540869</v>
      </c>
      <c r="CI210" s="1356"/>
      <c r="CJ210" s="1702">
        <v>-1080.5545072671882</v>
      </c>
      <c r="CK210" s="1356"/>
      <c r="CL210" s="1702">
        <v>-1706.6479730172948</v>
      </c>
      <c r="CM210" s="1356"/>
      <c r="CN210" s="1702">
        <f>+CN247/CN21</f>
        <v>-1962.14533094531</v>
      </c>
      <c r="CO210" s="1356"/>
      <c r="CP210" s="1702">
        <f>+CP247/CP21</f>
        <v>-1186.9214638761857</v>
      </c>
      <c r="CQ210" s="1356"/>
      <c r="CR210" s="1702">
        <v>-4251.5824447841496</v>
      </c>
      <c r="CS210" s="1356"/>
      <c r="CT210" s="1702">
        <f>+CT247/CT21</f>
        <v>-2691.8261961853827</v>
      </c>
      <c r="CU210" s="1356"/>
      <c r="CV210" s="1702">
        <f>+CV247/CV21</f>
        <v>-3617.3232784476613</v>
      </c>
      <c r="CW210" s="1356"/>
      <c r="CX210" s="1702">
        <f>+CX247/CX21</f>
        <v>-9091.7450093208317</v>
      </c>
      <c r="CY210" s="1356"/>
      <c r="CZ210" s="1702">
        <v>-2051.4765132130824</v>
      </c>
      <c r="DA210" s="1356"/>
      <c r="DB210" s="1702">
        <v>-2988.8643344049715</v>
      </c>
      <c r="DC210" s="1356"/>
      <c r="DD210" s="1702">
        <v>-2030.3066378239087</v>
      </c>
      <c r="DE210" s="1356"/>
      <c r="DF210" s="1702">
        <v>-8253.7025161787424</v>
      </c>
      <c r="DG210" s="1356"/>
      <c r="DH210" s="1702">
        <v>-54.913093858632678</v>
      </c>
      <c r="DI210" s="1356"/>
      <c r="DJ210" s="1702">
        <v>-1655.6119904637226</v>
      </c>
      <c r="DK210" s="1356"/>
      <c r="DL210" s="1702">
        <v>-1974.6038045891812</v>
      </c>
      <c r="DM210" s="1356"/>
      <c r="DN210" s="1702">
        <f>+DN247/DN21</f>
        <v>-1094.6226179605862</v>
      </c>
      <c r="DO210" s="1356"/>
      <c r="DP210" s="1702">
        <f>+DP247/DP21</f>
        <v>-3162.917320246444</v>
      </c>
      <c r="DQ210" s="1356"/>
      <c r="DR210" s="1702">
        <f>+DR247/DR21</f>
        <v>-5571.4507554917618</v>
      </c>
      <c r="DS210" s="1356"/>
      <c r="DT210" s="1702">
        <f>+DT247/DT21</f>
        <v>-4542.4386271203066</v>
      </c>
      <c r="DU210" s="1356"/>
      <c r="DV210" s="1702">
        <f>+DV247/DV21</f>
        <v>-1508.9912242119508</v>
      </c>
      <c r="DW210" s="1356"/>
      <c r="DX210" s="1702">
        <f>+DX247/DX21</f>
        <v>-6272.0657041299655</v>
      </c>
      <c r="DY210" s="1356"/>
      <c r="DZ210" s="1702">
        <f>+DZ247/DZ21</f>
        <v>-4990.1509646783607</v>
      </c>
      <c r="EA210" s="1356"/>
      <c r="EB210" s="1702">
        <f>+EB247/EB21</f>
        <v>-6974.8927432107603</v>
      </c>
      <c r="EC210" s="1356"/>
      <c r="ED210" s="1702">
        <f>+ED247/ED21</f>
        <v>-485.92692781335597</v>
      </c>
      <c r="EE210" s="1356"/>
      <c r="EF210" s="1702">
        <f>+EF247/EF21</f>
        <v>-5586.2269753450773</v>
      </c>
      <c r="EG210" s="1356"/>
      <c r="EH210" s="1702">
        <f>+EH247/EH21</f>
        <v>-5712.3969045482172</v>
      </c>
      <c r="EI210" s="1356"/>
      <c r="EJ210" s="1702">
        <f>+EJ247/EJ21</f>
        <v>-4216.6541857514285</v>
      </c>
      <c r="EK210" s="1356"/>
      <c r="EL210" s="1702">
        <f>+EL247/EL21</f>
        <v>-4760.1343117186716</v>
      </c>
      <c r="EM210" s="1356"/>
      <c r="EN210" s="1702">
        <f>+EN247/EN21</f>
        <v>-2252.6938638038487</v>
      </c>
      <c r="EO210" s="1356"/>
      <c r="EP210" s="1702">
        <f>+EP247/EP21</f>
        <v>-1720.6497809583609</v>
      </c>
      <c r="EQ210" s="1356"/>
      <c r="ER210" s="1702">
        <f>+ER247/ER21</f>
        <v>-947.93674507643516</v>
      </c>
      <c r="ES210" s="1356"/>
      <c r="ET210" s="1702">
        <f>+ET247/ET21</f>
        <v>-2570.0424246216594</v>
      </c>
      <c r="EU210" s="1356"/>
      <c r="EV210" s="1702">
        <f>+EV247/EV21</f>
        <v>-658.05735345633445</v>
      </c>
      <c r="EW210" s="1356"/>
      <c r="EX210" s="1702">
        <f>+EX247/EX21</f>
        <v>-2185.2162027442714</v>
      </c>
      <c r="EY210" s="1356"/>
      <c r="EZ210" s="1702">
        <f>+EZ247/EZ21</f>
        <v>-6128.1852540569098</v>
      </c>
      <c r="FA210" s="1356"/>
      <c r="FB210" s="1702">
        <f>+FB247/FB21</f>
        <v>-1464.6337739202907</v>
      </c>
      <c r="FC210" s="1356"/>
      <c r="FD210" s="1702">
        <f>+FD247/FD21</f>
        <v>-1357.8492724833986</v>
      </c>
      <c r="FE210" s="1356"/>
      <c r="FF210" s="1702">
        <f>+FF247/FF21</f>
        <v>-921.77919999999995</v>
      </c>
      <c r="FG210" s="1356"/>
      <c r="FH210" s="1702">
        <f>+FH247/FH21</f>
        <v>-2163.8296529346935</v>
      </c>
      <c r="FI210" s="1356"/>
      <c r="FJ210" s="1702">
        <f>+FJ247/FJ21</f>
        <v>-2225.5033924161326</v>
      </c>
      <c r="FK210" s="1356"/>
      <c r="FL210" s="1702">
        <f>+FL247/FL21</f>
        <v>-2712.6629536365062</v>
      </c>
      <c r="FM210" s="1356"/>
      <c r="FN210" s="1702">
        <f>+FN247/FN21</f>
        <v>-5604.9075002490154</v>
      </c>
      <c r="FO210" s="1356"/>
      <c r="FP210" s="1702">
        <f>+FP247/FP21</f>
        <v>-867.09444410600065</v>
      </c>
      <c r="FQ210" s="1356"/>
      <c r="FR210" s="1702">
        <f>+FR247/FR21</f>
        <v>-1681.9930807641026</v>
      </c>
      <c r="FS210" s="1356"/>
      <c r="FT210" s="1702">
        <f>+FT247/FT21</f>
        <v>-1989.2185128578824</v>
      </c>
      <c r="FU210" s="1356"/>
      <c r="FV210" s="1702">
        <f>+FV247/FV21</f>
        <v>-9941.423435508892</v>
      </c>
      <c r="FW210" s="1356"/>
      <c r="FX210" s="1702">
        <f>+FX247/FX21</f>
        <v>-1540.1371422460677</v>
      </c>
      <c r="FY210" s="1356"/>
      <c r="FZ210" s="1702">
        <f>+FZ247/FZ21</f>
        <v>-2328.6161469024564</v>
      </c>
      <c r="GA210" s="1356"/>
      <c r="GB210" s="1702">
        <f>+GB247/GB21</f>
        <v>-2746.4659226953995</v>
      </c>
      <c r="GC210" s="1356"/>
      <c r="GD210" s="1702">
        <f>+GD247/GD21</f>
        <v>-3893.3711750324132</v>
      </c>
      <c r="GE210" s="1356"/>
      <c r="GF210" s="1702">
        <f>+GF247/GF21</f>
        <v>-1870.9949956928745</v>
      </c>
      <c r="GG210" s="1356"/>
      <c r="GH210" s="1702">
        <f>+GH247/GH21</f>
        <v>-1526.3322173798742</v>
      </c>
      <c r="GI210" s="1356"/>
      <c r="GJ210" s="1702">
        <f>+GJ247/GJ21</f>
        <v>-5168.4798146498088</v>
      </c>
      <c r="GK210" s="1356"/>
      <c r="GL210" s="1702">
        <f>+GL247/GL21</f>
        <v>-1086.9658176098785</v>
      </c>
      <c r="GM210" s="1356"/>
      <c r="GN210" s="1702">
        <f>+GN247/GN21</f>
        <v>-1216.1664698937427</v>
      </c>
      <c r="GO210" s="1356"/>
      <c r="GP210" s="1702">
        <f>+GP247/GP21</f>
        <v>-1502.6431081176852</v>
      </c>
      <c r="GQ210" s="1356"/>
      <c r="GR210" s="1702">
        <f>+GR247/GR21</f>
        <v>-1732.9219182656564</v>
      </c>
      <c r="GS210" s="1356"/>
      <c r="GT210" s="1702">
        <f>+GT247/GT21</f>
        <v>-315.78256109896296</v>
      </c>
      <c r="GU210" s="1356"/>
      <c r="GV210" s="1702">
        <f>+GV247/GV21</f>
        <v>-618.6217795014295</v>
      </c>
      <c r="GW210" s="1356"/>
      <c r="GX210" s="1702">
        <f>+GX247/GX21</f>
        <v>-958.2075867541738</v>
      </c>
      <c r="GY210" s="1356"/>
      <c r="GZ210" s="1702">
        <f>+GZ247/GZ21</f>
        <v>-1771.2966398020371</v>
      </c>
      <c r="HA210" s="1356"/>
      <c r="HB210" s="1702">
        <f>+HB247/HB21</f>
        <v>-615.56557373967826</v>
      </c>
      <c r="HC210" s="1356"/>
      <c r="HD210" s="1702">
        <f>+HD247/HD21</f>
        <v>-4123.3868019330775</v>
      </c>
      <c r="HE210" s="1356"/>
      <c r="HF210" s="2043">
        <f>+HF247/HF21</f>
        <v>-6796.2390863561814</v>
      </c>
      <c r="HH210" s="1702">
        <f>+HH247/HH21</f>
        <v>-6495.9501941140115</v>
      </c>
      <c r="HI210" s="1356"/>
      <c r="HJ210" s="1702">
        <f>+HJ247/HJ21</f>
        <v>-1543.6689667657856</v>
      </c>
      <c r="HK210" s="1356"/>
      <c r="HL210" s="1702">
        <f>+HL247/HL21</f>
        <v>-162.22782373681474</v>
      </c>
      <c r="HM210" s="1356"/>
      <c r="HN210" s="1702">
        <f>+HN247/HN21</f>
        <v>-1428.7561814613873</v>
      </c>
      <c r="HO210" s="1356"/>
      <c r="HP210" s="2043">
        <f>+HP247/HP21</f>
        <v>-3825.4437355156215</v>
      </c>
      <c r="HR210" s="1702">
        <f>+HR247/HR21</f>
        <v>-1341.4739749472151</v>
      </c>
      <c r="HS210" s="1356"/>
      <c r="HT210" s="2043">
        <f>+HT247/HT21</f>
        <v>-5059.3244522330888</v>
      </c>
      <c r="HV210" s="2043">
        <f>+HV247/HV21</f>
        <v>-7590.3802732488557</v>
      </c>
      <c r="HX210" s="2043">
        <f>+HX247/HX21</f>
        <v>-3879.3724325101803</v>
      </c>
      <c r="HZ210" s="2043">
        <f>+HZ247/HZ21</f>
        <v>-1787.6462645076413</v>
      </c>
      <c r="IB210" s="1702">
        <f>+IB247/IB21</f>
        <v>-2706.1542209889794</v>
      </c>
      <c r="IC210" s="1356"/>
      <c r="ID210" s="2043">
        <f>+ID247/ID21</f>
        <v>-1701.804764304444</v>
      </c>
      <c r="IF210" s="2043">
        <f>+IF247/IF21</f>
        <v>-56.732947169856793</v>
      </c>
    </row>
    <row r="211" spans="1:241">
      <c r="A211" s="1149"/>
      <c r="B211" s="1149"/>
      <c r="C211" s="1149"/>
      <c r="D211" s="1149"/>
      <c r="E211" s="1143"/>
      <c r="F211" s="1699"/>
      <c r="G211" s="1356"/>
      <c r="H211" s="1699"/>
      <c r="I211" s="1356"/>
      <c r="J211" s="1699"/>
      <c r="K211" s="1356"/>
      <c r="L211" s="1699"/>
      <c r="M211" s="1356"/>
      <c r="N211" s="1699"/>
      <c r="O211" s="1356"/>
      <c r="P211" s="1699"/>
      <c r="Q211" s="1356"/>
      <c r="R211" s="1699"/>
      <c r="T211" s="1699"/>
      <c r="U211" s="1356"/>
      <c r="V211" s="1699"/>
      <c r="W211" s="1356"/>
      <c r="X211" s="1699"/>
      <c r="Y211" s="1356"/>
      <c r="Z211" s="1699"/>
      <c r="AA211" s="1356"/>
      <c r="AB211" s="1699"/>
      <c r="AC211" s="1356"/>
      <c r="AD211" s="1699"/>
      <c r="AE211" s="1356"/>
      <c r="AF211" s="1699"/>
      <c r="AG211" s="1356"/>
      <c r="AH211" s="1699"/>
      <c r="AI211" s="1356"/>
      <c r="AJ211" s="1699"/>
      <c r="AK211" s="1356"/>
      <c r="AL211" s="1699"/>
      <c r="AM211" s="1356"/>
      <c r="AN211" s="1699"/>
      <c r="AO211" s="1356"/>
      <c r="AP211" s="1699"/>
      <c r="AQ211" s="1356"/>
      <c r="AR211" s="1699"/>
      <c r="AS211" s="1356"/>
      <c r="AT211" s="1699"/>
      <c r="AU211" s="1356"/>
      <c r="AV211" s="1699"/>
      <c r="AW211" s="1356"/>
      <c r="AX211" s="1699"/>
      <c r="AY211" s="1356"/>
      <c r="AZ211" s="1699"/>
      <c r="BA211" s="1356"/>
      <c r="BB211" s="1699"/>
      <c r="BC211" s="1356"/>
      <c r="BD211" s="1699"/>
      <c r="BE211" s="1356"/>
      <c r="BF211" s="1699"/>
      <c r="BG211" s="1356"/>
      <c r="BH211" s="1699"/>
      <c r="BI211" s="1356"/>
      <c r="BJ211" s="1699"/>
      <c r="BK211" s="1356"/>
      <c r="BL211" s="1699"/>
      <c r="BM211" s="1356"/>
      <c r="BN211" s="1699"/>
      <c r="BO211" s="1356"/>
      <c r="BP211" s="1699"/>
      <c r="BQ211" s="1356"/>
      <c r="BR211" s="1699"/>
      <c r="BS211" s="1356"/>
      <c r="BT211" s="1699"/>
      <c r="BU211" s="1356"/>
      <c r="BV211" s="1699"/>
      <c r="BW211" s="1356"/>
      <c r="BX211" s="1699"/>
      <c r="BY211" s="1356"/>
      <c r="BZ211" s="1699"/>
      <c r="CA211" s="1356"/>
      <c r="CB211" s="1699"/>
      <c r="CC211" s="1356"/>
      <c r="CD211" s="1699"/>
      <c r="CE211" s="1356"/>
      <c r="CF211" s="1699"/>
      <c r="CG211" s="1356"/>
      <c r="CH211" s="1699"/>
      <c r="CI211" s="1356"/>
      <c r="CJ211" s="1699"/>
      <c r="CK211" s="1356"/>
      <c r="CL211" s="1699"/>
      <c r="CM211" s="1356"/>
      <c r="CN211" s="1699"/>
      <c r="CO211" s="1356"/>
      <c r="CP211" s="1699"/>
      <c r="CQ211" s="1356"/>
      <c r="CR211" s="1699"/>
      <c r="CS211" s="1356"/>
      <c r="CT211" s="1699"/>
      <c r="CU211" s="1356"/>
      <c r="CV211" s="1699"/>
      <c r="CW211" s="1356"/>
      <c r="CX211" s="1699"/>
      <c r="CY211" s="1356"/>
      <c r="CZ211" s="1699"/>
      <c r="DA211" s="1356"/>
      <c r="DB211" s="1699"/>
      <c r="DC211" s="1356"/>
      <c r="DD211" s="1699"/>
      <c r="DE211" s="1356"/>
      <c r="DF211" s="1699"/>
      <c r="DG211" s="1356"/>
      <c r="DH211" s="1699"/>
      <c r="DI211" s="1356"/>
      <c r="DJ211" s="1699"/>
      <c r="DK211" s="1356"/>
      <c r="DL211" s="1699"/>
      <c r="DM211" s="1356"/>
      <c r="DN211" s="1699"/>
      <c r="DO211" s="1356"/>
      <c r="DP211" s="1699"/>
      <c r="DQ211" s="1356"/>
      <c r="DR211" s="1699"/>
      <c r="DS211" s="1356"/>
      <c r="DT211" s="1699"/>
      <c r="DU211" s="1356"/>
      <c r="DV211" s="1699"/>
      <c r="DW211" s="1356"/>
      <c r="DX211" s="1699"/>
      <c r="DY211" s="1356"/>
      <c r="DZ211" s="1699"/>
      <c r="EA211" s="1356"/>
      <c r="EB211" s="1699"/>
      <c r="EC211" s="1356"/>
      <c r="ED211" s="1699"/>
      <c r="EE211" s="1356"/>
      <c r="EF211" s="1699"/>
      <c r="EG211" s="1356"/>
      <c r="EH211" s="1699"/>
      <c r="EI211" s="1356"/>
      <c r="EJ211" s="1699"/>
      <c r="EK211" s="1356"/>
      <c r="EL211" s="1699"/>
      <c r="EM211" s="1356"/>
      <c r="EN211" s="1699"/>
      <c r="EO211" s="1356"/>
      <c r="EP211" s="1699"/>
      <c r="EQ211" s="1356"/>
      <c r="ER211" s="1699"/>
      <c r="ES211" s="1356"/>
      <c r="ET211" s="1699"/>
      <c r="EU211" s="1356"/>
      <c r="EV211" s="1699"/>
      <c r="EW211" s="1356"/>
      <c r="EX211" s="1699"/>
      <c r="EY211" s="1356"/>
      <c r="EZ211" s="1699"/>
      <c r="FA211" s="1356"/>
      <c r="FB211" s="1699"/>
      <c r="FC211" s="1356"/>
      <c r="FD211" s="1699"/>
      <c r="FE211" s="1356"/>
      <c r="FF211" s="1699"/>
      <c r="FG211" s="1356"/>
      <c r="FH211" s="1699"/>
      <c r="FI211" s="1356"/>
      <c r="FJ211" s="1699"/>
      <c r="FK211" s="1356"/>
      <c r="FL211" s="1699"/>
      <c r="FM211" s="1356"/>
      <c r="FN211" s="1699"/>
      <c r="FO211" s="1356"/>
      <c r="FP211" s="1699"/>
      <c r="FQ211" s="1356"/>
      <c r="FR211" s="1699"/>
      <c r="FS211" s="1356"/>
      <c r="FT211" s="1699"/>
      <c r="FU211" s="1356"/>
      <c r="FV211" s="1699"/>
      <c r="FW211" s="1356"/>
      <c r="FX211" s="1699"/>
      <c r="FY211" s="1356"/>
      <c r="FZ211" s="1699"/>
      <c r="GA211" s="1356"/>
      <c r="GB211" s="1699"/>
      <c r="GC211" s="1356"/>
      <c r="GD211" s="1699"/>
      <c r="GE211" s="1356"/>
      <c r="GF211" s="1699"/>
      <c r="GG211" s="1356"/>
      <c r="GH211" s="1699"/>
      <c r="GI211" s="1356"/>
      <c r="GJ211" s="1699"/>
      <c r="GK211" s="1356"/>
      <c r="GL211" s="1699"/>
      <c r="GM211" s="1356"/>
      <c r="GN211" s="1699"/>
      <c r="GO211" s="1356"/>
      <c r="GP211" s="1699"/>
      <c r="GQ211" s="1356"/>
      <c r="GR211" s="1699"/>
      <c r="GS211" s="1356"/>
      <c r="GT211" s="1699"/>
      <c r="GU211" s="1356"/>
      <c r="GV211" s="1699"/>
      <c r="GW211" s="1356"/>
      <c r="GX211" s="1699"/>
      <c r="GY211" s="1356"/>
      <c r="GZ211" s="1699"/>
      <c r="HA211" s="1356"/>
      <c r="HB211" s="1699"/>
      <c r="HC211" s="1356"/>
      <c r="HD211" s="1699"/>
      <c r="HE211" s="1356"/>
      <c r="HF211" s="2044"/>
      <c r="HH211" s="1699"/>
      <c r="HI211" s="1356"/>
      <c r="HJ211" s="1699"/>
      <c r="HK211" s="1356"/>
      <c r="HL211" s="1699"/>
      <c r="HM211" s="1356"/>
      <c r="HN211" s="1699"/>
      <c r="HO211" s="1356"/>
      <c r="HP211" s="2044"/>
      <c r="HR211" s="1699"/>
      <c r="HS211" s="1356"/>
      <c r="HT211" s="2044"/>
      <c r="HV211" s="2044"/>
      <c r="HX211" s="2044"/>
      <c r="HZ211" s="2044"/>
      <c r="IB211" s="1699"/>
      <c r="IC211" s="1356"/>
      <c r="ID211" s="2044"/>
      <c r="IF211" s="2044"/>
    </row>
    <row r="212" spans="1:241">
      <c r="A212" s="1149"/>
      <c r="B212" s="1149" t="s">
        <v>1254</v>
      </c>
      <c r="C212" s="1149"/>
      <c r="D212" s="1149"/>
      <c r="E212" s="1143"/>
      <c r="F212" s="1537">
        <v>2</v>
      </c>
      <c r="G212" s="1356"/>
      <c r="H212" s="1537">
        <v>2</v>
      </c>
      <c r="I212" s="1356"/>
      <c r="J212" s="1537">
        <v>1</v>
      </c>
      <c r="K212" s="1356"/>
      <c r="L212" s="1537">
        <v>3</v>
      </c>
      <c r="M212" s="1356"/>
      <c r="N212" s="1537">
        <v>1</v>
      </c>
      <c r="O212" s="1356"/>
      <c r="P212" s="1537">
        <v>5</v>
      </c>
      <c r="Q212" s="1356"/>
      <c r="R212" s="1537">
        <v>2</v>
      </c>
      <c r="T212" s="1537">
        <v>2</v>
      </c>
      <c r="U212" s="1356"/>
      <c r="V212" s="1537">
        <v>1</v>
      </c>
      <c r="W212" s="1356"/>
      <c r="X212" s="1537">
        <v>2</v>
      </c>
      <c r="Y212" s="1356"/>
      <c r="Z212" s="1537">
        <v>2</v>
      </c>
      <c r="AA212" s="1356"/>
      <c r="AB212" s="1537">
        <v>1</v>
      </c>
      <c r="AC212" s="1356"/>
      <c r="AD212" s="1537">
        <v>8</v>
      </c>
      <c r="AE212" s="1356"/>
      <c r="AF212" s="1537">
        <v>2</v>
      </c>
      <c r="AG212" s="1356"/>
      <c r="AH212" s="1537">
        <v>2</v>
      </c>
      <c r="AI212" s="1356"/>
      <c r="AJ212" s="1537">
        <v>1</v>
      </c>
      <c r="AK212" s="1356"/>
      <c r="AL212" s="1537">
        <v>1</v>
      </c>
      <c r="AM212" s="1356"/>
      <c r="AN212" s="1537">
        <v>2</v>
      </c>
      <c r="AO212" s="1356"/>
      <c r="AP212" s="1537">
        <v>1</v>
      </c>
      <c r="AQ212" s="1356"/>
      <c r="AR212" s="1537">
        <v>4</v>
      </c>
      <c r="AS212" s="1356"/>
      <c r="AT212" s="1537">
        <v>3</v>
      </c>
      <c r="AU212" s="1356"/>
      <c r="AV212" s="1537">
        <v>2</v>
      </c>
      <c r="AW212" s="1356"/>
      <c r="AX212" s="1537">
        <v>1</v>
      </c>
      <c r="AY212" s="1356"/>
      <c r="AZ212" s="1537">
        <v>2</v>
      </c>
      <c r="BA212" s="1356"/>
      <c r="BB212" s="1537">
        <v>2</v>
      </c>
      <c r="BC212" s="1356"/>
      <c r="BD212" s="1537">
        <v>2</v>
      </c>
      <c r="BE212" s="1356"/>
      <c r="BF212" s="1537">
        <v>1</v>
      </c>
      <c r="BG212" s="1356"/>
      <c r="BH212" s="1537">
        <v>1</v>
      </c>
      <c r="BI212" s="1356"/>
      <c r="BJ212" s="1537">
        <v>2</v>
      </c>
      <c r="BK212" s="1356"/>
      <c r="BL212" s="1537">
        <v>2</v>
      </c>
      <c r="BM212" s="1356"/>
      <c r="BN212" s="1537"/>
      <c r="BO212" s="1356"/>
      <c r="BP212" s="1537">
        <v>2</v>
      </c>
      <c r="BQ212" s="1356"/>
      <c r="BR212" s="1537">
        <v>1</v>
      </c>
      <c r="BS212" s="1356"/>
      <c r="BT212" s="1537">
        <v>2</v>
      </c>
      <c r="BU212" s="1356"/>
      <c r="BV212" s="1537">
        <v>1</v>
      </c>
      <c r="BW212" s="1356"/>
      <c r="BX212" s="1537">
        <v>2</v>
      </c>
      <c r="BY212" s="1356"/>
      <c r="BZ212" s="1537">
        <v>2</v>
      </c>
      <c r="CA212" s="1356"/>
      <c r="CB212" s="1537">
        <v>1</v>
      </c>
      <c r="CC212" s="1356"/>
      <c r="CD212" s="1537">
        <v>1</v>
      </c>
      <c r="CE212" s="1356"/>
      <c r="CF212" s="1537">
        <v>2</v>
      </c>
      <c r="CG212" s="1356"/>
      <c r="CH212" s="1537">
        <v>2</v>
      </c>
      <c r="CI212" s="1356"/>
      <c r="CJ212" s="1537">
        <v>1</v>
      </c>
      <c r="CK212" s="1356"/>
      <c r="CL212" s="1537">
        <v>3</v>
      </c>
      <c r="CM212" s="1356"/>
      <c r="CN212" s="1537">
        <v>2</v>
      </c>
      <c r="CO212" s="1356"/>
      <c r="CP212" s="1537">
        <v>1</v>
      </c>
      <c r="CQ212" s="1356"/>
      <c r="CR212" s="1537">
        <v>2</v>
      </c>
      <c r="CS212" s="1356"/>
      <c r="CT212" s="1537">
        <v>3</v>
      </c>
      <c r="CU212" s="1356"/>
      <c r="CV212" s="1537">
        <v>2</v>
      </c>
      <c r="CW212" s="1356"/>
      <c r="CX212" s="1537">
        <v>2</v>
      </c>
      <c r="CY212" s="1356"/>
      <c r="CZ212" s="1537">
        <v>1</v>
      </c>
      <c r="DA212" s="1356"/>
      <c r="DB212" s="1537">
        <v>3</v>
      </c>
      <c r="DC212" s="1356"/>
      <c r="DD212" s="1537">
        <v>1</v>
      </c>
      <c r="DE212" s="1356"/>
      <c r="DF212" s="1537">
        <v>5</v>
      </c>
      <c r="DG212" s="1356"/>
      <c r="DH212" s="1537">
        <v>1</v>
      </c>
      <c r="DI212" s="1356"/>
      <c r="DJ212" s="1537">
        <v>2</v>
      </c>
      <c r="DK212" s="1356"/>
      <c r="DL212" s="1537">
        <v>2</v>
      </c>
      <c r="DM212" s="1356"/>
      <c r="DN212" s="1537">
        <v>1</v>
      </c>
      <c r="DO212" s="1356"/>
      <c r="DP212" s="1537">
        <v>1</v>
      </c>
      <c r="DQ212" s="1356"/>
      <c r="DR212" s="1537">
        <v>2</v>
      </c>
      <c r="DS212" s="1356"/>
      <c r="DT212" s="1537">
        <v>2</v>
      </c>
      <c r="DU212" s="1356"/>
      <c r="DV212" s="1537">
        <v>2</v>
      </c>
      <c r="DW212" s="1356"/>
      <c r="DX212" s="1537">
        <v>2</v>
      </c>
      <c r="DY212" s="1356"/>
      <c r="DZ212" s="1537">
        <v>5</v>
      </c>
      <c r="EA212" s="1356"/>
      <c r="EB212" s="1537">
        <v>2</v>
      </c>
      <c r="EC212" s="1356"/>
      <c r="ED212" s="1537">
        <v>1</v>
      </c>
      <c r="EE212" s="1356"/>
      <c r="EF212" s="1537">
        <v>1</v>
      </c>
      <c r="EG212" s="1356"/>
      <c r="EH212" s="1537">
        <v>4</v>
      </c>
      <c r="EI212" s="1356"/>
      <c r="EJ212" s="1537">
        <v>1</v>
      </c>
      <c r="EK212" s="1356"/>
      <c r="EL212" s="1537">
        <v>3</v>
      </c>
      <c r="EM212" s="1356"/>
      <c r="EN212" s="1537">
        <v>1</v>
      </c>
      <c r="EO212" s="1356"/>
      <c r="EP212" s="1537">
        <v>2</v>
      </c>
      <c r="EQ212" s="1356"/>
      <c r="ER212" s="1537">
        <v>1</v>
      </c>
      <c r="ES212" s="1356"/>
      <c r="ET212" s="1537">
        <v>3</v>
      </c>
      <c r="EU212" s="1356"/>
      <c r="EV212" s="1537">
        <v>1</v>
      </c>
      <c r="EW212" s="1356"/>
      <c r="EX212" s="1537">
        <v>2</v>
      </c>
      <c r="EY212" s="1356"/>
      <c r="EZ212" s="1537">
        <v>1</v>
      </c>
      <c r="FA212" s="1356"/>
      <c r="FB212" s="1537">
        <v>2</v>
      </c>
      <c r="FC212" s="1356"/>
      <c r="FD212" s="1537">
        <v>1</v>
      </c>
      <c r="FE212" s="1356"/>
      <c r="FF212" s="1537">
        <v>2</v>
      </c>
      <c r="FG212" s="1356"/>
      <c r="FH212" s="1537">
        <v>2</v>
      </c>
      <c r="FI212" s="1356"/>
      <c r="FJ212" s="1537">
        <v>2</v>
      </c>
      <c r="FK212" s="1356"/>
      <c r="FL212" s="1537">
        <v>1</v>
      </c>
      <c r="FM212" s="1356"/>
      <c r="FN212" s="1537">
        <v>2</v>
      </c>
      <c r="FO212" s="1356"/>
      <c r="FP212" s="1537">
        <v>1</v>
      </c>
      <c r="FQ212" s="1356"/>
      <c r="FR212" s="1537">
        <v>2</v>
      </c>
      <c r="FS212" s="1356"/>
      <c r="FT212" s="1537">
        <v>3</v>
      </c>
      <c r="FU212" s="1356"/>
      <c r="FV212" s="1537">
        <v>2</v>
      </c>
      <c r="FW212" s="1356"/>
      <c r="FX212" s="1537">
        <v>2</v>
      </c>
      <c r="FY212" s="1356"/>
      <c r="FZ212" s="1537">
        <v>2</v>
      </c>
      <c r="GA212" s="1356"/>
      <c r="GB212" s="1537">
        <v>1</v>
      </c>
      <c r="GC212" s="1356"/>
      <c r="GD212" s="1537">
        <v>3</v>
      </c>
      <c r="GE212" s="1356"/>
      <c r="GF212" s="1537">
        <v>3</v>
      </c>
      <c r="GG212" s="1356"/>
      <c r="GH212" s="1537">
        <v>2</v>
      </c>
      <c r="GI212" s="1356"/>
      <c r="GJ212" s="1537">
        <v>5</v>
      </c>
      <c r="GK212" s="1356"/>
      <c r="GL212" s="1537">
        <v>2</v>
      </c>
      <c r="GM212" s="1356"/>
      <c r="GN212" s="1537">
        <v>1</v>
      </c>
      <c r="GO212" s="1356"/>
      <c r="GP212" s="1537">
        <v>2</v>
      </c>
      <c r="GQ212" s="1356"/>
      <c r="GR212" s="1537">
        <v>2</v>
      </c>
      <c r="GS212" s="1356"/>
      <c r="GT212" s="1537">
        <v>2</v>
      </c>
      <c r="GU212" s="1356"/>
      <c r="GV212" s="1537">
        <v>2</v>
      </c>
      <c r="GW212" s="1356"/>
      <c r="GX212" s="1537">
        <v>2</v>
      </c>
      <c r="GY212" s="1356"/>
      <c r="GZ212" s="1537">
        <v>3</v>
      </c>
      <c r="HA212" s="1356"/>
      <c r="HB212" s="1537">
        <v>1</v>
      </c>
      <c r="HC212" s="1356"/>
      <c r="HD212" s="1537">
        <v>3</v>
      </c>
      <c r="HE212" s="1356"/>
      <c r="HF212" s="1537">
        <v>4</v>
      </c>
      <c r="HH212" s="1537">
        <v>2</v>
      </c>
      <c r="HI212" s="1356"/>
      <c r="HJ212" s="1537">
        <v>3</v>
      </c>
      <c r="HK212" s="1356"/>
      <c r="HL212" s="1537">
        <v>1</v>
      </c>
      <c r="HM212" s="1356"/>
      <c r="HN212" s="1537">
        <v>1</v>
      </c>
      <c r="HO212" s="1356"/>
      <c r="HP212" s="1537">
        <v>4</v>
      </c>
      <c r="HR212" s="1537">
        <v>1</v>
      </c>
      <c r="HS212" s="1356"/>
      <c r="HT212" s="1537">
        <v>3</v>
      </c>
      <c r="HV212" s="1537">
        <v>3</v>
      </c>
      <c r="HX212" s="1537">
        <v>1</v>
      </c>
      <c r="HZ212" s="1537">
        <v>1</v>
      </c>
      <c r="IB212" s="1537">
        <v>2</v>
      </c>
      <c r="IC212" s="1356"/>
      <c r="ID212" s="1537">
        <v>2</v>
      </c>
      <c r="IF212" s="1537">
        <v>1</v>
      </c>
    </row>
    <row r="213" spans="1:241">
      <c r="A213" s="1149"/>
      <c r="B213" s="1149"/>
      <c r="C213" s="1149"/>
      <c r="D213" s="1149"/>
      <c r="E213" s="1143"/>
      <c r="F213" s="1699"/>
      <c r="G213" s="1356"/>
      <c r="H213" s="1699"/>
      <c r="I213" s="1356"/>
      <c r="J213" s="1699"/>
      <c r="K213" s="1356"/>
      <c r="L213" s="1699"/>
      <c r="M213" s="1356"/>
      <c r="N213" s="1699"/>
      <c r="O213" s="1356"/>
      <c r="P213" s="1699"/>
      <c r="Q213" s="1356"/>
      <c r="R213" s="1699"/>
      <c r="T213" s="1699"/>
      <c r="U213" s="1356"/>
      <c r="V213" s="1699"/>
      <c r="W213" s="1356"/>
      <c r="X213" s="1699"/>
      <c r="Y213" s="1356"/>
      <c r="Z213" s="1699"/>
      <c r="AA213" s="1356"/>
      <c r="AB213" s="1699"/>
      <c r="AC213" s="1356"/>
      <c r="AD213" s="1699"/>
      <c r="AE213" s="1356"/>
      <c r="AF213" s="1699"/>
      <c r="AG213" s="1356"/>
      <c r="AH213" s="1699"/>
      <c r="AI213" s="1356"/>
      <c r="AJ213" s="1699"/>
      <c r="AK213" s="1356"/>
      <c r="AL213" s="1699"/>
      <c r="AM213" s="1356"/>
      <c r="AN213" s="1699"/>
      <c r="AO213" s="1356"/>
      <c r="AP213" s="1699"/>
      <c r="AQ213" s="1356"/>
      <c r="AR213" s="1699"/>
      <c r="AS213" s="1356"/>
      <c r="AT213" s="1699"/>
      <c r="AU213" s="1356"/>
      <c r="AV213" s="1699"/>
      <c r="AW213" s="1356"/>
      <c r="AX213" s="1699"/>
      <c r="AY213" s="1356"/>
      <c r="AZ213" s="1699"/>
      <c r="BA213" s="1356"/>
      <c r="BB213" s="1699"/>
      <c r="BC213" s="1356"/>
      <c r="BD213" s="1699"/>
      <c r="BE213" s="1356"/>
      <c r="BF213" s="1699"/>
      <c r="BG213" s="1356"/>
      <c r="BH213" s="1699"/>
      <c r="BI213" s="1356"/>
      <c r="BJ213" s="1699"/>
      <c r="BK213" s="1356"/>
      <c r="BL213" s="1699"/>
      <c r="BM213" s="1356"/>
      <c r="BN213" s="1699"/>
      <c r="BO213" s="1356"/>
      <c r="BP213" s="1699"/>
      <c r="BQ213" s="1356"/>
      <c r="BR213" s="1699"/>
      <c r="BS213" s="1356"/>
      <c r="BT213" s="1699"/>
      <c r="BU213" s="1356"/>
      <c r="BV213" s="1699"/>
      <c r="BW213" s="1356"/>
      <c r="BX213" s="1699"/>
      <c r="BY213" s="1356"/>
      <c r="BZ213" s="1699"/>
      <c r="CA213" s="1356"/>
      <c r="CB213" s="1699"/>
      <c r="CC213" s="1356"/>
      <c r="CD213" s="1699"/>
      <c r="CE213" s="1356"/>
      <c r="CF213" s="1699"/>
      <c r="CG213" s="1356"/>
      <c r="CH213" s="1699"/>
      <c r="CI213" s="1356"/>
      <c r="CJ213" s="1699"/>
      <c r="CK213" s="1356"/>
      <c r="CL213" s="1699"/>
      <c r="CM213" s="1356"/>
      <c r="CN213" s="1699"/>
      <c r="CO213" s="1356"/>
      <c r="CP213" s="1699"/>
      <c r="CQ213" s="1356"/>
      <c r="CR213" s="1699"/>
      <c r="CS213" s="1356"/>
      <c r="CT213" s="1699"/>
      <c r="CU213" s="1356"/>
      <c r="CV213" s="1699"/>
      <c r="CW213" s="1356"/>
      <c r="CX213" s="1699"/>
      <c r="CY213" s="1356"/>
      <c r="CZ213" s="1699"/>
      <c r="DA213" s="1356"/>
      <c r="DB213" s="1699"/>
      <c r="DC213" s="1356"/>
      <c r="DD213" s="1699"/>
      <c r="DE213" s="1356"/>
      <c r="DF213" s="1699"/>
      <c r="DG213" s="1356"/>
      <c r="DH213" s="1699"/>
      <c r="DI213" s="1356"/>
      <c r="DJ213" s="1699"/>
      <c r="DK213" s="1356"/>
      <c r="DL213" s="1699"/>
      <c r="DM213" s="1356"/>
      <c r="DN213" s="1699"/>
      <c r="DO213" s="1356"/>
      <c r="DP213" s="1699"/>
      <c r="DQ213" s="1356"/>
      <c r="DR213" s="1699"/>
      <c r="DS213" s="1356"/>
      <c r="DT213" s="1699"/>
      <c r="DU213" s="1356"/>
      <c r="DV213" s="1699"/>
      <c r="DW213" s="1356"/>
      <c r="DX213" s="1699"/>
      <c r="DY213" s="1356"/>
      <c r="DZ213" s="1699"/>
      <c r="EA213" s="1356"/>
      <c r="EB213" s="1699"/>
      <c r="EC213" s="1356"/>
      <c r="ED213" s="1699"/>
      <c r="EE213" s="1356"/>
      <c r="EF213" s="1699"/>
      <c r="EG213" s="1356"/>
      <c r="EH213" s="1699"/>
      <c r="EI213" s="1356"/>
      <c r="EJ213" s="1699"/>
      <c r="EK213" s="1356"/>
      <c r="EL213" s="1699"/>
      <c r="EM213" s="1356"/>
      <c r="EN213" s="1699"/>
      <c r="EO213" s="1356"/>
      <c r="EP213" s="1699"/>
      <c r="EQ213" s="1356"/>
      <c r="ER213" s="1699"/>
      <c r="ES213" s="1356"/>
      <c r="ET213" s="1699"/>
      <c r="EU213" s="1356"/>
      <c r="EV213" s="1699"/>
      <c r="EW213" s="1356"/>
      <c r="EX213" s="1699"/>
      <c r="EY213" s="1356"/>
      <c r="EZ213" s="1699"/>
      <c r="FA213" s="1356"/>
      <c r="FB213" s="1699"/>
      <c r="FC213" s="1356"/>
      <c r="FD213" s="1699"/>
      <c r="FE213" s="1356"/>
      <c r="FF213" s="1699"/>
      <c r="FG213" s="1356"/>
      <c r="FH213" s="1699"/>
      <c r="FI213" s="1356"/>
      <c r="FJ213" s="1699"/>
      <c r="FK213" s="1356"/>
      <c r="FL213" s="1699"/>
      <c r="FM213" s="1356"/>
      <c r="FN213" s="1699"/>
      <c r="FO213" s="1356"/>
      <c r="FP213" s="1699"/>
      <c r="FQ213" s="1356"/>
      <c r="FR213" s="1699"/>
      <c r="FS213" s="1356"/>
      <c r="FT213" s="1699"/>
      <c r="FU213" s="1356"/>
      <c r="FV213" s="1699"/>
      <c r="FW213" s="1356"/>
      <c r="FX213" s="1699"/>
      <c r="FY213" s="1356"/>
      <c r="FZ213" s="1699"/>
      <c r="GA213" s="1356"/>
      <c r="GB213" s="1699"/>
      <c r="GC213" s="1356"/>
      <c r="GD213" s="1699"/>
      <c r="GE213" s="1356"/>
      <c r="GF213" s="1699"/>
      <c r="GG213" s="1356"/>
      <c r="GH213" s="1699"/>
      <c r="GI213" s="1356"/>
      <c r="GJ213" s="1699"/>
      <c r="GK213" s="1356"/>
      <c r="GL213" s="1699"/>
      <c r="GM213" s="1356"/>
      <c r="GN213" s="1699"/>
      <c r="GO213" s="1356"/>
      <c r="GP213" s="1699"/>
      <c r="GQ213" s="1356"/>
      <c r="GR213" s="1699"/>
      <c r="GS213" s="1356"/>
      <c r="GT213" s="1699"/>
      <c r="GU213" s="1356"/>
      <c r="GV213" s="1699"/>
      <c r="GW213" s="1356"/>
      <c r="GX213" s="1699"/>
      <c r="GY213" s="1356"/>
      <c r="GZ213" s="1699"/>
      <c r="HA213" s="1356"/>
      <c r="HB213" s="1699"/>
      <c r="HC213" s="1356"/>
      <c r="HD213" s="1699"/>
      <c r="HE213" s="1356"/>
      <c r="HF213" s="2042"/>
      <c r="HH213" s="1699"/>
      <c r="HI213" s="1356"/>
      <c r="HJ213" s="1699"/>
      <c r="HK213" s="1356"/>
      <c r="HL213" s="1699"/>
      <c r="HM213" s="1356"/>
      <c r="HN213" s="1699"/>
      <c r="HO213" s="1356"/>
      <c r="HP213" s="2042"/>
      <c r="HR213" s="1699"/>
      <c r="HS213" s="1356"/>
      <c r="HT213" s="2042"/>
      <c r="HV213" s="2042"/>
      <c r="HX213" s="2042"/>
      <c r="HZ213" s="2042"/>
      <c r="IB213" s="1699"/>
      <c r="IC213" s="1356"/>
      <c r="ID213" s="2042"/>
      <c r="IF213" s="2042"/>
    </row>
    <row r="214" spans="1:241">
      <c r="A214" s="1149"/>
      <c r="B214" s="1149" t="s">
        <v>1255</v>
      </c>
      <c r="C214" s="1149"/>
      <c r="D214" s="1149"/>
      <c r="E214" s="1143"/>
      <c r="F214" s="1537">
        <v>26022</v>
      </c>
      <c r="G214" s="1356"/>
      <c r="H214" s="1537">
        <v>25000</v>
      </c>
      <c r="I214" s="1356"/>
      <c r="J214" s="1537">
        <v>27439</v>
      </c>
      <c r="K214" s="1356"/>
      <c r="L214" s="1537">
        <v>299388</v>
      </c>
      <c r="M214" s="1356"/>
      <c r="N214" s="1537">
        <v>45187</v>
      </c>
      <c r="O214" s="1356"/>
      <c r="P214" s="1537"/>
      <c r="Q214" s="1356"/>
      <c r="R214" s="1537">
        <v>93624</v>
      </c>
      <c r="T214" s="1537">
        <v>46806</v>
      </c>
      <c r="U214" s="1356"/>
      <c r="V214" s="1537">
        <v>43509</v>
      </c>
      <c r="W214" s="1356"/>
      <c r="X214" s="1537">
        <v>54045</v>
      </c>
      <c r="Y214" s="1356"/>
      <c r="Z214" s="1537">
        <v>97000</v>
      </c>
      <c r="AA214" s="1356"/>
      <c r="AB214" s="1537">
        <v>41946</v>
      </c>
      <c r="AC214" s="1356"/>
      <c r="AD214" s="1537">
        <v>194711</v>
      </c>
      <c r="AE214" s="1356"/>
      <c r="AF214" s="1537">
        <v>142323</v>
      </c>
      <c r="AG214" s="1356"/>
      <c r="AH214" s="1537">
        <v>30151</v>
      </c>
      <c r="AI214" s="1356"/>
      <c r="AJ214" s="1537">
        <v>60000</v>
      </c>
      <c r="AK214" s="1356"/>
      <c r="AL214" s="1537">
        <v>48460</v>
      </c>
      <c r="AM214" s="1356"/>
      <c r="AN214" s="1537">
        <v>40000</v>
      </c>
      <c r="AO214" s="1356"/>
      <c r="AP214" s="1537">
        <v>34540</v>
      </c>
      <c r="AQ214" s="1356"/>
      <c r="AR214" s="1537">
        <v>82990</v>
      </c>
      <c r="AS214" s="1356"/>
      <c r="AT214" s="1537">
        <v>108188</v>
      </c>
      <c r="AU214" s="1356"/>
      <c r="AV214" s="1537">
        <v>55667</v>
      </c>
      <c r="AW214" s="1356"/>
      <c r="AX214" s="1537">
        <v>127154</v>
      </c>
      <c r="AY214" s="1356"/>
      <c r="AZ214" s="1537"/>
      <c r="BA214" s="1356"/>
      <c r="BB214" s="1537">
        <v>75036</v>
      </c>
      <c r="BC214" s="1356"/>
      <c r="BD214" s="1537">
        <v>53315</v>
      </c>
      <c r="BE214" s="1356"/>
      <c r="BF214" s="1537">
        <v>47773</v>
      </c>
      <c r="BG214" s="1356"/>
      <c r="BH214" s="1537">
        <v>71500</v>
      </c>
      <c r="BI214" s="1356"/>
      <c r="BJ214" s="1537">
        <v>90800</v>
      </c>
      <c r="BK214" s="1356"/>
      <c r="BL214" s="1537">
        <v>97100</v>
      </c>
      <c r="BM214" s="1356"/>
      <c r="BN214" s="1537"/>
      <c r="BO214" s="1356"/>
      <c r="BP214" s="1537">
        <v>73092</v>
      </c>
      <c r="BQ214" s="1356"/>
      <c r="BR214" s="1537">
        <v>11142</v>
      </c>
      <c r="BS214" s="1356"/>
      <c r="BT214" s="1537">
        <v>29058</v>
      </c>
      <c r="BU214" s="1356"/>
      <c r="BV214" s="1537">
        <v>64284</v>
      </c>
      <c r="BW214" s="1356"/>
      <c r="BX214" s="1537">
        <v>109823</v>
      </c>
      <c r="BY214" s="1356"/>
      <c r="BZ214" s="1537">
        <v>89548</v>
      </c>
      <c r="CA214" s="1356"/>
      <c r="CB214" s="1537">
        <v>29654</v>
      </c>
      <c r="CC214" s="1356"/>
      <c r="CD214" s="1537">
        <v>70247</v>
      </c>
      <c r="CE214" s="1356"/>
      <c r="CF214" s="1537">
        <v>42671</v>
      </c>
      <c r="CG214" s="1356"/>
      <c r="CH214" s="1537">
        <v>73332</v>
      </c>
      <c r="CI214" s="1356"/>
      <c r="CJ214" s="1537">
        <v>70000</v>
      </c>
      <c r="CK214" s="1356"/>
      <c r="CL214" s="1537">
        <v>172000</v>
      </c>
      <c r="CM214" s="1356"/>
      <c r="CN214" s="1537">
        <v>79533</v>
      </c>
      <c r="CO214" s="1356"/>
      <c r="CP214" s="1537">
        <v>35250</v>
      </c>
      <c r="CQ214" s="1356"/>
      <c r="CR214" s="1537">
        <v>88396</v>
      </c>
      <c r="CS214" s="1356"/>
      <c r="CT214" s="1537">
        <v>64000</v>
      </c>
      <c r="CU214" s="1356"/>
      <c r="CV214" s="1537">
        <v>82356</v>
      </c>
      <c r="CW214" s="1356"/>
      <c r="CX214" s="1537">
        <v>134322</v>
      </c>
      <c r="CY214" s="1356"/>
      <c r="CZ214" s="1537">
        <v>13177</v>
      </c>
      <c r="DA214" s="1356"/>
      <c r="DB214" s="1537">
        <v>112838</v>
      </c>
      <c r="DC214" s="1356"/>
      <c r="DD214" s="1537">
        <v>51427</v>
      </c>
      <c r="DE214" s="1356"/>
      <c r="DF214" s="1537">
        <v>256024</v>
      </c>
      <c r="DG214" s="1356"/>
      <c r="DH214" s="1537">
        <v>163829</v>
      </c>
      <c r="DI214" s="1356"/>
      <c r="DJ214" s="1537">
        <v>25000</v>
      </c>
      <c r="DK214" s="1356"/>
      <c r="DL214" s="1545">
        <v>70124</v>
      </c>
      <c r="DM214" s="1356"/>
      <c r="DN214" s="1536">
        <v>0</v>
      </c>
      <c r="DO214" s="1789" t="s">
        <v>1632</v>
      </c>
      <c r="DP214" s="1537">
        <v>15581</v>
      </c>
      <c r="DQ214" s="1356"/>
      <c r="DR214" s="1537">
        <v>57730</v>
      </c>
      <c r="DS214" s="1356"/>
      <c r="DT214" s="1537">
        <v>262364</v>
      </c>
      <c r="DU214" s="1356"/>
      <c r="DV214" s="1537">
        <v>72400</v>
      </c>
      <c r="DW214" s="1356"/>
      <c r="DX214" s="1537">
        <v>63081</v>
      </c>
      <c r="DY214" s="1356"/>
      <c r="DZ214" s="1537">
        <v>276349</v>
      </c>
      <c r="EA214" s="1356"/>
      <c r="EB214" s="1537">
        <v>96564</v>
      </c>
      <c r="EC214" s="1356"/>
      <c r="ED214" s="1537">
        <v>27965</v>
      </c>
      <c r="EE214" s="1356"/>
      <c r="EF214" s="1537">
        <v>58420</v>
      </c>
      <c r="EG214" s="1356"/>
      <c r="EH214" s="1537">
        <v>313000</v>
      </c>
      <c r="EI214" s="1356"/>
      <c r="EJ214" s="1537">
        <v>69004</v>
      </c>
      <c r="EK214" s="1356"/>
      <c r="EL214" s="1537">
        <v>254292</v>
      </c>
      <c r="EM214" s="1356"/>
      <c r="EN214" s="1537">
        <v>44387</v>
      </c>
      <c r="EO214" s="1356"/>
      <c r="EP214" s="1537">
        <v>43083</v>
      </c>
      <c r="EQ214" s="1356"/>
      <c r="ER214" s="1537">
        <v>12042</v>
      </c>
      <c r="ES214" s="1356"/>
      <c r="ET214" s="1537">
        <v>71352</v>
      </c>
      <c r="EU214" s="1356"/>
      <c r="EV214" s="1537">
        <v>131895</v>
      </c>
      <c r="EW214" s="1356"/>
      <c r="EX214" s="1537">
        <v>20657</v>
      </c>
      <c r="EY214" s="1356"/>
      <c r="EZ214" s="1537">
        <v>57930</v>
      </c>
      <c r="FA214" s="1356"/>
      <c r="FB214" s="1537">
        <v>16641</v>
      </c>
      <c r="FC214" s="1356"/>
      <c r="FD214" s="1537">
        <v>50000</v>
      </c>
      <c r="FE214" s="1356"/>
      <c r="FF214" s="1537">
        <v>35000</v>
      </c>
      <c r="FG214" s="1356"/>
      <c r="FH214" s="1537">
        <v>19772</v>
      </c>
      <c r="FI214" s="1356"/>
      <c r="FJ214" s="1537">
        <v>42020</v>
      </c>
      <c r="FK214" s="1356"/>
      <c r="FL214" s="1537">
        <v>37227</v>
      </c>
      <c r="FM214" s="1356"/>
      <c r="FN214" s="1537">
        <v>82022</v>
      </c>
      <c r="FO214" s="1356"/>
      <c r="FP214" s="1537"/>
      <c r="FQ214" s="1356"/>
      <c r="FR214" s="1408">
        <v>16900</v>
      </c>
      <c r="FS214" s="1356"/>
      <c r="FT214" s="1537">
        <v>137000</v>
      </c>
      <c r="FU214" s="1356"/>
      <c r="FV214" s="1537">
        <v>173500</v>
      </c>
      <c r="FW214" s="1356"/>
      <c r="FX214" s="1537">
        <v>64260</v>
      </c>
      <c r="FY214" s="1356"/>
      <c r="FZ214" s="1537">
        <v>66883</v>
      </c>
      <c r="GA214" s="1356"/>
      <c r="GB214" s="1537">
        <v>17652</v>
      </c>
      <c r="GC214" s="1356"/>
      <c r="GD214" s="1537">
        <v>120000</v>
      </c>
      <c r="GE214" s="1356"/>
      <c r="GF214" s="1537"/>
      <c r="GG214" s="1356"/>
      <c r="GH214" s="1537">
        <v>52079</v>
      </c>
      <c r="GI214" s="1356"/>
      <c r="GJ214" s="1537">
        <v>392297</v>
      </c>
      <c r="GK214" s="1356"/>
      <c r="GL214" s="1537">
        <v>84480</v>
      </c>
      <c r="GM214" s="1356"/>
      <c r="GN214" s="1537">
        <v>53500</v>
      </c>
      <c r="GO214" s="1356"/>
      <c r="GP214" s="1537">
        <v>49301</v>
      </c>
      <c r="GQ214" s="1356"/>
      <c r="GR214" s="1537">
        <v>70000</v>
      </c>
      <c r="GS214" s="1356"/>
      <c r="GT214" s="1537">
        <v>57526</v>
      </c>
      <c r="GU214" s="1356"/>
      <c r="GV214" s="1537">
        <v>147763</v>
      </c>
      <c r="GW214" s="1356"/>
      <c r="GX214" s="1537">
        <v>110000</v>
      </c>
      <c r="GY214" s="1356"/>
      <c r="GZ214" s="1537">
        <v>87753</v>
      </c>
      <c r="HA214" s="1356"/>
      <c r="HB214" s="1537">
        <v>25000</v>
      </c>
      <c r="HC214" s="1356"/>
      <c r="HD214" s="1537" t="s">
        <v>1854</v>
      </c>
      <c r="HE214" s="1356"/>
      <c r="HF214" s="1537">
        <v>259234</v>
      </c>
      <c r="HH214" s="1537">
        <v>58000</v>
      </c>
      <c r="HI214" s="1356"/>
      <c r="HJ214" s="1537">
        <v>160863</v>
      </c>
      <c r="HK214" s="1356"/>
      <c r="HL214" s="1537"/>
      <c r="HM214" s="1356"/>
      <c r="HN214" s="1537">
        <v>35000</v>
      </c>
      <c r="HO214" s="1356"/>
      <c r="HP214" s="1537">
        <v>250000</v>
      </c>
      <c r="HR214" s="1537">
        <v>35000</v>
      </c>
      <c r="HS214" s="1356"/>
      <c r="HT214" s="1537">
        <v>110466</v>
      </c>
      <c r="HV214" s="1537">
        <v>50400</v>
      </c>
      <c r="HX214" s="1537">
        <v>81697</v>
      </c>
      <c r="HZ214" s="1537">
        <v>102000</v>
      </c>
      <c r="IB214" s="1537">
        <v>28843</v>
      </c>
      <c r="IC214" s="1356"/>
      <c r="ID214" s="1537">
        <v>70000</v>
      </c>
      <c r="IF214" s="1537">
        <v>107195</v>
      </c>
    </row>
    <row r="215" spans="1:241">
      <c r="A215" s="1149"/>
      <c r="B215" s="1149" t="s">
        <v>1256</v>
      </c>
      <c r="C215" s="1149"/>
      <c r="D215" s="1149"/>
      <c r="E215" s="1143"/>
      <c r="F215" s="1537">
        <v>385</v>
      </c>
      <c r="G215" s="1356"/>
      <c r="H215" s="1537">
        <v>5000</v>
      </c>
      <c r="I215" s="1356"/>
      <c r="J215" s="1537">
        <v>3012</v>
      </c>
      <c r="K215" s="1356"/>
      <c r="L215" s="1537">
        <v>9651</v>
      </c>
      <c r="M215" s="1356"/>
      <c r="N215" s="1537">
        <v>499</v>
      </c>
      <c r="O215" s="1356"/>
      <c r="P215" s="1537"/>
      <c r="Q215" s="1356"/>
      <c r="R215" s="1537">
        <v>12468</v>
      </c>
      <c r="T215" s="1537">
        <v>4731</v>
      </c>
      <c r="U215" s="1356"/>
      <c r="V215" s="1537">
        <v>10877</v>
      </c>
      <c r="W215" s="1356"/>
      <c r="X215" s="1537">
        <v>12340</v>
      </c>
      <c r="Y215" s="1356"/>
      <c r="Z215" s="1537">
        <v>26000</v>
      </c>
      <c r="AA215" s="1356"/>
      <c r="AB215" s="1537">
        <v>8726</v>
      </c>
      <c r="AC215" s="1356"/>
      <c r="AD215" s="1537">
        <v>639</v>
      </c>
      <c r="AE215" s="1356"/>
      <c r="AF215" s="1537">
        <v>14859</v>
      </c>
      <c r="AG215" s="1356"/>
      <c r="AH215" s="1537">
        <v>2896</v>
      </c>
      <c r="AI215" s="1356"/>
      <c r="AJ215" s="1537">
        <v>5000</v>
      </c>
      <c r="AK215" s="1356"/>
      <c r="AL215" s="1537">
        <v>6028</v>
      </c>
      <c r="AM215" s="1356"/>
      <c r="AN215" s="1537"/>
      <c r="AO215" s="1356"/>
      <c r="AP215" s="1537">
        <v>6919</v>
      </c>
      <c r="AQ215" s="1356"/>
      <c r="AR215" s="1537">
        <v>12455</v>
      </c>
      <c r="AS215" s="1356"/>
      <c r="AT215" s="1537">
        <v>7510</v>
      </c>
      <c r="AU215" s="1356"/>
      <c r="AV215" s="1537">
        <v>3137</v>
      </c>
      <c r="AW215" s="1356"/>
      <c r="AX215" s="1537">
        <v>59364</v>
      </c>
      <c r="AY215" s="1356"/>
      <c r="AZ215" s="1537"/>
      <c r="BA215" s="1356"/>
      <c r="BB215" s="1537">
        <v>11000</v>
      </c>
      <c r="BC215" s="1356"/>
      <c r="BD215" s="1537">
        <v>16334</v>
      </c>
      <c r="BE215" s="1356"/>
      <c r="BF215" s="1537">
        <v>3274</v>
      </c>
      <c r="BG215" s="1356"/>
      <c r="BH215" s="1537">
        <v>50</v>
      </c>
      <c r="BI215" s="1356"/>
      <c r="BJ215" s="1537">
        <v>12500</v>
      </c>
      <c r="BK215" s="1356"/>
      <c r="BL215" s="1537">
        <v>4500</v>
      </c>
      <c r="BM215" s="1356"/>
      <c r="BN215" s="1537"/>
      <c r="BO215" s="1356"/>
      <c r="BP215" s="1537">
        <v>19216</v>
      </c>
      <c r="BQ215" s="1356"/>
      <c r="BR215" s="1537">
        <v>0</v>
      </c>
      <c r="BS215" s="1356"/>
      <c r="BT215" s="1537">
        <v>568</v>
      </c>
      <c r="BU215" s="1356"/>
      <c r="BV215" s="1537">
        <v>0</v>
      </c>
      <c r="BW215" s="1356"/>
      <c r="BX215" s="1537">
        <v>29562</v>
      </c>
      <c r="BY215" s="1356"/>
      <c r="BZ215" s="1537">
        <v>10165</v>
      </c>
      <c r="CA215" s="1356"/>
      <c r="CB215" s="1537">
        <v>2192</v>
      </c>
      <c r="CC215" s="1356"/>
      <c r="CD215" s="1537">
        <v>7075</v>
      </c>
      <c r="CE215" s="1356"/>
      <c r="CF215" s="1537">
        <v>6726</v>
      </c>
      <c r="CG215" s="1356"/>
      <c r="CH215" s="1537">
        <v>2020</v>
      </c>
      <c r="CI215" s="1356"/>
      <c r="CJ215" s="1537">
        <v>7200</v>
      </c>
      <c r="CK215" s="1356"/>
      <c r="CL215" s="1537">
        <v>42650</v>
      </c>
      <c r="CM215" s="1356"/>
      <c r="CN215" s="1537">
        <v>11557</v>
      </c>
      <c r="CO215" s="1356"/>
      <c r="CP215" s="1537">
        <v>1383</v>
      </c>
      <c r="CQ215" s="1356"/>
      <c r="CR215" s="1537">
        <v>20245</v>
      </c>
      <c r="CS215" s="1356"/>
      <c r="CT215" s="1537">
        <v>10066</v>
      </c>
      <c r="CU215" s="1356"/>
      <c r="CV215" s="1537">
        <v>1758</v>
      </c>
      <c r="CW215" s="1356"/>
      <c r="CX215" s="1537">
        <v>6091</v>
      </c>
      <c r="CY215" s="1356"/>
      <c r="CZ215" s="1537">
        <v>1482</v>
      </c>
      <c r="DA215" s="1356"/>
      <c r="DB215" s="1537">
        <v>8229</v>
      </c>
      <c r="DC215" s="1356"/>
      <c r="DD215" s="1537">
        <v>4010</v>
      </c>
      <c r="DE215" s="1356"/>
      <c r="DF215" s="1537">
        <v>16858</v>
      </c>
      <c r="DG215" s="1356"/>
      <c r="DH215" s="1537">
        <v>9195</v>
      </c>
      <c r="DI215" s="1356"/>
      <c r="DJ215" s="1537">
        <v>24</v>
      </c>
      <c r="DK215" s="1356"/>
      <c r="DL215" s="1545">
        <v>0</v>
      </c>
      <c r="DM215" s="1356"/>
      <c r="DN215" s="1536">
        <v>0</v>
      </c>
      <c r="DO215" s="1789" t="s">
        <v>1633</v>
      </c>
      <c r="DP215" s="1537">
        <v>0</v>
      </c>
      <c r="DQ215" s="1356"/>
      <c r="DR215" s="1537">
        <v>1571</v>
      </c>
      <c r="DS215" s="1356"/>
      <c r="DT215" s="1537">
        <v>10347</v>
      </c>
      <c r="DU215" s="1356"/>
      <c r="DV215" s="1537">
        <v>1113</v>
      </c>
      <c r="DW215" s="1356"/>
      <c r="DX215" s="1537">
        <v>6000</v>
      </c>
      <c r="DY215" s="1356"/>
      <c r="DZ215" s="1537">
        <v>9738</v>
      </c>
      <c r="EA215" s="1356"/>
      <c r="EB215" s="1537">
        <v>6867</v>
      </c>
      <c r="EC215" s="1356"/>
      <c r="ED215" s="1537">
        <v>0</v>
      </c>
      <c r="EE215" s="1356"/>
      <c r="EF215" s="1537">
        <v>3038</v>
      </c>
      <c r="EG215" s="1356"/>
      <c r="EH215" s="1537">
        <v>20000</v>
      </c>
      <c r="EI215" s="1356"/>
      <c r="EJ215" s="1537">
        <v>0</v>
      </c>
      <c r="EK215" s="1356"/>
      <c r="EL215" s="1537">
        <v>24635</v>
      </c>
      <c r="EM215" s="1356"/>
      <c r="EN215" s="1537">
        <v>1781</v>
      </c>
      <c r="EO215" s="1356"/>
      <c r="EP215" s="1537">
        <v>4369</v>
      </c>
      <c r="EQ215" s="1356"/>
      <c r="ER215" s="1537">
        <v>1000</v>
      </c>
      <c r="ES215" s="1356"/>
      <c r="ET215" s="1537">
        <v>23784</v>
      </c>
      <c r="EU215" s="1356"/>
      <c r="EV215" s="1537">
        <v>1200</v>
      </c>
      <c r="EW215" s="1356"/>
      <c r="EX215" s="1537">
        <v>2000</v>
      </c>
      <c r="EY215" s="1356"/>
      <c r="EZ215" s="1537">
        <v>1720</v>
      </c>
      <c r="FA215" s="1356"/>
      <c r="FB215" s="1537">
        <v>740</v>
      </c>
      <c r="FC215" s="1356"/>
      <c r="FD215" s="1537">
        <v>10200</v>
      </c>
      <c r="FE215" s="1356"/>
      <c r="FF215" s="1537">
        <v>13000</v>
      </c>
      <c r="FG215" s="1356"/>
      <c r="FH215" s="1537">
        <v>1500</v>
      </c>
      <c r="FI215" s="1356"/>
      <c r="FJ215" s="1537">
        <v>6854</v>
      </c>
      <c r="FK215" s="1356"/>
      <c r="FL215" s="1537">
        <v>64</v>
      </c>
      <c r="FM215" s="1356"/>
      <c r="FN215" s="1537">
        <v>13534</v>
      </c>
      <c r="FO215" s="1356"/>
      <c r="FP215" s="1537"/>
      <c r="FQ215" s="1356"/>
      <c r="FR215" s="1408">
        <v>48</v>
      </c>
      <c r="FS215" s="1356"/>
      <c r="FT215" s="1537">
        <v>450</v>
      </c>
      <c r="FU215" s="1356"/>
      <c r="FV215" s="1537">
        <v>9091</v>
      </c>
      <c r="FW215" s="1356"/>
      <c r="FX215" s="1537">
        <v>14758</v>
      </c>
      <c r="FY215" s="1356"/>
      <c r="FZ215" s="1537" t="s">
        <v>549</v>
      </c>
      <c r="GA215" s="1356"/>
      <c r="GB215" s="1537">
        <v>2729</v>
      </c>
      <c r="GC215" s="1356"/>
      <c r="GD215" s="1537">
        <v>0</v>
      </c>
      <c r="GE215" s="1356"/>
      <c r="GF215" s="1537"/>
      <c r="GG215" s="1356"/>
      <c r="GH215" s="1537">
        <v>7558</v>
      </c>
      <c r="GI215" s="1356"/>
      <c r="GJ215" s="1537">
        <v>29193</v>
      </c>
      <c r="GK215" s="1356"/>
      <c r="GL215" s="1537">
        <v>0</v>
      </c>
      <c r="GM215" s="1356"/>
      <c r="GN215" s="1537">
        <v>1426</v>
      </c>
      <c r="GO215" s="1356"/>
      <c r="GP215" s="1537">
        <v>9862</v>
      </c>
      <c r="GQ215" s="1356"/>
      <c r="GR215" s="1537">
        <v>11000</v>
      </c>
      <c r="GS215" s="1356"/>
      <c r="GT215" s="1537">
        <v>2385</v>
      </c>
      <c r="GU215" s="1356"/>
      <c r="GV215" s="1537">
        <v>0</v>
      </c>
      <c r="GW215" s="1356"/>
      <c r="GX215" s="1537">
        <v>8000</v>
      </c>
      <c r="GY215" s="1356"/>
      <c r="GZ215" s="1537">
        <v>19144</v>
      </c>
      <c r="HA215" s="1356"/>
      <c r="HB215" s="1537">
        <v>1550</v>
      </c>
      <c r="HC215" s="1356"/>
      <c r="HD215" s="1537" t="s">
        <v>1854</v>
      </c>
      <c r="HE215" s="1356"/>
      <c r="HF215" s="1537">
        <v>8366</v>
      </c>
      <c r="HH215" s="1537">
        <v>8000</v>
      </c>
      <c r="HI215" s="1356"/>
      <c r="HJ215" s="1537"/>
      <c r="HK215" s="1356"/>
      <c r="HL215" s="1537"/>
      <c r="HM215" s="1356"/>
      <c r="HN215" s="1537">
        <v>6300</v>
      </c>
      <c r="HO215" s="1356"/>
      <c r="HP215" s="1537">
        <v>27000</v>
      </c>
      <c r="HR215" s="1537">
        <v>6000</v>
      </c>
      <c r="HS215" s="1356"/>
      <c r="HT215" s="1537">
        <v>6431</v>
      </c>
      <c r="HV215" s="1537">
        <v>1500</v>
      </c>
      <c r="HX215" s="1537">
        <v>2374</v>
      </c>
      <c r="HZ215" s="1537">
        <v>28000</v>
      </c>
      <c r="IB215" s="1537">
        <v>8534</v>
      </c>
      <c r="IC215" s="1356"/>
      <c r="ID215" s="1537">
        <v>2400</v>
      </c>
      <c r="IF215" s="1537">
        <v>43644</v>
      </c>
    </row>
    <row r="216" spans="1:241">
      <c r="A216" s="1149"/>
      <c r="B216" s="1149"/>
      <c r="C216" s="1149"/>
      <c r="D216" s="1149"/>
      <c r="E216" s="1143"/>
      <c r="F216" s="1699"/>
      <c r="G216" s="1356"/>
      <c r="H216" s="1699"/>
      <c r="I216" s="1356"/>
      <c r="J216" s="1699"/>
      <c r="K216" s="1356"/>
      <c r="L216" s="1699"/>
      <c r="M216" s="1356"/>
      <c r="N216" s="1699"/>
      <c r="O216" s="1356"/>
      <c r="P216" s="1699"/>
      <c r="Q216" s="1356"/>
      <c r="R216" s="1699"/>
      <c r="T216" s="1699"/>
      <c r="U216" s="1356"/>
      <c r="V216" s="1699"/>
      <c r="W216" s="1356"/>
      <c r="X216" s="1699"/>
      <c r="Y216" s="1356"/>
      <c r="Z216" s="1699"/>
      <c r="AA216" s="1356"/>
      <c r="AB216" s="1699"/>
      <c r="AC216" s="1356"/>
      <c r="AD216" s="1699"/>
      <c r="AE216" s="1356"/>
      <c r="AF216" s="1699"/>
      <c r="AG216" s="1356"/>
      <c r="AH216" s="1699"/>
      <c r="AI216" s="1356"/>
      <c r="AJ216" s="1699"/>
      <c r="AK216" s="1356"/>
      <c r="AL216" s="1699"/>
      <c r="AM216" s="1356"/>
      <c r="AN216" s="1699"/>
      <c r="AO216" s="1356"/>
      <c r="AP216" s="1699"/>
      <c r="AQ216" s="1356"/>
      <c r="AR216" s="1699"/>
      <c r="AS216" s="1356"/>
      <c r="AT216" s="1699"/>
      <c r="AU216" s="1356"/>
      <c r="AV216" s="1699"/>
      <c r="AW216" s="1356"/>
      <c r="AX216" s="1699"/>
      <c r="AY216" s="1356"/>
      <c r="AZ216" s="1699"/>
      <c r="BA216" s="1356"/>
      <c r="BB216" s="1699"/>
      <c r="BC216" s="1356"/>
      <c r="BD216" s="1699"/>
      <c r="BE216" s="1356"/>
      <c r="BF216" s="1699"/>
      <c r="BG216" s="1356"/>
      <c r="BH216" s="1699"/>
      <c r="BI216" s="1356"/>
      <c r="BJ216" s="1699"/>
      <c r="BK216" s="1356"/>
      <c r="BL216" s="1699"/>
      <c r="BM216" s="1356"/>
      <c r="BN216" s="1699"/>
      <c r="BO216" s="1356"/>
      <c r="BP216" s="1699"/>
      <c r="BQ216" s="1356"/>
      <c r="BR216" s="1699"/>
      <c r="BS216" s="1356"/>
      <c r="BT216" s="1699"/>
      <c r="BU216" s="1356"/>
      <c r="BV216" s="1699"/>
      <c r="BW216" s="1356"/>
      <c r="BX216" s="1699"/>
      <c r="BY216" s="1356"/>
      <c r="BZ216" s="1699"/>
      <c r="CA216" s="1356"/>
      <c r="CB216" s="1699"/>
      <c r="CC216" s="1356"/>
      <c r="CD216" s="1699"/>
      <c r="CE216" s="1356"/>
      <c r="CF216" s="1699"/>
      <c r="CG216" s="1356"/>
      <c r="CH216" s="1699"/>
      <c r="CI216" s="1356"/>
      <c r="CJ216" s="1699"/>
      <c r="CK216" s="1356"/>
      <c r="CL216" s="1699"/>
      <c r="CM216" s="1356"/>
      <c r="CN216" s="1699"/>
      <c r="CO216" s="1356"/>
      <c r="CP216" s="1699"/>
      <c r="CQ216" s="1356"/>
      <c r="CR216" s="1699"/>
      <c r="CS216" s="1356"/>
      <c r="CT216" s="1699"/>
      <c r="CU216" s="1356"/>
      <c r="CV216" s="1699"/>
      <c r="CW216" s="1356"/>
      <c r="CX216" s="1699"/>
      <c r="CY216" s="1356"/>
      <c r="CZ216" s="1699"/>
      <c r="DA216" s="1356"/>
      <c r="DB216" s="1699"/>
      <c r="DC216" s="1356"/>
      <c r="DD216" s="1699"/>
      <c r="DE216" s="1356"/>
      <c r="DF216" s="1699"/>
      <c r="DG216" s="1356"/>
      <c r="DH216" s="1699"/>
      <c r="DI216" s="1356"/>
      <c r="DJ216" s="1699"/>
      <c r="DK216" s="1356"/>
      <c r="DL216" s="1699"/>
      <c r="DM216" s="1356"/>
      <c r="DN216" s="1699"/>
      <c r="DO216" s="1356"/>
      <c r="DP216" s="1699"/>
      <c r="DQ216" s="1356"/>
      <c r="DR216" s="1699"/>
      <c r="DS216" s="1356"/>
      <c r="DT216" s="1699"/>
      <c r="DU216" s="1356"/>
      <c r="DV216" s="1699"/>
      <c r="DW216" s="1356"/>
      <c r="DX216" s="1699"/>
      <c r="DY216" s="1356"/>
      <c r="DZ216" s="1699"/>
      <c r="EA216" s="1356"/>
      <c r="EB216" s="1699"/>
      <c r="EC216" s="1356"/>
      <c r="ED216" s="1699"/>
      <c r="EE216" s="1356"/>
      <c r="EF216" s="1699"/>
      <c r="EG216" s="1356"/>
      <c r="EH216" s="1699"/>
      <c r="EI216" s="1356"/>
      <c r="EJ216" s="1699"/>
      <c r="EK216" s="1356"/>
      <c r="EL216" s="1699"/>
      <c r="EM216" s="1356"/>
      <c r="EN216" s="1699"/>
      <c r="EO216" s="1356"/>
      <c r="EP216" s="1699"/>
      <c r="EQ216" s="1356"/>
      <c r="ER216" s="1699"/>
      <c r="ES216" s="1356"/>
      <c r="ET216" s="1699"/>
      <c r="EU216" s="1356"/>
      <c r="EV216" s="1699"/>
      <c r="EW216" s="1356"/>
      <c r="EX216" s="1699"/>
      <c r="EY216" s="1356"/>
      <c r="EZ216" s="1699"/>
      <c r="FA216" s="1356"/>
      <c r="FB216" s="1699"/>
      <c r="FC216" s="1356"/>
      <c r="FD216" s="1699"/>
      <c r="FE216" s="1356"/>
      <c r="FF216" s="1699"/>
      <c r="FG216" s="1356"/>
      <c r="FH216" s="1699"/>
      <c r="FI216" s="1356"/>
      <c r="FJ216" s="1699"/>
      <c r="FK216" s="1356"/>
      <c r="FL216" s="1699"/>
      <c r="FM216" s="1356"/>
      <c r="FN216" s="1699"/>
      <c r="FO216" s="1356"/>
      <c r="FP216" s="1699"/>
      <c r="FQ216" s="1356"/>
      <c r="FR216" s="1699"/>
      <c r="FS216" s="1356"/>
      <c r="FT216" s="1699"/>
      <c r="FU216" s="1356"/>
      <c r="FV216" s="1699"/>
      <c r="FW216" s="1356"/>
      <c r="FX216" s="1699"/>
      <c r="FY216" s="1356"/>
      <c r="FZ216" s="1699"/>
      <c r="GA216" s="1356"/>
      <c r="GB216" s="1699"/>
      <c r="GC216" s="1356"/>
      <c r="GD216" s="1699"/>
      <c r="GE216" s="1356"/>
      <c r="GF216" s="1699"/>
      <c r="GG216" s="1356"/>
      <c r="GH216" s="1699"/>
      <c r="GI216" s="1356"/>
      <c r="GJ216" s="1699"/>
      <c r="GK216" s="1356"/>
      <c r="GL216" s="1699"/>
      <c r="GM216" s="1356"/>
      <c r="GN216" s="1699"/>
      <c r="GO216" s="1356"/>
      <c r="GP216" s="1699"/>
      <c r="GQ216" s="1356"/>
      <c r="GR216" s="1699"/>
      <c r="GS216" s="1356"/>
      <c r="GT216" s="1699"/>
      <c r="GU216" s="1356"/>
      <c r="GV216" s="1699"/>
      <c r="GW216" s="1356"/>
      <c r="GX216" s="1699"/>
      <c r="GY216" s="1356"/>
      <c r="GZ216" s="1699"/>
      <c r="HA216" s="1356"/>
      <c r="HB216" s="1699"/>
      <c r="HC216" s="1356"/>
      <c r="HD216" s="1699"/>
      <c r="HE216" s="1356"/>
      <c r="HF216" s="2042"/>
      <c r="HH216" s="1699"/>
      <c r="HI216" s="1356"/>
      <c r="HJ216" s="1699"/>
      <c r="HK216" s="1356"/>
      <c r="HL216" s="1699"/>
      <c r="HM216" s="1356"/>
      <c r="HN216" s="1699"/>
      <c r="HO216" s="1356"/>
      <c r="HP216" s="2042"/>
      <c r="HR216" s="1699"/>
      <c r="HS216" s="1356"/>
      <c r="HT216" s="2042"/>
      <c r="HV216" s="2042"/>
      <c r="HX216" s="2042"/>
      <c r="HZ216" s="2042"/>
      <c r="IB216" s="1699"/>
      <c r="IC216" s="1356"/>
      <c r="ID216" s="2042"/>
      <c r="IF216" s="2042"/>
    </row>
    <row r="217" spans="1:241">
      <c r="A217" s="1149"/>
      <c r="B217" s="1149" t="s">
        <v>1257</v>
      </c>
      <c r="C217" s="1149"/>
      <c r="D217" s="1149"/>
      <c r="E217" s="1143"/>
      <c r="F217" s="1537">
        <v>1</v>
      </c>
      <c r="G217" s="1356"/>
      <c r="H217" s="1537">
        <v>1</v>
      </c>
      <c r="I217" s="1356"/>
      <c r="J217" s="1537">
        <v>2</v>
      </c>
      <c r="K217" s="1356"/>
      <c r="L217" s="1537"/>
      <c r="M217" s="1356"/>
      <c r="N217" s="1537">
        <v>1</v>
      </c>
      <c r="O217" s="1356"/>
      <c r="P217" s="1537">
        <v>1</v>
      </c>
      <c r="Q217" s="1356"/>
      <c r="R217" s="1537">
        <v>1</v>
      </c>
      <c r="T217" s="1537">
        <v>0</v>
      </c>
      <c r="U217" s="1356"/>
      <c r="V217" s="1537">
        <v>1</v>
      </c>
      <c r="W217" s="1356"/>
      <c r="X217" s="1537">
        <v>0</v>
      </c>
      <c r="Y217" s="1356"/>
      <c r="Z217" s="1537">
        <v>0</v>
      </c>
      <c r="AA217" s="1356"/>
      <c r="AB217" s="1537">
        <v>1</v>
      </c>
      <c r="AC217" s="1356"/>
      <c r="AD217" s="1537">
        <v>1</v>
      </c>
      <c r="AE217" s="1356"/>
      <c r="AF217" s="1537">
        <v>1</v>
      </c>
      <c r="AG217" s="1356"/>
      <c r="AH217" s="1537">
        <v>0</v>
      </c>
      <c r="AI217" s="1356"/>
      <c r="AJ217" s="1537">
        <v>0</v>
      </c>
      <c r="AK217" s="1356"/>
      <c r="AL217" s="1537">
        <v>0</v>
      </c>
      <c r="AM217" s="1356"/>
      <c r="AN217" s="1537">
        <v>1</v>
      </c>
      <c r="AO217" s="1356"/>
      <c r="AP217" s="1537">
        <v>0</v>
      </c>
      <c r="AQ217" s="1356"/>
      <c r="AR217" s="1537">
        <v>0</v>
      </c>
      <c r="AS217" s="1356"/>
      <c r="AT217" s="1537">
        <v>1</v>
      </c>
      <c r="AU217" s="1356"/>
      <c r="AV217" s="1537">
        <v>2</v>
      </c>
      <c r="AW217" s="1356"/>
      <c r="AX217" s="1537">
        <v>1</v>
      </c>
      <c r="AY217" s="1356"/>
      <c r="AZ217" s="1537">
        <v>1</v>
      </c>
      <c r="BA217" s="1356"/>
      <c r="BB217" s="1537">
        <v>0</v>
      </c>
      <c r="BC217" s="1356"/>
      <c r="BD217" s="1537">
        <v>0</v>
      </c>
      <c r="BE217" s="1356"/>
      <c r="BF217" s="1537">
        <v>1</v>
      </c>
      <c r="BG217" s="1356"/>
      <c r="BH217" s="1537">
        <v>2</v>
      </c>
      <c r="BI217" s="1356"/>
      <c r="BJ217" s="1537">
        <v>2</v>
      </c>
      <c r="BK217" s="1356"/>
      <c r="BL217" s="1537">
        <v>1</v>
      </c>
      <c r="BM217" s="1356"/>
      <c r="BN217" s="1537">
        <v>0</v>
      </c>
      <c r="BO217" s="1356"/>
      <c r="BP217" s="1537">
        <v>1</v>
      </c>
      <c r="BQ217" s="1356"/>
      <c r="BR217" s="1537">
        <v>0</v>
      </c>
      <c r="BS217" s="1356"/>
      <c r="BT217" s="1537">
        <v>0</v>
      </c>
      <c r="BU217" s="1356"/>
      <c r="BV217" s="1537">
        <v>1</v>
      </c>
      <c r="BW217" s="1356"/>
      <c r="BX217" s="1537">
        <v>1</v>
      </c>
      <c r="BY217" s="1356"/>
      <c r="BZ217" s="1537">
        <v>0</v>
      </c>
      <c r="CA217" s="1356"/>
      <c r="CB217" s="1537">
        <v>0</v>
      </c>
      <c r="CC217" s="1356"/>
      <c r="CD217" s="1537">
        <v>1</v>
      </c>
      <c r="CE217" s="1356"/>
      <c r="CF217" s="1537">
        <v>1</v>
      </c>
      <c r="CG217" s="1356"/>
      <c r="CH217" s="1537">
        <v>1</v>
      </c>
      <c r="CI217" s="1356"/>
      <c r="CJ217" s="1537">
        <v>1</v>
      </c>
      <c r="CK217" s="1356"/>
      <c r="CL217" s="1537">
        <v>0</v>
      </c>
      <c r="CM217" s="1356"/>
      <c r="CN217" s="1537">
        <v>0</v>
      </c>
      <c r="CO217" s="1356"/>
      <c r="CP217" s="1537">
        <v>1</v>
      </c>
      <c r="CQ217" s="1356"/>
      <c r="CR217" s="1537">
        <v>0</v>
      </c>
      <c r="CS217" s="1356"/>
      <c r="CT217" s="1537">
        <v>1</v>
      </c>
      <c r="CU217" s="1356"/>
      <c r="CV217" s="1537">
        <v>0</v>
      </c>
      <c r="CW217" s="1356"/>
      <c r="CX217" s="1537">
        <v>0</v>
      </c>
      <c r="CY217" s="1356"/>
      <c r="CZ217" s="1537">
        <v>0</v>
      </c>
      <c r="DA217" s="1356"/>
      <c r="DB217" s="1537">
        <v>0</v>
      </c>
      <c r="DC217" s="1356"/>
      <c r="DD217" s="1537">
        <v>0</v>
      </c>
      <c r="DE217" s="1356"/>
      <c r="DF217" s="1537">
        <v>0</v>
      </c>
      <c r="DG217" s="1356"/>
      <c r="DH217" s="1537">
        <v>1</v>
      </c>
      <c r="DI217" s="1356"/>
      <c r="DJ217" s="1537">
        <v>1</v>
      </c>
      <c r="DK217" s="1356"/>
      <c r="DL217" s="1537">
        <v>0</v>
      </c>
      <c r="DM217" s="1356"/>
      <c r="DN217" s="1537">
        <v>1</v>
      </c>
      <c r="DO217" s="1356"/>
      <c r="DP217" s="1537">
        <v>0</v>
      </c>
      <c r="DQ217" s="1356"/>
      <c r="DR217" s="1537">
        <v>2</v>
      </c>
      <c r="DS217" s="1356"/>
      <c r="DT217" s="1537">
        <v>0</v>
      </c>
      <c r="DU217" s="1356"/>
      <c r="DV217" s="1537">
        <v>1</v>
      </c>
      <c r="DW217" s="1356"/>
      <c r="DX217" s="1537">
        <v>0</v>
      </c>
      <c r="DY217" s="1356"/>
      <c r="DZ217" s="1537">
        <v>1</v>
      </c>
      <c r="EA217" s="1356"/>
      <c r="EB217" s="1537">
        <v>0</v>
      </c>
      <c r="EC217" s="1356"/>
      <c r="ED217" s="1537">
        <v>0</v>
      </c>
      <c r="EE217" s="1356"/>
      <c r="EF217" s="1537">
        <v>0</v>
      </c>
      <c r="EG217" s="1356"/>
      <c r="EH217" s="1537">
        <v>1</v>
      </c>
      <c r="EI217" s="1356"/>
      <c r="EJ217" s="1537">
        <v>1</v>
      </c>
      <c r="EK217" s="1356"/>
      <c r="EL217" s="1537">
        <v>0</v>
      </c>
      <c r="EM217" s="1356"/>
      <c r="EN217" s="1537">
        <v>1</v>
      </c>
      <c r="EO217" s="1356"/>
      <c r="EP217" s="1537">
        <v>0</v>
      </c>
      <c r="EQ217" s="1356"/>
      <c r="ER217" s="1537">
        <v>1</v>
      </c>
      <c r="ES217" s="1356"/>
      <c r="ET217" s="1537">
        <v>2</v>
      </c>
      <c r="EU217" s="1356"/>
      <c r="EV217" s="1537">
        <v>1</v>
      </c>
      <c r="EW217" s="1356"/>
      <c r="EX217" s="1537">
        <v>2</v>
      </c>
      <c r="EY217" s="1356"/>
      <c r="EZ217" s="1537">
        <v>0</v>
      </c>
      <c r="FA217" s="1356"/>
      <c r="FB217" s="1537">
        <v>0</v>
      </c>
      <c r="FC217" s="1356"/>
      <c r="FD217" s="1537">
        <v>1</v>
      </c>
      <c r="FE217" s="1356"/>
      <c r="FF217" s="1537">
        <v>1</v>
      </c>
      <c r="FG217" s="1356"/>
      <c r="FH217" s="1537">
        <v>1</v>
      </c>
      <c r="FI217" s="1356"/>
      <c r="FJ217" s="1537">
        <v>1</v>
      </c>
      <c r="FK217" s="1356"/>
      <c r="FL217" s="1537">
        <v>0</v>
      </c>
      <c r="FM217" s="1356"/>
      <c r="FN217" s="1537">
        <v>1</v>
      </c>
      <c r="FO217" s="1356"/>
      <c r="FP217" s="1537">
        <v>1</v>
      </c>
      <c r="FQ217" s="1356"/>
      <c r="FR217" s="1537">
        <v>1</v>
      </c>
      <c r="FS217" s="1356"/>
      <c r="FT217" s="1537">
        <v>1</v>
      </c>
      <c r="FU217" s="1356"/>
      <c r="FV217" s="1537">
        <v>0</v>
      </c>
      <c r="FW217" s="1356"/>
      <c r="FX217" s="1537">
        <v>0</v>
      </c>
      <c r="FY217" s="1356"/>
      <c r="FZ217" s="1537">
        <v>1</v>
      </c>
      <c r="GA217" s="1356"/>
      <c r="GB217" s="1537">
        <v>0</v>
      </c>
      <c r="GC217" s="1356"/>
      <c r="GD217" s="1537">
        <v>1</v>
      </c>
      <c r="GE217" s="1356"/>
      <c r="GF217" s="1537">
        <v>1</v>
      </c>
      <c r="GG217" s="1356"/>
      <c r="GH217" s="1537">
        <v>1</v>
      </c>
      <c r="GI217" s="1356"/>
      <c r="GJ217" s="1537">
        <v>1</v>
      </c>
      <c r="GK217" s="1356"/>
      <c r="GL217" s="1537">
        <v>1</v>
      </c>
      <c r="GM217" s="1356"/>
      <c r="GN217" s="1537">
        <v>1</v>
      </c>
      <c r="GO217" s="1356"/>
      <c r="GP217" s="1537">
        <v>1</v>
      </c>
      <c r="GQ217" s="1356"/>
      <c r="GR217" s="1537">
        <v>1</v>
      </c>
      <c r="GS217" s="1356"/>
      <c r="GT217" s="1537">
        <v>1</v>
      </c>
      <c r="GU217" s="1356"/>
      <c r="GV217" s="1537">
        <v>1</v>
      </c>
      <c r="GW217" s="1356"/>
      <c r="GX217" s="1537">
        <v>1</v>
      </c>
      <c r="GY217" s="1356"/>
      <c r="GZ217" s="1537">
        <v>0</v>
      </c>
      <c r="HA217" s="1356"/>
      <c r="HB217" s="1537">
        <v>1</v>
      </c>
      <c r="HC217" s="1356"/>
      <c r="HD217" s="1537">
        <v>0</v>
      </c>
      <c r="HE217" s="1356"/>
      <c r="HF217" s="2012">
        <v>1</v>
      </c>
      <c r="HH217" s="1537">
        <v>1</v>
      </c>
      <c r="HI217" s="1356"/>
      <c r="HJ217" s="1537">
        <v>2</v>
      </c>
      <c r="HK217" s="1356"/>
      <c r="HL217" s="1537">
        <v>0</v>
      </c>
      <c r="HM217" s="1356"/>
      <c r="HN217" s="1537">
        <v>1</v>
      </c>
      <c r="HO217" s="1356"/>
      <c r="HP217" s="2012">
        <v>0</v>
      </c>
      <c r="HR217" s="1537">
        <v>1</v>
      </c>
      <c r="HS217" s="1356"/>
      <c r="HT217" s="2012">
        <v>0</v>
      </c>
      <c r="HV217" s="2012">
        <v>0</v>
      </c>
      <c r="HX217" s="2012">
        <v>1</v>
      </c>
      <c r="HZ217" s="2012">
        <v>1</v>
      </c>
      <c r="IB217" s="1537">
        <v>1</v>
      </c>
      <c r="IC217" s="1356"/>
      <c r="ID217" s="2012">
        <v>2</v>
      </c>
      <c r="IF217" s="2012">
        <v>2</v>
      </c>
    </row>
    <row r="218" spans="1:241">
      <c r="A218" s="1149"/>
      <c r="B218" s="1149"/>
      <c r="C218" s="1149"/>
      <c r="D218" s="1149"/>
      <c r="E218" s="1143"/>
      <c r="F218" s="1699"/>
      <c r="G218" s="1356"/>
      <c r="H218" s="1699"/>
      <c r="I218" s="1356"/>
      <c r="J218" s="1699"/>
      <c r="K218" s="1356"/>
      <c r="L218" s="1699"/>
      <c r="M218" s="1356"/>
      <c r="N218" s="1699"/>
      <c r="O218" s="1356"/>
      <c r="P218" s="1699"/>
      <c r="Q218" s="1356"/>
      <c r="R218" s="1699"/>
      <c r="T218" s="1699"/>
      <c r="U218" s="1356"/>
      <c r="V218" s="1699"/>
      <c r="W218" s="1356"/>
      <c r="X218" s="1699"/>
      <c r="Y218" s="1356"/>
      <c r="Z218" s="1699"/>
      <c r="AA218" s="1356"/>
      <c r="AB218" s="1699"/>
      <c r="AC218" s="1356"/>
      <c r="AD218" s="1699"/>
      <c r="AE218" s="1356"/>
      <c r="AF218" s="1699"/>
      <c r="AG218" s="1356"/>
      <c r="AH218" s="1699"/>
      <c r="AI218" s="1356"/>
      <c r="AJ218" s="1699"/>
      <c r="AK218" s="1356"/>
      <c r="AL218" s="1699"/>
      <c r="AM218" s="1356"/>
      <c r="AN218" s="1699"/>
      <c r="AO218" s="1356"/>
      <c r="AP218" s="1699"/>
      <c r="AQ218" s="1356"/>
      <c r="AR218" s="1699"/>
      <c r="AS218" s="1356"/>
      <c r="AT218" s="1699"/>
      <c r="AU218" s="1356"/>
      <c r="AV218" s="1699"/>
      <c r="AW218" s="1356"/>
      <c r="AX218" s="1699"/>
      <c r="AY218" s="1356"/>
      <c r="AZ218" s="1699"/>
      <c r="BA218" s="1356"/>
      <c r="BB218" s="1699"/>
      <c r="BC218" s="1356"/>
      <c r="BD218" s="1699"/>
      <c r="BE218" s="1356"/>
      <c r="BF218" s="1699"/>
      <c r="BG218" s="1356"/>
      <c r="BH218" s="1699"/>
      <c r="BI218" s="1356"/>
      <c r="BJ218" s="1699"/>
      <c r="BK218" s="1356"/>
      <c r="BL218" s="1699"/>
      <c r="BM218" s="1356"/>
      <c r="BN218" s="1699"/>
      <c r="BO218" s="1356"/>
      <c r="BP218" s="1699"/>
      <c r="BQ218" s="1356"/>
      <c r="BR218" s="1699"/>
      <c r="BS218" s="1356"/>
      <c r="BT218" s="1699"/>
      <c r="BU218" s="1356"/>
      <c r="BV218" s="1699"/>
      <c r="BW218" s="1356"/>
      <c r="BX218" s="1699"/>
      <c r="BY218" s="1356"/>
      <c r="BZ218" s="1699"/>
      <c r="CA218" s="1356"/>
      <c r="CB218" s="1699"/>
      <c r="CC218" s="1356"/>
      <c r="CD218" s="1699"/>
      <c r="CE218" s="1356"/>
      <c r="CF218" s="1699"/>
      <c r="CG218" s="1356"/>
      <c r="CH218" s="1699"/>
      <c r="CI218" s="1356"/>
      <c r="CJ218" s="1699"/>
      <c r="CK218" s="1356"/>
      <c r="CL218" s="1699"/>
      <c r="CM218" s="1356"/>
      <c r="CN218" s="1699"/>
      <c r="CO218" s="1356"/>
      <c r="CP218" s="1699"/>
      <c r="CQ218" s="1356"/>
      <c r="CR218" s="1699"/>
      <c r="CS218" s="1356"/>
      <c r="CT218" s="1699"/>
      <c r="CU218" s="1356"/>
      <c r="CV218" s="1699"/>
      <c r="CW218" s="1356"/>
      <c r="CX218" s="1699"/>
      <c r="CY218" s="1356"/>
      <c r="CZ218" s="1699"/>
      <c r="DA218" s="1356"/>
      <c r="DB218" s="1699"/>
      <c r="DC218" s="1356"/>
      <c r="DD218" s="1699"/>
      <c r="DE218" s="1356"/>
      <c r="DF218" s="1699"/>
      <c r="DG218" s="1356"/>
      <c r="DH218" s="1699"/>
      <c r="DI218" s="1356"/>
      <c r="DJ218" s="1699"/>
      <c r="DK218" s="1356"/>
      <c r="DL218" s="1699"/>
      <c r="DM218" s="1356"/>
      <c r="DN218" s="1699"/>
      <c r="DO218" s="1356"/>
      <c r="DP218" s="1699"/>
      <c r="DQ218" s="1356"/>
      <c r="DR218" s="1699"/>
      <c r="DS218" s="1356"/>
      <c r="DT218" s="1699"/>
      <c r="DU218" s="1356"/>
      <c r="DV218" s="1699"/>
      <c r="DW218" s="1356"/>
      <c r="DX218" s="1699"/>
      <c r="DY218" s="1356"/>
      <c r="DZ218" s="1699"/>
      <c r="EA218" s="1356"/>
      <c r="EB218" s="1699"/>
      <c r="EC218" s="1356"/>
      <c r="ED218" s="1699"/>
      <c r="EE218" s="1356"/>
      <c r="EF218" s="1699"/>
      <c r="EG218" s="1356"/>
      <c r="EH218" s="1699"/>
      <c r="EI218" s="1356"/>
      <c r="EJ218" s="1699"/>
      <c r="EK218" s="1356"/>
      <c r="EL218" s="1699"/>
      <c r="EM218" s="1356"/>
      <c r="EN218" s="1699"/>
      <c r="EO218" s="1356"/>
      <c r="EP218" s="1699"/>
      <c r="EQ218" s="1356"/>
      <c r="ER218" s="1699"/>
      <c r="ES218" s="1356"/>
      <c r="ET218" s="1699"/>
      <c r="EU218" s="1356"/>
      <c r="EV218" s="1699"/>
      <c r="EW218" s="1356"/>
      <c r="EX218" s="1699"/>
      <c r="EY218" s="1356"/>
      <c r="EZ218" s="1699"/>
      <c r="FA218" s="1356"/>
      <c r="FB218" s="1699"/>
      <c r="FC218" s="1356"/>
      <c r="FD218" s="1699"/>
      <c r="FE218" s="1356"/>
      <c r="FF218" s="1699"/>
      <c r="FG218" s="1356"/>
      <c r="FH218" s="1699"/>
      <c r="FI218" s="1356"/>
      <c r="FJ218" s="1699"/>
      <c r="FK218" s="1356"/>
      <c r="FL218" s="1699"/>
      <c r="FM218" s="1356"/>
      <c r="FN218" s="1699"/>
      <c r="FO218" s="1356"/>
      <c r="FP218" s="1699"/>
      <c r="FQ218" s="1356"/>
      <c r="FR218" s="1699"/>
      <c r="FS218" s="1356"/>
      <c r="FT218" s="1699"/>
      <c r="FU218" s="1356"/>
      <c r="FV218" s="1699"/>
      <c r="FW218" s="1356"/>
      <c r="FX218" s="1699"/>
      <c r="FY218" s="1356"/>
      <c r="FZ218" s="1699"/>
      <c r="GA218" s="1356"/>
      <c r="GB218" s="1699"/>
      <c r="GC218" s="1356"/>
      <c r="GD218" s="1699"/>
      <c r="GE218" s="1356"/>
      <c r="GF218" s="1699"/>
      <c r="GG218" s="1356"/>
      <c r="GH218" s="1699"/>
      <c r="GI218" s="1356"/>
      <c r="GJ218" s="1699"/>
      <c r="GK218" s="1356"/>
      <c r="GL218" s="1699"/>
      <c r="GM218" s="1356"/>
      <c r="GN218" s="1699"/>
      <c r="GO218" s="1356"/>
      <c r="GP218" s="1699"/>
      <c r="GQ218" s="1356"/>
      <c r="GR218" s="1699"/>
      <c r="GS218" s="1356"/>
      <c r="GT218" s="1699"/>
      <c r="GU218" s="1356"/>
      <c r="GV218" s="1699"/>
      <c r="GW218" s="1356"/>
      <c r="GX218" s="1699"/>
      <c r="GY218" s="1356"/>
      <c r="GZ218" s="1699"/>
      <c r="HA218" s="1356"/>
      <c r="HB218" s="1699"/>
      <c r="HC218" s="1356"/>
      <c r="HD218" s="1699"/>
      <c r="HE218" s="1356"/>
      <c r="HF218" s="2042"/>
      <c r="HH218" s="1699"/>
      <c r="HI218" s="1356"/>
      <c r="HJ218" s="1699"/>
      <c r="HK218" s="1356"/>
      <c r="HL218" s="1699"/>
      <c r="HM218" s="1356"/>
      <c r="HN218" s="1699"/>
      <c r="HO218" s="1356"/>
      <c r="HP218" s="2042"/>
      <c r="HR218" s="1699"/>
      <c r="HS218" s="1356"/>
      <c r="HT218" s="2042"/>
      <c r="HV218" s="2042"/>
      <c r="HX218" s="2042"/>
      <c r="HZ218" s="2042"/>
      <c r="IB218" s="1699"/>
      <c r="IC218" s="1356"/>
      <c r="ID218" s="2042"/>
      <c r="IF218" s="2042"/>
    </row>
    <row r="219" spans="1:241">
      <c r="A219" s="1149"/>
      <c r="B219" s="1149" t="s">
        <v>615</v>
      </c>
      <c r="C219" s="1149"/>
      <c r="D219" s="1149"/>
      <c r="E219" s="1143"/>
      <c r="F219" s="1722">
        <f>F136</f>
        <v>1154929</v>
      </c>
      <c r="G219" s="1716">
        <f>F219/F$219</f>
        <v>1</v>
      </c>
      <c r="H219" s="1722">
        <f>H136</f>
        <v>1294558</v>
      </c>
      <c r="I219" s="1716">
        <f>H219/H$219</f>
        <v>1</v>
      </c>
      <c r="J219" s="1722">
        <f>J136</f>
        <v>791974</v>
      </c>
      <c r="K219" s="1716">
        <f>J219/J$219</f>
        <v>1</v>
      </c>
      <c r="L219" s="1722">
        <f>L136</f>
        <v>9239745</v>
      </c>
      <c r="M219" s="1716">
        <f>L219/L$219</f>
        <v>1</v>
      </c>
      <c r="N219" s="1722">
        <f>N136</f>
        <v>1230589</v>
      </c>
      <c r="O219" s="1716">
        <f>N219/N$219</f>
        <v>1</v>
      </c>
      <c r="P219" s="1722">
        <f>P136</f>
        <v>4320572</v>
      </c>
      <c r="Q219" s="1716">
        <f>P219/P$219</f>
        <v>1</v>
      </c>
      <c r="R219" s="1722">
        <f>R136</f>
        <v>2955883</v>
      </c>
      <c r="S219" s="1716">
        <f>R219/R$219</f>
        <v>1</v>
      </c>
      <c r="T219" s="1722">
        <f>T136</f>
        <v>1914978</v>
      </c>
      <c r="U219" s="1716">
        <f>T219/T$219</f>
        <v>1</v>
      </c>
      <c r="V219" s="1722">
        <f>V136</f>
        <v>1087070</v>
      </c>
      <c r="W219" s="1716">
        <f>V219/V$219</f>
        <v>1</v>
      </c>
      <c r="X219" s="1722">
        <f>X136</f>
        <v>6464879</v>
      </c>
      <c r="Y219" s="1716">
        <f>X219/X$219</f>
        <v>1</v>
      </c>
      <c r="Z219" s="1722">
        <f>Z136</f>
        <v>2025481</v>
      </c>
      <c r="AA219" s="1716">
        <f>Z219/Z$219</f>
        <v>1</v>
      </c>
      <c r="AB219" s="1722">
        <f>AB136</f>
        <v>699319</v>
      </c>
      <c r="AC219" s="1716">
        <f>AB219/AB$219</f>
        <v>1</v>
      </c>
      <c r="AD219" s="1722">
        <f>AD136</f>
        <v>4377473</v>
      </c>
      <c r="AE219" s="1716">
        <f>AD219/AD$219</f>
        <v>1</v>
      </c>
      <c r="AF219" s="1722">
        <f>AF136</f>
        <v>2094973</v>
      </c>
      <c r="AG219" s="1716">
        <f>AF219/AF$219</f>
        <v>1</v>
      </c>
      <c r="AH219" s="1722">
        <f>AH136</f>
        <v>1335087</v>
      </c>
      <c r="AI219" s="1716">
        <f>AH219/AH$219</f>
        <v>1</v>
      </c>
      <c r="AJ219" s="1722">
        <f>AJ136</f>
        <v>1436030</v>
      </c>
      <c r="AK219" s="1716">
        <f>AJ219/AJ$219</f>
        <v>1</v>
      </c>
      <c r="AL219" s="1722">
        <f>AL136</f>
        <v>3249573</v>
      </c>
      <c r="AM219" s="1716">
        <f>AL219/AL$219</f>
        <v>1</v>
      </c>
      <c r="AN219" s="1722">
        <f>AN136</f>
        <v>1189387</v>
      </c>
      <c r="AO219" s="1716">
        <f>AN219/AN$219</f>
        <v>1</v>
      </c>
      <c r="AP219" s="1722">
        <f>AP136</f>
        <v>1209198</v>
      </c>
      <c r="AQ219" s="1716">
        <f>AP219/AP$219</f>
        <v>1</v>
      </c>
      <c r="AR219" s="1722">
        <f>AR136</f>
        <v>2591372</v>
      </c>
      <c r="AS219" s="1716">
        <f>AR219/AR$219</f>
        <v>1</v>
      </c>
      <c r="AT219" s="1722">
        <f>AT136</f>
        <v>3173066</v>
      </c>
      <c r="AU219" s="1716">
        <f>AT219/AT$219</f>
        <v>1</v>
      </c>
      <c r="AV219" s="1722">
        <f>AV136</f>
        <v>1490893</v>
      </c>
      <c r="AW219" s="1716">
        <f>AV219/AV$219</f>
        <v>1</v>
      </c>
      <c r="AX219" s="1722">
        <f>AX136</f>
        <v>3800295</v>
      </c>
      <c r="AY219" s="1716">
        <f>AX219/AX$219</f>
        <v>1</v>
      </c>
      <c r="AZ219" s="1722">
        <f>AZ136</f>
        <v>1577099</v>
      </c>
      <c r="BA219" s="1716">
        <f>AZ219/AZ$219</f>
        <v>1</v>
      </c>
      <c r="BB219" s="1722">
        <f>BB136</f>
        <v>1701331</v>
      </c>
      <c r="BC219" s="1716">
        <f>BB219/BB$219</f>
        <v>1</v>
      </c>
      <c r="BD219" s="1722">
        <f>BD136</f>
        <v>2271396</v>
      </c>
      <c r="BE219" s="1716">
        <f>BD219/BD$219</f>
        <v>1</v>
      </c>
      <c r="BF219" s="1722">
        <f>BF136</f>
        <v>889223</v>
      </c>
      <c r="BG219" s="1716">
        <f>BF219/BF$219</f>
        <v>1</v>
      </c>
      <c r="BH219" s="1722">
        <f>BH136</f>
        <v>1369023</v>
      </c>
      <c r="BI219" s="1716">
        <f>BH219/BH$219</f>
        <v>1</v>
      </c>
      <c r="BJ219" s="1722">
        <f>BJ136</f>
        <v>2034896</v>
      </c>
      <c r="BK219" s="1716">
        <f>BJ219/BJ$219</f>
        <v>1</v>
      </c>
      <c r="BL219" s="1722">
        <f>BL136</f>
        <v>2220716</v>
      </c>
      <c r="BM219" s="1716">
        <f>BL219/BL$219</f>
        <v>1</v>
      </c>
      <c r="BN219" s="1722">
        <f>BN136</f>
        <v>0</v>
      </c>
      <c r="BO219" s="1716" t="e">
        <f>BN219/BN$219</f>
        <v>#DIV/0!</v>
      </c>
      <c r="BP219" s="1722">
        <f>BP136</f>
        <v>2175897</v>
      </c>
      <c r="BQ219" s="1716">
        <f>BP219/BP$219</f>
        <v>1</v>
      </c>
      <c r="BR219" s="1722">
        <f>BR136</f>
        <v>456556</v>
      </c>
      <c r="BS219" s="1716">
        <f>BR219/BR$219</f>
        <v>1</v>
      </c>
      <c r="BT219" s="1722">
        <f>BT136</f>
        <v>1047387</v>
      </c>
      <c r="BU219" s="1716">
        <f>BT219/BT$219</f>
        <v>1</v>
      </c>
      <c r="BV219" s="1722">
        <f>BV136</f>
        <v>1144042</v>
      </c>
      <c r="BW219" s="1716">
        <f>BV219/BV$219</f>
        <v>1</v>
      </c>
      <c r="BX219" s="1722">
        <f>BX136</f>
        <v>3150070</v>
      </c>
      <c r="BY219" s="1716">
        <f>BX219/BX$219</f>
        <v>1</v>
      </c>
      <c r="BZ219" s="1722">
        <f>BZ136</f>
        <v>3066245</v>
      </c>
      <c r="CA219" s="1716">
        <f>BZ219/BZ$219</f>
        <v>1</v>
      </c>
      <c r="CB219" s="1722">
        <f>CB136</f>
        <v>959452</v>
      </c>
      <c r="CC219" s="1716">
        <f>CB219/CB$219</f>
        <v>1</v>
      </c>
      <c r="CD219" s="1722">
        <f>CD136</f>
        <v>1119803</v>
      </c>
      <c r="CE219" s="1716">
        <f>CD219/CD$219</f>
        <v>1</v>
      </c>
      <c r="CF219" s="1722">
        <v>1593701</v>
      </c>
      <c r="CG219" s="1716">
        <v>1</v>
      </c>
      <c r="CH219" s="1722">
        <v>1186623</v>
      </c>
      <c r="CI219" s="1716">
        <v>1</v>
      </c>
      <c r="CJ219" s="1722">
        <v>1009009</v>
      </c>
      <c r="CK219" s="1716">
        <v>1</v>
      </c>
      <c r="CL219" s="1722">
        <v>4656539</v>
      </c>
      <c r="CM219" s="1716">
        <v>1</v>
      </c>
      <c r="CN219" s="1722">
        <f>CN136</f>
        <v>2237084</v>
      </c>
      <c r="CO219" s="1716">
        <f>CN219/CN$219</f>
        <v>1</v>
      </c>
      <c r="CP219" s="1722">
        <f>CP136</f>
        <v>1384314</v>
      </c>
      <c r="CQ219" s="1716">
        <f>CP219/CP$219</f>
        <v>1</v>
      </c>
      <c r="CR219" s="1722">
        <v>3080412</v>
      </c>
      <c r="CS219" s="1716">
        <v>1</v>
      </c>
      <c r="CT219" s="1722">
        <f>CT136</f>
        <v>1695685</v>
      </c>
      <c r="CU219" s="1716">
        <f>CT219/CT$219</f>
        <v>1</v>
      </c>
      <c r="CV219" s="1722">
        <f>CV136</f>
        <v>4135942</v>
      </c>
      <c r="CW219" s="1716">
        <f>CV219/CV$219</f>
        <v>1</v>
      </c>
      <c r="CX219" s="1722">
        <f>CX136</f>
        <v>3503171</v>
      </c>
      <c r="CY219" s="1716">
        <f>CX219/CX$219</f>
        <v>1</v>
      </c>
      <c r="CZ219" s="1722">
        <v>696517</v>
      </c>
      <c r="DA219" s="1716">
        <v>1</v>
      </c>
      <c r="DB219" s="1722">
        <v>2344833</v>
      </c>
      <c r="DC219" s="1716">
        <v>1</v>
      </c>
      <c r="DD219" s="1722">
        <v>837156</v>
      </c>
      <c r="DE219" s="1716">
        <v>1</v>
      </c>
      <c r="DF219" s="1722">
        <v>6414622</v>
      </c>
      <c r="DG219" s="1716">
        <v>1</v>
      </c>
      <c r="DH219" s="1722">
        <v>1577186</v>
      </c>
      <c r="DI219" s="1716">
        <v>1</v>
      </c>
      <c r="DJ219" s="1722">
        <v>1376541</v>
      </c>
      <c r="DK219" s="1716">
        <v>1</v>
      </c>
      <c r="DL219" s="1722">
        <v>1631017</v>
      </c>
      <c r="DM219" s="1716">
        <v>1</v>
      </c>
      <c r="DN219" s="1722">
        <f>DN136</f>
        <v>731265</v>
      </c>
      <c r="DO219" s="1716">
        <f>DN219/DN$219</f>
        <v>1</v>
      </c>
      <c r="DP219" s="1722">
        <f>DP136</f>
        <v>537921</v>
      </c>
      <c r="DQ219" s="1716">
        <f>DP219/DP$219</f>
        <v>1</v>
      </c>
      <c r="DR219" s="1722">
        <f>DR136</f>
        <v>1631417</v>
      </c>
      <c r="DS219" s="1716">
        <f>DR219/DR$219</f>
        <v>1</v>
      </c>
      <c r="DT219" s="1722">
        <f>DT136</f>
        <v>3463666</v>
      </c>
      <c r="DU219" s="1716">
        <f>DT219/DT$219</f>
        <v>1</v>
      </c>
      <c r="DV219" s="1722">
        <f>DV136</f>
        <v>830976</v>
      </c>
      <c r="DW219" s="1716">
        <f>DV219/DV$219</f>
        <v>1</v>
      </c>
      <c r="DX219" s="1722">
        <f>DX136</f>
        <v>2377212</v>
      </c>
      <c r="DY219" s="1716">
        <f>DX219/DX$219</f>
        <v>1</v>
      </c>
      <c r="DZ219" s="1722">
        <f>DZ136</f>
        <v>4617247</v>
      </c>
      <c r="EA219" s="1716">
        <f>DZ219/DZ$219</f>
        <v>1</v>
      </c>
      <c r="EB219" s="1722">
        <f>EB136</f>
        <v>2884021</v>
      </c>
      <c r="EC219" s="1716">
        <f>EB219/EB$219</f>
        <v>1</v>
      </c>
      <c r="ED219" s="1722">
        <f>ED136</f>
        <v>913652</v>
      </c>
      <c r="EE219" s="1716">
        <f>ED219/ED$219</f>
        <v>1</v>
      </c>
      <c r="EF219" s="1722">
        <f>EF136</f>
        <v>1689092</v>
      </c>
      <c r="EG219" s="1716">
        <f>EF219/EF$219</f>
        <v>1</v>
      </c>
      <c r="EH219" s="1722">
        <f>EH136</f>
        <v>7714571</v>
      </c>
      <c r="EI219" s="1716">
        <f>EH219/EH$219</f>
        <v>1</v>
      </c>
      <c r="EJ219" s="1722">
        <f>EJ136</f>
        <v>1800998</v>
      </c>
      <c r="EK219" s="1716">
        <f>EJ219/EJ$219</f>
        <v>1</v>
      </c>
      <c r="EL219" s="1722">
        <f>EL136</f>
        <v>4865787</v>
      </c>
      <c r="EM219" s="1716">
        <f>EL219/EL$219</f>
        <v>1</v>
      </c>
      <c r="EN219" s="1722">
        <f>EN136</f>
        <v>1567172</v>
      </c>
      <c r="EO219" s="1716">
        <f>EN219/EN$219</f>
        <v>1</v>
      </c>
      <c r="EP219" s="1722">
        <f>EP136</f>
        <v>2089540</v>
      </c>
      <c r="EQ219" s="1716">
        <f>EP219/EP$219</f>
        <v>1</v>
      </c>
      <c r="ER219" s="1722">
        <f>ER136</f>
        <v>781875</v>
      </c>
      <c r="ES219" s="1716">
        <f>ER219/ER$219</f>
        <v>1</v>
      </c>
      <c r="ET219" s="1722">
        <f>ET136</f>
        <v>3193013</v>
      </c>
      <c r="EU219" s="1716">
        <f>ET219/ET$219</f>
        <v>1</v>
      </c>
      <c r="EV219" s="1722">
        <f>EV136</f>
        <v>1472587</v>
      </c>
      <c r="EW219" s="1716">
        <f>EV219/EV$219</f>
        <v>1</v>
      </c>
      <c r="EX219" s="1722">
        <f>EX136</f>
        <v>1006903</v>
      </c>
      <c r="EY219" s="1716">
        <f>EX219/EX$219</f>
        <v>1</v>
      </c>
      <c r="EZ219" s="1722">
        <f>EZ136</f>
        <v>1689601</v>
      </c>
      <c r="FA219" s="1716">
        <f>EZ219/EZ$219</f>
        <v>1</v>
      </c>
      <c r="FB219" s="1722">
        <f>FB136</f>
        <v>809785</v>
      </c>
      <c r="FC219" s="1716">
        <f>FB219/FB$219</f>
        <v>1</v>
      </c>
      <c r="FD219" s="1722">
        <f>FD136</f>
        <v>1209502</v>
      </c>
      <c r="FE219" s="1716">
        <f>FD219/FD$219</f>
        <v>1</v>
      </c>
      <c r="FF219" s="1722">
        <f>FF136</f>
        <v>2116450</v>
      </c>
      <c r="FG219" s="1716">
        <f>FF219/FF$219</f>
        <v>1</v>
      </c>
      <c r="FH219" s="1722">
        <f>FH136</f>
        <v>1046617</v>
      </c>
      <c r="FI219" s="1716">
        <f>FH219/FH$219</f>
        <v>1</v>
      </c>
      <c r="FJ219" s="1722">
        <f>FJ136</f>
        <v>1163204</v>
      </c>
      <c r="FK219" s="1716">
        <f>FJ219/FJ$219</f>
        <v>1</v>
      </c>
      <c r="FL219" s="1722">
        <f>FL136</f>
        <v>938962</v>
      </c>
      <c r="FM219" s="1716">
        <f>FL219/FL$219</f>
        <v>1</v>
      </c>
      <c r="FN219" s="1722">
        <f>FN136</f>
        <v>3296035</v>
      </c>
      <c r="FO219" s="1716">
        <f>FN219/FN$219</f>
        <v>1</v>
      </c>
      <c r="FP219" s="1722">
        <f>FP136</f>
        <v>515863</v>
      </c>
      <c r="FQ219" s="1716">
        <f>FP219/FP$219</f>
        <v>1</v>
      </c>
      <c r="FR219" s="1722">
        <f>FR136</f>
        <v>3534081</v>
      </c>
      <c r="FS219" s="1716">
        <f>FR219/FR$219</f>
        <v>1</v>
      </c>
      <c r="FT219" s="1722">
        <f>FT136</f>
        <v>3155021</v>
      </c>
      <c r="FU219" s="1716">
        <f>FT219/FT$219</f>
        <v>1</v>
      </c>
      <c r="FV219" s="1722">
        <f>FV136</f>
        <v>5350897</v>
      </c>
      <c r="FW219" s="1716">
        <f>FV219/FV$219</f>
        <v>1</v>
      </c>
      <c r="FX219" s="1722">
        <f>FX136</f>
        <v>1219282</v>
      </c>
      <c r="FY219" s="1716">
        <f>FX219/FX$219</f>
        <v>1</v>
      </c>
      <c r="FZ219" s="1722">
        <f>FZ136</f>
        <v>1091268</v>
      </c>
      <c r="GA219" s="1716">
        <f>FZ219/FZ$219</f>
        <v>1</v>
      </c>
      <c r="GB219" s="1722">
        <f>GB136</f>
        <v>459013</v>
      </c>
      <c r="GC219" s="1716">
        <f>GB219/GB$219</f>
        <v>1</v>
      </c>
      <c r="GD219" s="1722">
        <f>GD136</f>
        <v>3171413</v>
      </c>
      <c r="GE219" s="1716">
        <f>GD219/GD$219</f>
        <v>1</v>
      </c>
      <c r="GF219" s="1722">
        <f>GF136</f>
        <v>1714444</v>
      </c>
      <c r="GG219" s="1716">
        <f>GF219/GF$219</f>
        <v>1</v>
      </c>
      <c r="GH219" s="1722">
        <f>GH136</f>
        <v>979796</v>
      </c>
      <c r="GI219" s="1716">
        <f>GH219/GH$219</f>
        <v>1</v>
      </c>
      <c r="GJ219" s="1722">
        <f>GJ136</f>
        <v>8502534</v>
      </c>
      <c r="GK219" s="1716">
        <f>GJ219/GJ$219</f>
        <v>1</v>
      </c>
      <c r="GL219" s="1722">
        <f>GL136</f>
        <v>1467655</v>
      </c>
      <c r="GM219" s="1716">
        <f>GL219/GL$219</f>
        <v>1</v>
      </c>
      <c r="GN219" s="1722">
        <f>GN136</f>
        <v>969753</v>
      </c>
      <c r="GO219" s="1716">
        <f>GN219/GN$219</f>
        <v>1</v>
      </c>
      <c r="GP219" s="1722">
        <f>GP136</f>
        <v>1307451</v>
      </c>
      <c r="GQ219" s="1716">
        <f>GP219/GP$219</f>
        <v>1</v>
      </c>
      <c r="GR219" s="1722">
        <f>GR136</f>
        <v>1129418</v>
      </c>
      <c r="GS219" s="1716">
        <f>GR219/GR$219</f>
        <v>1</v>
      </c>
      <c r="GT219" s="1722">
        <f>GT136</f>
        <v>1684250</v>
      </c>
      <c r="GU219" s="1716">
        <f>GT219/GT$219</f>
        <v>1</v>
      </c>
      <c r="GV219" s="1722">
        <f>GV136</f>
        <v>2017387</v>
      </c>
      <c r="GW219" s="1716">
        <f>GV219/GV$219</f>
        <v>1</v>
      </c>
      <c r="GX219" s="1722">
        <f>GX136</f>
        <v>1335255</v>
      </c>
      <c r="GY219" s="1716">
        <f>GX219/GX$219</f>
        <v>1</v>
      </c>
      <c r="GZ219" s="1722">
        <f>GZ136</f>
        <v>2896548</v>
      </c>
      <c r="HA219" s="1716">
        <f>GZ219/GZ$219</f>
        <v>1</v>
      </c>
      <c r="HB219" s="1722">
        <f>HB136</f>
        <v>338060</v>
      </c>
      <c r="HC219" s="1716">
        <f>HB219/HB$219</f>
        <v>1</v>
      </c>
      <c r="HD219" s="1722">
        <f>HD136</f>
        <v>1126862</v>
      </c>
      <c r="HE219" s="1716">
        <f>HD219/HD$219</f>
        <v>1</v>
      </c>
      <c r="HF219" s="2038">
        <f>HF136</f>
        <v>5895145</v>
      </c>
      <c r="HG219" s="2033">
        <f>HF219/HF$219</f>
        <v>1</v>
      </c>
      <c r="HH219" s="1722">
        <f>HH136</f>
        <v>1977436</v>
      </c>
      <c r="HI219" s="1716">
        <f>HH219/HH$219</f>
        <v>1</v>
      </c>
      <c r="HJ219" s="1722">
        <f>HJ136</f>
        <v>3659532</v>
      </c>
      <c r="HK219" s="1716">
        <f>HJ219/HJ$219</f>
        <v>1</v>
      </c>
      <c r="HL219" s="1722">
        <f>HL136</f>
        <v>1453752</v>
      </c>
      <c r="HM219" s="1716">
        <f>HL219/HL$219</f>
        <v>1</v>
      </c>
      <c r="HN219" s="1722">
        <f>HN136</f>
        <v>978463</v>
      </c>
      <c r="HO219" s="1716">
        <f>HN219/HN$219</f>
        <v>1</v>
      </c>
      <c r="HP219" s="2038">
        <f>HP136</f>
        <v>4698612</v>
      </c>
      <c r="HQ219" s="2033">
        <f>HP219/HP$219</f>
        <v>1</v>
      </c>
      <c r="HR219" s="1722">
        <f>HR136</f>
        <v>1350322</v>
      </c>
      <c r="HS219" s="1716">
        <f>HR219/HR$219</f>
        <v>1</v>
      </c>
      <c r="HT219" s="2038">
        <f>HT136</f>
        <v>3379192</v>
      </c>
      <c r="HU219" s="2033">
        <f>HT219/HT$219</f>
        <v>1</v>
      </c>
      <c r="HV219" s="2038">
        <f>HV136</f>
        <v>1693148</v>
      </c>
      <c r="HW219" s="2033">
        <f>HV219/HV$219</f>
        <v>1</v>
      </c>
      <c r="HX219" s="2038">
        <f>HX136</f>
        <v>1523777</v>
      </c>
      <c r="HY219" s="2033">
        <f>HX219/HX$219</f>
        <v>1</v>
      </c>
      <c r="HZ219" s="2038">
        <f>HZ136</f>
        <v>1218383</v>
      </c>
      <c r="IA219" s="2033">
        <f>HZ219/HZ$219</f>
        <v>1</v>
      </c>
      <c r="IB219" s="1722">
        <f>IB136</f>
        <v>888846</v>
      </c>
      <c r="IC219" s="1716">
        <f>IB219/IB$219</f>
        <v>1</v>
      </c>
      <c r="ID219" s="2038">
        <f>ID136</f>
        <v>1347194</v>
      </c>
      <c r="IE219" s="2033">
        <f>ID219/ID$219</f>
        <v>1</v>
      </c>
      <c r="IF219" s="2038">
        <f>IF136</f>
        <v>1660782</v>
      </c>
      <c r="IG219" s="2033">
        <f>IF219/IF$219</f>
        <v>1</v>
      </c>
    </row>
    <row r="220" spans="1:241">
      <c r="A220" s="1149"/>
      <c r="B220" s="1149" t="s">
        <v>22</v>
      </c>
      <c r="C220" s="1149"/>
      <c r="D220" s="1149"/>
      <c r="E220" s="1143"/>
      <c r="F220" s="1724">
        <v>613973</v>
      </c>
      <c r="G220" s="1716">
        <f>F220/F$219</f>
        <v>0.53161103409819999</v>
      </c>
      <c r="H220" s="1724">
        <v>592718</v>
      </c>
      <c r="I220" s="1716">
        <f>H220/H$219</f>
        <v>0.45785356855390025</v>
      </c>
      <c r="J220" s="1724">
        <v>352318</v>
      </c>
      <c r="K220" s="1716">
        <f>J220/J$219</f>
        <v>0.44486056360436077</v>
      </c>
      <c r="L220" s="1724">
        <v>6912554</v>
      </c>
      <c r="M220" s="1716">
        <f>L220/L$219</f>
        <v>0.74813255127711853</v>
      </c>
      <c r="N220" s="1724">
        <v>699106</v>
      </c>
      <c r="O220" s="1716">
        <f>N220/N$219</f>
        <v>0.56810681714203526</v>
      </c>
      <c r="P220" s="1724">
        <v>2197212</v>
      </c>
      <c r="Q220" s="1716">
        <f>P220/P$219</f>
        <v>0.50854655355818623</v>
      </c>
      <c r="R220" s="1790">
        <v>1277382</v>
      </c>
      <c r="S220" s="1716">
        <f>R220/R$219</f>
        <v>0.43214903972856844</v>
      </c>
      <c r="T220" s="1724">
        <v>972526</v>
      </c>
      <c r="U220" s="1716">
        <f>T220/T$219</f>
        <v>0.50785230953044891</v>
      </c>
      <c r="V220" s="1724">
        <v>561789</v>
      </c>
      <c r="W220" s="1716">
        <f>V220/V$219</f>
        <v>0.51679192692282927</v>
      </c>
      <c r="X220" s="1724">
        <v>2627713</v>
      </c>
      <c r="Y220" s="1716">
        <f>X220/X$219</f>
        <v>0.40645973420384202</v>
      </c>
      <c r="Z220" s="1790">
        <v>959605</v>
      </c>
      <c r="AA220" s="1716">
        <f>Z220/Z$219</f>
        <v>0.47376647818468798</v>
      </c>
      <c r="AB220" s="1724">
        <v>349820</v>
      </c>
      <c r="AC220" s="1716">
        <f>AB220/AB$219</f>
        <v>0.50022950899374963</v>
      </c>
      <c r="AD220" s="1724">
        <v>3144617</v>
      </c>
      <c r="AE220" s="1716">
        <f>AD220/AD$219</f>
        <v>0.7183635398779159</v>
      </c>
      <c r="AF220" s="1724">
        <v>1020072</v>
      </c>
      <c r="AG220" s="1716">
        <f>AF220/AF$219</f>
        <v>0.48691415116089803</v>
      </c>
      <c r="AH220" s="1724">
        <v>602970</v>
      </c>
      <c r="AI220" s="1716">
        <f>AH220/AH$219</f>
        <v>0.45163348905352235</v>
      </c>
      <c r="AJ220" s="1724">
        <v>771053</v>
      </c>
      <c r="AK220" s="1716">
        <f>AJ220/AJ$219</f>
        <v>0.53693376879313104</v>
      </c>
      <c r="AL220" s="1724">
        <v>1176771</v>
      </c>
      <c r="AM220" s="1716">
        <f>AL220/AL$219</f>
        <v>0.36213096305268416</v>
      </c>
      <c r="AN220" s="1724">
        <v>644505</v>
      </c>
      <c r="AO220" s="1716">
        <f>AN220/AN$219</f>
        <v>0.54187997682839983</v>
      </c>
      <c r="AP220" s="1724">
        <v>713403</v>
      </c>
      <c r="AQ220" s="1716">
        <f>AP220/AP$219</f>
        <v>0.58998030099288945</v>
      </c>
      <c r="AR220" s="1724">
        <f>1307200</f>
        <v>1307200</v>
      </c>
      <c r="AS220" s="1716">
        <f>AR220/AR$219</f>
        <v>0.50444320614716842</v>
      </c>
      <c r="AT220" s="1724">
        <v>1423542</v>
      </c>
      <c r="AU220" s="1716">
        <f>AT220/AT$219</f>
        <v>0.44863296256680446</v>
      </c>
      <c r="AV220" s="1724">
        <v>682269</v>
      </c>
      <c r="AW220" s="1716">
        <f>AV220/AV$219</f>
        <v>0.45762439021445539</v>
      </c>
      <c r="AX220" s="1724">
        <v>1596526</v>
      </c>
      <c r="AY220" s="1716">
        <f>AX220/AX$219</f>
        <v>0.42010580757546456</v>
      </c>
      <c r="AZ220" s="1724">
        <v>854941</v>
      </c>
      <c r="BA220" s="1716">
        <f>AZ220/AZ$219</f>
        <v>0.54209723042117208</v>
      </c>
      <c r="BB220" s="1724">
        <v>948628</v>
      </c>
      <c r="BC220" s="1716">
        <f>BB220/BB$219</f>
        <v>0.5575799183110165</v>
      </c>
      <c r="BD220" s="1790">
        <v>1041788</v>
      </c>
      <c r="BE220" s="1716">
        <f>BD220/BD$219</f>
        <v>0.45865538197654659</v>
      </c>
      <c r="BF220" s="1724">
        <v>387738</v>
      </c>
      <c r="BG220" s="1716">
        <f>BF220/BF$219</f>
        <v>0.43604135295645752</v>
      </c>
      <c r="BH220" s="1724">
        <v>631186</v>
      </c>
      <c r="BI220" s="1716">
        <f>BH220/BH$219</f>
        <v>0.46104849955040933</v>
      </c>
      <c r="BJ220" s="1724">
        <v>996431</v>
      </c>
      <c r="BK220" s="1716">
        <f>BJ220/BJ$219</f>
        <v>0.48967170803815036</v>
      </c>
      <c r="BL220" s="1724">
        <v>1141653</v>
      </c>
      <c r="BM220" s="1716">
        <f>BL220/BL$219</f>
        <v>0.51409230176213438</v>
      </c>
      <c r="BN220" s="1724"/>
      <c r="BO220" s="1716" t="e">
        <f>BN220/BN$219</f>
        <v>#DIV/0!</v>
      </c>
      <c r="BP220" s="1724">
        <v>901309</v>
      </c>
      <c r="BQ220" s="1716">
        <f>BP220/BP$219</f>
        <v>0.41422411079200899</v>
      </c>
      <c r="BR220" s="1724">
        <v>125234</v>
      </c>
      <c r="BS220" s="1716">
        <f>BR220/BR$219</f>
        <v>0.27430150956290139</v>
      </c>
      <c r="BT220" s="1724">
        <v>452320</v>
      </c>
      <c r="BU220" s="1716">
        <f>BT220/BT$219</f>
        <v>0.43185565602781018</v>
      </c>
      <c r="BV220" s="1724">
        <v>505766</v>
      </c>
      <c r="BW220" s="1716">
        <f>BV220/BV$219</f>
        <v>0.44208691638943326</v>
      </c>
      <c r="BX220" s="1724">
        <v>1433832</v>
      </c>
      <c r="BY220" s="1716">
        <f>BX220/BX$219</f>
        <v>0.45517464691260828</v>
      </c>
      <c r="BZ220" s="1724">
        <v>1059121</v>
      </c>
      <c r="CA220" s="1716">
        <f>BZ220/BZ$219</f>
        <v>0.34541303777095439</v>
      </c>
      <c r="CB220" s="1724">
        <v>477713</v>
      </c>
      <c r="CC220" s="1716">
        <f>CB220/CB$219</f>
        <v>0.49790192735019573</v>
      </c>
      <c r="CD220" s="1724">
        <v>621322</v>
      </c>
      <c r="CE220" s="1716">
        <f>CD220/CD$219</f>
        <v>0.55484937975697513</v>
      </c>
      <c r="CF220" s="1724">
        <v>840173</v>
      </c>
      <c r="CG220" s="1716">
        <v>0.5271835808598978</v>
      </c>
      <c r="CH220" s="1724">
        <v>758965</v>
      </c>
      <c r="CI220" s="1716">
        <v>0.63960078306252277</v>
      </c>
      <c r="CJ220" s="1724">
        <v>572885</v>
      </c>
      <c r="CK220" s="1716">
        <v>0.56776996042651751</v>
      </c>
      <c r="CL220" s="1724">
        <v>1817772</v>
      </c>
      <c r="CM220" s="1716">
        <v>0.39036975745290653</v>
      </c>
      <c r="CN220" s="1724">
        <v>1290393</v>
      </c>
      <c r="CO220" s="1716">
        <f>CN220/CN$219</f>
        <v>0.57681919856384467</v>
      </c>
      <c r="CP220" s="1724">
        <v>563724</v>
      </c>
      <c r="CQ220" s="1716">
        <f>CP220/CP$219</f>
        <v>0.40722263879437759</v>
      </c>
      <c r="CR220" s="1724">
        <v>1299095</v>
      </c>
      <c r="CS220" s="1716">
        <v>0.42172767798593175</v>
      </c>
      <c r="CT220" s="1724">
        <v>282779</v>
      </c>
      <c r="CU220" s="1716">
        <f>CT220/CT$219</f>
        <v>0.16676387418653818</v>
      </c>
      <c r="CV220" s="1724">
        <v>1688411</v>
      </c>
      <c r="CW220" s="1716">
        <f>CV220/CV$219</f>
        <v>0.4082288871555742</v>
      </c>
      <c r="CX220" s="1724">
        <v>2060831</v>
      </c>
      <c r="CY220" s="1716">
        <f>CX220/CX$219</f>
        <v>0.58827587919630531</v>
      </c>
      <c r="CZ220" s="1724">
        <v>325585</v>
      </c>
      <c r="DA220" s="1716">
        <v>0.46744731284376406</v>
      </c>
      <c r="DB220" s="1724">
        <v>1240335</v>
      </c>
      <c r="DC220" s="1716">
        <v>0.52896517577157942</v>
      </c>
      <c r="DD220" s="1724">
        <v>368824</v>
      </c>
      <c r="DE220" s="1716">
        <v>0.44056782726278015</v>
      </c>
      <c r="DF220" s="1724">
        <v>4157077</v>
      </c>
      <c r="DG220" s="1716">
        <v>0.64806266059013296</v>
      </c>
      <c r="DH220" s="1724">
        <v>690969</v>
      </c>
      <c r="DI220" s="1716">
        <v>0.43810241785052617</v>
      </c>
      <c r="DJ220" s="1724">
        <v>814823</v>
      </c>
      <c r="DK220" s="1716">
        <v>0.59193514759095445</v>
      </c>
      <c r="DL220" s="1724">
        <v>854508</v>
      </c>
      <c r="DM220" s="1716">
        <v>0.52391115481935502</v>
      </c>
      <c r="DN220" s="1724">
        <v>308825</v>
      </c>
      <c r="DO220" s="1716">
        <f>DN220/DN$219</f>
        <v>0.42231612342994673</v>
      </c>
      <c r="DP220" s="1724">
        <v>264981</v>
      </c>
      <c r="DQ220" s="1716">
        <f>DP220/DP$219</f>
        <v>0.49260207353867946</v>
      </c>
      <c r="DR220" s="1724">
        <v>1229936</v>
      </c>
      <c r="DS220" s="1716">
        <f>DR220/DR$219</f>
        <v>0.75390657324276988</v>
      </c>
      <c r="DT220" s="1724">
        <v>2219702</v>
      </c>
      <c r="DU220" s="1716">
        <f>DT220/DT$219</f>
        <v>0.64085336172714114</v>
      </c>
      <c r="DV220" s="1724">
        <v>315847</v>
      </c>
      <c r="DW220" s="1716">
        <f>DV220/DV$219</f>
        <v>0.38009160312692547</v>
      </c>
      <c r="DX220" s="1724">
        <v>1353337</v>
      </c>
      <c r="DY220" s="1716">
        <f>DX220/DX$219</f>
        <v>0.56929588105730577</v>
      </c>
      <c r="DZ220" s="1724">
        <v>2678362</v>
      </c>
      <c r="EA220" s="1716">
        <f>DZ220/DZ$219</f>
        <v>0.58007769564851086</v>
      </c>
      <c r="EB220" s="1724">
        <v>1701543</v>
      </c>
      <c r="EC220" s="1716">
        <f>EB220/EB$219</f>
        <v>0.58998980936685275</v>
      </c>
      <c r="ED220" s="1724">
        <v>449625</v>
      </c>
      <c r="EE220" s="1716">
        <f>ED220/ED$219</f>
        <v>0.49211844334604421</v>
      </c>
      <c r="EF220" s="1724">
        <v>1059458</v>
      </c>
      <c r="EG220" s="1716">
        <f>EF220/EF$219</f>
        <v>0.62723522460588288</v>
      </c>
      <c r="EH220" s="1724">
        <v>4063722</v>
      </c>
      <c r="EI220" s="1716">
        <f>EH220/EH$219</f>
        <v>0.5267592974385743</v>
      </c>
      <c r="EJ220" s="1724">
        <v>1504930</v>
      </c>
      <c r="EK220" s="1716">
        <f>EJ220/EJ$219</f>
        <v>0.83560892349686122</v>
      </c>
      <c r="EL220" s="1724">
        <v>3304788</v>
      </c>
      <c r="EM220" s="1716">
        <f>EL220/EL$219</f>
        <v>0.67918879309760172</v>
      </c>
      <c r="EN220" s="1724">
        <v>695856</v>
      </c>
      <c r="EO220" s="1716">
        <f>EN220/EN$219</f>
        <v>0.444020184127843</v>
      </c>
      <c r="EP220" s="1724">
        <v>885208</v>
      </c>
      <c r="EQ220" s="1716">
        <f>EP220/EP$219</f>
        <v>0.42363773844961095</v>
      </c>
      <c r="ER220" s="1724">
        <f>14514+338362</f>
        <v>352876</v>
      </c>
      <c r="ES220" s="1716">
        <f>ER220/ER$219</f>
        <v>0.45132022382094322</v>
      </c>
      <c r="ET220" s="1724">
        <v>1485055</v>
      </c>
      <c r="EU220" s="1716">
        <f>ET220/ET$219</f>
        <v>0.46509519378718472</v>
      </c>
      <c r="EV220" s="1724">
        <v>719354</v>
      </c>
      <c r="EW220" s="1716">
        <f>EV220/EV$219</f>
        <v>0.48849677472366659</v>
      </c>
      <c r="EX220" s="1724">
        <v>461229</v>
      </c>
      <c r="EY220" s="1716">
        <f>EX220/EX$219</f>
        <v>0.458066963749239</v>
      </c>
      <c r="EZ220" s="1724">
        <v>1245133</v>
      </c>
      <c r="FA220" s="1716">
        <f>EZ220/EZ$219</f>
        <v>0.73693907614874754</v>
      </c>
      <c r="FB220" s="1724">
        <v>416562</v>
      </c>
      <c r="FC220" s="1716">
        <f>FB220/FB$219</f>
        <v>0.51441061516328412</v>
      </c>
      <c r="FD220" s="1724">
        <v>589046</v>
      </c>
      <c r="FE220" s="1716">
        <f>FD220/FD$219</f>
        <v>0.48701531704784284</v>
      </c>
      <c r="FF220" s="1724">
        <v>967214</v>
      </c>
      <c r="FG220" s="1716">
        <f>FF220/FF$219</f>
        <v>0.45699827541401877</v>
      </c>
      <c r="FH220" s="1724">
        <v>404271</v>
      </c>
      <c r="FI220" s="1716">
        <f>FH220/FH$219</f>
        <v>0.38626450745592705</v>
      </c>
      <c r="FJ220" s="1724">
        <v>485642</v>
      </c>
      <c r="FK220" s="1716">
        <f>FJ220/FJ$219</f>
        <v>0.41750372247688283</v>
      </c>
      <c r="FL220" s="1724">
        <v>490074</v>
      </c>
      <c r="FM220" s="1716">
        <f>FL220/FL$219</f>
        <v>0.52193166496620735</v>
      </c>
      <c r="FN220" s="1724">
        <v>1738128</v>
      </c>
      <c r="FO220" s="1716">
        <f>FN220/FN$219</f>
        <v>0.52733906041653078</v>
      </c>
      <c r="FP220" s="1724">
        <v>286989</v>
      </c>
      <c r="FQ220" s="1716">
        <f>FP220/FP$219</f>
        <v>0.55632793978246164</v>
      </c>
      <c r="FR220" s="1724">
        <v>1473991</v>
      </c>
      <c r="FS220" s="1716">
        <f>FR220/FR$219</f>
        <v>0.41707900865882813</v>
      </c>
      <c r="FT220" s="1724">
        <v>1474112</v>
      </c>
      <c r="FU220" s="1716">
        <f>FT220/FT$219</f>
        <v>0.46722731797981693</v>
      </c>
      <c r="FV220" s="1724">
        <v>4242480</v>
      </c>
      <c r="FW220" s="1716">
        <f>FV220/FV$219</f>
        <v>0.79285398317328848</v>
      </c>
      <c r="FX220" s="1724">
        <v>566169</v>
      </c>
      <c r="FY220" s="1716">
        <f>FX220/FX$219</f>
        <v>0.46434622999437375</v>
      </c>
      <c r="FZ220" s="1724">
        <v>598159</v>
      </c>
      <c r="GA220" s="1716">
        <f>FZ220/FZ$219</f>
        <v>0.5481320812119479</v>
      </c>
      <c r="GB220" s="1724">
        <v>191449</v>
      </c>
      <c r="GC220" s="1716">
        <f>GB220/GB$219</f>
        <v>0.4170884049035648</v>
      </c>
      <c r="GD220" s="1724">
        <v>2123031</v>
      </c>
      <c r="GE220" s="1716">
        <f>GD220/GD$219</f>
        <v>0.66942747601778763</v>
      </c>
      <c r="GF220" s="1724">
        <v>857213</v>
      </c>
      <c r="GG220" s="1716">
        <f>GF220/GF$219</f>
        <v>0.49999475048470526</v>
      </c>
      <c r="GH220" s="1724">
        <v>479354</v>
      </c>
      <c r="GI220" s="1716">
        <f>GH220/GH$219</f>
        <v>0.48923857619341171</v>
      </c>
      <c r="GJ220" s="1724">
        <v>5281424</v>
      </c>
      <c r="GK220" s="1716">
        <f>GJ220/GJ$219</f>
        <v>0.62115882159365665</v>
      </c>
      <c r="GL220" s="1724">
        <v>718461</v>
      </c>
      <c r="GM220" s="1716">
        <f>GL220/GL$219</f>
        <v>0.48952989633122224</v>
      </c>
      <c r="GN220" s="1724">
        <v>476352</v>
      </c>
      <c r="GO220" s="1716">
        <f>GN220/GN$219</f>
        <v>0.49120961729430074</v>
      </c>
      <c r="GP220" s="1724">
        <v>582133</v>
      </c>
      <c r="GQ220" s="1716">
        <f>GP220/GP$219</f>
        <v>0.44524268978340298</v>
      </c>
      <c r="GR220" s="1724">
        <v>570620</v>
      </c>
      <c r="GS220" s="1716">
        <f>GR220/GR$219</f>
        <v>0.50523366902245226</v>
      </c>
      <c r="GT220" s="1724">
        <v>596776</v>
      </c>
      <c r="GU220" s="1716">
        <f>GT220/GT$219</f>
        <v>0.35432744545049727</v>
      </c>
      <c r="GV220" s="1724">
        <v>910003</v>
      </c>
      <c r="GW220" s="1716">
        <f>GV220/GV$219</f>
        <v>0.45108003570955896</v>
      </c>
      <c r="GX220" s="1724">
        <v>665411</v>
      </c>
      <c r="GY220" s="1716">
        <f>GX220/GX$219</f>
        <v>0.4983400174498504</v>
      </c>
      <c r="GZ220" s="1724">
        <v>1322898</v>
      </c>
      <c r="HA220" s="1716">
        <f>GZ220/GZ$219</f>
        <v>0.45671537291976516</v>
      </c>
      <c r="HB220" s="1724">
        <v>140537</v>
      </c>
      <c r="HC220" s="1716">
        <f>HB220/HB$219</f>
        <v>0.41571614506300658</v>
      </c>
      <c r="HD220" s="1724">
        <v>612758</v>
      </c>
      <c r="HE220" s="1716">
        <f>HD220/HD$219</f>
        <v>0.54377377176619679</v>
      </c>
      <c r="HF220" s="2045">
        <v>3915518</v>
      </c>
      <c r="HG220" s="2033">
        <f>HF220/HF$219</f>
        <v>0.66419367123285344</v>
      </c>
      <c r="HH220" s="1724">
        <v>1006162</v>
      </c>
      <c r="HI220" s="1716">
        <f>HH220/HH$219</f>
        <v>0.50882152443871764</v>
      </c>
      <c r="HJ220" s="1724">
        <v>1734319</v>
      </c>
      <c r="HK220" s="1716">
        <f>HJ220/HJ$219</f>
        <v>0.47391824965596696</v>
      </c>
      <c r="HL220" s="1724">
        <v>417905</v>
      </c>
      <c r="HM220" s="1716">
        <f>HL220/HL$219</f>
        <v>0.28746650047600969</v>
      </c>
      <c r="HN220" s="1724">
        <v>451764</v>
      </c>
      <c r="HO220" s="1716">
        <f>HN220/HN$219</f>
        <v>0.46170780090815899</v>
      </c>
      <c r="HP220" s="2045">
        <v>2807367</v>
      </c>
      <c r="HQ220" s="2033">
        <f>HP220/HP$219</f>
        <v>0.59748857747777429</v>
      </c>
      <c r="HR220" s="1724">
        <v>743652</v>
      </c>
      <c r="HS220" s="1716">
        <f>HR220/HR$219</f>
        <v>0.55072197594351568</v>
      </c>
      <c r="HT220" s="2045">
        <v>2003994</v>
      </c>
      <c r="HU220" s="2033">
        <f>HT220/HT$219</f>
        <v>0.59303940113494591</v>
      </c>
      <c r="HV220" s="2045">
        <v>1038105</v>
      </c>
      <c r="HW220" s="2033">
        <f>HV220/HV$219</f>
        <v>0.61312123925374507</v>
      </c>
      <c r="HX220" s="2045">
        <v>953245</v>
      </c>
      <c r="HY220" s="2033">
        <f>HX220/HX$219</f>
        <v>0.62558038348130995</v>
      </c>
      <c r="HZ220" s="2045">
        <v>690474</v>
      </c>
      <c r="IA220" s="2033">
        <f>HZ220/HZ$219</f>
        <v>0.56671342262654678</v>
      </c>
      <c r="IB220" s="1724">
        <v>499991</v>
      </c>
      <c r="IC220" s="1716">
        <f>IB220/IB$219</f>
        <v>0.56251701644604357</v>
      </c>
      <c r="ID220" s="2045">
        <v>669081</v>
      </c>
      <c r="IE220" s="2033">
        <f>ID220/ID$219</f>
        <v>0.49664784730335793</v>
      </c>
      <c r="IF220" s="2045">
        <v>655583</v>
      </c>
      <c r="IG220" s="2033">
        <f>IF220/IF$219</f>
        <v>0.39474356056363807</v>
      </c>
    </row>
    <row r="221" spans="1:241">
      <c r="A221" s="1149"/>
      <c r="B221" s="1149"/>
      <c r="C221" s="1149"/>
      <c r="D221" s="1149"/>
      <c r="E221" s="1143"/>
      <c r="F221" s="1717"/>
      <c r="G221" s="1356"/>
      <c r="H221" s="1717"/>
      <c r="I221" s="1356"/>
      <c r="J221" s="1717"/>
      <c r="K221" s="1356"/>
      <c r="L221" s="1717"/>
      <c r="M221" s="1356"/>
      <c r="N221" s="1717"/>
      <c r="O221" s="1356"/>
      <c r="P221" s="1717"/>
      <c r="Q221" s="1356"/>
      <c r="R221" s="1717"/>
      <c r="T221" s="1717"/>
      <c r="U221" s="1356"/>
      <c r="V221" s="1717"/>
      <c r="W221" s="1356"/>
      <c r="X221" s="1717"/>
      <c r="Y221" s="1356"/>
      <c r="Z221" s="1717"/>
      <c r="AA221" s="1356"/>
      <c r="AB221" s="1717"/>
      <c r="AC221" s="1356"/>
      <c r="AD221" s="1717"/>
      <c r="AE221" s="1356"/>
      <c r="AF221" s="1717"/>
      <c r="AG221" s="1356"/>
      <c r="AH221" s="1717"/>
      <c r="AI221" s="1356"/>
      <c r="AJ221" s="1717"/>
      <c r="AK221" s="1356"/>
      <c r="AL221" s="1717"/>
      <c r="AM221" s="1356"/>
      <c r="AN221" s="1717"/>
      <c r="AO221" s="1356"/>
      <c r="AP221" s="1717"/>
      <c r="AQ221" s="1356"/>
      <c r="AR221" s="1717"/>
      <c r="AS221" s="1356"/>
      <c r="AT221" s="1717"/>
      <c r="AU221" s="1356"/>
      <c r="AV221" s="1717"/>
      <c r="AW221" s="1356"/>
      <c r="AX221" s="1717"/>
      <c r="AY221" s="1356"/>
      <c r="AZ221" s="1717"/>
      <c r="BA221" s="1356"/>
      <c r="BB221" s="1717"/>
      <c r="BC221" s="1356"/>
      <c r="BD221" s="1717"/>
      <c r="BE221" s="1356"/>
      <c r="BF221" s="1717"/>
      <c r="BG221" s="1356"/>
      <c r="BH221" s="1717"/>
      <c r="BI221" s="1356"/>
      <c r="BJ221" s="1717"/>
      <c r="BK221" s="1356"/>
      <c r="BL221" s="1717"/>
      <c r="BM221" s="1356"/>
      <c r="BN221" s="1717"/>
      <c r="BO221" s="1356"/>
      <c r="BP221" s="1717"/>
      <c r="BQ221" s="1356"/>
      <c r="BR221" s="1717"/>
      <c r="BS221" s="1356"/>
      <c r="BT221" s="1717"/>
      <c r="BU221" s="1356"/>
      <c r="BV221" s="1717"/>
      <c r="BW221" s="1356"/>
      <c r="BX221" s="1717"/>
      <c r="BY221" s="1356"/>
      <c r="BZ221" s="1717"/>
      <c r="CA221" s="1356"/>
      <c r="CB221" s="1717"/>
      <c r="CC221" s="1356"/>
      <c r="CD221" s="1717"/>
      <c r="CE221" s="1356"/>
      <c r="CF221" s="1717"/>
      <c r="CG221" s="1356"/>
      <c r="CH221" s="1717"/>
      <c r="CI221" s="1356"/>
      <c r="CJ221" s="1717"/>
      <c r="CK221" s="1356"/>
      <c r="CL221" s="1717"/>
      <c r="CM221" s="1356"/>
      <c r="CN221" s="1717"/>
      <c r="CO221" s="1356"/>
      <c r="CP221" s="1717"/>
      <c r="CQ221" s="1356"/>
      <c r="CR221" s="1717"/>
      <c r="CS221" s="1356"/>
      <c r="CT221" s="1717"/>
      <c r="CU221" s="1356"/>
      <c r="CV221" s="1717"/>
      <c r="CW221" s="1356"/>
      <c r="CX221" s="1717"/>
      <c r="CY221" s="1356"/>
      <c r="CZ221" s="1717"/>
      <c r="DA221" s="1356"/>
      <c r="DB221" s="1717"/>
      <c r="DC221" s="1356"/>
      <c r="DD221" s="1717"/>
      <c r="DE221" s="1356"/>
      <c r="DF221" s="1717"/>
      <c r="DG221" s="1356"/>
      <c r="DH221" s="1717"/>
      <c r="DI221" s="1356"/>
      <c r="DJ221" s="1717"/>
      <c r="DK221" s="1356"/>
      <c r="DL221" s="1717"/>
      <c r="DM221" s="1356"/>
      <c r="DN221" s="1717"/>
      <c r="DO221" s="1356"/>
      <c r="DP221" s="1717"/>
      <c r="DQ221" s="1356"/>
      <c r="DR221" s="1717"/>
      <c r="DS221" s="1356"/>
      <c r="DT221" s="1717"/>
      <c r="DU221" s="1356"/>
      <c r="DV221" s="1717"/>
      <c r="DW221" s="1356"/>
      <c r="DX221" s="1717"/>
      <c r="DY221" s="1356"/>
      <c r="DZ221" s="1717"/>
      <c r="EA221" s="1356"/>
      <c r="EB221" s="1717"/>
      <c r="EC221" s="1356"/>
      <c r="ED221" s="1717"/>
      <c r="EE221" s="1356"/>
      <c r="EF221" s="1717"/>
      <c r="EG221" s="1356"/>
      <c r="EH221" s="1717"/>
      <c r="EI221" s="1356"/>
      <c r="EJ221" s="1717"/>
      <c r="EK221" s="1356"/>
      <c r="EL221" s="1717"/>
      <c r="EM221" s="1356"/>
      <c r="EN221" s="1717"/>
      <c r="EO221" s="1356"/>
      <c r="EP221" s="1717"/>
      <c r="EQ221" s="1356"/>
      <c r="ER221" s="1717"/>
      <c r="ES221" s="1356"/>
      <c r="ET221" s="1717"/>
      <c r="EU221" s="1356"/>
      <c r="EV221" s="1717"/>
      <c r="EW221" s="1356"/>
      <c r="EX221" s="1717"/>
      <c r="EY221" s="1356"/>
      <c r="EZ221" s="1717"/>
      <c r="FA221" s="1356"/>
      <c r="FB221" s="1717"/>
      <c r="FC221" s="1356"/>
      <c r="FD221" s="1717"/>
      <c r="FE221" s="1356"/>
      <c r="FF221" s="1717"/>
      <c r="FG221" s="1356"/>
      <c r="FH221" s="1717"/>
      <c r="FI221" s="1356"/>
      <c r="FJ221" s="1717"/>
      <c r="FK221" s="1356"/>
      <c r="FL221" s="1717"/>
      <c r="FM221" s="1356"/>
      <c r="FN221" s="1717"/>
      <c r="FO221" s="1356"/>
      <c r="FP221" s="1717"/>
      <c r="FQ221" s="1356"/>
      <c r="FR221" s="1717"/>
      <c r="FS221" s="1356"/>
      <c r="FT221" s="1717"/>
      <c r="FU221" s="1356"/>
      <c r="FV221" s="1717"/>
      <c r="FW221" s="1356"/>
      <c r="FX221" s="1717"/>
      <c r="FY221" s="1356"/>
      <c r="FZ221" s="1717"/>
      <c r="GA221" s="1356"/>
      <c r="GB221" s="1717"/>
      <c r="GC221" s="1356"/>
      <c r="GD221" s="1717"/>
      <c r="GE221" s="1356"/>
      <c r="GF221" s="1717"/>
      <c r="GG221" s="1356"/>
      <c r="GH221" s="1717"/>
      <c r="GI221" s="1356"/>
      <c r="GJ221" s="1717"/>
      <c r="GK221" s="1356"/>
      <c r="GL221" s="1717"/>
      <c r="GM221" s="1356"/>
      <c r="GN221" s="1717"/>
      <c r="GO221" s="1356"/>
      <c r="GP221" s="1717"/>
      <c r="GQ221" s="1356"/>
      <c r="GR221" s="1717"/>
      <c r="GS221" s="1356"/>
      <c r="GT221" s="1717"/>
      <c r="GU221" s="1356"/>
      <c r="GV221" s="1717"/>
      <c r="GW221" s="1356"/>
      <c r="GX221" s="1717"/>
      <c r="GY221" s="1356"/>
      <c r="GZ221" s="1717"/>
      <c r="HA221" s="1356"/>
      <c r="HB221" s="1717"/>
      <c r="HC221" s="1356"/>
      <c r="HD221" s="1717"/>
      <c r="HE221" s="1356"/>
      <c r="HF221" s="2034"/>
      <c r="HH221" s="1717"/>
      <c r="HI221" s="1356"/>
      <c r="HJ221" s="1717"/>
      <c r="HK221" s="1356"/>
      <c r="HL221" s="1717"/>
      <c r="HM221" s="1356"/>
      <c r="HN221" s="1717"/>
      <c r="HO221" s="1356"/>
      <c r="HP221" s="2034"/>
      <c r="HR221" s="1717"/>
      <c r="HS221" s="1356"/>
      <c r="HT221" s="2034"/>
      <c r="HV221" s="2034"/>
      <c r="HX221" s="2034"/>
      <c r="HZ221" s="2034"/>
      <c r="IB221" s="1717"/>
      <c r="IC221" s="1356"/>
      <c r="ID221" s="2034"/>
      <c r="IF221" s="2034"/>
    </row>
    <row r="222" spans="1:241" ht="16.2" thickBot="1">
      <c r="A222" s="1149"/>
      <c r="B222" s="1149" t="s">
        <v>23</v>
      </c>
      <c r="C222" s="1149"/>
      <c r="D222" s="1149"/>
      <c r="E222" s="1143"/>
      <c r="F222" s="1719">
        <f>F219-F220</f>
        <v>540956</v>
      </c>
      <c r="G222" s="1716">
        <f>F222/F$219</f>
        <v>0.46838896590180001</v>
      </c>
      <c r="H222" s="1719">
        <f>H219-H220</f>
        <v>701840</v>
      </c>
      <c r="I222" s="1716">
        <f>H222/H$219</f>
        <v>0.54214643144609975</v>
      </c>
      <c r="J222" s="1719">
        <f>J219-J220</f>
        <v>439656</v>
      </c>
      <c r="K222" s="1716">
        <f>J222/J$219</f>
        <v>0.55513943639563923</v>
      </c>
      <c r="L222" s="1719">
        <f>L219-L220</f>
        <v>2327191</v>
      </c>
      <c r="M222" s="1716">
        <f>L222/L$219</f>
        <v>0.25186744872288142</v>
      </c>
      <c r="N222" s="1719">
        <f>N219-N220</f>
        <v>531483</v>
      </c>
      <c r="O222" s="1716">
        <f>N222/N$219</f>
        <v>0.43189318285796474</v>
      </c>
      <c r="P222" s="1719">
        <f>P219-P220</f>
        <v>2123360</v>
      </c>
      <c r="Q222" s="1716">
        <f>P222/P$219</f>
        <v>0.49145344644181371</v>
      </c>
      <c r="R222" s="1719">
        <f>R219-R220</f>
        <v>1678501</v>
      </c>
      <c r="S222" s="1716">
        <f>R222/R$219</f>
        <v>0.56785096027143156</v>
      </c>
      <c r="T222" s="1719">
        <f>T219-T220</f>
        <v>942452</v>
      </c>
      <c r="U222" s="1716">
        <f>T222/T$219</f>
        <v>0.49214769046955109</v>
      </c>
      <c r="V222" s="1719">
        <f>V219-V220</f>
        <v>525281</v>
      </c>
      <c r="W222" s="1716">
        <f>V222/V$219</f>
        <v>0.48320807307717073</v>
      </c>
      <c r="X222" s="1719">
        <f>X219-X220</f>
        <v>3837166</v>
      </c>
      <c r="Y222" s="1716">
        <f>X222/X$219</f>
        <v>0.59354026579615793</v>
      </c>
      <c r="Z222" s="1719">
        <f>Z219-Z220</f>
        <v>1065876</v>
      </c>
      <c r="AA222" s="1716">
        <f>Z222/Z$219</f>
        <v>0.52623352181531202</v>
      </c>
      <c r="AB222" s="1719">
        <f>AB219-AB220</f>
        <v>349499</v>
      </c>
      <c r="AC222" s="1716">
        <f>AB222/AB$219</f>
        <v>0.49977049100625037</v>
      </c>
      <c r="AD222" s="1719">
        <f>AD219-AD220</f>
        <v>1232856</v>
      </c>
      <c r="AE222" s="1716">
        <f>AD222/AD$219</f>
        <v>0.28163646012208415</v>
      </c>
      <c r="AF222" s="1719">
        <f>AF219-AF220</f>
        <v>1074901</v>
      </c>
      <c r="AG222" s="1716">
        <f>AF222/AF$219</f>
        <v>0.51308584883910202</v>
      </c>
      <c r="AH222" s="1719">
        <f>AH219-AH220</f>
        <v>732117</v>
      </c>
      <c r="AI222" s="1716">
        <f>AH222/AH$219</f>
        <v>0.54836651094647759</v>
      </c>
      <c r="AJ222" s="1719">
        <f>AJ219-AJ220</f>
        <v>664977</v>
      </c>
      <c r="AK222" s="1716">
        <f>AJ222/AJ$219</f>
        <v>0.46306623120686896</v>
      </c>
      <c r="AL222" s="1719">
        <f>AL219-AL220</f>
        <v>2072802</v>
      </c>
      <c r="AM222" s="1716">
        <f>AL222/AL$219</f>
        <v>0.63786903694731589</v>
      </c>
      <c r="AN222" s="1719">
        <f>AN219-AN220</f>
        <v>544882</v>
      </c>
      <c r="AO222" s="1716">
        <f>AN222/AN$219</f>
        <v>0.45812002317160017</v>
      </c>
      <c r="AP222" s="1719">
        <f>AP219-AP220</f>
        <v>495795</v>
      </c>
      <c r="AQ222" s="1716">
        <f>AP222/AP$219</f>
        <v>0.41001969900711049</v>
      </c>
      <c r="AR222" s="1719">
        <f>AR219-AR220</f>
        <v>1284172</v>
      </c>
      <c r="AS222" s="1716">
        <f>AR222/AR$219</f>
        <v>0.49555679385283163</v>
      </c>
      <c r="AT222" s="1719">
        <f>AT219-AT220</f>
        <v>1749524</v>
      </c>
      <c r="AU222" s="1716">
        <f>AT222/AT$219</f>
        <v>0.55136703743319548</v>
      </c>
      <c r="AV222" s="1719">
        <f>AV219-AV220</f>
        <v>808624</v>
      </c>
      <c r="AW222" s="1716">
        <f>AV222/AV$219</f>
        <v>0.54237560978554467</v>
      </c>
      <c r="AX222" s="1719">
        <f>AX219-AX220</f>
        <v>2203769</v>
      </c>
      <c r="AY222" s="1716">
        <f>AX222/AX$219</f>
        <v>0.57989419242453544</v>
      </c>
      <c r="AZ222" s="1719">
        <f>AZ219-AZ220</f>
        <v>722158</v>
      </c>
      <c r="BA222" s="1716">
        <f>AZ222/AZ$219</f>
        <v>0.45790276957882797</v>
      </c>
      <c r="BB222" s="1719">
        <f>BB219-BB220</f>
        <v>752703</v>
      </c>
      <c r="BC222" s="1716">
        <f>BB222/BB$219</f>
        <v>0.4424200816889835</v>
      </c>
      <c r="BD222" s="1719">
        <f>BD219-BD220</f>
        <v>1229608</v>
      </c>
      <c r="BE222" s="1716">
        <f>BD222/BD$219</f>
        <v>0.54134461802345346</v>
      </c>
      <c r="BF222" s="1719">
        <f>BF219-BF220</f>
        <v>501485</v>
      </c>
      <c r="BG222" s="1716">
        <f>BF222/BF$219</f>
        <v>0.56395864704354248</v>
      </c>
      <c r="BH222" s="1719">
        <f>BH219-BH220</f>
        <v>737837</v>
      </c>
      <c r="BI222" s="1716">
        <f>BH222/BH$219</f>
        <v>0.53895150044959073</v>
      </c>
      <c r="BJ222" s="1719">
        <f>BJ219-BJ220</f>
        <v>1038465</v>
      </c>
      <c r="BK222" s="1716">
        <f>BJ222/BJ$219</f>
        <v>0.5103282919618497</v>
      </c>
      <c r="BL222" s="1719">
        <f>BL219-BL220</f>
        <v>1079063</v>
      </c>
      <c r="BM222" s="1716">
        <f>BL222/BL$219</f>
        <v>0.48590769823786562</v>
      </c>
      <c r="BN222" s="1719">
        <f>BN219-BN220</f>
        <v>0</v>
      </c>
      <c r="BO222" s="1716" t="e">
        <f>BN222/BN$219</f>
        <v>#DIV/0!</v>
      </c>
      <c r="BP222" s="1719">
        <f>BP219-BP220</f>
        <v>1274588</v>
      </c>
      <c r="BQ222" s="1716">
        <f>BP222/BP$219</f>
        <v>0.58577588920799095</v>
      </c>
      <c r="BR222" s="1719">
        <f>BR219-BR220</f>
        <v>331322</v>
      </c>
      <c r="BS222" s="1716">
        <f>BR222/BR$219</f>
        <v>0.72569849043709866</v>
      </c>
      <c r="BT222" s="1719">
        <f>BT219-BT220</f>
        <v>595067</v>
      </c>
      <c r="BU222" s="1716">
        <f>BT222/BT$219</f>
        <v>0.56814434397218982</v>
      </c>
      <c r="BV222" s="1719">
        <f>BV219-BV220</f>
        <v>638276</v>
      </c>
      <c r="BW222" s="1716">
        <f>BV222/BV$219</f>
        <v>0.5579130836105668</v>
      </c>
      <c r="BX222" s="1719">
        <f>BX219-BX220</f>
        <v>1716238</v>
      </c>
      <c r="BY222" s="1716">
        <f>BX222/BX$219</f>
        <v>0.54482535308739166</v>
      </c>
      <c r="BZ222" s="1719">
        <f>BZ219-BZ220</f>
        <v>2007124</v>
      </c>
      <c r="CA222" s="1716">
        <f>BZ222/BZ$219</f>
        <v>0.65458696222904567</v>
      </c>
      <c r="CB222" s="1719">
        <f>CB219-CB220</f>
        <v>481739</v>
      </c>
      <c r="CC222" s="1716">
        <f>CB222/CB$219</f>
        <v>0.50209807264980422</v>
      </c>
      <c r="CD222" s="1719">
        <f>CD219-CD220</f>
        <v>498481</v>
      </c>
      <c r="CE222" s="1716">
        <f>CD222/CD$219</f>
        <v>0.44515062024302487</v>
      </c>
      <c r="CF222" s="1719">
        <v>753528</v>
      </c>
      <c r="CG222" s="1716">
        <v>0.4728164191401022</v>
      </c>
      <c r="CH222" s="1719">
        <v>427658</v>
      </c>
      <c r="CI222" s="1716">
        <v>0.36039921693747717</v>
      </c>
      <c r="CJ222" s="1719">
        <v>436124</v>
      </c>
      <c r="CK222" s="1716">
        <v>0.43223003957348249</v>
      </c>
      <c r="CL222" s="1719">
        <v>2838767</v>
      </c>
      <c r="CM222" s="1716">
        <v>0.60963024254709341</v>
      </c>
      <c r="CN222" s="1719">
        <f>CN219-CN220</f>
        <v>946691</v>
      </c>
      <c r="CO222" s="1716">
        <f>CN222/CN$219</f>
        <v>0.42318080143615527</v>
      </c>
      <c r="CP222" s="1719">
        <f>CP219-CP220</f>
        <v>820590</v>
      </c>
      <c r="CQ222" s="1716">
        <f>CP222/CP$219</f>
        <v>0.59277736120562241</v>
      </c>
      <c r="CR222" s="1719">
        <v>1781317</v>
      </c>
      <c r="CS222" s="1716">
        <v>0.5782723220140682</v>
      </c>
      <c r="CT222" s="1719">
        <f>CT219-CT220</f>
        <v>1412906</v>
      </c>
      <c r="CU222" s="1716">
        <f>CT222/CT$219</f>
        <v>0.83323612581346185</v>
      </c>
      <c r="CV222" s="1719">
        <f>CV219-CV220</f>
        <v>2447531</v>
      </c>
      <c r="CW222" s="1716">
        <f>CV222/CV$219</f>
        <v>0.59177111284442574</v>
      </c>
      <c r="CX222" s="1719">
        <f>CX219-CX220</f>
        <v>1442340</v>
      </c>
      <c r="CY222" s="1716">
        <f>CX222/CX$219</f>
        <v>0.41172412080369469</v>
      </c>
      <c r="CZ222" s="1719">
        <v>370932</v>
      </c>
      <c r="DA222" s="1716">
        <v>0.53255268715623594</v>
      </c>
      <c r="DB222" s="1719">
        <v>1104498</v>
      </c>
      <c r="DC222" s="1716">
        <v>0.47103482422842052</v>
      </c>
      <c r="DD222" s="1719">
        <v>468332</v>
      </c>
      <c r="DE222" s="1716">
        <v>0.55943217273721979</v>
      </c>
      <c r="DF222" s="1719">
        <v>2257545</v>
      </c>
      <c r="DG222" s="1716">
        <v>0.35193733940986704</v>
      </c>
      <c r="DH222" s="1719">
        <v>886217</v>
      </c>
      <c r="DI222" s="1716">
        <v>0.56189758214947383</v>
      </c>
      <c r="DJ222" s="1719">
        <v>561718</v>
      </c>
      <c r="DK222" s="1716">
        <v>0.40806485240904555</v>
      </c>
      <c r="DL222" s="1719">
        <v>776509</v>
      </c>
      <c r="DM222" s="1716">
        <v>0.47608884518064498</v>
      </c>
      <c r="DN222" s="1719">
        <f>DN219-DN220</f>
        <v>422440</v>
      </c>
      <c r="DO222" s="1716">
        <f>DN222/DN$219</f>
        <v>0.57768387657005327</v>
      </c>
      <c r="DP222" s="1719">
        <f>DP219-DP220</f>
        <v>272940</v>
      </c>
      <c r="DQ222" s="1716">
        <f>DP222/DP$219</f>
        <v>0.50739792646132054</v>
      </c>
      <c r="DR222" s="1719">
        <f>DR219-DR220</f>
        <v>401481</v>
      </c>
      <c r="DS222" s="1716">
        <f>DR222/DR$219</f>
        <v>0.24609342675723006</v>
      </c>
      <c r="DT222" s="1719">
        <f>DT219-DT220</f>
        <v>1243964</v>
      </c>
      <c r="DU222" s="1716">
        <f>DT222/DT$219</f>
        <v>0.35914663827285886</v>
      </c>
      <c r="DV222" s="1719">
        <f>DV219-DV220</f>
        <v>515129</v>
      </c>
      <c r="DW222" s="1716">
        <f>DV222/DV$219</f>
        <v>0.61990839687307453</v>
      </c>
      <c r="DX222" s="1719">
        <f>DX219-DX220</f>
        <v>1023875</v>
      </c>
      <c r="DY222" s="1716">
        <f>DX222/DX$219</f>
        <v>0.43070411894269423</v>
      </c>
      <c r="DZ222" s="1719">
        <f>DZ219-DZ220</f>
        <v>1938885</v>
      </c>
      <c r="EA222" s="1716">
        <f>DZ222/DZ$219</f>
        <v>0.41992230435148908</v>
      </c>
      <c r="EB222" s="1719">
        <f>EB219-EB220</f>
        <v>1182478</v>
      </c>
      <c r="EC222" s="1716">
        <f>EB222/EB$219</f>
        <v>0.41001019063314725</v>
      </c>
      <c r="ED222" s="1719">
        <f>ED219-ED220</f>
        <v>464027</v>
      </c>
      <c r="EE222" s="1716">
        <f>ED222/ED$219</f>
        <v>0.50788155665395573</v>
      </c>
      <c r="EF222" s="1719">
        <f>EF219-EF220</f>
        <v>629634</v>
      </c>
      <c r="EG222" s="1716">
        <f>EF222/EF$219</f>
        <v>0.37276477539411706</v>
      </c>
      <c r="EH222" s="1719">
        <f>EH219-EH220</f>
        <v>3650849</v>
      </c>
      <c r="EI222" s="1716">
        <f>EH222/EH$219</f>
        <v>0.47324070256142564</v>
      </c>
      <c r="EJ222" s="1719">
        <f>EJ219-EJ220</f>
        <v>296068</v>
      </c>
      <c r="EK222" s="1716">
        <f>EJ222/EJ$219</f>
        <v>0.16439107650313881</v>
      </c>
      <c r="EL222" s="1719">
        <f>EL219-EL220</f>
        <v>1560999</v>
      </c>
      <c r="EM222" s="1716">
        <f>EL222/EL$219</f>
        <v>0.32081120690239834</v>
      </c>
      <c r="EN222" s="1719">
        <f>EN219-EN220</f>
        <v>871316</v>
      </c>
      <c r="EO222" s="1716">
        <f>EN222/EN$219</f>
        <v>0.55597981587215695</v>
      </c>
      <c r="EP222" s="1719">
        <f>EP219-EP220</f>
        <v>1204332</v>
      </c>
      <c r="EQ222" s="1716">
        <f>EP222/EP$219</f>
        <v>0.57636226155038905</v>
      </c>
      <c r="ER222" s="1719">
        <f>ER219-ER220</f>
        <v>428999</v>
      </c>
      <c r="ES222" s="1716">
        <f>ER222/ER$219</f>
        <v>0.54867977617905672</v>
      </c>
      <c r="ET222" s="1719">
        <f>ET219-ET220</f>
        <v>1707958</v>
      </c>
      <c r="EU222" s="1716">
        <f>ET222/ET$219</f>
        <v>0.53490480621281533</v>
      </c>
      <c r="EV222" s="1719">
        <f>EV219-EV220</f>
        <v>753233</v>
      </c>
      <c r="EW222" s="1716">
        <f>EV222/EV$219</f>
        <v>0.51150322527633341</v>
      </c>
      <c r="EX222" s="1719">
        <f>EX219-EX220</f>
        <v>545674</v>
      </c>
      <c r="EY222" s="1716">
        <f>EX222/EX$219</f>
        <v>0.54193303625076095</v>
      </c>
      <c r="EZ222" s="1719">
        <f>EZ219-EZ220</f>
        <v>444468</v>
      </c>
      <c r="FA222" s="1716">
        <f>EZ222/EZ$219</f>
        <v>0.26306092385125246</v>
      </c>
      <c r="FB222" s="1719">
        <f>FB219-FB220</f>
        <v>393223</v>
      </c>
      <c r="FC222" s="1716">
        <f>FB222/FB$219</f>
        <v>0.48558938483671593</v>
      </c>
      <c r="FD222" s="1719">
        <f>FD219-FD220</f>
        <v>620456</v>
      </c>
      <c r="FE222" s="1716">
        <f>FD222/FD$219</f>
        <v>0.51298468295215716</v>
      </c>
      <c r="FF222" s="1719">
        <f>FF219-FF220</f>
        <v>1149236</v>
      </c>
      <c r="FG222" s="1716">
        <f>FF222/FF$219</f>
        <v>0.54300172458598128</v>
      </c>
      <c r="FH222" s="1719">
        <f>FH219-FH220</f>
        <v>642346</v>
      </c>
      <c r="FI222" s="1716">
        <f>FH222/FH$219</f>
        <v>0.613735492544073</v>
      </c>
      <c r="FJ222" s="1719">
        <f>FJ219-FJ220</f>
        <v>677562</v>
      </c>
      <c r="FK222" s="1716">
        <f>FJ222/FJ$219</f>
        <v>0.58249627752311717</v>
      </c>
      <c r="FL222" s="1719">
        <f>FL219-FL220</f>
        <v>448888</v>
      </c>
      <c r="FM222" s="1716">
        <f>FL222/FL$219</f>
        <v>0.47806833503379265</v>
      </c>
      <c r="FN222" s="1719">
        <f>FN219-FN220</f>
        <v>1557907</v>
      </c>
      <c r="FO222" s="1716">
        <f>FN222/FN$219</f>
        <v>0.47266093958346922</v>
      </c>
      <c r="FP222" s="1719">
        <f>FP219-FP220</f>
        <v>228874</v>
      </c>
      <c r="FQ222" s="1716">
        <f>FP222/FP$219</f>
        <v>0.44367206021753836</v>
      </c>
      <c r="FR222" s="1719">
        <f>FR219-FR220</f>
        <v>2060090</v>
      </c>
      <c r="FS222" s="1716">
        <f>FR222/FR$219</f>
        <v>0.58292099134117181</v>
      </c>
      <c r="FT222" s="1719">
        <f>FT219-FT220</f>
        <v>1680909</v>
      </c>
      <c r="FU222" s="1716">
        <f>FT222/FT$219</f>
        <v>0.53277268202018302</v>
      </c>
      <c r="FV222" s="1719">
        <f>FV219-FV220</f>
        <v>1108417</v>
      </c>
      <c r="FW222" s="1716">
        <f>FV222/FV$219</f>
        <v>0.20714601682671149</v>
      </c>
      <c r="FX222" s="1719">
        <f>FX219-FX220</f>
        <v>653113</v>
      </c>
      <c r="FY222" s="1716">
        <f>FX222/FX$219</f>
        <v>0.53565377000562631</v>
      </c>
      <c r="FZ222" s="1719">
        <f>FZ219-FZ220</f>
        <v>493109</v>
      </c>
      <c r="GA222" s="1716">
        <f>FZ222/FZ$219</f>
        <v>0.45186791878805205</v>
      </c>
      <c r="GB222" s="1719">
        <f>GB219-GB220</f>
        <v>267564</v>
      </c>
      <c r="GC222" s="1716">
        <f>GB222/GB$219</f>
        <v>0.5829115950964352</v>
      </c>
      <c r="GD222" s="1719">
        <f>GD219-GD220</f>
        <v>1048382</v>
      </c>
      <c r="GE222" s="1716">
        <f>GD222/GD$219</f>
        <v>0.33057252398221232</v>
      </c>
      <c r="GF222" s="1719">
        <f>GF219-GF220</f>
        <v>857231</v>
      </c>
      <c r="GG222" s="1716">
        <f>GF222/GF$219</f>
        <v>0.50000524951529479</v>
      </c>
      <c r="GH222" s="1719">
        <f>GH219-GH220</f>
        <v>500442</v>
      </c>
      <c r="GI222" s="1716">
        <f>GH222/GH$219</f>
        <v>0.51076142380658829</v>
      </c>
      <c r="GJ222" s="1719">
        <f>GJ219-GJ220</f>
        <v>3221110</v>
      </c>
      <c r="GK222" s="1716">
        <f>GJ222/GJ$219</f>
        <v>0.37884117840634335</v>
      </c>
      <c r="GL222" s="1719">
        <f>GL219-GL220</f>
        <v>749194</v>
      </c>
      <c r="GM222" s="1716">
        <f>GL222/GL$219</f>
        <v>0.51047010366877776</v>
      </c>
      <c r="GN222" s="1719">
        <f>GN219-GN220</f>
        <v>493401</v>
      </c>
      <c r="GO222" s="1716">
        <f>GN222/GN$219</f>
        <v>0.50879038270569932</v>
      </c>
      <c r="GP222" s="1719">
        <f>GP219-GP220</f>
        <v>725318</v>
      </c>
      <c r="GQ222" s="1716">
        <f>GP222/GP$219</f>
        <v>0.55475731021659702</v>
      </c>
      <c r="GR222" s="1719">
        <f>GR219-GR220</f>
        <v>558798</v>
      </c>
      <c r="GS222" s="1716">
        <f>GR222/GR$219</f>
        <v>0.49476633097754774</v>
      </c>
      <c r="GT222" s="1719">
        <f>GT219-GT220</f>
        <v>1087474</v>
      </c>
      <c r="GU222" s="1716">
        <f>GT222/GT$219</f>
        <v>0.64567255454950279</v>
      </c>
      <c r="GV222" s="1719">
        <f>GV219-GV220</f>
        <v>1107384</v>
      </c>
      <c r="GW222" s="1716">
        <f>GV222/GV$219</f>
        <v>0.5489199642904411</v>
      </c>
      <c r="GX222" s="1719">
        <f>GX219-GX220</f>
        <v>669844</v>
      </c>
      <c r="GY222" s="1716">
        <f>GX222/GX$219</f>
        <v>0.50165998255014965</v>
      </c>
      <c r="GZ222" s="1719">
        <f>GZ219-GZ220</f>
        <v>1573650</v>
      </c>
      <c r="HA222" s="1716">
        <f>GZ222/GZ$219</f>
        <v>0.54328462708023484</v>
      </c>
      <c r="HB222" s="1719">
        <f>HB219-HB220</f>
        <v>197523</v>
      </c>
      <c r="HC222" s="1716">
        <f>HB222/HB$219</f>
        <v>0.58428385493699342</v>
      </c>
      <c r="HD222" s="1719">
        <f>HD219-HD220</f>
        <v>514104</v>
      </c>
      <c r="HE222" s="1716">
        <f>HD222/HD$219</f>
        <v>0.45622622823380327</v>
      </c>
      <c r="HF222" s="2036">
        <f>HF219-HF220</f>
        <v>1979627</v>
      </c>
      <c r="HG222" s="2033">
        <f>HF222/HF$219</f>
        <v>0.3358063287671465</v>
      </c>
      <c r="HH222" s="1719">
        <f>HH219-HH220</f>
        <v>971274</v>
      </c>
      <c r="HI222" s="1716">
        <f>HH222/HH$219</f>
        <v>0.49117847556128241</v>
      </c>
      <c r="HJ222" s="1719">
        <f>HJ219-HJ220</f>
        <v>1925213</v>
      </c>
      <c r="HK222" s="1716">
        <f>HJ222/HJ$219</f>
        <v>0.52608175034403304</v>
      </c>
      <c r="HL222" s="1719">
        <f>HL219-HL220</f>
        <v>1035847</v>
      </c>
      <c r="HM222" s="1716">
        <f>HL222/HL$219</f>
        <v>0.71253349952399037</v>
      </c>
      <c r="HN222" s="1719">
        <f>HN219-HN220</f>
        <v>526699</v>
      </c>
      <c r="HO222" s="1716">
        <f>HN222/HN$219</f>
        <v>0.53829219909184101</v>
      </c>
      <c r="HP222" s="2036">
        <f>HP219-HP220</f>
        <v>1891245</v>
      </c>
      <c r="HQ222" s="2033">
        <f>HP222/HP$219</f>
        <v>0.40251142252222571</v>
      </c>
      <c r="HR222" s="1719">
        <f>HR219-HR220</f>
        <v>606670</v>
      </c>
      <c r="HS222" s="1716">
        <f>HR222/HR$219</f>
        <v>0.44927802405648432</v>
      </c>
      <c r="HT222" s="2036">
        <f>HT219-HT220</f>
        <v>1375198</v>
      </c>
      <c r="HU222" s="2033">
        <f>HT222/HT$219</f>
        <v>0.40696059886505415</v>
      </c>
      <c r="HV222" s="2036">
        <f>HV219-HV220</f>
        <v>655043</v>
      </c>
      <c r="HW222" s="2033">
        <f>HV222/HV$219</f>
        <v>0.38687876074625488</v>
      </c>
      <c r="HX222" s="2036">
        <f>HX219-HX220</f>
        <v>570532</v>
      </c>
      <c r="HY222" s="2033">
        <f>HX222/HX$219</f>
        <v>0.37441961651869005</v>
      </c>
      <c r="HZ222" s="2036">
        <f>HZ219-HZ220</f>
        <v>527909</v>
      </c>
      <c r="IA222" s="2033">
        <f>HZ222/HZ$219</f>
        <v>0.43328657737345316</v>
      </c>
      <c r="IB222" s="1719">
        <f>IB219-IB220</f>
        <v>388855</v>
      </c>
      <c r="IC222" s="1716">
        <f>IB222/IB$219</f>
        <v>0.43748298355395648</v>
      </c>
      <c r="ID222" s="2036">
        <f>ID219-ID220</f>
        <v>678113</v>
      </c>
      <c r="IE222" s="2033">
        <f>ID222/ID$219</f>
        <v>0.50335215269664202</v>
      </c>
      <c r="IF222" s="2036">
        <f>IF219-IF220</f>
        <v>1005199</v>
      </c>
      <c r="IG222" s="2033">
        <f>IF222/IF$219</f>
        <v>0.60525643943636187</v>
      </c>
    </row>
    <row r="223" spans="1:241" ht="16.2" thickTop="1">
      <c r="A223" s="1149"/>
      <c r="B223" s="1149"/>
      <c r="C223" s="1149"/>
      <c r="D223" s="1149"/>
      <c r="E223" s="1143"/>
      <c r="F223" s="1717"/>
      <c r="G223" s="1356"/>
      <c r="H223" s="1717"/>
      <c r="I223" s="1356"/>
      <c r="J223" s="1717"/>
      <c r="K223" s="1356"/>
      <c r="L223" s="1717"/>
      <c r="M223" s="1356"/>
      <c r="N223" s="1717"/>
      <c r="O223" s="1356"/>
      <c r="P223" s="1717"/>
      <c r="Q223" s="1356"/>
      <c r="R223" s="1717"/>
      <c r="T223" s="1717"/>
      <c r="U223" s="1356"/>
      <c r="V223" s="1717"/>
      <c r="W223" s="1356"/>
      <c r="X223" s="1717"/>
      <c r="Y223" s="1356"/>
      <c r="Z223" s="1717"/>
      <c r="AA223" s="1356"/>
      <c r="AB223" s="1717"/>
      <c r="AC223" s="1356"/>
      <c r="AD223" s="1717"/>
      <c r="AE223" s="1356"/>
      <c r="AF223" s="1717"/>
      <c r="AG223" s="1356"/>
      <c r="AH223" s="1717"/>
      <c r="AI223" s="1356"/>
      <c r="AJ223" s="1717"/>
      <c r="AK223" s="1356"/>
      <c r="AL223" s="1717"/>
      <c r="AM223" s="1356"/>
      <c r="AN223" s="1717"/>
      <c r="AO223" s="1356"/>
      <c r="AP223" s="1717"/>
      <c r="AQ223" s="1356"/>
      <c r="AR223" s="1717"/>
      <c r="AS223" s="1356"/>
      <c r="AT223" s="1717"/>
      <c r="AU223" s="1356"/>
      <c r="AV223" s="1717"/>
      <c r="AW223" s="1356"/>
      <c r="AX223" s="1717"/>
      <c r="AY223" s="1356"/>
      <c r="AZ223" s="1717"/>
      <c r="BA223" s="1356"/>
      <c r="BB223" s="1717"/>
      <c r="BC223" s="1356"/>
      <c r="BD223" s="1717"/>
      <c r="BE223" s="1356"/>
      <c r="BF223" s="1717"/>
      <c r="BG223" s="1356"/>
      <c r="BH223" s="1717"/>
      <c r="BI223" s="1356"/>
      <c r="BJ223" s="1717"/>
      <c r="BK223" s="1356"/>
      <c r="BL223" s="1717"/>
      <c r="BM223" s="1356"/>
      <c r="BN223" s="1717"/>
      <c r="BO223" s="1356"/>
      <c r="BP223" s="1717"/>
      <c r="BQ223" s="1356"/>
      <c r="BR223" s="1717"/>
      <c r="BS223" s="1356"/>
      <c r="BT223" s="1717"/>
      <c r="BU223" s="1356"/>
      <c r="BV223" s="1717"/>
      <c r="BW223" s="1356"/>
      <c r="BX223" s="1717"/>
      <c r="BY223" s="1356"/>
      <c r="BZ223" s="1717"/>
      <c r="CA223" s="1356"/>
      <c r="CB223" s="1717"/>
      <c r="CC223" s="1356"/>
      <c r="CD223" s="1717"/>
      <c r="CE223" s="1356"/>
      <c r="CF223" s="1717"/>
      <c r="CG223" s="1356"/>
      <c r="CH223" s="1717"/>
      <c r="CI223" s="1356"/>
      <c r="CJ223" s="1717"/>
      <c r="CK223" s="1356"/>
      <c r="CL223" s="1717"/>
      <c r="CM223" s="1356"/>
      <c r="CN223" s="1717"/>
      <c r="CO223" s="1356"/>
      <c r="CP223" s="1717"/>
      <c r="CQ223" s="1356"/>
      <c r="CR223" s="1717"/>
      <c r="CS223" s="1356"/>
      <c r="CT223" s="1717"/>
      <c r="CU223" s="1356"/>
      <c r="CV223" s="1717"/>
      <c r="CW223" s="1356"/>
      <c r="CX223" s="1717"/>
      <c r="CY223" s="1356"/>
      <c r="CZ223" s="1717"/>
      <c r="DA223" s="1356"/>
      <c r="DB223" s="1717"/>
      <c r="DC223" s="1356"/>
      <c r="DD223" s="1717"/>
      <c r="DE223" s="1356"/>
      <c r="DF223" s="1717"/>
      <c r="DG223" s="1356"/>
      <c r="DH223" s="1717"/>
      <c r="DI223" s="1356"/>
      <c r="DJ223" s="1717"/>
      <c r="DK223" s="1356"/>
      <c r="DL223" s="1717"/>
      <c r="DM223" s="1356"/>
      <c r="DN223" s="1717"/>
      <c r="DO223" s="1356"/>
      <c r="DP223" s="1717"/>
      <c r="DQ223" s="1356"/>
      <c r="DR223" s="1717"/>
      <c r="DS223" s="1356"/>
      <c r="DT223" s="1717"/>
      <c r="DU223" s="1356"/>
      <c r="DV223" s="1717"/>
      <c r="DW223" s="1356"/>
      <c r="DX223" s="1717"/>
      <c r="DY223" s="1356"/>
      <c r="DZ223" s="1717"/>
      <c r="EA223" s="1356"/>
      <c r="EB223" s="1717"/>
      <c r="EC223" s="1356"/>
      <c r="ED223" s="1717"/>
      <c r="EE223" s="1356"/>
      <c r="EF223" s="1717"/>
      <c r="EG223" s="1356"/>
      <c r="EH223" s="1717"/>
      <c r="EI223" s="1356"/>
      <c r="EJ223" s="1717"/>
      <c r="EK223" s="1356"/>
      <c r="EL223" s="1717"/>
      <c r="EM223" s="1356"/>
      <c r="EN223" s="1717"/>
      <c r="EO223" s="1356"/>
      <c r="EP223" s="1717"/>
      <c r="EQ223" s="1356"/>
      <c r="ER223" s="1717"/>
      <c r="ES223" s="1356"/>
      <c r="ET223" s="1717"/>
      <c r="EU223" s="1356"/>
      <c r="EV223" s="1717"/>
      <c r="EW223" s="1356"/>
      <c r="EX223" s="1717"/>
      <c r="EY223" s="1356"/>
      <c r="EZ223" s="1717"/>
      <c r="FA223" s="1356"/>
      <c r="FB223" s="1717"/>
      <c r="FC223" s="1356"/>
      <c r="FD223" s="1717"/>
      <c r="FE223" s="1356"/>
      <c r="FF223" s="1717"/>
      <c r="FG223" s="1356"/>
      <c r="FH223" s="1717"/>
      <c r="FI223" s="1356"/>
      <c r="FJ223" s="1717"/>
      <c r="FK223" s="1356"/>
      <c r="FL223" s="1717"/>
      <c r="FM223" s="1356"/>
      <c r="FN223" s="1717"/>
      <c r="FO223" s="1356"/>
      <c r="FP223" s="1717"/>
      <c r="FQ223" s="1356"/>
      <c r="FR223" s="1717"/>
      <c r="FS223" s="1356"/>
      <c r="FT223" s="1717"/>
      <c r="FU223" s="1356"/>
      <c r="FV223" s="1717"/>
      <c r="FW223" s="1356"/>
      <c r="FX223" s="1717"/>
      <c r="FY223" s="1356"/>
      <c r="FZ223" s="1717"/>
      <c r="GA223" s="1356"/>
      <c r="GB223" s="1717"/>
      <c r="GC223" s="1356"/>
      <c r="GD223" s="1717"/>
      <c r="GE223" s="1356"/>
      <c r="GF223" s="1717"/>
      <c r="GG223" s="1356"/>
      <c r="GH223" s="1717"/>
      <c r="GI223" s="1356"/>
      <c r="GJ223" s="1717"/>
      <c r="GK223" s="1356"/>
      <c r="GL223" s="1717"/>
      <c r="GM223" s="1356"/>
      <c r="GN223" s="1717"/>
      <c r="GO223" s="1356"/>
      <c r="GP223" s="1717"/>
      <c r="GQ223" s="1356"/>
      <c r="GR223" s="1717"/>
      <c r="GS223" s="1356"/>
      <c r="GT223" s="1717"/>
      <c r="GU223" s="1356"/>
      <c r="GV223" s="1717"/>
      <c r="GW223" s="1356"/>
      <c r="GX223" s="1717"/>
      <c r="GY223" s="1356"/>
      <c r="GZ223" s="1717"/>
      <c r="HA223" s="1356"/>
      <c r="HB223" s="1717"/>
      <c r="HC223" s="1356"/>
      <c r="HD223" s="1717"/>
      <c r="HE223" s="1356"/>
      <c r="HF223" s="2034"/>
      <c r="HH223" s="1717"/>
      <c r="HI223" s="1356"/>
      <c r="HJ223" s="1717"/>
      <c r="HK223" s="1356"/>
      <c r="HL223" s="1717"/>
      <c r="HM223" s="1356"/>
      <c r="HN223" s="1717"/>
      <c r="HO223" s="1356"/>
      <c r="HP223" s="2034"/>
      <c r="HR223" s="1717"/>
      <c r="HS223" s="1356"/>
      <c r="HT223" s="2034"/>
      <c r="HV223" s="2034"/>
      <c r="HX223" s="2034"/>
      <c r="HZ223" s="2034"/>
      <c r="IB223" s="1717"/>
      <c r="IC223" s="1356"/>
      <c r="ID223" s="2034"/>
      <c r="IF223" s="2034"/>
    </row>
    <row r="224" spans="1:241">
      <c r="A224" s="1149"/>
      <c r="B224" s="1149" t="s">
        <v>12</v>
      </c>
      <c r="C224" s="1149"/>
      <c r="D224" s="1149"/>
      <c r="E224" s="1143"/>
      <c r="F224" s="1722">
        <f>F137</f>
        <v>607086</v>
      </c>
      <c r="G224" s="1716">
        <f>F224/F$224</f>
        <v>1</v>
      </c>
      <c r="H224" s="1722">
        <f>H137</f>
        <v>1271627</v>
      </c>
      <c r="I224" s="1716">
        <f>H224/H$224</f>
        <v>1</v>
      </c>
      <c r="J224" s="1722">
        <f>J137</f>
        <v>479470</v>
      </c>
      <c r="K224" s="1716">
        <f>J224/J$224</f>
        <v>1</v>
      </c>
      <c r="L224" s="1722">
        <f>L137</f>
        <v>1676245</v>
      </c>
      <c r="M224" s="1716">
        <f>L224/L$224</f>
        <v>1</v>
      </c>
      <c r="N224" s="1722">
        <f>N137</f>
        <v>195827</v>
      </c>
      <c r="O224" s="1716">
        <f>N224/N$224</f>
        <v>1</v>
      </c>
      <c r="P224" s="1722">
        <f>P137</f>
        <v>2200524</v>
      </c>
      <c r="Q224" s="1716">
        <f>P224/P$224</f>
        <v>1</v>
      </c>
      <c r="R224" s="1722">
        <f>R137</f>
        <v>1710105</v>
      </c>
      <c r="S224" s="1716">
        <f>R224/R$224</f>
        <v>1</v>
      </c>
      <c r="T224" s="1722">
        <f>T137</f>
        <v>1351598</v>
      </c>
      <c r="U224" s="1716">
        <f>T224/T$224</f>
        <v>1</v>
      </c>
      <c r="V224" s="1722">
        <f>V137</f>
        <v>386708</v>
      </c>
      <c r="W224" s="1716">
        <f>V224/V$224</f>
        <v>1</v>
      </c>
      <c r="X224" s="1722">
        <f>X137</f>
        <v>2940717</v>
      </c>
      <c r="Y224" s="1716">
        <f>X224/X$224</f>
        <v>1</v>
      </c>
      <c r="Z224" s="1722">
        <f>Z137</f>
        <v>1035807</v>
      </c>
      <c r="AA224" s="1716">
        <f>Z224/Z$224</f>
        <v>1</v>
      </c>
      <c r="AB224" s="1722">
        <f>AB137</f>
        <v>438092</v>
      </c>
      <c r="AC224" s="1716">
        <f>AB224/AB$224</f>
        <v>1</v>
      </c>
      <c r="AD224" s="1722">
        <f>AD137</f>
        <v>727244</v>
      </c>
      <c r="AE224" s="1716">
        <f>AD224/AD$224</f>
        <v>1</v>
      </c>
      <c r="AF224" s="1722">
        <f>AF137</f>
        <v>1419005</v>
      </c>
      <c r="AG224" s="1716">
        <f>AF224/AF$224</f>
        <v>1</v>
      </c>
      <c r="AH224" s="1722">
        <f>AH137</f>
        <v>502963</v>
      </c>
      <c r="AI224" s="1716">
        <f>AH224/AH$224</f>
        <v>1</v>
      </c>
      <c r="AJ224" s="1722">
        <f>AJ137</f>
        <v>232613</v>
      </c>
      <c r="AK224" s="1716">
        <f>AJ224/AJ$224</f>
        <v>1</v>
      </c>
      <c r="AL224" s="1722">
        <f>AL137</f>
        <v>966862</v>
      </c>
      <c r="AM224" s="1716">
        <f>AL224/AL$224</f>
        <v>1</v>
      </c>
      <c r="AN224" s="1722">
        <f>AN137</f>
        <v>661383</v>
      </c>
      <c r="AO224" s="1716">
        <f>AN224/AN$224</f>
        <v>1</v>
      </c>
      <c r="AP224" s="1722">
        <f>AP137</f>
        <v>760237</v>
      </c>
      <c r="AQ224" s="1716">
        <f>AP224/AP$224</f>
        <v>1</v>
      </c>
      <c r="AR224" s="1722">
        <f>AR137</f>
        <v>796353</v>
      </c>
      <c r="AS224" s="1716">
        <f>AR224/AR$224</f>
        <v>1</v>
      </c>
      <c r="AT224" s="1722">
        <f>AT137</f>
        <v>1844163</v>
      </c>
      <c r="AU224" s="1716">
        <f>AT224/AT$224</f>
        <v>1</v>
      </c>
      <c r="AV224" s="1722">
        <f>AV137</f>
        <v>657003</v>
      </c>
      <c r="AW224" s="1716">
        <f>AV224/AV$224</f>
        <v>1</v>
      </c>
      <c r="AX224" s="1722">
        <f>AX137</f>
        <v>2053454</v>
      </c>
      <c r="AY224" s="1716">
        <f>AX224/AX$224</f>
        <v>1</v>
      </c>
      <c r="AZ224" s="1722">
        <f>AZ137</f>
        <v>1021674</v>
      </c>
      <c r="BA224" s="1716">
        <f>AZ224/AZ$224</f>
        <v>1</v>
      </c>
      <c r="BB224" s="1722">
        <f>BB137</f>
        <v>781384</v>
      </c>
      <c r="BC224" s="1716">
        <f>BB224/BB$224</f>
        <v>1</v>
      </c>
      <c r="BD224" s="1722">
        <f>BD137</f>
        <v>981874</v>
      </c>
      <c r="BE224" s="1716">
        <f>BD224/BD$224</f>
        <v>1</v>
      </c>
      <c r="BF224" s="1722">
        <f>BF137</f>
        <v>526643</v>
      </c>
      <c r="BG224" s="1716">
        <f>BF224/BF$224</f>
        <v>1</v>
      </c>
      <c r="BH224" s="1722">
        <f>BH137</f>
        <v>688350</v>
      </c>
      <c r="BI224" s="1716">
        <f>BH224/BH$224</f>
        <v>1</v>
      </c>
      <c r="BJ224" s="1722">
        <f>BJ137</f>
        <v>1426360</v>
      </c>
      <c r="BK224" s="1716">
        <f>BJ224/BJ$224</f>
        <v>1</v>
      </c>
      <c r="BL224" s="1722">
        <f>BL137</f>
        <v>1604968</v>
      </c>
      <c r="BM224" s="1716">
        <f>BL224/BL$224</f>
        <v>1</v>
      </c>
      <c r="BN224" s="1722">
        <f>BN137</f>
        <v>0</v>
      </c>
      <c r="BO224" s="1716" t="e">
        <f>BN224/BN$224</f>
        <v>#DIV/0!</v>
      </c>
      <c r="BP224" s="1722">
        <f>BP137</f>
        <v>1398606</v>
      </c>
      <c r="BQ224" s="1716">
        <f>BP224/BP$224</f>
        <v>1</v>
      </c>
      <c r="BR224" s="1722">
        <f>BR137</f>
        <v>93753</v>
      </c>
      <c r="BS224" s="1716">
        <f>BR224/BR$224</f>
        <v>1</v>
      </c>
      <c r="BT224" s="1722">
        <f>BT137</f>
        <v>419107</v>
      </c>
      <c r="BU224" s="1716">
        <f>BT224/BT$224</f>
        <v>1</v>
      </c>
      <c r="BV224" s="1722">
        <f>BV137</f>
        <v>428689</v>
      </c>
      <c r="BW224" s="1716">
        <f>BV224/BV$224</f>
        <v>1</v>
      </c>
      <c r="BX224" s="1722">
        <f>BX137</f>
        <v>2086306</v>
      </c>
      <c r="BY224" s="1716">
        <f>BX224/BX$224</f>
        <v>1</v>
      </c>
      <c r="BZ224" s="1722">
        <f>BZ137</f>
        <v>1260386</v>
      </c>
      <c r="CA224" s="1716">
        <f>BZ224/BZ$224</f>
        <v>1</v>
      </c>
      <c r="CB224" s="1722">
        <f>CB137</f>
        <v>412539</v>
      </c>
      <c r="CC224" s="1716">
        <f>CB224/CB$224</f>
        <v>1</v>
      </c>
      <c r="CD224" s="1722">
        <f>CD137</f>
        <v>681930</v>
      </c>
      <c r="CE224" s="1716">
        <f>CD224/CD$224</f>
        <v>1</v>
      </c>
      <c r="CF224" s="1722">
        <v>751526</v>
      </c>
      <c r="CG224" s="1716">
        <v>1</v>
      </c>
      <c r="CH224" s="1722">
        <v>673348</v>
      </c>
      <c r="CI224" s="1716">
        <v>1</v>
      </c>
      <c r="CJ224" s="1722">
        <v>744918</v>
      </c>
      <c r="CK224" s="1716">
        <v>1</v>
      </c>
      <c r="CL224" s="1722">
        <v>2845805</v>
      </c>
      <c r="CM224" s="1716">
        <v>1</v>
      </c>
      <c r="CN224" s="1722">
        <f>CN137</f>
        <v>1143416</v>
      </c>
      <c r="CO224" s="1716">
        <f>CN224/CN$224</f>
        <v>1</v>
      </c>
      <c r="CP224" s="1722">
        <f>CP137</f>
        <v>573307</v>
      </c>
      <c r="CQ224" s="1716">
        <f>CP224/CP$224</f>
        <v>1</v>
      </c>
      <c r="CR224" s="1722">
        <v>1335207</v>
      </c>
      <c r="CS224" s="1716">
        <v>1</v>
      </c>
      <c r="CT224" s="1722">
        <f>CT137</f>
        <v>796301</v>
      </c>
      <c r="CU224" s="1716">
        <f>CT224/CT$224</f>
        <v>1</v>
      </c>
      <c r="CV224" s="1722">
        <f>CV137</f>
        <v>2698381</v>
      </c>
      <c r="CW224" s="1716">
        <f>CV224/CV$224</f>
        <v>1</v>
      </c>
      <c r="CX224" s="1722">
        <f>CX137</f>
        <v>676569</v>
      </c>
      <c r="CY224" s="1716">
        <f>CX224/CX$224</f>
        <v>1</v>
      </c>
      <c r="CZ224" s="1722">
        <v>275429</v>
      </c>
      <c r="DA224" s="1716">
        <v>1</v>
      </c>
      <c r="DB224" s="1722">
        <v>1019876</v>
      </c>
      <c r="DC224" s="1716">
        <v>1</v>
      </c>
      <c r="DD224" s="1722">
        <v>414002</v>
      </c>
      <c r="DE224" s="1716">
        <v>1</v>
      </c>
      <c r="DF224" s="1722">
        <v>1305425</v>
      </c>
      <c r="DG224" s="1716">
        <v>1</v>
      </c>
      <c r="DH224" s="1722">
        <v>720169</v>
      </c>
      <c r="DI224" s="1716">
        <v>1</v>
      </c>
      <c r="DJ224" s="1722">
        <v>619391</v>
      </c>
      <c r="DK224" s="1716">
        <v>1</v>
      </c>
      <c r="DL224" s="1722">
        <v>631636</v>
      </c>
      <c r="DM224" s="1716">
        <v>1</v>
      </c>
      <c r="DN224" s="1722">
        <f>DN137</f>
        <v>593443</v>
      </c>
      <c r="DO224" s="1716">
        <f>DN224/DN$224</f>
        <v>1</v>
      </c>
      <c r="DP224" s="1722">
        <f>DP137</f>
        <v>79466</v>
      </c>
      <c r="DQ224" s="1716">
        <f>DP224/DP$224</f>
        <v>1</v>
      </c>
      <c r="DR224" s="1722">
        <f>DR137</f>
        <v>260019</v>
      </c>
      <c r="DS224" s="1716">
        <f>DR224/DR$224</f>
        <v>1</v>
      </c>
      <c r="DT224" s="1722">
        <f>DT137</f>
        <v>497752</v>
      </c>
      <c r="DU224" s="1716">
        <f>DT224/DT$224</f>
        <v>1</v>
      </c>
      <c r="DV224" s="1722">
        <f>DV137</f>
        <v>438604</v>
      </c>
      <c r="DW224" s="1716">
        <f>DV224/DV$224</f>
        <v>1</v>
      </c>
      <c r="DX224" s="1722">
        <f>DX137</f>
        <v>817241</v>
      </c>
      <c r="DY224" s="1716">
        <f>DX224/DX$224</f>
        <v>1</v>
      </c>
      <c r="DZ224" s="1722">
        <f>DZ137</f>
        <v>668756</v>
      </c>
      <c r="EA224" s="1716">
        <f>DZ224/DZ$224</f>
        <v>1</v>
      </c>
      <c r="EB224" s="1722">
        <f>EB137</f>
        <v>978723</v>
      </c>
      <c r="EC224" s="1716">
        <f>EB224/EB$224</f>
        <v>1</v>
      </c>
      <c r="ED224" s="1722">
        <f>ED137</f>
        <v>426055</v>
      </c>
      <c r="EE224" s="1716">
        <f>ED224/ED$224</f>
        <v>1</v>
      </c>
      <c r="EF224" s="1722">
        <f>EF137</f>
        <v>281931</v>
      </c>
      <c r="EG224" s="1716">
        <f>EF224/EF$224</f>
        <v>1</v>
      </c>
      <c r="EH224" s="1722">
        <f>EH137</f>
        <v>1592328</v>
      </c>
      <c r="EI224" s="1716">
        <f>EH224/EH$224</f>
        <v>1</v>
      </c>
      <c r="EJ224" s="1722">
        <f>EJ137</f>
        <v>405323</v>
      </c>
      <c r="EK224" s="1716">
        <f>EJ224/EJ$224</f>
        <v>1</v>
      </c>
      <c r="EL224" s="1722">
        <f>EL137</f>
        <v>1016666</v>
      </c>
      <c r="EM224" s="1716">
        <f>EL224/EL$224</f>
        <v>1</v>
      </c>
      <c r="EN224" s="1722">
        <f>EN137</f>
        <v>1036296</v>
      </c>
      <c r="EO224" s="1716">
        <f>EN224/EN$224</f>
        <v>1</v>
      </c>
      <c r="EP224" s="1722">
        <f>EP137</f>
        <v>669205</v>
      </c>
      <c r="EQ224" s="1716">
        <f>EP224/EP$224</f>
        <v>1</v>
      </c>
      <c r="ER224" s="1722">
        <f>ER137</f>
        <v>311926</v>
      </c>
      <c r="ES224" s="1716">
        <f>ER224/ER$224</f>
        <v>1</v>
      </c>
      <c r="ET224" s="1722">
        <f>ET137</f>
        <v>1425514</v>
      </c>
      <c r="EU224" s="1716">
        <f>ET224/ET$224</f>
        <v>1</v>
      </c>
      <c r="EV224" s="1722">
        <f>EV137</f>
        <v>758896</v>
      </c>
      <c r="EW224" s="1716">
        <f>EV224/EV$224</f>
        <v>1</v>
      </c>
      <c r="EX224" s="1722">
        <f>EX137</f>
        <v>530305</v>
      </c>
      <c r="EY224" s="1716">
        <f>EX224/EX$224</f>
        <v>1</v>
      </c>
      <c r="EZ224" s="1722">
        <f>EZ137</f>
        <v>320835</v>
      </c>
      <c r="FA224" s="1716">
        <f>EZ224/EZ$224</f>
        <v>1</v>
      </c>
      <c r="FB224" s="1722">
        <f>FB137</f>
        <v>445546</v>
      </c>
      <c r="FC224" s="1716">
        <f>FB224/FB$224</f>
        <v>1</v>
      </c>
      <c r="FD224" s="1722">
        <f>FD137</f>
        <v>840329</v>
      </c>
      <c r="FE224" s="1716">
        <f>FD224/FD$224</f>
        <v>1</v>
      </c>
      <c r="FF224" s="1722">
        <f>FF137</f>
        <v>1329520</v>
      </c>
      <c r="FG224" s="1716">
        <f>FF224/FF$224</f>
        <v>1</v>
      </c>
      <c r="FH224" s="1722">
        <f>FH137</f>
        <v>481340</v>
      </c>
      <c r="FI224" s="1716">
        <f>FH224/FH$224</f>
        <v>1</v>
      </c>
      <c r="FJ224" s="1722">
        <f>FJ137</f>
        <v>722749</v>
      </c>
      <c r="FK224" s="1716">
        <f>FJ224/FJ$224</f>
        <v>1</v>
      </c>
      <c r="FL224" s="1722">
        <f>FL137</f>
        <v>405185</v>
      </c>
      <c r="FM224" s="1716">
        <f>FL224/FL$224</f>
        <v>1</v>
      </c>
      <c r="FN224" s="1722">
        <f>FN137</f>
        <v>1405244</v>
      </c>
      <c r="FO224" s="1716">
        <f>FN224/FN$224</f>
        <v>1</v>
      </c>
      <c r="FP224" s="1722">
        <f>FP137</f>
        <v>279257</v>
      </c>
      <c r="FQ224" s="1716">
        <f>FP224/FP$224</f>
        <v>1</v>
      </c>
      <c r="FR224" s="1722">
        <f>FR137</f>
        <v>2589489</v>
      </c>
      <c r="FS224" s="1716">
        <f>FR224/FR$224</f>
        <v>1</v>
      </c>
      <c r="FT224" s="1722">
        <f>FT137</f>
        <v>1561799</v>
      </c>
      <c r="FU224" s="1716">
        <f>FT224/FT$224</f>
        <v>1</v>
      </c>
      <c r="FV224" s="1722">
        <f>FV137</f>
        <v>931734</v>
      </c>
      <c r="FW224" s="1716">
        <f>FV224/FV$224</f>
        <v>1</v>
      </c>
      <c r="FX224" s="1722">
        <f>FX137</f>
        <v>525212</v>
      </c>
      <c r="FY224" s="1716">
        <f>FX224/FX$224</f>
        <v>1</v>
      </c>
      <c r="FZ224" s="1722">
        <f>FZ137</f>
        <v>476629</v>
      </c>
      <c r="GA224" s="1716">
        <f>FZ224/FZ$224</f>
        <v>1</v>
      </c>
      <c r="GB224" s="1722">
        <f>GB137</f>
        <v>252797</v>
      </c>
      <c r="GC224" s="1716">
        <f>GB224/GB$224</f>
        <v>1</v>
      </c>
      <c r="GD224" s="1722">
        <f>GD137</f>
        <v>569531</v>
      </c>
      <c r="GE224" s="1716">
        <f>GD224/GD$224</f>
        <v>1</v>
      </c>
      <c r="GF224" s="1722">
        <f>GF137</f>
        <v>621222</v>
      </c>
      <c r="GG224" s="1716">
        <f>GF224/GF$224</f>
        <v>1</v>
      </c>
      <c r="GH224" s="1722">
        <f>GH137</f>
        <v>267174</v>
      </c>
      <c r="GI224" s="1716">
        <f>GH224/GH$224</f>
        <v>1</v>
      </c>
      <c r="GJ224" s="1722">
        <f>GJ137</f>
        <v>3545141</v>
      </c>
      <c r="GK224" s="1716">
        <f>GJ224/GJ$224</f>
        <v>1</v>
      </c>
      <c r="GL224" s="1722">
        <f>GL137</f>
        <v>702332</v>
      </c>
      <c r="GM224" s="1716">
        <f>GL224/GL$224</f>
        <v>1</v>
      </c>
      <c r="GN224" s="1722">
        <f>GN137</f>
        <v>306323</v>
      </c>
      <c r="GO224" s="1716">
        <f>GN224/GN$224</f>
        <v>1</v>
      </c>
      <c r="GP224" s="1722">
        <f>GP137</f>
        <v>562381</v>
      </c>
      <c r="GQ224" s="1716">
        <f>GP224/GP$224</f>
        <v>1</v>
      </c>
      <c r="GR224" s="1722">
        <f>GR137</f>
        <v>514706</v>
      </c>
      <c r="GS224" s="1716">
        <f>GR224/GR$224</f>
        <v>1</v>
      </c>
      <c r="GT224" s="1722">
        <f>GT137</f>
        <v>963808</v>
      </c>
      <c r="GU224" s="1716">
        <f>GT224/GT$224</f>
        <v>1</v>
      </c>
      <c r="GV224" s="1722">
        <f>GV137</f>
        <v>1269518</v>
      </c>
      <c r="GW224" s="1716">
        <f>GV224/GV$224</f>
        <v>1</v>
      </c>
      <c r="GX224" s="1722">
        <f>GX137</f>
        <v>563086</v>
      </c>
      <c r="GY224" s="1716">
        <f>GX224/GX$224</f>
        <v>1</v>
      </c>
      <c r="GZ224" s="1722">
        <f>GZ137</f>
        <v>1292168</v>
      </c>
      <c r="HA224" s="1716">
        <f>GZ224/GZ$224</f>
        <v>1</v>
      </c>
      <c r="HB224" s="1722">
        <f>HB137</f>
        <v>119064</v>
      </c>
      <c r="HC224" s="1716">
        <f>HB224/HB$224</f>
        <v>1</v>
      </c>
      <c r="HD224" s="1722">
        <f>HD137</f>
        <v>507748</v>
      </c>
      <c r="HE224" s="1716">
        <f>HD224/HD$224</f>
        <v>1</v>
      </c>
      <c r="HF224" s="2038">
        <f>HF137</f>
        <v>1944660</v>
      </c>
      <c r="HG224" s="2033">
        <f>HF224/HF$224</f>
        <v>1</v>
      </c>
      <c r="HH224" s="1722">
        <f>HH137</f>
        <v>1041086</v>
      </c>
      <c r="HI224" s="1716">
        <f>HH224/HH$224</f>
        <v>1</v>
      </c>
      <c r="HJ224" s="1722">
        <f>HJ137</f>
        <v>2338692</v>
      </c>
      <c r="HK224" s="1716">
        <f>HJ224/HJ$224</f>
        <v>1</v>
      </c>
      <c r="HL224" s="1722">
        <f>HL137</f>
        <v>476769</v>
      </c>
      <c r="HM224" s="1716">
        <f>HL224/HL$224</f>
        <v>1</v>
      </c>
      <c r="HN224" s="1722">
        <f>HN137</f>
        <v>340563</v>
      </c>
      <c r="HO224" s="1716">
        <f>HN224/HN$224</f>
        <v>1</v>
      </c>
      <c r="HP224" s="2038">
        <f>HP137</f>
        <v>1600466</v>
      </c>
      <c r="HQ224" s="2033">
        <f>HP224/HP$224</f>
        <v>1</v>
      </c>
      <c r="HR224" s="1722">
        <f>HR137</f>
        <v>562394</v>
      </c>
      <c r="HS224" s="1716">
        <f>HR224/HR$224</f>
        <v>1</v>
      </c>
      <c r="HT224" s="2038">
        <f>HT137</f>
        <v>502961</v>
      </c>
      <c r="HU224" s="2033">
        <f>HT224/HT$224</f>
        <v>1</v>
      </c>
      <c r="HV224" s="2038">
        <f>HV137</f>
        <v>367198</v>
      </c>
      <c r="HW224" s="2033">
        <f>HV224/HV$224</f>
        <v>1</v>
      </c>
      <c r="HX224" s="2038">
        <f>HX137</f>
        <v>523422</v>
      </c>
      <c r="HY224" s="2033">
        <f>HX224/HX$224</f>
        <v>1</v>
      </c>
      <c r="HZ224" s="2038">
        <f>HZ137</f>
        <v>497472</v>
      </c>
      <c r="IA224" s="2033">
        <f>HZ224/HZ$224</f>
        <v>1</v>
      </c>
      <c r="IB224" s="1722">
        <f>IB137</f>
        <v>522748</v>
      </c>
      <c r="IC224" s="1716">
        <f>IB224/IB$224</f>
        <v>1</v>
      </c>
      <c r="ID224" s="2038">
        <f>ID137</f>
        <v>639964</v>
      </c>
      <c r="IE224" s="2033">
        <f>ID224/ID$224</f>
        <v>1</v>
      </c>
      <c r="IF224" s="2038">
        <f>IF137</f>
        <v>894816</v>
      </c>
      <c r="IG224" s="2033">
        <f>IF224/IF$224</f>
        <v>1</v>
      </c>
    </row>
    <row r="225" spans="1:241">
      <c r="A225" s="1149"/>
      <c r="B225" s="1149" t="s">
        <v>24</v>
      </c>
      <c r="C225" s="1149"/>
      <c r="D225" s="1149"/>
      <c r="E225" s="1143"/>
      <c r="F225" s="1725">
        <f>F144-F220</f>
        <v>228232</v>
      </c>
      <c r="G225" s="1716">
        <f>F225/F$224</f>
        <v>0.37594673571783899</v>
      </c>
      <c r="H225" s="1725">
        <f>H144-H220</f>
        <v>819046</v>
      </c>
      <c r="I225" s="1716">
        <f>H225/H$224</f>
        <v>0.64409296122211934</v>
      </c>
      <c r="J225" s="1725">
        <f>J144-J220</f>
        <v>142925</v>
      </c>
      <c r="K225" s="1716">
        <f>J225/J$224</f>
        <v>0.29808955721942981</v>
      </c>
      <c r="L225" s="1725">
        <f>L144-L220</f>
        <v>569213</v>
      </c>
      <c r="M225" s="1716">
        <f>L225/L$224</f>
        <v>0.33957625526101493</v>
      </c>
      <c r="N225" s="1725">
        <f>N144-N220</f>
        <v>89087</v>
      </c>
      <c r="O225" s="1716">
        <f>N225/N$224</f>
        <v>0.45492705296001062</v>
      </c>
      <c r="P225" s="1725">
        <f>P144-P220</f>
        <v>655542</v>
      </c>
      <c r="Q225" s="1716">
        <f>P225/P$224</f>
        <v>0.29790268136134845</v>
      </c>
      <c r="R225" s="1725">
        <f>R144-R220</f>
        <v>532800</v>
      </c>
      <c r="S225" s="1716">
        <f>R225/R$224</f>
        <v>0.31155981650249548</v>
      </c>
      <c r="T225" s="1725">
        <f>T144-T220</f>
        <v>417978</v>
      </c>
      <c r="U225" s="1716">
        <f>T225/T$224</f>
        <v>0.30924727618715031</v>
      </c>
      <c r="V225" s="1725">
        <f>V144-V220</f>
        <v>119190</v>
      </c>
      <c r="W225" s="1716">
        <f>V225/V$224</f>
        <v>0.30821705265988808</v>
      </c>
      <c r="X225" s="1725">
        <f>X144-X220</f>
        <v>823988</v>
      </c>
      <c r="Y225" s="1716">
        <f>X225/X$224</f>
        <v>0.28019969279600859</v>
      </c>
      <c r="Z225" s="1725">
        <f>Z144-Z220</f>
        <v>308349</v>
      </c>
      <c r="AA225" s="1716">
        <f>Z225/Z$224</f>
        <v>0.29768962750782724</v>
      </c>
      <c r="AB225" s="1725">
        <f>AB144-AB220</f>
        <v>114093</v>
      </c>
      <c r="AC225" s="1716">
        <f>AB225/AB$224</f>
        <v>0.26043159884225231</v>
      </c>
      <c r="AD225" s="1725">
        <f>AD144-AD220</f>
        <v>419596</v>
      </c>
      <c r="AE225" s="1716">
        <f>AD225/AD$224</f>
        <v>0.57696729020796322</v>
      </c>
      <c r="AF225" s="1725">
        <f>AF144-AF220</f>
        <v>525016</v>
      </c>
      <c r="AG225" s="1716">
        <f>AF225/AF$224</f>
        <v>0.36998883020144396</v>
      </c>
      <c r="AH225" s="1725">
        <f>AH144-AH220</f>
        <v>154050</v>
      </c>
      <c r="AI225" s="1716">
        <f>AH225/AH$224</f>
        <v>0.30628495535456884</v>
      </c>
      <c r="AJ225" s="1725">
        <f>AJ144-AJ220</f>
        <v>72416</v>
      </c>
      <c r="AK225" s="1716">
        <f>AJ225/AJ$224</f>
        <v>0.31131536070640936</v>
      </c>
      <c r="AL225" s="1725">
        <f>AL144-AL220</f>
        <v>286498</v>
      </c>
      <c r="AM225" s="1716">
        <f>AL225/AL$224</f>
        <v>0.29631736483593313</v>
      </c>
      <c r="AN225" s="1725">
        <f>AN144-AN220</f>
        <v>297905</v>
      </c>
      <c r="AO225" s="1716">
        <f>AN225/AN$224</f>
        <v>0.45042736205799061</v>
      </c>
      <c r="AP225" s="1725">
        <f>AP144-AP220</f>
        <v>303212</v>
      </c>
      <c r="AQ225" s="1716">
        <f>AP225/AP$224</f>
        <v>0.39883878316893284</v>
      </c>
      <c r="AR225" s="1725">
        <f>AR144-AR220</f>
        <v>323647</v>
      </c>
      <c r="AS225" s="1716">
        <f>AR225/AR$224</f>
        <v>0.4064114783268224</v>
      </c>
      <c r="AT225" s="1725">
        <f>AT144-AT220</f>
        <v>591810</v>
      </c>
      <c r="AU225" s="1716">
        <f>AT225/AT$224</f>
        <v>0.32090981111756389</v>
      </c>
      <c r="AV225" s="1725">
        <f>AV144-AV220</f>
        <v>333941</v>
      </c>
      <c r="AW225" s="1716">
        <f>AV225/AV$224</f>
        <v>0.50827926204294349</v>
      </c>
      <c r="AX225" s="1725">
        <f>AX144-AX220</f>
        <v>783179</v>
      </c>
      <c r="AY225" s="1716">
        <f>AX225/AX$224</f>
        <v>0.38139593095340824</v>
      </c>
      <c r="AZ225" s="1725">
        <f>AZ144-AZ220</f>
        <v>365213</v>
      </c>
      <c r="BA225" s="1716">
        <f>AZ225/AZ$224</f>
        <v>0.35746529714958003</v>
      </c>
      <c r="BB225" s="1725">
        <f>BB144-BB220</f>
        <v>283375</v>
      </c>
      <c r="BC225" s="1716">
        <f>BB225/BB$224</f>
        <v>0.36265779693466976</v>
      </c>
      <c r="BD225" s="1725">
        <f>BD144-BD220</f>
        <v>387170</v>
      </c>
      <c r="BE225" s="1716">
        <f>BD225/BD$224</f>
        <v>0.39431739714056996</v>
      </c>
      <c r="BF225" s="1725">
        <f>BF144-BF220</f>
        <v>182006</v>
      </c>
      <c r="BG225" s="1716">
        <f>BF225/BF$224</f>
        <v>0.34559654262944728</v>
      </c>
      <c r="BH225" s="1725">
        <f>BH144-BH220</f>
        <v>220803</v>
      </c>
      <c r="BI225" s="1716">
        <f>BH225/BH$224</f>
        <v>0.32077140989322295</v>
      </c>
      <c r="BJ225" s="1725">
        <f>BJ144-BJ220</f>
        <v>571427</v>
      </c>
      <c r="BK225" s="1716">
        <f>BJ225/BJ$224</f>
        <v>0.40061905830225186</v>
      </c>
      <c r="BL225" s="1725">
        <f>BL144-BL220</f>
        <v>859027</v>
      </c>
      <c r="BM225" s="1716">
        <f>BL225/BL$224</f>
        <v>0.53522998589379978</v>
      </c>
      <c r="BN225" s="1725">
        <f>BN144-BN220</f>
        <v>0</v>
      </c>
      <c r="BO225" s="1716" t="e">
        <f>BN225/BN$224</f>
        <v>#DIV/0!</v>
      </c>
      <c r="BP225" s="1725">
        <f>BP144-BP220</f>
        <v>512850</v>
      </c>
      <c r="BQ225" s="1716">
        <f>BP225/BP$224</f>
        <v>0.36668654360127156</v>
      </c>
      <c r="BR225" s="1725">
        <f>BR144-BR220</f>
        <v>25277</v>
      </c>
      <c r="BS225" s="1716">
        <f>BR225/BR$224</f>
        <v>0.26961270572675006</v>
      </c>
      <c r="BT225" s="1725">
        <f>BT144-BT220</f>
        <v>137733</v>
      </c>
      <c r="BU225" s="1716">
        <f>BT225/BT$224</f>
        <v>0.328634453731386</v>
      </c>
      <c r="BV225" s="1725">
        <f>BV144-BV220</f>
        <v>107747</v>
      </c>
      <c r="BW225" s="1716">
        <f>BV225/BV$224</f>
        <v>0.25134071553037285</v>
      </c>
      <c r="BX225" s="1725">
        <f>BX144-BX220</f>
        <v>548324</v>
      </c>
      <c r="BY225" s="1716">
        <f>BX225/BX$224</f>
        <v>0.26282050667543494</v>
      </c>
      <c r="BZ225" s="1725">
        <f>BZ144-BZ220</f>
        <v>406519</v>
      </c>
      <c r="CA225" s="1716">
        <f>BZ225/BZ$224</f>
        <v>0.32253531854527107</v>
      </c>
      <c r="CB225" s="1725">
        <f>CB144-CB220</f>
        <v>150839</v>
      </c>
      <c r="CC225" s="1716">
        <f>CB225/CB$224</f>
        <v>0.36563573383364967</v>
      </c>
      <c r="CD225" s="1725">
        <f>CD144-CD220</f>
        <v>207477</v>
      </c>
      <c r="CE225" s="1716">
        <f>CD225/CD$224</f>
        <v>0.30424970304870003</v>
      </c>
      <c r="CF225" s="1725">
        <v>262055</v>
      </c>
      <c r="CG225" s="1716">
        <v>0.34869718412935813</v>
      </c>
      <c r="CH225" s="1725">
        <v>252453</v>
      </c>
      <c r="CI225" s="1716">
        <v>0.37492203140129621</v>
      </c>
      <c r="CJ225" s="1725">
        <v>282504</v>
      </c>
      <c r="CK225" s="1716">
        <v>0.37924174204409078</v>
      </c>
      <c r="CL225" s="1725">
        <v>1237096</v>
      </c>
      <c r="CM225" s="1716">
        <v>0.43470863253104131</v>
      </c>
      <c r="CN225" s="1725">
        <f>CN144-CN220</f>
        <v>527966</v>
      </c>
      <c r="CO225" s="1716">
        <f>CN225/CN$224</f>
        <v>0.46174445696054628</v>
      </c>
      <c r="CP225" s="1725">
        <f>CP144-CP220</f>
        <v>155307</v>
      </c>
      <c r="CQ225" s="1716">
        <f>CP225/CP$224</f>
        <v>0.27089674467606362</v>
      </c>
      <c r="CR225" s="1725">
        <v>430935</v>
      </c>
      <c r="CS225" s="1716">
        <v>0.32274770878223374</v>
      </c>
      <c r="CT225" s="1725">
        <f>CT144-CT220</f>
        <v>788374</v>
      </c>
      <c r="CU225" s="1716">
        <f>CT225/CT$224</f>
        <v>0.99004522159334218</v>
      </c>
      <c r="CV225" s="1725">
        <f>CV144-CV220</f>
        <v>1579177</v>
      </c>
      <c r="CW225" s="1716">
        <f>CV225/CV$224</f>
        <v>0.58523129239347593</v>
      </c>
      <c r="CX225" s="1725">
        <f>CX144-CX220</f>
        <v>243758</v>
      </c>
      <c r="CY225" s="1716">
        <f>CX225/CX$224</f>
        <v>0.36028549933561838</v>
      </c>
      <c r="CZ225" s="1725">
        <v>82396</v>
      </c>
      <c r="DA225" s="1716">
        <v>0.29915513616939393</v>
      </c>
      <c r="DB225" s="1725">
        <v>349800</v>
      </c>
      <c r="DC225" s="1716">
        <v>0.34298287242762848</v>
      </c>
      <c r="DD225" s="1725">
        <v>139099</v>
      </c>
      <c r="DE225" s="1716">
        <v>0.33598629958309378</v>
      </c>
      <c r="DF225" s="1725">
        <v>367824</v>
      </c>
      <c r="DG225" s="1716">
        <v>0.28176570848574217</v>
      </c>
      <c r="DH225" s="1725">
        <v>200857</v>
      </c>
      <c r="DI225" s="1716">
        <v>0.27890259091963138</v>
      </c>
      <c r="DJ225" s="1725">
        <v>235446</v>
      </c>
      <c r="DK225" s="1716">
        <v>0.38012499374385483</v>
      </c>
      <c r="DL225" s="1725">
        <v>186826</v>
      </c>
      <c r="DM225" s="1716">
        <v>0.29578111443932897</v>
      </c>
      <c r="DN225" s="1725">
        <f>DN144-DN220</f>
        <v>324482</v>
      </c>
      <c r="DO225" s="1716">
        <f>DN225/DN$224</f>
        <v>0.54677871337264072</v>
      </c>
      <c r="DP225" s="1725">
        <f>DP144-DP220</f>
        <v>53452</v>
      </c>
      <c r="DQ225" s="1716">
        <f>DP225/DP$224</f>
        <v>0.67263987113985857</v>
      </c>
      <c r="DR225" s="1725">
        <f>DR144-DR220</f>
        <v>130981</v>
      </c>
      <c r="DS225" s="1716">
        <f>DR225/DR$224</f>
        <v>0.50373626542675731</v>
      </c>
      <c r="DT225" s="1725">
        <f>DT144-DT220</f>
        <v>118082</v>
      </c>
      <c r="DU225" s="1716">
        <f>DT225/DT$224</f>
        <v>0.23723058872691621</v>
      </c>
      <c r="DV225" s="1725">
        <f>DV144-DV220</f>
        <v>128286</v>
      </c>
      <c r="DW225" s="1716">
        <f>DV225/DV$224</f>
        <v>0.29248707262131673</v>
      </c>
      <c r="DX225" s="1725">
        <f>DX144-DX220</f>
        <v>282577</v>
      </c>
      <c r="DY225" s="1716">
        <f>DX225/DX$224</f>
        <v>0.34576948537824215</v>
      </c>
      <c r="DZ225" s="1725">
        <f>DZ144-DZ220</f>
        <v>244563</v>
      </c>
      <c r="EA225" s="1716">
        <f>DZ225/DZ$224</f>
        <v>0.36569840121060598</v>
      </c>
      <c r="EB225" s="1725">
        <f>EB144-EB220</f>
        <v>486010</v>
      </c>
      <c r="EC225" s="1716">
        <f>EB225/EB$224</f>
        <v>0.49657563988993819</v>
      </c>
      <c r="ED225" s="1725">
        <f>ED144-ED220</f>
        <v>136440</v>
      </c>
      <c r="EE225" s="1716">
        <f>ED225/ED$224</f>
        <v>0.320240344556454</v>
      </c>
      <c r="EF225" s="1725">
        <f>EF144-EF220</f>
        <v>97670</v>
      </c>
      <c r="EG225" s="1716">
        <f>EF225/EF$224</f>
        <v>0.34643228307635554</v>
      </c>
      <c r="EH225" s="1725">
        <f>EH144-EH220</f>
        <v>470148</v>
      </c>
      <c r="EI225" s="1716">
        <f>EH225/EH$224</f>
        <v>0.29525826337287292</v>
      </c>
      <c r="EJ225" s="1725">
        <f>EJ144-EJ220</f>
        <v>144573</v>
      </c>
      <c r="EK225" s="1716">
        <f>EJ225/EJ$224</f>
        <v>0.35668590235441855</v>
      </c>
      <c r="EL225" s="1725">
        <f>EL144-EL220</f>
        <v>388811</v>
      </c>
      <c r="EM225" s="1716">
        <f>EL225/EL$224</f>
        <v>0.3824372999588852</v>
      </c>
      <c r="EN225" s="1725">
        <f>EN144-EN220</f>
        <v>507122</v>
      </c>
      <c r="EO225" s="1716">
        <f>EN225/EN$224</f>
        <v>0.48936018280491289</v>
      </c>
      <c r="EP225" s="1725">
        <f>EP144-EP220</f>
        <v>167311</v>
      </c>
      <c r="EQ225" s="1716">
        <f>EP225/EP$224</f>
        <v>0.25001456952652773</v>
      </c>
      <c r="ER225" s="1725">
        <f>ER144-ER220</f>
        <v>164957</v>
      </c>
      <c r="ES225" s="1716">
        <f>ER225/ER$224</f>
        <v>0.52883376185377307</v>
      </c>
      <c r="ET225" s="1725">
        <f>ET144-ET220</f>
        <v>455047</v>
      </c>
      <c r="EU225" s="1716">
        <f>ET225/ET$224</f>
        <v>0.31921608626783043</v>
      </c>
      <c r="EV225" s="1725">
        <f>EV144-EV220</f>
        <v>204823</v>
      </c>
      <c r="EW225" s="1716">
        <f>EV225/EV$224</f>
        <v>0.26989600683097553</v>
      </c>
      <c r="EX225" s="1725">
        <f>EX144-EX220</f>
        <v>191273</v>
      </c>
      <c r="EY225" s="1716">
        <f>EX225/EX$224</f>
        <v>0.36068488888469841</v>
      </c>
      <c r="EZ225" s="1725">
        <f>EZ144-EZ220</f>
        <v>112936</v>
      </c>
      <c r="FA225" s="1716">
        <f>EZ225/EZ$224</f>
        <v>0.35200648308320476</v>
      </c>
      <c r="FB225" s="1725">
        <f>FB144-FB220</f>
        <v>132819</v>
      </c>
      <c r="FC225" s="1716">
        <f>FB225/FB$224</f>
        <v>0.29810389948512611</v>
      </c>
      <c r="FD225" s="1725">
        <f>FD144-FD220</f>
        <v>343624</v>
      </c>
      <c r="FE225" s="1716">
        <f>FD225/FD$224</f>
        <v>0.40891603169710911</v>
      </c>
      <c r="FF225" s="1725">
        <f>FF144-FF220</f>
        <v>365168</v>
      </c>
      <c r="FG225" s="1716">
        <f>FF225/FF$224</f>
        <v>0.27466153198146698</v>
      </c>
      <c r="FH225" s="1725">
        <f>FH144-FH220</f>
        <v>139180</v>
      </c>
      <c r="FI225" s="1716">
        <f>FH225/FH$224</f>
        <v>0.28915111979058461</v>
      </c>
      <c r="FJ225" s="1725">
        <f>FJ144-FJ220</f>
        <v>187961</v>
      </c>
      <c r="FK225" s="1716">
        <f>FJ225/FJ$224</f>
        <v>0.2600640056229756</v>
      </c>
      <c r="FL225" s="1725">
        <f>FL144-FL220</f>
        <v>124869</v>
      </c>
      <c r="FM225" s="1716">
        <f>FL225/FL$224</f>
        <v>0.30817774596789121</v>
      </c>
      <c r="FN225" s="1725">
        <f>FN144-FN220</f>
        <v>606015</v>
      </c>
      <c r="FO225" s="1716">
        <f>FN225/FN$224</f>
        <v>0.43125250846116403</v>
      </c>
      <c r="FP225" s="1725">
        <f>FP144-FP220</f>
        <v>100768</v>
      </c>
      <c r="FQ225" s="1716">
        <f>FP225/FP$224</f>
        <v>0.36084323759117948</v>
      </c>
      <c r="FR225" s="1725">
        <f>FR144-FR220</f>
        <v>1165728</v>
      </c>
      <c r="FS225" s="1716">
        <f>FR225/FR$224</f>
        <v>0.45017684956375564</v>
      </c>
      <c r="FT225" s="1725">
        <f>FT144-FT220</f>
        <v>568539</v>
      </c>
      <c r="FU225" s="1716">
        <f>FT225/FT$224</f>
        <v>0.36402827764648332</v>
      </c>
      <c r="FV225" s="1725">
        <f>FV144-FV220</f>
        <v>407639</v>
      </c>
      <c r="FW225" s="1716">
        <f>FV225/FV$224</f>
        <v>0.43750576881384601</v>
      </c>
      <c r="FX225" s="1725">
        <f>FX144-FX220</f>
        <v>184079</v>
      </c>
      <c r="FY225" s="1716">
        <f>FX225/FX$224</f>
        <v>0.35048513743021864</v>
      </c>
      <c r="FZ225" s="1725">
        <f>FZ144-FZ220</f>
        <v>158924</v>
      </c>
      <c r="GA225" s="1716">
        <f>FZ225/FZ$224</f>
        <v>0.33343334123605572</v>
      </c>
      <c r="GB225" s="1725">
        <f>GB144-GB220</f>
        <v>108136</v>
      </c>
      <c r="GC225" s="1716">
        <f>GB225/GB$224</f>
        <v>0.42775824080190827</v>
      </c>
      <c r="GD225" s="1725">
        <f>GD144-GD220</f>
        <v>222490</v>
      </c>
      <c r="GE225" s="1716">
        <f>GD225/GD$224</f>
        <v>0.39065476681690725</v>
      </c>
      <c r="GF225" s="1725">
        <f>GF144-GF220</f>
        <v>222977</v>
      </c>
      <c r="GG225" s="1716">
        <f>GF225/GF$224</f>
        <v>0.35893287745765606</v>
      </c>
      <c r="GH225" s="1725">
        <f>GH144-GH220</f>
        <v>75089</v>
      </c>
      <c r="GI225" s="1716">
        <f>GH225/GH$224</f>
        <v>0.28104905417443315</v>
      </c>
      <c r="GJ225" s="1725">
        <f>GJ144-GJ220</f>
        <v>1062585</v>
      </c>
      <c r="GK225" s="1716">
        <f>GJ225/GJ$224</f>
        <v>0.29972996842720784</v>
      </c>
      <c r="GL225" s="1725">
        <f>GL144-GL220</f>
        <v>254537</v>
      </c>
      <c r="GM225" s="1716">
        <f>GL225/GL$224</f>
        <v>0.36241691963344969</v>
      </c>
      <c r="GN225" s="1725">
        <f>GN144-GN220</f>
        <v>108879</v>
      </c>
      <c r="GO225" s="1716">
        <f>GN225/GN$224</f>
        <v>0.35543854036425604</v>
      </c>
      <c r="GP225" s="1725">
        <f>GP144-GP220</f>
        <v>227512</v>
      </c>
      <c r="GQ225" s="1716">
        <f>GP225/GP$224</f>
        <v>0.40455136286609966</v>
      </c>
      <c r="GR225" s="1725">
        <f>GR144-GR220</f>
        <v>164726</v>
      </c>
      <c r="GS225" s="1716">
        <f>GR225/GR$224</f>
        <v>0.32003901256251144</v>
      </c>
      <c r="GT225" s="1725">
        <f>GT144-GT220</f>
        <v>304968</v>
      </c>
      <c r="GU225" s="1716">
        <f>GT225/GT$224</f>
        <v>0.31641986785749859</v>
      </c>
      <c r="GV225" s="1725">
        <f>GV144-GV220</f>
        <v>500903</v>
      </c>
      <c r="GW225" s="1716">
        <f>GV225/GV$224</f>
        <v>0.39456155800863002</v>
      </c>
      <c r="GX225" s="1725">
        <f>GX144-GX220</f>
        <v>190308</v>
      </c>
      <c r="GY225" s="1716">
        <f>GX225/GX$224</f>
        <v>0.33797324032208226</v>
      </c>
      <c r="GZ225" s="1725">
        <f>GZ144-GZ220</f>
        <v>417794</v>
      </c>
      <c r="HA225" s="1716">
        <f>GZ225/GZ$224</f>
        <v>0.32332792639966318</v>
      </c>
      <c r="HB225" s="1725">
        <f>HB144-HB220</f>
        <v>34802</v>
      </c>
      <c r="HC225" s="1716">
        <f>HB225/HB$224</f>
        <v>0.29229657999059327</v>
      </c>
      <c r="HD225" s="1725">
        <f>HD144-HD220</f>
        <v>160930</v>
      </c>
      <c r="HE225" s="1716">
        <f>HD225/HD$224</f>
        <v>0.31694856503619906</v>
      </c>
      <c r="HF225" s="2046">
        <f>HF144-HF220</f>
        <v>908935</v>
      </c>
      <c r="HG225" s="2033">
        <f>HF225/HF$224</f>
        <v>0.46740047103349686</v>
      </c>
      <c r="HH225" s="1725">
        <f>HH144-HH220</f>
        <v>514499</v>
      </c>
      <c r="HI225" s="1716">
        <f>HH225/HH$224</f>
        <v>0.49419452379534445</v>
      </c>
      <c r="HJ225" s="1725">
        <f>HJ144-HJ220</f>
        <v>748198</v>
      </c>
      <c r="HK225" s="1716">
        <f>HJ225/HJ$224</f>
        <v>0.3199215629933313</v>
      </c>
      <c r="HL225" s="1725">
        <f>HL144-HL220</f>
        <v>129871</v>
      </c>
      <c r="HM225" s="1716">
        <f>HL225/HL$224</f>
        <v>0.27239816347119883</v>
      </c>
      <c r="HN225" s="1725">
        <f>HN144-HN220</f>
        <v>135087</v>
      </c>
      <c r="HO225" s="1716">
        <f>HN225/HN$224</f>
        <v>0.3966578870869707</v>
      </c>
      <c r="HP225" s="2046">
        <f>HP144-HP220</f>
        <v>699729</v>
      </c>
      <c r="HQ225" s="2033">
        <f>HP225/HP$224</f>
        <v>0.43720328954192089</v>
      </c>
      <c r="HR225" s="1725">
        <f>HR144-HR220</f>
        <v>214579</v>
      </c>
      <c r="HS225" s="1716">
        <f>HR225/HR$224</f>
        <v>0.38154567794108757</v>
      </c>
      <c r="HT225" s="2046">
        <f>HT144-HT220</f>
        <v>223051</v>
      </c>
      <c r="HU225" s="2033">
        <f>HT225/HT$224</f>
        <v>0.44347573668733759</v>
      </c>
      <c r="HV225" s="2046">
        <f>HV144-HV220</f>
        <v>136242</v>
      </c>
      <c r="HW225" s="2033">
        <f>HV225/HV$224</f>
        <v>0.37103143263307536</v>
      </c>
      <c r="HX225" s="2046">
        <f>HX144-HX220</f>
        <v>193187</v>
      </c>
      <c r="HY225" s="2033">
        <f>HX225/HX$224</f>
        <v>0.36908460095295959</v>
      </c>
      <c r="HZ225" s="2046">
        <f>HZ144-HZ220</f>
        <v>159267</v>
      </c>
      <c r="IA225" s="2033">
        <f>HZ225/HZ$224</f>
        <v>0.32015269201080665</v>
      </c>
      <c r="IB225" s="1725">
        <f>IB144-IB220</f>
        <v>192597</v>
      </c>
      <c r="IC225" s="1716">
        <f>IB225/IB$224</f>
        <v>0.36843182565978255</v>
      </c>
      <c r="ID225" s="2046">
        <f>ID144-ID220</f>
        <v>193145</v>
      </c>
      <c r="IE225" s="2033">
        <f>ID225/ID$224</f>
        <v>0.30180603908969877</v>
      </c>
      <c r="IF225" s="2046">
        <f>IF144-IF220</f>
        <v>304811</v>
      </c>
      <c r="IG225" s="2033">
        <f>IF225/IF$224</f>
        <v>0.34064098093909811</v>
      </c>
    </row>
    <row r="226" spans="1:241">
      <c r="A226" s="1149"/>
      <c r="B226" s="1149"/>
      <c r="C226" s="1149"/>
      <c r="D226" s="1149"/>
      <c r="E226" s="1143"/>
      <c r="F226" s="1717"/>
      <c r="G226" s="1356"/>
      <c r="H226" s="1717"/>
      <c r="I226" s="1356"/>
      <c r="J226" s="1717"/>
      <c r="K226" s="1356"/>
      <c r="L226" s="1717"/>
      <c r="M226" s="1356"/>
      <c r="N226" s="1717"/>
      <c r="O226" s="1356"/>
      <c r="P226" s="1717"/>
      <c r="Q226" s="1356"/>
      <c r="R226" s="1717"/>
      <c r="T226" s="1717"/>
      <c r="U226" s="1356"/>
      <c r="V226" s="1717"/>
      <c r="W226" s="1356"/>
      <c r="X226" s="1717"/>
      <c r="Y226" s="1356"/>
      <c r="Z226" s="1717"/>
      <c r="AA226" s="1356"/>
      <c r="AB226" s="1717"/>
      <c r="AC226" s="1356"/>
      <c r="AD226" s="1717"/>
      <c r="AE226" s="1356"/>
      <c r="AF226" s="1717"/>
      <c r="AG226" s="1356"/>
      <c r="AH226" s="1717"/>
      <c r="AI226" s="1356"/>
      <c r="AJ226" s="1717"/>
      <c r="AK226" s="1356"/>
      <c r="AL226" s="1717"/>
      <c r="AM226" s="1356"/>
      <c r="AN226" s="1717"/>
      <c r="AO226" s="1356"/>
      <c r="AP226" s="1717"/>
      <c r="AQ226" s="1356"/>
      <c r="AR226" s="1717"/>
      <c r="AS226" s="1356"/>
      <c r="AT226" s="1717"/>
      <c r="AU226" s="1356"/>
      <c r="AV226" s="1717"/>
      <c r="AW226" s="1356"/>
      <c r="AX226" s="1717"/>
      <c r="AY226" s="1356"/>
      <c r="AZ226" s="1717"/>
      <c r="BA226" s="1356"/>
      <c r="BB226" s="1717"/>
      <c r="BC226" s="1356"/>
      <c r="BD226" s="1717"/>
      <c r="BE226" s="1356"/>
      <c r="BF226" s="1717"/>
      <c r="BG226" s="1356"/>
      <c r="BH226" s="1717"/>
      <c r="BI226" s="1356"/>
      <c r="BJ226" s="1717"/>
      <c r="BK226" s="1356"/>
      <c r="BL226" s="1717"/>
      <c r="BM226" s="1356"/>
      <c r="BN226" s="1717"/>
      <c r="BO226" s="1356"/>
      <c r="BP226" s="1717"/>
      <c r="BQ226" s="1356"/>
      <c r="BR226" s="1717"/>
      <c r="BS226" s="1356"/>
      <c r="BT226" s="1717"/>
      <c r="BU226" s="1356"/>
      <c r="BV226" s="1717"/>
      <c r="BW226" s="1356"/>
      <c r="BX226" s="1717"/>
      <c r="BY226" s="1356"/>
      <c r="BZ226" s="1717"/>
      <c r="CA226" s="1356"/>
      <c r="CB226" s="1717"/>
      <c r="CC226" s="1356"/>
      <c r="CD226" s="1717"/>
      <c r="CE226" s="1356"/>
      <c r="CF226" s="1717"/>
      <c r="CG226" s="1356"/>
      <c r="CH226" s="1717"/>
      <c r="CI226" s="1356"/>
      <c r="CJ226" s="1717"/>
      <c r="CK226" s="1356"/>
      <c r="CL226" s="1717"/>
      <c r="CM226" s="1356"/>
      <c r="CN226" s="1717"/>
      <c r="CO226" s="1356"/>
      <c r="CP226" s="1717"/>
      <c r="CQ226" s="1356"/>
      <c r="CR226" s="1717"/>
      <c r="CS226" s="1356"/>
      <c r="CT226" s="1717"/>
      <c r="CU226" s="1356"/>
      <c r="CV226" s="1717"/>
      <c r="CW226" s="1356"/>
      <c r="CX226" s="1717"/>
      <c r="CY226" s="1356"/>
      <c r="CZ226" s="1717"/>
      <c r="DA226" s="1356"/>
      <c r="DB226" s="1717"/>
      <c r="DC226" s="1356"/>
      <c r="DD226" s="1717"/>
      <c r="DE226" s="1356"/>
      <c r="DF226" s="1717"/>
      <c r="DG226" s="1356"/>
      <c r="DH226" s="1717"/>
      <c r="DI226" s="1356"/>
      <c r="DJ226" s="1717"/>
      <c r="DK226" s="1356"/>
      <c r="DL226" s="1717"/>
      <c r="DM226" s="1356"/>
      <c r="DN226" s="1717"/>
      <c r="DO226" s="1356"/>
      <c r="DP226" s="1717"/>
      <c r="DQ226" s="1356"/>
      <c r="DR226" s="1717"/>
      <c r="DS226" s="1356"/>
      <c r="DT226" s="1717"/>
      <c r="DU226" s="1356"/>
      <c r="DV226" s="1717"/>
      <c r="DW226" s="1356"/>
      <c r="DX226" s="1717"/>
      <c r="DY226" s="1356"/>
      <c r="DZ226" s="1717"/>
      <c r="EA226" s="1356"/>
      <c r="EB226" s="1717"/>
      <c r="EC226" s="1356"/>
      <c r="ED226" s="1717"/>
      <c r="EE226" s="1356"/>
      <c r="EF226" s="1717"/>
      <c r="EG226" s="1356"/>
      <c r="EH226" s="1717"/>
      <c r="EI226" s="1356"/>
      <c r="EJ226" s="1717"/>
      <c r="EK226" s="1356"/>
      <c r="EL226" s="1717"/>
      <c r="EM226" s="1356"/>
      <c r="EN226" s="1717"/>
      <c r="EO226" s="1356"/>
      <c r="EP226" s="1717"/>
      <c r="EQ226" s="1356"/>
      <c r="ER226" s="1717"/>
      <c r="ES226" s="1356"/>
      <c r="ET226" s="1717"/>
      <c r="EU226" s="1356"/>
      <c r="EV226" s="1717"/>
      <c r="EW226" s="1356"/>
      <c r="EX226" s="1717"/>
      <c r="EY226" s="1356"/>
      <c r="EZ226" s="1717"/>
      <c r="FA226" s="1356"/>
      <c r="FB226" s="1717"/>
      <c r="FC226" s="1356"/>
      <c r="FD226" s="1717"/>
      <c r="FE226" s="1356"/>
      <c r="FF226" s="1717"/>
      <c r="FG226" s="1356"/>
      <c r="FH226" s="1717"/>
      <c r="FI226" s="1356"/>
      <c r="FJ226" s="1717"/>
      <c r="FK226" s="1356"/>
      <c r="FL226" s="1717"/>
      <c r="FM226" s="1356"/>
      <c r="FN226" s="1717"/>
      <c r="FO226" s="1356"/>
      <c r="FP226" s="1717"/>
      <c r="FQ226" s="1356"/>
      <c r="FR226" s="1717"/>
      <c r="FS226" s="1356"/>
      <c r="FT226" s="1717"/>
      <c r="FU226" s="1356"/>
      <c r="FV226" s="1717"/>
      <c r="FW226" s="1356"/>
      <c r="FX226" s="1717"/>
      <c r="FY226" s="1356"/>
      <c r="FZ226" s="1717"/>
      <c r="GA226" s="1356"/>
      <c r="GB226" s="1717"/>
      <c r="GC226" s="1356"/>
      <c r="GD226" s="1717"/>
      <c r="GE226" s="1356"/>
      <c r="GF226" s="1717"/>
      <c r="GG226" s="1356"/>
      <c r="GH226" s="1717"/>
      <c r="GI226" s="1356"/>
      <c r="GJ226" s="1717"/>
      <c r="GK226" s="1356"/>
      <c r="GL226" s="1717"/>
      <c r="GM226" s="1356"/>
      <c r="GN226" s="1717"/>
      <c r="GO226" s="1356"/>
      <c r="GP226" s="1717"/>
      <c r="GQ226" s="1356"/>
      <c r="GR226" s="1717"/>
      <c r="GS226" s="1356"/>
      <c r="GT226" s="1717"/>
      <c r="GU226" s="1356"/>
      <c r="GV226" s="1717"/>
      <c r="GW226" s="1356"/>
      <c r="GX226" s="1717"/>
      <c r="GY226" s="1356"/>
      <c r="GZ226" s="1717"/>
      <c r="HA226" s="1356"/>
      <c r="HB226" s="1717"/>
      <c r="HC226" s="1356"/>
      <c r="HD226" s="1717"/>
      <c r="HE226" s="1356"/>
      <c r="HF226" s="2034"/>
      <c r="HH226" s="1717"/>
      <c r="HI226" s="1356"/>
      <c r="HJ226" s="1717"/>
      <c r="HK226" s="1356"/>
      <c r="HL226" s="1717"/>
      <c r="HM226" s="1356"/>
      <c r="HN226" s="1717"/>
      <c r="HO226" s="1356"/>
      <c r="HP226" s="2034"/>
      <c r="HR226" s="1717"/>
      <c r="HS226" s="1356"/>
      <c r="HT226" s="2034"/>
      <c r="HV226" s="2034"/>
      <c r="HX226" s="2034"/>
      <c r="HZ226" s="2034"/>
      <c r="IB226" s="1717"/>
      <c r="IC226" s="1356"/>
      <c r="ID226" s="2034"/>
      <c r="IF226" s="2034"/>
    </row>
    <row r="227" spans="1:241" ht="16.2" thickBot="1">
      <c r="A227" s="1149"/>
      <c r="B227" s="1149" t="s">
        <v>25</v>
      </c>
      <c r="C227" s="1149"/>
      <c r="D227" s="1149"/>
      <c r="E227" s="1143"/>
      <c r="F227" s="1719">
        <f>F224-F225</f>
        <v>378854</v>
      </c>
      <c r="G227" s="1716">
        <f>F227/F$224</f>
        <v>0.62405326428216101</v>
      </c>
      <c r="H227" s="1719">
        <f>H224-H225</f>
        <v>452581</v>
      </c>
      <c r="I227" s="1716">
        <f>H227/H$224</f>
        <v>0.3559070387778806</v>
      </c>
      <c r="J227" s="1719">
        <f>J224-J225</f>
        <v>336545</v>
      </c>
      <c r="K227" s="1716">
        <f>J227/J$224</f>
        <v>0.70191044278057024</v>
      </c>
      <c r="L227" s="1719">
        <f>L224-L225</f>
        <v>1107032</v>
      </c>
      <c r="M227" s="1716">
        <f>L227/L$224</f>
        <v>0.66042374473898502</v>
      </c>
      <c r="N227" s="1719">
        <f>N224-N225</f>
        <v>106740</v>
      </c>
      <c r="O227" s="1716">
        <f>N227/N$224</f>
        <v>0.54507294703998943</v>
      </c>
      <c r="P227" s="1719">
        <f>P224-P225</f>
        <v>1544982</v>
      </c>
      <c r="Q227" s="1716">
        <f>P227/P$224</f>
        <v>0.70209731863865155</v>
      </c>
      <c r="R227" s="1719">
        <f>R224-R225</f>
        <v>1177305</v>
      </c>
      <c r="S227" s="1716">
        <f>R227/R$224</f>
        <v>0.68844018349750458</v>
      </c>
      <c r="T227" s="1719">
        <f>T224-T225</f>
        <v>933620</v>
      </c>
      <c r="U227" s="1716">
        <f>T227/T$224</f>
        <v>0.69075272381284969</v>
      </c>
      <c r="V227" s="1719">
        <f>V224-V225</f>
        <v>267518</v>
      </c>
      <c r="W227" s="1716">
        <f>V227/V$224</f>
        <v>0.69178294734011192</v>
      </c>
      <c r="X227" s="1719">
        <f>X224-X225</f>
        <v>2116729</v>
      </c>
      <c r="Y227" s="1716">
        <f>X227/X$224</f>
        <v>0.71980030720399146</v>
      </c>
      <c r="Z227" s="1719">
        <f>Z224-Z225</f>
        <v>727458</v>
      </c>
      <c r="AA227" s="1716">
        <f>Z227/Z$224</f>
        <v>0.70231037249217276</v>
      </c>
      <c r="AB227" s="1719">
        <f>AB224-AB225</f>
        <v>323999</v>
      </c>
      <c r="AC227" s="1716">
        <f>AB227/AB$224</f>
        <v>0.73956840115774769</v>
      </c>
      <c r="AD227" s="1719">
        <f>AD224-AD225</f>
        <v>307648</v>
      </c>
      <c r="AE227" s="1716">
        <f>AD227/AD$224</f>
        <v>0.42303270979203678</v>
      </c>
      <c r="AF227" s="1719">
        <f>AF224-AF225</f>
        <v>893989</v>
      </c>
      <c r="AG227" s="1716">
        <f>AF227/AF$224</f>
        <v>0.63001116979855598</v>
      </c>
      <c r="AH227" s="1719">
        <f>AH224-AH225</f>
        <v>348913</v>
      </c>
      <c r="AI227" s="1716">
        <f>AH227/AH$224</f>
        <v>0.69371504464543121</v>
      </c>
      <c r="AJ227" s="1719">
        <f>AJ224-AJ225</f>
        <v>160197</v>
      </c>
      <c r="AK227" s="1716">
        <f>AJ227/AJ$224</f>
        <v>0.68868463929359069</v>
      </c>
      <c r="AL227" s="1719">
        <f>AL224-AL225</f>
        <v>680364</v>
      </c>
      <c r="AM227" s="1716">
        <f>AL227/AL$224</f>
        <v>0.70368263516406682</v>
      </c>
      <c r="AN227" s="1719">
        <f>AN224-AN225</f>
        <v>363478</v>
      </c>
      <c r="AO227" s="1716">
        <f>AN227/AN$224</f>
        <v>0.54957263794200939</v>
      </c>
      <c r="AP227" s="1719">
        <f>AP224-AP225</f>
        <v>457025</v>
      </c>
      <c r="AQ227" s="1716">
        <f>AP227/AP$224</f>
        <v>0.60116121683106716</v>
      </c>
      <c r="AR227" s="1719">
        <f>AR224-AR225</f>
        <v>472706</v>
      </c>
      <c r="AS227" s="1716">
        <f>AR227/AR$224</f>
        <v>0.59358852167317755</v>
      </c>
      <c r="AT227" s="1719">
        <f>AT224-AT225</f>
        <v>1252353</v>
      </c>
      <c r="AU227" s="1716">
        <f>AT227/AT$224</f>
        <v>0.67909018888243611</v>
      </c>
      <c r="AV227" s="1719">
        <f>AV224-AV225</f>
        <v>323062</v>
      </c>
      <c r="AW227" s="1716">
        <f>AV227/AV$224</f>
        <v>0.49172073795705651</v>
      </c>
      <c r="AX227" s="1719">
        <f>AX224-AX225</f>
        <v>1270275</v>
      </c>
      <c r="AY227" s="1716">
        <f>AX227/AX$224</f>
        <v>0.61860406904659171</v>
      </c>
      <c r="AZ227" s="1719">
        <f>AZ224-AZ225</f>
        <v>656461</v>
      </c>
      <c r="BA227" s="1716">
        <f>AZ227/AZ$224</f>
        <v>0.64253470285042003</v>
      </c>
      <c r="BB227" s="1719">
        <f>BB224-BB225</f>
        <v>498009</v>
      </c>
      <c r="BC227" s="1716">
        <f>BB227/BB$224</f>
        <v>0.63734220306533018</v>
      </c>
      <c r="BD227" s="1719">
        <f>BD224-BD225</f>
        <v>594704</v>
      </c>
      <c r="BE227" s="1716">
        <f>BD227/BD$224</f>
        <v>0.60568260285942999</v>
      </c>
      <c r="BF227" s="1719">
        <f>BF224-BF225</f>
        <v>344637</v>
      </c>
      <c r="BG227" s="1716">
        <f>BF227/BF$224</f>
        <v>0.65440345737055272</v>
      </c>
      <c r="BH227" s="1719">
        <f>BH224-BH225</f>
        <v>467547</v>
      </c>
      <c r="BI227" s="1716">
        <f>BH227/BH$224</f>
        <v>0.67922859010677705</v>
      </c>
      <c r="BJ227" s="1719">
        <f>BJ224-BJ225</f>
        <v>854933</v>
      </c>
      <c r="BK227" s="1716">
        <f>BJ227/BJ$224</f>
        <v>0.59938094169774814</v>
      </c>
      <c r="BL227" s="1719">
        <f>BL224-BL225</f>
        <v>745941</v>
      </c>
      <c r="BM227" s="1716">
        <f>BL227/BL$224</f>
        <v>0.46477001410620022</v>
      </c>
      <c r="BN227" s="1719">
        <f>BN224-BN225</f>
        <v>0</v>
      </c>
      <c r="BO227" s="1716" t="e">
        <f>BN227/BN$224</f>
        <v>#DIV/0!</v>
      </c>
      <c r="BP227" s="1719">
        <f>BP224-BP225</f>
        <v>885756</v>
      </c>
      <c r="BQ227" s="1716">
        <f>BP227/BP$224</f>
        <v>0.63331345639872849</v>
      </c>
      <c r="BR227" s="1719">
        <f>BR224-BR225</f>
        <v>68476</v>
      </c>
      <c r="BS227" s="1716">
        <f>BR227/BR$224</f>
        <v>0.73038729427324989</v>
      </c>
      <c r="BT227" s="1719">
        <f>BT224-BT225</f>
        <v>281374</v>
      </c>
      <c r="BU227" s="1716">
        <f>BT227/BT$224</f>
        <v>0.671365546268614</v>
      </c>
      <c r="BV227" s="1719">
        <f>BV224-BV225</f>
        <v>320942</v>
      </c>
      <c r="BW227" s="1716">
        <f>BV227/BV$224</f>
        <v>0.74865928446962715</v>
      </c>
      <c r="BX227" s="1719">
        <f>BX224-BX225</f>
        <v>1537982</v>
      </c>
      <c r="BY227" s="1716">
        <f>BX227/BX$224</f>
        <v>0.737179493324565</v>
      </c>
      <c r="BZ227" s="1719">
        <f>BZ224-BZ225</f>
        <v>853867</v>
      </c>
      <c r="CA227" s="1716">
        <f>BZ227/BZ$224</f>
        <v>0.67746468145472893</v>
      </c>
      <c r="CB227" s="1719">
        <f>CB224-CB225</f>
        <v>261700</v>
      </c>
      <c r="CC227" s="1716">
        <f>CB227/CB$224</f>
        <v>0.63436426616635033</v>
      </c>
      <c r="CD227" s="1719">
        <f>CD224-CD225</f>
        <v>474453</v>
      </c>
      <c r="CE227" s="1716">
        <f>CD227/CD$224</f>
        <v>0.69575029695129997</v>
      </c>
      <c r="CF227" s="1719">
        <v>489471</v>
      </c>
      <c r="CG227" s="1716">
        <v>0.65130281587064187</v>
      </c>
      <c r="CH227" s="1719">
        <v>420895</v>
      </c>
      <c r="CI227" s="1716">
        <v>0.62507796859870379</v>
      </c>
      <c r="CJ227" s="1719">
        <v>462414</v>
      </c>
      <c r="CK227" s="1716">
        <v>0.62075825795590922</v>
      </c>
      <c r="CL227" s="1719">
        <v>1608709</v>
      </c>
      <c r="CM227" s="1716">
        <v>0.56529136746895869</v>
      </c>
      <c r="CN227" s="1719">
        <f>CN224-CN225</f>
        <v>615450</v>
      </c>
      <c r="CO227" s="1716">
        <f>CN227/CN$224</f>
        <v>0.53825554303945367</v>
      </c>
      <c r="CP227" s="1719">
        <f>CP224-CP225</f>
        <v>418000</v>
      </c>
      <c r="CQ227" s="1716">
        <f>CP227/CP$224</f>
        <v>0.72910325532393638</v>
      </c>
      <c r="CR227" s="1719">
        <v>904272</v>
      </c>
      <c r="CS227" s="1716">
        <v>0.6772522912177662</v>
      </c>
      <c r="CT227" s="1719">
        <f>CT224-CT225</f>
        <v>7927</v>
      </c>
      <c r="CU227" s="1716">
        <f>CT227/CT$224</f>
        <v>9.9547784066577848E-3</v>
      </c>
      <c r="CV227" s="1719">
        <f>CV224-CV225</f>
        <v>1119204</v>
      </c>
      <c r="CW227" s="1716">
        <f>CV227/CV$224</f>
        <v>0.41476870760652407</v>
      </c>
      <c r="CX227" s="1719">
        <f>CX224-CX225</f>
        <v>432811</v>
      </c>
      <c r="CY227" s="1716">
        <f>CX227/CX$224</f>
        <v>0.63971450066438162</v>
      </c>
      <c r="CZ227" s="1719">
        <v>193033</v>
      </c>
      <c r="DA227" s="1716">
        <v>0.70084486383060607</v>
      </c>
      <c r="DB227" s="1719">
        <v>670076</v>
      </c>
      <c r="DC227" s="1716">
        <v>0.65701712757237152</v>
      </c>
      <c r="DD227" s="1719">
        <v>274903</v>
      </c>
      <c r="DE227" s="1716">
        <v>0.66401370041690622</v>
      </c>
      <c r="DF227" s="1719">
        <v>937601</v>
      </c>
      <c r="DG227" s="1716">
        <v>0.71823429151425777</v>
      </c>
      <c r="DH227" s="1719">
        <v>519312</v>
      </c>
      <c r="DI227" s="1716">
        <v>0.72109740908036868</v>
      </c>
      <c r="DJ227" s="1719">
        <v>383945</v>
      </c>
      <c r="DK227" s="1716">
        <v>0.61987500625614511</v>
      </c>
      <c r="DL227" s="1719">
        <v>444810</v>
      </c>
      <c r="DM227" s="1716">
        <v>0.70421888556067103</v>
      </c>
      <c r="DN227" s="1719">
        <f>DN224-DN225</f>
        <v>268961</v>
      </c>
      <c r="DO227" s="1716">
        <f>DN227/DN$224</f>
        <v>0.45322128662735933</v>
      </c>
      <c r="DP227" s="1719">
        <f>DP224-DP225</f>
        <v>26014</v>
      </c>
      <c r="DQ227" s="1716">
        <f>DP227/DP$224</f>
        <v>0.32736012886014143</v>
      </c>
      <c r="DR227" s="1719">
        <f>DR224-DR225</f>
        <v>129038</v>
      </c>
      <c r="DS227" s="1716">
        <f>DR227/DR$224</f>
        <v>0.49626373457324274</v>
      </c>
      <c r="DT227" s="1719">
        <f>DT224-DT225</f>
        <v>379670</v>
      </c>
      <c r="DU227" s="1716">
        <f>DT227/DT$224</f>
        <v>0.76276941127308373</v>
      </c>
      <c r="DV227" s="1719">
        <f>DV224-DV225</f>
        <v>310318</v>
      </c>
      <c r="DW227" s="1716">
        <f>DV227/DV$224</f>
        <v>0.70751292737868332</v>
      </c>
      <c r="DX227" s="1719">
        <f>DX224-DX225</f>
        <v>534664</v>
      </c>
      <c r="DY227" s="1716">
        <f>DX227/DX$224</f>
        <v>0.65423051462175785</v>
      </c>
      <c r="DZ227" s="1719">
        <f>DZ224-DZ225</f>
        <v>424193</v>
      </c>
      <c r="EA227" s="1716">
        <f>DZ227/DZ$224</f>
        <v>0.63430159878939407</v>
      </c>
      <c r="EB227" s="1719">
        <f>EB224-EB225</f>
        <v>492713</v>
      </c>
      <c r="EC227" s="1716">
        <f>EB227/EB$224</f>
        <v>0.50342436011006175</v>
      </c>
      <c r="ED227" s="1719">
        <f>ED224-ED225</f>
        <v>289615</v>
      </c>
      <c r="EE227" s="1716">
        <f>ED227/ED$224</f>
        <v>0.679759655443546</v>
      </c>
      <c r="EF227" s="1719">
        <f>EF224-EF225</f>
        <v>184261</v>
      </c>
      <c r="EG227" s="1716">
        <f>EF227/EF$224</f>
        <v>0.65356771692364446</v>
      </c>
      <c r="EH227" s="1719">
        <f>EH224-EH225</f>
        <v>1122180</v>
      </c>
      <c r="EI227" s="1716">
        <f>EH227/EH$224</f>
        <v>0.70474173662712702</v>
      </c>
      <c r="EJ227" s="1719">
        <f>EJ224-EJ225</f>
        <v>260750</v>
      </c>
      <c r="EK227" s="1716">
        <f>EJ227/EJ$224</f>
        <v>0.64331409764558145</v>
      </c>
      <c r="EL227" s="1719">
        <f>EL224-EL225</f>
        <v>627855</v>
      </c>
      <c r="EM227" s="1716">
        <f>EL227/EL$224</f>
        <v>0.6175627000411148</v>
      </c>
      <c r="EN227" s="1719">
        <f>EN224-EN225</f>
        <v>529174</v>
      </c>
      <c r="EO227" s="1716">
        <f>EN227/EN$224</f>
        <v>0.51063981719508711</v>
      </c>
      <c r="EP227" s="1719">
        <f>EP224-EP225</f>
        <v>501894</v>
      </c>
      <c r="EQ227" s="1716">
        <f>EP227/EP$224</f>
        <v>0.74998543047347221</v>
      </c>
      <c r="ER227" s="1719">
        <f>ER224-ER225</f>
        <v>146969</v>
      </c>
      <c r="ES227" s="1716">
        <f>ER227/ER$224</f>
        <v>0.47116623814622699</v>
      </c>
      <c r="ET227" s="1719">
        <f>ET224-ET225</f>
        <v>970467</v>
      </c>
      <c r="EU227" s="1716">
        <f>ET227/ET$224</f>
        <v>0.68078391373216962</v>
      </c>
      <c r="EV227" s="1719">
        <f>EV224-EV225</f>
        <v>554073</v>
      </c>
      <c r="EW227" s="1716">
        <f>EV227/EV$224</f>
        <v>0.73010399316902452</v>
      </c>
      <c r="EX227" s="1719">
        <f>EX224-EX225</f>
        <v>339032</v>
      </c>
      <c r="EY227" s="1716">
        <f>EX227/EX$224</f>
        <v>0.63931511111530159</v>
      </c>
      <c r="EZ227" s="1719">
        <f>EZ224-EZ225</f>
        <v>207899</v>
      </c>
      <c r="FA227" s="1716">
        <f>EZ227/EZ$224</f>
        <v>0.64799351691679519</v>
      </c>
      <c r="FB227" s="1719">
        <f>FB224-FB225</f>
        <v>312727</v>
      </c>
      <c r="FC227" s="1716">
        <f>FB227/FB$224</f>
        <v>0.70189610051487383</v>
      </c>
      <c r="FD227" s="1719">
        <f>FD224-FD225</f>
        <v>496705</v>
      </c>
      <c r="FE227" s="1716">
        <f>FD227/FD$224</f>
        <v>0.59108396830289089</v>
      </c>
      <c r="FF227" s="1719">
        <f>FF224-FF225</f>
        <v>964352</v>
      </c>
      <c r="FG227" s="1716">
        <f>FF227/FF$224</f>
        <v>0.72533846801853297</v>
      </c>
      <c r="FH227" s="1719">
        <f>FH224-FH225</f>
        <v>342160</v>
      </c>
      <c r="FI227" s="1716">
        <f>FH227/FH$224</f>
        <v>0.71084888020941539</v>
      </c>
      <c r="FJ227" s="1719">
        <f>FJ224-FJ225</f>
        <v>534788</v>
      </c>
      <c r="FK227" s="1716">
        <f>FJ227/FJ$224</f>
        <v>0.7399359943770244</v>
      </c>
      <c r="FL227" s="1719">
        <f>FL224-FL225</f>
        <v>280316</v>
      </c>
      <c r="FM227" s="1716">
        <f>FL227/FL$224</f>
        <v>0.69182225403210884</v>
      </c>
      <c r="FN227" s="1719">
        <f>FN224-FN225</f>
        <v>799229</v>
      </c>
      <c r="FO227" s="1716">
        <f>FN227/FN$224</f>
        <v>0.56874749153883597</v>
      </c>
      <c r="FP227" s="1719">
        <f>FP224-FP225</f>
        <v>178489</v>
      </c>
      <c r="FQ227" s="1716">
        <f>FP227/FP$224</f>
        <v>0.63915676240882058</v>
      </c>
      <c r="FR227" s="1719">
        <f>FR224-FR225</f>
        <v>1423761</v>
      </c>
      <c r="FS227" s="1716">
        <f>FR227/FR$224</f>
        <v>0.54982315043624441</v>
      </c>
      <c r="FT227" s="1719">
        <f>FT224-FT225</f>
        <v>993260</v>
      </c>
      <c r="FU227" s="1716">
        <f>FT227/FT$224</f>
        <v>0.63597172235351673</v>
      </c>
      <c r="FV227" s="1719">
        <f>FV224-FV225</f>
        <v>524095</v>
      </c>
      <c r="FW227" s="1716">
        <f>FV227/FV$224</f>
        <v>0.56249423118615394</v>
      </c>
      <c r="FX227" s="1719">
        <f>FX224-FX225</f>
        <v>341133</v>
      </c>
      <c r="FY227" s="1716">
        <f>FX227/FX$224</f>
        <v>0.6495148625697813</v>
      </c>
      <c r="FZ227" s="1719">
        <f>FZ224-FZ225</f>
        <v>317705</v>
      </c>
      <c r="GA227" s="1716">
        <f>FZ227/FZ$224</f>
        <v>0.66656665876394428</v>
      </c>
      <c r="GB227" s="1719">
        <f>GB224-GB225</f>
        <v>144661</v>
      </c>
      <c r="GC227" s="1716">
        <f>GB227/GB$224</f>
        <v>0.57224175919809173</v>
      </c>
      <c r="GD227" s="1719">
        <f>GD224-GD225</f>
        <v>347041</v>
      </c>
      <c r="GE227" s="1716">
        <f>GD227/GD$224</f>
        <v>0.60934523318309275</v>
      </c>
      <c r="GF227" s="1719">
        <f>GF224-GF225</f>
        <v>398245</v>
      </c>
      <c r="GG227" s="1716">
        <f>GF227/GF$224</f>
        <v>0.64106712254234399</v>
      </c>
      <c r="GH227" s="1719">
        <f>GH224-GH225</f>
        <v>192085</v>
      </c>
      <c r="GI227" s="1716">
        <f>GH227/GH$224</f>
        <v>0.71895094582556685</v>
      </c>
      <c r="GJ227" s="1719">
        <f>GJ224-GJ225</f>
        <v>2482556</v>
      </c>
      <c r="GK227" s="1716">
        <f>GJ227/GJ$224</f>
        <v>0.70027003157279222</v>
      </c>
      <c r="GL227" s="1719">
        <f>GL224-GL225</f>
        <v>447795</v>
      </c>
      <c r="GM227" s="1716">
        <f>GL227/GL$224</f>
        <v>0.63758308036655031</v>
      </c>
      <c r="GN227" s="1719">
        <f>GN224-GN225</f>
        <v>197444</v>
      </c>
      <c r="GO227" s="1716">
        <f>GN227/GN$224</f>
        <v>0.64456145963574396</v>
      </c>
      <c r="GP227" s="1719">
        <f>GP224-GP225</f>
        <v>334869</v>
      </c>
      <c r="GQ227" s="1716">
        <f>GP227/GP$224</f>
        <v>0.59544863713390028</v>
      </c>
      <c r="GR227" s="1719">
        <f>GR224-GR225</f>
        <v>349980</v>
      </c>
      <c r="GS227" s="1716">
        <f>GR227/GR$224</f>
        <v>0.67996098743748856</v>
      </c>
      <c r="GT227" s="1719">
        <f>GT224-GT225</f>
        <v>658840</v>
      </c>
      <c r="GU227" s="1716">
        <f>GT227/GT$224</f>
        <v>0.68358013214250146</v>
      </c>
      <c r="GV227" s="1719">
        <f>GV224-GV225</f>
        <v>768615</v>
      </c>
      <c r="GW227" s="1716">
        <f>GV227/GV$224</f>
        <v>0.60543844199136998</v>
      </c>
      <c r="GX227" s="1719">
        <f>GX224-GX225</f>
        <v>372778</v>
      </c>
      <c r="GY227" s="1716">
        <f>GX227/GX$224</f>
        <v>0.6620267596779178</v>
      </c>
      <c r="GZ227" s="1719">
        <f>GZ224-GZ225</f>
        <v>874374</v>
      </c>
      <c r="HA227" s="1716">
        <f>GZ227/GZ$224</f>
        <v>0.67667207360033677</v>
      </c>
      <c r="HB227" s="1719">
        <f>HB224-HB225</f>
        <v>84262</v>
      </c>
      <c r="HC227" s="1716">
        <f>HB227/HB$224</f>
        <v>0.70770342000940667</v>
      </c>
      <c r="HD227" s="1719">
        <f>HD224-HD225</f>
        <v>346818</v>
      </c>
      <c r="HE227" s="1716">
        <f>HD227/HD$224</f>
        <v>0.68305143496380094</v>
      </c>
      <c r="HF227" s="2036">
        <f>HF224-HF225</f>
        <v>1035725</v>
      </c>
      <c r="HG227" s="2033">
        <f>HF227/HF$224</f>
        <v>0.53259952896650309</v>
      </c>
      <c r="HH227" s="1719">
        <f>HH224-HH225</f>
        <v>526587</v>
      </c>
      <c r="HI227" s="1716">
        <f>HH227/HH$224</f>
        <v>0.50580547620465555</v>
      </c>
      <c r="HJ227" s="1719">
        <f>HJ224-HJ225</f>
        <v>1590494</v>
      </c>
      <c r="HK227" s="1716">
        <f>HJ227/HJ$224</f>
        <v>0.6800784370066687</v>
      </c>
      <c r="HL227" s="1719">
        <f>HL224-HL225</f>
        <v>346898</v>
      </c>
      <c r="HM227" s="1716">
        <f>HL227/HL$224</f>
        <v>0.72760183652880117</v>
      </c>
      <c r="HN227" s="1719">
        <f>HN224-HN225</f>
        <v>205476</v>
      </c>
      <c r="HO227" s="1716">
        <f>HN227/HN$224</f>
        <v>0.6033421129130293</v>
      </c>
      <c r="HP227" s="2036">
        <f>HP224-HP225</f>
        <v>900737</v>
      </c>
      <c r="HQ227" s="2033">
        <f>HP227/HP$224</f>
        <v>0.56279671045807911</v>
      </c>
      <c r="HR227" s="1719">
        <f>HR224-HR225</f>
        <v>347815</v>
      </c>
      <c r="HS227" s="1716">
        <f>HR227/HR$224</f>
        <v>0.61845432205891249</v>
      </c>
      <c r="HT227" s="2036">
        <f>HT224-HT225</f>
        <v>279910</v>
      </c>
      <c r="HU227" s="2033">
        <f>HT227/HT$224</f>
        <v>0.55652426331266236</v>
      </c>
      <c r="HV227" s="2036">
        <f>HV224-HV225</f>
        <v>230956</v>
      </c>
      <c r="HW227" s="2033">
        <f>HV227/HV$224</f>
        <v>0.62896856736692464</v>
      </c>
      <c r="HX227" s="2036">
        <f>HX224-HX225</f>
        <v>330235</v>
      </c>
      <c r="HY227" s="2033">
        <f>HX227/HX$224</f>
        <v>0.63091539904704041</v>
      </c>
      <c r="HZ227" s="2036">
        <f>HZ224-HZ225</f>
        <v>338205</v>
      </c>
      <c r="IA227" s="2033">
        <f>HZ227/HZ$224</f>
        <v>0.67984730798919335</v>
      </c>
      <c r="IB227" s="1719">
        <f>IB224-IB225</f>
        <v>330151</v>
      </c>
      <c r="IC227" s="1716">
        <f>IB227/IB$224</f>
        <v>0.6315681743402175</v>
      </c>
      <c r="ID227" s="2036">
        <f>ID224-ID225</f>
        <v>446819</v>
      </c>
      <c r="IE227" s="2033">
        <f>ID227/ID$224</f>
        <v>0.69819396091030117</v>
      </c>
      <c r="IF227" s="2036">
        <f>IF224-IF225</f>
        <v>590005</v>
      </c>
      <c r="IG227" s="2033">
        <f>IF227/IF$224</f>
        <v>0.65935901906090189</v>
      </c>
    </row>
    <row r="228" spans="1:241" ht="16.2" thickTop="1">
      <c r="A228" s="1149"/>
      <c r="B228" s="1149"/>
      <c r="C228" s="1149"/>
      <c r="D228" s="1149"/>
      <c r="E228" s="1143"/>
      <c r="F228" s="1717"/>
      <c r="G228" s="1356"/>
      <c r="H228" s="1717"/>
      <c r="I228" s="1356"/>
      <c r="J228" s="1717"/>
      <c r="K228" s="1356"/>
      <c r="L228" s="1717"/>
      <c r="M228" s="1356"/>
      <c r="N228" s="1717"/>
      <c r="O228" s="1356"/>
      <c r="P228" s="1717"/>
      <c r="Q228" s="1356"/>
      <c r="R228" s="1717"/>
      <c r="T228" s="1717"/>
      <c r="U228" s="1356"/>
      <c r="V228" s="1717"/>
      <c r="W228" s="1356"/>
      <c r="X228" s="1717"/>
      <c r="Y228" s="1356"/>
      <c r="Z228" s="1717"/>
      <c r="AA228" s="1356"/>
      <c r="AB228" s="1717"/>
      <c r="AC228" s="1356"/>
      <c r="AD228" s="1717"/>
      <c r="AE228" s="1356"/>
      <c r="AF228" s="1717"/>
      <c r="AG228" s="1356"/>
      <c r="AH228" s="1717"/>
      <c r="AI228" s="1356"/>
      <c r="AJ228" s="1717"/>
      <c r="AK228" s="1356"/>
      <c r="AL228" s="1717"/>
      <c r="AM228" s="1356"/>
      <c r="AN228" s="1717"/>
      <c r="AO228" s="1356"/>
      <c r="AP228" s="1717"/>
      <c r="AQ228" s="1356"/>
      <c r="AR228" s="1717"/>
      <c r="AS228" s="1356"/>
      <c r="AT228" s="1717"/>
      <c r="AU228" s="1356"/>
      <c r="AV228" s="1717"/>
      <c r="AW228" s="1356"/>
      <c r="AX228" s="1717"/>
      <c r="AY228" s="1356"/>
      <c r="AZ228" s="1717"/>
      <c r="BA228" s="1356"/>
      <c r="BB228" s="1717"/>
      <c r="BC228" s="1356"/>
      <c r="BD228" s="1717"/>
      <c r="BE228" s="1356"/>
      <c r="BF228" s="1717"/>
      <c r="BG228" s="1356"/>
      <c r="BH228" s="1717"/>
      <c r="BI228" s="1356"/>
      <c r="BJ228" s="1717"/>
      <c r="BK228" s="1356"/>
      <c r="BL228" s="1717"/>
      <c r="BM228" s="1356"/>
      <c r="BN228" s="1717"/>
      <c r="BO228" s="1356"/>
      <c r="BP228" s="1717"/>
      <c r="BQ228" s="1356"/>
      <c r="BR228" s="1717"/>
      <c r="BS228" s="1356"/>
      <c r="BT228" s="1717"/>
      <c r="BU228" s="1356"/>
      <c r="BV228" s="1717"/>
      <c r="BW228" s="1356"/>
      <c r="BX228" s="1717"/>
      <c r="BY228" s="1356"/>
      <c r="BZ228" s="1717"/>
      <c r="CA228" s="1356"/>
      <c r="CB228" s="1717"/>
      <c r="CC228" s="1356"/>
      <c r="CD228" s="1717"/>
      <c r="CE228" s="1356"/>
      <c r="CF228" s="1717"/>
      <c r="CG228" s="1356"/>
      <c r="CH228" s="1717"/>
      <c r="CI228" s="1356"/>
      <c r="CJ228" s="1717"/>
      <c r="CK228" s="1356"/>
      <c r="CL228" s="1717"/>
      <c r="CM228" s="1356"/>
      <c r="CN228" s="1717"/>
      <c r="CO228" s="1356"/>
      <c r="CP228" s="1717"/>
      <c r="CQ228" s="1356"/>
      <c r="CR228" s="1717"/>
      <c r="CS228" s="1356"/>
      <c r="CT228" s="1717"/>
      <c r="CU228" s="1356"/>
      <c r="CV228" s="1717"/>
      <c r="CW228" s="1356"/>
      <c r="CX228" s="1717"/>
      <c r="CY228" s="1356"/>
      <c r="CZ228" s="1717"/>
      <c r="DA228" s="1356"/>
      <c r="DB228" s="1717"/>
      <c r="DC228" s="1356"/>
      <c r="DD228" s="1717"/>
      <c r="DE228" s="1356"/>
      <c r="DF228" s="1717"/>
      <c r="DG228" s="1356"/>
      <c r="DH228" s="1717"/>
      <c r="DI228" s="1356"/>
      <c r="DJ228" s="1717"/>
      <c r="DK228" s="1356"/>
      <c r="DL228" s="1717"/>
      <c r="DM228" s="1356"/>
      <c r="DN228" s="1717"/>
      <c r="DO228" s="1356"/>
      <c r="DP228" s="1717"/>
      <c r="DQ228" s="1356"/>
      <c r="DR228" s="1717"/>
      <c r="DS228" s="1356"/>
      <c r="DT228" s="1717"/>
      <c r="DU228" s="1356"/>
      <c r="DV228" s="1717"/>
      <c r="DW228" s="1356"/>
      <c r="DX228" s="1717"/>
      <c r="DY228" s="1356"/>
      <c r="DZ228" s="1717"/>
      <c r="EA228" s="1356"/>
      <c r="EB228" s="1717"/>
      <c r="EC228" s="1356"/>
      <c r="ED228" s="1717"/>
      <c r="EE228" s="1356"/>
      <c r="EF228" s="1717"/>
      <c r="EG228" s="1356"/>
      <c r="EH228" s="1717"/>
      <c r="EI228" s="1356"/>
      <c r="EJ228" s="1717"/>
      <c r="EK228" s="1356"/>
      <c r="EL228" s="1717"/>
      <c r="EM228" s="1356"/>
      <c r="EN228" s="1717"/>
      <c r="EO228" s="1356"/>
      <c r="EP228" s="1717"/>
      <c r="EQ228" s="1356"/>
      <c r="ER228" s="1717"/>
      <c r="ES228" s="1356"/>
      <c r="ET228" s="1717"/>
      <c r="EU228" s="1356"/>
      <c r="EV228" s="1717"/>
      <c r="EW228" s="1356"/>
      <c r="EX228" s="1717"/>
      <c r="EY228" s="1356"/>
      <c r="EZ228" s="1717"/>
      <c r="FA228" s="1356"/>
      <c r="FB228" s="1717"/>
      <c r="FC228" s="1356"/>
      <c r="FD228" s="1717"/>
      <c r="FE228" s="1356"/>
      <c r="FF228" s="1717"/>
      <c r="FG228" s="1356"/>
      <c r="FH228" s="1717"/>
      <c r="FI228" s="1356"/>
      <c r="FJ228" s="1717"/>
      <c r="FK228" s="1356"/>
      <c r="FL228" s="1717"/>
      <c r="FM228" s="1356"/>
      <c r="FN228" s="1717"/>
      <c r="FO228" s="1356"/>
      <c r="FP228" s="1717"/>
      <c r="FQ228" s="1356"/>
      <c r="FR228" s="1717"/>
      <c r="FS228" s="1356"/>
      <c r="FT228" s="1717"/>
      <c r="FU228" s="1356"/>
      <c r="FV228" s="1717"/>
      <c r="FW228" s="1356"/>
      <c r="FX228" s="1717"/>
      <c r="FY228" s="1356"/>
      <c r="FZ228" s="1717"/>
      <c r="GA228" s="1356"/>
      <c r="GB228" s="1717"/>
      <c r="GC228" s="1356"/>
      <c r="GD228" s="1717"/>
      <c r="GE228" s="1356"/>
      <c r="GF228" s="1717"/>
      <c r="GG228" s="1356"/>
      <c r="GH228" s="1717"/>
      <c r="GI228" s="1356"/>
      <c r="GJ228" s="1717"/>
      <c r="GK228" s="1356"/>
      <c r="GL228" s="1717"/>
      <c r="GM228" s="1356"/>
      <c r="GN228" s="1717"/>
      <c r="GO228" s="1356"/>
      <c r="GP228" s="1717"/>
      <c r="GQ228" s="1356"/>
      <c r="GR228" s="1717"/>
      <c r="GS228" s="1356"/>
      <c r="GT228" s="1717"/>
      <c r="GU228" s="1356"/>
      <c r="GV228" s="1717"/>
      <c r="GW228" s="1356"/>
      <c r="GX228" s="1717"/>
      <c r="GY228" s="1356"/>
      <c r="GZ228" s="1717"/>
      <c r="HA228" s="1356"/>
      <c r="HB228" s="1717"/>
      <c r="HC228" s="1356"/>
      <c r="HD228" s="1717"/>
      <c r="HE228" s="1356"/>
      <c r="HF228" s="2034"/>
      <c r="HH228" s="1717"/>
      <c r="HI228" s="1356"/>
      <c r="HJ228" s="1717"/>
      <c r="HK228" s="1356"/>
      <c r="HL228" s="1717"/>
      <c r="HM228" s="1356"/>
      <c r="HN228" s="1717"/>
      <c r="HO228" s="1356"/>
      <c r="HP228" s="2034"/>
      <c r="HR228" s="1717"/>
      <c r="HS228" s="1356"/>
      <c r="HT228" s="2034"/>
      <c r="HV228" s="2034"/>
      <c r="HX228" s="2034"/>
      <c r="HZ228" s="2034"/>
      <c r="IB228" s="1717"/>
      <c r="IC228" s="1356"/>
      <c r="ID228" s="2034"/>
      <c r="IF228" s="2034"/>
    </row>
    <row r="229" spans="1:241">
      <c r="A229" s="1149"/>
      <c r="B229" s="1149" t="s">
        <v>26</v>
      </c>
      <c r="C229" s="1149"/>
      <c r="D229" s="1149"/>
      <c r="E229" s="1143"/>
      <c r="F229" s="1722">
        <f>F224+F219</f>
        <v>1762015</v>
      </c>
      <c r="G229" s="1716">
        <f>F229/F$229</f>
        <v>1</v>
      </c>
      <c r="H229" s="1722">
        <f>H224+H219</f>
        <v>2566185</v>
      </c>
      <c r="I229" s="1716">
        <f>H229/H$229</f>
        <v>1</v>
      </c>
      <c r="J229" s="1722">
        <f>J224+J219</f>
        <v>1271444</v>
      </c>
      <c r="K229" s="1716">
        <f>J229/J$229</f>
        <v>1</v>
      </c>
      <c r="L229" s="1722">
        <f>L224+L219</f>
        <v>10915990</v>
      </c>
      <c r="M229" s="1716">
        <f>L229/L$229</f>
        <v>1</v>
      </c>
      <c r="N229" s="1722">
        <f>N224+N219</f>
        <v>1426416</v>
      </c>
      <c r="O229" s="1716">
        <f>N229/N$229</f>
        <v>1</v>
      </c>
      <c r="P229" s="1722">
        <f>P224+P219</f>
        <v>6521096</v>
      </c>
      <c r="Q229" s="1716">
        <f>P229/P$229</f>
        <v>1</v>
      </c>
      <c r="R229" s="1722">
        <f>R224+R219</f>
        <v>4665988</v>
      </c>
      <c r="S229" s="1716">
        <f>R229/R$229</f>
        <v>1</v>
      </c>
      <c r="T229" s="1722">
        <f>T224+T219</f>
        <v>3266576</v>
      </c>
      <c r="U229" s="1716">
        <f>T229/T$229</f>
        <v>1</v>
      </c>
      <c r="V229" s="1722">
        <f>V224+V219</f>
        <v>1473778</v>
      </c>
      <c r="W229" s="1716">
        <f>V229/V$229</f>
        <v>1</v>
      </c>
      <c r="X229" s="1722">
        <f>X224+X219</f>
        <v>9405596</v>
      </c>
      <c r="Y229" s="1716">
        <f>X229/X$229</f>
        <v>1</v>
      </c>
      <c r="Z229" s="1722">
        <f>Z224+Z219</f>
        <v>3061288</v>
      </c>
      <c r="AA229" s="1716">
        <f>Z229/Z$229</f>
        <v>1</v>
      </c>
      <c r="AB229" s="1722">
        <f>AB224+AB219</f>
        <v>1137411</v>
      </c>
      <c r="AC229" s="1716">
        <f>AB229/AB$229</f>
        <v>1</v>
      </c>
      <c r="AD229" s="1722">
        <f>AD224+AD219</f>
        <v>5104717</v>
      </c>
      <c r="AE229" s="1716">
        <f>AD229/AD$229</f>
        <v>1</v>
      </c>
      <c r="AF229" s="1722">
        <f>AF224+AF219</f>
        <v>3513978</v>
      </c>
      <c r="AG229" s="1716">
        <f>AF229/AF$229</f>
        <v>1</v>
      </c>
      <c r="AH229" s="1722">
        <f>AH224+AH219</f>
        <v>1838050</v>
      </c>
      <c r="AI229" s="1716">
        <f>AH229/AH$229</f>
        <v>1</v>
      </c>
      <c r="AJ229" s="1722">
        <f>AJ224+AJ219</f>
        <v>1668643</v>
      </c>
      <c r="AK229" s="1716">
        <f>AJ229/AJ$229</f>
        <v>1</v>
      </c>
      <c r="AL229" s="1722">
        <f>AL224+AL219</f>
        <v>4216435</v>
      </c>
      <c r="AM229" s="1716">
        <f>AL229/AL$229</f>
        <v>1</v>
      </c>
      <c r="AN229" s="1722">
        <f>AN224+AN219</f>
        <v>1850770</v>
      </c>
      <c r="AO229" s="1716">
        <f>AN229/AN$229</f>
        <v>1</v>
      </c>
      <c r="AP229" s="1722">
        <f>AP224+AP219</f>
        <v>1969435</v>
      </c>
      <c r="AQ229" s="1716">
        <f>AP229/AP$229</f>
        <v>1</v>
      </c>
      <c r="AR229" s="1722">
        <f>AR224+AR219</f>
        <v>3387725</v>
      </c>
      <c r="AS229" s="1716">
        <f>AR229/AR$229</f>
        <v>1</v>
      </c>
      <c r="AT229" s="1722">
        <f>AT224+AT219</f>
        <v>5017229</v>
      </c>
      <c r="AU229" s="1716">
        <f>AT229/AT$229</f>
        <v>1</v>
      </c>
      <c r="AV229" s="1722">
        <f>AV224+AV219</f>
        <v>2147896</v>
      </c>
      <c r="AW229" s="1716">
        <f>AV229/AV$229</f>
        <v>1</v>
      </c>
      <c r="AX229" s="1722">
        <f>AX224+AX219</f>
        <v>5853749</v>
      </c>
      <c r="AY229" s="1716">
        <f>AX229/AX$229</f>
        <v>1</v>
      </c>
      <c r="AZ229" s="1722">
        <f>AZ224+AZ219</f>
        <v>2598773</v>
      </c>
      <c r="BA229" s="1716">
        <f>AZ229/AZ$229</f>
        <v>1</v>
      </c>
      <c r="BB229" s="1722">
        <f>BB224+BB219</f>
        <v>2482715</v>
      </c>
      <c r="BC229" s="1716">
        <f>BB229/BB$229</f>
        <v>1</v>
      </c>
      <c r="BD229" s="1722">
        <f>BD224+BD219</f>
        <v>3253270</v>
      </c>
      <c r="BE229" s="1716">
        <f>BD229/BD$229</f>
        <v>1</v>
      </c>
      <c r="BF229" s="1722">
        <f>BF224+BF219</f>
        <v>1415866</v>
      </c>
      <c r="BG229" s="1716">
        <f>BF229/BF$229</f>
        <v>1</v>
      </c>
      <c r="BH229" s="1722">
        <f>BH224+BH219</f>
        <v>2057373</v>
      </c>
      <c r="BI229" s="1716">
        <f>BH229/BH$229</f>
        <v>1</v>
      </c>
      <c r="BJ229" s="1722">
        <f>BJ224+BJ219</f>
        <v>3461256</v>
      </c>
      <c r="BK229" s="1716">
        <f>BJ229/BJ$229</f>
        <v>1</v>
      </c>
      <c r="BL229" s="1722">
        <f>BL224+BL219</f>
        <v>3825684</v>
      </c>
      <c r="BM229" s="1716">
        <f>BL229/BL$229</f>
        <v>1</v>
      </c>
      <c r="BN229" s="1722">
        <f>BN224+BN219</f>
        <v>0</v>
      </c>
      <c r="BO229" s="1716" t="e">
        <f>BN229/BN$229</f>
        <v>#DIV/0!</v>
      </c>
      <c r="BP229" s="1722">
        <f>BP224+BP219</f>
        <v>3574503</v>
      </c>
      <c r="BQ229" s="1716">
        <f>BP229/BP$229</f>
        <v>1</v>
      </c>
      <c r="BR229" s="1722">
        <f>BR224+BR219</f>
        <v>550309</v>
      </c>
      <c r="BS229" s="1716">
        <f>BR229/BR$229</f>
        <v>1</v>
      </c>
      <c r="BT229" s="1722">
        <f>BT224+BT219</f>
        <v>1466494</v>
      </c>
      <c r="BU229" s="1716">
        <f>BT229/BT$229</f>
        <v>1</v>
      </c>
      <c r="BV229" s="1722">
        <f>BV224+BV219</f>
        <v>1572731</v>
      </c>
      <c r="BW229" s="1716">
        <f>BV229/BV$229</f>
        <v>1</v>
      </c>
      <c r="BX229" s="1722">
        <f>BX224+BX219</f>
        <v>5236376</v>
      </c>
      <c r="BY229" s="1716">
        <f>BX229/BX$229</f>
        <v>1</v>
      </c>
      <c r="BZ229" s="1722">
        <f>BZ224+BZ219</f>
        <v>4326631</v>
      </c>
      <c r="CA229" s="1716">
        <f>BZ229/BZ$229</f>
        <v>1</v>
      </c>
      <c r="CB229" s="1722">
        <f>CB224+CB219</f>
        <v>1371991</v>
      </c>
      <c r="CC229" s="1716">
        <f>CB229/CB$229</f>
        <v>1</v>
      </c>
      <c r="CD229" s="1722">
        <f>CD224+CD219</f>
        <v>1801733</v>
      </c>
      <c r="CE229" s="1716">
        <f>CD229/CD$229</f>
        <v>1</v>
      </c>
      <c r="CF229" s="1722">
        <v>2345227</v>
      </c>
      <c r="CG229" s="1716">
        <v>1</v>
      </c>
      <c r="CH229" s="1722">
        <v>1859971</v>
      </c>
      <c r="CI229" s="1716">
        <v>1</v>
      </c>
      <c r="CJ229" s="1722">
        <v>1753927</v>
      </c>
      <c r="CK229" s="1716">
        <v>1</v>
      </c>
      <c r="CL229" s="1722">
        <v>7502344</v>
      </c>
      <c r="CM229" s="1716">
        <v>1</v>
      </c>
      <c r="CN229" s="1722">
        <f>CN224+CN219</f>
        <v>3380500</v>
      </c>
      <c r="CO229" s="1716">
        <f>CN229/CN$229</f>
        <v>1</v>
      </c>
      <c r="CP229" s="1722">
        <f>CP224+CP219</f>
        <v>1957621</v>
      </c>
      <c r="CQ229" s="1716">
        <f>CP229/CP$229</f>
        <v>1</v>
      </c>
      <c r="CR229" s="1722">
        <v>4415619</v>
      </c>
      <c r="CS229" s="1716">
        <v>1</v>
      </c>
      <c r="CT229" s="1722">
        <f>CT224+CT219</f>
        <v>2491986</v>
      </c>
      <c r="CU229" s="1716">
        <f>CT229/CT$229</f>
        <v>1</v>
      </c>
      <c r="CV229" s="1722">
        <f>CV224+CV219</f>
        <v>6834323</v>
      </c>
      <c r="CW229" s="1716">
        <f>CV229/CV$229</f>
        <v>1</v>
      </c>
      <c r="CX229" s="1722">
        <f>CX224+CX219</f>
        <v>4179740</v>
      </c>
      <c r="CY229" s="1716">
        <f>CX229/CX$229</f>
        <v>1</v>
      </c>
      <c r="CZ229" s="1722">
        <v>971946</v>
      </c>
      <c r="DA229" s="1716">
        <v>1</v>
      </c>
      <c r="DB229" s="1722">
        <v>3364709</v>
      </c>
      <c r="DC229" s="1716">
        <v>1</v>
      </c>
      <c r="DD229" s="1722">
        <v>1251158</v>
      </c>
      <c r="DE229" s="1716">
        <v>1</v>
      </c>
      <c r="DF229" s="1722">
        <v>7720047</v>
      </c>
      <c r="DG229" s="1716">
        <v>1</v>
      </c>
      <c r="DH229" s="1722">
        <v>2297355</v>
      </c>
      <c r="DI229" s="1716">
        <v>1</v>
      </c>
      <c r="DJ229" s="1722">
        <v>1995932</v>
      </c>
      <c r="DK229" s="1716">
        <v>1</v>
      </c>
      <c r="DL229" s="1722">
        <v>2262653</v>
      </c>
      <c r="DM229" s="1716">
        <v>1</v>
      </c>
      <c r="DN229" s="1722">
        <f>DN224+DN219</f>
        <v>1324708</v>
      </c>
      <c r="DO229" s="1716">
        <f>DN229/DN$229</f>
        <v>1</v>
      </c>
      <c r="DP229" s="1722">
        <f>DP224+DP219</f>
        <v>617387</v>
      </c>
      <c r="DQ229" s="1716">
        <f>DP229/DP$229</f>
        <v>1</v>
      </c>
      <c r="DR229" s="1722">
        <f>DR224+DR219</f>
        <v>1891436</v>
      </c>
      <c r="DS229" s="1716">
        <f>DR229/DR$229</f>
        <v>1</v>
      </c>
      <c r="DT229" s="1722">
        <f>DT224+DT219</f>
        <v>3961418</v>
      </c>
      <c r="DU229" s="1716">
        <f>DT229/DT$229</f>
        <v>1</v>
      </c>
      <c r="DV229" s="1722">
        <f>DV224+DV219</f>
        <v>1269580</v>
      </c>
      <c r="DW229" s="1716">
        <f>DV229/DV$229</f>
        <v>1</v>
      </c>
      <c r="DX229" s="1722">
        <f>DX224+DX219</f>
        <v>3194453</v>
      </c>
      <c r="DY229" s="1716">
        <f>DX229/DX$229</f>
        <v>1</v>
      </c>
      <c r="DZ229" s="1722">
        <f>DZ224+DZ219</f>
        <v>5286003</v>
      </c>
      <c r="EA229" s="1716">
        <f>DZ229/DZ$229</f>
        <v>1</v>
      </c>
      <c r="EB229" s="1722">
        <f>EB224+EB219</f>
        <v>3862744</v>
      </c>
      <c r="EC229" s="1716">
        <f>EB229/EB$229</f>
        <v>1</v>
      </c>
      <c r="ED229" s="1722">
        <f>ED224+ED219</f>
        <v>1339707</v>
      </c>
      <c r="EE229" s="1716">
        <f>ED229/ED$229</f>
        <v>1</v>
      </c>
      <c r="EF229" s="1722">
        <f>EF224+EF219</f>
        <v>1971023</v>
      </c>
      <c r="EG229" s="1716">
        <f>EF229/EF$229</f>
        <v>1</v>
      </c>
      <c r="EH229" s="1722">
        <f>EH224+EH219</f>
        <v>9306899</v>
      </c>
      <c r="EI229" s="1716">
        <f>EH229/EH$229</f>
        <v>1</v>
      </c>
      <c r="EJ229" s="1722">
        <f>EJ224+EJ219</f>
        <v>2206321</v>
      </c>
      <c r="EK229" s="1716">
        <f>EJ229/EJ$229</f>
        <v>1</v>
      </c>
      <c r="EL229" s="1722">
        <f>EL224+EL219</f>
        <v>5882453</v>
      </c>
      <c r="EM229" s="1716">
        <f>EL229/EL$229</f>
        <v>1</v>
      </c>
      <c r="EN229" s="1722">
        <f>EN224+EN219</f>
        <v>2603468</v>
      </c>
      <c r="EO229" s="1716">
        <f>EN229/EN$229</f>
        <v>1</v>
      </c>
      <c r="EP229" s="1722">
        <f>EP224+EP219</f>
        <v>2758745</v>
      </c>
      <c r="EQ229" s="1716">
        <f>EP229/EP$229</f>
        <v>1</v>
      </c>
      <c r="ER229" s="1722">
        <f>ER224+ER219</f>
        <v>1093801</v>
      </c>
      <c r="ES229" s="1716">
        <f>ER229/ER$229</f>
        <v>1</v>
      </c>
      <c r="ET229" s="1722">
        <f>ET224+ET219</f>
        <v>4618527</v>
      </c>
      <c r="EU229" s="1716">
        <f>ET229/ET$229</f>
        <v>1</v>
      </c>
      <c r="EV229" s="1722">
        <f>EV224+EV219</f>
        <v>2231483</v>
      </c>
      <c r="EW229" s="1716">
        <f>EV229/EV$229</f>
        <v>1</v>
      </c>
      <c r="EX229" s="1722">
        <f>EX224+EX219</f>
        <v>1537208</v>
      </c>
      <c r="EY229" s="1716">
        <f>EX229/EX$229</f>
        <v>1</v>
      </c>
      <c r="EZ229" s="1722">
        <f>EZ224+EZ219</f>
        <v>2010436</v>
      </c>
      <c r="FA229" s="1716">
        <f>EZ229/EZ$229</f>
        <v>1</v>
      </c>
      <c r="FB229" s="1722">
        <f>FB224+FB219</f>
        <v>1255331</v>
      </c>
      <c r="FC229" s="1716">
        <f>FB229/FB$229</f>
        <v>1</v>
      </c>
      <c r="FD229" s="1722">
        <f>FD224+FD219</f>
        <v>2049831</v>
      </c>
      <c r="FE229" s="1716">
        <f>FD229/FD$229</f>
        <v>1</v>
      </c>
      <c r="FF229" s="1722">
        <f>FF224+FF219</f>
        <v>3445970</v>
      </c>
      <c r="FG229" s="1716">
        <f>FF229/FF$229</f>
        <v>1</v>
      </c>
      <c r="FH229" s="1722">
        <f>FH224+FH219</f>
        <v>1527957</v>
      </c>
      <c r="FI229" s="1716">
        <f>FH229/FH$229</f>
        <v>1</v>
      </c>
      <c r="FJ229" s="1722">
        <f>FJ224+FJ219</f>
        <v>1885953</v>
      </c>
      <c r="FK229" s="1716">
        <f>FJ229/FJ$229</f>
        <v>1</v>
      </c>
      <c r="FL229" s="1722">
        <f>FL224+FL219</f>
        <v>1344147</v>
      </c>
      <c r="FM229" s="1716">
        <f>FL229/FL$229</f>
        <v>1</v>
      </c>
      <c r="FN229" s="1722">
        <f>FN224+FN219</f>
        <v>4701279</v>
      </c>
      <c r="FO229" s="1716">
        <f>FN229/FN$229</f>
        <v>1</v>
      </c>
      <c r="FP229" s="1722">
        <f>FP224+FP219</f>
        <v>795120</v>
      </c>
      <c r="FQ229" s="1716">
        <f>FP229/FP$229</f>
        <v>1</v>
      </c>
      <c r="FR229" s="1722">
        <f>FR224+FR219</f>
        <v>6123570</v>
      </c>
      <c r="FS229" s="1716">
        <f>FR229/FR$229</f>
        <v>1</v>
      </c>
      <c r="FT229" s="1722">
        <f>FT224+FT219</f>
        <v>4716820</v>
      </c>
      <c r="FU229" s="1716">
        <f>FT229/FT$229</f>
        <v>1</v>
      </c>
      <c r="FV229" s="1722">
        <f>FV224+FV219</f>
        <v>6282631</v>
      </c>
      <c r="FW229" s="1716">
        <f>FV229/FV$229</f>
        <v>1</v>
      </c>
      <c r="FX229" s="1722">
        <f>FX224+FX219</f>
        <v>1744494</v>
      </c>
      <c r="FY229" s="1716">
        <f>FX229/FX$229</f>
        <v>1</v>
      </c>
      <c r="FZ229" s="1722">
        <f>FZ224+FZ219</f>
        <v>1567897</v>
      </c>
      <c r="GA229" s="1716">
        <f>FZ229/FZ$229</f>
        <v>1</v>
      </c>
      <c r="GB229" s="1722">
        <f>GB224+GB219</f>
        <v>711810</v>
      </c>
      <c r="GC229" s="1716">
        <f>GB229/GB$229</f>
        <v>1</v>
      </c>
      <c r="GD229" s="1722">
        <f>GD224+GD219</f>
        <v>3740944</v>
      </c>
      <c r="GE229" s="1716">
        <f>GD229/GD$229</f>
        <v>1</v>
      </c>
      <c r="GF229" s="1722">
        <f>GF224+GF219</f>
        <v>2335666</v>
      </c>
      <c r="GG229" s="1716">
        <f>GF229/GF$229</f>
        <v>1</v>
      </c>
      <c r="GH229" s="1722">
        <f>GH224+GH219</f>
        <v>1246970</v>
      </c>
      <c r="GI229" s="1716">
        <f>GH229/GH$229</f>
        <v>1</v>
      </c>
      <c r="GJ229" s="1722">
        <f>GJ224+GJ219</f>
        <v>12047675</v>
      </c>
      <c r="GK229" s="1716">
        <f>GJ229/GJ$229</f>
        <v>1</v>
      </c>
      <c r="GL229" s="1722">
        <f>GL224+GL219</f>
        <v>2169987</v>
      </c>
      <c r="GM229" s="1716">
        <f>GL229/GL$229</f>
        <v>1</v>
      </c>
      <c r="GN229" s="1722">
        <f>GN224+GN219</f>
        <v>1276076</v>
      </c>
      <c r="GO229" s="1716">
        <f>GN229/GN$229</f>
        <v>1</v>
      </c>
      <c r="GP229" s="1722">
        <f>GP224+GP219</f>
        <v>1869832</v>
      </c>
      <c r="GQ229" s="1716">
        <f>GP229/GP$229</f>
        <v>1</v>
      </c>
      <c r="GR229" s="1722">
        <f>GR224+GR219</f>
        <v>1644124</v>
      </c>
      <c r="GS229" s="1716">
        <f>GR229/GR$229</f>
        <v>1</v>
      </c>
      <c r="GT229" s="1722">
        <f>GT224+GT219</f>
        <v>2648058</v>
      </c>
      <c r="GU229" s="1716">
        <f>GT229/GT$229</f>
        <v>1</v>
      </c>
      <c r="GV229" s="1722">
        <f>GV224+GV219</f>
        <v>3286905</v>
      </c>
      <c r="GW229" s="1716">
        <f>GV229/GV$229</f>
        <v>1</v>
      </c>
      <c r="GX229" s="1722">
        <f>GX224+GX219</f>
        <v>1898341</v>
      </c>
      <c r="GY229" s="1716">
        <f>GX229/GX$229</f>
        <v>1</v>
      </c>
      <c r="GZ229" s="1722">
        <f>GZ224+GZ219</f>
        <v>4188716</v>
      </c>
      <c r="HA229" s="1716">
        <f>GZ229/GZ$229</f>
        <v>1</v>
      </c>
      <c r="HB229" s="1722">
        <f>HB224+HB219</f>
        <v>457124</v>
      </c>
      <c r="HC229" s="1716">
        <f>HB229/HB$229</f>
        <v>1</v>
      </c>
      <c r="HD229" s="1722">
        <f>HD224+HD219</f>
        <v>1634610</v>
      </c>
      <c r="HE229" s="1716">
        <f>HD229/HD$229</f>
        <v>1</v>
      </c>
      <c r="HF229" s="2038">
        <f>HF224+HF219</f>
        <v>7839805</v>
      </c>
      <c r="HG229" s="2033">
        <f>HF229/HF$229</f>
        <v>1</v>
      </c>
      <c r="HH229" s="1722">
        <f>HH224+HH219</f>
        <v>3018522</v>
      </c>
      <c r="HI229" s="1716">
        <f>HH229/HH$229</f>
        <v>1</v>
      </c>
      <c r="HJ229" s="1722">
        <f>HJ224+HJ219</f>
        <v>5998224</v>
      </c>
      <c r="HK229" s="1716">
        <f>HJ229/HJ$229</f>
        <v>1</v>
      </c>
      <c r="HL229" s="1722">
        <f>HL224+HL219</f>
        <v>1930521</v>
      </c>
      <c r="HM229" s="1716">
        <f>HL229/HL$229</f>
        <v>1</v>
      </c>
      <c r="HN229" s="1722">
        <f>HN224+HN219</f>
        <v>1319026</v>
      </c>
      <c r="HO229" s="1716">
        <f>HN229/HN$229</f>
        <v>1</v>
      </c>
      <c r="HP229" s="2038">
        <f>HP224+HP219</f>
        <v>6299078</v>
      </c>
      <c r="HQ229" s="2033">
        <f>HP229/HP$229</f>
        <v>1</v>
      </c>
      <c r="HR229" s="1722">
        <f>HR224+HR219</f>
        <v>1912716</v>
      </c>
      <c r="HS229" s="1716">
        <f>HR229/HR$229</f>
        <v>1</v>
      </c>
      <c r="HT229" s="2038">
        <f>HT224+HT219</f>
        <v>3882153</v>
      </c>
      <c r="HU229" s="2033">
        <f>HT229/HT$229</f>
        <v>1</v>
      </c>
      <c r="HV229" s="2038">
        <f>HV224+HV219</f>
        <v>2060346</v>
      </c>
      <c r="HW229" s="2033">
        <f>HV229/HV$229</f>
        <v>1</v>
      </c>
      <c r="HX229" s="2038">
        <f>HX224+HX219</f>
        <v>2047199</v>
      </c>
      <c r="HY229" s="2033">
        <f>HX229/HX$229</f>
        <v>1</v>
      </c>
      <c r="HZ229" s="2038">
        <f>HZ224+HZ219</f>
        <v>1715855</v>
      </c>
      <c r="IA229" s="2033">
        <f>HZ229/HZ$229</f>
        <v>1</v>
      </c>
      <c r="IB229" s="1722">
        <f>IB224+IB219</f>
        <v>1411594</v>
      </c>
      <c r="IC229" s="1716">
        <f>IB229/IB$229</f>
        <v>1</v>
      </c>
      <c r="ID229" s="2038">
        <f>ID224+ID219</f>
        <v>1987158</v>
      </c>
      <c r="IE229" s="2033">
        <f>ID229/ID$229</f>
        <v>1</v>
      </c>
      <c r="IF229" s="2038">
        <f>IF224+IF219</f>
        <v>2555598</v>
      </c>
      <c r="IG229" s="2033">
        <f>IF229/IF$229</f>
        <v>1</v>
      </c>
    </row>
    <row r="230" spans="1:241">
      <c r="A230" s="1149"/>
      <c r="B230" s="1149" t="s">
        <v>27</v>
      </c>
      <c r="C230" s="1149"/>
      <c r="D230" s="1149"/>
      <c r="E230" s="1143"/>
      <c r="F230" s="1725">
        <f>F225+F220</f>
        <v>842205</v>
      </c>
      <c r="G230" s="1716">
        <f>F230/F$229</f>
        <v>0.47797833730132833</v>
      </c>
      <c r="H230" s="1725">
        <f>H225+H220</f>
        <v>1411764</v>
      </c>
      <c r="I230" s="1716">
        <f>H230/H$229</f>
        <v>0.5501411628545877</v>
      </c>
      <c r="J230" s="1725">
        <f>J225+J220</f>
        <v>495243</v>
      </c>
      <c r="K230" s="1716">
        <f>J230/J$229</f>
        <v>0.38951223962675507</v>
      </c>
      <c r="L230" s="1725">
        <f>L225+L220</f>
        <v>7481767</v>
      </c>
      <c r="M230" s="1716">
        <f>L230/L$229</f>
        <v>0.68539518632758001</v>
      </c>
      <c r="N230" s="1725">
        <f>N225+N220</f>
        <v>788193</v>
      </c>
      <c r="O230" s="1716">
        <f>N230/N$229</f>
        <v>0.55256881582932327</v>
      </c>
      <c r="P230" s="1725">
        <f>P225+P220</f>
        <v>2852754</v>
      </c>
      <c r="Q230" s="1716">
        <f>P230/P$229</f>
        <v>0.4374654199232767</v>
      </c>
      <c r="R230" s="1725">
        <f>R225+R220</f>
        <v>1810182</v>
      </c>
      <c r="S230" s="1716">
        <f>R230/R$229</f>
        <v>0.38795256224405206</v>
      </c>
      <c r="T230" s="1725">
        <f>T225+T220</f>
        <v>1390504</v>
      </c>
      <c r="U230" s="1716">
        <f>T230/T$229</f>
        <v>0.42567630448518573</v>
      </c>
      <c r="V230" s="1725">
        <f>V225+V220</f>
        <v>680979</v>
      </c>
      <c r="W230" s="1716">
        <f>V230/V$229</f>
        <v>0.46206348581672407</v>
      </c>
      <c r="X230" s="1725">
        <f>X225+X220</f>
        <v>3451701</v>
      </c>
      <c r="Y230" s="1716">
        <f>X230/X$229</f>
        <v>0.36698376158193485</v>
      </c>
      <c r="Z230" s="1725">
        <f>Z225+Z220</f>
        <v>1267954</v>
      </c>
      <c r="AA230" s="1716">
        <f>Z230/Z$229</f>
        <v>0.41418971361074164</v>
      </c>
      <c r="AB230" s="1725">
        <f>AB225+AB220</f>
        <v>463913</v>
      </c>
      <c r="AC230" s="1716">
        <f>AB230/AB$229</f>
        <v>0.40786751666723814</v>
      </c>
      <c r="AD230" s="1725">
        <f>AD225+AD220</f>
        <v>3564213</v>
      </c>
      <c r="AE230" s="1716">
        <f>AD230/AD$229</f>
        <v>0.69821950952423029</v>
      </c>
      <c r="AF230" s="1725">
        <f>AF225+AF220</f>
        <v>1545088</v>
      </c>
      <c r="AG230" s="1716">
        <f>AF230/AF$229</f>
        <v>0.43969768735034764</v>
      </c>
      <c r="AH230" s="1725">
        <f>AH225+AH220</f>
        <v>757020</v>
      </c>
      <c r="AI230" s="1716">
        <f>AH230/AH$229</f>
        <v>0.41186039552786918</v>
      </c>
      <c r="AJ230" s="1725">
        <f>AJ225+AJ220</f>
        <v>843469</v>
      </c>
      <c r="AK230" s="1716">
        <f>AJ230/AJ$229</f>
        <v>0.50548199944505801</v>
      </c>
      <c r="AL230" s="1725">
        <f>AL225+AL220</f>
        <v>1463269</v>
      </c>
      <c r="AM230" s="1716">
        <f>AL230/AL$229</f>
        <v>0.34703938279612989</v>
      </c>
      <c r="AN230" s="1725">
        <f>AN225+AN220</f>
        <v>942410</v>
      </c>
      <c r="AO230" s="1716">
        <f>AN230/AN$229</f>
        <v>0.50919887398218044</v>
      </c>
      <c r="AP230" s="1725">
        <f>AP225+AP220</f>
        <v>1016615</v>
      </c>
      <c r="AQ230" s="1716">
        <f>AP230/AP$229</f>
        <v>0.51619626948845732</v>
      </c>
      <c r="AR230" s="1725">
        <f>AR225+AR220</f>
        <v>1630847</v>
      </c>
      <c r="AS230" s="1716">
        <f>AR230/AR$229</f>
        <v>0.48139887387553593</v>
      </c>
      <c r="AT230" s="1725">
        <f>AT225+AT220</f>
        <v>2015352</v>
      </c>
      <c r="AU230" s="1716">
        <f>AT230/AT$229</f>
        <v>0.40168626945271979</v>
      </c>
      <c r="AV230" s="1725">
        <f>AV225+AV220</f>
        <v>1016210</v>
      </c>
      <c r="AW230" s="1716">
        <f>AV230/AV$229</f>
        <v>0.47311881022172397</v>
      </c>
      <c r="AX230" s="1725">
        <f>AX225+AX220</f>
        <v>2379705</v>
      </c>
      <c r="AY230" s="1716">
        <f>AX230/AX$229</f>
        <v>0.40652665496931967</v>
      </c>
      <c r="AZ230" s="1725">
        <f>AZ225+AZ220</f>
        <v>1220154</v>
      </c>
      <c r="BA230" s="1716">
        <f>AZ230/AZ$229</f>
        <v>0.46951157334634458</v>
      </c>
      <c r="BB230" s="1725">
        <f>BB225+BB220</f>
        <v>1232003</v>
      </c>
      <c r="BC230" s="1716">
        <f>BB230/BB$229</f>
        <v>0.49623214907873037</v>
      </c>
      <c r="BD230" s="1725">
        <f>BD225+BD220</f>
        <v>1428958</v>
      </c>
      <c r="BE230" s="1716">
        <f>BD230/BD$229</f>
        <v>0.43923744417155663</v>
      </c>
      <c r="BF230" s="1725">
        <f>BF225+BF220</f>
        <v>569744</v>
      </c>
      <c r="BG230" s="1716">
        <f>BF230/BF$229</f>
        <v>0.40239966211491768</v>
      </c>
      <c r="BH230" s="1725">
        <f>BH225+BH220</f>
        <v>851989</v>
      </c>
      <c r="BI230" s="1716">
        <f>BH230/BH$229</f>
        <v>0.41411499032990129</v>
      </c>
      <c r="BJ230" s="1725">
        <f>BJ225+BJ220</f>
        <v>1567858</v>
      </c>
      <c r="BK230" s="1716">
        <f>BJ230/BJ$229</f>
        <v>0.45297371821096155</v>
      </c>
      <c r="BL230" s="1725">
        <f>BL225+BL220</f>
        <v>2000680</v>
      </c>
      <c r="BM230" s="1716">
        <f>BL230/BL$229</f>
        <v>0.52296007720449467</v>
      </c>
      <c r="BN230" s="1725">
        <f>BN225+BN220</f>
        <v>0</v>
      </c>
      <c r="BO230" s="1716" t="e">
        <f>BN230/BN$229</f>
        <v>#DIV/0!</v>
      </c>
      <c r="BP230" s="1725">
        <f>BP225+BP220</f>
        <v>1414159</v>
      </c>
      <c r="BQ230" s="1716">
        <f>BP230/BP$229</f>
        <v>0.39562395107795406</v>
      </c>
      <c r="BR230" s="1725">
        <f>BR225+BR220</f>
        <v>150511</v>
      </c>
      <c r="BS230" s="1716">
        <f>BR230/BR$229</f>
        <v>0.2735027048440058</v>
      </c>
      <c r="BT230" s="1725">
        <f>BT225+BT220</f>
        <v>590053</v>
      </c>
      <c r="BU230" s="1716">
        <f>BT230/BT$229</f>
        <v>0.40235623193821457</v>
      </c>
      <c r="BV230" s="1725">
        <f>BV225+BV220</f>
        <v>613513</v>
      </c>
      <c r="BW230" s="1716">
        <f>BV230/BV$229</f>
        <v>0.39009404659792424</v>
      </c>
      <c r="BX230" s="1725">
        <f>BX225+BX220</f>
        <v>1982156</v>
      </c>
      <c r="BY230" s="1716">
        <f>BX230/BX$229</f>
        <v>0.3785358423459278</v>
      </c>
      <c r="BZ230" s="1725">
        <f>BZ225+BZ220</f>
        <v>1465640</v>
      </c>
      <c r="CA230" s="1716">
        <f>BZ230/BZ$229</f>
        <v>0.33874855516913738</v>
      </c>
      <c r="CB230" s="1725">
        <f>CB225+CB220</f>
        <v>628552</v>
      </c>
      <c r="CC230" s="1716">
        <f>CB230/CB$229</f>
        <v>0.45813128511775952</v>
      </c>
      <c r="CD230" s="1725">
        <f>CD225+CD220</f>
        <v>828799</v>
      </c>
      <c r="CE230" s="1716">
        <f>CD230/CD$229</f>
        <v>0.46000101013857214</v>
      </c>
      <c r="CF230" s="1725">
        <v>1102228</v>
      </c>
      <c r="CG230" s="1716">
        <v>0.46998776664263203</v>
      </c>
      <c r="CH230" s="1725">
        <v>1011418</v>
      </c>
      <c r="CI230" s="1716">
        <v>0.54378159659478564</v>
      </c>
      <c r="CJ230" s="1725">
        <v>855389</v>
      </c>
      <c r="CK230" s="1716">
        <v>0.48769931701832514</v>
      </c>
      <c r="CL230" s="1725">
        <v>3054868</v>
      </c>
      <c r="CM230" s="1716">
        <v>0.40718847336245845</v>
      </c>
      <c r="CN230" s="1725">
        <f>CN225+CN220</f>
        <v>1818359</v>
      </c>
      <c r="CO230" s="1716">
        <f>CN230/CN$229</f>
        <v>0.53789646501996746</v>
      </c>
      <c r="CP230" s="1725">
        <f>CP225+CP220</f>
        <v>719031</v>
      </c>
      <c r="CQ230" s="1716">
        <f>CP230/CP$229</f>
        <v>0.36729836878537775</v>
      </c>
      <c r="CR230" s="1725">
        <v>1730030</v>
      </c>
      <c r="CS230" s="1716">
        <v>0.39179784306571741</v>
      </c>
      <c r="CT230" s="1725">
        <f>CT225+CT220</f>
        <v>1071153</v>
      </c>
      <c r="CU230" s="1716">
        <f>CT230/CT$229</f>
        <v>0.4298390921939369</v>
      </c>
      <c r="CV230" s="1725">
        <f>CV225+CV220</f>
        <v>3267588</v>
      </c>
      <c r="CW230" s="1716">
        <f>CV230/CV$229</f>
        <v>0.47811436480248298</v>
      </c>
      <c r="CX230" s="1725">
        <f>CX225+CX220</f>
        <v>2304589</v>
      </c>
      <c r="CY230" s="1716">
        <f>CX230/CX$229</f>
        <v>0.5513713771670008</v>
      </c>
      <c r="CZ230" s="1725">
        <v>407981</v>
      </c>
      <c r="DA230" s="1716">
        <v>0.41975685892014575</v>
      </c>
      <c r="DB230" s="1725">
        <v>1590135</v>
      </c>
      <c r="DC230" s="1716">
        <v>0.47259213203875877</v>
      </c>
      <c r="DD230" s="1725">
        <v>507923</v>
      </c>
      <c r="DE230" s="1716">
        <v>0.40596231650998515</v>
      </c>
      <c r="DF230" s="1725">
        <v>4524901</v>
      </c>
      <c r="DG230" s="1716">
        <v>0.58612350417037618</v>
      </c>
      <c r="DH230" s="1725">
        <v>891826</v>
      </c>
      <c r="DI230" s="1716">
        <v>0.3881968611729576</v>
      </c>
      <c r="DJ230" s="1725">
        <v>1050269</v>
      </c>
      <c r="DK230" s="1716">
        <v>0.52620480056434793</v>
      </c>
      <c r="DL230" s="1725">
        <v>1041334</v>
      </c>
      <c r="DM230" s="1716">
        <v>0.46022699901398934</v>
      </c>
      <c r="DN230" s="1725">
        <f>DN225+DN220</f>
        <v>633307</v>
      </c>
      <c r="DO230" s="1716">
        <f>DN230/DN$229</f>
        <v>0.4780729036134756</v>
      </c>
      <c r="DP230" s="1725">
        <f>DP225+DP220</f>
        <v>318433</v>
      </c>
      <c r="DQ230" s="1716">
        <f>DP230/DP$229</f>
        <v>0.51577535646199224</v>
      </c>
      <c r="DR230" s="1725">
        <f>DR225+DR220</f>
        <v>1360917</v>
      </c>
      <c r="DS230" s="1716">
        <f>DR230/DR$229</f>
        <v>0.71951522546890301</v>
      </c>
      <c r="DT230" s="1725">
        <f>DT225+DT220</f>
        <v>2337784</v>
      </c>
      <c r="DU230" s="1716">
        <f>DT230/DT$229</f>
        <v>0.5901381777939112</v>
      </c>
      <c r="DV230" s="1725">
        <f>DV225+DV220</f>
        <v>444133</v>
      </c>
      <c r="DW230" s="1716">
        <f>DV230/DV$229</f>
        <v>0.34982671434647677</v>
      </c>
      <c r="DX230" s="1725">
        <f>DX225+DX220</f>
        <v>1635914</v>
      </c>
      <c r="DY230" s="1716">
        <f>DX230/DX$229</f>
        <v>0.51211083712923622</v>
      </c>
      <c r="DZ230" s="1725">
        <f>DZ225+DZ220</f>
        <v>2922925</v>
      </c>
      <c r="EA230" s="1716">
        <f>DZ230/DZ$229</f>
        <v>0.55295560747884553</v>
      </c>
      <c r="EB230" s="1725">
        <f>EB225+EB220</f>
        <v>2187553</v>
      </c>
      <c r="EC230" s="1716">
        <f>EB230/EB$229</f>
        <v>0.56632098839581391</v>
      </c>
      <c r="ED230" s="1725">
        <f>ED225+ED220</f>
        <v>586065</v>
      </c>
      <c r="EE230" s="1716">
        <f>ED230/ED$229</f>
        <v>0.43745759333943912</v>
      </c>
      <c r="EF230" s="1725">
        <f>EF225+EF220</f>
        <v>1157128</v>
      </c>
      <c r="EG230" s="1716">
        <f>EF230/EF$229</f>
        <v>0.58706976022096136</v>
      </c>
      <c r="EH230" s="1725">
        <f>EH225+EH220</f>
        <v>4533870</v>
      </c>
      <c r="EI230" s="1716">
        <f>EH230/EH$229</f>
        <v>0.48715152060852923</v>
      </c>
      <c r="EJ230" s="1725">
        <f>EJ225+EJ220</f>
        <v>1649503</v>
      </c>
      <c r="EK230" s="1716">
        <f>EJ230/EJ$229</f>
        <v>0.74762602540609457</v>
      </c>
      <c r="EL230" s="1725">
        <f>EL225+EL220</f>
        <v>3693599</v>
      </c>
      <c r="EM230" s="1716">
        <f>EL230/EL$229</f>
        <v>0.6279011494014487</v>
      </c>
      <c r="EN230" s="1725">
        <f>EN225+EN220</f>
        <v>1202978</v>
      </c>
      <c r="EO230" s="1716">
        <f>EN230/EN$229</f>
        <v>0.46206751917058325</v>
      </c>
      <c r="EP230" s="1725">
        <f>EP225+EP220</f>
        <v>1052519</v>
      </c>
      <c r="EQ230" s="1716">
        <f>EP230/EP$229</f>
        <v>0.38152094521240637</v>
      </c>
      <c r="ER230" s="1725">
        <f>ER225+ER220</f>
        <v>517833</v>
      </c>
      <c r="ES230" s="1716">
        <f>ER230/ER$229</f>
        <v>0.47342523914313484</v>
      </c>
      <c r="ET230" s="1725">
        <f>ET225+ET220</f>
        <v>1940102</v>
      </c>
      <c r="EU230" s="1716">
        <f>ET230/ET$229</f>
        <v>0.42006942906255607</v>
      </c>
      <c r="EV230" s="1725">
        <f>EV225+EV220</f>
        <v>924177</v>
      </c>
      <c r="EW230" s="1716">
        <f>EV230/EV$229</f>
        <v>0.41415372646800358</v>
      </c>
      <c r="EX230" s="1725">
        <f>EX225+EX220</f>
        <v>652502</v>
      </c>
      <c r="EY230" s="1716">
        <f>EX230/EX$229</f>
        <v>0.42447215991589948</v>
      </c>
      <c r="EZ230" s="1725">
        <f>EZ225+EZ220</f>
        <v>1358069</v>
      </c>
      <c r="FA230" s="1716">
        <f>EZ230/EZ$229</f>
        <v>0.67550969043530851</v>
      </c>
      <c r="FB230" s="1725">
        <f>FB225+FB220</f>
        <v>549381</v>
      </c>
      <c r="FC230" s="1716">
        <f>FB230/FB$229</f>
        <v>0.43763835992260208</v>
      </c>
      <c r="FD230" s="1725">
        <f>FD225+FD220</f>
        <v>932670</v>
      </c>
      <c r="FE230" s="1716">
        <f>FD230/FD$229</f>
        <v>0.45499848524097841</v>
      </c>
      <c r="FF230" s="1725">
        <f>FF225+FF220</f>
        <v>1332382</v>
      </c>
      <c r="FG230" s="1716">
        <f>FF230/FF$229</f>
        <v>0.38664933240858163</v>
      </c>
      <c r="FH230" s="1725">
        <f>FH225+FH220</f>
        <v>543451</v>
      </c>
      <c r="FI230" s="1716">
        <f>FH230/FH$229</f>
        <v>0.3556716582992846</v>
      </c>
      <c r="FJ230" s="1725">
        <f>FJ225+FJ220</f>
        <v>673603</v>
      </c>
      <c r="FK230" s="1716">
        <f>FJ230/FJ$229</f>
        <v>0.35716849783637239</v>
      </c>
      <c r="FL230" s="1725">
        <f>FL225+FL220</f>
        <v>614943</v>
      </c>
      <c r="FM230" s="1716">
        <f>FL230/FL$229</f>
        <v>0.45749683628353149</v>
      </c>
      <c r="FN230" s="1725">
        <f>FN225+FN220</f>
        <v>2344143</v>
      </c>
      <c r="FO230" s="1716">
        <f>FN230/FN$229</f>
        <v>0.49861814199923044</v>
      </c>
      <c r="FP230" s="1725">
        <f>FP225+FP220</f>
        <v>387757</v>
      </c>
      <c r="FQ230" s="1716">
        <f>FP230/FP$229</f>
        <v>0.4876710433645236</v>
      </c>
      <c r="FR230" s="1725">
        <f>FR225+FR220</f>
        <v>2639719</v>
      </c>
      <c r="FS230" s="1716">
        <f>FR230/FR$229</f>
        <v>0.43107517346907115</v>
      </c>
      <c r="FT230" s="1725">
        <f>FT225+FT220</f>
        <v>2042651</v>
      </c>
      <c r="FU230" s="1716">
        <f>FT230/FT$229</f>
        <v>0.43305680522046636</v>
      </c>
      <c r="FV230" s="1725">
        <f>FV225+FV220</f>
        <v>4650119</v>
      </c>
      <c r="FW230" s="1716">
        <f>FV230/FV$229</f>
        <v>0.74015472180365205</v>
      </c>
      <c r="FX230" s="1725">
        <f>FX225+FX220</f>
        <v>750248</v>
      </c>
      <c r="FY230" s="1716">
        <f>FX230/FX$229</f>
        <v>0.4300662541688306</v>
      </c>
      <c r="FZ230" s="1725">
        <f>FZ225+FZ220</f>
        <v>757083</v>
      </c>
      <c r="GA230" s="1716">
        <f>FZ230/FZ$229</f>
        <v>0.48286526474634495</v>
      </c>
      <c r="GB230" s="1725">
        <f>GB225+GB220</f>
        <v>299585</v>
      </c>
      <c r="GC230" s="1716">
        <f>GB230/GB$229</f>
        <v>0.42087776232421575</v>
      </c>
      <c r="GD230" s="1725">
        <f>GD225+GD220</f>
        <v>2345521</v>
      </c>
      <c r="GE230" s="1716">
        <f>GD230/GD$229</f>
        <v>0.62698639701636805</v>
      </c>
      <c r="GF230" s="1725">
        <f>GF225+GF220</f>
        <v>1080190</v>
      </c>
      <c r="GG230" s="1716">
        <f>GF230/GF$229</f>
        <v>0.4624762273372991</v>
      </c>
      <c r="GH230" s="1725">
        <f>GH225+GH220</f>
        <v>554443</v>
      </c>
      <c r="GI230" s="1716">
        <f>GH230/GH$229</f>
        <v>0.44463218842474156</v>
      </c>
      <c r="GJ230" s="1725">
        <f>GJ225+GJ220</f>
        <v>6344009</v>
      </c>
      <c r="GK230" s="1716">
        <f>GJ230/GJ$229</f>
        <v>0.52657537657680842</v>
      </c>
      <c r="GL230" s="1725">
        <f>GL225+GL220</f>
        <v>972998</v>
      </c>
      <c r="GM230" s="1716">
        <f>GL230/GL$229</f>
        <v>0.44838886131575906</v>
      </c>
      <c r="GN230" s="1725">
        <f>GN225+GN220</f>
        <v>585231</v>
      </c>
      <c r="GO230" s="1716">
        <f>GN230/GN$229</f>
        <v>0.45861766854011832</v>
      </c>
      <c r="GP230" s="1725">
        <f>GP225+GP220</f>
        <v>809645</v>
      </c>
      <c r="GQ230" s="1716">
        <f>GP230/GP$229</f>
        <v>0.43300414154854555</v>
      </c>
      <c r="GR230" s="1725">
        <f>GR225+GR220</f>
        <v>735346</v>
      </c>
      <c r="GS230" s="1716">
        <f>GR230/GR$229</f>
        <v>0.44725701954353808</v>
      </c>
      <c r="GT230" s="1725">
        <f>GT225+GT220</f>
        <v>901744</v>
      </c>
      <c r="GU230" s="1716">
        <f>GT230/GT$229</f>
        <v>0.34053030560508873</v>
      </c>
      <c r="GV230" s="1725">
        <f>GV225+GV220</f>
        <v>1410906</v>
      </c>
      <c r="GW230" s="1716">
        <f>GV230/GV$229</f>
        <v>0.42925061722197627</v>
      </c>
      <c r="GX230" s="1725">
        <f>GX225+GX220</f>
        <v>855719</v>
      </c>
      <c r="GY230" s="1716">
        <f>GX230/GX$229</f>
        <v>0.45077201619730067</v>
      </c>
      <c r="GZ230" s="1725">
        <f>GZ225+GZ220</f>
        <v>1740692</v>
      </c>
      <c r="HA230" s="1716">
        <f>GZ230/GZ$229</f>
        <v>0.41556696610608118</v>
      </c>
      <c r="HB230" s="1725">
        <f>HB225+HB220</f>
        <v>175339</v>
      </c>
      <c r="HC230" s="1716">
        <f>HB230/HB$229</f>
        <v>0.38356988475774628</v>
      </c>
      <c r="HD230" s="1725">
        <f>HD225+HD220</f>
        <v>773688</v>
      </c>
      <c r="HE230" s="1716">
        <f>HD230/HD$229</f>
        <v>0.47331657092517482</v>
      </c>
      <c r="HF230" s="2046">
        <f>HF225+HF220</f>
        <v>4824453</v>
      </c>
      <c r="HG230" s="2033">
        <f>HF230/HF$229</f>
        <v>0.61537920904920462</v>
      </c>
      <c r="HH230" s="1725">
        <f>HH225+HH220</f>
        <v>1520661</v>
      </c>
      <c r="HI230" s="1716">
        <f>HH230/HH$229</f>
        <v>0.50377668276063581</v>
      </c>
      <c r="HJ230" s="1725">
        <f>HJ225+HJ220</f>
        <v>2482517</v>
      </c>
      <c r="HK230" s="1716">
        <f>HJ230/HJ$229</f>
        <v>0.41387534043410185</v>
      </c>
      <c r="HL230" s="1725">
        <f>HL225+HL220</f>
        <v>547776</v>
      </c>
      <c r="HM230" s="1716">
        <f>HL230/HL$229</f>
        <v>0.28374516516525849</v>
      </c>
      <c r="HN230" s="1725">
        <f>HN225+HN220</f>
        <v>586851</v>
      </c>
      <c r="HO230" s="1716">
        <f>HN230/HN$229</f>
        <v>0.4449123823184683</v>
      </c>
      <c r="HP230" s="2046">
        <f>HP225+HP220</f>
        <v>3507096</v>
      </c>
      <c r="HQ230" s="2033">
        <f>HP230/HP$229</f>
        <v>0.55676338664166403</v>
      </c>
      <c r="HR230" s="1725">
        <f>HR225+HR220</f>
        <v>958231</v>
      </c>
      <c r="HS230" s="1716">
        <f>HR230/HR$229</f>
        <v>0.50097923580918446</v>
      </c>
      <c r="HT230" s="2046">
        <f>HT225+HT220</f>
        <v>2227045</v>
      </c>
      <c r="HU230" s="2033">
        <f>HT230/HT$229</f>
        <v>0.57366234664115501</v>
      </c>
      <c r="HV230" s="2046">
        <f>HV225+HV220</f>
        <v>1174347</v>
      </c>
      <c r="HW230" s="2033">
        <f>HV230/HV$229</f>
        <v>0.56997562545320057</v>
      </c>
      <c r="HX230" s="2046">
        <f>HX225+HX220</f>
        <v>1146432</v>
      </c>
      <c r="HY230" s="2033">
        <f>HX230/HX$229</f>
        <v>0.56000027354448689</v>
      </c>
      <c r="HZ230" s="2046">
        <f>HZ225+HZ220</f>
        <v>849741</v>
      </c>
      <c r="IA230" s="2033">
        <f>HZ230/HZ$229</f>
        <v>0.49522890920270068</v>
      </c>
      <c r="IB230" s="1725">
        <f>IB225+IB220</f>
        <v>692588</v>
      </c>
      <c r="IC230" s="1716">
        <f>IB230/IB$229</f>
        <v>0.49064249352150829</v>
      </c>
      <c r="ID230" s="2046">
        <f>ID225+ID220</f>
        <v>862226</v>
      </c>
      <c r="IE230" s="2033">
        <f>ID230/ID$229</f>
        <v>0.43389906590215777</v>
      </c>
      <c r="IF230" s="2046">
        <f>IF225+IF220</f>
        <v>960394</v>
      </c>
      <c r="IG230" s="2033">
        <f>IF230/IF$229</f>
        <v>0.37580010627649574</v>
      </c>
    </row>
    <row r="231" spans="1:241">
      <c r="A231" s="1149"/>
      <c r="B231" s="1149"/>
      <c r="C231" s="1149"/>
      <c r="D231" s="1149"/>
      <c r="E231" s="1143"/>
      <c r="F231" s="1717"/>
      <c r="G231" s="1356"/>
      <c r="H231" s="1717"/>
      <c r="I231" s="1356"/>
      <c r="J231" s="1717"/>
      <c r="K231" s="1356"/>
      <c r="L231" s="1717"/>
      <c r="M231" s="1356"/>
      <c r="N231" s="1717"/>
      <c r="O231" s="1356"/>
      <c r="P231" s="1717"/>
      <c r="Q231" s="1356"/>
      <c r="R231" s="1717"/>
      <c r="T231" s="1717"/>
      <c r="U231" s="1356"/>
      <c r="V231" s="1717"/>
      <c r="W231" s="1356"/>
      <c r="X231" s="1717"/>
      <c r="Y231" s="1356"/>
      <c r="Z231" s="1717"/>
      <c r="AA231" s="1356"/>
      <c r="AB231" s="1717"/>
      <c r="AC231" s="1356"/>
      <c r="AD231" s="1717"/>
      <c r="AE231" s="1356"/>
      <c r="AF231" s="1717"/>
      <c r="AG231" s="1356"/>
      <c r="AH231" s="1717"/>
      <c r="AI231" s="1356"/>
      <c r="AJ231" s="1717"/>
      <c r="AK231" s="1356"/>
      <c r="AL231" s="1717"/>
      <c r="AM231" s="1356"/>
      <c r="AN231" s="1717"/>
      <c r="AO231" s="1356"/>
      <c r="AP231" s="1717"/>
      <c r="AQ231" s="1356"/>
      <c r="AR231" s="1717"/>
      <c r="AS231" s="1356"/>
      <c r="AT231" s="1717"/>
      <c r="AU231" s="1356"/>
      <c r="AV231" s="1717"/>
      <c r="AW231" s="1356"/>
      <c r="AX231" s="1717"/>
      <c r="AY231" s="1356"/>
      <c r="AZ231" s="1717"/>
      <c r="BA231" s="1356"/>
      <c r="BB231" s="1717"/>
      <c r="BC231" s="1356"/>
      <c r="BD231" s="1717"/>
      <c r="BE231" s="1356"/>
      <c r="BF231" s="1717"/>
      <c r="BG231" s="1356"/>
      <c r="BH231" s="1717"/>
      <c r="BI231" s="1356"/>
      <c r="BJ231" s="1717"/>
      <c r="BK231" s="1356"/>
      <c r="BL231" s="1717"/>
      <c r="BM231" s="1356"/>
      <c r="BN231" s="1717"/>
      <c r="BO231" s="1356"/>
      <c r="BP231" s="1717"/>
      <c r="BQ231" s="1356"/>
      <c r="BR231" s="1717"/>
      <c r="BS231" s="1356"/>
      <c r="BT231" s="1717"/>
      <c r="BU231" s="1356"/>
      <c r="BV231" s="1717"/>
      <c r="BW231" s="1356"/>
      <c r="BX231" s="1717"/>
      <c r="BY231" s="1356"/>
      <c r="BZ231" s="1717"/>
      <c r="CA231" s="1356"/>
      <c r="CB231" s="1717"/>
      <c r="CC231" s="1356"/>
      <c r="CD231" s="1717"/>
      <c r="CE231" s="1356"/>
      <c r="CF231" s="1717"/>
      <c r="CG231" s="1356"/>
      <c r="CH231" s="1717"/>
      <c r="CI231" s="1356"/>
      <c r="CJ231" s="1717"/>
      <c r="CK231" s="1356"/>
      <c r="CL231" s="1717"/>
      <c r="CM231" s="1356"/>
      <c r="CN231" s="1717"/>
      <c r="CO231" s="1356"/>
      <c r="CP231" s="1717"/>
      <c r="CQ231" s="1356"/>
      <c r="CR231" s="1717"/>
      <c r="CS231" s="1356"/>
      <c r="CT231" s="1717"/>
      <c r="CU231" s="1356"/>
      <c r="CV231" s="1717"/>
      <c r="CW231" s="1356"/>
      <c r="CX231" s="1717"/>
      <c r="CY231" s="1356"/>
      <c r="CZ231" s="1717"/>
      <c r="DA231" s="1356"/>
      <c r="DB231" s="1717"/>
      <c r="DC231" s="1356"/>
      <c r="DD231" s="1717"/>
      <c r="DE231" s="1356"/>
      <c r="DF231" s="1717"/>
      <c r="DG231" s="1356"/>
      <c r="DH231" s="1717"/>
      <c r="DI231" s="1356"/>
      <c r="DJ231" s="1717"/>
      <c r="DK231" s="1356"/>
      <c r="DL231" s="1717"/>
      <c r="DM231" s="1356"/>
      <c r="DN231" s="1717"/>
      <c r="DO231" s="1356"/>
      <c r="DP231" s="1717"/>
      <c r="DQ231" s="1356"/>
      <c r="DR231" s="1717"/>
      <c r="DS231" s="1356"/>
      <c r="DT231" s="1717"/>
      <c r="DU231" s="1356"/>
      <c r="DV231" s="1717"/>
      <c r="DW231" s="1356"/>
      <c r="DX231" s="1717"/>
      <c r="DY231" s="1356"/>
      <c r="DZ231" s="1717"/>
      <c r="EA231" s="1356"/>
      <c r="EB231" s="1717"/>
      <c r="EC231" s="1356"/>
      <c r="ED231" s="1717"/>
      <c r="EE231" s="1356"/>
      <c r="EF231" s="1717"/>
      <c r="EG231" s="1356"/>
      <c r="EH231" s="1717"/>
      <c r="EI231" s="1356"/>
      <c r="EJ231" s="1717"/>
      <c r="EK231" s="1356"/>
      <c r="EL231" s="1717"/>
      <c r="EM231" s="1356"/>
      <c r="EN231" s="1717"/>
      <c r="EO231" s="1356"/>
      <c r="EP231" s="1717"/>
      <c r="EQ231" s="1356"/>
      <c r="ER231" s="1717"/>
      <c r="ES231" s="1356"/>
      <c r="ET231" s="1717"/>
      <c r="EU231" s="1356"/>
      <c r="EV231" s="1717"/>
      <c r="EW231" s="1356"/>
      <c r="EX231" s="1717"/>
      <c r="EY231" s="1356"/>
      <c r="EZ231" s="1717"/>
      <c r="FA231" s="1356"/>
      <c r="FB231" s="1717"/>
      <c r="FC231" s="1356"/>
      <c r="FD231" s="1717"/>
      <c r="FE231" s="1356"/>
      <c r="FF231" s="1717"/>
      <c r="FG231" s="1356"/>
      <c r="FH231" s="1717"/>
      <c r="FI231" s="1356"/>
      <c r="FJ231" s="1717"/>
      <c r="FK231" s="1356"/>
      <c r="FL231" s="1717"/>
      <c r="FM231" s="1356"/>
      <c r="FN231" s="1717"/>
      <c r="FO231" s="1356"/>
      <c r="FP231" s="1717"/>
      <c r="FQ231" s="1356"/>
      <c r="FR231" s="1717"/>
      <c r="FS231" s="1356"/>
      <c r="FT231" s="1717"/>
      <c r="FU231" s="1356"/>
      <c r="FV231" s="1717"/>
      <c r="FW231" s="1356"/>
      <c r="FX231" s="1717"/>
      <c r="FY231" s="1356"/>
      <c r="FZ231" s="1717"/>
      <c r="GA231" s="1356"/>
      <c r="GB231" s="1717"/>
      <c r="GC231" s="1356"/>
      <c r="GD231" s="1717"/>
      <c r="GE231" s="1356"/>
      <c r="GF231" s="1717"/>
      <c r="GG231" s="1356"/>
      <c r="GH231" s="1717"/>
      <c r="GI231" s="1356"/>
      <c r="GJ231" s="1717"/>
      <c r="GK231" s="1356"/>
      <c r="GL231" s="1717"/>
      <c r="GM231" s="1356"/>
      <c r="GN231" s="1717"/>
      <c r="GO231" s="1356"/>
      <c r="GP231" s="1717"/>
      <c r="GQ231" s="1356"/>
      <c r="GR231" s="1717"/>
      <c r="GS231" s="1356"/>
      <c r="GT231" s="1717"/>
      <c r="GU231" s="1356"/>
      <c r="GV231" s="1717"/>
      <c r="GW231" s="1356"/>
      <c r="GX231" s="1717"/>
      <c r="GY231" s="1356"/>
      <c r="GZ231" s="1717"/>
      <c r="HA231" s="1356"/>
      <c r="HB231" s="1717"/>
      <c r="HC231" s="1356"/>
      <c r="HD231" s="1717"/>
      <c r="HE231" s="1356"/>
      <c r="HF231" s="2034"/>
      <c r="HH231" s="1717"/>
      <c r="HI231" s="1356"/>
      <c r="HJ231" s="1717"/>
      <c r="HK231" s="1356"/>
      <c r="HL231" s="1717"/>
      <c r="HM231" s="1356"/>
      <c r="HN231" s="1717"/>
      <c r="HO231" s="1356"/>
      <c r="HP231" s="2034"/>
      <c r="HR231" s="1717"/>
      <c r="HS231" s="1356"/>
      <c r="HT231" s="2034"/>
      <c r="HV231" s="2034"/>
      <c r="HX231" s="2034"/>
      <c r="HZ231" s="2034"/>
      <c r="IB231" s="1717"/>
      <c r="IC231" s="1356"/>
      <c r="ID231" s="2034"/>
      <c r="IF231" s="2034"/>
    </row>
    <row r="232" spans="1:241" ht="16.2" thickBot="1">
      <c r="A232" s="1149"/>
      <c r="B232" s="1149" t="s">
        <v>28</v>
      </c>
      <c r="C232" s="1149"/>
      <c r="D232" s="1149"/>
      <c r="E232" s="1143"/>
      <c r="F232" s="1719">
        <f>F229-F230</f>
        <v>919810</v>
      </c>
      <c r="G232" s="1716">
        <f>F232/F$229</f>
        <v>0.52202166269867167</v>
      </c>
      <c r="H232" s="1719">
        <f>H229-H230</f>
        <v>1154421</v>
      </c>
      <c r="I232" s="1716">
        <f>H232/H$229</f>
        <v>0.44985883714541236</v>
      </c>
      <c r="J232" s="1719">
        <f>J229-J230</f>
        <v>776201</v>
      </c>
      <c r="K232" s="1716">
        <f>J232/J$229</f>
        <v>0.61048776037324493</v>
      </c>
      <c r="L232" s="1719">
        <f>L229-L230</f>
        <v>3434223</v>
      </c>
      <c r="M232" s="1716">
        <f>L232/L$229</f>
        <v>0.31460481367241999</v>
      </c>
      <c r="N232" s="1719">
        <f>N229-N230</f>
        <v>638223</v>
      </c>
      <c r="O232" s="1716">
        <f>N232/N$229</f>
        <v>0.44743118417067673</v>
      </c>
      <c r="P232" s="1719">
        <f>P229-P230</f>
        <v>3668342</v>
      </c>
      <c r="Q232" s="1716">
        <f>P232/P$229</f>
        <v>0.5625345800767233</v>
      </c>
      <c r="R232" s="1719">
        <f>R229-R230</f>
        <v>2855806</v>
      </c>
      <c r="S232" s="1716">
        <f>R232/R$229</f>
        <v>0.61204743775594794</v>
      </c>
      <c r="T232" s="1719">
        <f>T229-T230</f>
        <v>1876072</v>
      </c>
      <c r="U232" s="1716">
        <f>T232/T$229</f>
        <v>0.57432369551481433</v>
      </c>
      <c r="V232" s="1719">
        <f>V229-V230</f>
        <v>792799</v>
      </c>
      <c r="W232" s="1716">
        <f>V232/V$229</f>
        <v>0.53793651418327593</v>
      </c>
      <c r="X232" s="1719">
        <f>X229-X230</f>
        <v>5953895</v>
      </c>
      <c r="Y232" s="1716">
        <f>X232/X$229</f>
        <v>0.6330162384180652</v>
      </c>
      <c r="Z232" s="1719">
        <f>Z229-Z230</f>
        <v>1793334</v>
      </c>
      <c r="AA232" s="1716">
        <f>Z232/Z$229</f>
        <v>0.58581028638925836</v>
      </c>
      <c r="AB232" s="1719">
        <f>AB229-AB230</f>
        <v>673498</v>
      </c>
      <c r="AC232" s="1716">
        <f>AB232/AB$229</f>
        <v>0.59213248333276181</v>
      </c>
      <c r="AD232" s="1719">
        <f>AD229-AD230</f>
        <v>1540504</v>
      </c>
      <c r="AE232" s="1716">
        <f>AD232/AD$229</f>
        <v>0.30178049047576977</v>
      </c>
      <c r="AF232" s="1719">
        <f>AF229-AF230</f>
        <v>1968890</v>
      </c>
      <c r="AG232" s="1716">
        <f>AF232/AF$229</f>
        <v>0.56030231264965236</v>
      </c>
      <c r="AH232" s="1719">
        <f>AH229-AH230</f>
        <v>1081030</v>
      </c>
      <c r="AI232" s="1716">
        <f>AH232/AH$229</f>
        <v>0.58813960447213076</v>
      </c>
      <c r="AJ232" s="1719">
        <f>AJ229-AJ230</f>
        <v>825174</v>
      </c>
      <c r="AK232" s="1716">
        <f>AJ232/AJ$229</f>
        <v>0.49451800055494194</v>
      </c>
      <c r="AL232" s="1719">
        <f>AL229-AL230</f>
        <v>2753166</v>
      </c>
      <c r="AM232" s="1716">
        <f>AL232/AL$229</f>
        <v>0.65296061720387011</v>
      </c>
      <c r="AN232" s="1719">
        <f>AN229-AN230</f>
        <v>908360</v>
      </c>
      <c r="AO232" s="1716">
        <f>AN232/AN$229</f>
        <v>0.49080112601781961</v>
      </c>
      <c r="AP232" s="1719">
        <f>AP229-AP230</f>
        <v>952820</v>
      </c>
      <c r="AQ232" s="1716">
        <f>AP232/AP$229</f>
        <v>0.48380373051154263</v>
      </c>
      <c r="AR232" s="1719">
        <f>AR229-AR230</f>
        <v>1756878</v>
      </c>
      <c r="AS232" s="1716">
        <f>AR232/AR$229</f>
        <v>0.51860112612446407</v>
      </c>
      <c r="AT232" s="1719">
        <f>AT229-AT230</f>
        <v>3001877</v>
      </c>
      <c r="AU232" s="1716">
        <f>AT232/AT$229</f>
        <v>0.59831373054728021</v>
      </c>
      <c r="AV232" s="1719">
        <f>AV229-AV230</f>
        <v>1131686</v>
      </c>
      <c r="AW232" s="1716">
        <f>AV232/AV$229</f>
        <v>0.52688118977827603</v>
      </c>
      <c r="AX232" s="1719">
        <f>AX229-AX230</f>
        <v>3474044</v>
      </c>
      <c r="AY232" s="1716">
        <f>AX232/AX$229</f>
        <v>0.59347334503068039</v>
      </c>
      <c r="AZ232" s="1719">
        <f>AZ229-AZ230</f>
        <v>1378619</v>
      </c>
      <c r="BA232" s="1716">
        <f>AZ232/AZ$229</f>
        <v>0.53048842665365536</v>
      </c>
      <c r="BB232" s="1719">
        <f>BB229-BB230</f>
        <v>1250712</v>
      </c>
      <c r="BC232" s="1716">
        <f>BB232/BB$229</f>
        <v>0.50376785092126963</v>
      </c>
      <c r="BD232" s="1719">
        <f>BD229-BD230</f>
        <v>1824312</v>
      </c>
      <c r="BE232" s="1716">
        <f>BD232/BD$229</f>
        <v>0.56076255582844337</v>
      </c>
      <c r="BF232" s="1719">
        <f>BF229-BF230</f>
        <v>846122</v>
      </c>
      <c r="BG232" s="1716">
        <f>BF232/BF$229</f>
        <v>0.59760033788508238</v>
      </c>
      <c r="BH232" s="1719">
        <f>BH229-BH230</f>
        <v>1205384</v>
      </c>
      <c r="BI232" s="1716">
        <f>BH232/BH$229</f>
        <v>0.58588500967009871</v>
      </c>
      <c r="BJ232" s="1719">
        <f>BJ229-BJ230</f>
        <v>1893398</v>
      </c>
      <c r="BK232" s="1716">
        <f>BJ232/BJ$229</f>
        <v>0.54702628178903845</v>
      </c>
      <c r="BL232" s="1719">
        <f>BL229-BL230</f>
        <v>1825004</v>
      </c>
      <c r="BM232" s="1716">
        <f>BL232/BL$229</f>
        <v>0.47703992279550533</v>
      </c>
      <c r="BN232" s="1719">
        <f>BN229-BN230</f>
        <v>0</v>
      </c>
      <c r="BO232" s="1716" t="e">
        <f>BN232/BN$229</f>
        <v>#DIV/0!</v>
      </c>
      <c r="BP232" s="1719">
        <f>BP229-BP230</f>
        <v>2160344</v>
      </c>
      <c r="BQ232" s="1716">
        <f>BP232/BP$229</f>
        <v>0.60437604892204599</v>
      </c>
      <c r="BR232" s="1719">
        <f>BR229-BR230</f>
        <v>399798</v>
      </c>
      <c r="BS232" s="1716">
        <f>BR232/BR$229</f>
        <v>0.72649729515599415</v>
      </c>
      <c r="BT232" s="1719">
        <f>BT229-BT230</f>
        <v>876441</v>
      </c>
      <c r="BU232" s="1716">
        <f>BT232/BT$229</f>
        <v>0.59764376806178543</v>
      </c>
      <c r="BV232" s="1719">
        <f>BV229-BV230</f>
        <v>959218</v>
      </c>
      <c r="BW232" s="1716">
        <f>BV232/BV$229</f>
        <v>0.60990595340207576</v>
      </c>
      <c r="BX232" s="1719">
        <f>BX229-BX230</f>
        <v>3254220</v>
      </c>
      <c r="BY232" s="1716">
        <f>BX232/BX$229</f>
        <v>0.62146415765407226</v>
      </c>
      <c r="BZ232" s="1719">
        <f>BZ229-BZ230</f>
        <v>2860991</v>
      </c>
      <c r="CA232" s="1716">
        <f>BZ232/BZ$229</f>
        <v>0.66125144483086262</v>
      </c>
      <c r="CB232" s="1719">
        <f>CB229-CB230</f>
        <v>743439</v>
      </c>
      <c r="CC232" s="1716">
        <f>CB232/CB$229</f>
        <v>0.54186871488224053</v>
      </c>
      <c r="CD232" s="1719">
        <f>CD229-CD230</f>
        <v>972934</v>
      </c>
      <c r="CE232" s="1716">
        <f>CD232/CD$229</f>
        <v>0.53999898986142791</v>
      </c>
      <c r="CF232" s="1719">
        <v>1242999</v>
      </c>
      <c r="CG232" s="1716">
        <v>0.53001223335736791</v>
      </c>
      <c r="CH232" s="1719">
        <v>848553</v>
      </c>
      <c r="CI232" s="1716">
        <v>0.45621840340521436</v>
      </c>
      <c r="CJ232" s="1719">
        <v>898538</v>
      </c>
      <c r="CK232" s="1716">
        <v>0.51230068298167486</v>
      </c>
      <c r="CL232" s="1719">
        <v>4447476</v>
      </c>
      <c r="CM232" s="1716">
        <v>0.59281152663754155</v>
      </c>
      <c r="CN232" s="1719">
        <f>CN229-CN230</f>
        <v>1562141</v>
      </c>
      <c r="CO232" s="1716">
        <f>CN232/CN$229</f>
        <v>0.46210353498003254</v>
      </c>
      <c r="CP232" s="1719">
        <f>CP229-CP230</f>
        <v>1238590</v>
      </c>
      <c r="CQ232" s="1716">
        <f>CP232/CP$229</f>
        <v>0.6327016312146222</v>
      </c>
      <c r="CR232" s="1719">
        <v>2685589</v>
      </c>
      <c r="CS232" s="1716">
        <v>0.60820215693428259</v>
      </c>
      <c r="CT232" s="1719">
        <f>CT229-CT230</f>
        <v>1420833</v>
      </c>
      <c r="CU232" s="1716">
        <f>CT232/CT$229</f>
        <v>0.5701609078060631</v>
      </c>
      <c r="CV232" s="1719">
        <f>CV229-CV230</f>
        <v>3566735</v>
      </c>
      <c r="CW232" s="1716">
        <f>CV232/CV$229</f>
        <v>0.52188563519751696</v>
      </c>
      <c r="CX232" s="1719">
        <f>CX229-CX230</f>
        <v>1875151</v>
      </c>
      <c r="CY232" s="1716">
        <f>CX232/CX$229</f>
        <v>0.4486286228329992</v>
      </c>
      <c r="CZ232" s="1719">
        <v>563965</v>
      </c>
      <c r="DA232" s="1716">
        <v>0.5802431410798542</v>
      </c>
      <c r="DB232" s="1719">
        <v>1774574</v>
      </c>
      <c r="DC232" s="1716">
        <v>0.52740786796124117</v>
      </c>
      <c r="DD232" s="1719">
        <v>743235</v>
      </c>
      <c r="DE232" s="1716">
        <v>0.59403768349001485</v>
      </c>
      <c r="DF232" s="1719">
        <v>3195146</v>
      </c>
      <c r="DG232" s="1716">
        <v>0.41387649582962382</v>
      </c>
      <c r="DH232" s="1719">
        <v>1405529</v>
      </c>
      <c r="DI232" s="1716">
        <v>0.6118031388270424</v>
      </c>
      <c r="DJ232" s="1719">
        <v>945663</v>
      </c>
      <c r="DK232" s="1716">
        <v>0.47379519943565213</v>
      </c>
      <c r="DL232" s="1719">
        <v>1221319</v>
      </c>
      <c r="DM232" s="1716">
        <v>0.53977300098601066</v>
      </c>
      <c r="DN232" s="1719">
        <f>DN229-DN230</f>
        <v>691401</v>
      </c>
      <c r="DO232" s="1716">
        <f>DN232/DN$229</f>
        <v>0.52192709638652446</v>
      </c>
      <c r="DP232" s="1719">
        <f>DP229-DP230</f>
        <v>298954</v>
      </c>
      <c r="DQ232" s="1716">
        <f>DP232/DP$229</f>
        <v>0.48422464353800776</v>
      </c>
      <c r="DR232" s="1719">
        <f>DR229-DR230</f>
        <v>530519</v>
      </c>
      <c r="DS232" s="1716">
        <f>DR232/DR$229</f>
        <v>0.28048477453109699</v>
      </c>
      <c r="DT232" s="1719">
        <f>DT229-DT230</f>
        <v>1623634</v>
      </c>
      <c r="DU232" s="1716">
        <f>DT232/DT$229</f>
        <v>0.40986182220608885</v>
      </c>
      <c r="DV232" s="1719">
        <f>DV229-DV230</f>
        <v>825447</v>
      </c>
      <c r="DW232" s="1716">
        <f>DV232/DV$229</f>
        <v>0.65017328565352317</v>
      </c>
      <c r="DX232" s="1719">
        <f>DX229-DX230</f>
        <v>1558539</v>
      </c>
      <c r="DY232" s="1716">
        <f>DX232/DX$229</f>
        <v>0.48788916287076378</v>
      </c>
      <c r="DZ232" s="1719">
        <f>DZ229-DZ230</f>
        <v>2363078</v>
      </c>
      <c r="EA232" s="1716">
        <f>DZ232/DZ$229</f>
        <v>0.44704439252115447</v>
      </c>
      <c r="EB232" s="1719">
        <f>EB229-EB230</f>
        <v>1675191</v>
      </c>
      <c r="EC232" s="1716">
        <f>EB232/EB$229</f>
        <v>0.43367901160418604</v>
      </c>
      <c r="ED232" s="1719">
        <f>ED229-ED230</f>
        <v>753642</v>
      </c>
      <c r="EE232" s="1716">
        <f>ED232/ED$229</f>
        <v>0.56254240666056088</v>
      </c>
      <c r="EF232" s="1719">
        <f>EF229-EF230</f>
        <v>813895</v>
      </c>
      <c r="EG232" s="1716">
        <f>EF232/EF$229</f>
        <v>0.41293023977903859</v>
      </c>
      <c r="EH232" s="1719">
        <f>EH229-EH230</f>
        <v>4773029</v>
      </c>
      <c r="EI232" s="1716">
        <f>EH232/EH$229</f>
        <v>0.51284847939147082</v>
      </c>
      <c r="EJ232" s="1719">
        <f>EJ229-EJ230</f>
        <v>556818</v>
      </c>
      <c r="EK232" s="1716">
        <f>EJ232/EJ$229</f>
        <v>0.25237397459390543</v>
      </c>
      <c r="EL232" s="1719">
        <f>EL229-EL230</f>
        <v>2188854</v>
      </c>
      <c r="EM232" s="1716">
        <f>EL232/EL$229</f>
        <v>0.3720988505985513</v>
      </c>
      <c r="EN232" s="1719">
        <f>EN229-EN230</f>
        <v>1400490</v>
      </c>
      <c r="EO232" s="1716">
        <f>EN232/EN$229</f>
        <v>0.5379324808294168</v>
      </c>
      <c r="EP232" s="1719">
        <f>EP229-EP230</f>
        <v>1706226</v>
      </c>
      <c r="EQ232" s="1716">
        <f>EP232/EP$229</f>
        <v>0.61847905478759369</v>
      </c>
      <c r="ER232" s="1719">
        <f>ER229-ER230</f>
        <v>575968</v>
      </c>
      <c r="ES232" s="1716">
        <f>ER232/ER$229</f>
        <v>0.52657476085686516</v>
      </c>
      <c r="ET232" s="1719">
        <f>ET229-ET230</f>
        <v>2678425</v>
      </c>
      <c r="EU232" s="1716">
        <f>ET232/ET$229</f>
        <v>0.57993057093744393</v>
      </c>
      <c r="EV232" s="1719">
        <f>EV229-EV230</f>
        <v>1307306</v>
      </c>
      <c r="EW232" s="1716">
        <f>EV232/EV$229</f>
        <v>0.58584627353199648</v>
      </c>
      <c r="EX232" s="1719">
        <f>EX229-EX230</f>
        <v>884706</v>
      </c>
      <c r="EY232" s="1716">
        <f>EX232/EX$229</f>
        <v>0.57552784008410052</v>
      </c>
      <c r="EZ232" s="1719">
        <f>EZ229-EZ230</f>
        <v>652367</v>
      </c>
      <c r="FA232" s="1716">
        <f>EZ232/EZ$229</f>
        <v>0.32449030956469144</v>
      </c>
      <c r="FB232" s="1719">
        <f>FB229-FB230</f>
        <v>705950</v>
      </c>
      <c r="FC232" s="1716">
        <f>FB232/FB$229</f>
        <v>0.56236164007739786</v>
      </c>
      <c r="FD232" s="1719">
        <f>FD229-FD230</f>
        <v>1117161</v>
      </c>
      <c r="FE232" s="1716">
        <f>FD232/FD$229</f>
        <v>0.54500151475902159</v>
      </c>
      <c r="FF232" s="1719">
        <f>FF229-FF230</f>
        <v>2113588</v>
      </c>
      <c r="FG232" s="1716">
        <f>FF232/FF$229</f>
        <v>0.61335066759141843</v>
      </c>
      <c r="FH232" s="1719">
        <f>FH229-FH230</f>
        <v>984506</v>
      </c>
      <c r="FI232" s="1716">
        <f>FH232/FH$229</f>
        <v>0.6443283417007154</v>
      </c>
      <c r="FJ232" s="1719">
        <f>FJ229-FJ230</f>
        <v>1212350</v>
      </c>
      <c r="FK232" s="1716">
        <f>FJ232/FJ$229</f>
        <v>0.64283150216362761</v>
      </c>
      <c r="FL232" s="1719">
        <f>FL229-FL230</f>
        <v>729204</v>
      </c>
      <c r="FM232" s="1716">
        <f>FL232/FL$229</f>
        <v>0.54250316371646856</v>
      </c>
      <c r="FN232" s="1719">
        <f>FN229-FN230</f>
        <v>2357136</v>
      </c>
      <c r="FO232" s="1716">
        <f>FN232/FN$229</f>
        <v>0.50138185800076962</v>
      </c>
      <c r="FP232" s="1719">
        <f>FP229-FP230</f>
        <v>407363</v>
      </c>
      <c r="FQ232" s="1716">
        <f>FP232/FP$229</f>
        <v>0.5123289566354764</v>
      </c>
      <c r="FR232" s="1719">
        <f>FR229-FR230</f>
        <v>3483851</v>
      </c>
      <c r="FS232" s="1716">
        <f>FR232/FR$229</f>
        <v>0.56892482653092891</v>
      </c>
      <c r="FT232" s="1719">
        <f>FT229-FT230</f>
        <v>2674169</v>
      </c>
      <c r="FU232" s="1716">
        <f>FT232/FT$229</f>
        <v>0.5669431947795337</v>
      </c>
      <c r="FV232" s="1719">
        <f>FV229-FV230</f>
        <v>1632512</v>
      </c>
      <c r="FW232" s="1716">
        <f>FV232/FV$229</f>
        <v>0.25984527819634801</v>
      </c>
      <c r="FX232" s="1719">
        <f>FX229-FX230</f>
        <v>994246</v>
      </c>
      <c r="FY232" s="1716">
        <f>FX232/FX$229</f>
        <v>0.5699337458311694</v>
      </c>
      <c r="FZ232" s="1719">
        <f>FZ229-FZ230</f>
        <v>810814</v>
      </c>
      <c r="GA232" s="1716">
        <f>FZ232/FZ$229</f>
        <v>0.51713473525365505</v>
      </c>
      <c r="GB232" s="1719">
        <f>GB229-GB230</f>
        <v>412225</v>
      </c>
      <c r="GC232" s="1716">
        <f>GB232/GB$229</f>
        <v>0.5791222376757843</v>
      </c>
      <c r="GD232" s="1719">
        <f>GD229-GD230</f>
        <v>1395423</v>
      </c>
      <c r="GE232" s="1716">
        <f>GD232/GD$229</f>
        <v>0.37301360298363195</v>
      </c>
      <c r="GF232" s="1719">
        <f>GF229-GF230</f>
        <v>1255476</v>
      </c>
      <c r="GG232" s="1716">
        <f>GF232/GF$229</f>
        <v>0.5375237726627009</v>
      </c>
      <c r="GH232" s="1719">
        <f>GH229-GH230</f>
        <v>692527</v>
      </c>
      <c r="GI232" s="1716">
        <f>GH232/GH$229</f>
        <v>0.55536781157525839</v>
      </c>
      <c r="GJ232" s="1719">
        <f>GJ229-GJ230</f>
        <v>5703666</v>
      </c>
      <c r="GK232" s="1716">
        <f>GJ232/GJ$229</f>
        <v>0.47342462342319164</v>
      </c>
      <c r="GL232" s="1719">
        <f>GL229-GL230</f>
        <v>1196989</v>
      </c>
      <c r="GM232" s="1716">
        <f>GL232/GL$229</f>
        <v>0.55161113868424094</v>
      </c>
      <c r="GN232" s="1719">
        <f>GN229-GN230</f>
        <v>690845</v>
      </c>
      <c r="GO232" s="1716">
        <f>GN232/GN$229</f>
        <v>0.54138233145988168</v>
      </c>
      <c r="GP232" s="1719">
        <f>GP229-GP230</f>
        <v>1060187</v>
      </c>
      <c r="GQ232" s="1716">
        <f>GP232/GP$229</f>
        <v>0.5669958584514545</v>
      </c>
      <c r="GR232" s="1719">
        <f>GR229-GR230</f>
        <v>908778</v>
      </c>
      <c r="GS232" s="1716">
        <f>GR232/GR$229</f>
        <v>0.55274298045646197</v>
      </c>
      <c r="GT232" s="1719">
        <f>GT229-GT230</f>
        <v>1746314</v>
      </c>
      <c r="GU232" s="1716">
        <f>GT232/GT$229</f>
        <v>0.65946969439491132</v>
      </c>
      <c r="GV232" s="1719">
        <f>GV229-GV230</f>
        <v>1875999</v>
      </c>
      <c r="GW232" s="1716">
        <f>GV232/GV$229</f>
        <v>0.57074938277802367</v>
      </c>
      <c r="GX232" s="1719">
        <f>GX229-GX230</f>
        <v>1042622</v>
      </c>
      <c r="GY232" s="1716">
        <f>GX232/GX$229</f>
        <v>0.54922798380269933</v>
      </c>
      <c r="GZ232" s="1719">
        <f>GZ229-GZ230</f>
        <v>2448024</v>
      </c>
      <c r="HA232" s="1716">
        <f>GZ232/GZ$229</f>
        <v>0.58443303389391876</v>
      </c>
      <c r="HB232" s="1719">
        <f>HB229-HB230</f>
        <v>281785</v>
      </c>
      <c r="HC232" s="1716">
        <f>HB232/HB$229</f>
        <v>0.61643011524225377</v>
      </c>
      <c r="HD232" s="1719">
        <f>HD229-HD230</f>
        <v>860922</v>
      </c>
      <c r="HE232" s="1716">
        <f>HD232/HD$229</f>
        <v>0.52668342907482524</v>
      </c>
      <c r="HF232" s="2036">
        <f>HF229-HF230</f>
        <v>3015352</v>
      </c>
      <c r="HG232" s="2033">
        <f>HF232/HF$229</f>
        <v>0.38462079095079532</v>
      </c>
      <c r="HH232" s="1719">
        <f>HH229-HH230</f>
        <v>1497861</v>
      </c>
      <c r="HI232" s="1716">
        <f>HH232/HH$229</f>
        <v>0.49622331723936419</v>
      </c>
      <c r="HJ232" s="1719">
        <f>HJ229-HJ230</f>
        <v>3515707</v>
      </c>
      <c r="HK232" s="1716">
        <f>HJ232/HJ$229</f>
        <v>0.58612465956589821</v>
      </c>
      <c r="HL232" s="1719">
        <f>HL229-HL230</f>
        <v>1382745</v>
      </c>
      <c r="HM232" s="1716">
        <f>HL232/HL$229</f>
        <v>0.71625483483474151</v>
      </c>
      <c r="HN232" s="1719">
        <f>HN229-HN230</f>
        <v>732175</v>
      </c>
      <c r="HO232" s="1716">
        <f>HN232/HN$229</f>
        <v>0.5550876176815317</v>
      </c>
      <c r="HP232" s="2036">
        <f>HP229-HP230</f>
        <v>2791982</v>
      </c>
      <c r="HQ232" s="2033">
        <f>HP232/HP$229</f>
        <v>0.44323661335833592</v>
      </c>
      <c r="HR232" s="1719">
        <f>HR229-HR230</f>
        <v>954485</v>
      </c>
      <c r="HS232" s="1716">
        <f>HR232/HR$229</f>
        <v>0.49902076419081559</v>
      </c>
      <c r="HT232" s="2036">
        <f>HT229-HT230</f>
        <v>1655108</v>
      </c>
      <c r="HU232" s="2033">
        <f>HT232/HT$229</f>
        <v>0.42633765335884494</v>
      </c>
      <c r="HV232" s="2036">
        <f>HV229-HV230</f>
        <v>885999</v>
      </c>
      <c r="HW232" s="2033">
        <f>HV232/HV$229</f>
        <v>0.43002437454679943</v>
      </c>
      <c r="HX232" s="2036">
        <f>HX229-HX230</f>
        <v>900767</v>
      </c>
      <c r="HY232" s="2033">
        <f>HX232/HX$229</f>
        <v>0.43999972645551311</v>
      </c>
      <c r="HZ232" s="2036">
        <f>HZ229-HZ230</f>
        <v>866114</v>
      </c>
      <c r="IA232" s="2033">
        <f>HZ232/HZ$229</f>
        <v>0.50477109079729932</v>
      </c>
      <c r="IB232" s="1719">
        <f>IB229-IB230</f>
        <v>719006</v>
      </c>
      <c r="IC232" s="1716">
        <f>IB232/IB$229</f>
        <v>0.50935750647849165</v>
      </c>
      <c r="ID232" s="2036">
        <f>ID229-ID230</f>
        <v>1124932</v>
      </c>
      <c r="IE232" s="2033">
        <f>ID232/ID$229</f>
        <v>0.56610093409784223</v>
      </c>
      <c r="IF232" s="2036">
        <f>IF229-IF230</f>
        <v>1595204</v>
      </c>
      <c r="IG232" s="2033">
        <f>IF232/IF$229</f>
        <v>0.62419989372350426</v>
      </c>
    </row>
    <row r="233" spans="1:241" ht="16.2" thickTop="1">
      <c r="A233" s="1149"/>
      <c r="B233" s="1149"/>
      <c r="C233" s="1149"/>
      <c r="D233" s="1149"/>
      <c r="E233" s="1143"/>
      <c r="F233" s="1717"/>
      <c r="G233" s="1356"/>
      <c r="H233" s="1717"/>
      <c r="I233" s="1356"/>
      <c r="J233" s="1717"/>
      <c r="K233" s="1356"/>
      <c r="L233" s="1717"/>
      <c r="M233" s="1356"/>
      <c r="N233" s="1717"/>
      <c r="O233" s="1356"/>
      <c r="P233" s="1717"/>
      <c r="Q233" s="1356"/>
      <c r="R233" s="1717"/>
      <c r="T233" s="1717"/>
      <c r="U233" s="1356"/>
      <c r="V233" s="1717"/>
      <c r="W233" s="1356"/>
      <c r="X233" s="1717"/>
      <c r="Y233" s="1356"/>
      <c r="Z233" s="1717"/>
      <c r="AA233" s="1356"/>
      <c r="AB233" s="1717"/>
      <c r="AC233" s="1356"/>
      <c r="AD233" s="1717"/>
      <c r="AE233" s="1356"/>
      <c r="AF233" s="1717"/>
      <c r="AG233" s="1356"/>
      <c r="AH233" s="1717"/>
      <c r="AI233" s="1356"/>
      <c r="AJ233" s="1717"/>
      <c r="AK233" s="1356"/>
      <c r="AL233" s="1717"/>
      <c r="AM233" s="1356"/>
      <c r="AN233" s="1717"/>
      <c r="AO233" s="1356"/>
      <c r="AP233" s="1717"/>
      <c r="AQ233" s="1356"/>
      <c r="AR233" s="1717"/>
      <c r="AS233" s="1356"/>
      <c r="AT233" s="1717"/>
      <c r="AU233" s="1356"/>
      <c r="AV233" s="1717"/>
      <c r="AW233" s="1356"/>
      <c r="AX233" s="1717"/>
      <c r="AY233" s="1356"/>
      <c r="AZ233" s="1717"/>
      <c r="BA233" s="1356"/>
      <c r="BB233" s="1717"/>
      <c r="BC233" s="1356"/>
      <c r="BD233" s="1717"/>
      <c r="BE233" s="1356"/>
      <c r="BF233" s="1717"/>
      <c r="BG233" s="1356"/>
      <c r="BH233" s="1717"/>
      <c r="BI233" s="1356"/>
      <c r="BJ233" s="1717"/>
      <c r="BK233" s="1356"/>
      <c r="BL233" s="1717"/>
      <c r="BM233" s="1356"/>
      <c r="BN233" s="1717"/>
      <c r="BO233" s="1356"/>
      <c r="BP233" s="1717"/>
      <c r="BQ233" s="1356"/>
      <c r="BR233" s="1717"/>
      <c r="BS233" s="1356"/>
      <c r="BT233" s="1717"/>
      <c r="BU233" s="1356"/>
      <c r="BV233" s="1717"/>
      <c r="BW233" s="1356"/>
      <c r="BX233" s="1717"/>
      <c r="BY233" s="1356"/>
      <c r="BZ233" s="1717"/>
      <c r="CA233" s="1356"/>
      <c r="CB233" s="1717"/>
      <c r="CC233" s="1356"/>
      <c r="CD233" s="1717"/>
      <c r="CE233" s="1356"/>
      <c r="CF233" s="1717"/>
      <c r="CG233" s="1356"/>
      <c r="CH233" s="1717"/>
      <c r="CI233" s="1356"/>
      <c r="CJ233" s="1717"/>
      <c r="CK233" s="1356"/>
      <c r="CL233" s="1717"/>
      <c r="CM233" s="1356"/>
      <c r="CN233" s="1717"/>
      <c r="CO233" s="1356"/>
      <c r="CP233" s="1717"/>
      <c r="CQ233" s="1356"/>
      <c r="CR233" s="1717"/>
      <c r="CS233" s="1356"/>
      <c r="CT233" s="1717"/>
      <c r="CU233" s="1356"/>
      <c r="CV233" s="1717"/>
      <c r="CW233" s="1356"/>
      <c r="CX233" s="1717"/>
      <c r="CY233" s="1356"/>
      <c r="CZ233" s="1717"/>
      <c r="DA233" s="1356"/>
      <c r="DB233" s="1717"/>
      <c r="DC233" s="1356"/>
      <c r="DD233" s="1717"/>
      <c r="DE233" s="1356"/>
      <c r="DF233" s="1717"/>
      <c r="DG233" s="1356"/>
      <c r="DH233" s="1717"/>
      <c r="DI233" s="1356"/>
      <c r="DJ233" s="1717"/>
      <c r="DK233" s="1356"/>
      <c r="DL233" s="1717"/>
      <c r="DM233" s="1356"/>
      <c r="DN233" s="1717"/>
      <c r="DO233" s="1356"/>
      <c r="DP233" s="1717"/>
      <c r="DQ233" s="1356"/>
      <c r="DR233" s="1717"/>
      <c r="DS233" s="1356"/>
      <c r="DT233" s="1717"/>
      <c r="DU233" s="1356"/>
      <c r="DV233" s="1717"/>
      <c r="DW233" s="1356"/>
      <c r="DX233" s="1717"/>
      <c r="DY233" s="1356"/>
      <c r="DZ233" s="1717"/>
      <c r="EA233" s="1356"/>
      <c r="EB233" s="1717"/>
      <c r="EC233" s="1356"/>
      <c r="ED233" s="1717"/>
      <c r="EE233" s="1356"/>
      <c r="EF233" s="1717"/>
      <c r="EG233" s="1356"/>
      <c r="EH233" s="1717"/>
      <c r="EI233" s="1356"/>
      <c r="EJ233" s="1717"/>
      <c r="EK233" s="1356"/>
      <c r="EL233" s="1717"/>
      <c r="EM233" s="1356"/>
      <c r="EN233" s="1717"/>
      <c r="EO233" s="1356"/>
      <c r="EP233" s="1717"/>
      <c r="EQ233" s="1356"/>
      <c r="ER233" s="1717"/>
      <c r="ES233" s="1356"/>
      <c r="ET233" s="1717"/>
      <c r="EU233" s="1356"/>
      <c r="EV233" s="1717"/>
      <c r="EW233" s="1356"/>
      <c r="EX233" s="1717"/>
      <c r="EY233" s="1356"/>
      <c r="EZ233" s="1717"/>
      <c r="FA233" s="1356"/>
      <c r="FB233" s="1717"/>
      <c r="FC233" s="1356"/>
      <c r="FD233" s="1717"/>
      <c r="FE233" s="1356"/>
      <c r="FF233" s="1717"/>
      <c r="FG233" s="1356"/>
      <c r="FH233" s="1717"/>
      <c r="FI233" s="1356"/>
      <c r="FJ233" s="1717"/>
      <c r="FK233" s="1356"/>
      <c r="FL233" s="1717"/>
      <c r="FM233" s="1356"/>
      <c r="FN233" s="1717"/>
      <c r="FO233" s="1356"/>
      <c r="FP233" s="1717"/>
      <c r="FQ233" s="1356"/>
      <c r="FR233" s="1717"/>
      <c r="FS233" s="1356"/>
      <c r="FT233" s="1717"/>
      <c r="FU233" s="1356"/>
      <c r="FV233" s="1717"/>
      <c r="FW233" s="1356"/>
      <c r="FX233" s="1717"/>
      <c r="FY233" s="1356"/>
      <c r="FZ233" s="1717"/>
      <c r="GA233" s="1356"/>
      <c r="GB233" s="1717"/>
      <c r="GC233" s="1356"/>
      <c r="GD233" s="1717"/>
      <c r="GE233" s="1356"/>
      <c r="GF233" s="1717"/>
      <c r="GG233" s="1356"/>
      <c r="GH233" s="1717"/>
      <c r="GI233" s="1356"/>
      <c r="GJ233" s="1717"/>
      <c r="GK233" s="1356"/>
      <c r="GL233" s="1717"/>
      <c r="GM233" s="1356"/>
      <c r="GN233" s="1717"/>
      <c r="GO233" s="1356"/>
      <c r="GP233" s="1717"/>
      <c r="GQ233" s="1356"/>
      <c r="GR233" s="1717"/>
      <c r="GS233" s="1356"/>
      <c r="GT233" s="1717"/>
      <c r="GU233" s="1356"/>
      <c r="GV233" s="1717"/>
      <c r="GW233" s="1356"/>
      <c r="GX233" s="1717"/>
      <c r="GY233" s="1356"/>
      <c r="GZ233" s="1717"/>
      <c r="HA233" s="1356"/>
      <c r="HB233" s="1717"/>
      <c r="HC233" s="1356"/>
      <c r="HD233" s="1717"/>
      <c r="HE233" s="1356"/>
      <c r="HF233" s="2034"/>
      <c r="HH233" s="1717"/>
      <c r="HI233" s="1356"/>
      <c r="HJ233" s="1717"/>
      <c r="HK233" s="1356"/>
      <c r="HL233" s="1717"/>
      <c r="HM233" s="1356"/>
      <c r="HN233" s="1717"/>
      <c r="HO233" s="1356"/>
      <c r="HP233" s="2034"/>
      <c r="HR233" s="1717"/>
      <c r="HS233" s="1356"/>
      <c r="HT233" s="2034"/>
      <c r="HV233" s="2034"/>
      <c r="HX233" s="2034"/>
      <c r="HZ233" s="2034"/>
      <c r="IB233" s="1717"/>
      <c r="IC233" s="1356"/>
      <c r="ID233" s="2034"/>
      <c r="IF233" s="2034"/>
    </row>
    <row r="234" spans="1:241">
      <c r="A234" s="1149"/>
      <c r="B234" s="1149" t="s">
        <v>29</v>
      </c>
      <c r="C234" s="1149"/>
      <c r="D234" s="1149"/>
      <c r="E234" s="1143"/>
      <c r="F234" s="1717"/>
      <c r="G234" s="1356"/>
      <c r="H234" s="1717"/>
      <c r="I234" s="1356"/>
      <c r="J234" s="1717"/>
      <c r="K234" s="1356"/>
      <c r="L234" s="1717"/>
      <c r="M234" s="1356"/>
      <c r="N234" s="1717"/>
      <c r="O234" s="1356"/>
      <c r="P234" s="1717"/>
      <c r="Q234" s="1356"/>
      <c r="R234" s="1717"/>
      <c r="T234" s="1717"/>
      <c r="U234" s="1356"/>
      <c r="V234" s="1717"/>
      <c r="W234" s="1356"/>
      <c r="X234" s="1717"/>
      <c r="Y234" s="1356"/>
      <c r="Z234" s="1717"/>
      <c r="AA234" s="1356"/>
      <c r="AB234" s="1717"/>
      <c r="AC234" s="1356"/>
      <c r="AD234" s="1717"/>
      <c r="AE234" s="1356"/>
      <c r="AF234" s="1717"/>
      <c r="AG234" s="1356"/>
      <c r="AH234" s="1717"/>
      <c r="AI234" s="1356"/>
      <c r="AJ234" s="1717"/>
      <c r="AK234" s="1356"/>
      <c r="AL234" s="1717"/>
      <c r="AM234" s="1356"/>
      <c r="AN234" s="1717"/>
      <c r="AO234" s="1356"/>
      <c r="AP234" s="1717"/>
      <c r="AQ234" s="1356"/>
      <c r="AR234" s="1717"/>
      <c r="AS234" s="1356"/>
      <c r="AT234" s="1717"/>
      <c r="AU234" s="1356"/>
      <c r="AV234" s="1717"/>
      <c r="AW234" s="1356"/>
      <c r="AX234" s="1717"/>
      <c r="AY234" s="1356"/>
      <c r="AZ234" s="1717"/>
      <c r="BA234" s="1356"/>
      <c r="BB234" s="1717"/>
      <c r="BC234" s="1356"/>
      <c r="BD234" s="1717"/>
      <c r="BE234" s="1356"/>
      <c r="BF234" s="1717"/>
      <c r="BG234" s="1356"/>
      <c r="BH234" s="1717"/>
      <c r="BI234" s="1356"/>
      <c r="BJ234" s="1717"/>
      <c r="BK234" s="1356"/>
      <c r="BL234" s="1717"/>
      <c r="BM234" s="1356"/>
      <c r="BN234" s="1717"/>
      <c r="BO234" s="1356"/>
      <c r="BP234" s="1717"/>
      <c r="BQ234" s="1356"/>
      <c r="BR234" s="1717"/>
      <c r="BS234" s="1356"/>
      <c r="BT234" s="1717"/>
      <c r="BU234" s="1356"/>
      <c r="BV234" s="1717"/>
      <c r="BW234" s="1356"/>
      <c r="BX234" s="1717"/>
      <c r="BY234" s="1356"/>
      <c r="BZ234" s="1717"/>
      <c r="CA234" s="1356"/>
      <c r="CB234" s="1717"/>
      <c r="CC234" s="1356"/>
      <c r="CD234" s="1717"/>
      <c r="CE234" s="1356"/>
      <c r="CF234" s="1717"/>
      <c r="CG234" s="1356"/>
      <c r="CH234" s="1717"/>
      <c r="CI234" s="1356"/>
      <c r="CJ234" s="1717"/>
      <c r="CK234" s="1356"/>
      <c r="CL234" s="1717"/>
      <c r="CM234" s="1356"/>
      <c r="CN234" s="1717"/>
      <c r="CO234" s="1356"/>
      <c r="CP234" s="1717"/>
      <c r="CQ234" s="1356"/>
      <c r="CR234" s="1717"/>
      <c r="CS234" s="1356"/>
      <c r="CT234" s="1717"/>
      <c r="CU234" s="1356"/>
      <c r="CV234" s="1717"/>
      <c r="CW234" s="1356"/>
      <c r="CX234" s="1717"/>
      <c r="CY234" s="1356"/>
      <c r="CZ234" s="1717"/>
      <c r="DA234" s="1356"/>
      <c r="DB234" s="1717"/>
      <c r="DC234" s="1356"/>
      <c r="DD234" s="1717"/>
      <c r="DE234" s="1356"/>
      <c r="DF234" s="1717"/>
      <c r="DG234" s="1356"/>
      <c r="DH234" s="1717"/>
      <c r="DI234" s="1356"/>
      <c r="DJ234" s="1717"/>
      <c r="DK234" s="1356"/>
      <c r="DL234" s="1717"/>
      <c r="DM234" s="1356"/>
      <c r="DN234" s="1717"/>
      <c r="DO234" s="1356"/>
      <c r="DP234" s="1717"/>
      <c r="DQ234" s="1356"/>
      <c r="DR234" s="1717"/>
      <c r="DS234" s="1356"/>
      <c r="DT234" s="1717"/>
      <c r="DU234" s="1356"/>
      <c r="DV234" s="1717"/>
      <c r="DW234" s="1356"/>
      <c r="DX234" s="1717"/>
      <c r="DY234" s="1356"/>
      <c r="DZ234" s="1717"/>
      <c r="EA234" s="1356"/>
      <c r="EB234" s="1717"/>
      <c r="EC234" s="1356"/>
      <c r="ED234" s="1717"/>
      <c r="EE234" s="1356"/>
      <c r="EF234" s="1717"/>
      <c r="EG234" s="1356"/>
      <c r="EH234" s="1717"/>
      <c r="EI234" s="1356"/>
      <c r="EJ234" s="1717"/>
      <c r="EK234" s="1356"/>
      <c r="EL234" s="1717"/>
      <c r="EM234" s="1356"/>
      <c r="EN234" s="1717"/>
      <c r="EO234" s="1356"/>
      <c r="EP234" s="1717"/>
      <c r="EQ234" s="1356"/>
      <c r="ER234" s="1717"/>
      <c r="ES234" s="1356"/>
      <c r="ET234" s="1717"/>
      <c r="EU234" s="1356"/>
      <c r="EV234" s="1717"/>
      <c r="EW234" s="1356"/>
      <c r="EX234" s="1717"/>
      <c r="EY234" s="1356"/>
      <c r="EZ234" s="1717"/>
      <c r="FA234" s="1356"/>
      <c r="FB234" s="1717"/>
      <c r="FC234" s="1356"/>
      <c r="FD234" s="1717"/>
      <c r="FE234" s="1356"/>
      <c r="FF234" s="1717"/>
      <c r="FG234" s="1356"/>
      <c r="FH234" s="1717"/>
      <c r="FI234" s="1356"/>
      <c r="FJ234" s="1717"/>
      <c r="FK234" s="1356"/>
      <c r="FL234" s="1717"/>
      <c r="FM234" s="1356"/>
      <c r="FN234" s="1717"/>
      <c r="FO234" s="1356"/>
      <c r="FP234" s="1717"/>
      <c r="FQ234" s="1356"/>
      <c r="FR234" s="1717"/>
      <c r="FS234" s="1356"/>
      <c r="FT234" s="1717"/>
      <c r="FU234" s="1356"/>
      <c r="FV234" s="1717"/>
      <c r="FW234" s="1356"/>
      <c r="FX234" s="1717"/>
      <c r="FY234" s="1356"/>
      <c r="FZ234" s="1717"/>
      <c r="GA234" s="1356"/>
      <c r="GB234" s="1717"/>
      <c r="GC234" s="1356"/>
      <c r="GD234" s="1717"/>
      <c r="GE234" s="1356"/>
      <c r="GF234" s="1717"/>
      <c r="GG234" s="1356"/>
      <c r="GH234" s="1717"/>
      <c r="GI234" s="1356"/>
      <c r="GJ234" s="1717"/>
      <c r="GK234" s="1356"/>
      <c r="GL234" s="1717"/>
      <c r="GM234" s="1356"/>
      <c r="GN234" s="1717"/>
      <c r="GO234" s="1356"/>
      <c r="GP234" s="1717"/>
      <c r="GQ234" s="1356"/>
      <c r="GR234" s="1717"/>
      <c r="GS234" s="1356"/>
      <c r="GT234" s="1717"/>
      <c r="GU234" s="1356"/>
      <c r="GV234" s="1717"/>
      <c r="GW234" s="1356"/>
      <c r="GX234" s="1717"/>
      <c r="GY234" s="1356"/>
      <c r="GZ234" s="1717"/>
      <c r="HA234" s="1356"/>
      <c r="HB234" s="1717"/>
      <c r="HC234" s="1356"/>
      <c r="HD234" s="1717"/>
      <c r="HE234" s="1356"/>
      <c r="HF234" s="2034"/>
      <c r="HH234" s="1717"/>
      <c r="HI234" s="1356"/>
      <c r="HJ234" s="1717"/>
      <c r="HK234" s="1356"/>
      <c r="HL234" s="1717"/>
      <c r="HM234" s="1356"/>
      <c r="HN234" s="1717"/>
      <c r="HO234" s="1356"/>
      <c r="HP234" s="2034"/>
      <c r="HR234" s="1717"/>
      <c r="HS234" s="1356"/>
      <c r="HT234" s="2034"/>
      <c r="HV234" s="2034"/>
      <c r="HX234" s="2034"/>
      <c r="HZ234" s="2034"/>
      <c r="IB234" s="1717"/>
      <c r="IC234" s="1356"/>
      <c r="ID234" s="2034"/>
      <c r="IF234" s="2034"/>
    </row>
    <row r="235" spans="1:241">
      <c r="A235" s="1149"/>
      <c r="B235" s="1149"/>
      <c r="C235" s="1149"/>
      <c r="D235" s="1149"/>
      <c r="E235" s="1143"/>
      <c r="F235" s="1717"/>
      <c r="G235" s="1356"/>
      <c r="H235" s="1717"/>
      <c r="I235" s="1356"/>
      <c r="J235" s="1717"/>
      <c r="K235" s="1356"/>
      <c r="L235" s="1717"/>
      <c r="M235" s="1356"/>
      <c r="N235" s="1717"/>
      <c r="O235" s="1356"/>
      <c r="P235" s="1717"/>
      <c r="Q235" s="1356"/>
      <c r="R235" s="1717"/>
      <c r="T235" s="1717"/>
      <c r="U235" s="1356"/>
      <c r="V235" s="1717"/>
      <c r="W235" s="1356"/>
      <c r="X235" s="1717"/>
      <c r="Y235" s="1356"/>
      <c r="Z235" s="1717"/>
      <c r="AA235" s="1356"/>
      <c r="AB235" s="1717"/>
      <c r="AC235" s="1356"/>
      <c r="AD235" s="1717"/>
      <c r="AE235" s="1356"/>
      <c r="AF235" s="1717"/>
      <c r="AG235" s="1356"/>
      <c r="AH235" s="1717"/>
      <c r="AI235" s="1356"/>
      <c r="AJ235" s="1717"/>
      <c r="AK235" s="1356"/>
      <c r="AL235" s="1717"/>
      <c r="AM235" s="1356"/>
      <c r="AN235" s="1717"/>
      <c r="AO235" s="1356"/>
      <c r="AP235" s="1717"/>
      <c r="AQ235" s="1356"/>
      <c r="AR235" s="1717"/>
      <c r="AS235" s="1356"/>
      <c r="AT235" s="1717"/>
      <c r="AU235" s="1356"/>
      <c r="AV235" s="1717"/>
      <c r="AW235" s="1356"/>
      <c r="AX235" s="1717"/>
      <c r="AY235" s="1356"/>
      <c r="AZ235" s="1717"/>
      <c r="BA235" s="1356"/>
      <c r="BB235" s="1717"/>
      <c r="BC235" s="1356"/>
      <c r="BD235" s="1717"/>
      <c r="BE235" s="1356"/>
      <c r="BF235" s="1717"/>
      <c r="BG235" s="1356"/>
      <c r="BH235" s="1717"/>
      <c r="BI235" s="1356"/>
      <c r="BJ235" s="1717"/>
      <c r="BK235" s="1356"/>
      <c r="BL235" s="1717"/>
      <c r="BM235" s="1356"/>
      <c r="BN235" s="1717"/>
      <c r="BO235" s="1356"/>
      <c r="BP235" s="1717"/>
      <c r="BQ235" s="1356"/>
      <c r="BR235" s="1717"/>
      <c r="BS235" s="1356"/>
      <c r="BT235" s="1717"/>
      <c r="BU235" s="1356"/>
      <c r="BV235" s="1717"/>
      <c r="BW235" s="1356"/>
      <c r="BX235" s="1717"/>
      <c r="BY235" s="1356"/>
      <c r="BZ235" s="1717"/>
      <c r="CA235" s="1356"/>
      <c r="CB235" s="1717"/>
      <c r="CC235" s="1356"/>
      <c r="CD235" s="1717"/>
      <c r="CE235" s="1356"/>
      <c r="CF235" s="1717"/>
      <c r="CG235" s="1356"/>
      <c r="CH235" s="1717"/>
      <c r="CI235" s="1356"/>
      <c r="CJ235" s="1717"/>
      <c r="CK235" s="1356"/>
      <c r="CL235" s="1717"/>
      <c r="CM235" s="1356"/>
      <c r="CN235" s="1717"/>
      <c r="CO235" s="1356"/>
      <c r="CP235" s="1717"/>
      <c r="CQ235" s="1356"/>
      <c r="CR235" s="1717"/>
      <c r="CS235" s="1356"/>
      <c r="CT235" s="1717"/>
      <c r="CU235" s="1356"/>
      <c r="CV235" s="1717"/>
      <c r="CW235" s="1356"/>
      <c r="CX235" s="1717"/>
      <c r="CY235" s="1356"/>
      <c r="CZ235" s="1717"/>
      <c r="DA235" s="1356"/>
      <c r="DB235" s="1717"/>
      <c r="DC235" s="1356"/>
      <c r="DD235" s="1717"/>
      <c r="DE235" s="1356"/>
      <c r="DF235" s="1717"/>
      <c r="DG235" s="1356"/>
      <c r="DH235" s="1717"/>
      <c r="DI235" s="1356"/>
      <c r="DJ235" s="1717"/>
      <c r="DK235" s="1356"/>
      <c r="DL235" s="1717"/>
      <c r="DM235" s="1356"/>
      <c r="DN235" s="1717"/>
      <c r="DO235" s="1356"/>
      <c r="DP235" s="1717"/>
      <c r="DQ235" s="1356"/>
      <c r="DR235" s="1717"/>
      <c r="DS235" s="1356"/>
      <c r="DT235" s="1717"/>
      <c r="DU235" s="1356"/>
      <c r="DV235" s="1717"/>
      <c r="DW235" s="1356"/>
      <c r="DX235" s="1717"/>
      <c r="DY235" s="1356"/>
      <c r="DZ235" s="1717"/>
      <c r="EA235" s="1356"/>
      <c r="EB235" s="1717"/>
      <c r="EC235" s="1356"/>
      <c r="ED235" s="1717"/>
      <c r="EE235" s="1356"/>
      <c r="EF235" s="1717"/>
      <c r="EG235" s="1356"/>
      <c r="EH235" s="1717"/>
      <c r="EI235" s="1356"/>
      <c r="EJ235" s="1717"/>
      <c r="EK235" s="1356"/>
      <c r="EL235" s="1717"/>
      <c r="EM235" s="1356"/>
      <c r="EN235" s="1717"/>
      <c r="EO235" s="1356"/>
      <c r="EP235" s="1717"/>
      <c r="EQ235" s="1356"/>
      <c r="ER235" s="1717"/>
      <c r="ES235" s="1356"/>
      <c r="ET235" s="1717"/>
      <c r="EU235" s="1356"/>
      <c r="EV235" s="1717"/>
      <c r="EW235" s="1356"/>
      <c r="EX235" s="1717"/>
      <c r="EY235" s="1356"/>
      <c r="EZ235" s="1717"/>
      <c r="FA235" s="1356"/>
      <c r="FB235" s="1717"/>
      <c r="FC235" s="1356"/>
      <c r="FD235" s="1717"/>
      <c r="FE235" s="1356"/>
      <c r="FF235" s="1717"/>
      <c r="FG235" s="1356"/>
      <c r="FH235" s="1717"/>
      <c r="FI235" s="1356"/>
      <c r="FJ235" s="1717"/>
      <c r="FK235" s="1356"/>
      <c r="FL235" s="1717"/>
      <c r="FM235" s="1356"/>
      <c r="FN235" s="1717"/>
      <c r="FO235" s="1356"/>
      <c r="FP235" s="1717"/>
      <c r="FQ235" s="1356"/>
      <c r="FR235" s="1717"/>
      <c r="FS235" s="1356"/>
      <c r="FT235" s="1717"/>
      <c r="FU235" s="1356"/>
      <c r="FV235" s="1717"/>
      <c r="FW235" s="1356"/>
      <c r="FX235" s="1717"/>
      <c r="FY235" s="1356"/>
      <c r="FZ235" s="1717"/>
      <c r="GA235" s="1356"/>
      <c r="GB235" s="1717"/>
      <c r="GC235" s="1356"/>
      <c r="GD235" s="1717"/>
      <c r="GE235" s="1356"/>
      <c r="GF235" s="1717"/>
      <c r="GG235" s="1356"/>
      <c r="GH235" s="1717"/>
      <c r="GI235" s="1356"/>
      <c r="GJ235" s="1717"/>
      <c r="GK235" s="1356"/>
      <c r="GL235" s="1717"/>
      <c r="GM235" s="1356"/>
      <c r="GN235" s="1717"/>
      <c r="GO235" s="1356"/>
      <c r="GP235" s="1717"/>
      <c r="GQ235" s="1356"/>
      <c r="GR235" s="1717"/>
      <c r="GS235" s="1356"/>
      <c r="GT235" s="1717"/>
      <c r="GU235" s="1356"/>
      <c r="GV235" s="1717"/>
      <c r="GW235" s="1356"/>
      <c r="GX235" s="1717"/>
      <c r="GY235" s="1356"/>
      <c r="GZ235" s="1717"/>
      <c r="HA235" s="1356"/>
      <c r="HB235" s="1717"/>
      <c r="HC235" s="1356"/>
      <c r="HD235" s="1717"/>
      <c r="HE235" s="1356"/>
      <c r="HF235" s="2034"/>
      <c r="HH235" s="1717"/>
      <c r="HI235" s="1356"/>
      <c r="HJ235" s="1717"/>
      <c r="HK235" s="1356"/>
      <c r="HL235" s="1717"/>
      <c r="HM235" s="1356"/>
      <c r="HN235" s="1717"/>
      <c r="HO235" s="1356"/>
      <c r="HP235" s="2034"/>
      <c r="HR235" s="1717"/>
      <c r="HS235" s="1356"/>
      <c r="HT235" s="2034"/>
      <c r="HV235" s="2034"/>
      <c r="HX235" s="2034"/>
      <c r="HZ235" s="2034"/>
      <c r="IB235" s="1717"/>
      <c r="IC235" s="1356"/>
      <c r="ID235" s="2034"/>
      <c r="IF235" s="2034"/>
    </row>
    <row r="236" spans="1:241">
      <c r="A236" s="1149"/>
      <c r="B236" s="1149"/>
      <c r="C236" s="1149"/>
      <c r="D236" s="1149" t="s">
        <v>1258</v>
      </c>
      <c r="E236" s="1161"/>
      <c r="F236" s="1715">
        <v>1033120</v>
      </c>
      <c r="G236" s="1716">
        <f t="shared" ref="G236:G243" si="422">F236/F$229</f>
        <v>0.58632872024358473</v>
      </c>
      <c r="H236" s="1715">
        <v>1245188</v>
      </c>
      <c r="I236" s="1716">
        <f t="shared" ref="I236:I243" si="423">H236/H$229</f>
        <v>0.48522924107186349</v>
      </c>
      <c r="J236" s="1715">
        <v>834186</v>
      </c>
      <c r="K236" s="1716">
        <f t="shared" ref="K236:K243" si="424">J236/J$229</f>
        <v>0.65609338673193629</v>
      </c>
      <c r="L236" s="1715">
        <v>11312399</v>
      </c>
      <c r="M236" s="1716">
        <f t="shared" ref="M236:M243" si="425">L236/L$229</f>
        <v>1.036314525755337</v>
      </c>
      <c r="N236" s="1715">
        <v>1828375</v>
      </c>
      <c r="O236" s="1716">
        <f t="shared" ref="O236:O243" si="426">N236/N$229</f>
        <v>1.2817964745207568</v>
      </c>
      <c r="P236" s="1715">
        <v>3890271</v>
      </c>
      <c r="Q236" s="1716">
        <f t="shared" ref="Q236:Q243" si="427">P236/P$229</f>
        <v>0.59656704946530459</v>
      </c>
      <c r="R236" s="1715">
        <v>2557822</v>
      </c>
      <c r="S236" s="1716">
        <f t="shared" ref="S236:S243" si="428">R236/R$229</f>
        <v>0.54818443596511612</v>
      </c>
      <c r="T236" s="1715">
        <f>2367222</f>
        <v>2367222</v>
      </c>
      <c r="U236" s="1716">
        <f t="shared" ref="U236:U243" si="429">T236/T$229</f>
        <v>0.72467990948320193</v>
      </c>
      <c r="V236" s="1715">
        <v>736121</v>
      </c>
      <c r="W236" s="1716">
        <f t="shared" ref="W236:W243" si="430">V236/V$229</f>
        <v>0.49947889030776682</v>
      </c>
      <c r="X236" s="1715">
        <v>5227495</v>
      </c>
      <c r="Y236" s="1716">
        <f t="shared" ref="Y236:Y243" si="431">X236/X$229</f>
        <v>0.55578561953968675</v>
      </c>
      <c r="Z236" s="1786">
        <v>1320661</v>
      </c>
      <c r="AA236" s="1716">
        <f t="shared" ref="AA236:AA243" si="432">Z236/Z$229</f>
        <v>0.43140697640992942</v>
      </c>
      <c r="AB236" s="1715">
        <v>768820</v>
      </c>
      <c r="AC236" s="1716">
        <f t="shared" ref="AC236:AC243" si="433">AB236/AB$229</f>
        <v>0.67593860091031299</v>
      </c>
      <c r="AD236" s="1715">
        <v>3653143</v>
      </c>
      <c r="AE236" s="1716">
        <f t="shared" ref="AE236:AE243" si="434">AD236/AD$229</f>
        <v>0.71564065157774659</v>
      </c>
      <c r="AF236" s="1715">
        <v>2027307</v>
      </c>
      <c r="AG236" s="1716">
        <f t="shared" ref="AG236:AG243" si="435">AF236/AF$229</f>
        <v>0.57692649185623812</v>
      </c>
      <c r="AH236" s="1715">
        <v>1315424</v>
      </c>
      <c r="AI236" s="1716">
        <f t="shared" ref="AI236:AI243" si="436">AH236/AH$229</f>
        <v>0.71566279480971684</v>
      </c>
      <c r="AJ236" s="1715">
        <f>1571405-AJ229*0.2</f>
        <v>1237676.3999999999</v>
      </c>
      <c r="AK236" s="1716">
        <f t="shared" ref="AK236:AK243" si="437">AJ236/AJ$229</f>
        <v>0.74172630095233072</v>
      </c>
      <c r="AL236" s="1715">
        <v>1872568</v>
      </c>
      <c r="AM236" s="1716">
        <f t="shared" ref="AM236:AM243" si="438">AL236/AL$229</f>
        <v>0.44411167253853079</v>
      </c>
      <c r="AN236" s="1715">
        <v>1271938</v>
      </c>
      <c r="AO236" s="1716">
        <f t="shared" ref="AO236:AO243" si="439">AN236/AN$229</f>
        <v>0.68724801028761007</v>
      </c>
      <c r="AP236" s="1715">
        <v>976084</v>
      </c>
      <c r="AQ236" s="1716">
        <f t="shared" ref="AQ236:AQ243" si="440">AP236/AP$229</f>
        <v>0.49561625542350979</v>
      </c>
      <c r="AR236" s="1715">
        <v>2926261</v>
      </c>
      <c r="AS236" s="1716">
        <f t="shared" ref="AS236:AS243" si="441">AR236/AR$229</f>
        <v>0.86378351253422281</v>
      </c>
      <c r="AT236" s="1715">
        <v>2772189</v>
      </c>
      <c r="AU236" s="1716">
        <f t="shared" ref="AU236:AU243" si="442">AT236/AT$229</f>
        <v>0.55253387876056681</v>
      </c>
      <c r="AV236" s="1715">
        <f>1754911+(0.2*(AV136+AV137))</f>
        <v>2184490.2000000002</v>
      </c>
      <c r="AW236" s="1716">
        <f t="shared" ref="AW236:AW243" si="443">AV236/AV$229</f>
        <v>1.0170372308528906</v>
      </c>
      <c r="AX236" s="1715">
        <v>3410205</v>
      </c>
      <c r="AY236" s="1716">
        <f t="shared" ref="AY236:AY243" si="444">AX236/AX$229</f>
        <v>0.58256768440191065</v>
      </c>
      <c r="AZ236" s="1715">
        <v>1482558</v>
      </c>
      <c r="BA236" s="1716">
        <f t="shared" ref="BA236:BA243" si="445">AZ236/AZ$229</f>
        <v>0.57048383987366347</v>
      </c>
      <c r="BB236" s="1715">
        <f>2683153</f>
        <v>2683153</v>
      </c>
      <c r="BC236" s="1716">
        <f t="shared" ref="BC236:BC243" si="446">BB236/BB$229</f>
        <v>1.0807333906630443</v>
      </c>
      <c r="BD236" s="1786">
        <f>2625708+650654</f>
        <v>3276362</v>
      </c>
      <c r="BE236" s="1716">
        <f t="shared" ref="BE236:BE243" si="447">BD236/BD$229</f>
        <v>1.0070980889996834</v>
      </c>
      <c r="BF236" s="1715">
        <v>823811</v>
      </c>
      <c r="BG236" s="1716">
        <f t="shared" ref="BG236:BG243" si="448">BF236/BF$229</f>
        <v>0.5818424907441806</v>
      </c>
      <c r="BH236" s="1715">
        <v>1276760</v>
      </c>
      <c r="BI236" s="1716">
        <f t="shared" ref="BI236:BI243" si="449">BH236/BH$229</f>
        <v>0.62057779508139754</v>
      </c>
      <c r="BJ236" s="1715">
        <f>2068906+719404</f>
        <v>2788310</v>
      </c>
      <c r="BK236" s="1716">
        <f t="shared" ref="BK236:BK243" si="450">BJ236/BJ$229</f>
        <v>0.80557751290283064</v>
      </c>
      <c r="BL236" s="1715">
        <v>2690175</v>
      </c>
      <c r="BM236" s="1716">
        <f t="shared" ref="BM236:BM243" si="451">BL236/BL$229</f>
        <v>0.70318797893396323</v>
      </c>
      <c r="BN236" s="1715"/>
      <c r="BO236" s="1716" t="e">
        <f t="shared" ref="BO236:BO243" si="452">BN236/BN$229</f>
        <v>#DIV/0!</v>
      </c>
      <c r="BP236" s="1715">
        <v>1584778</v>
      </c>
      <c r="BQ236" s="1716">
        <f t="shared" ref="BQ236:BQ243" si="453">BP236/BP$229</f>
        <v>0.44335618126491988</v>
      </c>
      <c r="BR236" s="1715">
        <v>498867</v>
      </c>
      <c r="BS236" s="1716">
        <f t="shared" ref="BS236:BS243" si="454">BR236/BR$229</f>
        <v>0.90652160876889165</v>
      </c>
      <c r="BT236" s="1715">
        <f>866052+((419107+1047387)*0.2)</f>
        <v>1159350.8</v>
      </c>
      <c r="BU236" s="1716">
        <f t="shared" ref="BU236:BU243" si="455">BT236/BT$229</f>
        <v>0.7905595249622569</v>
      </c>
      <c r="BV236" s="1715">
        <v>971348</v>
      </c>
      <c r="BW236" s="1716">
        <f t="shared" ref="BW236:BW243" si="456">BV236/BV$229</f>
        <v>0.61761865188643195</v>
      </c>
      <c r="BX236" s="1715">
        <v>3056649</v>
      </c>
      <c r="BY236" s="1716">
        <f t="shared" ref="BY236:BY243" si="457">BX236/BX$229</f>
        <v>0.58373367382327013</v>
      </c>
      <c r="BZ236" s="1715">
        <v>2664619</v>
      </c>
      <c r="CA236" s="1716">
        <f t="shared" ref="CA236:CA243" si="458">BZ236/BZ$229</f>
        <v>0.61586463000889147</v>
      </c>
      <c r="CB236" s="1715">
        <f>1297348-274398</f>
        <v>1022950</v>
      </c>
      <c r="CC236" s="1716">
        <f t="shared" ref="CC236:CC243" si="459">CB236/CB$229</f>
        <v>0.7455952699398174</v>
      </c>
      <c r="CD236" s="1715">
        <f>CG236</f>
        <v>0.66786839824034094</v>
      </c>
      <c r="CE236" s="1716">
        <f t="shared" ref="CE236:CE243" si="460">CD236/CD$229</f>
        <v>3.7068111548178387E-7</v>
      </c>
      <c r="CF236" s="1715">
        <v>1566303</v>
      </c>
      <c r="CG236" s="1716">
        <v>0.66786839824034094</v>
      </c>
      <c r="CH236" s="1715">
        <v>1982670</v>
      </c>
      <c r="CI236" s="1716">
        <v>1.0659682328380389</v>
      </c>
      <c r="CJ236" s="1715">
        <v>821621</v>
      </c>
      <c r="CK236" s="1716">
        <v>0.46844652029417416</v>
      </c>
      <c r="CL236" s="1715">
        <v>4106681</v>
      </c>
      <c r="CM236" s="1716">
        <v>0.54738639017352442</v>
      </c>
      <c r="CN236" s="1715">
        <v>2540724</v>
      </c>
      <c r="CO236" s="1716">
        <f t="shared" ref="CO236:CO243" si="461">CN236/CN$229</f>
        <v>0.75158231030912592</v>
      </c>
      <c r="CP236" s="1715">
        <v>1400347</v>
      </c>
      <c r="CQ236" s="1716">
        <f t="shared" ref="CQ236:CQ243" si="462">CP236/CP$229</f>
        <v>0.71533100635924929</v>
      </c>
      <c r="CR236" s="1715">
        <v>2908884</v>
      </c>
      <c r="CS236" s="1716">
        <v>0.65877151085725472</v>
      </c>
      <c r="CT236" s="1715">
        <v>1711371</v>
      </c>
      <c r="CU236" s="1716">
        <f t="shared" ref="CU236:CU243" si="463">CT236/CT$229</f>
        <v>0.68674984530410688</v>
      </c>
      <c r="CV236" s="1715">
        <f>4096663+1366865</f>
        <v>5463528</v>
      </c>
      <c r="CW236" s="1716">
        <f t="shared" ref="CW236:CY243" si="464">CV236/CV$229</f>
        <v>0.7994249028031013</v>
      </c>
      <c r="CX236" s="1715">
        <v>6338847</v>
      </c>
      <c r="CY236" s="1716">
        <f t="shared" si="464"/>
        <v>1.5165649059510879</v>
      </c>
      <c r="CZ236" s="1715">
        <v>656166</v>
      </c>
      <c r="DA236" s="1716">
        <v>0.67510540709051736</v>
      </c>
      <c r="DB236" s="1715">
        <v>2364763</v>
      </c>
      <c r="DC236" s="1716">
        <v>0.70281352711334022</v>
      </c>
      <c r="DD236" s="1715">
        <v>1163702</v>
      </c>
      <c r="DE236" s="1716">
        <v>0.93009995540131618</v>
      </c>
      <c r="DF236" s="1715">
        <v>7412014</v>
      </c>
      <c r="DG236" s="1716">
        <v>0.96009959524857813</v>
      </c>
      <c r="DH236" s="1715">
        <v>971351</v>
      </c>
      <c r="DI236" s="1716">
        <v>0.42281275640900079</v>
      </c>
      <c r="DJ236" s="1715">
        <v>1137361</v>
      </c>
      <c r="DK236" s="1716">
        <v>0.56983955365212846</v>
      </c>
      <c r="DL236" s="1715">
        <v>1534928</v>
      </c>
      <c r="DM236" s="1716">
        <v>0.67837534080568251</v>
      </c>
      <c r="DN236" s="1715">
        <v>564912</v>
      </c>
      <c r="DO236" s="1716">
        <f t="shared" ref="DO236:DO243" si="465">DN236/DN$229</f>
        <v>0.42644265755170196</v>
      </c>
      <c r="DP236" s="1715">
        <v>854981</v>
      </c>
      <c r="DQ236" s="1716">
        <f t="shared" ref="DQ236:DQ243" si="466">DP236/DP$229</f>
        <v>1.384838035138414</v>
      </c>
      <c r="DR236" s="1715">
        <v>3230196</v>
      </c>
      <c r="DS236" s="1716">
        <f t="shared" ref="DS236:DS243" si="467">DR236/DR$229</f>
        <v>1.7078008454951688</v>
      </c>
      <c r="DT236" s="1715">
        <v>6031327</v>
      </c>
      <c r="DU236" s="1716">
        <f t="shared" ref="DU236:DU243" si="468">DT236/DT$229</f>
        <v>1.5225171895518221</v>
      </c>
      <c r="DV236" s="1715">
        <v>988274</v>
      </c>
      <c r="DW236" s="1716">
        <f t="shared" ref="DW236:DW243" si="469">DV236/DV$229</f>
        <v>0.77842593613636002</v>
      </c>
      <c r="DX236" s="1715">
        <v>2933300</v>
      </c>
      <c r="DY236" s="1716">
        <f t="shared" ref="DY236:DY243" si="470">DX236/DX$229</f>
        <v>0.91824797547498738</v>
      </c>
      <c r="DZ236" s="1715">
        <v>7080159</v>
      </c>
      <c r="EA236" s="1716">
        <f t="shared" ref="EA236:EA243" si="471">DZ236/DZ$229</f>
        <v>1.3394163794458687</v>
      </c>
      <c r="EB236" s="1715">
        <f>3389738+932054+147251-(EB229*20%)</f>
        <v>3696494.2</v>
      </c>
      <c r="EC236" s="1716">
        <f t="shared" ref="EC236:EC243" si="472">EB236/EB$229</f>
        <v>0.95696069944060491</v>
      </c>
      <c r="ED236" s="1715">
        <f>738458-267941</f>
        <v>470517</v>
      </c>
      <c r="EE236" s="1716">
        <f t="shared" ref="EE236:EE243" si="473">ED236/ED$229</f>
        <v>0.35120888373353276</v>
      </c>
      <c r="EF236" s="1715">
        <f>1692812+532395</f>
        <v>2225207</v>
      </c>
      <c r="EG236" s="1716">
        <f t="shared" ref="EG236:EG243" si="474">EF236/EF$229</f>
        <v>1.1289604433839686</v>
      </c>
      <c r="EH236" s="1715">
        <v>7540083</v>
      </c>
      <c r="EI236" s="1716">
        <f t="shared" ref="EI236:EI243" si="475">EH236/EH$229</f>
        <v>0.8101606131107687</v>
      </c>
      <c r="EJ236" s="1715">
        <v>2990770</v>
      </c>
      <c r="EK236" s="1716">
        <f t="shared" ref="EK236:EK243" si="476">EJ236/EJ$229</f>
        <v>1.3555461784572598</v>
      </c>
      <c r="EL236" s="1715">
        <v>5928234</v>
      </c>
      <c r="EM236" s="1716">
        <f t="shared" ref="EM236:EM243" si="477">EL236/EL$229</f>
        <v>1.0077826376173342</v>
      </c>
      <c r="EN236" s="1715">
        <v>1872878</v>
      </c>
      <c r="EO236" s="1716">
        <f t="shared" ref="EO236:EO243" si="478">EN236/EN$229</f>
        <v>0.71937815252578485</v>
      </c>
      <c r="EP236" s="1715">
        <v>1950528</v>
      </c>
      <c r="EQ236" s="1716">
        <f t="shared" ref="EQ236:EQ243" si="479">EP236/EP$229</f>
        <v>0.70703453925607473</v>
      </c>
      <c r="ER236" s="1715">
        <v>891882</v>
      </c>
      <c r="ES236" s="1716">
        <f t="shared" ref="ES236:ES243" si="480">ER236/ER$229</f>
        <v>0.81539695063361617</v>
      </c>
      <c r="ET236" s="1715">
        <v>2949685</v>
      </c>
      <c r="EU236" s="1716">
        <f t="shared" ref="EU236:EU243" si="481">ET236/ET$229</f>
        <v>0.63866358256647626</v>
      </c>
      <c r="EV236" s="1715">
        <v>1990966</v>
      </c>
      <c r="EW236" s="1716">
        <f t="shared" ref="EW236:EW243" si="482">EV236/EV$229</f>
        <v>0.8922165214792136</v>
      </c>
      <c r="EX236" s="1715">
        <f>224115+1228219</f>
        <v>1452334</v>
      </c>
      <c r="EY236" s="1716">
        <f t="shared" ref="EY236:EY243" si="483">EX236/EX$229</f>
        <v>0.94478691237620416</v>
      </c>
      <c r="EZ236" s="1715">
        <f>2553099- (EZ229*0.2)</f>
        <v>2151011.7999999998</v>
      </c>
      <c r="FA236" s="1716">
        <f t="shared" ref="FA236:FA243" si="484">EZ236/EZ$229</f>
        <v>1.0699230415690923</v>
      </c>
      <c r="FB236" s="1715">
        <f>1389813-251066</f>
        <v>1138747</v>
      </c>
      <c r="FC236" s="1716">
        <f t="shared" ref="FC236:FC243" si="485">FB236/FB$229</f>
        <v>0.90712887676636678</v>
      </c>
      <c r="FD236" s="1715">
        <v>1159297</v>
      </c>
      <c r="FE236" s="1716">
        <f t="shared" ref="FE236:FE243" si="486">FD236/FD$229</f>
        <v>0.56555735570395804</v>
      </c>
      <c r="FF236" s="1715">
        <v>2087909</v>
      </c>
      <c r="FG236" s="1716">
        <f t="shared" ref="FG236:FG243" si="487">FF236/FF$229</f>
        <v>0.60589877451051521</v>
      </c>
      <c r="FH236" s="1715">
        <f>1447160-142684</f>
        <v>1304476</v>
      </c>
      <c r="FI236" s="1716">
        <f t="shared" ref="FI236:FI243" si="488">FH236/FH$229</f>
        <v>0.8537386850546187</v>
      </c>
      <c r="FJ236" s="1715">
        <v>1316418</v>
      </c>
      <c r="FK236" s="1716">
        <f t="shared" ref="FK236:FK243" si="489">FJ236/FJ$229</f>
        <v>0.69801209256010088</v>
      </c>
      <c r="FL236" s="1715">
        <v>1252666</v>
      </c>
      <c r="FM236" s="1716">
        <f t="shared" ref="FM236:FM243" si="490">FL236/FL$229</f>
        <v>0.93194122369056365</v>
      </c>
      <c r="FN236" s="1715">
        <v>4459625</v>
      </c>
      <c r="FO236" s="1716">
        <f t="shared" ref="FO236:FO243" si="491">FN236/FN$229</f>
        <v>0.94859824315893615</v>
      </c>
      <c r="FP236" s="1715">
        <v>639179</v>
      </c>
      <c r="FQ236" s="1716">
        <f t="shared" ref="FQ236:FQ243" si="492">FP236/FP$229</f>
        <v>0.80387740215313408</v>
      </c>
      <c r="FR236" s="1715">
        <v>3275483</v>
      </c>
      <c r="FS236" s="1716">
        <f t="shared" ref="FS236:FS243" si="493">FR236/FR$229</f>
        <v>0.53489761691300985</v>
      </c>
      <c r="FT236" s="1715">
        <v>3288097</v>
      </c>
      <c r="FU236" s="1716">
        <f t="shared" ref="FU236:FU243" si="494">FT236/FT$229</f>
        <v>0.69710037694887661</v>
      </c>
      <c r="FV236" s="1715">
        <v>7082002</v>
      </c>
      <c r="FW236" s="1716">
        <f t="shared" ref="FW236:FW243" si="495">FV236/FV$229</f>
        <v>1.1272350707848353</v>
      </c>
      <c r="FX236" s="1715">
        <v>1697304</v>
      </c>
      <c r="FY236" s="1716">
        <f t="shared" ref="FY236:FY243" si="496">FX236/FX$229</f>
        <v>0.97294917609346898</v>
      </c>
      <c r="FZ236" s="1715">
        <v>1177946</v>
      </c>
      <c r="GA236" s="1716">
        <f t="shared" ref="GA236:GA243" si="497">FZ236/FZ$229</f>
        <v>0.75129042277649616</v>
      </c>
      <c r="GB236" s="1715">
        <f>929561</f>
        <v>929561</v>
      </c>
      <c r="GC236" s="1716">
        <f t="shared" ref="GC236:GC243" si="498">GB236/GB$229</f>
        <v>1.3059116899172531</v>
      </c>
      <c r="GD236" s="1715">
        <f>4735743-748189</f>
        <v>3987554</v>
      </c>
      <c r="GE236" s="1716">
        <f t="shared" ref="GE236:GE243" si="499">GD236/GD$229</f>
        <v>1.065921863572403</v>
      </c>
      <c r="GF236" s="1715">
        <v>2233881</v>
      </c>
      <c r="GG236" s="1716">
        <f t="shared" ref="GG236:GG243" si="500">GF236/GF$229</f>
        <v>0.95642142326856661</v>
      </c>
      <c r="GH236" s="1715">
        <v>778424</v>
      </c>
      <c r="GI236" s="1716">
        <f t="shared" ref="GI236:GI243" si="501">GH236/GH$229</f>
        <v>0.62425238778799808</v>
      </c>
      <c r="GJ236" s="1715">
        <v>7862549</v>
      </c>
      <c r="GK236" s="1716">
        <f t="shared" ref="GK236:GK243" si="502">GJ236/GJ$229</f>
        <v>0.65261961332788276</v>
      </c>
      <c r="GL236" s="1715">
        <v>1543375</v>
      </c>
      <c r="GM236" s="1716">
        <f t="shared" ref="GM236:GM243" si="503">GL236/GL$229</f>
        <v>0.71123697976070821</v>
      </c>
      <c r="GN236" s="1715">
        <v>1084515</v>
      </c>
      <c r="GO236" s="1716">
        <f t="shared" ref="GO236:GO243" si="504">GN236/GN$229</f>
        <v>0.84988276560330267</v>
      </c>
      <c r="GP236" s="1715">
        <f>1373418+311116-373966</f>
        <v>1310568</v>
      </c>
      <c r="GQ236" s="1716">
        <f t="shared" ref="GQ236:GQ243" si="505">GP236/GP$229</f>
        <v>0.7009014713621331</v>
      </c>
      <c r="GR236" s="1715">
        <v>1364859</v>
      </c>
      <c r="GS236" s="1716">
        <f t="shared" ref="GS236:GS243" si="506">GR236/GR$229</f>
        <v>0.8301435901428359</v>
      </c>
      <c r="GT236" s="1715">
        <v>1302037</v>
      </c>
      <c r="GU236" s="1716">
        <f t="shared" ref="GU236:GU243" si="507">GT236/GT$229</f>
        <v>0.49169504595443153</v>
      </c>
      <c r="GV236" s="1715">
        <v>1581740</v>
      </c>
      <c r="GW236" s="1716">
        <f t="shared" ref="GW236:GW243" si="508">GV236/GV$229</f>
        <v>0.48122473877401384</v>
      </c>
      <c r="GX236" s="1715">
        <v>1069290</v>
      </c>
      <c r="GY236" s="1716">
        <f t="shared" ref="GY236:GY243" si="509">GX236/GX$229</f>
        <v>0.56327603944707505</v>
      </c>
      <c r="GZ236" s="1715">
        <v>3065464</v>
      </c>
      <c r="HA236" s="1716">
        <f t="shared" ref="HA236:HA243" si="510">GZ236/GZ$229</f>
        <v>0.7318385872902341</v>
      </c>
      <c r="HB236" s="1715">
        <v>276636</v>
      </c>
      <c r="HC236" s="1716">
        <f t="shared" ref="HC236:HC243" si="511">HB236/HB$229</f>
        <v>0.6051662131062906</v>
      </c>
      <c r="HD236" s="1715">
        <f>1577147-HD229*0.2</f>
        <v>1250225</v>
      </c>
      <c r="HE236" s="1716">
        <f t="shared" ref="HE236:HE243" si="512">HD236/HD$229</f>
        <v>0.7648460489046317</v>
      </c>
      <c r="HF236" s="2032">
        <v>5326261</v>
      </c>
      <c r="HG236" s="2033">
        <f t="shared" ref="HG236:HG243" si="513">HF236/HF$229</f>
        <v>0.67938692352679686</v>
      </c>
      <c r="HH236" s="1715">
        <v>2152790</v>
      </c>
      <c r="HI236" s="1716">
        <f t="shared" ref="HI236:HI243" si="514">HH236/HH$229</f>
        <v>0.71319341054993135</v>
      </c>
      <c r="HJ236" s="1715">
        <f>1199645+3960857</f>
        <v>5160502</v>
      </c>
      <c r="HK236" s="1716">
        <f t="shared" ref="HK236:HK243" si="515">HJ236/HJ$229</f>
        <v>0.86033832681140288</v>
      </c>
      <c r="HL236" s="1715">
        <f>108952+925124</f>
        <v>1034076</v>
      </c>
      <c r="HM236" s="1716">
        <f t="shared" ref="HM236:HM243" si="516">HL236/HL$229</f>
        <v>0.53564607688805255</v>
      </c>
      <c r="HN236" s="1715">
        <v>859452</v>
      </c>
      <c r="HO236" s="1716">
        <f t="shared" ref="HO236:HO243" si="517">HN236/HN$229</f>
        <v>0.65158078764179028</v>
      </c>
      <c r="HP236" s="2032">
        <v>5252241</v>
      </c>
      <c r="HQ236" s="2033">
        <f t="shared" ref="HQ236:HQ243" si="518">HP236/HP$229</f>
        <v>0.83381107520814945</v>
      </c>
      <c r="HR236" s="1715">
        <f>583185+856088-HR239</f>
        <v>1242626</v>
      </c>
      <c r="HS236" s="1716">
        <f t="shared" ref="HS236:HS243" si="519">HR236/HR$229</f>
        <v>0.64966571095761205</v>
      </c>
      <c r="HT236" s="2032">
        <f>3647585+1084544</f>
        <v>4732129</v>
      </c>
      <c r="HU236" s="2033">
        <f t="shared" ref="HU236:HU243" si="520">HT236/HT$229</f>
        <v>1.2189444877623319</v>
      </c>
      <c r="HV236" s="2032">
        <v>3056543</v>
      </c>
      <c r="HW236" s="2033">
        <f t="shared" ref="HW236:HW243" si="521">HV236/HV$229</f>
        <v>1.4835095658690336</v>
      </c>
      <c r="HX236" s="2032">
        <v>1639559</v>
      </c>
      <c r="HY236" s="2033">
        <f t="shared" ref="HY236:HY243" si="522">HX236/HX$229</f>
        <v>0.8008791524419463</v>
      </c>
      <c r="HZ236" s="2032">
        <v>1358346</v>
      </c>
      <c r="IA236" s="2033">
        <f t="shared" ref="IA236:IA243" si="523">HZ236/HZ$229</f>
        <v>0.79164381605671807</v>
      </c>
      <c r="IB236" s="1715">
        <v>1066695</v>
      </c>
      <c r="IC236" s="1716">
        <f t="shared" ref="IC236:IC243" si="524">IB236/IB$229</f>
        <v>0.7556669977344761</v>
      </c>
      <c r="ID236" s="2032">
        <v>1658413</v>
      </c>
      <c r="IE236" s="2033">
        <f t="shared" ref="IE236:IE243" si="525">ID236/ID$229</f>
        <v>0.8345652434280515</v>
      </c>
      <c r="IF236" s="2032">
        <v>987578</v>
      </c>
      <c r="IG236" s="2033">
        <f t="shared" ref="IG236:IG243" si="526">IF236/IF$229</f>
        <v>0.38643714700042808</v>
      </c>
    </row>
    <row r="237" spans="1:241">
      <c r="A237" s="1149"/>
      <c r="B237" s="1149"/>
      <c r="C237" s="1149"/>
      <c r="D237" s="1149" t="s">
        <v>1259</v>
      </c>
      <c r="E237" s="1161"/>
      <c r="F237" s="1726"/>
      <c r="G237" s="1718"/>
      <c r="H237" s="1726"/>
      <c r="I237" s="1718"/>
      <c r="J237" s="1726"/>
      <c r="K237" s="1718"/>
      <c r="L237" s="1726"/>
      <c r="M237" s="1718"/>
      <c r="N237" s="1726"/>
      <c r="O237" s="1718"/>
      <c r="P237" s="1726"/>
      <c r="Q237" s="1718"/>
      <c r="R237" s="1726"/>
      <c r="S237" s="1718"/>
      <c r="T237" s="1726"/>
      <c r="U237" s="1718"/>
      <c r="V237" s="1726"/>
      <c r="W237" s="1718"/>
      <c r="X237" s="1726"/>
      <c r="Y237" s="1718"/>
      <c r="Z237" s="1726"/>
      <c r="AA237" s="1718"/>
      <c r="AB237" s="1726"/>
      <c r="AC237" s="1718"/>
      <c r="AD237" s="1726"/>
      <c r="AE237" s="1718"/>
      <c r="AF237" s="1726"/>
      <c r="AG237" s="1718"/>
      <c r="AH237" s="1726"/>
      <c r="AI237" s="1718"/>
      <c r="AJ237" s="1726"/>
      <c r="AK237" s="1718"/>
      <c r="AL237" s="1726"/>
      <c r="AM237" s="1718"/>
      <c r="AN237" s="1726"/>
      <c r="AO237" s="1718"/>
      <c r="AP237" s="1726"/>
      <c r="AQ237" s="1718"/>
      <c r="AR237" s="1726"/>
      <c r="AS237" s="1718"/>
      <c r="AT237" s="1726"/>
      <c r="AU237" s="1718"/>
      <c r="AV237" s="1726"/>
      <c r="AW237" s="1718"/>
      <c r="AX237" s="1726"/>
      <c r="AY237" s="1718"/>
      <c r="AZ237" s="1726"/>
      <c r="BA237" s="1718"/>
      <c r="BB237" s="1726"/>
      <c r="BC237" s="1718"/>
      <c r="BD237" s="1726"/>
      <c r="BE237" s="1718"/>
      <c r="BF237" s="1726"/>
      <c r="BG237" s="1718"/>
      <c r="BH237" s="1726"/>
      <c r="BI237" s="1718"/>
      <c r="BJ237" s="1726"/>
      <c r="BK237" s="1718"/>
      <c r="BL237" s="1726"/>
      <c r="BM237" s="1718"/>
      <c r="BN237" s="1726"/>
      <c r="BO237" s="1718"/>
      <c r="BP237" s="1726"/>
      <c r="BQ237" s="1718"/>
      <c r="BR237" s="1726"/>
      <c r="BS237" s="1718"/>
      <c r="BT237" s="1726"/>
      <c r="BU237" s="1718"/>
      <c r="BV237" s="1726"/>
      <c r="BW237" s="1718"/>
      <c r="BX237" s="1726"/>
      <c r="BY237" s="1718"/>
      <c r="BZ237" s="1726"/>
      <c r="CA237" s="1718"/>
      <c r="CB237" s="1726"/>
      <c r="CC237" s="1718"/>
      <c r="CD237" s="1726"/>
      <c r="CE237" s="1718"/>
      <c r="CF237" s="1726"/>
      <c r="CG237" s="1718"/>
      <c r="CH237" s="1726"/>
      <c r="CI237" s="1718"/>
      <c r="CJ237" s="1726"/>
      <c r="CK237" s="1718"/>
      <c r="CL237" s="1726"/>
      <c r="CM237" s="1718"/>
      <c r="CN237" s="1726"/>
      <c r="CO237" s="1718"/>
      <c r="CP237" s="1726"/>
      <c r="CQ237" s="1718"/>
      <c r="CR237" s="1726"/>
      <c r="CS237" s="1718"/>
      <c r="CT237" s="1726"/>
      <c r="CU237" s="1718"/>
      <c r="CV237" s="1726"/>
      <c r="CW237" s="1718"/>
      <c r="CX237" s="1726"/>
      <c r="CY237" s="1718"/>
      <c r="CZ237" s="1726"/>
      <c r="DA237" s="1718"/>
      <c r="DB237" s="1726"/>
      <c r="DC237" s="1718"/>
      <c r="DD237" s="1726"/>
      <c r="DE237" s="1718"/>
      <c r="DF237" s="1726"/>
      <c r="DG237" s="1718"/>
      <c r="DH237" s="1726"/>
      <c r="DI237" s="1718"/>
      <c r="DJ237" s="1726"/>
      <c r="DK237" s="1718"/>
      <c r="DL237" s="1726"/>
      <c r="DM237" s="1718"/>
      <c r="DN237" s="1726"/>
      <c r="DO237" s="1718"/>
      <c r="DP237" s="1726"/>
      <c r="DQ237" s="1718"/>
      <c r="DR237" s="1726"/>
      <c r="DS237" s="1718"/>
      <c r="DT237" s="1726"/>
      <c r="DU237" s="1718"/>
      <c r="DV237" s="1726"/>
      <c r="DW237" s="1718"/>
      <c r="DX237" s="1726"/>
      <c r="DY237" s="1718"/>
      <c r="DZ237" s="1726"/>
      <c r="EA237" s="1718"/>
      <c r="EB237" s="1726"/>
      <c r="EC237" s="1718"/>
      <c r="ED237" s="1726"/>
      <c r="EE237" s="1718"/>
      <c r="EF237" s="1726"/>
      <c r="EG237" s="1718"/>
      <c r="EH237" s="1726"/>
      <c r="EI237" s="1718"/>
      <c r="EJ237" s="1726"/>
      <c r="EK237" s="1718"/>
      <c r="EL237" s="1726"/>
      <c r="EM237" s="1718"/>
      <c r="EN237" s="1726"/>
      <c r="EO237" s="1718"/>
      <c r="EP237" s="1726"/>
      <c r="EQ237" s="1718"/>
      <c r="ER237" s="1726"/>
      <c r="ES237" s="1718"/>
      <c r="ET237" s="1726"/>
      <c r="EU237" s="1718"/>
      <c r="EV237" s="1726"/>
      <c r="EW237" s="1718"/>
      <c r="EX237" s="1726"/>
      <c r="EY237" s="1718"/>
      <c r="EZ237" s="1726"/>
      <c r="FA237" s="1718"/>
      <c r="FB237" s="1726"/>
      <c r="FC237" s="1718"/>
      <c r="FD237" s="1726"/>
      <c r="FE237" s="1718"/>
      <c r="FF237" s="1726"/>
      <c r="FG237" s="1718"/>
      <c r="FH237" s="1726"/>
      <c r="FI237" s="1718"/>
      <c r="FJ237" s="1726"/>
      <c r="FK237" s="1718"/>
      <c r="FL237" s="1726"/>
      <c r="FM237" s="1718"/>
      <c r="FN237" s="1726"/>
      <c r="FO237" s="1718"/>
      <c r="FP237" s="1726"/>
      <c r="FQ237" s="1718"/>
      <c r="FR237" s="1726"/>
      <c r="FS237" s="1718"/>
      <c r="FT237" s="1726"/>
      <c r="FU237" s="1718"/>
      <c r="FV237" s="1726"/>
      <c r="FW237" s="1718"/>
      <c r="FX237" s="1726"/>
      <c r="FY237" s="1718"/>
      <c r="FZ237" s="1726"/>
      <c r="GA237" s="1718"/>
      <c r="GB237" s="1726"/>
      <c r="GC237" s="1718"/>
      <c r="GD237" s="1726"/>
      <c r="GE237" s="1718"/>
      <c r="GF237" s="1726"/>
      <c r="GG237" s="1718"/>
      <c r="GH237" s="1726"/>
      <c r="GI237" s="1718"/>
      <c r="GJ237" s="1726"/>
      <c r="GK237" s="1718"/>
      <c r="GL237" s="1726"/>
      <c r="GM237" s="1718"/>
      <c r="GN237" s="1726"/>
      <c r="GO237" s="1718"/>
      <c r="GP237" s="1726"/>
      <c r="GQ237" s="1718"/>
      <c r="GR237" s="1726"/>
      <c r="GS237" s="1718"/>
      <c r="GT237" s="1726"/>
      <c r="GU237" s="1718"/>
      <c r="GV237" s="1726"/>
      <c r="GW237" s="1718"/>
      <c r="GX237" s="1726"/>
      <c r="GY237" s="1718"/>
      <c r="GZ237" s="1726"/>
      <c r="HA237" s="1718"/>
      <c r="HB237" s="1726"/>
      <c r="HC237" s="1718"/>
      <c r="HD237" s="1726"/>
      <c r="HE237" s="1718"/>
      <c r="HF237" s="2047"/>
      <c r="HG237" s="2035"/>
      <c r="HH237" s="1726"/>
      <c r="HI237" s="1718"/>
      <c r="HJ237" s="1726"/>
      <c r="HK237" s="1718"/>
      <c r="HL237" s="1726"/>
      <c r="HM237" s="1718"/>
      <c r="HN237" s="1726"/>
      <c r="HO237" s="1718"/>
      <c r="HP237" s="2047"/>
      <c r="HQ237" s="2035"/>
      <c r="HR237" s="1726"/>
      <c r="HS237" s="1718"/>
      <c r="HT237" s="2047"/>
      <c r="HU237" s="2035"/>
      <c r="HV237" s="2047"/>
      <c r="HW237" s="2035"/>
      <c r="HX237" s="2047"/>
      <c r="HY237" s="2035"/>
      <c r="HZ237" s="2047"/>
      <c r="IA237" s="2035"/>
      <c r="IB237" s="1726"/>
      <c r="IC237" s="1718"/>
      <c r="ID237" s="2047"/>
      <c r="IE237" s="2035"/>
      <c r="IF237" s="2047"/>
      <c r="IG237" s="2035"/>
    </row>
    <row r="238" spans="1:241">
      <c r="A238" s="1149"/>
      <c r="B238" s="1149"/>
      <c r="C238" s="1149"/>
      <c r="D238" s="1149" t="s">
        <v>1260</v>
      </c>
      <c r="E238" s="1161"/>
      <c r="F238" s="1727" t="str">
        <f>IF(F202=1,-F229*0.2,"")</f>
        <v/>
      </c>
      <c r="G238" s="1716">
        <f>F238/F229</f>
        <v>0</v>
      </c>
      <c r="H238" s="1727" t="str">
        <f>IF(H202=1,-H229*0.2,"")</f>
        <v/>
      </c>
      <c r="I238" s="1716">
        <f>H238/H229</f>
        <v>0</v>
      </c>
      <c r="J238" s="1727" t="str">
        <f>IF(J202=1,-J229*0.2,"")</f>
        <v/>
      </c>
      <c r="K238" s="1716">
        <f>J238/J229</f>
        <v>0</v>
      </c>
      <c r="L238" s="1727" t="str">
        <f>IF(L202=1,-L229*0.2,"")</f>
        <v/>
      </c>
      <c r="M238" s="1716">
        <f>L238/L229</f>
        <v>0</v>
      </c>
      <c r="N238" s="1727">
        <f>IF(N202=1,-N229*0.2,"")</f>
        <v>-285283.20000000001</v>
      </c>
      <c r="O238" s="1716">
        <f>N238/N229</f>
        <v>-0.2</v>
      </c>
      <c r="P238" s="1727" t="str">
        <f>IF(P202=1,-P229*0.2,"")</f>
        <v/>
      </c>
      <c r="Q238" s="1716">
        <f>P238/P229</f>
        <v>0</v>
      </c>
      <c r="R238" s="1727" t="str">
        <f>IF(R202=1,-R229*0.2,"")</f>
        <v/>
      </c>
      <c r="S238" s="1716">
        <f>R238/R229</f>
        <v>0</v>
      </c>
      <c r="T238" s="1727">
        <f>IF(T202=1,-T229*0.2,"")</f>
        <v>-653315.20000000007</v>
      </c>
      <c r="U238" s="1716">
        <f>T238/T229</f>
        <v>-0.2</v>
      </c>
      <c r="V238" s="1727" t="str">
        <f>IF(V202=1,-V229*0.2,"")</f>
        <v/>
      </c>
      <c r="W238" s="1716">
        <f>V238/V229</f>
        <v>0</v>
      </c>
      <c r="X238" s="1727" t="str">
        <f>IF(X202=1,-X229*0.2,"")</f>
        <v/>
      </c>
      <c r="Y238" s="1716">
        <f>X238/X229</f>
        <v>0</v>
      </c>
      <c r="Z238" s="1727" t="str">
        <f>IF(Z202=1,-Z229*0.2,"")</f>
        <v/>
      </c>
      <c r="AA238" s="1716">
        <f>Z238/Z229</f>
        <v>0</v>
      </c>
      <c r="AB238" s="1727" t="str">
        <f>IF(AB202=1,-AB229*0.2,"")</f>
        <v/>
      </c>
      <c r="AC238" s="1716">
        <f>AB238/AB229</f>
        <v>0</v>
      </c>
      <c r="AD238" s="1727">
        <f>IF(AD202=1,-AD229*0.2,"")</f>
        <v>-1020943.4</v>
      </c>
      <c r="AE238" s="1716">
        <f>AD238/AD229</f>
        <v>-0.2</v>
      </c>
      <c r="AF238" s="1727" t="str">
        <f>IF(AF202=1,-AF229*0.2,"")</f>
        <v/>
      </c>
      <c r="AG238" s="1716">
        <f>AF238/AF229</f>
        <v>0</v>
      </c>
      <c r="AH238" s="1727">
        <f>IF(AH202=1,-AH229*0.2,"")</f>
        <v>-367610</v>
      </c>
      <c r="AI238" s="1716">
        <f>AH238/AH229</f>
        <v>-0.2</v>
      </c>
      <c r="AJ238" s="1727" t="str">
        <f>IF(AJ202=1,-AJ229*0.2,"")</f>
        <v/>
      </c>
      <c r="AK238" s="1716">
        <f>AJ238/AJ229</f>
        <v>0</v>
      </c>
      <c r="AL238" s="1727" t="str">
        <f>IF(AL202=1,-AL229*0.2,"")</f>
        <v/>
      </c>
      <c r="AM238" s="1716">
        <f>AL238/AL229</f>
        <v>0</v>
      </c>
      <c r="AN238" s="1727" t="str">
        <f>IF(AN202=1,-AN229*0.2,"")</f>
        <v/>
      </c>
      <c r="AO238" s="1716">
        <f>AN238/AN229</f>
        <v>0</v>
      </c>
      <c r="AP238" s="1727" t="str">
        <f>IF(AP202=1,-AP229*0.2,"")</f>
        <v/>
      </c>
      <c r="AQ238" s="1716">
        <f>AP238/AP229</f>
        <v>0</v>
      </c>
      <c r="AR238" s="1727" t="str">
        <f>IF(AR202=1,-AR229*0.2,"")</f>
        <v/>
      </c>
      <c r="AS238" s="1716">
        <f>AR238/AR229</f>
        <v>0</v>
      </c>
      <c r="AT238" s="1727" t="str">
        <f>IF(AT202=1,-AT229*0.2,"")</f>
        <v/>
      </c>
      <c r="AU238" s="1716">
        <f>AT238/AT229</f>
        <v>0</v>
      </c>
      <c r="AV238" s="1727">
        <f>IF(AV202=1,-AV229*0.2,"")</f>
        <v>-429579.2</v>
      </c>
      <c r="AW238" s="1716">
        <f>AV238/AV229</f>
        <v>-0.2</v>
      </c>
      <c r="AX238" s="1727">
        <f>IF(AX202=1,-AX229*0.2,"")</f>
        <v>-1170749.8</v>
      </c>
      <c r="AY238" s="1716">
        <f>AX238/AX229</f>
        <v>-0.2</v>
      </c>
      <c r="AZ238" s="1727" t="str">
        <f>IF(AZ202=1,-AZ229*0.2,"")</f>
        <v/>
      </c>
      <c r="BA238" s="1716">
        <f>AZ238/AZ229</f>
        <v>0</v>
      </c>
      <c r="BB238" s="1727">
        <f>IF(BB202=1,-BB229*0.2,"")</f>
        <v>-496543</v>
      </c>
      <c r="BC238" s="1716">
        <f>BB238/BB229</f>
        <v>-0.2</v>
      </c>
      <c r="BD238" s="1727">
        <f>IF(BD202=1,-BD229*0.2,"")</f>
        <v>-650654</v>
      </c>
      <c r="BE238" s="1716">
        <f>BD238/BD229</f>
        <v>-0.2</v>
      </c>
      <c r="BF238" s="1727" t="str">
        <f>IF(BF202=1,-BF229*0.2,"")</f>
        <v/>
      </c>
      <c r="BG238" s="1716">
        <f>BF238/BF229</f>
        <v>0</v>
      </c>
      <c r="BH238" s="1727" t="str">
        <f>IF(BH202=1,-BH229*0.2,"")</f>
        <v/>
      </c>
      <c r="BI238" s="1716">
        <f>BH238/BH229</f>
        <v>0</v>
      </c>
      <c r="BJ238" s="1727">
        <f>IF(BJ202=1,-BJ229*0.2,"")</f>
        <v>-692251.20000000007</v>
      </c>
      <c r="BK238" s="1716">
        <f>BJ238/BJ229</f>
        <v>-0.2</v>
      </c>
      <c r="BL238" s="1727" t="str">
        <f>IF(BL202=1,-BL229*0.2,"")</f>
        <v/>
      </c>
      <c r="BM238" s="1716">
        <f>BL238/BL229</f>
        <v>0</v>
      </c>
      <c r="BN238" s="1727" t="str">
        <f>IF(BN202=1,-BN229*0.2,"")</f>
        <v/>
      </c>
      <c r="BO238" s="1716" t="e">
        <f>BN238/BN229</f>
        <v>#DIV/0!</v>
      </c>
      <c r="BP238" s="1727" t="str">
        <f>IF(BP202=1,-BP229*0.2,"")</f>
        <v/>
      </c>
      <c r="BQ238" s="1716">
        <f>BP238/BP229</f>
        <v>0</v>
      </c>
      <c r="BR238" s="1727" t="str">
        <f>IF(BR202=1,-BR229*0.2,"")</f>
        <v/>
      </c>
      <c r="BS238" s="1716">
        <f>BR238/BR229</f>
        <v>0</v>
      </c>
      <c r="BT238" s="1727">
        <f>IF(BT202=1,-BT229*0.2,"")</f>
        <v>-293298.8</v>
      </c>
      <c r="BU238" s="1716">
        <f>BT238/BT229</f>
        <v>-0.19999999999999998</v>
      </c>
      <c r="BV238" s="1727" t="str">
        <f>IF(BV202=1,-BV229*0.2,"")</f>
        <v/>
      </c>
      <c r="BW238" s="1716">
        <f>BV238/BV229</f>
        <v>0</v>
      </c>
      <c r="BX238" s="1727" t="str">
        <f>IF(BX202=1,-BX229*0.2,"")</f>
        <v/>
      </c>
      <c r="BY238" s="1716">
        <f>BX238/BX229</f>
        <v>0</v>
      </c>
      <c r="BZ238" s="1727">
        <f>IF(BZ202=1,-BZ229*0.2,"")</f>
        <v>-865326.20000000007</v>
      </c>
      <c r="CA238" s="1716">
        <f>BZ238/BZ229</f>
        <v>-0.2</v>
      </c>
      <c r="CB238" s="1727" t="str">
        <f>IF(CB202=1,-CB229*0.2,"")</f>
        <v/>
      </c>
      <c r="CC238" s="1716">
        <f>CB238/CB229</f>
        <v>0</v>
      </c>
      <c r="CD238" s="1727" t="str">
        <f>IF(CD202=1,-CD229*0.2,"0")</f>
        <v>0</v>
      </c>
      <c r="CE238" s="1716">
        <f>CD238/CD229</f>
        <v>0</v>
      </c>
      <c r="CF238" s="1727" t="s">
        <v>723</v>
      </c>
      <c r="CG238" s="1716">
        <v>0</v>
      </c>
      <c r="CH238" s="1727">
        <v>-371994.2</v>
      </c>
      <c r="CI238" s="1716">
        <v>-0.2</v>
      </c>
      <c r="CJ238" s="1727" t="s">
        <v>723</v>
      </c>
      <c r="CK238" s="1716">
        <v>0</v>
      </c>
      <c r="CL238" s="1727" t="s">
        <v>723</v>
      </c>
      <c r="CM238" s="1716">
        <v>0</v>
      </c>
      <c r="CN238" s="1727">
        <f>IF(CN202=1,-CN229*0.2,"")</f>
        <v>-676100</v>
      </c>
      <c r="CO238" s="1716">
        <f>CN238/CN229</f>
        <v>-0.2</v>
      </c>
      <c r="CP238" s="1727" t="str">
        <f>IF(CP202=1,-CP229*0.2,"")</f>
        <v/>
      </c>
      <c r="CQ238" s="1716">
        <f>CP238/CP229</f>
        <v>0</v>
      </c>
      <c r="CR238" s="1727" t="s">
        <v>723</v>
      </c>
      <c r="CS238" s="1716">
        <v>0</v>
      </c>
      <c r="CT238" s="1727" t="str">
        <f>IF(CT202=1,-CT229*0.2,"")</f>
        <v/>
      </c>
      <c r="CU238" s="1716">
        <f>CT238/CT229</f>
        <v>0</v>
      </c>
      <c r="CV238" s="1727">
        <f>IF(CV202=1,-CV229*0.2,"")</f>
        <v>-1366864.6</v>
      </c>
      <c r="CW238" s="1716">
        <f>CV238/CV229</f>
        <v>-0.2</v>
      </c>
      <c r="CX238" s="1727">
        <f>IF(CX202=1,-CX229*0.2,"")</f>
        <v>-835948</v>
      </c>
      <c r="CY238" s="1716">
        <f>CX238/CX229</f>
        <v>-0.2</v>
      </c>
      <c r="CZ238" s="1727" t="s">
        <v>723</v>
      </c>
      <c r="DA238" s="1716">
        <v>0</v>
      </c>
      <c r="DB238" s="1727" t="s">
        <v>723</v>
      </c>
      <c r="DC238" s="1716">
        <v>0</v>
      </c>
      <c r="DD238" s="1727">
        <v>-250231.6</v>
      </c>
      <c r="DE238" s="1716">
        <v>-0.2</v>
      </c>
      <c r="DF238" s="1727" t="s">
        <v>723</v>
      </c>
      <c r="DG238" s="1716">
        <v>0</v>
      </c>
      <c r="DH238" s="1727" t="s">
        <v>723</v>
      </c>
      <c r="DI238" s="1716">
        <v>0</v>
      </c>
      <c r="DJ238" s="1727" t="s">
        <v>723</v>
      </c>
      <c r="DK238" s="1716">
        <v>0</v>
      </c>
      <c r="DL238" s="1727" t="s">
        <v>723</v>
      </c>
      <c r="DM238" s="1716">
        <v>0</v>
      </c>
      <c r="DN238" s="1727">
        <v>0</v>
      </c>
      <c r="DO238" s="1716">
        <f>DN238/DN229</f>
        <v>0</v>
      </c>
      <c r="DP238" s="1727" t="str">
        <f>IF(DP202=1,-DP229*0.2,"")</f>
        <v/>
      </c>
      <c r="DQ238" s="1716">
        <f>DP238/DP229</f>
        <v>0</v>
      </c>
      <c r="DR238" s="1727">
        <f>IF(DR202=1,-DR229*0.2,"")</f>
        <v>-378287.2</v>
      </c>
      <c r="DS238" s="1716">
        <f>DR238/DR229</f>
        <v>-0.2</v>
      </c>
      <c r="DT238" s="1727">
        <f>IF(DT202=1,-DT229*0.2,"")</f>
        <v>-792283.60000000009</v>
      </c>
      <c r="DU238" s="1716">
        <f>DT238/DT229</f>
        <v>-0.2</v>
      </c>
      <c r="DV238" s="1727" t="str">
        <f>IF(DV202=1,-DV229*0.2,"")</f>
        <v/>
      </c>
      <c r="DW238" s="1716">
        <f>DV238/DV229</f>
        <v>0</v>
      </c>
      <c r="DX238" s="1727" t="str">
        <f>IF(DX202=1,-DX229*0.2,"")</f>
        <v/>
      </c>
      <c r="DY238" s="1716">
        <f>DX238/DX229</f>
        <v>0</v>
      </c>
      <c r="DZ238" s="1727">
        <f>IF(DZ202=1,-DZ229*0.2,"")</f>
        <v>-1057200.6000000001</v>
      </c>
      <c r="EA238" s="1716">
        <f>DZ238/DZ229</f>
        <v>-0.2</v>
      </c>
      <c r="EB238" s="1727" t="str">
        <f>IF(EB202=1,-EB229*0.2,"")</f>
        <v/>
      </c>
      <c r="EC238" s="1716">
        <f>EB238/EB229</f>
        <v>0</v>
      </c>
      <c r="ED238" s="1727" t="str">
        <f>IF(ED202=1,-ED229*0.2,"")</f>
        <v/>
      </c>
      <c r="EE238" s="1716">
        <f>ED238/ED229</f>
        <v>0</v>
      </c>
      <c r="EF238" s="1727">
        <f>IF(EF202=1,-EF229*0.2,"")</f>
        <v>-394204.60000000003</v>
      </c>
      <c r="EG238" s="1716">
        <f>EF238/EF229</f>
        <v>-0.2</v>
      </c>
      <c r="EH238" s="1727" t="str">
        <f>IF(EH202=1,-EH229*0.2,"")</f>
        <v/>
      </c>
      <c r="EI238" s="1716">
        <f>EH238/EH229</f>
        <v>0</v>
      </c>
      <c r="EJ238" s="1727" t="str">
        <f>IF(EJ202=1,-EJ229*0.2,"")</f>
        <v/>
      </c>
      <c r="EK238" s="1716">
        <f>EJ238/EJ229</f>
        <v>0</v>
      </c>
      <c r="EL238" s="1727" t="str">
        <f>IF(EL202=1,-EL229*0.2,"")</f>
        <v/>
      </c>
      <c r="EM238" s="1716">
        <f>EL238/EL229</f>
        <v>0</v>
      </c>
      <c r="EN238" s="1727" t="str">
        <f>IF(EN202=1,-EN229*0.2,"")</f>
        <v/>
      </c>
      <c r="EO238" s="1716">
        <f>EN238/EN229</f>
        <v>0</v>
      </c>
      <c r="EP238" s="1727" t="str">
        <f>IF(EP202=1,-EP229*0.2,"")</f>
        <v/>
      </c>
      <c r="EQ238" s="1716">
        <f>EP238/EP229</f>
        <v>0</v>
      </c>
      <c r="ER238" s="1727" t="str">
        <f>IF(ER202=1,-ER229*0.2,"")</f>
        <v/>
      </c>
      <c r="ES238" s="1716">
        <f>ER238/ER229</f>
        <v>0</v>
      </c>
      <c r="ET238" s="1727" t="str">
        <f>IF(ET202=1,-ET229*0.2,"")</f>
        <v/>
      </c>
      <c r="EU238" s="1716">
        <f>ET238/ET229</f>
        <v>0</v>
      </c>
      <c r="EV238" s="1727" t="str">
        <f>IF(EV202=1,-EV229*0.2,"")</f>
        <v/>
      </c>
      <c r="EW238" s="1716">
        <f>EV238/EV229</f>
        <v>0</v>
      </c>
      <c r="EX238" s="1727" t="str">
        <f>IF(EX202=1,-EX229*0.2,"")</f>
        <v/>
      </c>
      <c r="EY238" s="1716">
        <f>EX238/EX229</f>
        <v>0</v>
      </c>
      <c r="EZ238" s="1727" t="str">
        <f>IF(EZ202=1,-EZ229*0.2,"")</f>
        <v/>
      </c>
      <c r="FA238" s="1716">
        <f>EZ238/EZ229</f>
        <v>0</v>
      </c>
      <c r="FB238" s="1727" t="str">
        <f>IF(FB202=1,-FB229*0.2,"")</f>
        <v/>
      </c>
      <c r="FC238" s="1716">
        <f>FB238/FB229</f>
        <v>0</v>
      </c>
      <c r="FD238" s="1727" t="str">
        <f>IF(FD202=1,-FD229*0.2,"")</f>
        <v/>
      </c>
      <c r="FE238" s="1716">
        <f>FD238/FD229</f>
        <v>0</v>
      </c>
      <c r="FF238" s="1727" t="str">
        <f>IF(FF202=1,-FF229*0.2,"")</f>
        <v/>
      </c>
      <c r="FG238" s="1716">
        <f>FF238/FF229</f>
        <v>0</v>
      </c>
      <c r="FH238" s="1727" t="str">
        <f>IF(FH202=1,-FH229*0.2,"")</f>
        <v/>
      </c>
      <c r="FI238" s="1716">
        <f>FH238/FH229</f>
        <v>0</v>
      </c>
      <c r="FJ238" s="1727" t="str">
        <f>IF(FJ202=1,-FJ229*0.2,"")</f>
        <v/>
      </c>
      <c r="FK238" s="1716">
        <f>FJ238/FJ229</f>
        <v>0</v>
      </c>
      <c r="FL238" s="1727">
        <f>IF(FL202=1,-FL229*0.2,"")</f>
        <v>-268829.40000000002</v>
      </c>
      <c r="FM238" s="1716">
        <f>FL238/FL229</f>
        <v>-0.2</v>
      </c>
      <c r="FN238" s="1727">
        <f>IF(FN202=1,-FN229*0.2,"")</f>
        <v>-940255.8</v>
      </c>
      <c r="FO238" s="1716">
        <f>FN238/FN229</f>
        <v>-0.2</v>
      </c>
      <c r="FP238" s="1727" t="str">
        <f>IF(FP202=1,-FP229*0.2,"")</f>
        <v/>
      </c>
      <c r="FQ238" s="1716">
        <f>FP238/FP229</f>
        <v>0</v>
      </c>
      <c r="FR238" s="1727" t="str">
        <f>IF(FR202=1,-FR229*0.2,"")</f>
        <v/>
      </c>
      <c r="FS238" s="1716">
        <f>FR238/FR229</f>
        <v>0</v>
      </c>
      <c r="FT238" s="1727" t="str">
        <f>IF(FT202=1,-FT229*0.2,"")</f>
        <v/>
      </c>
      <c r="FU238" s="1716">
        <f>FT238/FT229</f>
        <v>0</v>
      </c>
      <c r="FV238" s="1727">
        <f>IF(FV202=1,-FV229*0.2,"")</f>
        <v>-1256526.2</v>
      </c>
      <c r="FW238" s="1716">
        <f>FV238/FV229</f>
        <v>-0.19999999999999998</v>
      </c>
      <c r="FX238" s="1727">
        <f>IF(FX202=1,-FX229*0.2,"")</f>
        <v>-348898.80000000005</v>
      </c>
      <c r="FY238" s="1716">
        <f>FX238/FX229</f>
        <v>-0.20000000000000004</v>
      </c>
      <c r="FZ238" s="1727" t="str">
        <f>IF(FZ202=1,-FZ229*0.2,"")</f>
        <v/>
      </c>
      <c r="GA238" s="1716">
        <f>FZ238/FZ229</f>
        <v>0</v>
      </c>
      <c r="GB238" s="1727" t="str">
        <f>IF(GB202=1,-GB229*0.2,"")</f>
        <v/>
      </c>
      <c r="GC238" s="1716">
        <f>GB238/GB229</f>
        <v>0</v>
      </c>
      <c r="GD238" s="1727" t="str">
        <f>IF(GD202=1,-GD229*0.2,"")</f>
        <v/>
      </c>
      <c r="GE238" s="1716">
        <f>GD238/GD229</f>
        <v>0</v>
      </c>
      <c r="GF238" s="1727">
        <f>IF(GF202=1,-GF229*0.2,"")</f>
        <v>-467133.2</v>
      </c>
      <c r="GG238" s="1716">
        <f>GF238/GF229</f>
        <v>-0.2</v>
      </c>
      <c r="GH238" s="1727" t="str">
        <f>IF(GH202=1,-GH229*0.2,"")</f>
        <v/>
      </c>
      <c r="GI238" s="1716">
        <f>GH238/GH229</f>
        <v>0</v>
      </c>
      <c r="GJ238" s="1727" t="str">
        <f>IF(GJ202=1,-GJ229*0.2,"")</f>
        <v/>
      </c>
      <c r="GK238" s="1716">
        <f>GJ238/GJ229</f>
        <v>0</v>
      </c>
      <c r="GL238" s="1727" t="str">
        <f>IF(GL202=1,-GL229*0.2,"")</f>
        <v/>
      </c>
      <c r="GM238" s="1716">
        <f>GL238/GL229</f>
        <v>0</v>
      </c>
      <c r="GN238" s="1727" t="str">
        <f>IF(GN202=1,-GN229*0.2,"")</f>
        <v/>
      </c>
      <c r="GO238" s="1716">
        <f>GN238/GN229</f>
        <v>0</v>
      </c>
      <c r="GP238" s="1727" t="str">
        <f>IF(GP202=1,-GP229*0.2,"")</f>
        <v/>
      </c>
      <c r="GQ238" s="1716">
        <f>GP238/GP229</f>
        <v>0</v>
      </c>
      <c r="GR238" s="1727" t="str">
        <f>IF(GR202=1,-GR229*0.2,"")</f>
        <v/>
      </c>
      <c r="GS238" s="1716">
        <f>GR238/GR229</f>
        <v>0</v>
      </c>
      <c r="GT238" s="1727" t="str">
        <f>IF(GT202=1,-GT229*0.2,"")</f>
        <v/>
      </c>
      <c r="GU238" s="1716">
        <f>GT238/GT229</f>
        <v>0</v>
      </c>
      <c r="GV238" s="1727" t="str">
        <f>IF(GV202=1,-GV229*0.2,"")</f>
        <v/>
      </c>
      <c r="GW238" s="1716">
        <f>GV238/GV229</f>
        <v>0</v>
      </c>
      <c r="GX238" s="1727" t="str">
        <f>IF(GX202=1,-GX229*0.2,"")</f>
        <v/>
      </c>
      <c r="GY238" s="1716">
        <f>GX238/GX229</f>
        <v>0</v>
      </c>
      <c r="GZ238" s="1727">
        <f>IF(GZ202=1,-GZ229*0.2,"")</f>
        <v>-837743.20000000007</v>
      </c>
      <c r="HA238" s="1716">
        <f>GZ238/GZ229</f>
        <v>-0.2</v>
      </c>
      <c r="HB238" s="1727" t="str">
        <f>IF(HB202=1,-HB229*0.2,"")</f>
        <v/>
      </c>
      <c r="HC238" s="1716">
        <f>HB238/HB229</f>
        <v>0</v>
      </c>
      <c r="HD238" s="1727" t="str">
        <f>IF(HD202=1,-HD229*0.2,"")</f>
        <v/>
      </c>
      <c r="HE238" s="1716">
        <f>HD238/HD229</f>
        <v>0</v>
      </c>
      <c r="HF238" s="2048" t="str">
        <f>IF(HF202=1,-HF229*0.2,"")</f>
        <v/>
      </c>
      <c r="HG238" s="2033">
        <f>HF238/HF229</f>
        <v>0</v>
      </c>
      <c r="HH238" s="1727">
        <v>0</v>
      </c>
      <c r="HI238" s="1716">
        <f>HH238/HH229</f>
        <v>0</v>
      </c>
      <c r="HJ238" s="1727">
        <f>IF(HJ202=1,-HJ229*0.2,"")</f>
        <v>-1199644.8</v>
      </c>
      <c r="HK238" s="1716">
        <f>HJ238/HJ229</f>
        <v>-0.2</v>
      </c>
      <c r="HL238" s="1727" t="str">
        <f>IF(HL202=1,-HL229*0.2,"")</f>
        <v/>
      </c>
      <c r="HM238" s="1716">
        <f>HL238/HL229</f>
        <v>0</v>
      </c>
      <c r="HN238" s="1727" t="str">
        <f>IF(HN202=1,-HN229*0.2,"")</f>
        <v/>
      </c>
      <c r="HO238" s="1716">
        <f>HN238/HN229</f>
        <v>0</v>
      </c>
      <c r="HP238" s="2048" t="str">
        <f>IF(HP202=1,-HP229*0.2,"")</f>
        <v/>
      </c>
      <c r="HQ238" s="2033">
        <f>HP238/HP229</f>
        <v>0</v>
      </c>
      <c r="HR238" s="1727" t="str">
        <f>IF(HR202=1,-HR229*0.2,"")</f>
        <v/>
      </c>
      <c r="HS238" s="1716">
        <f>HR238/HR229</f>
        <v>0</v>
      </c>
      <c r="HT238" s="2048">
        <f>IF(HT202=1,-HT229*0.2,"")</f>
        <v>-776430.60000000009</v>
      </c>
      <c r="HU238" s="2033">
        <f>HT238/HT229</f>
        <v>-0.2</v>
      </c>
      <c r="HV238" s="2048">
        <f>IF(HV202=1,-HV229*0.2,"")</f>
        <v>-412069.2</v>
      </c>
      <c r="HW238" s="2033">
        <f>HV238/HV229</f>
        <v>-0.2</v>
      </c>
      <c r="HX238" s="2048" t="str">
        <f>IF(HX202=1,-HX229*0.2,"")</f>
        <v/>
      </c>
      <c r="HY238" s="2033">
        <f>HX238/HX229</f>
        <v>0</v>
      </c>
      <c r="HZ238" s="2048" t="str">
        <f>IF(HZ202=1,-HZ229*0.2,"")</f>
        <v/>
      </c>
      <c r="IA238" s="2033">
        <f>HZ238/HZ229</f>
        <v>0</v>
      </c>
      <c r="IB238" s="1727" t="str">
        <f>IF(IB202=1,-IB229*0.2,"")</f>
        <v/>
      </c>
      <c r="IC238" s="1716">
        <f>IB238/IB229</f>
        <v>0</v>
      </c>
      <c r="ID238" s="2048" t="str">
        <f>IF(ID202=1,-ID229*0.2,"")</f>
        <v/>
      </c>
      <c r="IE238" s="2033">
        <f>ID238/ID229</f>
        <v>0</v>
      </c>
      <c r="IF238" s="2048" t="str">
        <f>IF(IF202=1,-IF229*0.2,"")</f>
        <v/>
      </c>
      <c r="IG238" s="2033">
        <f>IF238/IF229</f>
        <v>0</v>
      </c>
    </row>
    <row r="239" spans="1:241">
      <c r="A239" s="1149"/>
      <c r="B239" s="1149"/>
      <c r="C239" s="1149"/>
      <c r="D239" s="1149" t="s">
        <v>31</v>
      </c>
      <c r="E239" s="1143"/>
      <c r="F239" s="1715">
        <v>203162</v>
      </c>
      <c r="G239" s="1716">
        <f t="shared" si="422"/>
        <v>0.11530094806230366</v>
      </c>
      <c r="H239" s="1715">
        <v>331755</v>
      </c>
      <c r="I239" s="1716">
        <f t="shared" si="423"/>
        <v>0.12927945569006133</v>
      </c>
      <c r="J239" s="1715">
        <v>200598</v>
      </c>
      <c r="K239" s="1716">
        <f t="shared" si="424"/>
        <v>0.15777179333104721</v>
      </c>
      <c r="L239" s="1715">
        <f>3399681-L240</f>
        <v>2855906</v>
      </c>
      <c r="M239" s="1716">
        <f t="shared" si="425"/>
        <v>0.26162592673683283</v>
      </c>
      <c r="N239" s="1715">
        <v>384768</v>
      </c>
      <c r="O239" s="1716">
        <f t="shared" si="426"/>
        <v>0.26974459063835515</v>
      </c>
      <c r="P239" s="1715">
        <v>886301</v>
      </c>
      <c r="Q239" s="1716">
        <f t="shared" si="427"/>
        <v>0.13591288948974223</v>
      </c>
      <c r="R239" s="1715">
        <v>741089</v>
      </c>
      <c r="S239" s="1716">
        <f t="shared" si="428"/>
        <v>0.15882788382653362</v>
      </c>
      <c r="T239" s="1715">
        <v>517780</v>
      </c>
      <c r="U239" s="1716">
        <f t="shared" si="429"/>
        <v>0.158508481051719</v>
      </c>
      <c r="V239" s="1715">
        <v>231313</v>
      </c>
      <c r="W239" s="1716">
        <f t="shared" si="430"/>
        <v>0.15695240395771956</v>
      </c>
      <c r="X239" s="1715">
        <v>626536</v>
      </c>
      <c r="Y239" s="1716">
        <f t="shared" si="431"/>
        <v>6.6613109897554604E-2</v>
      </c>
      <c r="Z239" s="1786">
        <v>314304</v>
      </c>
      <c r="AA239" s="1716">
        <f t="shared" si="432"/>
        <v>0.102670509929154</v>
      </c>
      <c r="AB239" s="1715">
        <v>245053</v>
      </c>
      <c r="AC239" s="1716">
        <f t="shared" si="433"/>
        <v>0.21544806582668885</v>
      </c>
      <c r="AD239" s="1715">
        <v>995859</v>
      </c>
      <c r="AE239" s="1716">
        <f t="shared" si="434"/>
        <v>0.19508603513182024</v>
      </c>
      <c r="AF239" s="1715">
        <v>501932</v>
      </c>
      <c r="AG239" s="1716">
        <f t="shared" si="435"/>
        <v>0.14283868595648577</v>
      </c>
      <c r="AH239" s="1715">
        <v>258551</v>
      </c>
      <c r="AI239" s="1716">
        <f t="shared" si="436"/>
        <v>0.140665923125051</v>
      </c>
      <c r="AJ239" s="1715">
        <v>261132</v>
      </c>
      <c r="AK239" s="1716">
        <f t="shared" si="437"/>
        <v>0.15649362985371945</v>
      </c>
      <c r="AL239" s="1715">
        <v>228718</v>
      </c>
      <c r="AM239" s="1716">
        <f t="shared" si="438"/>
        <v>5.4244403151003158E-2</v>
      </c>
      <c r="AN239" s="1715">
        <v>123266</v>
      </c>
      <c r="AO239" s="1716">
        <f t="shared" si="439"/>
        <v>6.6602549209248046E-2</v>
      </c>
      <c r="AP239" s="1715">
        <v>210722</v>
      </c>
      <c r="AQ239" s="1716">
        <f t="shared" si="440"/>
        <v>0.10699616895200909</v>
      </c>
      <c r="AR239" s="1715">
        <v>477844</v>
      </c>
      <c r="AS239" s="1716">
        <f t="shared" si="441"/>
        <v>0.14105159066925443</v>
      </c>
      <c r="AT239" s="1715">
        <v>461819</v>
      </c>
      <c r="AU239" s="1716">
        <f t="shared" si="442"/>
        <v>9.2046625737035329E-2</v>
      </c>
      <c r="AV239" s="1715">
        <v>366841</v>
      </c>
      <c r="AW239" s="1716">
        <f t="shared" si="443"/>
        <v>0.17079085765791269</v>
      </c>
      <c r="AX239" s="1715">
        <v>450776</v>
      </c>
      <c r="AY239" s="1716">
        <f t="shared" si="444"/>
        <v>7.7006376597288331E-2</v>
      </c>
      <c r="AZ239" s="1715">
        <v>439343</v>
      </c>
      <c r="BA239" s="1716">
        <f t="shared" si="445"/>
        <v>0.16905785922818192</v>
      </c>
      <c r="BB239" s="1715">
        <v>454514</v>
      </c>
      <c r="BC239" s="1716">
        <f t="shared" si="446"/>
        <v>0.18307135535089611</v>
      </c>
      <c r="BD239" s="1786">
        <v>528528</v>
      </c>
      <c r="BE239" s="1716">
        <f t="shared" si="447"/>
        <v>0.16246053970312946</v>
      </c>
      <c r="BF239" s="1715">
        <v>190314</v>
      </c>
      <c r="BG239" s="1716">
        <f t="shared" si="448"/>
        <v>0.13441526246127811</v>
      </c>
      <c r="BH239" s="1715">
        <v>284221</v>
      </c>
      <c r="BI239" s="1716">
        <f t="shared" si="449"/>
        <v>0.13814753085609657</v>
      </c>
      <c r="BJ239" s="1715">
        <v>463772</v>
      </c>
      <c r="BK239" s="1716">
        <f t="shared" si="450"/>
        <v>0.13398951132190165</v>
      </c>
      <c r="BL239" s="1715">
        <v>484322</v>
      </c>
      <c r="BM239" s="1716">
        <f t="shared" si="451"/>
        <v>0.12659749210860072</v>
      </c>
      <c r="BN239" s="1715"/>
      <c r="BO239" s="1716" t="e">
        <f t="shared" si="452"/>
        <v>#DIV/0!</v>
      </c>
      <c r="BP239" s="1715">
        <v>514803</v>
      </c>
      <c r="BQ239" s="1716">
        <f t="shared" si="453"/>
        <v>0.14402086108194623</v>
      </c>
      <c r="BR239" s="1715">
        <v>70990</v>
      </c>
      <c r="BS239" s="1716">
        <f t="shared" si="454"/>
        <v>0.12900025258536568</v>
      </c>
      <c r="BT239" s="1715">
        <v>190936</v>
      </c>
      <c r="BU239" s="1716">
        <f t="shared" si="455"/>
        <v>0.13019896433261915</v>
      </c>
      <c r="BV239" s="1715">
        <v>236963</v>
      </c>
      <c r="BW239" s="1716">
        <f t="shared" si="456"/>
        <v>0.15066975852831793</v>
      </c>
      <c r="BX239" s="1715">
        <v>520392</v>
      </c>
      <c r="BY239" s="1716">
        <f t="shared" si="457"/>
        <v>9.9380182019014676E-2</v>
      </c>
      <c r="BZ239" s="1715">
        <v>455876</v>
      </c>
      <c r="CA239" s="1716">
        <f t="shared" si="458"/>
        <v>0.10536512126871925</v>
      </c>
      <c r="CB239" s="1715">
        <v>148730</v>
      </c>
      <c r="CC239" s="1716">
        <f t="shared" si="459"/>
        <v>0.10840450119570755</v>
      </c>
      <c r="CD239" s="1715">
        <f t="shared" ref="CD239:CD243" si="527">CG239</f>
        <v>0.13176208529067762</v>
      </c>
      <c r="CE239" s="1716">
        <f t="shared" si="460"/>
        <v>7.313074983400849E-8</v>
      </c>
      <c r="CF239" s="1715">
        <v>309012</v>
      </c>
      <c r="CG239" s="1716">
        <v>0.13176208529067762</v>
      </c>
      <c r="CH239" s="1715">
        <v>330944</v>
      </c>
      <c r="CI239" s="1716">
        <v>0.17792965589248436</v>
      </c>
      <c r="CJ239" s="1715">
        <v>215182</v>
      </c>
      <c r="CK239" s="1716">
        <v>0.1226858358415145</v>
      </c>
      <c r="CL239" s="1715">
        <v>1030227</v>
      </c>
      <c r="CM239" s="1716">
        <v>0.13732068270929726</v>
      </c>
      <c r="CN239" s="1715">
        <f>447720-CN240</f>
        <v>380373</v>
      </c>
      <c r="CO239" s="1716">
        <f t="shared" si="461"/>
        <v>0.11251974559976335</v>
      </c>
      <c r="CP239" s="1715">
        <v>240789</v>
      </c>
      <c r="CQ239" s="1716">
        <f t="shared" si="462"/>
        <v>0.12300082600258171</v>
      </c>
      <c r="CR239" s="1715">
        <v>595598</v>
      </c>
      <c r="CS239" s="1716">
        <v>0.1348843729497495</v>
      </c>
      <c r="CT239" s="1715">
        <v>310015</v>
      </c>
      <c r="CU239" s="1716">
        <f t="shared" si="463"/>
        <v>0.12440479200123918</v>
      </c>
      <c r="CV239" s="1715">
        <v>1166589</v>
      </c>
      <c r="CW239" s="1716">
        <f t="shared" si="464"/>
        <v>0.17069561974170669</v>
      </c>
      <c r="CX239" s="1715">
        <v>1078064</v>
      </c>
      <c r="CY239" s="1716">
        <f t="shared" si="464"/>
        <v>0.25792609109657538</v>
      </c>
      <c r="CZ239" s="1715">
        <v>277205</v>
      </c>
      <c r="DA239" s="1716">
        <v>0.28520617400555176</v>
      </c>
      <c r="DB239" s="1715">
        <v>535236</v>
      </c>
      <c r="DC239" s="1716">
        <v>0.1590734889703686</v>
      </c>
      <c r="DD239" s="1715">
        <v>214703</v>
      </c>
      <c r="DE239" s="1716">
        <v>0.17160342658561109</v>
      </c>
      <c r="DF239" s="1715">
        <v>1138284</v>
      </c>
      <c r="DG239" s="1716">
        <v>0.14744521633093685</v>
      </c>
      <c r="DH239" s="1715">
        <v>0</v>
      </c>
      <c r="DI239" s="1716">
        <v>0</v>
      </c>
      <c r="DJ239" s="1715">
        <v>325516</v>
      </c>
      <c r="DK239" s="1716">
        <v>0.16308972449963224</v>
      </c>
      <c r="DL239" s="1715">
        <v>339869</v>
      </c>
      <c r="DM239" s="1716">
        <v>0.15020818481667317</v>
      </c>
      <c r="DN239" s="1715">
        <v>132445</v>
      </c>
      <c r="DO239" s="1716">
        <f t="shared" si="465"/>
        <v>9.9980524009819521E-2</v>
      </c>
      <c r="DP239" s="1715">
        <f>115665-DP240</f>
        <v>94494</v>
      </c>
      <c r="DQ239" s="1716">
        <f t="shared" si="466"/>
        <v>0.15305472904353348</v>
      </c>
      <c r="DR239" s="1715">
        <v>545720</v>
      </c>
      <c r="DS239" s="1716">
        <f t="shared" si="467"/>
        <v>0.28852152544415988</v>
      </c>
      <c r="DT239" s="1715">
        <v>1309654</v>
      </c>
      <c r="DU239" s="1716">
        <f t="shared" si="468"/>
        <v>0.33060232472311685</v>
      </c>
      <c r="DV239" s="1715">
        <v>237704</v>
      </c>
      <c r="DW239" s="1716">
        <f t="shared" si="469"/>
        <v>0.18723042265946219</v>
      </c>
      <c r="DX239" s="1715">
        <v>481867</v>
      </c>
      <c r="DY239" s="1716">
        <f t="shared" si="470"/>
        <v>0.15084491773708988</v>
      </c>
      <c r="DZ239" s="1715">
        <v>1086078</v>
      </c>
      <c r="EA239" s="1716">
        <f t="shared" si="471"/>
        <v>0.20546299349432831</v>
      </c>
      <c r="EB239" s="1715">
        <v>735417</v>
      </c>
      <c r="EC239" s="1716">
        <f t="shared" si="472"/>
        <v>0.19038719625219791</v>
      </c>
      <c r="ED239" s="1715">
        <v>121381</v>
      </c>
      <c r="EE239" s="1716">
        <f t="shared" si="473"/>
        <v>9.0602646698121306E-2</v>
      </c>
      <c r="EF239" s="1715">
        <v>359909</v>
      </c>
      <c r="EG239" s="1716">
        <f t="shared" si="474"/>
        <v>0.18260010157162043</v>
      </c>
      <c r="EH239" s="1715">
        <v>1323566</v>
      </c>
      <c r="EI239" s="1716">
        <f t="shared" si="475"/>
        <v>0.14221342683529714</v>
      </c>
      <c r="EJ239" s="1715">
        <f>623059-EJ240</f>
        <v>586335</v>
      </c>
      <c r="EK239" s="1716">
        <f t="shared" si="476"/>
        <v>0.26575235425851451</v>
      </c>
      <c r="EL239" s="1715">
        <v>1172016</v>
      </c>
      <c r="EM239" s="1716">
        <f t="shared" si="477"/>
        <v>0.19923933093898072</v>
      </c>
      <c r="EN239" s="1715">
        <v>395435</v>
      </c>
      <c r="EO239" s="1716">
        <f t="shared" si="478"/>
        <v>0.15188778967131533</v>
      </c>
      <c r="EP239" s="1715">
        <v>483294</v>
      </c>
      <c r="EQ239" s="1716">
        <f t="shared" si="479"/>
        <v>0.17518618067273342</v>
      </c>
      <c r="ER239" s="1715">
        <v>131421</v>
      </c>
      <c r="ES239" s="1716">
        <f t="shared" si="480"/>
        <v>0.12015074039976194</v>
      </c>
      <c r="ET239" s="1715">
        <v>655972</v>
      </c>
      <c r="EU239" s="1716">
        <f t="shared" si="481"/>
        <v>0.14203056515637993</v>
      </c>
      <c r="EV239" s="1715">
        <v>391008</v>
      </c>
      <c r="EW239" s="1716">
        <f t="shared" si="482"/>
        <v>0.17522338283554031</v>
      </c>
      <c r="EX239" s="1715">
        <f>336907-EX240+68493</f>
        <v>360018</v>
      </c>
      <c r="EY239" s="1716">
        <f t="shared" si="483"/>
        <v>0.23420252821999366</v>
      </c>
      <c r="EZ239" s="1715">
        <v>526928</v>
      </c>
      <c r="FA239" s="1716">
        <f t="shared" si="484"/>
        <v>0.26209638108350625</v>
      </c>
      <c r="FB239" s="1715">
        <v>174266</v>
      </c>
      <c r="FC239" s="1716">
        <f t="shared" si="485"/>
        <v>0.13882075723454612</v>
      </c>
      <c r="FD239" s="1715">
        <v>291425</v>
      </c>
      <c r="FE239" s="1716">
        <f t="shared" si="486"/>
        <v>0.14217025696264715</v>
      </c>
      <c r="FF239" s="1715">
        <v>415887</v>
      </c>
      <c r="FG239" s="1716">
        <f t="shared" si="487"/>
        <v>0.12068793402148016</v>
      </c>
      <c r="FH239" s="1715">
        <v>241669</v>
      </c>
      <c r="FI239" s="1716">
        <f t="shared" si="488"/>
        <v>0.1581647912866658</v>
      </c>
      <c r="FJ239" s="1715">
        <v>314155</v>
      </c>
      <c r="FK239" s="1716">
        <f t="shared" si="489"/>
        <v>0.16657626144447926</v>
      </c>
      <c r="FL239" s="1715">
        <v>223212</v>
      </c>
      <c r="FM239" s="1716">
        <f t="shared" si="490"/>
        <v>0.16606219409037851</v>
      </c>
      <c r="FN239" s="1715">
        <v>583510</v>
      </c>
      <c r="FO239" s="1716">
        <f t="shared" si="491"/>
        <v>0.12411728808266857</v>
      </c>
      <c r="FP239" s="1715">
        <v>130533</v>
      </c>
      <c r="FQ239" s="1716">
        <f t="shared" si="492"/>
        <v>0.16416767280410505</v>
      </c>
      <c r="FR239" s="1715">
        <v>760163</v>
      </c>
      <c r="FS239" s="1716">
        <f t="shared" si="493"/>
        <v>0.12413722714037727</v>
      </c>
      <c r="FT239" s="1715">
        <v>412711</v>
      </c>
      <c r="FU239" s="1716">
        <f t="shared" si="494"/>
        <v>8.7497720922146707E-2</v>
      </c>
      <c r="FV239" s="1715">
        <v>962089</v>
      </c>
      <c r="FW239" s="1716">
        <f t="shared" si="495"/>
        <v>0.15313472970161704</v>
      </c>
      <c r="FX239" s="1715">
        <v>282209</v>
      </c>
      <c r="FY239" s="1716">
        <f t="shared" si="496"/>
        <v>0.16177126433223615</v>
      </c>
      <c r="FZ239" s="1715">
        <v>278439</v>
      </c>
      <c r="GA239" s="1716">
        <f t="shared" si="497"/>
        <v>0.17758755836639778</v>
      </c>
      <c r="GB239" s="1715">
        <v>155153</v>
      </c>
      <c r="GC239" s="1716">
        <f t="shared" si="498"/>
        <v>0.21796968292100419</v>
      </c>
      <c r="GD239" s="1715">
        <v>508980</v>
      </c>
      <c r="GE239" s="1716">
        <f t="shared" si="499"/>
        <v>0.13605656754017167</v>
      </c>
      <c r="GF239" s="1715">
        <v>360305</v>
      </c>
      <c r="GG239" s="1716">
        <f t="shared" si="500"/>
        <v>0.15426221043590993</v>
      </c>
      <c r="GH239" s="1715">
        <v>273028</v>
      </c>
      <c r="GI239" s="1716">
        <f t="shared" si="501"/>
        <v>0.21895314241721933</v>
      </c>
      <c r="GJ239" s="1715">
        <v>1772585</v>
      </c>
      <c r="GK239" s="1716">
        <f t="shared" si="502"/>
        <v>0.14713087794947988</v>
      </c>
      <c r="GL239" s="1715">
        <v>295842</v>
      </c>
      <c r="GM239" s="1716">
        <f t="shared" si="503"/>
        <v>0.13633353563869277</v>
      </c>
      <c r="GN239" s="1715">
        <v>314644</v>
      </c>
      <c r="GO239" s="1716">
        <f t="shared" si="504"/>
        <v>0.24657152081850925</v>
      </c>
      <c r="GP239" s="1715">
        <f>274866-GP240</f>
        <v>252507</v>
      </c>
      <c r="GQ239" s="1716">
        <f t="shared" si="505"/>
        <v>0.13504261345404292</v>
      </c>
      <c r="GR239" s="1715">
        <v>298267</v>
      </c>
      <c r="GS239" s="1716">
        <f t="shared" si="506"/>
        <v>0.1814139322824799</v>
      </c>
      <c r="GT239" s="1715">
        <v>370222</v>
      </c>
      <c r="GU239" s="1716">
        <f t="shared" si="507"/>
        <v>0.13980887125584107</v>
      </c>
      <c r="GV239" s="1715">
        <v>381848</v>
      </c>
      <c r="GW239" s="1716">
        <f t="shared" si="508"/>
        <v>0.11617250878866289</v>
      </c>
      <c r="GX239" s="1715">
        <v>213885</v>
      </c>
      <c r="GY239" s="1716">
        <f t="shared" si="509"/>
        <v>0.11266943083460769</v>
      </c>
      <c r="GZ239" s="1715">
        <f>565523-GZ240</f>
        <v>472780</v>
      </c>
      <c r="HA239" s="1716">
        <f t="shared" si="510"/>
        <v>0.11286991049285748</v>
      </c>
      <c r="HB239" s="1715">
        <v>145127</v>
      </c>
      <c r="HC239" s="1716">
        <f t="shared" si="511"/>
        <v>0.31747840848434999</v>
      </c>
      <c r="HD239" s="1715">
        <v>229369</v>
      </c>
      <c r="HE239" s="1716">
        <f t="shared" si="512"/>
        <v>0.14032032105517525</v>
      </c>
      <c r="HF239" s="2032">
        <v>1195429</v>
      </c>
      <c r="HG239" s="2033">
        <f t="shared" si="513"/>
        <v>0.15248198137581229</v>
      </c>
      <c r="HH239" s="1715">
        <v>418750</v>
      </c>
      <c r="HI239" s="1716">
        <f t="shared" si="514"/>
        <v>0.13872683386107507</v>
      </c>
      <c r="HJ239" s="1715">
        <v>678595</v>
      </c>
      <c r="HK239" s="1716">
        <f t="shared" si="515"/>
        <v>0.11313265393223061</v>
      </c>
      <c r="HL239" s="1715">
        <f>22194+145896</f>
        <v>168090</v>
      </c>
      <c r="HM239" s="1716">
        <f t="shared" si="516"/>
        <v>8.7069759924911463E-2</v>
      </c>
      <c r="HN239" s="1715">
        <v>219670</v>
      </c>
      <c r="HO239" s="1716">
        <f t="shared" si="517"/>
        <v>0.16653955266992462</v>
      </c>
      <c r="HP239" s="2032">
        <v>1010263</v>
      </c>
      <c r="HQ239" s="2033">
        <f t="shared" si="518"/>
        <v>0.16038267822687702</v>
      </c>
      <c r="HR239" s="1715">
        <f>113761+82886</f>
        <v>196647</v>
      </c>
      <c r="HS239" s="1716">
        <f t="shared" si="519"/>
        <v>0.10281034926251466</v>
      </c>
      <c r="HT239" s="2032">
        <v>708926</v>
      </c>
      <c r="HU239" s="2033">
        <f t="shared" si="520"/>
        <v>0.18261155601028606</v>
      </c>
      <c r="HV239" s="2032">
        <v>542648</v>
      </c>
      <c r="HW239" s="2033">
        <f t="shared" si="521"/>
        <v>0.26337712209502678</v>
      </c>
      <c r="HX239" s="2032">
        <f>1958528-HX236-HX240</f>
        <v>295912</v>
      </c>
      <c r="HY239" s="2033">
        <f t="shared" si="522"/>
        <v>0.14454481464674415</v>
      </c>
      <c r="HZ239" s="2032">
        <v>380278</v>
      </c>
      <c r="IA239" s="2033">
        <f t="shared" si="523"/>
        <v>0.22162595324196974</v>
      </c>
      <c r="IB239" s="1715">
        <v>185618</v>
      </c>
      <c r="IC239" s="1716">
        <f t="shared" si="524"/>
        <v>0.13149531664203731</v>
      </c>
      <c r="ID239" s="2032">
        <v>355503</v>
      </c>
      <c r="IE239" s="2033">
        <f t="shared" si="525"/>
        <v>0.17890021830171532</v>
      </c>
      <c r="IF239" s="2032">
        <v>217982</v>
      </c>
      <c r="IG239" s="2033">
        <f t="shared" si="526"/>
        <v>8.5295887694386993E-2</v>
      </c>
    </row>
    <row r="240" spans="1:241">
      <c r="A240" s="1149"/>
      <c r="B240" s="1149"/>
      <c r="C240" s="1149"/>
      <c r="D240" s="1149" t="s">
        <v>32</v>
      </c>
      <c r="E240" s="1143"/>
      <c r="F240" s="1715">
        <v>45405</v>
      </c>
      <c r="G240" s="1716">
        <f t="shared" si="422"/>
        <v>2.5768793114701066E-2</v>
      </c>
      <c r="H240" s="1715">
        <v>6125</v>
      </c>
      <c r="I240" s="1716">
        <f t="shared" si="423"/>
        <v>2.3868115509988563E-3</v>
      </c>
      <c r="J240" s="1715">
        <v>27226</v>
      </c>
      <c r="K240" s="1716">
        <f t="shared" si="424"/>
        <v>2.1413448016585866E-2</v>
      </c>
      <c r="L240" s="1715">
        <v>543775</v>
      </c>
      <c r="M240" s="1716">
        <f t="shared" si="425"/>
        <v>4.9814538122515684E-2</v>
      </c>
      <c r="N240" s="1715">
        <v>32580</v>
      </c>
      <c r="O240" s="1716">
        <f t="shared" si="426"/>
        <v>2.2840461688595753E-2</v>
      </c>
      <c r="P240" s="1715">
        <v>117088</v>
      </c>
      <c r="Q240" s="1716">
        <f t="shared" si="427"/>
        <v>1.7955263961763484E-2</v>
      </c>
      <c r="R240" s="1715">
        <v>0</v>
      </c>
      <c r="S240" s="1716">
        <f t="shared" si="428"/>
        <v>0</v>
      </c>
      <c r="T240" s="1715">
        <v>37380</v>
      </c>
      <c r="U240" s="1716">
        <f t="shared" si="429"/>
        <v>1.1443174749339981E-2</v>
      </c>
      <c r="V240" s="1715">
        <v>40241</v>
      </c>
      <c r="W240" s="1716">
        <f t="shared" si="430"/>
        <v>2.73046551108783E-2</v>
      </c>
      <c r="X240" s="1715">
        <v>278501</v>
      </c>
      <c r="Y240" s="1716">
        <f t="shared" si="431"/>
        <v>2.9610138475009984E-2</v>
      </c>
      <c r="Z240" s="1786">
        <v>63779</v>
      </c>
      <c r="AA240" s="1716">
        <f t="shared" si="432"/>
        <v>2.0834041096427384E-2</v>
      </c>
      <c r="AB240" s="1715">
        <v>31538</v>
      </c>
      <c r="AC240" s="1716">
        <f t="shared" si="433"/>
        <v>2.7727883764092312E-2</v>
      </c>
      <c r="AD240" s="1715">
        <v>0</v>
      </c>
      <c r="AE240" s="1716">
        <f t="shared" si="434"/>
        <v>0</v>
      </c>
      <c r="AF240" s="1715">
        <v>31589</v>
      </c>
      <c r="AG240" s="1716">
        <f t="shared" si="435"/>
        <v>8.9895269691500634E-3</v>
      </c>
      <c r="AH240" s="1715">
        <v>0</v>
      </c>
      <c r="AI240" s="1716">
        <f t="shared" si="436"/>
        <v>0</v>
      </c>
      <c r="AJ240" s="1715">
        <v>38614</v>
      </c>
      <c r="AK240" s="1716">
        <f t="shared" si="437"/>
        <v>2.3140959450283854E-2</v>
      </c>
      <c r="AL240" s="1715"/>
      <c r="AM240" s="1716">
        <f t="shared" si="438"/>
        <v>0</v>
      </c>
      <c r="AN240" s="1715">
        <v>39558</v>
      </c>
      <c r="AO240" s="1716">
        <f t="shared" si="439"/>
        <v>2.1373806577802752E-2</v>
      </c>
      <c r="AP240" s="1715">
        <v>24180</v>
      </c>
      <c r="AQ240" s="1716">
        <f t="shared" si="440"/>
        <v>1.2277632925179048E-2</v>
      </c>
      <c r="AR240" s="1715">
        <v>135362</v>
      </c>
      <c r="AS240" s="1716">
        <f t="shared" si="441"/>
        <v>3.9956608048173921E-2</v>
      </c>
      <c r="AT240" s="1715">
        <v>55880</v>
      </c>
      <c r="AU240" s="1716">
        <f t="shared" si="442"/>
        <v>1.1137621982173825E-2</v>
      </c>
      <c r="AV240" s="1715">
        <v>58005</v>
      </c>
      <c r="AW240" s="1716">
        <f t="shared" si="443"/>
        <v>2.700549747287578E-2</v>
      </c>
      <c r="AX240" s="1715">
        <v>99007</v>
      </c>
      <c r="AY240" s="1716">
        <f t="shared" si="444"/>
        <v>1.6913434450298432E-2</v>
      </c>
      <c r="AZ240" s="1715">
        <v>45317</v>
      </c>
      <c r="BA240" s="1716">
        <f t="shared" si="445"/>
        <v>1.7437844705943919E-2</v>
      </c>
      <c r="BB240" s="1715">
        <v>71636</v>
      </c>
      <c r="BC240" s="1716">
        <f t="shared" si="446"/>
        <v>2.8853895835808781E-2</v>
      </c>
      <c r="BD240" s="1786"/>
      <c r="BE240" s="1716">
        <f t="shared" si="447"/>
        <v>0</v>
      </c>
      <c r="BF240" s="1715">
        <v>21298</v>
      </c>
      <c r="BG240" s="1716">
        <f t="shared" si="448"/>
        <v>1.5042383954413764E-2</v>
      </c>
      <c r="BH240" s="1715">
        <v>27624</v>
      </c>
      <c r="BI240" s="1716">
        <f t="shared" si="449"/>
        <v>1.3426831206592096E-2</v>
      </c>
      <c r="BJ240" s="1715">
        <v>32038</v>
      </c>
      <c r="BK240" s="1716">
        <f t="shared" si="450"/>
        <v>9.2561775263083693E-3</v>
      </c>
      <c r="BL240" s="1715">
        <v>83796</v>
      </c>
      <c r="BM240" s="1716">
        <f t="shared" si="451"/>
        <v>2.190353411311546E-2</v>
      </c>
      <c r="BN240" s="1715"/>
      <c r="BO240" s="1716" t="e">
        <f t="shared" si="452"/>
        <v>#DIV/0!</v>
      </c>
      <c r="BP240" s="1715">
        <v>35868</v>
      </c>
      <c r="BQ240" s="1716">
        <f t="shared" si="453"/>
        <v>1.0034401985394893E-2</v>
      </c>
      <c r="BR240" s="1715">
        <v>0</v>
      </c>
      <c r="BS240" s="1716">
        <f t="shared" si="454"/>
        <v>0</v>
      </c>
      <c r="BT240" s="1715"/>
      <c r="BU240" s="1716">
        <f t="shared" si="455"/>
        <v>0</v>
      </c>
      <c r="BV240" s="1715">
        <v>30265</v>
      </c>
      <c r="BW240" s="1716">
        <f t="shared" si="456"/>
        <v>1.9243596012286906E-2</v>
      </c>
      <c r="BX240" s="1715">
        <v>48562</v>
      </c>
      <c r="BY240" s="1716">
        <f t="shared" si="457"/>
        <v>9.2739711586792093E-3</v>
      </c>
      <c r="BZ240" s="1715">
        <v>56558</v>
      </c>
      <c r="CA240" s="1716">
        <f t="shared" si="458"/>
        <v>1.307206461563281E-2</v>
      </c>
      <c r="CB240" s="1715">
        <v>25430</v>
      </c>
      <c r="CC240" s="1716">
        <f t="shared" si="459"/>
        <v>1.8535107008719444E-2</v>
      </c>
      <c r="CD240" s="1715">
        <f t="shared" si="527"/>
        <v>1.0439501165558814E-2</v>
      </c>
      <c r="CE240" s="1716">
        <f t="shared" si="460"/>
        <v>5.7941443962889139E-9</v>
      </c>
      <c r="CF240" s="1715">
        <v>24483</v>
      </c>
      <c r="CG240" s="1716">
        <v>1.0439501165558814E-2</v>
      </c>
      <c r="CH240" s="1715">
        <v>36720</v>
      </c>
      <c r="CI240" s="1716">
        <v>1.9742243293040591E-2</v>
      </c>
      <c r="CJ240" s="1715">
        <v>1088</v>
      </c>
      <c r="CK240" s="1716">
        <v>6.2032228251232807E-4</v>
      </c>
      <c r="CL240" s="1715">
        <v>11732</v>
      </c>
      <c r="CM240" s="1716">
        <v>1.5637779339363804E-3</v>
      </c>
      <c r="CN240" s="1715">
        <v>67347</v>
      </c>
      <c r="CO240" s="1716">
        <f t="shared" si="461"/>
        <v>1.9922200857861262E-2</v>
      </c>
      <c r="CP240" s="1715">
        <v>61984</v>
      </c>
      <c r="CQ240" s="1716">
        <f t="shared" si="462"/>
        <v>3.1662921474585735E-2</v>
      </c>
      <c r="CR240" s="1715">
        <v>160877</v>
      </c>
      <c r="CS240" s="1716">
        <v>3.6433623462531525E-2</v>
      </c>
      <c r="CT240" s="1715">
        <v>0</v>
      </c>
      <c r="CU240" s="1716">
        <f t="shared" si="463"/>
        <v>0</v>
      </c>
      <c r="CV240" s="1715">
        <v>98092</v>
      </c>
      <c r="CW240" s="1716">
        <f t="shared" si="464"/>
        <v>1.4352848116777624E-2</v>
      </c>
      <c r="CX240" s="1715">
        <v>180074</v>
      </c>
      <c r="CY240" s="1716">
        <f t="shared" si="464"/>
        <v>4.3082584084177485E-2</v>
      </c>
      <c r="CZ240" s="1715">
        <v>18730</v>
      </c>
      <c r="DA240" s="1716">
        <v>1.9270617914987048E-2</v>
      </c>
      <c r="DB240" s="1715">
        <v>60262</v>
      </c>
      <c r="DC240" s="1716">
        <v>1.7910018370087873E-2</v>
      </c>
      <c r="DD240" s="1715">
        <v>32717</v>
      </c>
      <c r="DE240" s="1716">
        <v>2.6149375218797306E-2</v>
      </c>
      <c r="DF240" s="1715">
        <v>340238</v>
      </c>
      <c r="DG240" s="1716">
        <v>4.4072011478686592E-2</v>
      </c>
      <c r="DH240" s="1715">
        <v>7260</v>
      </c>
      <c r="DI240" s="1716">
        <v>3.1601559184366371E-3</v>
      </c>
      <c r="DJ240" s="1715">
        <v>0</v>
      </c>
      <c r="DK240" s="1716">
        <v>0</v>
      </c>
      <c r="DL240" s="1715">
        <v>43867</v>
      </c>
      <c r="DM240" s="1716">
        <v>1.9387418220999861E-2</v>
      </c>
      <c r="DN240" s="1715">
        <v>19820</v>
      </c>
      <c r="DO240" s="1716">
        <f t="shared" si="465"/>
        <v>1.4961787805312567E-2</v>
      </c>
      <c r="DP240" s="1715">
        <v>21171</v>
      </c>
      <c r="DQ240" s="1716">
        <f t="shared" si="466"/>
        <v>3.4291295411144063E-2</v>
      </c>
      <c r="DR240" s="1715">
        <v>162240</v>
      </c>
      <c r="DS240" s="1716">
        <f t="shared" si="467"/>
        <v>8.5776098160339556E-2</v>
      </c>
      <c r="DT240" s="1715">
        <v>281766</v>
      </c>
      <c r="DU240" s="1716">
        <f t="shared" si="468"/>
        <v>7.1127560888550517E-2</v>
      </c>
      <c r="DV240" s="1715">
        <v>15975</v>
      </c>
      <c r="DW240" s="1716">
        <f t="shared" si="469"/>
        <v>1.2582901431969627E-2</v>
      </c>
      <c r="DX240" s="1715">
        <v>50432</v>
      </c>
      <c r="DY240" s="1716">
        <f t="shared" si="470"/>
        <v>1.5787366412966478E-2</v>
      </c>
      <c r="DZ240" s="1715">
        <v>263333</v>
      </c>
      <c r="EA240" s="1716">
        <f t="shared" si="471"/>
        <v>4.981703566948411E-2</v>
      </c>
      <c r="EB240" s="1715">
        <v>124745</v>
      </c>
      <c r="EC240" s="1716">
        <f t="shared" si="472"/>
        <v>3.2294400043078188E-2</v>
      </c>
      <c r="ED240" s="1715">
        <v>34684</v>
      </c>
      <c r="EE240" s="1716">
        <f t="shared" si="473"/>
        <v>2.5889242946405447E-2</v>
      </c>
      <c r="EF240" s="1715">
        <v>68868</v>
      </c>
      <c r="EG240" s="1716">
        <f t="shared" si="474"/>
        <v>3.4940231544735904E-2</v>
      </c>
      <c r="EH240" s="1715">
        <v>92700</v>
      </c>
      <c r="EI240" s="1716">
        <f t="shared" si="475"/>
        <v>9.9603530671172006E-3</v>
      </c>
      <c r="EJ240" s="1715">
        <v>36724</v>
      </c>
      <c r="EK240" s="1716">
        <f t="shared" si="476"/>
        <v>1.6644903438801515E-2</v>
      </c>
      <c r="EL240" s="1715">
        <v>1100</v>
      </c>
      <c r="EM240" s="1716">
        <f t="shared" si="477"/>
        <v>1.8699681918410568E-4</v>
      </c>
      <c r="EN240" s="1715">
        <v>4572</v>
      </c>
      <c r="EO240" s="1716">
        <f t="shared" si="478"/>
        <v>1.7561191456933597E-3</v>
      </c>
      <c r="EP240" s="1715">
        <v>78843</v>
      </c>
      <c r="EQ240" s="1716">
        <f t="shared" si="479"/>
        <v>2.8579299645309732E-2</v>
      </c>
      <c r="ER240" s="1715">
        <v>596</v>
      </c>
      <c r="ES240" s="1716">
        <f t="shared" si="480"/>
        <v>5.4488887832430217E-4</v>
      </c>
      <c r="ET240" s="1715">
        <v>69413</v>
      </c>
      <c r="EU240" s="1716">
        <f t="shared" si="481"/>
        <v>1.5029250668016015E-2</v>
      </c>
      <c r="EV240" s="1715">
        <v>0</v>
      </c>
      <c r="EW240" s="1716">
        <f t="shared" si="482"/>
        <v>0</v>
      </c>
      <c r="EX240" s="1715">
        <f>11420+33962</f>
        <v>45382</v>
      </c>
      <c r="EY240" s="1716">
        <f t="shared" si="483"/>
        <v>2.9522354814703021E-2</v>
      </c>
      <c r="EZ240" s="1715">
        <v>64934</v>
      </c>
      <c r="FA240" s="1716">
        <f t="shared" si="484"/>
        <v>3.2298466601274549E-2</v>
      </c>
      <c r="FB240" s="1715">
        <v>23150</v>
      </c>
      <c r="FC240" s="1716">
        <f t="shared" si="485"/>
        <v>1.8441351324869695E-2</v>
      </c>
      <c r="FD240" s="1715">
        <v>0</v>
      </c>
      <c r="FE240" s="1716">
        <f t="shared" si="486"/>
        <v>0</v>
      </c>
      <c r="FF240" s="1715">
        <v>73371</v>
      </c>
      <c r="FG240" s="1716">
        <f t="shared" si="487"/>
        <v>2.129182784528014E-2</v>
      </c>
      <c r="FH240" s="1715">
        <v>23431</v>
      </c>
      <c r="FI240" s="1716">
        <f t="shared" si="488"/>
        <v>1.5334855627481664E-2</v>
      </c>
      <c r="FJ240" s="1715">
        <v>17453</v>
      </c>
      <c r="FK240" s="1716">
        <f t="shared" si="489"/>
        <v>9.2542072893651121E-3</v>
      </c>
      <c r="FL240" s="1715">
        <v>17371</v>
      </c>
      <c r="FM240" s="1716">
        <f t="shared" si="490"/>
        <v>1.2923437689478904E-2</v>
      </c>
      <c r="FN240" s="1715">
        <v>144012</v>
      </c>
      <c r="FO240" s="1716">
        <f t="shared" si="491"/>
        <v>3.0632515109186246E-2</v>
      </c>
      <c r="FP240" s="1715" t="s">
        <v>1414</v>
      </c>
      <c r="FQ240" s="1716">
        <f t="shared" si="492"/>
        <v>0</v>
      </c>
      <c r="FR240" s="1715">
        <v>59389</v>
      </c>
      <c r="FS240" s="1716">
        <f t="shared" si="493"/>
        <v>9.6984275512487002E-3</v>
      </c>
      <c r="FT240" s="1715">
        <v>97447</v>
      </c>
      <c r="FU240" s="1716">
        <f t="shared" si="494"/>
        <v>2.0659469727485891E-2</v>
      </c>
      <c r="FV240" s="1715">
        <v>121578</v>
      </c>
      <c r="FW240" s="1716">
        <f t="shared" si="495"/>
        <v>1.9351446869949867E-2</v>
      </c>
      <c r="FX240" s="1715">
        <v>39539</v>
      </c>
      <c r="FY240" s="1716">
        <f t="shared" si="496"/>
        <v>2.2665024929865048E-2</v>
      </c>
      <c r="FZ240" s="1715">
        <v>26992</v>
      </c>
      <c r="GA240" s="1716">
        <f t="shared" si="497"/>
        <v>1.7215416573920353E-2</v>
      </c>
      <c r="GB240" s="1715">
        <v>44476</v>
      </c>
      <c r="GC240" s="1716">
        <f t="shared" si="498"/>
        <v>6.2482965960017421E-2</v>
      </c>
      <c r="GD240" s="1715">
        <v>146312</v>
      </c>
      <c r="GE240" s="1716">
        <f t="shared" si="499"/>
        <v>3.9110983751694757E-2</v>
      </c>
      <c r="GF240" s="1715">
        <v>40584</v>
      </c>
      <c r="GG240" s="1716">
        <f t="shared" si="500"/>
        <v>1.7375772049599558E-2</v>
      </c>
      <c r="GH240" s="1715">
        <v>0</v>
      </c>
      <c r="GI240" s="1716">
        <f t="shared" si="501"/>
        <v>0</v>
      </c>
      <c r="GJ240" s="1715">
        <v>887335</v>
      </c>
      <c r="GK240" s="1716">
        <f t="shared" si="502"/>
        <v>7.3651970193419056E-2</v>
      </c>
      <c r="GL240" s="1715">
        <v>3797</v>
      </c>
      <c r="GM240" s="1716">
        <f t="shared" si="503"/>
        <v>1.7497800678068578E-3</v>
      </c>
      <c r="GN240" s="1715">
        <v>30844</v>
      </c>
      <c r="GO240" s="1716">
        <f t="shared" si="504"/>
        <v>2.4170974142605925E-2</v>
      </c>
      <c r="GP240" s="1715">
        <v>22359</v>
      </c>
      <c r="GQ240" s="1716">
        <f t="shared" si="505"/>
        <v>1.195775877191106E-2</v>
      </c>
      <c r="GR240" s="1715">
        <v>57380</v>
      </c>
      <c r="GS240" s="1716">
        <f t="shared" si="506"/>
        <v>3.4900044035608022E-2</v>
      </c>
      <c r="GT240" s="1715">
        <v>10212</v>
      </c>
      <c r="GU240" s="1716">
        <f t="shared" si="507"/>
        <v>3.8564110000611769E-3</v>
      </c>
      <c r="GV240" s="1715">
        <v>6354</v>
      </c>
      <c r="GW240" s="1716">
        <f t="shared" si="508"/>
        <v>1.9331255390709497E-3</v>
      </c>
      <c r="GX240" s="1715">
        <v>21400</v>
      </c>
      <c r="GY240" s="1716">
        <f t="shared" si="509"/>
        <v>1.1273001004561351E-2</v>
      </c>
      <c r="GZ240" s="1715">
        <v>92743</v>
      </c>
      <c r="HA240" s="1716">
        <f t="shared" si="510"/>
        <v>2.214115256321985E-2</v>
      </c>
      <c r="HB240" s="1715">
        <v>12243</v>
      </c>
      <c r="HC240" s="1716">
        <f t="shared" si="511"/>
        <v>2.6782667285025506E-2</v>
      </c>
      <c r="HD240" s="1715">
        <v>21934</v>
      </c>
      <c r="HE240" s="1716">
        <f t="shared" si="512"/>
        <v>1.3418491260912388E-2</v>
      </c>
      <c r="HF240" s="2032">
        <v>196992</v>
      </c>
      <c r="HG240" s="2033">
        <f t="shared" si="513"/>
        <v>2.5127155586140218E-2</v>
      </c>
      <c r="HH240" s="1715">
        <v>0</v>
      </c>
      <c r="HI240" s="1716">
        <f t="shared" si="514"/>
        <v>0</v>
      </c>
      <c r="HJ240" s="1715">
        <v>80872</v>
      </c>
      <c r="HK240" s="1716">
        <f t="shared" si="515"/>
        <v>1.3482657533296522E-2</v>
      </c>
      <c r="HL240" s="1715">
        <f>1482+13191</f>
        <v>14673</v>
      </c>
      <c r="HM240" s="1716">
        <f t="shared" si="516"/>
        <v>7.6005389218765295E-3</v>
      </c>
      <c r="HN240" s="1715">
        <v>37725</v>
      </c>
      <c r="HO240" s="1716">
        <f t="shared" si="517"/>
        <v>2.8600649266959103E-2</v>
      </c>
      <c r="HP240" s="2032">
        <v>214519</v>
      </c>
      <c r="HQ240" s="2033">
        <f t="shared" si="518"/>
        <v>3.4055618933437559E-2</v>
      </c>
      <c r="HR240" s="1715">
        <v>0</v>
      </c>
      <c r="HS240" s="1716">
        <f t="shared" si="519"/>
        <v>0</v>
      </c>
      <c r="HT240" s="2032">
        <v>69966</v>
      </c>
      <c r="HU240" s="2033">
        <f t="shared" si="520"/>
        <v>1.8022473611936471E-2</v>
      </c>
      <c r="HV240" s="2032">
        <v>83642</v>
      </c>
      <c r="HW240" s="2033">
        <f t="shared" si="521"/>
        <v>4.0596094054105476E-2</v>
      </c>
      <c r="HX240" s="2032">
        <v>23057</v>
      </c>
      <c r="HY240" s="2033">
        <f t="shared" si="522"/>
        <v>1.1262705775061438E-2</v>
      </c>
      <c r="HZ240" s="2032">
        <v>70430</v>
      </c>
      <c r="IA240" s="2033">
        <f t="shared" si="523"/>
        <v>4.1046591932301972E-2</v>
      </c>
      <c r="IB240" s="1715">
        <v>20161</v>
      </c>
      <c r="IC240" s="1716">
        <f t="shared" si="524"/>
        <v>1.4282435317803845E-2</v>
      </c>
      <c r="ID240" s="2032">
        <v>48240</v>
      </c>
      <c r="IE240" s="2033">
        <f t="shared" si="525"/>
        <v>2.4275875395917183E-2</v>
      </c>
      <c r="IF240" s="2032">
        <v>8709</v>
      </c>
      <c r="IG240" s="2033">
        <f t="shared" si="526"/>
        <v>3.4078129658890012E-3</v>
      </c>
    </row>
    <row r="241" spans="1:241">
      <c r="A241" s="1149"/>
      <c r="B241" s="1149"/>
      <c r="C241" s="1149"/>
      <c r="D241" s="1149" t="s">
        <v>48</v>
      </c>
      <c r="E241" s="1143"/>
      <c r="F241" s="1715">
        <v>1408</v>
      </c>
      <c r="G241" s="1716">
        <f t="shared" si="422"/>
        <v>7.9908513832175091E-4</v>
      </c>
      <c r="H241" s="1715">
        <v>71044</v>
      </c>
      <c r="I241" s="1716">
        <f t="shared" si="423"/>
        <v>2.768467589047555E-2</v>
      </c>
      <c r="J241" s="1715">
        <v>28401</v>
      </c>
      <c r="K241" s="1716">
        <f t="shared" si="424"/>
        <v>2.2337594105599618E-2</v>
      </c>
      <c r="L241" s="1715">
        <v>294993</v>
      </c>
      <c r="M241" s="1716">
        <f t="shared" si="425"/>
        <v>2.7023934613351605E-2</v>
      </c>
      <c r="N241" s="1715">
        <v>49391</v>
      </c>
      <c r="O241" s="1716">
        <f t="shared" si="426"/>
        <v>3.4625943623739497E-2</v>
      </c>
      <c r="P241" s="1715">
        <v>116035</v>
      </c>
      <c r="Q241" s="1716">
        <f t="shared" si="427"/>
        <v>1.7793788038084395E-2</v>
      </c>
      <c r="R241" s="1715">
        <v>0</v>
      </c>
      <c r="S241" s="1716">
        <f t="shared" si="428"/>
        <v>0</v>
      </c>
      <c r="T241" s="1715">
        <v>71619</v>
      </c>
      <c r="U241" s="1716">
        <f t="shared" si="429"/>
        <v>2.1924792198314075E-2</v>
      </c>
      <c r="V241" s="1715">
        <v>50079</v>
      </c>
      <c r="W241" s="1716">
        <f t="shared" si="430"/>
        <v>3.3980015986125454E-2</v>
      </c>
      <c r="X241" s="1715">
        <v>0</v>
      </c>
      <c r="Y241" s="1716">
        <f t="shared" si="431"/>
        <v>0</v>
      </c>
      <c r="Z241" s="1786">
        <v>115706</v>
      </c>
      <c r="AA241" s="1716">
        <f t="shared" si="432"/>
        <v>3.7796509181756179E-2</v>
      </c>
      <c r="AB241" s="1715">
        <v>7399</v>
      </c>
      <c r="AC241" s="1716">
        <f t="shared" si="433"/>
        <v>6.5051243569826563E-3</v>
      </c>
      <c r="AD241" s="1715">
        <v>0</v>
      </c>
      <c r="AE241" s="1716">
        <f t="shared" si="434"/>
        <v>0</v>
      </c>
      <c r="AF241" s="1715">
        <v>37212</v>
      </c>
      <c r="AG241" s="1716">
        <f t="shared" si="435"/>
        <v>1.0589707732945397E-2</v>
      </c>
      <c r="AH241" s="1715">
        <v>18280</v>
      </c>
      <c r="AI241" s="1716">
        <f t="shared" si="436"/>
        <v>9.9453224885068421E-3</v>
      </c>
      <c r="AJ241" s="1715">
        <v>21296</v>
      </c>
      <c r="AK241" s="1716">
        <f t="shared" si="437"/>
        <v>1.2762466267499998E-2</v>
      </c>
      <c r="AL241" s="1715">
        <v>67988</v>
      </c>
      <c r="AM241" s="1716">
        <f t="shared" si="438"/>
        <v>1.6124522256361119E-2</v>
      </c>
      <c r="AN241" s="1715">
        <v>60490</v>
      </c>
      <c r="AO241" s="1716">
        <f t="shared" si="439"/>
        <v>3.2683693813926093E-2</v>
      </c>
      <c r="AP241" s="1715">
        <v>15333</v>
      </c>
      <c r="AQ241" s="1716">
        <f t="shared" si="440"/>
        <v>7.7854816229019994E-3</v>
      </c>
      <c r="AR241" s="1715">
        <v>0</v>
      </c>
      <c r="AS241" s="1716">
        <f t="shared" si="441"/>
        <v>0</v>
      </c>
      <c r="AT241" s="1715">
        <v>76524</v>
      </c>
      <c r="AU241" s="1716">
        <f t="shared" si="442"/>
        <v>1.525224381825107E-2</v>
      </c>
      <c r="AV241" s="1715">
        <v>21030</v>
      </c>
      <c r="AW241" s="1716">
        <f t="shared" si="443"/>
        <v>9.7909768443164846E-3</v>
      </c>
      <c r="AX241" s="1715">
        <v>126793</v>
      </c>
      <c r="AY241" s="1716">
        <f t="shared" si="444"/>
        <v>2.1660136093980115E-2</v>
      </c>
      <c r="AZ241" s="1715">
        <v>34818</v>
      </c>
      <c r="BA241" s="1716">
        <f t="shared" si="445"/>
        <v>1.3397861221430267E-2</v>
      </c>
      <c r="BB241" s="1715">
        <v>84701</v>
      </c>
      <c r="BC241" s="1716">
        <f t="shared" si="446"/>
        <v>3.4116279959640956E-2</v>
      </c>
      <c r="BD241" s="1786">
        <v>33920</v>
      </c>
      <c r="BE241" s="1716">
        <f t="shared" si="447"/>
        <v>1.0426432481779871E-2</v>
      </c>
      <c r="BF241" s="1715">
        <v>17410</v>
      </c>
      <c r="BG241" s="1716">
        <f t="shared" si="448"/>
        <v>1.2296361378831047E-2</v>
      </c>
      <c r="BH241" s="1715">
        <v>25687</v>
      </c>
      <c r="BI241" s="1716">
        <f t="shared" si="449"/>
        <v>1.2485339313775382E-2</v>
      </c>
      <c r="BJ241" s="1715">
        <v>83818</v>
      </c>
      <c r="BK241" s="1716">
        <f t="shared" si="450"/>
        <v>2.4216064919786343E-2</v>
      </c>
      <c r="BL241" s="1715">
        <v>3152</v>
      </c>
      <c r="BM241" s="1716">
        <f t="shared" si="451"/>
        <v>8.2390495398992707E-4</v>
      </c>
      <c r="BN241" s="1715"/>
      <c r="BO241" s="1716" t="e">
        <f t="shared" si="452"/>
        <v>#DIV/0!</v>
      </c>
      <c r="BP241" s="1715">
        <v>10856</v>
      </c>
      <c r="BQ241" s="1716">
        <f t="shared" si="453"/>
        <v>3.0370655724725926E-3</v>
      </c>
      <c r="BR241" s="1715">
        <v>14469</v>
      </c>
      <c r="BS241" s="1716">
        <f t="shared" si="454"/>
        <v>2.629250112209686E-2</v>
      </c>
      <c r="BT241" s="1715"/>
      <c r="BU241" s="1716">
        <f t="shared" si="455"/>
        <v>0</v>
      </c>
      <c r="BV241" s="1715">
        <v>22565</v>
      </c>
      <c r="BW241" s="1716">
        <f t="shared" si="456"/>
        <v>1.4347653858161377E-2</v>
      </c>
      <c r="BX241" s="1715">
        <v>0</v>
      </c>
      <c r="BY241" s="1716">
        <f t="shared" si="457"/>
        <v>0</v>
      </c>
      <c r="BZ241" s="1715">
        <v>77072</v>
      </c>
      <c r="CA241" s="1716">
        <f t="shared" si="458"/>
        <v>1.7813397999505851E-2</v>
      </c>
      <c r="CB241" s="1715">
        <v>26979</v>
      </c>
      <c r="CC241" s="1716">
        <f t="shared" si="459"/>
        <v>1.9664123161157763E-2</v>
      </c>
      <c r="CD241" s="1715">
        <f t="shared" si="527"/>
        <v>9.4340547844622286E-3</v>
      </c>
      <c r="CE241" s="1716">
        <f t="shared" si="460"/>
        <v>5.2361003458682439E-9</v>
      </c>
      <c r="CF241" s="1715">
        <v>22125</v>
      </c>
      <c r="CG241" s="1716">
        <v>9.4340547844622286E-3</v>
      </c>
      <c r="CH241" s="1715"/>
      <c r="CI241" s="1716">
        <v>0</v>
      </c>
      <c r="CJ241" s="1715">
        <v>25497</v>
      </c>
      <c r="CK241" s="1716">
        <v>1.4537093048912526E-2</v>
      </c>
      <c r="CL241" s="1715">
        <v>0</v>
      </c>
      <c r="CM241" s="1716">
        <v>0</v>
      </c>
      <c r="CN241" s="1715">
        <v>0</v>
      </c>
      <c r="CO241" s="1716">
        <f t="shared" si="461"/>
        <v>0</v>
      </c>
      <c r="CP241" s="1715">
        <v>28041</v>
      </c>
      <c r="CQ241" s="1716">
        <f t="shared" si="462"/>
        <v>1.4324018796283857E-2</v>
      </c>
      <c r="CR241" s="1715">
        <v>81734</v>
      </c>
      <c r="CS241" s="1716">
        <v>1.8510202080387825E-2</v>
      </c>
      <c r="CT241" s="1715">
        <v>0</v>
      </c>
      <c r="CU241" s="1716">
        <f t="shared" si="463"/>
        <v>0</v>
      </c>
      <c r="CV241" s="1715">
        <v>138580</v>
      </c>
      <c r="CW241" s="1716">
        <f t="shared" si="464"/>
        <v>2.027706328776091E-2</v>
      </c>
      <c r="CX241" s="1715">
        <v>40165</v>
      </c>
      <c r="CY241" s="1716">
        <f t="shared" si="464"/>
        <v>9.6094493915889513E-3</v>
      </c>
      <c r="CZ241" s="1715">
        <v>0</v>
      </c>
      <c r="DA241" s="1716">
        <v>0</v>
      </c>
      <c r="DB241" s="1715">
        <v>123995</v>
      </c>
      <c r="DC241" s="1716">
        <v>3.6851626693422818E-2</v>
      </c>
      <c r="DD241" s="1715">
        <v>43056</v>
      </c>
      <c r="DE241" s="1716">
        <v>3.4412919871031476E-2</v>
      </c>
      <c r="DF241" s="1715">
        <v>183146</v>
      </c>
      <c r="DG241" s="1716">
        <v>2.3723430699320872E-2</v>
      </c>
      <c r="DH241" s="1715">
        <v>43850</v>
      </c>
      <c r="DI241" s="1716">
        <v>1.9087167634083545E-2</v>
      </c>
      <c r="DJ241" s="1715">
        <v>1402</v>
      </c>
      <c r="DK241" s="1716">
        <v>7.0242874005727648E-4</v>
      </c>
      <c r="DL241" s="1715">
        <v>21832</v>
      </c>
      <c r="DM241" s="1716">
        <v>9.6488502655952997E-3</v>
      </c>
      <c r="DN241" s="1715">
        <v>44582</v>
      </c>
      <c r="DO241" s="1716">
        <f t="shared" si="465"/>
        <v>3.3654209078529007E-2</v>
      </c>
      <c r="DP241" s="1715">
        <v>5981</v>
      </c>
      <c r="DQ241" s="1716">
        <f t="shared" si="466"/>
        <v>9.6876027515966478E-3</v>
      </c>
      <c r="DR241" s="1715">
        <v>44839</v>
      </c>
      <c r="DS241" s="1716">
        <f t="shared" si="467"/>
        <v>2.3706326833157453E-2</v>
      </c>
      <c r="DT241" s="1715">
        <v>0</v>
      </c>
      <c r="DU241" s="1716">
        <f t="shared" si="468"/>
        <v>0</v>
      </c>
      <c r="DV241" s="1715">
        <v>10711</v>
      </c>
      <c r="DW241" s="1716">
        <f t="shared" si="469"/>
        <v>8.4366483403960357E-3</v>
      </c>
      <c r="DX241" s="1715"/>
      <c r="DY241" s="1716">
        <f t="shared" si="470"/>
        <v>0</v>
      </c>
      <c r="DZ241" s="1715">
        <v>112016</v>
      </c>
      <c r="EA241" s="1716">
        <f t="shared" si="471"/>
        <v>2.1191058726224711E-2</v>
      </c>
      <c r="EB241" s="1715">
        <v>61157</v>
      </c>
      <c r="EC241" s="1716">
        <f t="shared" si="472"/>
        <v>1.5832527343256502E-2</v>
      </c>
      <c r="ED241" s="1715"/>
      <c r="EE241" s="1716">
        <f t="shared" si="473"/>
        <v>0</v>
      </c>
      <c r="EF241" s="1715">
        <v>2976</v>
      </c>
      <c r="EG241" s="1716">
        <f t="shared" si="474"/>
        <v>1.5098758360506193E-3</v>
      </c>
      <c r="EH241" s="1715">
        <v>97904</v>
      </c>
      <c r="EI241" s="1716">
        <f t="shared" si="475"/>
        <v>1.0519508162708116E-2</v>
      </c>
      <c r="EJ241" s="1715">
        <v>98041</v>
      </c>
      <c r="EK241" s="1716">
        <f t="shared" si="476"/>
        <v>4.4436417003690762E-2</v>
      </c>
      <c r="EL241" s="1715">
        <v>218220</v>
      </c>
      <c r="EM241" s="1716">
        <f t="shared" si="477"/>
        <v>3.7096768983959583E-2</v>
      </c>
      <c r="EN241" s="1715">
        <v>64055</v>
      </c>
      <c r="EO241" s="1716">
        <f t="shared" si="478"/>
        <v>2.4603720883068277E-2</v>
      </c>
      <c r="EP241" s="1715">
        <v>0</v>
      </c>
      <c r="EQ241" s="1716">
        <f t="shared" si="479"/>
        <v>0</v>
      </c>
      <c r="ER241" s="1715">
        <v>18427</v>
      </c>
      <c r="ES241" s="1716">
        <f t="shared" si="480"/>
        <v>1.6846757316915966E-2</v>
      </c>
      <c r="ET241" s="1715">
        <v>89602</v>
      </c>
      <c r="EU241" s="1716">
        <f t="shared" si="481"/>
        <v>1.9400557796890653E-2</v>
      </c>
      <c r="EV241" s="1715">
        <v>55361</v>
      </c>
      <c r="EW241" s="1716">
        <f t="shared" si="482"/>
        <v>2.4809061955659083E-2</v>
      </c>
      <c r="EX241" s="1715">
        <f>4249+65190</f>
        <v>69439</v>
      </c>
      <c r="EY241" s="1716">
        <f t="shared" si="483"/>
        <v>4.5172156272931183E-2</v>
      </c>
      <c r="EZ241" s="1715">
        <v>55</v>
      </c>
      <c r="FA241" s="1716">
        <f t="shared" si="484"/>
        <v>2.7357249870177415E-5</v>
      </c>
      <c r="FB241" s="1715">
        <v>9819</v>
      </c>
      <c r="FC241" s="1716">
        <f t="shared" si="485"/>
        <v>7.8218414107514272E-3</v>
      </c>
      <c r="FD241" s="1715">
        <v>48090</v>
      </c>
      <c r="FE241" s="1716">
        <f t="shared" si="486"/>
        <v>2.3460470643677456E-2</v>
      </c>
      <c r="FF241" s="1715">
        <v>127702</v>
      </c>
      <c r="FG241" s="1716">
        <f t="shared" si="487"/>
        <v>3.7058360925951182E-2</v>
      </c>
      <c r="FH241" s="1715">
        <v>25183</v>
      </c>
      <c r="FI241" s="1716">
        <f t="shared" si="488"/>
        <v>1.6481484753824879E-2</v>
      </c>
      <c r="FJ241" s="1715">
        <v>34833</v>
      </c>
      <c r="FK241" s="1716">
        <f t="shared" si="489"/>
        <v>1.8469707357500427E-2</v>
      </c>
      <c r="FL241" s="1715">
        <v>0</v>
      </c>
      <c r="FM241" s="1716">
        <f t="shared" si="490"/>
        <v>0</v>
      </c>
      <c r="FN241" s="1715">
        <v>37967</v>
      </c>
      <c r="FO241" s="1716">
        <f t="shared" si="491"/>
        <v>8.0758874340365674E-3</v>
      </c>
      <c r="FP241" s="1715">
        <v>19397</v>
      </c>
      <c r="FQ241" s="1716">
        <f t="shared" si="492"/>
        <v>2.4395059865177583E-2</v>
      </c>
      <c r="FR241" s="1715">
        <v>2829</v>
      </c>
      <c r="FS241" s="1716">
        <f t="shared" si="493"/>
        <v>4.6198541047134272E-4</v>
      </c>
      <c r="FT241" s="1715">
        <v>100389</v>
      </c>
      <c r="FU241" s="1716">
        <f t="shared" si="494"/>
        <v>2.1283195033942361E-2</v>
      </c>
      <c r="FV241" s="1715">
        <v>0</v>
      </c>
      <c r="FW241" s="1716">
        <f t="shared" si="495"/>
        <v>0</v>
      </c>
      <c r="FX241" s="1715">
        <v>99932</v>
      </c>
      <c r="FY241" s="1716">
        <f t="shared" si="496"/>
        <v>5.7284232562565422E-2</v>
      </c>
      <c r="FZ241" s="1715">
        <v>82772</v>
      </c>
      <c r="GA241" s="1716">
        <f t="shared" si="497"/>
        <v>5.2791733130428849E-2</v>
      </c>
      <c r="GB241" s="1715">
        <v>17875</v>
      </c>
      <c r="GC241" s="1716">
        <f t="shared" si="498"/>
        <v>2.5112038324833875E-2</v>
      </c>
      <c r="GD241" s="1715">
        <v>15256</v>
      </c>
      <c r="GE241" s="1716">
        <f t="shared" si="499"/>
        <v>4.0781150426202582E-3</v>
      </c>
      <c r="GF241" s="1715">
        <v>59478</v>
      </c>
      <c r="GG241" s="1716">
        <f t="shared" si="500"/>
        <v>2.546511359072744E-2</v>
      </c>
      <c r="GH241" s="1715">
        <v>20413</v>
      </c>
      <c r="GI241" s="1716">
        <f t="shared" si="501"/>
        <v>1.6370081076529507E-2</v>
      </c>
      <c r="GJ241" s="1715">
        <v>0</v>
      </c>
      <c r="GK241" s="1716">
        <f t="shared" si="502"/>
        <v>0</v>
      </c>
      <c r="GL241" s="1715">
        <v>31158</v>
      </c>
      <c r="GM241" s="1716">
        <f t="shared" si="503"/>
        <v>1.4358611364952877E-2</v>
      </c>
      <c r="GN241" s="1715">
        <v>20980</v>
      </c>
      <c r="GO241" s="1716">
        <f t="shared" si="504"/>
        <v>1.6441027023468821E-2</v>
      </c>
      <c r="GP241" s="1715">
        <v>85770</v>
      </c>
      <c r="GQ241" s="1716">
        <f t="shared" si="505"/>
        <v>4.5870431140337745E-2</v>
      </c>
      <c r="GR241" s="1715">
        <v>44371</v>
      </c>
      <c r="GS241" s="1716">
        <f t="shared" si="506"/>
        <v>2.6987623804530559E-2</v>
      </c>
      <c r="GT241" s="1715">
        <v>51405</v>
      </c>
      <c r="GU241" s="1716">
        <f t="shared" si="507"/>
        <v>1.9412339155713356E-2</v>
      </c>
      <c r="GV241" s="1715">
        <v>13879</v>
      </c>
      <c r="GW241" s="1716">
        <f t="shared" si="508"/>
        <v>4.2225132761670933E-3</v>
      </c>
      <c r="GX241" s="1715">
        <v>0</v>
      </c>
      <c r="GY241" s="1716">
        <f t="shared" si="509"/>
        <v>0</v>
      </c>
      <c r="GZ241" s="1715"/>
      <c r="HA241" s="1716">
        <f t="shared" si="510"/>
        <v>0</v>
      </c>
      <c r="HB241" s="1715">
        <v>7145</v>
      </c>
      <c r="HC241" s="1716">
        <f t="shared" si="511"/>
        <v>1.5630332251205362E-2</v>
      </c>
      <c r="HD241" s="1715">
        <v>-617</v>
      </c>
      <c r="HE241" s="1716">
        <f t="shared" si="512"/>
        <v>-3.7746006692727929E-4</v>
      </c>
      <c r="HF241" s="2032">
        <v>219234</v>
      </c>
      <c r="HG241" s="2033">
        <f t="shared" si="513"/>
        <v>2.7964215946697655E-2</v>
      </c>
      <c r="HH241" s="1715">
        <v>0</v>
      </c>
      <c r="HI241" s="1716">
        <f t="shared" si="514"/>
        <v>0</v>
      </c>
      <c r="HJ241" s="1715">
        <v>0</v>
      </c>
      <c r="HK241" s="1716">
        <f t="shared" si="515"/>
        <v>0</v>
      </c>
      <c r="HL241" s="1715"/>
      <c r="HM241" s="1716">
        <f t="shared" si="516"/>
        <v>0</v>
      </c>
      <c r="HN241" s="1715">
        <v>19197</v>
      </c>
      <c r="HO241" s="1716">
        <f t="shared" si="517"/>
        <v>1.455392084765577E-2</v>
      </c>
      <c r="HP241" s="2032">
        <v>134215</v>
      </c>
      <c r="HQ241" s="2033">
        <f t="shared" si="518"/>
        <v>2.1307086529171411E-2</v>
      </c>
      <c r="HR241" s="1715">
        <v>0</v>
      </c>
      <c r="HS241" s="1716">
        <f t="shared" si="519"/>
        <v>0</v>
      </c>
      <c r="HT241" s="2032">
        <v>112637</v>
      </c>
      <c r="HU241" s="2033">
        <f t="shared" si="520"/>
        <v>2.9014054829884346E-2</v>
      </c>
      <c r="HV241" s="2032">
        <v>26161</v>
      </c>
      <c r="HW241" s="2033">
        <f t="shared" si="521"/>
        <v>1.2697381896050469E-2</v>
      </c>
      <c r="HX241" s="2032">
        <v>73801</v>
      </c>
      <c r="HY241" s="2033">
        <f t="shared" si="522"/>
        <v>3.6049744064939458E-2</v>
      </c>
      <c r="HZ241" s="2032">
        <v>21345</v>
      </c>
      <c r="IA241" s="2033">
        <f t="shared" si="523"/>
        <v>1.2439862342680472E-2</v>
      </c>
      <c r="IB241" s="1715">
        <v>25529</v>
      </c>
      <c r="IC241" s="1716">
        <f t="shared" si="524"/>
        <v>1.808522847220943E-2</v>
      </c>
      <c r="ID241" s="2032">
        <v>35635</v>
      </c>
      <c r="IE241" s="2033">
        <f t="shared" si="525"/>
        <v>1.7932645516863781E-2</v>
      </c>
      <c r="IF241" s="2032">
        <v>92238</v>
      </c>
      <c r="IG241" s="2033">
        <f t="shared" si="526"/>
        <v>3.6092530984920164E-2</v>
      </c>
    </row>
    <row r="242" spans="1:241">
      <c r="A242" s="1149"/>
      <c r="B242" s="1149"/>
      <c r="C242" s="1149"/>
      <c r="D242" s="1149" t="s">
        <v>70</v>
      </c>
      <c r="E242" s="1143"/>
      <c r="F242" s="1715">
        <v>20459</v>
      </c>
      <c r="G242" s="1716">
        <f t="shared" si="422"/>
        <v>1.1611138384179476E-2</v>
      </c>
      <c r="H242" s="1715">
        <v>6639</v>
      </c>
      <c r="I242" s="1716">
        <f t="shared" si="423"/>
        <v>2.5871088795234951E-3</v>
      </c>
      <c r="J242" s="1715">
        <v>86865</v>
      </c>
      <c r="K242" s="1716">
        <f t="shared" si="424"/>
        <v>6.8319957465684686E-2</v>
      </c>
      <c r="L242" s="1715">
        <v>92207</v>
      </c>
      <c r="M242" s="1716">
        <f t="shared" si="425"/>
        <v>8.4469663310428097E-3</v>
      </c>
      <c r="N242" s="1715">
        <v>30078</v>
      </c>
      <c r="O242" s="1716">
        <f t="shared" si="426"/>
        <v>2.1086415183228454E-2</v>
      </c>
      <c r="P242" s="1715">
        <v>64732</v>
      </c>
      <c r="Q242" s="1716">
        <f t="shared" si="427"/>
        <v>9.9265522237366229E-3</v>
      </c>
      <c r="R242" s="1715">
        <v>18113</v>
      </c>
      <c r="S242" s="1716">
        <f t="shared" si="428"/>
        <v>3.8819216851822165E-3</v>
      </c>
      <c r="T242" s="1715">
        <v>33205</v>
      </c>
      <c r="U242" s="1716">
        <f t="shared" si="429"/>
        <v>1.016507805114591E-2</v>
      </c>
      <c r="V242" s="1715">
        <v>7135</v>
      </c>
      <c r="W242" s="1716">
        <f t="shared" si="430"/>
        <v>4.8412990287546699E-3</v>
      </c>
      <c r="X242" s="1715">
        <v>126195</v>
      </c>
      <c r="Y242" s="1716">
        <f t="shared" si="431"/>
        <v>1.3417012595480393E-2</v>
      </c>
      <c r="Z242" s="1786">
        <v>2137</v>
      </c>
      <c r="AA242" s="1716">
        <f t="shared" si="432"/>
        <v>6.9807218399575602E-4</v>
      </c>
      <c r="AB242" s="1715">
        <v>25207</v>
      </c>
      <c r="AC242" s="1716">
        <f t="shared" si="433"/>
        <v>2.2161733973031734E-2</v>
      </c>
      <c r="AD242" s="1715">
        <v>43728</v>
      </c>
      <c r="AE242" s="1716">
        <f t="shared" si="434"/>
        <v>8.5661947567318621E-3</v>
      </c>
      <c r="AF242" s="1715">
        <v>8449</v>
      </c>
      <c r="AG242" s="1716">
        <f t="shared" si="435"/>
        <v>2.4043975232628093E-3</v>
      </c>
      <c r="AH242" s="1715">
        <v>5541</v>
      </c>
      <c r="AI242" s="1716">
        <f t="shared" si="436"/>
        <v>3.0146078724735455E-3</v>
      </c>
      <c r="AJ242" s="1715">
        <v>8695</v>
      </c>
      <c r="AK242" s="1716">
        <f t="shared" si="437"/>
        <v>5.2108210084481823E-3</v>
      </c>
      <c r="AL242" s="1715">
        <v>21055</v>
      </c>
      <c r="AM242" s="1716">
        <f t="shared" si="438"/>
        <v>4.9935549818744982E-3</v>
      </c>
      <c r="AN242" s="1715">
        <v>11154</v>
      </c>
      <c r="AO242" s="1716">
        <f t="shared" si="439"/>
        <v>6.0266807869157162E-3</v>
      </c>
      <c r="AP242" s="1715">
        <v>9617</v>
      </c>
      <c r="AQ242" s="1716">
        <f t="shared" si="440"/>
        <v>4.8831263788853144E-3</v>
      </c>
      <c r="AR242" s="1715">
        <v>35805</v>
      </c>
      <c r="AS242" s="1716">
        <f t="shared" si="441"/>
        <v>1.0569039694780421E-2</v>
      </c>
      <c r="AT242" s="1715">
        <v>1708</v>
      </c>
      <c r="AU242" s="1716">
        <f t="shared" si="442"/>
        <v>3.4042695679228517E-4</v>
      </c>
      <c r="AV242" s="1715">
        <v>10409</v>
      </c>
      <c r="AW242" s="1716">
        <f t="shared" si="443"/>
        <v>4.8461378018302562E-3</v>
      </c>
      <c r="AX242" s="1715">
        <v>33890</v>
      </c>
      <c r="AY242" s="1716">
        <f t="shared" si="444"/>
        <v>5.7894521955075282E-3</v>
      </c>
      <c r="AZ242" s="1715">
        <v>31714</v>
      </c>
      <c r="BA242" s="1716">
        <f t="shared" si="445"/>
        <v>1.2203451398025145E-2</v>
      </c>
      <c r="BB242" s="1715">
        <v>108621</v>
      </c>
      <c r="BC242" s="1716">
        <f t="shared" si="446"/>
        <v>4.3750893678895883E-2</v>
      </c>
      <c r="BD242" s="1786">
        <v>7807</v>
      </c>
      <c r="BE242" s="1716">
        <f t="shared" si="447"/>
        <v>2.3997393391879556E-3</v>
      </c>
      <c r="BF242" s="1715">
        <v>0</v>
      </c>
      <c r="BG242" s="1716">
        <f t="shared" si="448"/>
        <v>0</v>
      </c>
      <c r="BH242" s="1715">
        <v>38051</v>
      </c>
      <c r="BI242" s="1716">
        <f t="shared" si="449"/>
        <v>1.8494944766943088E-2</v>
      </c>
      <c r="BJ242" s="1715">
        <v>8139</v>
      </c>
      <c r="BK242" s="1716">
        <f t="shared" si="450"/>
        <v>2.3514585456839944E-3</v>
      </c>
      <c r="BL242" s="1715">
        <v>0</v>
      </c>
      <c r="BM242" s="1716">
        <f t="shared" si="451"/>
        <v>0</v>
      </c>
      <c r="BN242" s="1715"/>
      <c r="BO242" s="1716" t="e">
        <f t="shared" si="452"/>
        <v>#DIV/0!</v>
      </c>
      <c r="BP242" s="1715">
        <v>88473</v>
      </c>
      <c r="BQ242" s="1716">
        <f t="shared" si="453"/>
        <v>2.4751133234466441E-2</v>
      </c>
      <c r="BR242" s="1715">
        <v>2907</v>
      </c>
      <c r="BS242" s="1716">
        <f t="shared" si="454"/>
        <v>5.2824867483541064E-3</v>
      </c>
      <c r="BT242" s="1715"/>
      <c r="BU242" s="1716">
        <f t="shared" si="455"/>
        <v>0</v>
      </c>
      <c r="BV242" s="1715">
        <v>11952</v>
      </c>
      <c r="BW242" s="1716">
        <f t="shared" si="456"/>
        <v>7.5995195618322525E-3</v>
      </c>
      <c r="BX242" s="1715">
        <v>185189</v>
      </c>
      <c r="BY242" s="1716">
        <f t="shared" si="457"/>
        <v>3.5365871358359294E-2</v>
      </c>
      <c r="BZ242" s="1715">
        <v>15483</v>
      </c>
      <c r="CA242" s="1716">
        <f t="shared" si="458"/>
        <v>3.5785348923908695E-3</v>
      </c>
      <c r="CB242" s="1715">
        <v>22249</v>
      </c>
      <c r="CC242" s="1716">
        <f t="shared" si="459"/>
        <v>1.6216578680180848E-2</v>
      </c>
      <c r="CD242" s="1715">
        <f t="shared" si="527"/>
        <v>0</v>
      </c>
      <c r="CE242" s="1716">
        <f t="shared" si="460"/>
        <v>0</v>
      </c>
      <c r="CF242" s="1715">
        <v>0</v>
      </c>
      <c r="CG242" s="1716">
        <v>0</v>
      </c>
      <c r="CH242" s="1715">
        <v>81985</v>
      </c>
      <c r="CI242" s="1716">
        <v>4.4078644236926277E-2</v>
      </c>
      <c r="CJ242" s="1715">
        <v>11560</v>
      </c>
      <c r="CK242" s="1716">
        <v>6.5909242516934852E-3</v>
      </c>
      <c r="CL242" s="1715">
        <v>148990</v>
      </c>
      <c r="CM242" s="1716">
        <v>1.9859126694270483E-2</v>
      </c>
      <c r="CN242" s="1715">
        <v>20642</v>
      </c>
      <c r="CO242" s="1716">
        <f t="shared" si="461"/>
        <v>6.1061973080905191E-3</v>
      </c>
      <c r="CP242" s="1715">
        <v>9196</v>
      </c>
      <c r="CQ242" s="1716">
        <f t="shared" si="462"/>
        <v>4.6975384918735543E-3</v>
      </c>
      <c r="CR242" s="1715">
        <v>14217</v>
      </c>
      <c r="CS242" s="1716">
        <v>3.2197071350585273E-3</v>
      </c>
      <c r="CT242" s="1715">
        <v>0</v>
      </c>
      <c r="CU242" s="1716">
        <f t="shared" si="463"/>
        <v>0</v>
      </c>
      <c r="CV242" s="1715">
        <v>139712</v>
      </c>
      <c r="CW242" s="1716">
        <f t="shared" si="464"/>
        <v>2.0442697835615906E-2</v>
      </c>
      <c r="CX242" s="1715">
        <v>10735</v>
      </c>
      <c r="CY242" s="1716">
        <f t="shared" si="464"/>
        <v>2.5683415714853079E-3</v>
      </c>
      <c r="CZ242" s="1715">
        <v>14821</v>
      </c>
      <c r="DA242" s="1716">
        <v>1.5248789541805821E-2</v>
      </c>
      <c r="DB242" s="1715">
        <v>17578</v>
      </c>
      <c r="DC242" s="1716">
        <v>5.2242259286018498E-3</v>
      </c>
      <c r="DD242" s="1715">
        <v>6240</v>
      </c>
      <c r="DE242" s="1716">
        <v>4.987379691453837E-3</v>
      </c>
      <c r="DF242" s="1715">
        <v>118352</v>
      </c>
      <c r="DG242" s="1716">
        <v>1.5330476614973975E-2</v>
      </c>
      <c r="DH242" s="1715">
        <v>3288</v>
      </c>
      <c r="DI242" s="1716">
        <v>1.4312111101679975E-3</v>
      </c>
      <c r="DJ242" s="1715">
        <v>4151</v>
      </c>
      <c r="DK242" s="1716">
        <v>2.0797301711681562E-3</v>
      </c>
      <c r="DL242" s="1715">
        <v>18857</v>
      </c>
      <c r="DM242" s="1716">
        <v>8.3340220528733307E-3</v>
      </c>
      <c r="DN242" s="1715">
        <v>1838</v>
      </c>
      <c r="DO242" s="1716">
        <f t="shared" si="465"/>
        <v>1.3874755795239403E-3</v>
      </c>
      <c r="DP242" s="1715">
        <v>9848</v>
      </c>
      <c r="DQ242" s="1716">
        <f t="shared" si="466"/>
        <v>1.5951097123846146E-2</v>
      </c>
      <c r="DR242" s="1715">
        <v>43977</v>
      </c>
      <c r="DS242" s="1716">
        <f t="shared" si="467"/>
        <v>2.325058844179766E-2</v>
      </c>
      <c r="DT242" s="1715">
        <v>4446</v>
      </c>
      <c r="DU242" s="1716">
        <f t="shared" si="468"/>
        <v>1.1223253895448549E-3</v>
      </c>
      <c r="DV242" s="1715">
        <v>8505</v>
      </c>
      <c r="DW242" s="1716">
        <f t="shared" si="469"/>
        <v>6.6990658327950973E-3</v>
      </c>
      <c r="DX242" s="1715">
        <v>81911</v>
      </c>
      <c r="DY242" s="1716">
        <f t="shared" si="470"/>
        <v>2.5641635672836633E-2</v>
      </c>
      <c r="DZ242" s="1715">
        <v>58458</v>
      </c>
      <c r="EA242" s="1716">
        <f t="shared" si="471"/>
        <v>1.1059017560148944E-2</v>
      </c>
      <c r="EB242" s="1715">
        <v>27545</v>
      </c>
      <c r="EC242" s="1716">
        <f t="shared" si="472"/>
        <v>7.130941113363971E-3</v>
      </c>
      <c r="ED242" s="1715">
        <v>13281</v>
      </c>
      <c r="EE242" s="1716">
        <f t="shared" si="473"/>
        <v>9.913361652958445E-3</v>
      </c>
      <c r="EF242" s="1715">
        <v>15421</v>
      </c>
      <c r="EG242" s="1716">
        <f t="shared" si="474"/>
        <v>7.8238559367394492E-3</v>
      </c>
      <c r="EH242" s="1715">
        <v>59028</v>
      </c>
      <c r="EI242" s="1716">
        <f t="shared" si="475"/>
        <v>6.3423918106342405E-3</v>
      </c>
      <c r="EJ242" s="1715">
        <v>26140</v>
      </c>
      <c r="EK242" s="1716">
        <f t="shared" si="476"/>
        <v>1.1847777363312047E-2</v>
      </c>
      <c r="EL242" s="1715">
        <v>48396</v>
      </c>
      <c r="EM242" s="1716">
        <f t="shared" si="477"/>
        <v>8.2271800556672527E-3</v>
      </c>
      <c r="EN242" s="1715">
        <v>15041</v>
      </c>
      <c r="EO242" s="1716">
        <f t="shared" si="478"/>
        <v>5.7772939786469432E-3</v>
      </c>
      <c r="EP242" s="1715">
        <v>13656</v>
      </c>
      <c r="EQ242" s="1716">
        <f t="shared" si="479"/>
        <v>4.950076937158019E-3</v>
      </c>
      <c r="ER242" s="1715">
        <v>0</v>
      </c>
      <c r="ES242" s="1716">
        <f t="shared" si="480"/>
        <v>0</v>
      </c>
      <c r="ET242" s="1715">
        <v>11018</v>
      </c>
      <c r="EU242" s="1716">
        <f t="shared" si="481"/>
        <v>2.3856090913834649E-3</v>
      </c>
      <c r="EV242" s="1715">
        <v>26571</v>
      </c>
      <c r="EW242" s="1716">
        <f t="shared" si="482"/>
        <v>1.1907327996673064E-2</v>
      </c>
      <c r="EX242" s="1715">
        <f>15192+16350+8831+2916</f>
        <v>43289</v>
      </c>
      <c r="EY242" s="1716">
        <f t="shared" si="483"/>
        <v>2.8160795416105042E-2</v>
      </c>
      <c r="EZ242" s="1715">
        <v>18025</v>
      </c>
      <c r="FA242" s="1716">
        <f t="shared" si="484"/>
        <v>8.9657168892717798E-3</v>
      </c>
      <c r="FB242" s="1715">
        <v>0</v>
      </c>
      <c r="FC242" s="1716">
        <f t="shared" si="485"/>
        <v>0</v>
      </c>
      <c r="FD242" s="1715">
        <v>9497</v>
      </c>
      <c r="FE242" s="1716">
        <f t="shared" si="486"/>
        <v>4.6330648721772671E-3</v>
      </c>
      <c r="FF242" s="1715">
        <v>0</v>
      </c>
      <c r="FG242" s="1716">
        <f t="shared" si="487"/>
        <v>0</v>
      </c>
      <c r="FH242" s="1715">
        <v>6429</v>
      </c>
      <c r="FI242" s="1716">
        <f t="shared" si="488"/>
        <v>4.2075791399888872E-3</v>
      </c>
      <c r="FJ242" s="1715">
        <v>15376</v>
      </c>
      <c r="FK242" s="1716">
        <f t="shared" si="489"/>
        <v>8.1529073099912888E-3</v>
      </c>
      <c r="FL242" s="1715">
        <v>73884</v>
      </c>
      <c r="FM242" s="1716">
        <f t="shared" si="490"/>
        <v>5.4967202247968416E-2</v>
      </c>
      <c r="FN242" s="1715">
        <v>95374</v>
      </c>
      <c r="FO242" s="1716">
        <f t="shared" si="491"/>
        <v>2.0286819820733888E-2</v>
      </c>
      <c r="FP242" s="1715" t="s">
        <v>1414</v>
      </c>
      <c r="FQ242" s="1716">
        <f t="shared" si="492"/>
        <v>0</v>
      </c>
      <c r="FR242" s="1715">
        <v>81071</v>
      </c>
      <c r="FS242" s="1716">
        <f t="shared" si="493"/>
        <v>1.3239172574168337E-2</v>
      </c>
      <c r="FT242" s="1715">
        <v>15277</v>
      </c>
      <c r="FU242" s="1716">
        <f t="shared" si="494"/>
        <v>3.2388346385912544E-3</v>
      </c>
      <c r="FV242" s="1715">
        <v>110048</v>
      </c>
      <c r="FW242" s="1716">
        <f t="shared" si="495"/>
        <v>1.7516228471797884E-2</v>
      </c>
      <c r="FX242" s="1715"/>
      <c r="FY242" s="1716">
        <f t="shared" si="496"/>
        <v>0</v>
      </c>
      <c r="FZ242" s="1715">
        <v>6918</v>
      </c>
      <c r="GA242" s="1716">
        <f t="shared" si="497"/>
        <v>4.4122796331646785E-3</v>
      </c>
      <c r="GB242" s="1715">
        <v>4993</v>
      </c>
      <c r="GC242" s="1716">
        <f t="shared" si="498"/>
        <v>7.0145122996305197E-3</v>
      </c>
      <c r="GD242" s="1715">
        <v>33731</v>
      </c>
      <c r="GE242" s="1716">
        <f t="shared" si="499"/>
        <v>9.0167080822380653E-3</v>
      </c>
      <c r="GF242" s="1715">
        <v>7189</v>
      </c>
      <c r="GG242" s="1716">
        <f t="shared" si="500"/>
        <v>3.0779229564501091E-3</v>
      </c>
      <c r="GH242" s="1715">
        <v>2441</v>
      </c>
      <c r="GI242" s="1716">
        <f t="shared" si="501"/>
        <v>1.9575450892964546E-3</v>
      </c>
      <c r="GJ242" s="1715">
        <v>65191</v>
      </c>
      <c r="GK242" s="1716">
        <f t="shared" si="502"/>
        <v>5.4110855414011413E-3</v>
      </c>
      <c r="GL242" s="1715">
        <v>3450</v>
      </c>
      <c r="GM242" s="1716">
        <f t="shared" si="503"/>
        <v>1.5898712757265365E-3</v>
      </c>
      <c r="GN242" s="1715">
        <v>2699</v>
      </c>
      <c r="GO242" s="1716">
        <f t="shared" si="504"/>
        <v>2.1150777853356697E-3</v>
      </c>
      <c r="GP242" s="1715">
        <v>19224</v>
      </c>
      <c r="GQ242" s="1716">
        <f t="shared" si="505"/>
        <v>1.0281137556743066E-2</v>
      </c>
      <c r="GR242" s="1715">
        <v>2051</v>
      </c>
      <c r="GS242" s="1716">
        <f t="shared" si="506"/>
        <v>1.2474728183519005E-3</v>
      </c>
      <c r="GT242" s="1715">
        <v>2817</v>
      </c>
      <c r="GU242" s="1716">
        <f t="shared" si="507"/>
        <v>1.0637984515444903E-3</v>
      </c>
      <c r="GV242" s="1715">
        <v>61777</v>
      </c>
      <c r="GW242" s="1716">
        <f t="shared" si="508"/>
        <v>1.8794884549446972E-2</v>
      </c>
      <c r="GX242" s="1715">
        <v>6658</v>
      </c>
      <c r="GY242" s="1716">
        <f t="shared" si="509"/>
        <v>3.5072729293630597E-3</v>
      </c>
      <c r="GZ242" s="1715">
        <v>142933</v>
      </c>
      <c r="HA242" s="1716">
        <f t="shared" si="510"/>
        <v>3.412334471947967E-2</v>
      </c>
      <c r="HB242" s="1715">
        <v>0</v>
      </c>
      <c r="HC242" s="1716">
        <f t="shared" si="511"/>
        <v>0</v>
      </c>
      <c r="HD242" s="1715">
        <v>43955</v>
      </c>
      <c r="HE242" s="1716">
        <f t="shared" si="512"/>
        <v>2.6890206226561686E-2</v>
      </c>
      <c r="HF242" s="2032">
        <v>53917</v>
      </c>
      <c r="HG242" s="2033">
        <f t="shared" si="513"/>
        <v>6.8773394236208681E-3</v>
      </c>
      <c r="HH242" s="1715">
        <v>26407</v>
      </c>
      <c r="HI242" s="1716">
        <f t="shared" si="514"/>
        <v>8.7483211982553044E-3</v>
      </c>
      <c r="HJ242" s="1715">
        <v>22966</v>
      </c>
      <c r="HK242" s="1716">
        <f t="shared" si="515"/>
        <v>3.8287999914641399E-3</v>
      </c>
      <c r="HL242" s="1715">
        <v>5448</v>
      </c>
      <c r="HM242" s="1716">
        <f t="shared" si="516"/>
        <v>2.822036123927168E-3</v>
      </c>
      <c r="HN242" s="1715">
        <v>16745</v>
      </c>
      <c r="HO242" s="1716">
        <f t="shared" si="517"/>
        <v>1.2694973412199608E-2</v>
      </c>
      <c r="HP242" s="2032">
        <v>90237</v>
      </c>
      <c r="HQ242" s="2033">
        <f t="shared" si="518"/>
        <v>1.4325429848622291E-2</v>
      </c>
      <c r="HR242" s="1715">
        <v>5906</v>
      </c>
      <c r="HS242" s="1716">
        <f t="shared" si="519"/>
        <v>3.0877558403861315E-3</v>
      </c>
      <c r="HT242" s="2032">
        <v>45431</v>
      </c>
      <c r="HU242" s="2033">
        <f t="shared" si="520"/>
        <v>1.1702526922560755E-2</v>
      </c>
      <c r="HV242" s="2032">
        <v>65564</v>
      </c>
      <c r="HW242" s="2033">
        <f t="shared" si="521"/>
        <v>3.1821839632760709E-2</v>
      </c>
      <c r="HX242" s="2032">
        <v>8781</v>
      </c>
      <c r="HY242" s="2033">
        <f t="shared" si="522"/>
        <v>4.2892752487667298E-3</v>
      </c>
      <c r="HZ242" s="2032">
        <v>52865</v>
      </c>
      <c r="IA242" s="2033">
        <f t="shared" si="523"/>
        <v>3.0809712941944394E-2</v>
      </c>
      <c r="IB242" s="1715">
        <v>3897</v>
      </c>
      <c r="IC242" s="1716">
        <f t="shared" si="524"/>
        <v>2.7607088157076327E-3</v>
      </c>
      <c r="ID242" s="2032">
        <v>14173</v>
      </c>
      <c r="IE242" s="2033">
        <f t="shared" si="525"/>
        <v>7.132296475670279E-3</v>
      </c>
      <c r="IF242" s="2032">
        <v>2353</v>
      </c>
      <c r="IG242" s="2033">
        <f t="shared" si="526"/>
        <v>9.2072383841277066E-4</v>
      </c>
    </row>
    <row r="243" spans="1:241">
      <c r="A243" s="1149"/>
      <c r="B243" s="1149"/>
      <c r="C243" s="1149"/>
      <c r="D243" s="1149" t="s">
        <v>1261</v>
      </c>
      <c r="E243" s="1149"/>
      <c r="F243" s="1724">
        <v>312886</v>
      </c>
      <c r="G243" s="1716">
        <f t="shared" si="422"/>
        <v>0.17757283564555354</v>
      </c>
      <c r="H243" s="1724">
        <v>439385</v>
      </c>
      <c r="I243" s="1716">
        <f t="shared" si="423"/>
        <v>0.17122109278949102</v>
      </c>
      <c r="J243" s="1724">
        <v>144324</v>
      </c>
      <c r="K243" s="1716">
        <f t="shared" si="424"/>
        <v>0.11351188097942182</v>
      </c>
      <c r="L243" s="1724">
        <v>2369535</v>
      </c>
      <c r="M243" s="1716">
        <f t="shared" si="425"/>
        <v>0.21707009625329449</v>
      </c>
      <c r="N243" s="1724">
        <v>321942</v>
      </c>
      <c r="O243" s="1716">
        <f t="shared" si="426"/>
        <v>0.22569993606353267</v>
      </c>
      <c r="P243" s="1724">
        <v>671145</v>
      </c>
      <c r="Q243" s="1716">
        <f t="shared" si="427"/>
        <v>0.10291904919050417</v>
      </c>
      <c r="R243" s="1724">
        <v>583650</v>
      </c>
      <c r="S243" s="1716">
        <f t="shared" si="428"/>
        <v>0.12508604822815661</v>
      </c>
      <c r="T243" s="1724">
        <v>285828</v>
      </c>
      <c r="U243" s="1716">
        <f t="shared" si="429"/>
        <v>8.7500795940458759E-2</v>
      </c>
      <c r="V243" s="1724">
        <v>243456</v>
      </c>
      <c r="W243" s="1716">
        <f t="shared" si="430"/>
        <v>0.16519177243791128</v>
      </c>
      <c r="X243" s="1724">
        <f>10431260-6258727-3451701</f>
        <v>720832</v>
      </c>
      <c r="Y243" s="1716">
        <f t="shared" si="431"/>
        <v>7.6638630874641012E-2</v>
      </c>
      <c r="Z243" s="1790">
        <v>285144</v>
      </c>
      <c r="AA243" s="1716">
        <f t="shared" si="432"/>
        <v>9.3145107549502046E-2</v>
      </c>
      <c r="AB243" s="1724">
        <v>187849</v>
      </c>
      <c r="AC243" s="1716">
        <f t="shared" si="433"/>
        <v>0.16515490003173874</v>
      </c>
      <c r="AD243" s="1724">
        <v>679177</v>
      </c>
      <c r="AE243" s="1716">
        <f t="shared" si="434"/>
        <v>0.13304890359250082</v>
      </c>
      <c r="AF243" s="1724">
        <v>367165</v>
      </c>
      <c r="AG243" s="1716">
        <f t="shared" si="435"/>
        <v>0.10448699451163325</v>
      </c>
      <c r="AH243" s="1724">
        <v>223523</v>
      </c>
      <c r="AI243" s="1716">
        <f t="shared" si="436"/>
        <v>0.12160877016403253</v>
      </c>
      <c r="AJ243" s="1724">
        <v>92998</v>
      </c>
      <c r="AK243" s="1716">
        <f t="shared" si="437"/>
        <v>5.5732712149932612E-2</v>
      </c>
      <c r="AL243" s="1724">
        <v>208542</v>
      </c>
      <c r="AM243" s="1716">
        <f t="shared" si="438"/>
        <v>4.9459318120639827E-2</v>
      </c>
      <c r="AN243" s="1724">
        <v>570824</v>
      </c>
      <c r="AO243" s="1716">
        <f t="shared" si="439"/>
        <v>0.30842514196793769</v>
      </c>
      <c r="AP243" s="1724">
        <v>645962</v>
      </c>
      <c r="AQ243" s="1716">
        <f t="shared" si="440"/>
        <v>0.32799356160523196</v>
      </c>
      <c r="AR243" s="1724">
        <v>820717</v>
      </c>
      <c r="AS243" s="1716">
        <f t="shared" si="441"/>
        <v>0.24226198997852541</v>
      </c>
      <c r="AT243" s="1724">
        <v>341945</v>
      </c>
      <c r="AU243" s="1716">
        <f t="shared" si="442"/>
        <v>6.8154154414717769E-2</v>
      </c>
      <c r="AV243" s="1724">
        <v>355778</v>
      </c>
      <c r="AW243" s="1716">
        <f t="shared" si="443"/>
        <v>0.16564023584009654</v>
      </c>
      <c r="AX243" s="1724">
        <v>479586</v>
      </c>
      <c r="AY243" s="1716">
        <f t="shared" si="444"/>
        <v>8.1928008870896241E-2</v>
      </c>
      <c r="AZ243" s="1724">
        <v>381462</v>
      </c>
      <c r="BA243" s="1716">
        <f t="shared" si="445"/>
        <v>0.14678542527569741</v>
      </c>
      <c r="BB243" s="1724">
        <v>351184</v>
      </c>
      <c r="BC243" s="1716">
        <f t="shared" si="446"/>
        <v>0.14145159633707452</v>
      </c>
      <c r="BD243" s="1790">
        <v>408299</v>
      </c>
      <c r="BE243" s="1716">
        <f t="shared" si="447"/>
        <v>0.12550418501999527</v>
      </c>
      <c r="BF243" s="1724">
        <v>182079</v>
      </c>
      <c r="BG243" s="1716">
        <f t="shared" si="448"/>
        <v>0.12859903408938417</v>
      </c>
      <c r="BH243" s="1724">
        <v>271295</v>
      </c>
      <c r="BI243" s="1716">
        <f t="shared" si="449"/>
        <v>0.13186476151869397</v>
      </c>
      <c r="BJ243" s="1724">
        <v>364128</v>
      </c>
      <c r="BK243" s="1716">
        <f t="shared" si="450"/>
        <v>0.10520111774454129</v>
      </c>
      <c r="BL243" s="1724">
        <v>404091</v>
      </c>
      <c r="BM243" s="1716">
        <f t="shared" si="451"/>
        <v>0.10562581750087044</v>
      </c>
      <c r="BN243" s="1724"/>
      <c r="BO243" s="1716" t="e">
        <f t="shared" si="452"/>
        <v>#DIV/0!</v>
      </c>
      <c r="BP243" s="1724">
        <v>312179</v>
      </c>
      <c r="BQ243" s="1716">
        <f t="shared" si="453"/>
        <v>8.7334938591462921E-2</v>
      </c>
      <c r="BR243" s="1724">
        <f>98680-BR241-BR242</f>
        <v>81304</v>
      </c>
      <c r="BS243" s="1716">
        <f t="shared" si="454"/>
        <v>0.14774245015073351</v>
      </c>
      <c r="BT243" s="1724">
        <v>267695</v>
      </c>
      <c r="BU243" s="1716">
        <f t="shared" si="455"/>
        <v>0.18254080821333057</v>
      </c>
      <c r="BV243" s="1724">
        <v>189599</v>
      </c>
      <c r="BW243" s="1716">
        <f t="shared" si="456"/>
        <v>0.12055399175065538</v>
      </c>
      <c r="BX243" s="1724">
        <v>424972</v>
      </c>
      <c r="BY243" s="1716">
        <f t="shared" si="457"/>
        <v>8.1157655599979839E-2</v>
      </c>
      <c r="BZ243" s="1724">
        <v>335994</v>
      </c>
      <c r="CA243" s="1716">
        <f t="shared" si="458"/>
        <v>7.765718869947541E-2</v>
      </c>
      <c r="CB243" s="1724">
        <v>107494</v>
      </c>
      <c r="CC243" s="1716">
        <f t="shared" si="459"/>
        <v>7.8348910452036499E-2</v>
      </c>
      <c r="CD243" s="1715">
        <f t="shared" si="527"/>
        <v>0.12908430612473762</v>
      </c>
      <c r="CE243" s="1716">
        <f t="shared" si="460"/>
        <v>7.1644525645441145E-8</v>
      </c>
      <c r="CF243" s="1724">
        <v>302732</v>
      </c>
      <c r="CG243" s="1716">
        <v>0.12908430612473762</v>
      </c>
      <c r="CH243" s="1724">
        <v>395319</v>
      </c>
      <c r="CI243" s="1716">
        <v>0.21254041057629394</v>
      </c>
      <c r="CJ243" s="1724">
        <v>346417</v>
      </c>
      <c r="CK243" s="1716">
        <v>0.19750936042378048</v>
      </c>
      <c r="CL243" s="1724">
        <v>928764</v>
      </c>
      <c r="CM243" s="1716">
        <v>0.1237965094642421</v>
      </c>
      <c r="CN243" s="1715">
        <v>626103</v>
      </c>
      <c r="CO243" s="1716">
        <f t="shared" si="461"/>
        <v>0.18521017600946604</v>
      </c>
      <c r="CP243" s="1724">
        <v>249422</v>
      </c>
      <c r="CQ243" s="1716">
        <f t="shared" si="462"/>
        <v>0.12741077052197539</v>
      </c>
      <c r="CR243" s="1724">
        <v>884790</v>
      </c>
      <c r="CS243" s="1716">
        <v>0.20037734233863927</v>
      </c>
      <c r="CT243" s="1724">
        <v>466379</v>
      </c>
      <c r="CU243" s="1716">
        <f t="shared" si="463"/>
        <v>0.18715153295403747</v>
      </c>
      <c r="CV243" s="1724">
        <v>1139731</v>
      </c>
      <c r="CW243" s="1716">
        <f t="shared" si="464"/>
        <v>0.16676574987749335</v>
      </c>
      <c r="CX243" s="1715">
        <v>1115942</v>
      </c>
      <c r="CY243" s="1716">
        <f t="shared" si="464"/>
        <v>0.26698837726748553</v>
      </c>
      <c r="CZ243" s="1724">
        <v>226045</v>
      </c>
      <c r="DA243" s="1716">
        <v>0.23256950489018938</v>
      </c>
      <c r="DB243" s="1724">
        <v>640957</v>
      </c>
      <c r="DC243" s="1716">
        <v>0.19049403678000087</v>
      </c>
      <c r="DD243" s="1724">
        <v>249950</v>
      </c>
      <c r="DE243" s="1716">
        <v>0.19977492850623182</v>
      </c>
      <c r="DF243" s="1724">
        <v>4912857</v>
      </c>
      <c r="DG243" s="1716">
        <v>0.63637656610121673</v>
      </c>
      <c r="DH243" s="1724">
        <v>569340</v>
      </c>
      <c r="DI243" s="1716">
        <v>0.24782412818219213</v>
      </c>
      <c r="DJ243" s="1724">
        <v>230829</v>
      </c>
      <c r="DK243" s="1716">
        <v>0.1156497315539808</v>
      </c>
      <c r="DL243" s="1724">
        <v>591260</v>
      </c>
      <c r="DM243" s="1716">
        <v>0.26131271564840036</v>
      </c>
      <c r="DN243" s="1724">
        <v>194372</v>
      </c>
      <c r="DO243" s="1716">
        <f t="shared" si="465"/>
        <v>0.14672818462634785</v>
      </c>
      <c r="DP243" s="1724">
        <v>279470</v>
      </c>
      <c r="DQ243" s="1716">
        <f t="shared" si="466"/>
        <v>0.45266583196601157</v>
      </c>
      <c r="DR243" s="1724">
        <v>355005</v>
      </c>
      <c r="DS243" s="1716">
        <f t="shared" si="467"/>
        <v>0.18769072810288057</v>
      </c>
      <c r="DT243" s="1724">
        <v>755246</v>
      </c>
      <c r="DU243" s="1716">
        <f t="shared" si="468"/>
        <v>0.19065041861272908</v>
      </c>
      <c r="DV243" s="1724">
        <v>230520</v>
      </c>
      <c r="DW243" s="1716">
        <f t="shared" si="469"/>
        <v>0.18157185840986784</v>
      </c>
      <c r="DX243" s="1724">
        <f>656584-DX242</f>
        <v>574673</v>
      </c>
      <c r="DY243" s="1716">
        <f t="shared" si="470"/>
        <v>0.17989715297110334</v>
      </c>
      <c r="DZ243" s="1724">
        <v>2360629</v>
      </c>
      <c r="EA243" s="1716">
        <f t="shared" si="471"/>
        <v>0.44658109350297381</v>
      </c>
      <c r="EB243" s="1724">
        <v>538797</v>
      </c>
      <c r="EC243" s="1716">
        <f t="shared" si="472"/>
        <v>0.1394855574172143</v>
      </c>
      <c r="ED243" s="1724">
        <v>271202</v>
      </c>
      <c r="EE243" s="1716">
        <f t="shared" si="473"/>
        <v>0.20243381575225031</v>
      </c>
      <c r="EF243" s="1724">
        <v>713198</v>
      </c>
      <c r="EG243" s="1716">
        <f t="shared" si="474"/>
        <v>0.3618415411692304</v>
      </c>
      <c r="EH243" s="1724">
        <v>1885706</v>
      </c>
      <c r="EI243" s="1716">
        <f t="shared" si="475"/>
        <v>0.20261378145395154</v>
      </c>
      <c r="EJ243" s="1724">
        <f>466483-EJ241-EJ242</f>
        <v>342302</v>
      </c>
      <c r="EK243" s="1716">
        <f t="shared" si="476"/>
        <v>0.15514605535640552</v>
      </c>
      <c r="EL243" s="1724">
        <v>1285057</v>
      </c>
      <c r="EM243" s="1716">
        <f t="shared" si="477"/>
        <v>0.21845597406388118</v>
      </c>
      <c r="EN243" s="1724">
        <v>591188</v>
      </c>
      <c r="EO243" s="1716">
        <f t="shared" si="478"/>
        <v>0.22707711406477821</v>
      </c>
      <c r="EP243" s="1715">
        <v>452327</v>
      </c>
      <c r="EQ243" s="1716">
        <f t="shared" si="479"/>
        <v>0.16396114900072314</v>
      </c>
      <c r="ER243" s="1724">
        <v>334495</v>
      </c>
      <c r="ES243" s="1716">
        <f t="shared" si="480"/>
        <v>0.30580974052867022</v>
      </c>
      <c r="ET243" s="1724">
        <v>601365</v>
      </c>
      <c r="EU243" s="1716">
        <f t="shared" si="481"/>
        <v>0.13020709849698833</v>
      </c>
      <c r="EV243" s="1724">
        <v>300416</v>
      </c>
      <c r="EW243" s="1716">
        <f t="shared" si="482"/>
        <v>0.13462616564858437</v>
      </c>
      <c r="EX243" s="1724">
        <f>6268+13425+27103+1600+27243+203063+27862+94331-EX241-EX242-4662+838+6163+8538+3825+33175+3580+8161-257</f>
        <v>347528</v>
      </c>
      <c r="EY243" s="1716">
        <f t="shared" si="483"/>
        <v>0.22607740787193406</v>
      </c>
      <c r="EZ243" s="1724">
        <v>335486</v>
      </c>
      <c r="FA243" s="1716">
        <f t="shared" si="484"/>
        <v>0.1668722605444789</v>
      </c>
      <c r="FB243" s="1724">
        <f>206328-FB242-FB241</f>
        <v>196509</v>
      </c>
      <c r="FC243" s="1716">
        <f t="shared" si="485"/>
        <v>0.15653958995675243</v>
      </c>
      <c r="FD243" s="1724">
        <v>207216</v>
      </c>
      <c r="FE243" s="1716">
        <f t="shared" si="486"/>
        <v>0.10108930931379222</v>
      </c>
      <c r="FF243" s="1724">
        <v>560943</v>
      </c>
      <c r="FG243" s="1716">
        <f t="shared" si="487"/>
        <v>0.1627823225390819</v>
      </c>
      <c r="FH243" s="1724">
        <v>102612</v>
      </c>
      <c r="FI243" s="1716">
        <f t="shared" si="488"/>
        <v>6.7156340132608447E-2</v>
      </c>
      <c r="FJ243" s="1724">
        <v>420190</v>
      </c>
      <c r="FK243" s="1716">
        <f t="shared" si="489"/>
        <v>0.22279982587052805</v>
      </c>
      <c r="FL243" s="1724">
        <v>217414</v>
      </c>
      <c r="FM243" s="1716">
        <f t="shared" si="490"/>
        <v>0.1617486777859862</v>
      </c>
      <c r="FN243" s="1724">
        <v>585893</v>
      </c>
      <c r="FO243" s="1716">
        <f t="shared" si="491"/>
        <v>0.12462417142228742</v>
      </c>
      <c r="FP243" s="1724">
        <v>164640</v>
      </c>
      <c r="FQ243" s="1716">
        <f t="shared" si="492"/>
        <v>0.20706308481738606</v>
      </c>
      <c r="FR243" s="1724">
        <v>806889</v>
      </c>
      <c r="FS243" s="1716">
        <f t="shared" si="493"/>
        <v>0.13176774332619698</v>
      </c>
      <c r="FT243" s="1724">
        <v>769509</v>
      </c>
      <c r="FU243" s="1716">
        <f t="shared" si="494"/>
        <v>0.163141480912988</v>
      </c>
      <c r="FV243" s="1724">
        <v>1823110</v>
      </c>
      <c r="FW243" s="1716">
        <f t="shared" si="495"/>
        <v>0.29018256841759449</v>
      </c>
      <c r="FX243" s="1724">
        <v>225349</v>
      </c>
      <c r="FY243" s="1716">
        <f t="shared" si="496"/>
        <v>0.12917728579175394</v>
      </c>
      <c r="FZ243" s="1724">
        <v>151539</v>
      </c>
      <c r="GA243" s="1716">
        <f t="shared" si="497"/>
        <v>9.6651119301841892E-2</v>
      </c>
      <c r="GB243" s="1724">
        <v>84102</v>
      </c>
      <c r="GC243" s="1716">
        <f t="shared" si="498"/>
        <v>0.118152315927003</v>
      </c>
      <c r="GD243" s="1724">
        <v>592381</v>
      </c>
      <c r="GE243" s="1716">
        <f t="shared" si="499"/>
        <v>0.15835067298521444</v>
      </c>
      <c r="GF243" s="1724">
        <v>221127</v>
      </c>
      <c r="GG243" s="1716">
        <f t="shared" si="500"/>
        <v>9.4674067268179618E-2</v>
      </c>
      <c r="GH243" s="1724">
        <v>302400</v>
      </c>
      <c r="GI243" s="1716">
        <f t="shared" si="501"/>
        <v>0.24250783900174022</v>
      </c>
      <c r="GJ243" s="1724">
        <v>2459293</v>
      </c>
      <c r="GK243" s="1716">
        <f t="shared" si="502"/>
        <v>0.20413009149068181</v>
      </c>
      <c r="GL243" s="1724">
        <v>314852</v>
      </c>
      <c r="GM243" s="1716">
        <f t="shared" si="503"/>
        <v>0.14509395678407289</v>
      </c>
      <c r="GN243" s="1724">
        <v>267256</v>
      </c>
      <c r="GO243" s="1716">
        <f t="shared" si="504"/>
        <v>0.20943580162937003</v>
      </c>
      <c r="GP243" s="1724">
        <v>259039</v>
      </c>
      <c r="GQ243" s="1716">
        <f t="shared" si="505"/>
        <v>0.13853597542453011</v>
      </c>
      <c r="GR243" s="1724">
        <v>307252</v>
      </c>
      <c r="GS243" s="1716">
        <f t="shared" si="506"/>
        <v>0.186878848554002</v>
      </c>
      <c r="GT243" s="1724">
        <v>329716</v>
      </c>
      <c r="GU243" s="1716">
        <f t="shared" si="507"/>
        <v>0.12451237850530464</v>
      </c>
      <c r="GV243" s="1724">
        <v>397799</v>
      </c>
      <c r="GW243" s="1716">
        <f t="shared" si="508"/>
        <v>0.12102540231616064</v>
      </c>
      <c r="GX243" s="1724">
        <v>352274</v>
      </c>
      <c r="GY243" s="1716">
        <f t="shared" si="509"/>
        <v>0.18556939980751613</v>
      </c>
      <c r="GZ243" s="1724">
        <f>1118945-GZ242</f>
        <v>976012</v>
      </c>
      <c r="HA243" s="1716">
        <f t="shared" si="510"/>
        <v>0.23300982926510178</v>
      </c>
      <c r="HB243" s="1724">
        <v>24849</v>
      </c>
      <c r="HC243" s="1716">
        <f t="shared" si="511"/>
        <v>5.4359429826480343E-2</v>
      </c>
      <c r="HD243" s="1724">
        <v>530190</v>
      </c>
      <c r="HE243" s="1716">
        <f t="shared" si="512"/>
        <v>0.32435259786738119</v>
      </c>
      <c r="HF243" s="2045">
        <v>2893493</v>
      </c>
      <c r="HG243" s="2033">
        <f t="shared" si="513"/>
        <v>0.36907716454682227</v>
      </c>
      <c r="HH243" s="1724">
        <v>947279</v>
      </c>
      <c r="HI243" s="1716">
        <f t="shared" si="514"/>
        <v>0.31382212884318883</v>
      </c>
      <c r="HJ243" s="1724">
        <v>710309</v>
      </c>
      <c r="HK243" s="1716">
        <f t="shared" si="515"/>
        <v>0.11841988561947669</v>
      </c>
      <c r="HL243" s="1724">
        <f>238826-HL241-HL242-20327+877+524</f>
        <v>214452</v>
      </c>
      <c r="HM243" s="1716">
        <f t="shared" si="516"/>
        <v>0.1110850387019877</v>
      </c>
      <c r="HN243" s="1724">
        <v>86653</v>
      </c>
      <c r="HO243" s="1716">
        <f t="shared" si="517"/>
        <v>6.5694686837105568E-2</v>
      </c>
      <c r="HP243" s="2045">
        <v>1610885</v>
      </c>
      <c r="HQ243" s="2033">
        <f t="shared" si="518"/>
        <v>0.25573345813466669</v>
      </c>
      <c r="HR243" s="1724">
        <f>49113+104834-HR242-42406</f>
        <v>105635</v>
      </c>
      <c r="HS243" s="1716">
        <f t="shared" si="519"/>
        <v>5.5227749441108871E-2</v>
      </c>
      <c r="HT243" s="2045">
        <v>1522428</v>
      </c>
      <c r="HU243" s="2033">
        <f t="shared" si="520"/>
        <v>0.39216074173274468</v>
      </c>
      <c r="HV243" s="2045">
        <v>509417</v>
      </c>
      <c r="HW243" s="2033">
        <f t="shared" si="521"/>
        <v>0.24724827771646121</v>
      </c>
      <c r="HX243" s="2045">
        <v>433789</v>
      </c>
      <c r="HY243" s="2033">
        <f t="shared" si="522"/>
        <v>0.21189390967854127</v>
      </c>
      <c r="HZ243" s="2045">
        <v>520057</v>
      </c>
      <c r="IA243" s="2033">
        <f t="shared" si="523"/>
        <v>0.30308913049179564</v>
      </c>
      <c r="IB243" s="1724">
        <v>454400</v>
      </c>
      <c r="IC243" s="1716">
        <f t="shared" si="524"/>
        <v>0.32190559041764133</v>
      </c>
      <c r="ID243" s="2045">
        <v>396618</v>
      </c>
      <c r="IE243" s="2033">
        <f t="shared" si="525"/>
        <v>0.19959057105675543</v>
      </c>
      <c r="IF243" s="2045">
        <v>315509</v>
      </c>
      <c r="IG243" s="2033">
        <f t="shared" si="526"/>
        <v>0.12345799300202927</v>
      </c>
    </row>
    <row r="244" spans="1:241">
      <c r="A244" s="1149"/>
      <c r="B244" s="1149"/>
      <c r="C244" s="1149"/>
      <c r="D244" s="1149"/>
      <c r="E244" s="1143"/>
      <c r="F244" s="1717"/>
      <c r="G244" s="1356"/>
      <c r="H244" s="1717"/>
      <c r="I244" s="1356"/>
      <c r="J244" s="1717"/>
      <c r="K244" s="1356"/>
      <c r="L244" s="1717"/>
      <c r="M244" s="1356"/>
      <c r="N244" s="1717"/>
      <c r="O244" s="1356"/>
      <c r="P244" s="1717"/>
      <c r="Q244" s="1356"/>
      <c r="R244" s="1717"/>
      <c r="T244" s="1717"/>
      <c r="U244" s="1356"/>
      <c r="V244" s="1717"/>
      <c r="W244" s="1356"/>
      <c r="X244" s="1717"/>
      <c r="Y244" s="1356"/>
      <c r="Z244" s="1717"/>
      <c r="AA244" s="1356"/>
      <c r="AB244" s="1717"/>
      <c r="AC244" s="1356"/>
      <c r="AD244" s="1717"/>
      <c r="AE244" s="1356"/>
      <c r="AF244" s="1717"/>
      <c r="AG244" s="1356"/>
      <c r="AH244" s="1717"/>
      <c r="AI244" s="1356"/>
      <c r="AJ244" s="1717"/>
      <c r="AK244" s="1356"/>
      <c r="AL244" s="1717"/>
      <c r="AM244" s="1356"/>
      <c r="AN244" s="1717"/>
      <c r="AO244" s="1356"/>
      <c r="AP244" s="1717"/>
      <c r="AQ244" s="1356"/>
      <c r="AR244" s="1717"/>
      <c r="AS244" s="1356"/>
      <c r="AT244" s="1717"/>
      <c r="AU244" s="1356"/>
      <c r="AV244" s="1717"/>
      <c r="AW244" s="1356"/>
      <c r="AX244" s="1717"/>
      <c r="AY244" s="1356"/>
      <c r="AZ244" s="1717"/>
      <c r="BA244" s="1356"/>
      <c r="BB244" s="1717"/>
      <c r="BC244" s="1356"/>
      <c r="BD244" s="1717"/>
      <c r="BE244" s="1356"/>
      <c r="BF244" s="1717"/>
      <c r="BG244" s="1356"/>
      <c r="BH244" s="1717"/>
      <c r="BI244" s="1356"/>
      <c r="BJ244" s="1717"/>
      <c r="BK244" s="1356"/>
      <c r="BL244" s="1717"/>
      <c r="BM244" s="1356"/>
      <c r="BN244" s="1717"/>
      <c r="BO244" s="1356"/>
      <c r="BP244" s="1717"/>
      <c r="BQ244" s="1356"/>
      <c r="BR244" s="1717"/>
      <c r="BS244" s="1356"/>
      <c r="BT244" s="1717"/>
      <c r="BU244" s="1356"/>
      <c r="BV244" s="1717"/>
      <c r="BW244" s="1356"/>
      <c r="BX244" s="1717"/>
      <c r="BY244" s="1356"/>
      <c r="BZ244" s="1717"/>
      <c r="CA244" s="1356"/>
      <c r="CB244" s="1717"/>
      <c r="CC244" s="1356"/>
      <c r="CD244" s="1717"/>
      <c r="CE244" s="1356"/>
      <c r="CF244" s="1717"/>
      <c r="CG244" s="1356"/>
      <c r="CH244" s="1717"/>
      <c r="CI244" s="1356"/>
      <c r="CJ244" s="1717"/>
      <c r="CK244" s="1356"/>
      <c r="CL244" s="1717"/>
      <c r="CM244" s="1356"/>
      <c r="CN244" s="1717"/>
      <c r="CO244" s="1356"/>
      <c r="CP244" s="1717"/>
      <c r="CQ244" s="1356"/>
      <c r="CR244" s="1717"/>
      <c r="CS244" s="1356"/>
      <c r="CT244" s="1717"/>
      <c r="CU244" s="1356"/>
      <c r="CV244" s="1717"/>
      <c r="CW244" s="1356"/>
      <c r="CX244" s="1717"/>
      <c r="CY244" s="1356"/>
      <c r="CZ244" s="1717"/>
      <c r="DA244" s="1356"/>
      <c r="DB244" s="1717"/>
      <c r="DC244" s="1356"/>
      <c r="DD244" s="1717"/>
      <c r="DE244" s="1356"/>
      <c r="DF244" s="1717"/>
      <c r="DG244" s="1356"/>
      <c r="DH244" s="1717"/>
      <c r="DI244" s="1356"/>
      <c r="DJ244" s="1717"/>
      <c r="DK244" s="1356"/>
      <c r="DL244" s="1717"/>
      <c r="DM244" s="1356"/>
      <c r="DN244" s="1717"/>
      <c r="DO244" s="1356"/>
      <c r="DP244" s="1717"/>
      <c r="DQ244" s="1356"/>
      <c r="DR244" s="1717"/>
      <c r="DS244" s="1356"/>
      <c r="DT244" s="1717"/>
      <c r="DU244" s="1356"/>
      <c r="DV244" s="1717"/>
      <c r="DW244" s="1356"/>
      <c r="DX244" s="1717"/>
      <c r="DY244" s="1356"/>
      <c r="DZ244" s="1717"/>
      <c r="EA244" s="1356"/>
      <c r="EB244" s="1717"/>
      <c r="EC244" s="1356"/>
      <c r="ED244" s="1717"/>
      <c r="EE244" s="1356"/>
      <c r="EF244" s="1717"/>
      <c r="EG244" s="1356"/>
      <c r="EH244" s="1717"/>
      <c r="EI244" s="1356"/>
      <c r="EJ244" s="1717"/>
      <c r="EK244" s="1356"/>
      <c r="EL244" s="1717"/>
      <c r="EM244" s="1356"/>
      <c r="EN244" s="1717"/>
      <c r="EO244" s="1356"/>
      <c r="EP244" s="1717"/>
      <c r="EQ244" s="1356"/>
      <c r="ER244" s="1717"/>
      <c r="ES244" s="1356"/>
      <c r="ET244" s="1717"/>
      <c r="EU244" s="1356"/>
      <c r="EV244" s="1717"/>
      <c r="EW244" s="1356"/>
      <c r="EX244" s="1717"/>
      <c r="EY244" s="1356"/>
      <c r="EZ244" s="1717"/>
      <c r="FA244" s="1356"/>
      <c r="FB244" s="1717"/>
      <c r="FC244" s="1356"/>
      <c r="FD244" s="1717"/>
      <c r="FE244" s="1356"/>
      <c r="FF244" s="1717"/>
      <c r="FG244" s="1356"/>
      <c r="FH244" s="1717"/>
      <c r="FI244" s="1356"/>
      <c r="FJ244" s="1717"/>
      <c r="FK244" s="1356"/>
      <c r="FL244" s="1717"/>
      <c r="FM244" s="1356"/>
      <c r="FN244" s="1717"/>
      <c r="FO244" s="1356"/>
      <c r="FP244" s="1717"/>
      <c r="FQ244" s="1356"/>
      <c r="FR244" s="1717"/>
      <c r="FS244" s="1356"/>
      <c r="FT244" s="1717"/>
      <c r="FU244" s="1356"/>
      <c r="FV244" s="1717"/>
      <c r="FW244" s="1356"/>
      <c r="FX244" s="1717"/>
      <c r="FY244" s="1356"/>
      <c r="FZ244" s="1717"/>
      <c r="GA244" s="1356"/>
      <c r="GB244" s="1717"/>
      <c r="GC244" s="1356"/>
      <c r="GD244" s="1717"/>
      <c r="GE244" s="1356"/>
      <c r="GF244" s="1717"/>
      <c r="GG244" s="1356"/>
      <c r="GH244" s="1717"/>
      <c r="GI244" s="1356"/>
      <c r="GJ244" s="1717"/>
      <c r="GK244" s="1356"/>
      <c r="GL244" s="1717"/>
      <c r="GM244" s="1356"/>
      <c r="GN244" s="1717"/>
      <c r="GO244" s="1356"/>
      <c r="GP244" s="1717"/>
      <c r="GQ244" s="1356"/>
      <c r="GR244" s="1717"/>
      <c r="GS244" s="1356"/>
      <c r="GT244" s="1717"/>
      <c r="GU244" s="1356"/>
      <c r="GV244" s="1717"/>
      <c r="GW244" s="1356"/>
      <c r="GX244" s="1717"/>
      <c r="GY244" s="1356"/>
      <c r="GZ244" s="1717"/>
      <c r="HA244" s="1356"/>
      <c r="HB244" s="1717"/>
      <c r="HC244" s="1356"/>
      <c r="HD244" s="1717"/>
      <c r="HE244" s="1356"/>
      <c r="HF244" s="2034"/>
      <c r="HH244" s="1717"/>
      <c r="HI244" s="1356"/>
      <c r="HJ244" s="1717"/>
      <c r="HK244" s="1356"/>
      <c r="HL244" s="1717"/>
      <c r="HM244" s="1356"/>
      <c r="HN244" s="1717"/>
      <c r="HO244" s="1356"/>
      <c r="HP244" s="2034"/>
      <c r="HR244" s="1717"/>
      <c r="HS244" s="1356"/>
      <c r="HT244" s="2034"/>
      <c r="HV244" s="2034"/>
      <c r="HX244" s="2034"/>
      <c r="HZ244" s="2034"/>
      <c r="IB244" s="1717"/>
      <c r="IC244" s="1356"/>
      <c r="ID244" s="2034"/>
      <c r="IF244" s="2034"/>
    </row>
    <row r="245" spans="1:241">
      <c r="A245" s="1149"/>
      <c r="B245" s="1149"/>
      <c r="C245" s="1149"/>
      <c r="D245" s="1149" t="s">
        <v>33</v>
      </c>
      <c r="E245" s="1143"/>
      <c r="F245" s="1725">
        <f>SUM(F235:F243)</f>
        <v>1616440</v>
      </c>
      <c r="G245" s="1716">
        <f>F245/F$229</f>
        <v>0.91738152058864431</v>
      </c>
      <c r="H245" s="1725">
        <f>SUM(H235:H243)</f>
        <v>2100136</v>
      </c>
      <c r="I245" s="1716">
        <f>H245/H$229</f>
        <v>0.81838838587241369</v>
      </c>
      <c r="J245" s="1725">
        <f>SUM(J235:J243)</f>
        <v>1321600</v>
      </c>
      <c r="K245" s="1716">
        <f>J245/J$229</f>
        <v>1.0394480606302754</v>
      </c>
      <c r="L245" s="1725">
        <f>SUM(L235:L243)</f>
        <v>17468815</v>
      </c>
      <c r="M245" s="1716">
        <f>L245/L$229</f>
        <v>1.6002959878123744</v>
      </c>
      <c r="N245" s="1725">
        <f>SUM(N235:N243)</f>
        <v>2361850.7999999998</v>
      </c>
      <c r="O245" s="1716">
        <f>N245/N$229</f>
        <v>1.6557938217182082</v>
      </c>
      <c r="P245" s="1725">
        <f>SUM(P235:P243)</f>
        <v>5745572</v>
      </c>
      <c r="Q245" s="1716">
        <f>P245/P$229</f>
        <v>0.88107459236913555</v>
      </c>
      <c r="R245" s="1725">
        <f>SUM(R235:R243)</f>
        <v>3900674</v>
      </c>
      <c r="S245" s="1716">
        <f>R245/R$229</f>
        <v>0.8359802897049885</v>
      </c>
      <c r="T245" s="1725">
        <f>SUM(T235:T243)</f>
        <v>2659718.7999999998</v>
      </c>
      <c r="U245" s="1716">
        <f>T245/T$229</f>
        <v>0.8142222314741796</v>
      </c>
      <c r="V245" s="1725">
        <f>SUM(V235:V243)</f>
        <v>1308345</v>
      </c>
      <c r="W245" s="1716">
        <f>V245/V$229</f>
        <v>0.88774903682915607</v>
      </c>
      <c r="X245" s="1725">
        <f>SUM(X235:X243)</f>
        <v>6979559</v>
      </c>
      <c r="Y245" s="1716">
        <f>X245/X$229</f>
        <v>0.74206451138237284</v>
      </c>
      <c r="Z245" s="1725">
        <f>SUM(Z235:Z243)</f>
        <v>2101731</v>
      </c>
      <c r="AA245" s="1716">
        <f>Z245/Z$229</f>
        <v>0.68655121635076477</v>
      </c>
      <c r="AB245" s="1725">
        <f>SUM(AB235:AB243)</f>
        <v>1265866</v>
      </c>
      <c r="AC245" s="1716">
        <f>AB245/AB$229</f>
        <v>1.1129363088628472</v>
      </c>
      <c r="AD245" s="1725">
        <f>SUM(AD235:AD243)</f>
        <v>4350963.5999999996</v>
      </c>
      <c r="AE245" s="1716">
        <f>AD245/AD$229</f>
        <v>0.85234178505879943</v>
      </c>
      <c r="AF245" s="1725">
        <f>SUM(AF235:AF243)</f>
        <v>2973654</v>
      </c>
      <c r="AG245" s="1716">
        <f>AF245/AF$229</f>
        <v>0.84623580454971548</v>
      </c>
      <c r="AH245" s="1725">
        <f>SUM(AH235:AH243)</f>
        <v>1453709</v>
      </c>
      <c r="AI245" s="1716">
        <f>AH245/AH$229</f>
        <v>0.79089741845978079</v>
      </c>
      <c r="AJ245" s="1725">
        <f>SUM(AJ235:AJ243)</f>
        <v>1660411.4</v>
      </c>
      <c r="AK245" s="1716">
        <f>AJ245/AJ$229</f>
        <v>0.99506688968221479</v>
      </c>
      <c r="AL245" s="1725">
        <f>SUM(AL235:AL243)</f>
        <v>2398871</v>
      </c>
      <c r="AM245" s="1716">
        <f>AL245/AL$229</f>
        <v>0.56893347104840941</v>
      </c>
      <c r="AN245" s="1725">
        <f>SUM(AN235:AN243)</f>
        <v>2077230</v>
      </c>
      <c r="AO245" s="1716">
        <f>AN245/AN$229</f>
        <v>1.1223598826434402</v>
      </c>
      <c r="AP245" s="1725">
        <f>SUM(AP235:AP243)</f>
        <v>1881898</v>
      </c>
      <c r="AQ245" s="1716">
        <f>AP245/AP$229</f>
        <v>0.95555222690771724</v>
      </c>
      <c r="AR245" s="1725">
        <f>SUM(AR235:AR243)</f>
        <v>4395989</v>
      </c>
      <c r="AS245" s="1716">
        <f>AR245/AR$229</f>
        <v>1.297622740924957</v>
      </c>
      <c r="AT245" s="1725">
        <f>SUM(AT235:AT243)</f>
        <v>3710065</v>
      </c>
      <c r="AU245" s="1716">
        <f>AT245/AT$229</f>
        <v>0.73946495166953707</v>
      </c>
      <c r="AV245" s="1725">
        <f>SUM(AV235:AV243)</f>
        <v>2566974</v>
      </c>
      <c r="AW245" s="1716">
        <f>AV245/AV$229</f>
        <v>1.1951109364699222</v>
      </c>
      <c r="AX245" s="1725">
        <f>SUM(AX235:AX243)</f>
        <v>3429507.2</v>
      </c>
      <c r="AY245" s="1716">
        <f>AX245/AX$229</f>
        <v>0.58586509260988129</v>
      </c>
      <c r="AZ245" s="1725">
        <f>SUM(AZ235:AZ243)</f>
        <v>2415212</v>
      </c>
      <c r="BA245" s="1716">
        <f>AZ245/AZ$229</f>
        <v>0.92936628170294211</v>
      </c>
      <c r="BB245" s="1725">
        <f>SUM(BB235:BB243)</f>
        <v>3257266</v>
      </c>
      <c r="BC245" s="1716">
        <f>BB245/BB$229</f>
        <v>1.3119774118253607</v>
      </c>
      <c r="BD245" s="1725">
        <f>SUM(BD235:BD243)</f>
        <v>3604262</v>
      </c>
      <c r="BE245" s="1716">
        <f>BD245/BD$229</f>
        <v>1.1078889855437759</v>
      </c>
      <c r="BF245" s="1725">
        <f>SUM(BF235:BF243)</f>
        <v>1234912</v>
      </c>
      <c r="BG245" s="1716">
        <f>BF245/BF$229</f>
        <v>0.87219553262808769</v>
      </c>
      <c r="BH245" s="1725">
        <f>SUM(BH235:BH243)</f>
        <v>1923638</v>
      </c>
      <c r="BI245" s="1716">
        <f>BH245/BH$229</f>
        <v>0.93499720274349862</v>
      </c>
      <c r="BJ245" s="1725">
        <f>SUM(BJ235:BJ243)</f>
        <v>3047953.8</v>
      </c>
      <c r="BK245" s="1716">
        <f>BJ245/BJ$229</f>
        <v>0.8805918429610522</v>
      </c>
      <c r="BL245" s="1725">
        <f>SUM(BL235:BL243)</f>
        <v>3665536</v>
      </c>
      <c r="BM245" s="1716">
        <f>BL245/BL$229</f>
        <v>0.95813872761053975</v>
      </c>
      <c r="BN245" s="1725">
        <f>SUM(BN235:BN243)</f>
        <v>0</v>
      </c>
      <c r="BO245" s="1716" t="e">
        <f>BN245/BN$229</f>
        <v>#DIV/0!</v>
      </c>
      <c r="BP245" s="1725">
        <f>SUM(BP235:BP243)</f>
        <v>2546957</v>
      </c>
      <c r="BQ245" s="1716">
        <f>BP245/BP$229</f>
        <v>0.71253458173066297</v>
      </c>
      <c r="BR245" s="1725">
        <f>SUM(BR235:BR243)</f>
        <v>668537</v>
      </c>
      <c r="BS245" s="1716">
        <f>BR245/BR$229</f>
        <v>1.2148392993754418</v>
      </c>
      <c r="BT245" s="1725">
        <f>SUM(BT235:BT243)</f>
        <v>1324683</v>
      </c>
      <c r="BU245" s="1716">
        <f>BT245/BT$229</f>
        <v>0.9032992975082067</v>
      </c>
      <c r="BV245" s="1725">
        <f>SUM(BV235:BV243)</f>
        <v>1462692</v>
      </c>
      <c r="BW245" s="1716">
        <f>BV245/BV$229</f>
        <v>0.93003317159768584</v>
      </c>
      <c r="BX245" s="1725">
        <f>SUM(BX235:BX243)</f>
        <v>4235764</v>
      </c>
      <c r="BY245" s="1716">
        <f>BX245/BX$229</f>
        <v>0.80891135395930314</v>
      </c>
      <c r="BZ245" s="1725">
        <f>SUM(BZ235:BZ243)</f>
        <v>2740275.8</v>
      </c>
      <c r="CA245" s="1716">
        <f>BZ245/BZ$229</f>
        <v>0.63335093748461557</v>
      </c>
      <c r="CB245" s="1725">
        <f>SUM(CB235:CB243)</f>
        <v>1353832</v>
      </c>
      <c r="CC245" s="1716">
        <f>CB245/CB$229</f>
        <v>0.98676449043761949</v>
      </c>
      <c r="CD245" s="1725">
        <f>SUM(CD235:CD243)</f>
        <v>0.94858834560577732</v>
      </c>
      <c r="CE245" s="1716">
        <f>CD245/CD$229</f>
        <v>5.2648663570339074E-7</v>
      </c>
      <c r="CF245" s="1725">
        <v>2224655</v>
      </c>
      <c r="CG245" s="1716">
        <v>0.94858834560577721</v>
      </c>
      <c r="CH245" s="1725">
        <v>2455643.7999999998</v>
      </c>
      <c r="CI245" s="1716">
        <v>1.3202591868367839</v>
      </c>
      <c r="CJ245" s="1725">
        <v>1421365</v>
      </c>
      <c r="CK245" s="1716">
        <v>0.81039005614258741</v>
      </c>
      <c r="CL245" s="1725">
        <v>6226394</v>
      </c>
      <c r="CM245" s="1716">
        <v>0.82992648697527072</v>
      </c>
      <c r="CN245" s="1725">
        <f>SUM(CN235:CN243)</f>
        <v>2959089</v>
      </c>
      <c r="CO245" s="1716">
        <f>CN245/CN$229</f>
        <v>0.87534063008430707</v>
      </c>
      <c r="CP245" s="1725">
        <f>SUM(CP235:CP243)</f>
        <v>1989779</v>
      </c>
      <c r="CQ245" s="1716">
        <f>CP245/CP$229</f>
        <v>1.0164270816465495</v>
      </c>
      <c r="CR245" s="1725">
        <v>4646100</v>
      </c>
      <c r="CS245" s="1716">
        <v>1.0521967588236214</v>
      </c>
      <c r="CT245" s="1725">
        <f>SUM(CT235:CT243)</f>
        <v>2487765</v>
      </c>
      <c r="CU245" s="1716">
        <f>CT245/CT$229</f>
        <v>0.99830617025938351</v>
      </c>
      <c r="CV245" s="1725">
        <f>SUM(CV235:CV243)</f>
        <v>6779367.4000000004</v>
      </c>
      <c r="CW245" s="1716">
        <f>CV245/CV$229</f>
        <v>0.99195888166245583</v>
      </c>
      <c r="CX245" s="1725">
        <v>7927879</v>
      </c>
      <c r="CY245" s="1716">
        <f>CX245/CX$229</f>
        <v>1.8967397493624005</v>
      </c>
      <c r="CZ245" s="1725">
        <v>1192967</v>
      </c>
      <c r="DA245" s="1716">
        <v>1.2274004934430514</v>
      </c>
      <c r="DB245" s="1725">
        <v>3742791</v>
      </c>
      <c r="DC245" s="1716">
        <v>1.1123669238558223</v>
      </c>
      <c r="DD245" s="1725">
        <v>1460136.4</v>
      </c>
      <c r="DE245" s="1716">
        <v>1.1670279852744416</v>
      </c>
      <c r="DF245" s="1725">
        <v>14104891</v>
      </c>
      <c r="DG245" s="1716">
        <v>1.8270472964737132</v>
      </c>
      <c r="DH245" s="1725">
        <v>1595089</v>
      </c>
      <c r="DI245" s="1716">
        <v>0.69431541925388107</v>
      </c>
      <c r="DJ245" s="1725">
        <v>1699259</v>
      </c>
      <c r="DK245" s="1716">
        <v>0.85136116861696687</v>
      </c>
      <c r="DL245" s="1725">
        <v>2550613</v>
      </c>
      <c r="DM245" s="1716">
        <v>1.1272665318102246</v>
      </c>
      <c r="DN245" s="1725">
        <f>SUM(DN235:DN243)</f>
        <v>957969</v>
      </c>
      <c r="DO245" s="1716">
        <f>DN245/DN$229</f>
        <v>0.72315483865123487</v>
      </c>
      <c r="DP245" s="1725">
        <f>SUM(DP235:DP243)</f>
        <v>1265945</v>
      </c>
      <c r="DQ245" s="1716">
        <f>DP245/DP$229</f>
        <v>2.0504885914345459</v>
      </c>
      <c r="DR245" s="1725">
        <f>SUM(DR235:DR243)</f>
        <v>4003689.8</v>
      </c>
      <c r="DS245" s="1716">
        <f>DR245/DR$229</f>
        <v>2.1167461124775038</v>
      </c>
      <c r="DT245" s="1725">
        <f>SUM(DT235:DT243)</f>
        <v>7590155.4000000004</v>
      </c>
      <c r="DU245" s="1716">
        <f>DT245/DT$229</f>
        <v>1.9160198191657634</v>
      </c>
      <c r="DV245" s="1725">
        <f>SUM(DV235:DV243)</f>
        <v>1491689</v>
      </c>
      <c r="DW245" s="1716">
        <f>DV245/DV$229</f>
        <v>1.1749468328108508</v>
      </c>
      <c r="DX245" s="1725">
        <f>SUM(DX235:DX243)</f>
        <v>4122183</v>
      </c>
      <c r="DY245" s="1716">
        <f>DX245/DX$229</f>
        <v>1.2904190482689837</v>
      </c>
      <c r="DZ245" s="1725">
        <f>SUM(DZ235:DZ243)</f>
        <v>9903472.4000000004</v>
      </c>
      <c r="EA245" s="1716">
        <f>DZ245/DZ$229</f>
        <v>1.8735275783990286</v>
      </c>
      <c r="EB245" s="1725">
        <f>SUM(EB235:EB243)</f>
        <v>5184155.2</v>
      </c>
      <c r="EC245" s="1716">
        <f>EB245/EB$229</f>
        <v>1.3420913216097159</v>
      </c>
      <c r="ED245" s="1725">
        <f>SUM(ED235:ED243)</f>
        <v>911065</v>
      </c>
      <c r="EE245" s="1716">
        <f>ED245/ED$229</f>
        <v>0.6800479507832683</v>
      </c>
      <c r="EF245" s="1725">
        <f>SUM(EF235:EF243)</f>
        <v>2991374.4</v>
      </c>
      <c r="EG245" s="1716">
        <f>EF245/EF$229</f>
        <v>1.5176760494423454</v>
      </c>
      <c r="EH245" s="1725">
        <f>SUM(EH235:EH243)</f>
        <v>10998987</v>
      </c>
      <c r="EI245" s="1716">
        <f>EH245/EH$229</f>
        <v>1.1818100744404769</v>
      </c>
      <c r="EJ245" s="1725">
        <f>SUM(EJ235:EJ243)</f>
        <v>4080312</v>
      </c>
      <c r="EK245" s="1716">
        <f>EJ245/EJ$229</f>
        <v>1.8493736858779841</v>
      </c>
      <c r="EL245" s="1725">
        <f>SUM(EL235:EL243)</f>
        <v>8653023</v>
      </c>
      <c r="EM245" s="1716">
        <f>EL245/EL$229</f>
        <v>1.470988888479007</v>
      </c>
      <c r="EN245" s="1725">
        <f>SUM(EN235:EN243)</f>
        <v>2943169</v>
      </c>
      <c r="EO245" s="1716">
        <f>EN245/EN$229</f>
        <v>1.1304801902692869</v>
      </c>
      <c r="EP245" s="1725">
        <f>SUM(EP235:EP243)</f>
        <v>2978648</v>
      </c>
      <c r="EQ245" s="1716">
        <f>EP245/EP$229</f>
        <v>1.079711245511999</v>
      </c>
      <c r="ER245" s="1725">
        <f>SUM(ER235:ER243)</f>
        <v>1376821</v>
      </c>
      <c r="ES245" s="1716">
        <f>ER245/ER$229</f>
        <v>1.2587490777572885</v>
      </c>
      <c r="ET245" s="1725">
        <f>SUM(ET235:ET243)</f>
        <v>4377055</v>
      </c>
      <c r="EU245" s="1716">
        <f>ET245/ET$229</f>
        <v>0.94771666377613473</v>
      </c>
      <c r="EV245" s="1725">
        <f>SUM(EV235:EV243)</f>
        <v>2764322</v>
      </c>
      <c r="EW245" s="1716">
        <f>EV245/EV$229</f>
        <v>1.2387824599156705</v>
      </c>
      <c r="EX245" s="1725">
        <f>SUM(EX235:EX243)</f>
        <v>2317990</v>
      </c>
      <c r="EY245" s="1716">
        <f>EX245/EX$229</f>
        <v>1.5079221549718711</v>
      </c>
      <c r="EZ245" s="1725">
        <f>SUM(EZ235:EZ243)</f>
        <v>3096439.8</v>
      </c>
      <c r="FA245" s="1716">
        <f>EZ245/EZ$229</f>
        <v>1.540183223937494</v>
      </c>
      <c r="FB245" s="1725">
        <f>SUM(FB235:FB243)</f>
        <v>1542491</v>
      </c>
      <c r="FC245" s="1716">
        <f>FB245/FB$229</f>
        <v>1.2287524166932864</v>
      </c>
      <c r="FD245" s="1725">
        <f>SUM(FD235:FD243)</f>
        <v>1715525</v>
      </c>
      <c r="FE245" s="1716">
        <f>FD245/FD$229</f>
        <v>0.83691045749625215</v>
      </c>
      <c r="FF245" s="1725">
        <f>SUM(FF235:FF243)</f>
        <v>3265812</v>
      </c>
      <c r="FG245" s="1716">
        <f>FF245/FF$229</f>
        <v>0.94771921984230856</v>
      </c>
      <c r="FH245" s="1725">
        <f>SUM(FH235:FH243)</f>
        <v>1703800</v>
      </c>
      <c r="FI245" s="1716">
        <f>FH245/FH$229</f>
        <v>1.1150837359951884</v>
      </c>
      <c r="FJ245" s="1725">
        <f>SUM(FJ235:FJ243)</f>
        <v>2118425</v>
      </c>
      <c r="FK245" s="1716">
        <f>FJ245/FJ$229</f>
        <v>1.123265001831965</v>
      </c>
      <c r="FL245" s="1725">
        <f>SUM(FL235:FL243)</f>
        <v>1515717.6</v>
      </c>
      <c r="FM245" s="1716">
        <f>FL245/FL$229</f>
        <v>1.1276427355043757</v>
      </c>
      <c r="FN245" s="1725">
        <f>SUM(FN235:FN243)</f>
        <v>4966125.2</v>
      </c>
      <c r="FO245" s="1716">
        <f>FN245/FN$229</f>
        <v>1.0563349250278489</v>
      </c>
      <c r="FP245" s="1725">
        <f>SUM(FP235:FP243)</f>
        <v>953749</v>
      </c>
      <c r="FQ245" s="1716">
        <f>FP245/FP$229</f>
        <v>1.1995032196398028</v>
      </c>
      <c r="FR245" s="1725">
        <f>SUM(FR235:FR243)</f>
        <v>4985824</v>
      </c>
      <c r="FS245" s="1716">
        <f>FR245/FR$229</f>
        <v>0.81420217291547248</v>
      </c>
      <c r="FT245" s="1725">
        <f>SUM(FT235:FT243)</f>
        <v>4683430</v>
      </c>
      <c r="FU245" s="1716">
        <f>FT245/FT$229</f>
        <v>0.99292107818403075</v>
      </c>
      <c r="FV245" s="1725">
        <f>SUM(FV235:FV243)</f>
        <v>8842300.8000000007</v>
      </c>
      <c r="FW245" s="1716">
        <f>FV245/FV$229</f>
        <v>1.4074200442457947</v>
      </c>
      <c r="FX245" s="1725">
        <f>SUM(FX235:FX243)</f>
        <v>1995434.2</v>
      </c>
      <c r="FY245" s="1716">
        <f>FX245/FX$229</f>
        <v>1.1438469837098895</v>
      </c>
      <c r="FZ245" s="1725">
        <f>SUM(FZ235:FZ243)</f>
        <v>1724606</v>
      </c>
      <c r="GA245" s="1716">
        <f>FZ245/FZ$229</f>
        <v>1.0999485297822498</v>
      </c>
      <c r="GB245" s="1725">
        <f>SUM(GB235:GB243)</f>
        <v>1236160</v>
      </c>
      <c r="GC245" s="1716">
        <f>GB245/GB$229</f>
        <v>1.7366432053497423</v>
      </c>
      <c r="GD245" s="1725">
        <f>SUM(GD235:GD243)</f>
        <v>5284214</v>
      </c>
      <c r="GE245" s="1716">
        <f>GD245/GD$229</f>
        <v>1.4125349109743424</v>
      </c>
      <c r="GF245" s="1725">
        <f>SUM(GF235:GF243)</f>
        <v>2455430.7999999998</v>
      </c>
      <c r="GG245" s="1716">
        <f>GF245/GF$229</f>
        <v>1.0512765095694332</v>
      </c>
      <c r="GH245" s="1725">
        <f>SUM(GH235:GH243)</f>
        <v>1376706</v>
      </c>
      <c r="GI245" s="1716">
        <f>GH245/GH$229</f>
        <v>1.1040409953727837</v>
      </c>
      <c r="GJ245" s="1725">
        <f>SUM(GJ235:GJ243)</f>
        <v>13046953</v>
      </c>
      <c r="GK245" s="1716">
        <f>GJ245/GJ$229</f>
        <v>1.0829436385028646</v>
      </c>
      <c r="GL245" s="1725">
        <f>SUM(GL235:GL243)</f>
        <v>2192474</v>
      </c>
      <c r="GM245" s="1716">
        <f>GL245/GL$229</f>
        <v>1.0103627348919602</v>
      </c>
      <c r="GN245" s="1725">
        <f>SUM(GN235:GN243)</f>
        <v>1720938</v>
      </c>
      <c r="GO245" s="1716">
        <f>GN245/GN$229</f>
        <v>1.3486171670025924</v>
      </c>
      <c r="GP245" s="1725">
        <f>SUM(GP235:GP243)</f>
        <v>1949467</v>
      </c>
      <c r="GQ245" s="1716">
        <f>GP245/GP$229</f>
        <v>1.0425893877096979</v>
      </c>
      <c r="GR245" s="1725">
        <f>SUM(GR235:GR243)</f>
        <v>2074180</v>
      </c>
      <c r="GS245" s="1716">
        <f>GR245/GR$229</f>
        <v>1.2615715116378083</v>
      </c>
      <c r="GT245" s="1725">
        <f>SUM(GT235:GT243)</f>
        <v>2066409</v>
      </c>
      <c r="GU245" s="1716">
        <f>GT245/GT$229</f>
        <v>0.7803488443228962</v>
      </c>
      <c r="GV245" s="1725">
        <f>SUM(GV235:GV243)</f>
        <v>2443397</v>
      </c>
      <c r="GW245" s="1716">
        <f>GV245/GV$229</f>
        <v>0.74337317324352237</v>
      </c>
      <c r="GX245" s="1725">
        <f>SUM(GX235:GX243)</f>
        <v>1663507</v>
      </c>
      <c r="GY245" s="1716">
        <f>GX245/GX$229</f>
        <v>0.87629514402312336</v>
      </c>
      <c r="GZ245" s="1725">
        <f>SUM(GZ235:GZ243)</f>
        <v>3912188.8</v>
      </c>
      <c r="HA245" s="1716">
        <f>GZ245/GZ$229</f>
        <v>0.93398282433089275</v>
      </c>
      <c r="HB245" s="1725">
        <f>SUM(HB235:HB243)</f>
        <v>466000</v>
      </c>
      <c r="HC245" s="1716">
        <f>HB245/HB$229</f>
        <v>1.0194170509533518</v>
      </c>
      <c r="HD245" s="1725">
        <f>SUM(HD235:HD243)</f>
        <v>2075056</v>
      </c>
      <c r="HE245" s="1716">
        <f>HD245/HD$229</f>
        <v>1.269450205247735</v>
      </c>
      <c r="HF245" s="2046">
        <f>SUM(HF235:HF243)</f>
        <v>9885326</v>
      </c>
      <c r="HG245" s="2033">
        <f>HF245/HF$229</f>
        <v>1.2609147804058902</v>
      </c>
      <c r="HH245" s="1725">
        <f>SUM(HH235:HH243)</f>
        <v>3545226</v>
      </c>
      <c r="HI245" s="1716">
        <f>HH245/HH$229</f>
        <v>1.1744906944524505</v>
      </c>
      <c r="HJ245" s="1725">
        <f>SUM(HJ235:HJ243)</f>
        <v>5453599.2000000002</v>
      </c>
      <c r="HK245" s="1716">
        <f>HJ245/HJ$229</f>
        <v>0.90920232388787081</v>
      </c>
      <c r="HL245" s="1725">
        <f>SUM(HL235:HL243)</f>
        <v>1436739</v>
      </c>
      <c r="HM245" s="1716">
        <f>HL245/HL$229</f>
        <v>0.74422345056075534</v>
      </c>
      <c r="HN245" s="1725">
        <f>SUM(HN235:HN243)</f>
        <v>1239442</v>
      </c>
      <c r="HO245" s="1716">
        <f>HN245/HN$229</f>
        <v>0.93966457067563491</v>
      </c>
      <c r="HP245" s="2046">
        <f>SUM(HP235:HP243)</f>
        <v>8312360</v>
      </c>
      <c r="HQ245" s="2033">
        <f>HP245/HP$229</f>
        <v>1.3196153468809244</v>
      </c>
      <c r="HR245" s="1725">
        <f>SUM(HR235:HR243)</f>
        <v>1550814</v>
      </c>
      <c r="HS245" s="1716">
        <f>HR245/HR$229</f>
        <v>0.81079156550162179</v>
      </c>
      <c r="HT245" s="2046">
        <f>SUM(HT235:HT243)</f>
        <v>6415086.4000000004</v>
      </c>
      <c r="HU245" s="2033">
        <f>HT245/HT$229</f>
        <v>1.6524558408697443</v>
      </c>
      <c r="HV245" s="2046">
        <f>SUM(HV235:HV243)</f>
        <v>3871905.8</v>
      </c>
      <c r="HW245" s="2033">
        <f>HV245/HV$229</f>
        <v>1.8792502812634382</v>
      </c>
      <c r="HX245" s="2046">
        <f>SUM(HX235:HX243)</f>
        <v>2474899</v>
      </c>
      <c r="HY245" s="2033">
        <f>HX245/HX$229</f>
        <v>1.2089196018559993</v>
      </c>
      <c r="HZ245" s="2046">
        <f>SUM(HZ235:HZ243)</f>
        <v>2403321</v>
      </c>
      <c r="IA245" s="2033">
        <f>HZ245/HZ$229</f>
        <v>1.4006550670074103</v>
      </c>
      <c r="IB245" s="1725">
        <f>SUM(IB235:IB243)</f>
        <v>1756300</v>
      </c>
      <c r="IC245" s="1716">
        <f>IB245/IB$229</f>
        <v>1.2441962773998756</v>
      </c>
      <c r="ID245" s="2046">
        <f>SUM(ID235:ID243)</f>
        <v>2508582</v>
      </c>
      <c r="IE245" s="2033">
        <f>ID245/ID$229</f>
        <v>1.2623968501749736</v>
      </c>
      <c r="IF245" s="2046">
        <f>SUM(IF235:IF243)</f>
        <v>1624369</v>
      </c>
      <c r="IG245" s="2033">
        <f>IF245/IF$229</f>
        <v>0.63561209548606623</v>
      </c>
    </row>
    <row r="246" spans="1:241">
      <c r="A246" s="1149"/>
      <c r="B246" s="1149"/>
      <c r="C246" s="1149"/>
      <c r="D246" s="1149"/>
      <c r="E246" s="1143"/>
      <c r="F246" s="1717"/>
      <c r="G246" s="1356"/>
      <c r="H246" s="1717"/>
      <c r="I246" s="1356"/>
      <c r="J246" s="1717"/>
      <c r="K246" s="1356"/>
      <c r="L246" s="1717"/>
      <c r="M246" s="1356"/>
      <c r="N246" s="1717"/>
      <c r="O246" s="1356"/>
      <c r="P246" s="1717"/>
      <c r="Q246" s="1356"/>
      <c r="R246" s="1717"/>
      <c r="T246" s="1717"/>
      <c r="U246" s="1356"/>
      <c r="V246" s="1717"/>
      <c r="W246" s="1356"/>
      <c r="X246" s="1717"/>
      <c r="Y246" s="1356"/>
      <c r="Z246" s="1717"/>
      <c r="AA246" s="1356"/>
      <c r="AB246" s="1717"/>
      <c r="AC246" s="1356"/>
      <c r="AD246" s="1717"/>
      <c r="AE246" s="1356"/>
      <c r="AF246" s="1717"/>
      <c r="AG246" s="1356"/>
      <c r="AH246" s="1717"/>
      <c r="AI246" s="1356"/>
      <c r="AJ246" s="1717"/>
      <c r="AK246" s="1356"/>
      <c r="AL246" s="1717"/>
      <c r="AM246" s="1356"/>
      <c r="AN246" s="1717"/>
      <c r="AO246" s="1356"/>
      <c r="AP246" s="1717"/>
      <c r="AQ246" s="1356"/>
      <c r="AR246" s="1717"/>
      <c r="AS246" s="1356"/>
      <c r="AT246" s="1717"/>
      <c r="AU246" s="1356"/>
      <c r="AV246" s="1717"/>
      <c r="AW246" s="1356"/>
      <c r="AX246" s="1717"/>
      <c r="AY246" s="1356"/>
      <c r="AZ246" s="1717"/>
      <c r="BA246" s="1356"/>
      <c r="BB246" s="1717"/>
      <c r="BC246" s="1356"/>
      <c r="BD246" s="1717"/>
      <c r="BE246" s="1356"/>
      <c r="BF246" s="1717"/>
      <c r="BG246" s="1356"/>
      <c r="BH246" s="1717"/>
      <c r="BI246" s="1356"/>
      <c r="BJ246" s="1717"/>
      <c r="BK246" s="1356"/>
      <c r="BL246" s="1717"/>
      <c r="BM246" s="1356"/>
      <c r="BN246" s="1717"/>
      <c r="BO246" s="1356"/>
      <c r="BP246" s="1717"/>
      <c r="BQ246" s="1356"/>
      <c r="BR246" s="1717"/>
      <c r="BS246" s="1356"/>
      <c r="BT246" s="1717"/>
      <c r="BU246" s="1356"/>
      <c r="BV246" s="1717"/>
      <c r="BW246" s="1356"/>
      <c r="BX246" s="1717"/>
      <c r="BY246" s="1356"/>
      <c r="BZ246" s="1717"/>
      <c r="CA246" s="1356"/>
      <c r="CB246" s="1717"/>
      <c r="CC246" s="1356"/>
      <c r="CD246" s="1717"/>
      <c r="CE246" s="1356"/>
      <c r="CF246" s="1717"/>
      <c r="CG246" s="1356"/>
      <c r="CH246" s="1717"/>
      <c r="CI246" s="1356"/>
      <c r="CJ246" s="1717"/>
      <c r="CK246" s="1356"/>
      <c r="CL246" s="1717"/>
      <c r="CM246" s="1356"/>
      <c r="CN246" s="1717"/>
      <c r="CO246" s="1356"/>
      <c r="CP246" s="1717"/>
      <c r="CQ246" s="1356"/>
      <c r="CR246" s="1717"/>
      <c r="CS246" s="1356"/>
      <c r="CT246" s="1717"/>
      <c r="CU246" s="1356"/>
      <c r="CV246" s="1717"/>
      <c r="CW246" s="1356"/>
      <c r="CX246" s="1717"/>
      <c r="CY246" s="1356"/>
      <c r="CZ246" s="1717"/>
      <c r="DA246" s="1356"/>
      <c r="DB246" s="1717"/>
      <c r="DC246" s="1356"/>
      <c r="DD246" s="1717"/>
      <c r="DE246" s="1356"/>
      <c r="DF246" s="1717"/>
      <c r="DG246" s="1356"/>
      <c r="DH246" s="1717"/>
      <c r="DI246" s="1356"/>
      <c r="DJ246" s="1717"/>
      <c r="DK246" s="1356"/>
      <c r="DL246" s="1717"/>
      <c r="DM246" s="1356"/>
      <c r="DN246" s="1717"/>
      <c r="DO246" s="1356"/>
      <c r="DP246" s="1717"/>
      <c r="DQ246" s="1356"/>
      <c r="DR246" s="1717"/>
      <c r="DS246" s="1356"/>
      <c r="DT246" s="1717"/>
      <c r="DU246" s="1356"/>
      <c r="DV246" s="1717"/>
      <c r="DW246" s="1356"/>
      <c r="DX246" s="1717"/>
      <c r="DY246" s="1356"/>
      <c r="DZ246" s="1717"/>
      <c r="EA246" s="1356"/>
      <c r="EB246" s="1717"/>
      <c r="EC246" s="1356"/>
      <c r="ED246" s="1717"/>
      <c r="EE246" s="1356"/>
      <c r="EF246" s="1717"/>
      <c r="EG246" s="1356"/>
      <c r="EH246" s="1717"/>
      <c r="EI246" s="1356"/>
      <c r="EJ246" s="1717"/>
      <c r="EK246" s="1356"/>
      <c r="EL246" s="1717"/>
      <c r="EM246" s="1356"/>
      <c r="EN246" s="1717"/>
      <c r="EO246" s="1356"/>
      <c r="EP246" s="1717"/>
      <c r="EQ246" s="1356"/>
      <c r="ER246" s="1717"/>
      <c r="ES246" s="1356"/>
      <c r="ET246" s="1717"/>
      <c r="EU246" s="1356"/>
      <c r="EV246" s="1717"/>
      <c r="EW246" s="1356"/>
      <c r="EX246" s="1717"/>
      <c r="EY246" s="1356"/>
      <c r="EZ246" s="1717"/>
      <c r="FA246" s="1356"/>
      <c r="FB246" s="1717"/>
      <c r="FC246" s="1356"/>
      <c r="FD246" s="1717"/>
      <c r="FE246" s="1356"/>
      <c r="FF246" s="1717"/>
      <c r="FG246" s="1356"/>
      <c r="FH246" s="1717"/>
      <c r="FI246" s="1356"/>
      <c r="FJ246" s="1717"/>
      <c r="FK246" s="1356"/>
      <c r="FL246" s="1717"/>
      <c r="FM246" s="1356"/>
      <c r="FN246" s="1717"/>
      <c r="FO246" s="1356"/>
      <c r="FP246" s="1717"/>
      <c r="FQ246" s="1356"/>
      <c r="FR246" s="1717"/>
      <c r="FS246" s="1356"/>
      <c r="FT246" s="1717"/>
      <c r="FU246" s="1356"/>
      <c r="FV246" s="1717"/>
      <c r="FW246" s="1356"/>
      <c r="FX246" s="1717"/>
      <c r="FY246" s="1356"/>
      <c r="FZ246" s="1717"/>
      <c r="GA246" s="1356"/>
      <c r="GB246" s="1717"/>
      <c r="GC246" s="1356"/>
      <c r="GD246" s="1717"/>
      <c r="GE246" s="1356"/>
      <c r="GF246" s="1717"/>
      <c r="GG246" s="1356"/>
      <c r="GH246" s="1717"/>
      <c r="GI246" s="1356"/>
      <c r="GJ246" s="1717"/>
      <c r="GK246" s="1356"/>
      <c r="GL246" s="1717"/>
      <c r="GM246" s="1356"/>
      <c r="GN246" s="1717"/>
      <c r="GO246" s="1356"/>
      <c r="GP246" s="1717"/>
      <c r="GQ246" s="1356"/>
      <c r="GR246" s="1717"/>
      <c r="GS246" s="1356"/>
      <c r="GT246" s="1717"/>
      <c r="GU246" s="1356"/>
      <c r="GV246" s="1717"/>
      <c r="GW246" s="1356"/>
      <c r="GX246" s="1717"/>
      <c r="GY246" s="1356"/>
      <c r="GZ246" s="1717"/>
      <c r="HA246" s="1356"/>
      <c r="HB246" s="1717"/>
      <c r="HC246" s="1356"/>
      <c r="HD246" s="1717"/>
      <c r="HE246" s="1356"/>
      <c r="HF246" s="2034"/>
      <c r="HH246" s="1717"/>
      <c r="HI246" s="1356"/>
      <c r="HJ246" s="1717"/>
      <c r="HK246" s="1356"/>
      <c r="HL246" s="1717"/>
      <c r="HM246" s="1356"/>
      <c r="HN246" s="1717"/>
      <c r="HO246" s="1356"/>
      <c r="HP246" s="2034"/>
      <c r="HR246" s="1717"/>
      <c r="HS246" s="1356"/>
      <c r="HT246" s="2034"/>
      <c r="HV246" s="2034"/>
      <c r="HX246" s="2034"/>
      <c r="HZ246" s="2034"/>
      <c r="IB246" s="1717"/>
      <c r="IC246" s="1356"/>
      <c r="ID246" s="2034"/>
      <c r="IF246" s="2034"/>
    </row>
    <row r="247" spans="1:241" ht="16.2" thickBot="1">
      <c r="A247" s="1149"/>
      <c r="B247" s="1149"/>
      <c r="C247" s="1149"/>
      <c r="D247" s="1149" t="s">
        <v>34</v>
      </c>
      <c r="E247" s="1143"/>
      <c r="F247" s="1719">
        <f>F232-F245</f>
        <v>-696630</v>
      </c>
      <c r="G247" s="1716">
        <f>F247/F$229</f>
        <v>-0.39535985788997258</v>
      </c>
      <c r="H247" s="1719">
        <f>H232-H245</f>
        <v>-945715</v>
      </c>
      <c r="I247" s="1716">
        <f>H247/H$229</f>
        <v>-0.36852954872700139</v>
      </c>
      <c r="J247" s="1719">
        <f>J232-J245</f>
        <v>-545399</v>
      </c>
      <c r="K247" s="1716">
        <f>J247/J$229</f>
        <v>-0.42896030025703058</v>
      </c>
      <c r="L247" s="1719">
        <f>L232-L245</f>
        <v>-14034592</v>
      </c>
      <c r="M247" s="1716">
        <f>L247/L$229</f>
        <v>-1.2856911741399544</v>
      </c>
      <c r="N247" s="1719">
        <f>N232-N245</f>
        <v>-1723627.7999999998</v>
      </c>
      <c r="O247" s="1716">
        <f>N247/N$229</f>
        <v>-1.2083626375475316</v>
      </c>
      <c r="P247" s="1719">
        <f>P232-P245</f>
        <v>-2077230</v>
      </c>
      <c r="Q247" s="1716">
        <f>P247/P$229</f>
        <v>-0.31854001229241219</v>
      </c>
      <c r="R247" s="1719">
        <f>R232-R245</f>
        <v>-1044868</v>
      </c>
      <c r="S247" s="1716">
        <f>R247/R$229</f>
        <v>-0.22393285194904058</v>
      </c>
      <c r="T247" s="1719">
        <f>T232-T245</f>
        <v>-783646.79999999981</v>
      </c>
      <c r="U247" s="1716">
        <f>T247/T$229</f>
        <v>-0.23989853595936533</v>
      </c>
      <c r="V247" s="1719">
        <f>V232-V245</f>
        <v>-515546</v>
      </c>
      <c r="W247" s="1716">
        <f>V247/V$229</f>
        <v>-0.3498125226458802</v>
      </c>
      <c r="X247" s="1719">
        <f>X232-X245</f>
        <v>-1025664</v>
      </c>
      <c r="Y247" s="1716">
        <f>X247/X$229</f>
        <v>-0.10904827296430764</v>
      </c>
      <c r="Z247" s="1719">
        <f>Z232-Z245</f>
        <v>-308397</v>
      </c>
      <c r="AA247" s="1716">
        <f>Z247/Z$229</f>
        <v>-0.1007409299615064</v>
      </c>
      <c r="AB247" s="1719">
        <f>AB232-AB245</f>
        <v>-592368</v>
      </c>
      <c r="AC247" s="1716">
        <f>AB247/AB$229</f>
        <v>-0.52080382553008542</v>
      </c>
      <c r="AD247" s="1719">
        <f>AD232-AD245</f>
        <v>-2810459.5999999996</v>
      </c>
      <c r="AE247" s="1716">
        <f>AD247/AD$229</f>
        <v>-0.55056129458302971</v>
      </c>
      <c r="AF247" s="1719">
        <f>AF232-AF245</f>
        <v>-1004764</v>
      </c>
      <c r="AG247" s="1716">
        <f>AF247/AF$229</f>
        <v>-0.28593349190006312</v>
      </c>
      <c r="AH247" s="1719">
        <f>AH232-AH245</f>
        <v>-372679</v>
      </c>
      <c r="AI247" s="1716">
        <f>AH247/AH$229</f>
        <v>-0.20275781398764994</v>
      </c>
      <c r="AJ247" s="1719">
        <f>AJ232-AJ245</f>
        <v>-835237.39999999991</v>
      </c>
      <c r="AK247" s="1716">
        <f>AJ247/AJ$229</f>
        <v>-0.5005488891272728</v>
      </c>
      <c r="AL247" s="1719">
        <f>AL232-AL245</f>
        <v>354295</v>
      </c>
      <c r="AM247" s="1716">
        <f>AL247/AL$229</f>
        <v>8.4027146155460711E-2</v>
      </c>
      <c r="AN247" s="1719">
        <f>AN232-AN245</f>
        <v>-1168870</v>
      </c>
      <c r="AO247" s="1716">
        <f>AN247/AN$229</f>
        <v>-0.63155875662562067</v>
      </c>
      <c r="AP247" s="1719">
        <f>AP232-AP245</f>
        <v>-929078</v>
      </c>
      <c r="AQ247" s="1716">
        <f>AP247/AP$229</f>
        <v>-0.47174849639617455</v>
      </c>
      <c r="AR247" s="1719">
        <f>AR232-AR245</f>
        <v>-2639111</v>
      </c>
      <c r="AS247" s="1716">
        <f>AR247/AR$229</f>
        <v>-0.77902161480049292</v>
      </c>
      <c r="AT247" s="1719">
        <f>AT232-AT245</f>
        <v>-708188</v>
      </c>
      <c r="AU247" s="1716">
        <f>AT247/AT$229</f>
        <v>-0.14115122112225692</v>
      </c>
      <c r="AV247" s="1719">
        <f>AV232-AV245</f>
        <v>-1435288</v>
      </c>
      <c r="AW247" s="1716">
        <f>AV247/AV$229</f>
        <v>-0.66822974669164614</v>
      </c>
      <c r="AX247" s="1719">
        <f>AX232-AX245</f>
        <v>44536.799999999814</v>
      </c>
      <c r="AY247" s="1716">
        <f>AX247/AX$229</f>
        <v>7.6082524207990148E-3</v>
      </c>
      <c r="AZ247" s="1719">
        <f>AZ232-AZ245</f>
        <v>-1036593</v>
      </c>
      <c r="BA247" s="1716">
        <f>AZ247/AZ$229</f>
        <v>-0.39887785504928674</v>
      </c>
      <c r="BB247" s="1719">
        <f>BB232-BB245</f>
        <v>-2006554</v>
      </c>
      <c r="BC247" s="1716">
        <f>BB247/BB$229</f>
        <v>-0.80820956090409091</v>
      </c>
      <c r="BD247" s="1719">
        <f>BD232-BD245</f>
        <v>-1779950</v>
      </c>
      <c r="BE247" s="1716">
        <f>BD247/BD$229</f>
        <v>-0.54712642971533254</v>
      </c>
      <c r="BF247" s="1719">
        <f>BF232-BF245</f>
        <v>-388790</v>
      </c>
      <c r="BG247" s="1716">
        <f>BF247/BF$229</f>
        <v>-0.27459519474300537</v>
      </c>
      <c r="BH247" s="1719">
        <f>BH232-BH245</f>
        <v>-718254</v>
      </c>
      <c r="BI247" s="1716">
        <f>BH247/BH$229</f>
        <v>-0.34911219307339991</v>
      </c>
      <c r="BJ247" s="1719">
        <f>BJ232-BJ245</f>
        <v>-1154555.7999999998</v>
      </c>
      <c r="BK247" s="1716">
        <f>BJ247/BJ$229</f>
        <v>-0.3335655611720138</v>
      </c>
      <c r="BL247" s="1719">
        <f>BL232-BL245</f>
        <v>-1840532</v>
      </c>
      <c r="BM247" s="1716">
        <f>BL247/BL$229</f>
        <v>-0.48109880481503436</v>
      </c>
      <c r="BN247" s="1719">
        <f>BN232-BN245</f>
        <v>0</v>
      </c>
      <c r="BO247" s="1716" t="e">
        <f>BN247/BN$229</f>
        <v>#DIV/0!</v>
      </c>
      <c r="BP247" s="1719">
        <f>BP232-BP245</f>
        <v>-386613</v>
      </c>
      <c r="BQ247" s="1716">
        <f>BP247/BP$229</f>
        <v>-0.10815853280861704</v>
      </c>
      <c r="BR247" s="1719">
        <f>BR232-BR245</f>
        <v>-268739</v>
      </c>
      <c r="BS247" s="1716">
        <f>BR247/BR$229</f>
        <v>-0.48834200421944762</v>
      </c>
      <c r="BT247" s="1719">
        <f>BT232-BT245</f>
        <v>-448242</v>
      </c>
      <c r="BU247" s="1716">
        <f>BT247/BT$229</f>
        <v>-0.30565552944642121</v>
      </c>
      <c r="BV247" s="1719">
        <f>BV232-BV245</f>
        <v>-503474</v>
      </c>
      <c r="BW247" s="1716">
        <f>BV247/BV$229</f>
        <v>-0.32012721819561007</v>
      </c>
      <c r="BX247" s="1719">
        <f>BX232-BX245</f>
        <v>-981544</v>
      </c>
      <c r="BY247" s="1716">
        <f>BX247/BX$229</f>
        <v>-0.18744719630523093</v>
      </c>
      <c r="BZ247" s="1719">
        <f>BZ232-BZ245</f>
        <v>120715.20000000019</v>
      </c>
      <c r="CA247" s="1716">
        <f>BZ247/BZ$229</f>
        <v>2.7900507346247043E-2</v>
      </c>
      <c r="CB247" s="1719">
        <f>CB232-CB245</f>
        <v>-610393</v>
      </c>
      <c r="CC247" s="1716">
        <f>CB247/CB$229</f>
        <v>-0.44489577555537901</v>
      </c>
      <c r="CD247" s="1719">
        <f>CD232-CD245</f>
        <v>972933.05141165445</v>
      </c>
      <c r="CE247" s="1716">
        <f>CD247/CD$229</f>
        <v>0.53999846337479218</v>
      </c>
      <c r="CF247" s="1719">
        <v>-981656</v>
      </c>
      <c r="CG247" s="1716">
        <v>-0.41857611224840924</v>
      </c>
      <c r="CH247" s="1719">
        <v>-1607090.7999999998</v>
      </c>
      <c r="CI247" s="1716">
        <v>-0.86404078343156954</v>
      </c>
      <c r="CJ247" s="1719">
        <v>-522827</v>
      </c>
      <c r="CK247" s="1716">
        <v>-0.29808937316091261</v>
      </c>
      <c r="CL247" s="1719">
        <v>-1778918</v>
      </c>
      <c r="CM247" s="1716">
        <v>-0.23711496033772911</v>
      </c>
      <c r="CN247" s="1719">
        <f>CN232-CN245</f>
        <v>-1396948</v>
      </c>
      <c r="CO247" s="1716">
        <f>CN247/CN$229</f>
        <v>-0.41323709510427453</v>
      </c>
      <c r="CP247" s="1719">
        <f>CP232-CP245</f>
        <v>-751189</v>
      </c>
      <c r="CQ247" s="1716">
        <f>CP247/CP$229</f>
        <v>-0.38372545043192735</v>
      </c>
      <c r="CR247" s="1719">
        <v>-1960511</v>
      </c>
      <c r="CS247" s="1716">
        <v>-0.44399460188933876</v>
      </c>
      <c r="CT247" s="1719">
        <f>CT232-CT245</f>
        <v>-1066932</v>
      </c>
      <c r="CU247" s="1716">
        <f>CT247/CT$229</f>
        <v>-0.42814526245332035</v>
      </c>
      <c r="CV247" s="1719">
        <f>CV232-CV245</f>
        <v>-3212632.4000000004</v>
      </c>
      <c r="CW247" s="1716">
        <f>CV247/CV$229</f>
        <v>-0.47007324646493887</v>
      </c>
      <c r="CX247" s="1719">
        <v>-6052728</v>
      </c>
      <c r="CY247" s="1716">
        <f>CX247/CX$229</f>
        <v>-1.4481111265294013</v>
      </c>
      <c r="CZ247" s="1719">
        <v>-629002</v>
      </c>
      <c r="DA247" s="1716">
        <v>-0.64715735236319716</v>
      </c>
      <c r="DB247" s="1719">
        <v>-1968217</v>
      </c>
      <c r="DC247" s="1716">
        <v>-0.58495905589458108</v>
      </c>
      <c r="DD247" s="1719">
        <v>-716901.39999999991</v>
      </c>
      <c r="DE247" s="1716">
        <v>-0.57299030178442678</v>
      </c>
      <c r="DF247" s="1719">
        <v>-10909745</v>
      </c>
      <c r="DG247" s="1716">
        <v>-1.4131708006440893</v>
      </c>
      <c r="DH247" s="1719">
        <v>-189560</v>
      </c>
      <c r="DI247" s="1716">
        <v>-8.2512280426838697E-2</v>
      </c>
      <c r="DJ247" s="1719">
        <v>-753596</v>
      </c>
      <c r="DK247" s="1716">
        <v>-0.3775659691813148</v>
      </c>
      <c r="DL247" s="1719">
        <v>-1329294</v>
      </c>
      <c r="DM247" s="1716">
        <v>-0.58749353082421385</v>
      </c>
      <c r="DN247" s="1719">
        <f>DN232-DN245</f>
        <v>-266568</v>
      </c>
      <c r="DO247" s="1716">
        <f>DN247/DN$229</f>
        <v>-0.20122774226471041</v>
      </c>
      <c r="DP247" s="1719">
        <f>DP232-DP245</f>
        <v>-966991</v>
      </c>
      <c r="DQ247" s="1716">
        <f>DP247/DP$229</f>
        <v>-1.5662639478965381</v>
      </c>
      <c r="DR247" s="1719">
        <f>DR232-DR245</f>
        <v>-3473170.8</v>
      </c>
      <c r="DS247" s="1716">
        <f>DR247/DR$229</f>
        <v>-1.8362613379464068</v>
      </c>
      <c r="DT247" s="1719">
        <f>DT232-DT245</f>
        <v>-5966521.4000000004</v>
      </c>
      <c r="DU247" s="1716">
        <f>DT247/DT$229</f>
        <v>-1.5061579969596746</v>
      </c>
      <c r="DV247" s="1719">
        <f>DV232-DV245</f>
        <v>-666242</v>
      </c>
      <c r="DW247" s="1716">
        <f>DV247/DV$229</f>
        <v>-0.5247735471573276</v>
      </c>
      <c r="DX247" s="1719">
        <f>DX232-DX245</f>
        <v>-2563644</v>
      </c>
      <c r="DY247" s="1716">
        <f>DX247/DX$229</f>
        <v>-0.80252988539822001</v>
      </c>
      <c r="DZ247" s="1719">
        <f>DZ232-DZ245</f>
        <v>-7540394.4000000004</v>
      </c>
      <c r="EA247" s="1716">
        <f>DZ247/DZ$229</f>
        <v>-1.4264831858778741</v>
      </c>
      <c r="EB247" s="1719">
        <f>EB232-EB245</f>
        <v>-3508964.2</v>
      </c>
      <c r="EC247" s="1716">
        <f>EB247/EB$229</f>
        <v>-0.9084123100055298</v>
      </c>
      <c r="ED247" s="1719">
        <f>ED232-ED245</f>
        <v>-157423</v>
      </c>
      <c r="EE247" s="1716">
        <f>ED247/ED$229</f>
        <v>-0.11750554412270743</v>
      </c>
      <c r="EF247" s="1719">
        <f>EF232-EF245</f>
        <v>-2177479.4</v>
      </c>
      <c r="EG247" s="1716">
        <f>EF247/EF$229</f>
        <v>-1.1047458096633067</v>
      </c>
      <c r="EH247" s="1719">
        <f>EH232-EH245</f>
        <v>-6225958</v>
      </c>
      <c r="EI247" s="1716">
        <f>EH247/EH$229</f>
        <v>-0.6689615950490061</v>
      </c>
      <c r="EJ247" s="1719">
        <f>EJ232-EJ245</f>
        <v>-3523494</v>
      </c>
      <c r="EK247" s="1716">
        <f>EJ247/EJ$229</f>
        <v>-1.5969997112840788</v>
      </c>
      <c r="EL247" s="1719">
        <f>EL232-EL245</f>
        <v>-6464169</v>
      </c>
      <c r="EM247" s="1716">
        <f>EL247/EL$229</f>
        <v>-1.0988900378804556</v>
      </c>
      <c r="EN247" s="1719">
        <f>EN232-EN245</f>
        <v>-1542679</v>
      </c>
      <c r="EO247" s="1716">
        <f>EN247/EN$229</f>
        <v>-0.59254770943987023</v>
      </c>
      <c r="EP247" s="1719">
        <f>EP232-EP245</f>
        <v>-1272422</v>
      </c>
      <c r="EQ247" s="1716">
        <f>EP247/EP$229</f>
        <v>-0.46123219072440547</v>
      </c>
      <c r="ER247" s="1719">
        <f>ER232-ER245</f>
        <v>-800853</v>
      </c>
      <c r="ES247" s="1716">
        <f>ER247/ER$229</f>
        <v>-0.73217431690042334</v>
      </c>
      <c r="ET247" s="1719">
        <f>ET232-ET245</f>
        <v>-1698630</v>
      </c>
      <c r="EU247" s="1716">
        <f>ET247/ET$229</f>
        <v>-0.36778609283869079</v>
      </c>
      <c r="EV247" s="1719">
        <f>EV232-EV245</f>
        <v>-1457016</v>
      </c>
      <c r="EW247" s="1716">
        <f>EV247/EV$229</f>
        <v>-0.65293618638367401</v>
      </c>
      <c r="EX247" s="1719">
        <f>EX232-EX245</f>
        <v>-1433284</v>
      </c>
      <c r="EY247" s="1716">
        <f>EX247/EX$229</f>
        <v>-0.93239431488777058</v>
      </c>
      <c r="EZ247" s="1719">
        <f>EZ232-EZ245</f>
        <v>-2444072.7999999998</v>
      </c>
      <c r="FA247" s="1716">
        <f>EZ247/EZ$229</f>
        <v>-1.2156929143728026</v>
      </c>
      <c r="FB247" s="1719">
        <f>FB232-FB245</f>
        <v>-836541</v>
      </c>
      <c r="FC247" s="1716">
        <f>FB247/FB$229</f>
        <v>-0.66639077661588852</v>
      </c>
      <c r="FD247" s="1719">
        <f>FD232-FD245</f>
        <v>-598364</v>
      </c>
      <c r="FE247" s="1716">
        <f>FD247/FD$229</f>
        <v>-0.29190894273723056</v>
      </c>
      <c r="FF247" s="1719">
        <f>FF232-FF245</f>
        <v>-1152224</v>
      </c>
      <c r="FG247" s="1716">
        <f>FF247/FF$229</f>
        <v>-0.33436855225089018</v>
      </c>
      <c r="FH247" s="1719">
        <f>FH232-FH245</f>
        <v>-719294</v>
      </c>
      <c r="FI247" s="1716">
        <f>FH247/FH$229</f>
        <v>-0.47075539429447294</v>
      </c>
      <c r="FJ247" s="1719">
        <f>FJ232-FJ245</f>
        <v>-906075</v>
      </c>
      <c r="FK247" s="1716">
        <f>FJ247/FJ$229</f>
        <v>-0.48043349966833743</v>
      </c>
      <c r="FL247" s="1719">
        <f>FL232-FL245</f>
        <v>-786513.60000000009</v>
      </c>
      <c r="FM247" s="1716">
        <f>FL247/FL$229</f>
        <v>-0.58513957178790721</v>
      </c>
      <c r="FN247" s="1719">
        <f>FN232-FN245</f>
        <v>-2608989.2000000002</v>
      </c>
      <c r="FO247" s="1716">
        <f>FN247/FN$229</f>
        <v>-0.55495306702707925</v>
      </c>
      <c r="FP247" s="1719">
        <f>FP232-FP245</f>
        <v>-546386</v>
      </c>
      <c r="FQ247" s="1716">
        <f>FP247/FP$229</f>
        <v>-0.68717426300432638</v>
      </c>
      <c r="FR247" s="1719">
        <f>FR232-FR245</f>
        <v>-1501973</v>
      </c>
      <c r="FS247" s="1716">
        <f>FR247/FR$229</f>
        <v>-0.24527734638454365</v>
      </c>
      <c r="FT247" s="1719">
        <f>FT232-FT245</f>
        <v>-2009261</v>
      </c>
      <c r="FU247" s="1716">
        <f>FT247/FT$229</f>
        <v>-0.4259778834044971</v>
      </c>
      <c r="FV247" s="1719">
        <f>FV232-FV245</f>
        <v>-7209788.8000000007</v>
      </c>
      <c r="FW247" s="1716">
        <f>FV247/FV$229</f>
        <v>-1.1475747660494466</v>
      </c>
      <c r="FX247" s="1719">
        <f>FX232-FX245</f>
        <v>-1001188.2</v>
      </c>
      <c r="FY247" s="1716">
        <f>FX247/FX$229</f>
        <v>-0.57391323787872006</v>
      </c>
      <c r="FZ247" s="1719">
        <f>FZ232-FZ245</f>
        <v>-913792</v>
      </c>
      <c r="GA247" s="1716">
        <f>FZ247/FZ$229</f>
        <v>-0.58281379452859472</v>
      </c>
      <c r="GB247" s="1719">
        <f>GB232-GB245</f>
        <v>-823935</v>
      </c>
      <c r="GC247" s="1716">
        <f>GB247/GB$229</f>
        <v>-1.157520967673958</v>
      </c>
      <c r="GD247" s="1719">
        <f>GD232-GD245</f>
        <v>-3888791</v>
      </c>
      <c r="GE247" s="1716">
        <f>GD247/GD$229</f>
        <v>-1.0395213079907104</v>
      </c>
      <c r="GF247" s="1719">
        <f>GF232-GF245</f>
        <v>-1199954.7999999998</v>
      </c>
      <c r="GG247" s="1716">
        <f>GF247/GF$229</f>
        <v>-0.51375273690673229</v>
      </c>
      <c r="GH247" s="1719">
        <f>GH232-GH245</f>
        <v>-684179</v>
      </c>
      <c r="GI247" s="1716">
        <f>GH247/GH$229</f>
        <v>-0.54867318379752517</v>
      </c>
      <c r="GJ247" s="1719">
        <f>GJ232-GJ245</f>
        <v>-7343287</v>
      </c>
      <c r="GK247" s="1716">
        <f>GJ247/GJ$229</f>
        <v>-0.6095190150796731</v>
      </c>
      <c r="GL247" s="1719">
        <f>GL232-GL245</f>
        <v>-995485</v>
      </c>
      <c r="GM247" s="1716">
        <f>GL247/GL$229</f>
        <v>-0.45875159620771921</v>
      </c>
      <c r="GN247" s="1719">
        <f>GN232-GN245</f>
        <v>-1030093</v>
      </c>
      <c r="GO247" s="1716">
        <f>GN247/GN$229</f>
        <v>-0.80723483554271058</v>
      </c>
      <c r="GP247" s="1719">
        <f>GP232-GP245</f>
        <v>-889280</v>
      </c>
      <c r="GQ247" s="1716">
        <f>GP247/GP$229</f>
        <v>-0.4755935292582435</v>
      </c>
      <c r="GR247" s="1719">
        <f>GR232-GR245</f>
        <v>-1165402</v>
      </c>
      <c r="GS247" s="1716">
        <f>GR247/GR$229</f>
        <v>-0.70882853118134637</v>
      </c>
      <c r="GT247" s="1719">
        <f>GT232-GT245</f>
        <v>-320095</v>
      </c>
      <c r="GU247" s="1716">
        <f>GT247/GT$229</f>
        <v>-0.12087914992798496</v>
      </c>
      <c r="GV247" s="1719">
        <f>GV232-GV245</f>
        <v>-567398</v>
      </c>
      <c r="GW247" s="1716">
        <f>GV247/GV$229</f>
        <v>-0.17262379046549869</v>
      </c>
      <c r="GX247" s="1719">
        <f>GX232-GX245</f>
        <v>-620885</v>
      </c>
      <c r="GY247" s="1716">
        <f>GX247/GX$229</f>
        <v>-0.32706716022042404</v>
      </c>
      <c r="GZ247" s="1719">
        <f>GZ232-GZ245</f>
        <v>-1464164.7999999998</v>
      </c>
      <c r="HA247" s="1716">
        <f>GZ247/GZ$229</f>
        <v>-0.34954979043697398</v>
      </c>
      <c r="HB247" s="1719">
        <f>HB232-HB245</f>
        <v>-184215</v>
      </c>
      <c r="HC247" s="1716">
        <f>HB247/HB$229</f>
        <v>-0.40298693571109806</v>
      </c>
      <c r="HD247" s="1719">
        <f>HD232-HD245</f>
        <v>-1214134</v>
      </c>
      <c r="HE247" s="1716">
        <f>HD247/HD$229</f>
        <v>-0.74276677617290976</v>
      </c>
      <c r="HF247" s="2036">
        <f>HF232-HF245</f>
        <v>-6869974</v>
      </c>
      <c r="HG247" s="2033">
        <f>HF247/HF$229</f>
        <v>-0.87629398945509485</v>
      </c>
      <c r="HH247" s="1719">
        <f>HH232-HH245</f>
        <v>-2047365</v>
      </c>
      <c r="HI247" s="1716">
        <f>HH247/HH$229</f>
        <v>-0.67826737721308639</v>
      </c>
      <c r="HJ247" s="1719">
        <f>HJ232-HJ245</f>
        <v>-1937892.2000000002</v>
      </c>
      <c r="HK247" s="1716">
        <f>HJ247/HJ$229</f>
        <v>-0.32307766432197266</v>
      </c>
      <c r="HL247" s="1719">
        <f>HL232-HL245</f>
        <v>-53994</v>
      </c>
      <c r="HM247" s="1716">
        <f>HL247/HL$229</f>
        <v>-2.7968615726013859E-2</v>
      </c>
      <c r="HN247" s="1719">
        <f>HN232-HN245</f>
        <v>-507267</v>
      </c>
      <c r="HO247" s="1716">
        <f>HN247/HN$229</f>
        <v>-0.38457695299410322</v>
      </c>
      <c r="HP247" s="2036">
        <f>HP232-HP245</f>
        <v>-5520378</v>
      </c>
      <c r="HQ247" s="2033">
        <f>HP247/HP$229</f>
        <v>-0.87637873352258855</v>
      </c>
      <c r="HR247" s="1719">
        <f>HR232-HR245</f>
        <v>-596329</v>
      </c>
      <c r="HS247" s="1716">
        <f>HR247/HR$229</f>
        <v>-0.3117708013108062</v>
      </c>
      <c r="HT247" s="2036">
        <f>HT232-HT245</f>
        <v>-4759978.4000000004</v>
      </c>
      <c r="HU247" s="2033">
        <f>HT247/HT$229</f>
        <v>-1.2261181875108993</v>
      </c>
      <c r="HV247" s="2036">
        <f>HV232-HV245</f>
        <v>-2985906.8</v>
      </c>
      <c r="HW247" s="2033">
        <f>HV247/HV$229</f>
        <v>-1.4492259067166389</v>
      </c>
      <c r="HX247" s="2036">
        <f>HX232-HX245</f>
        <v>-1574132</v>
      </c>
      <c r="HY247" s="2033">
        <f>HX247/HX$229</f>
        <v>-0.76891987540048623</v>
      </c>
      <c r="HZ247" s="2036">
        <f>HZ232-HZ245</f>
        <v>-1537207</v>
      </c>
      <c r="IA247" s="2033">
        <f>HZ247/HZ$229</f>
        <v>-0.89588397621011095</v>
      </c>
      <c r="IB247" s="1719">
        <f>IB232-IB245</f>
        <v>-1037294</v>
      </c>
      <c r="IC247" s="1716">
        <f>IB247/IB$229</f>
        <v>-0.73483877092138394</v>
      </c>
      <c r="ID247" s="2036">
        <f>ID232-ID245</f>
        <v>-1383650</v>
      </c>
      <c r="IE247" s="2033">
        <f>ID247/ID$229</f>
        <v>-0.69629591607713126</v>
      </c>
      <c r="IF247" s="2036">
        <f>IF232-IF245</f>
        <v>-29165</v>
      </c>
      <c r="IG247" s="2033">
        <f>IF247/IF$229</f>
        <v>-1.1412201762562031E-2</v>
      </c>
    </row>
    <row r="248" spans="1:241" ht="16.2" thickTop="1">
      <c r="A248" s="1149"/>
      <c r="B248" s="1149"/>
      <c r="C248" s="1149"/>
      <c r="D248" s="1149"/>
      <c r="E248" s="1143"/>
      <c r="F248" s="1406"/>
      <c r="G248" s="1356"/>
      <c r="H248" s="1406"/>
      <c r="I248" s="1356"/>
      <c r="J248" s="1406"/>
      <c r="K248" s="1356"/>
      <c r="L248" s="1406"/>
      <c r="M248" s="1356"/>
      <c r="N248" s="1406"/>
      <c r="O248" s="1356"/>
      <c r="P248" s="1406"/>
      <c r="Q248" s="1356"/>
      <c r="T248" s="1406"/>
      <c r="U248" s="1356"/>
      <c r="V248" s="1406"/>
      <c r="W248" s="1356"/>
      <c r="X248" s="1406"/>
      <c r="Y248" s="1356"/>
      <c r="Z248" s="1406"/>
      <c r="AA248" s="1356"/>
      <c r="AB248" s="1406"/>
      <c r="AC248" s="1356"/>
      <c r="AD248" s="1406"/>
      <c r="AE248" s="1356"/>
      <c r="AF248" s="1406"/>
      <c r="AG248" s="1356"/>
      <c r="AH248" s="1406"/>
      <c r="AI248" s="1356"/>
      <c r="AJ248" s="1406"/>
      <c r="AK248" s="1356"/>
      <c r="AL248" s="1406"/>
      <c r="AM248" s="1356"/>
      <c r="AN248" s="1406"/>
      <c r="AO248" s="1356"/>
      <c r="AP248" s="1406"/>
      <c r="AQ248" s="1356"/>
      <c r="AR248" s="1406"/>
      <c r="AS248" s="1356"/>
      <c r="AT248" s="1406"/>
      <c r="AU248" s="1356"/>
      <c r="AV248" s="1406"/>
      <c r="AW248" s="1356"/>
      <c r="AX248" s="1406"/>
      <c r="AY248" s="1356"/>
      <c r="AZ248" s="1406"/>
      <c r="BA248" s="1356"/>
      <c r="BB248" s="1406"/>
      <c r="BC248" s="1356"/>
      <c r="BD248" s="1406"/>
      <c r="BE248" s="1356"/>
      <c r="BF248" s="1406"/>
      <c r="BG248" s="1356"/>
      <c r="BH248" s="1406"/>
      <c r="BI248" s="1356"/>
      <c r="BJ248" s="1406"/>
      <c r="BK248" s="1356"/>
      <c r="BL248" s="1406"/>
      <c r="BM248" s="1356"/>
      <c r="BN248" s="1406"/>
      <c r="BO248" s="1356"/>
      <c r="BP248" s="1406"/>
      <c r="BQ248" s="1356"/>
      <c r="BR248" s="1406"/>
      <c r="BS248" s="1356"/>
      <c r="BT248" s="1406"/>
      <c r="BU248" s="1356"/>
      <c r="BV248" s="1406"/>
      <c r="BW248" s="1356"/>
      <c r="BX248" s="1406"/>
      <c r="BY248" s="1356"/>
      <c r="BZ248" s="1406"/>
      <c r="CA248" s="1356"/>
      <c r="CB248" s="1406"/>
      <c r="CC248" s="1356"/>
      <c r="CD248" s="1406"/>
      <c r="CE248" s="1356"/>
      <c r="CF248" s="1406"/>
      <c r="CG248" s="1356"/>
      <c r="CH248" s="1406"/>
      <c r="CI248" s="1356"/>
      <c r="CJ248" s="1406"/>
      <c r="CK248" s="1356"/>
      <c r="CL248" s="1406"/>
      <c r="CM248" s="1356"/>
      <c r="CN248" s="1406"/>
      <c r="CO248" s="1356"/>
      <c r="CP248" s="1406"/>
      <c r="CQ248" s="1356"/>
      <c r="CR248" s="1406"/>
      <c r="CS248" s="1356"/>
      <c r="CT248" s="1406"/>
      <c r="CU248" s="1356"/>
      <c r="CV248" s="1406"/>
      <c r="CW248" s="1356"/>
      <c r="CX248" s="1406"/>
      <c r="CY248" s="1356"/>
      <c r="CZ248" s="1406"/>
      <c r="DA248" s="1356"/>
      <c r="DB248" s="1406"/>
      <c r="DC248" s="1356"/>
      <c r="DD248" s="1406"/>
      <c r="DE248" s="1356"/>
      <c r="DF248" s="1406"/>
      <c r="DG248" s="1356"/>
      <c r="DH248" s="1406"/>
      <c r="DI248" s="1356"/>
      <c r="DJ248" s="1406"/>
      <c r="DK248" s="1356"/>
      <c r="DL248" s="1406"/>
      <c r="DM248" s="1356"/>
      <c r="DN248" s="1406"/>
      <c r="DO248" s="1356"/>
      <c r="DP248" s="1406"/>
      <c r="DQ248" s="1356"/>
      <c r="DR248" s="1406"/>
      <c r="DS248" s="1356"/>
      <c r="DT248" s="1406"/>
      <c r="DU248" s="1356"/>
      <c r="DV248" s="1406"/>
      <c r="DW248" s="1356"/>
      <c r="DX248" s="1406"/>
      <c r="DY248" s="1356"/>
      <c r="DZ248" s="1406"/>
      <c r="EA248" s="1356"/>
      <c r="EB248" s="1406"/>
      <c r="EC248" s="1356"/>
      <c r="ED248" s="1406"/>
      <c r="EE248" s="1356"/>
      <c r="EF248" s="1406"/>
      <c r="EG248" s="1356"/>
      <c r="EH248" s="1406"/>
      <c r="EI248" s="1356"/>
      <c r="EJ248" s="1406"/>
      <c r="EK248" s="1356"/>
      <c r="EL248" s="1406"/>
      <c r="EM248" s="1356"/>
      <c r="EN248" s="1406"/>
      <c r="EO248" s="1356"/>
      <c r="EP248" s="1406"/>
      <c r="EQ248" s="1356"/>
      <c r="ER248" s="1406"/>
      <c r="ES248" s="1356"/>
      <c r="ET248" s="1406"/>
      <c r="EU248" s="1356"/>
      <c r="EV248" s="1406"/>
      <c r="EW248" s="1356"/>
      <c r="EX248" s="1406"/>
      <c r="EY248" s="1356"/>
      <c r="EZ248" s="1406"/>
      <c r="FA248" s="1356"/>
      <c r="FB248" s="1406"/>
      <c r="FC248" s="1356"/>
      <c r="FD248" s="1406"/>
      <c r="FE248" s="1356"/>
      <c r="FF248" s="1406"/>
      <c r="FG248" s="1356"/>
      <c r="FH248" s="1406"/>
      <c r="FI248" s="1356"/>
      <c r="FJ248" s="1406"/>
      <c r="FK248" s="1356"/>
      <c r="FL248" s="1406"/>
      <c r="FM248" s="1356"/>
      <c r="FN248" s="1406"/>
      <c r="FO248" s="1356"/>
      <c r="FP248" s="1406"/>
      <c r="FQ248" s="1356"/>
      <c r="FR248" s="1406"/>
      <c r="FS248" s="1356"/>
      <c r="FT248" s="1406"/>
      <c r="FU248" s="1356"/>
      <c r="FV248" s="1406"/>
      <c r="FW248" s="1356"/>
      <c r="FX248" s="1406"/>
      <c r="FY248" s="1356"/>
      <c r="FZ248" s="1406"/>
      <c r="GA248" s="1356"/>
      <c r="GB248" s="1406"/>
      <c r="GC248" s="1356"/>
      <c r="GD248" s="1406"/>
      <c r="GE248" s="1356"/>
      <c r="GF248" s="1406"/>
      <c r="GG248" s="1356"/>
      <c r="GH248" s="1406"/>
      <c r="GI248" s="1356"/>
      <c r="GJ248" s="1406"/>
      <c r="GK248" s="1356"/>
      <c r="GL248" s="1406"/>
      <c r="GM248" s="1356"/>
      <c r="GN248" s="1406"/>
      <c r="GO248" s="1356"/>
      <c r="GP248" s="1406"/>
      <c r="GQ248" s="1356"/>
      <c r="GR248" s="1406"/>
      <c r="GS248" s="1356"/>
      <c r="GT248" s="1406"/>
      <c r="GU248" s="1356"/>
      <c r="GV248" s="1406"/>
      <c r="GW248" s="1356"/>
      <c r="GX248" s="1406"/>
      <c r="GY248" s="1356"/>
      <c r="GZ248" s="1406"/>
      <c r="HA248" s="1356"/>
      <c r="HB248" s="1406"/>
      <c r="HC248" s="1356"/>
      <c r="HD248" s="1406"/>
      <c r="HE248" s="1356"/>
      <c r="HF248" s="2017"/>
      <c r="HH248" s="1406"/>
      <c r="HI248" s="1356"/>
      <c r="HJ248" s="1406"/>
      <c r="HK248" s="1356"/>
      <c r="HL248" s="1406"/>
      <c r="HM248" s="1356"/>
      <c r="HN248" s="1406"/>
      <c r="HO248" s="1356"/>
      <c r="HP248" s="2017"/>
      <c r="HR248" s="1406"/>
      <c r="HS248" s="1356"/>
      <c r="HT248" s="2017"/>
      <c r="HV248" s="2017"/>
      <c r="HX248" s="2017"/>
      <c r="HZ248" s="2017"/>
      <c r="IB248" s="1406"/>
      <c r="IC248" s="1356"/>
      <c r="ID248" s="2017"/>
      <c r="IF248" s="2017"/>
    </row>
    <row r="249" spans="1:241">
      <c r="A249" s="1149"/>
      <c r="B249" s="1149"/>
      <c r="C249" s="1149"/>
      <c r="D249" s="1149" t="s">
        <v>35</v>
      </c>
      <c r="E249" s="1143"/>
      <c r="F249" s="1728">
        <f>F219/F224</f>
        <v>1.902414155490326</v>
      </c>
      <c r="G249" s="1356"/>
      <c r="H249" s="1728">
        <f>H219/H224</f>
        <v>1.018032803644465</v>
      </c>
      <c r="I249" s="1356"/>
      <c r="J249" s="1728">
        <f>J219/J224</f>
        <v>1.6517696623354954</v>
      </c>
      <c r="K249" s="1356"/>
      <c r="L249" s="1728">
        <f>L219/L224</f>
        <v>5.5121685672440481</v>
      </c>
      <c r="M249" s="1356"/>
      <c r="N249" s="1728">
        <f>N219/N224</f>
        <v>6.2840619526418724</v>
      </c>
      <c r="O249" s="1356"/>
      <c r="P249" s="1728">
        <f>P219/P224</f>
        <v>1.9634287106161987</v>
      </c>
      <c r="Q249" s="1356"/>
      <c r="R249" s="1728">
        <f>R219/R224</f>
        <v>1.728480414945281</v>
      </c>
      <c r="T249" s="1728">
        <f>T219/T224</f>
        <v>1.4168251210789007</v>
      </c>
      <c r="U249" s="1356"/>
      <c r="V249" s="1728">
        <f>V219/V224</f>
        <v>2.8110874354810349</v>
      </c>
      <c r="W249" s="1356"/>
      <c r="X249" s="1728">
        <f>X219/X224</f>
        <v>2.1984022944064323</v>
      </c>
      <c r="Y249" s="1356"/>
      <c r="Z249" s="1728">
        <f>Z219/Z224</f>
        <v>1.9554617800420349</v>
      </c>
      <c r="AA249" s="1356"/>
      <c r="AB249" s="1728">
        <f>AB219/AB224</f>
        <v>1.5962834290514321</v>
      </c>
      <c r="AC249" s="1356"/>
      <c r="AD249" s="1728">
        <f>AD219/AD224</f>
        <v>6.0192631358938682</v>
      </c>
      <c r="AE249" s="1356"/>
      <c r="AF249" s="1728">
        <f>AF219/AF224</f>
        <v>1.4763675956039619</v>
      </c>
      <c r="AG249" s="1356"/>
      <c r="AH249" s="1728">
        <f>AH219/AH224</f>
        <v>2.6544437662412541</v>
      </c>
      <c r="AI249" s="1356"/>
      <c r="AJ249" s="1728">
        <f>AJ219/AJ224</f>
        <v>6.1734726777953082</v>
      </c>
      <c r="AK249" s="1356"/>
      <c r="AL249" s="1728">
        <f>AL219/AL224</f>
        <v>3.3609480980739752</v>
      </c>
      <c r="AM249" s="1356"/>
      <c r="AN249" s="1728">
        <f>AN219/AN224</f>
        <v>1.7983331896949271</v>
      </c>
      <c r="AO249" s="1356"/>
      <c r="AP249" s="1728">
        <f>AP219/AP224</f>
        <v>1.5905539982926378</v>
      </c>
      <c r="AQ249" s="1356"/>
      <c r="AR249" s="1728">
        <f>AR219/AR224</f>
        <v>3.2540493976917273</v>
      </c>
      <c r="AS249" s="1356"/>
      <c r="AT249" s="1728">
        <f>AT219/AT224</f>
        <v>1.7205995348567344</v>
      </c>
      <c r="AU249" s="1356"/>
      <c r="AV249" s="1728">
        <f>AV219/AV224</f>
        <v>2.269233169407141</v>
      </c>
      <c r="AW249" s="1356"/>
      <c r="AX249" s="1728">
        <f>AX219/AX224</f>
        <v>1.8506842617365669</v>
      </c>
      <c r="AY249" s="1356"/>
      <c r="AZ249" s="1728">
        <f>AZ219/AZ224</f>
        <v>1.5436421011007424</v>
      </c>
      <c r="BA249" s="1356"/>
      <c r="BB249" s="1728">
        <f>BB219/BB224</f>
        <v>2.1773302243199248</v>
      </c>
      <c r="BC249" s="1356"/>
      <c r="BD249" s="1728">
        <f>BD219/BD224</f>
        <v>2.3133273719438545</v>
      </c>
      <c r="BE249" s="1356"/>
      <c r="BF249" s="1728">
        <f>BF219/BF224</f>
        <v>1.688473975729289</v>
      </c>
      <c r="BG249" s="1356"/>
      <c r="BH249" s="1728">
        <f>BH219/BH224</f>
        <v>1.9888472434081499</v>
      </c>
      <c r="BI249" s="1356"/>
      <c r="BJ249" s="1728">
        <f>BJ219/BJ224</f>
        <v>1.4266356319582714</v>
      </c>
      <c r="BK249" s="1356"/>
      <c r="BL249" s="1728">
        <f>BL219/BL224</f>
        <v>1.3836512628289162</v>
      </c>
      <c r="BM249" s="1356"/>
      <c r="BN249" s="1728" t="e">
        <f>BN219/BN224</f>
        <v>#DIV/0!</v>
      </c>
      <c r="BO249" s="1356"/>
      <c r="BP249" s="1728">
        <f>BP219/BP224</f>
        <v>1.5557612365455318</v>
      </c>
      <c r="BQ249" s="1356"/>
      <c r="BR249" s="1728">
        <f>BR219/BR224</f>
        <v>4.8697748338719826</v>
      </c>
      <c r="BS249" s="1356"/>
      <c r="BT249" s="1728">
        <f>BT219/BT224</f>
        <v>2.4990921172874709</v>
      </c>
      <c r="BU249" s="1356"/>
      <c r="BV249" s="1728">
        <f>BV219/BV224</f>
        <v>2.668699220180597</v>
      </c>
      <c r="BW249" s="1356"/>
      <c r="BX249" s="1728">
        <f>BX219/BX224</f>
        <v>1.5098791835905183</v>
      </c>
      <c r="BY249" s="1356"/>
      <c r="BZ249" s="1728">
        <f>BZ219/BZ224</f>
        <v>2.4327824967906659</v>
      </c>
      <c r="CA249" s="1356"/>
      <c r="CB249" s="1728">
        <f>CB219/CB224</f>
        <v>2.3257243557578797</v>
      </c>
      <c r="CC249" s="1356"/>
      <c r="CD249" s="1728">
        <f>CD219/CD224</f>
        <v>1.642108427551215</v>
      </c>
      <c r="CE249" s="1356"/>
      <c r="CF249" s="1728">
        <v>2.1206199120190119</v>
      </c>
      <c r="CG249" s="1356"/>
      <c r="CH249" s="1728">
        <v>1.7622729999940596</v>
      </c>
      <c r="CI249" s="1356"/>
      <c r="CJ249" s="1728">
        <v>1.3545235851462845</v>
      </c>
      <c r="CK249" s="1356"/>
      <c r="CL249" s="1728">
        <v>1.6362818253534588</v>
      </c>
      <c r="CM249" s="1356"/>
      <c r="CN249" s="1728">
        <f>CN219/CN224</f>
        <v>1.9564917755217699</v>
      </c>
      <c r="CO249" s="1356"/>
      <c r="CP249" s="1728">
        <f>CP219/CP224</f>
        <v>2.414612066484449</v>
      </c>
      <c r="CQ249" s="1356"/>
      <c r="CR249" s="1728">
        <v>2.3070669941065316</v>
      </c>
      <c r="CS249" s="1356"/>
      <c r="CT249" s="1728">
        <f>CT219/CT224</f>
        <v>2.1294523050956862</v>
      </c>
      <c r="CU249" s="1356"/>
      <c r="CV249" s="1728">
        <f>CV219/CV224</f>
        <v>1.5327494523568022</v>
      </c>
      <c r="CW249" s="1356"/>
      <c r="CX249" s="1728">
        <f>CX219/CX224</f>
        <v>5.1778473444689306</v>
      </c>
      <c r="CY249" s="1356"/>
      <c r="CZ249" s="1728">
        <v>2.5288440941222601</v>
      </c>
      <c r="DA249" s="1356"/>
      <c r="DB249" s="1728">
        <v>2.2991353850860299</v>
      </c>
      <c r="DC249" s="1356"/>
      <c r="DD249" s="1728">
        <v>2.0221061734001284</v>
      </c>
      <c r="DE249" s="1356"/>
      <c r="DF249" s="1728">
        <v>4.9138188712488269</v>
      </c>
      <c r="DG249" s="1356"/>
      <c r="DH249" s="1728">
        <v>2.1900220642654711</v>
      </c>
      <c r="DI249" s="1356"/>
      <c r="DJ249" s="1728">
        <v>2.222410399892798</v>
      </c>
      <c r="DK249" s="1356"/>
      <c r="DL249" s="1728">
        <v>2.5822103236674288</v>
      </c>
      <c r="DM249" s="1356"/>
      <c r="DN249" s="1728">
        <f>DN219/DN224</f>
        <v>1.232241344156052</v>
      </c>
      <c r="DO249" s="1356"/>
      <c r="DP249" s="1728">
        <f>DP219/DP224</f>
        <v>6.7691968892356478</v>
      </c>
      <c r="DQ249" s="1356"/>
      <c r="DR249" s="1728">
        <f>DR219/DR224</f>
        <v>6.2742222683726956</v>
      </c>
      <c r="DS249" s="1356"/>
      <c r="DT249" s="1728">
        <f>DT219/DT224</f>
        <v>6.9586179462865045</v>
      </c>
      <c r="DU249" s="1356"/>
      <c r="DV249" s="1728">
        <f>DV219/DV224</f>
        <v>1.8945928445705009</v>
      </c>
      <c r="DW249" s="1356"/>
      <c r="DX249" s="1728">
        <f>DX219/DX224</f>
        <v>2.9088261602146734</v>
      </c>
      <c r="DY249" s="1356"/>
      <c r="DZ249" s="1728">
        <f>DZ219/DZ224</f>
        <v>6.9042326349221543</v>
      </c>
      <c r="EA249" s="1356"/>
      <c r="EB249" s="1728">
        <f>EB219/EB224</f>
        <v>2.9467183258184391</v>
      </c>
      <c r="EC249" s="1356"/>
      <c r="ED249" s="1728">
        <f>ED219/ED224</f>
        <v>2.1444461395829175</v>
      </c>
      <c r="EE249" s="1356"/>
      <c r="EF249" s="1728">
        <f>EF219/EF224</f>
        <v>5.9911538638886821</v>
      </c>
      <c r="EG249" s="1356"/>
      <c r="EH249" s="1728">
        <f>EH219/EH224</f>
        <v>4.844837872599113</v>
      </c>
      <c r="EI249" s="1356"/>
      <c r="EJ249" s="1728">
        <f>EJ219/EJ224</f>
        <v>4.443364921309672</v>
      </c>
      <c r="EK249" s="1356"/>
      <c r="EL249" s="1728">
        <f>EL219/EL224</f>
        <v>4.7860231383758283</v>
      </c>
      <c r="EM249" s="1356"/>
      <c r="EN249" s="1728">
        <f>EN219/EN224</f>
        <v>1.5122822050842617</v>
      </c>
      <c r="EO249" s="1356"/>
      <c r="EP249" s="1728">
        <f>EP219/EP224</f>
        <v>3.1224213805933907</v>
      </c>
      <c r="EQ249" s="1356"/>
      <c r="ER249" s="1728">
        <f>ER219/ER224</f>
        <v>2.5066041304668416</v>
      </c>
      <c r="ES249" s="1356"/>
      <c r="ET249" s="1728">
        <f>ET219/ET224</f>
        <v>2.2399029402727719</v>
      </c>
      <c r="EU249" s="1356"/>
      <c r="EV249" s="1728">
        <f>EV219/EV224</f>
        <v>1.9404332082393372</v>
      </c>
      <c r="EW249" s="1356"/>
      <c r="EX249" s="1728">
        <f>EX219/EX224</f>
        <v>1.898724319023958</v>
      </c>
      <c r="EY249" s="1356"/>
      <c r="EZ249" s="1728">
        <f>EZ219/EZ224</f>
        <v>5.2662614739663693</v>
      </c>
      <c r="FA249" s="1356"/>
      <c r="FB249" s="1728">
        <f>FB219/FB224</f>
        <v>1.817511547629201</v>
      </c>
      <c r="FC249" s="1356"/>
      <c r="FD249" s="1728">
        <f>FD219/FD224</f>
        <v>1.4393195998234025</v>
      </c>
      <c r="FE249" s="1356"/>
      <c r="FF249" s="1728">
        <f>FF219/FF224</f>
        <v>1.5918903062759493</v>
      </c>
      <c r="FG249" s="1356"/>
      <c r="FH249" s="1728">
        <f>FH219/FH224</f>
        <v>2.1743819337682302</v>
      </c>
      <c r="FI249" s="1356"/>
      <c r="FJ249" s="1728">
        <f>FJ219/FJ224</f>
        <v>1.6094162703787898</v>
      </c>
      <c r="FK249" s="1356"/>
      <c r="FL249" s="1728">
        <f>FL219/FL224</f>
        <v>2.3173661413922035</v>
      </c>
      <c r="FM249" s="1356"/>
      <c r="FN249" s="1728">
        <f>FN219/FN224</f>
        <v>2.3455250476073908</v>
      </c>
      <c r="FO249" s="1356"/>
      <c r="FP249" s="1728">
        <f>FP219/FP224</f>
        <v>1.8472697192908325</v>
      </c>
      <c r="FQ249" s="1356"/>
      <c r="FR249" s="1728">
        <f>FR219/FR224</f>
        <v>1.3647793058784956</v>
      </c>
      <c r="FS249" s="1356"/>
      <c r="FT249" s="1728">
        <f>FT219/FT224</f>
        <v>2.02011974652308</v>
      </c>
      <c r="FU249" s="1356"/>
      <c r="FV249" s="1728">
        <f>FV219/FV224</f>
        <v>5.7429448748247891</v>
      </c>
      <c r="FW249" s="1356"/>
      <c r="FX249" s="1728">
        <f>FX219/FX224</f>
        <v>2.3215044591517331</v>
      </c>
      <c r="FY249" s="1356"/>
      <c r="FZ249" s="1728">
        <f>FZ219/FZ224</f>
        <v>2.289554349399638</v>
      </c>
      <c r="GA249" s="1356"/>
      <c r="GB249" s="1728">
        <f>GB219/GB224</f>
        <v>1.8157375285307975</v>
      </c>
      <c r="GC249" s="1356"/>
      <c r="GD249" s="1728">
        <f>GD219/GD224</f>
        <v>5.5684642275837488</v>
      </c>
      <c r="GE249" s="1356"/>
      <c r="GF249" s="1728">
        <f>GF219/GF224</f>
        <v>2.7597927954901791</v>
      </c>
      <c r="GG249" s="1356"/>
      <c r="GH249" s="1728">
        <f>GH219/GH224</f>
        <v>3.6672580415759017</v>
      </c>
      <c r="GI249" s="1356"/>
      <c r="GJ249" s="1728">
        <f>GJ219/GJ224</f>
        <v>2.3983627167438475</v>
      </c>
      <c r="GK249" s="1356"/>
      <c r="GL249" s="1728">
        <f>GL219/GL224</f>
        <v>2.0896883525170433</v>
      </c>
      <c r="GM249" s="1356"/>
      <c r="GN249" s="1728">
        <f>GN219/GN224</f>
        <v>3.1657857882039546</v>
      </c>
      <c r="GO249" s="1356"/>
      <c r="GP249" s="1728">
        <f>GP219/GP224</f>
        <v>2.3248491680906715</v>
      </c>
      <c r="GQ249" s="1356"/>
      <c r="GR249" s="1728">
        <f>GR219/GR224</f>
        <v>2.1942973270177539</v>
      </c>
      <c r="GS249" s="1356"/>
      <c r="GT249" s="1728">
        <f>GT219/GT224</f>
        <v>1.7474953517713072</v>
      </c>
      <c r="GU249" s="1356"/>
      <c r="GV249" s="1728">
        <f>GV219/GV224</f>
        <v>1.5890968068195961</v>
      </c>
      <c r="GW249" s="1356"/>
      <c r="GX249" s="1728">
        <f>GX219/GX224</f>
        <v>2.3713162820599338</v>
      </c>
      <c r="GY249" s="1356"/>
      <c r="GZ249" s="1728">
        <f>GZ219/GZ224</f>
        <v>2.2416187368825105</v>
      </c>
      <c r="HA249" s="1356"/>
      <c r="HB249" s="1728">
        <f>HB219/HB224</f>
        <v>2.8393133104884769</v>
      </c>
      <c r="HC249" s="1356"/>
      <c r="HD249" s="1728">
        <f>HD219/HD224</f>
        <v>2.2193332125385035</v>
      </c>
      <c r="HE249" s="1356"/>
      <c r="HF249" s="2049">
        <f>HF219/HF224</f>
        <v>3.0314527989468596</v>
      </c>
      <c r="HH249" s="1728">
        <f>HH219/HH224</f>
        <v>1.8993973600643943</v>
      </c>
      <c r="HI249" s="1356"/>
      <c r="HJ249" s="1728">
        <f>HJ219/HJ224</f>
        <v>1.5647772344541309</v>
      </c>
      <c r="HK249" s="1356"/>
      <c r="HL249" s="1728">
        <f>HL219/HL224</f>
        <v>3.0491747575870076</v>
      </c>
      <c r="HM249" s="1356"/>
      <c r="HN249" s="1728">
        <f>HN219/HN224</f>
        <v>2.8730748789504439</v>
      </c>
      <c r="HO249" s="1356"/>
      <c r="HP249" s="2049">
        <f>HP219/HP224</f>
        <v>2.9357774548162849</v>
      </c>
      <c r="HR249" s="1728">
        <f>HR219/HR224</f>
        <v>2.4010249042486227</v>
      </c>
      <c r="HS249" s="1356"/>
      <c r="HT249" s="2049">
        <f>HT219/HT224</f>
        <v>6.7185964716946245</v>
      </c>
      <c r="HV249" s="2049">
        <f>HV219/HV224</f>
        <v>4.6109946132604209</v>
      </c>
      <c r="HX249" s="2049">
        <f>HX219/HX224</f>
        <v>2.9111825639732376</v>
      </c>
      <c r="HZ249" s="2049">
        <f>HZ219/HZ224</f>
        <v>2.4491488968223338</v>
      </c>
      <c r="IB249" s="1728">
        <f>IB219/IB224</f>
        <v>1.7003336215537888</v>
      </c>
      <c r="IC249" s="1356"/>
      <c r="ID249" s="2049">
        <f>ID219/ID224</f>
        <v>2.105109037383353</v>
      </c>
      <c r="IF249" s="2049">
        <f>IF219/IF224</f>
        <v>1.8560039158888531</v>
      </c>
    </row>
    <row r="250" spans="1:241">
      <c r="A250" s="1149"/>
      <c r="B250" s="1149"/>
      <c r="C250" s="1149"/>
      <c r="D250" s="1149"/>
      <c r="E250" s="1143"/>
      <c r="F250" s="1406" t="s">
        <v>989</v>
      </c>
      <c r="G250" s="1356"/>
      <c r="H250" s="1406" t="s">
        <v>989</v>
      </c>
      <c r="I250" s="1356"/>
      <c r="J250" s="1406" t="s">
        <v>989</v>
      </c>
      <c r="K250" s="1356"/>
      <c r="L250" s="1406" t="s">
        <v>989</v>
      </c>
      <c r="M250" s="1356"/>
      <c r="N250" s="1406" t="s">
        <v>989</v>
      </c>
      <c r="O250" s="1356"/>
      <c r="P250" s="1406" t="s">
        <v>989</v>
      </c>
      <c r="Q250" s="1356"/>
      <c r="R250" s="1406" t="s">
        <v>989</v>
      </c>
      <c r="T250" s="1406" t="s">
        <v>989</v>
      </c>
      <c r="U250" s="1356"/>
      <c r="V250" s="1406" t="s">
        <v>989</v>
      </c>
      <c r="W250" s="1356"/>
      <c r="X250" s="1406" t="s">
        <v>989</v>
      </c>
      <c r="Y250" s="1356"/>
      <c r="Z250" s="1406" t="s">
        <v>989</v>
      </c>
      <c r="AA250" s="1356"/>
      <c r="AB250" s="1406" t="s">
        <v>989</v>
      </c>
      <c r="AC250" s="1356"/>
      <c r="AD250" s="1406" t="s">
        <v>989</v>
      </c>
      <c r="AE250" s="1356"/>
      <c r="AF250" s="1406" t="s">
        <v>989</v>
      </c>
      <c r="AG250" s="1356"/>
      <c r="AH250" s="1406" t="s">
        <v>989</v>
      </c>
      <c r="AI250" s="1356"/>
      <c r="AJ250" s="1406" t="s">
        <v>989</v>
      </c>
      <c r="AK250" s="1356"/>
      <c r="AL250" s="1406" t="s">
        <v>989</v>
      </c>
      <c r="AM250" s="1356"/>
      <c r="AN250" s="1406" t="s">
        <v>989</v>
      </c>
      <c r="AO250" s="1356"/>
      <c r="AP250" s="1406" t="s">
        <v>989</v>
      </c>
      <c r="AQ250" s="1356"/>
      <c r="AR250" s="1406" t="s">
        <v>989</v>
      </c>
      <c r="AS250" s="1356"/>
      <c r="AT250" s="1406" t="s">
        <v>989</v>
      </c>
      <c r="AU250" s="1356"/>
      <c r="AV250" s="1406" t="s">
        <v>989</v>
      </c>
      <c r="AW250" s="1356"/>
      <c r="AX250" s="1406" t="s">
        <v>989</v>
      </c>
      <c r="AY250" s="1356"/>
      <c r="AZ250" s="1406" t="s">
        <v>989</v>
      </c>
      <c r="BA250" s="1356"/>
      <c r="BB250" s="1406" t="s">
        <v>989</v>
      </c>
      <c r="BC250" s="1356"/>
      <c r="BD250" s="1406" t="s">
        <v>989</v>
      </c>
      <c r="BE250" s="1356"/>
      <c r="BF250" s="1406" t="s">
        <v>989</v>
      </c>
      <c r="BG250" s="1356"/>
      <c r="BH250" s="1406" t="s">
        <v>989</v>
      </c>
      <c r="BI250" s="1356"/>
      <c r="BJ250" s="1406" t="s">
        <v>989</v>
      </c>
      <c r="BK250" s="1356"/>
      <c r="BL250" s="1406" t="s">
        <v>989</v>
      </c>
      <c r="BM250" s="1356"/>
      <c r="BN250" s="1406" t="s">
        <v>989</v>
      </c>
      <c r="BO250" s="1356"/>
      <c r="BP250" s="1406" t="s">
        <v>989</v>
      </c>
      <c r="BQ250" s="1356"/>
      <c r="BR250" s="1406" t="s">
        <v>989</v>
      </c>
      <c r="BS250" s="1356"/>
      <c r="BT250" s="1406" t="s">
        <v>989</v>
      </c>
      <c r="BU250" s="1356"/>
      <c r="BV250" s="1406" t="s">
        <v>989</v>
      </c>
      <c r="BW250" s="1356"/>
      <c r="BX250" s="1406" t="s">
        <v>989</v>
      </c>
      <c r="BY250" s="1356"/>
      <c r="BZ250" s="1406" t="s">
        <v>989</v>
      </c>
      <c r="CA250" s="1356"/>
      <c r="CB250" s="1406" t="s">
        <v>989</v>
      </c>
      <c r="CC250" s="1356"/>
      <c r="CD250" s="1406" t="s">
        <v>989</v>
      </c>
      <c r="CE250" s="1356"/>
      <c r="CF250" s="1406" t="s">
        <v>989</v>
      </c>
      <c r="CG250" s="1356"/>
      <c r="CH250" s="1406" t="s">
        <v>989</v>
      </c>
      <c r="CI250" s="1356"/>
      <c r="CJ250" s="1406" t="s">
        <v>989</v>
      </c>
      <c r="CK250" s="1356"/>
      <c r="CL250" s="1406" t="s">
        <v>989</v>
      </c>
      <c r="CM250" s="1356"/>
      <c r="CN250" s="1406" t="s">
        <v>989</v>
      </c>
      <c r="CO250" s="1356"/>
      <c r="CP250" s="1406" t="s">
        <v>989</v>
      </c>
      <c r="CQ250" s="1356"/>
      <c r="CR250" s="1406" t="s">
        <v>989</v>
      </c>
      <c r="CS250" s="1356"/>
      <c r="CT250" s="1406" t="s">
        <v>989</v>
      </c>
      <c r="CU250" s="1356"/>
      <c r="CV250" s="1406" t="s">
        <v>989</v>
      </c>
      <c r="CW250" s="1356"/>
      <c r="CX250" s="1406" t="s">
        <v>989</v>
      </c>
      <c r="CY250" s="1356"/>
      <c r="CZ250" s="1406" t="s">
        <v>989</v>
      </c>
      <c r="DA250" s="1356"/>
      <c r="DB250" s="1406" t="s">
        <v>989</v>
      </c>
      <c r="DC250" s="1356"/>
      <c r="DD250" s="1406" t="s">
        <v>989</v>
      </c>
      <c r="DE250" s="1356"/>
      <c r="DF250" s="1406" t="s">
        <v>989</v>
      </c>
      <c r="DG250" s="1356"/>
      <c r="DH250" s="1406" t="s">
        <v>989</v>
      </c>
      <c r="DI250" s="1356"/>
      <c r="DJ250" s="1406" t="s">
        <v>989</v>
      </c>
      <c r="DK250" s="1356"/>
      <c r="DL250" s="1406" t="s">
        <v>989</v>
      </c>
      <c r="DM250" s="1356"/>
      <c r="DN250" s="1406" t="s">
        <v>989</v>
      </c>
      <c r="DO250" s="1356"/>
      <c r="DP250" s="1406" t="s">
        <v>989</v>
      </c>
      <c r="DQ250" s="1356"/>
      <c r="DR250" s="1406" t="s">
        <v>989</v>
      </c>
      <c r="DS250" s="1356"/>
      <c r="DT250" s="1406" t="s">
        <v>989</v>
      </c>
      <c r="DU250" s="1356"/>
      <c r="DV250" s="1406" t="s">
        <v>989</v>
      </c>
      <c r="DW250" s="1356"/>
      <c r="DX250" s="1406" t="s">
        <v>989</v>
      </c>
      <c r="DY250" s="1356"/>
      <c r="DZ250" s="1406" t="s">
        <v>989</v>
      </c>
      <c r="EA250" s="1356"/>
      <c r="EB250" s="1406" t="s">
        <v>989</v>
      </c>
      <c r="EC250" s="1356"/>
      <c r="ED250" s="1406" t="s">
        <v>989</v>
      </c>
      <c r="EE250" s="1356"/>
      <c r="EF250" s="1406" t="s">
        <v>989</v>
      </c>
      <c r="EG250" s="1356"/>
      <c r="EH250" s="1406" t="s">
        <v>989</v>
      </c>
      <c r="EI250" s="1356"/>
      <c r="EJ250" s="1406" t="s">
        <v>989</v>
      </c>
      <c r="EK250" s="1356"/>
      <c r="EL250" s="1406" t="s">
        <v>989</v>
      </c>
      <c r="EM250" s="1356"/>
      <c r="EN250" s="1406" t="s">
        <v>989</v>
      </c>
      <c r="EO250" s="1356"/>
      <c r="EP250" s="1406" t="s">
        <v>989</v>
      </c>
      <c r="EQ250" s="1356"/>
      <c r="ER250" s="1406" t="s">
        <v>989</v>
      </c>
      <c r="ES250" s="1356"/>
      <c r="ET250" s="1406" t="s">
        <v>989</v>
      </c>
      <c r="EU250" s="1356"/>
      <c r="EV250" s="1406" t="s">
        <v>989</v>
      </c>
      <c r="EW250" s="1356"/>
      <c r="EX250" s="1406" t="s">
        <v>989</v>
      </c>
      <c r="EY250" s="1356"/>
      <c r="EZ250" s="1406" t="s">
        <v>989</v>
      </c>
      <c r="FA250" s="1356"/>
      <c r="FB250" s="1406" t="s">
        <v>989</v>
      </c>
      <c r="FC250" s="1356"/>
      <c r="FD250" s="1406" t="s">
        <v>989</v>
      </c>
      <c r="FE250" s="1356"/>
      <c r="FF250" s="1406" t="s">
        <v>989</v>
      </c>
      <c r="FG250" s="1356"/>
      <c r="FH250" s="1406" t="s">
        <v>989</v>
      </c>
      <c r="FI250" s="1356"/>
      <c r="FJ250" s="1406" t="s">
        <v>989</v>
      </c>
      <c r="FK250" s="1356"/>
      <c r="FL250" s="1406" t="s">
        <v>989</v>
      </c>
      <c r="FM250" s="1356"/>
      <c r="FN250" s="1406" t="s">
        <v>989</v>
      </c>
      <c r="FO250" s="1356"/>
      <c r="FP250" s="1406" t="s">
        <v>989</v>
      </c>
      <c r="FQ250" s="1356"/>
      <c r="FR250" s="1406" t="s">
        <v>989</v>
      </c>
      <c r="FS250" s="1356"/>
      <c r="FT250" s="1406" t="s">
        <v>989</v>
      </c>
      <c r="FU250" s="1356"/>
      <c r="FV250" s="1406" t="s">
        <v>989</v>
      </c>
      <c r="FW250" s="1356"/>
      <c r="FX250" s="1406" t="s">
        <v>989</v>
      </c>
      <c r="FY250" s="1356"/>
      <c r="FZ250" s="1406" t="s">
        <v>989</v>
      </c>
      <c r="GA250" s="1356"/>
      <c r="GB250" s="1406" t="s">
        <v>989</v>
      </c>
      <c r="GC250" s="1356"/>
      <c r="GD250" s="1406" t="s">
        <v>989</v>
      </c>
      <c r="GE250" s="1356"/>
      <c r="GF250" s="1406" t="s">
        <v>989</v>
      </c>
      <c r="GG250" s="1356"/>
      <c r="GH250" s="1406" t="s">
        <v>989</v>
      </c>
      <c r="GI250" s="1356"/>
      <c r="GJ250" s="1406" t="s">
        <v>989</v>
      </c>
      <c r="GK250" s="1356"/>
      <c r="GL250" s="1406" t="s">
        <v>989</v>
      </c>
      <c r="GM250" s="1356"/>
      <c r="GN250" s="1406" t="s">
        <v>989</v>
      </c>
      <c r="GO250" s="1356"/>
      <c r="GP250" s="1406" t="s">
        <v>989</v>
      </c>
      <c r="GQ250" s="1356"/>
      <c r="GR250" s="1406" t="s">
        <v>989</v>
      </c>
      <c r="GS250" s="1356"/>
      <c r="GT250" s="1406" t="s">
        <v>989</v>
      </c>
      <c r="GU250" s="1356"/>
      <c r="GV250" s="1406" t="s">
        <v>989</v>
      </c>
      <c r="GW250" s="1356"/>
      <c r="GX250" s="1406" t="s">
        <v>989</v>
      </c>
      <c r="GY250" s="1356"/>
      <c r="GZ250" s="1406" t="s">
        <v>989</v>
      </c>
      <c r="HA250" s="1356"/>
      <c r="HB250" s="1406" t="s">
        <v>989</v>
      </c>
      <c r="HC250" s="1356"/>
      <c r="HD250" s="1406" t="s">
        <v>989</v>
      </c>
      <c r="HE250" s="1356"/>
      <c r="HF250" s="1536" t="s">
        <v>989</v>
      </c>
      <c r="HH250" s="1406" t="s">
        <v>989</v>
      </c>
      <c r="HI250" s="1356"/>
      <c r="HJ250" s="1406" t="s">
        <v>989</v>
      </c>
      <c r="HK250" s="1356"/>
      <c r="HL250" s="1406" t="s">
        <v>989</v>
      </c>
      <c r="HM250" s="1356"/>
      <c r="HN250" s="1406" t="s">
        <v>989</v>
      </c>
      <c r="HO250" s="1356"/>
      <c r="HP250" s="1536" t="s">
        <v>989</v>
      </c>
      <c r="HR250" s="1406" t="s">
        <v>989</v>
      </c>
      <c r="HS250" s="1356"/>
      <c r="HT250" s="1536" t="s">
        <v>989</v>
      </c>
      <c r="HV250" s="1536" t="s">
        <v>989</v>
      </c>
      <c r="HX250" s="1536" t="s">
        <v>989</v>
      </c>
      <c r="HZ250" s="1536" t="s">
        <v>989</v>
      </c>
      <c r="IB250" s="1406" t="s">
        <v>989</v>
      </c>
      <c r="IC250" s="1356"/>
      <c r="ID250" s="1536" t="s">
        <v>989</v>
      </c>
      <c r="IF250" s="1536" t="s">
        <v>989</v>
      </c>
    </row>
    <row r="251" spans="1:241">
      <c r="A251" s="1149"/>
      <c r="B251" s="1149"/>
      <c r="C251" s="1149"/>
      <c r="D251" s="1149"/>
      <c r="E251" s="1143"/>
      <c r="F251" s="1406" t="s">
        <v>990</v>
      </c>
      <c r="G251" s="1356"/>
      <c r="H251" s="1406" t="s">
        <v>990</v>
      </c>
      <c r="I251" s="1356"/>
      <c r="J251" s="1406" t="s">
        <v>990</v>
      </c>
      <c r="K251" s="1356"/>
      <c r="L251" s="1406" t="s">
        <v>990</v>
      </c>
      <c r="M251" s="1356"/>
      <c r="N251" s="1406" t="s">
        <v>990</v>
      </c>
      <c r="O251" s="1356"/>
      <c r="P251" s="1406" t="s">
        <v>990</v>
      </c>
      <c r="Q251" s="1356"/>
      <c r="R251" s="1406" t="s">
        <v>990</v>
      </c>
      <c r="T251" s="1406" t="s">
        <v>990</v>
      </c>
      <c r="U251" s="1356"/>
      <c r="V251" s="1406" t="s">
        <v>990</v>
      </c>
      <c r="W251" s="1356"/>
      <c r="X251" s="1406" t="s">
        <v>990</v>
      </c>
      <c r="Y251" s="1356"/>
      <c r="Z251" s="1406" t="s">
        <v>990</v>
      </c>
      <c r="AA251" s="1356"/>
      <c r="AB251" s="1406" t="s">
        <v>990</v>
      </c>
      <c r="AC251" s="1356"/>
      <c r="AD251" s="1406" t="s">
        <v>990</v>
      </c>
      <c r="AE251" s="1356"/>
      <c r="AF251" s="1406" t="s">
        <v>990</v>
      </c>
      <c r="AG251" s="1356"/>
      <c r="AH251" s="1406" t="s">
        <v>990</v>
      </c>
      <c r="AI251" s="1356"/>
      <c r="AJ251" s="1406" t="s">
        <v>990</v>
      </c>
      <c r="AK251" s="1356"/>
      <c r="AL251" s="1406" t="s">
        <v>990</v>
      </c>
      <c r="AM251" s="1356"/>
      <c r="AN251" s="1406" t="s">
        <v>990</v>
      </c>
      <c r="AO251" s="1356"/>
      <c r="AP251" s="1406" t="s">
        <v>990</v>
      </c>
      <c r="AQ251" s="1356"/>
      <c r="AR251" s="1406" t="s">
        <v>990</v>
      </c>
      <c r="AS251" s="1356"/>
      <c r="AT251" s="1406" t="s">
        <v>990</v>
      </c>
      <c r="AU251" s="1356"/>
      <c r="AV251" s="1406" t="s">
        <v>990</v>
      </c>
      <c r="AW251" s="1356"/>
      <c r="AX251" s="1406" t="s">
        <v>990</v>
      </c>
      <c r="AY251" s="1356"/>
      <c r="AZ251" s="1406" t="s">
        <v>990</v>
      </c>
      <c r="BA251" s="1356"/>
      <c r="BB251" s="1406" t="s">
        <v>990</v>
      </c>
      <c r="BC251" s="1356"/>
      <c r="BD251" s="1406" t="s">
        <v>990</v>
      </c>
      <c r="BE251" s="1356"/>
      <c r="BF251" s="1406" t="s">
        <v>990</v>
      </c>
      <c r="BG251" s="1356"/>
      <c r="BH251" s="1406" t="s">
        <v>990</v>
      </c>
      <c r="BI251" s="1356"/>
      <c r="BJ251" s="1406" t="s">
        <v>990</v>
      </c>
      <c r="BK251" s="1356"/>
      <c r="BL251" s="1406" t="s">
        <v>990</v>
      </c>
      <c r="BM251" s="1356"/>
      <c r="BN251" s="1406" t="s">
        <v>990</v>
      </c>
      <c r="BO251" s="1356"/>
      <c r="BP251" s="1406" t="s">
        <v>990</v>
      </c>
      <c r="BQ251" s="1356"/>
      <c r="BR251" s="1406" t="s">
        <v>990</v>
      </c>
      <c r="BS251" s="1356"/>
      <c r="BT251" s="1406" t="s">
        <v>990</v>
      </c>
      <c r="BU251" s="1356"/>
      <c r="BV251" s="1406" t="s">
        <v>990</v>
      </c>
      <c r="BW251" s="1356"/>
      <c r="BX251" s="1406" t="s">
        <v>990</v>
      </c>
      <c r="BY251" s="1356"/>
      <c r="BZ251" s="1406" t="s">
        <v>990</v>
      </c>
      <c r="CA251" s="1356"/>
      <c r="CB251" s="1406" t="s">
        <v>990</v>
      </c>
      <c r="CC251" s="1356"/>
      <c r="CD251" s="1406" t="s">
        <v>990</v>
      </c>
      <c r="CE251" s="1356"/>
      <c r="CF251" s="1406" t="s">
        <v>990</v>
      </c>
      <c r="CG251" s="1356"/>
      <c r="CH251" s="1406" t="s">
        <v>990</v>
      </c>
      <c r="CI251" s="1356"/>
      <c r="CJ251" s="1406" t="s">
        <v>990</v>
      </c>
      <c r="CK251" s="1356"/>
      <c r="CL251" s="1406" t="s">
        <v>990</v>
      </c>
      <c r="CM251" s="1356"/>
      <c r="CN251" s="1406" t="s">
        <v>990</v>
      </c>
      <c r="CO251" s="1356"/>
      <c r="CP251" s="1406" t="s">
        <v>990</v>
      </c>
      <c r="CQ251" s="1356"/>
      <c r="CR251" s="1406" t="s">
        <v>990</v>
      </c>
      <c r="CS251" s="1356"/>
      <c r="CT251" s="1406" t="s">
        <v>990</v>
      </c>
      <c r="CU251" s="1356"/>
      <c r="CV251" s="1406" t="s">
        <v>990</v>
      </c>
      <c r="CW251" s="1356"/>
      <c r="CX251" s="1406" t="s">
        <v>990</v>
      </c>
      <c r="CY251" s="1356"/>
      <c r="CZ251" s="1406" t="s">
        <v>990</v>
      </c>
      <c r="DA251" s="1356"/>
      <c r="DB251" s="1406" t="s">
        <v>990</v>
      </c>
      <c r="DC251" s="1356"/>
      <c r="DD251" s="1406" t="s">
        <v>990</v>
      </c>
      <c r="DE251" s="1356"/>
      <c r="DF251" s="1406" t="s">
        <v>990</v>
      </c>
      <c r="DG251" s="1356"/>
      <c r="DH251" s="1406" t="s">
        <v>990</v>
      </c>
      <c r="DI251" s="1356"/>
      <c r="DJ251" s="1406" t="s">
        <v>990</v>
      </c>
      <c r="DK251" s="1356"/>
      <c r="DL251" s="1406" t="s">
        <v>990</v>
      </c>
      <c r="DM251" s="1356"/>
      <c r="DN251" s="1406" t="s">
        <v>990</v>
      </c>
      <c r="DO251" s="1356"/>
      <c r="DP251" s="1406" t="s">
        <v>990</v>
      </c>
      <c r="DQ251" s="1356"/>
      <c r="DR251" s="1406" t="s">
        <v>990</v>
      </c>
      <c r="DS251" s="1356"/>
      <c r="DT251" s="1406" t="s">
        <v>990</v>
      </c>
      <c r="DU251" s="1356"/>
      <c r="DV251" s="1406" t="s">
        <v>990</v>
      </c>
      <c r="DW251" s="1356"/>
      <c r="DX251" s="1406" t="s">
        <v>990</v>
      </c>
      <c r="DY251" s="1356"/>
      <c r="DZ251" s="1406" t="s">
        <v>990</v>
      </c>
      <c r="EA251" s="1356"/>
      <c r="EB251" s="1406" t="s">
        <v>990</v>
      </c>
      <c r="EC251" s="1356"/>
      <c r="ED251" s="1406" t="s">
        <v>990</v>
      </c>
      <c r="EE251" s="1356"/>
      <c r="EF251" s="1406" t="s">
        <v>990</v>
      </c>
      <c r="EG251" s="1356"/>
      <c r="EH251" s="1406" t="s">
        <v>990</v>
      </c>
      <c r="EI251" s="1356"/>
      <c r="EJ251" s="1406" t="s">
        <v>990</v>
      </c>
      <c r="EK251" s="1356"/>
      <c r="EL251" s="1406" t="s">
        <v>990</v>
      </c>
      <c r="EM251" s="1356"/>
      <c r="EN251" s="1406" t="s">
        <v>990</v>
      </c>
      <c r="EO251" s="1356"/>
      <c r="EP251" s="1406" t="s">
        <v>990</v>
      </c>
      <c r="EQ251" s="1356"/>
      <c r="ER251" s="1406" t="s">
        <v>990</v>
      </c>
      <c r="ES251" s="1356"/>
      <c r="ET251" s="1406" t="s">
        <v>990</v>
      </c>
      <c r="EU251" s="1356"/>
      <c r="EV251" s="1406" t="s">
        <v>990</v>
      </c>
      <c r="EW251" s="1356"/>
      <c r="EX251" s="1406" t="s">
        <v>990</v>
      </c>
      <c r="EY251" s="1356"/>
      <c r="EZ251" s="1406" t="s">
        <v>990</v>
      </c>
      <c r="FA251" s="1356"/>
      <c r="FB251" s="1406" t="s">
        <v>990</v>
      </c>
      <c r="FC251" s="1356"/>
      <c r="FD251" s="1406" t="s">
        <v>990</v>
      </c>
      <c r="FE251" s="1356"/>
      <c r="FF251" s="1406" t="s">
        <v>990</v>
      </c>
      <c r="FG251" s="1356"/>
      <c r="FH251" s="1406" t="s">
        <v>990</v>
      </c>
      <c r="FI251" s="1356"/>
      <c r="FJ251" s="1406" t="s">
        <v>990</v>
      </c>
      <c r="FK251" s="1356"/>
      <c r="FL251" s="1406" t="s">
        <v>990</v>
      </c>
      <c r="FM251" s="1356"/>
      <c r="FN251" s="1406" t="s">
        <v>990</v>
      </c>
      <c r="FO251" s="1356"/>
      <c r="FP251" s="1406" t="s">
        <v>990</v>
      </c>
      <c r="FQ251" s="1356"/>
      <c r="FR251" s="1406" t="s">
        <v>990</v>
      </c>
      <c r="FS251" s="1356"/>
      <c r="FT251" s="1406" t="s">
        <v>990</v>
      </c>
      <c r="FU251" s="1356"/>
      <c r="FV251" s="1406" t="s">
        <v>990</v>
      </c>
      <c r="FW251" s="1356"/>
      <c r="FX251" s="1406" t="s">
        <v>990</v>
      </c>
      <c r="FY251" s="1356"/>
      <c r="FZ251" s="1406" t="s">
        <v>990</v>
      </c>
      <c r="GA251" s="1356"/>
      <c r="GB251" s="1406" t="s">
        <v>990</v>
      </c>
      <c r="GC251" s="1356"/>
      <c r="GD251" s="1406" t="s">
        <v>990</v>
      </c>
      <c r="GE251" s="1356"/>
      <c r="GF251" s="1406" t="s">
        <v>990</v>
      </c>
      <c r="GG251" s="1356"/>
      <c r="GH251" s="1406" t="s">
        <v>990</v>
      </c>
      <c r="GI251" s="1356"/>
      <c r="GJ251" s="1406" t="s">
        <v>990</v>
      </c>
      <c r="GK251" s="1356"/>
      <c r="GL251" s="1406" t="s">
        <v>990</v>
      </c>
      <c r="GM251" s="1356"/>
      <c r="GN251" s="1406" t="s">
        <v>990</v>
      </c>
      <c r="GO251" s="1356"/>
      <c r="GP251" s="1406" t="s">
        <v>990</v>
      </c>
      <c r="GQ251" s="1356"/>
      <c r="GR251" s="1406" t="s">
        <v>990</v>
      </c>
      <c r="GS251" s="1356"/>
      <c r="GT251" s="1406" t="s">
        <v>990</v>
      </c>
      <c r="GU251" s="1356"/>
      <c r="GV251" s="1406" t="s">
        <v>990</v>
      </c>
      <c r="GW251" s="1356"/>
      <c r="GX251" s="1406" t="s">
        <v>990</v>
      </c>
      <c r="GY251" s="1356"/>
      <c r="GZ251" s="1406" t="s">
        <v>990</v>
      </c>
      <c r="HA251" s="1356"/>
      <c r="HB251" s="1406" t="s">
        <v>990</v>
      </c>
      <c r="HC251" s="1356"/>
      <c r="HD251" s="1406" t="s">
        <v>990</v>
      </c>
      <c r="HE251" s="1356"/>
      <c r="HF251" s="1536" t="s">
        <v>990</v>
      </c>
      <c r="HH251" s="1406" t="s">
        <v>990</v>
      </c>
      <c r="HI251" s="1356"/>
      <c r="HJ251" s="1406" t="s">
        <v>990</v>
      </c>
      <c r="HK251" s="1356"/>
      <c r="HL251" s="1406" t="s">
        <v>990</v>
      </c>
      <c r="HM251" s="1356"/>
      <c r="HN251" s="1406" t="s">
        <v>990</v>
      </c>
      <c r="HO251" s="1356"/>
      <c r="HP251" s="1536" t="s">
        <v>990</v>
      </c>
      <c r="HR251" s="1406" t="s">
        <v>990</v>
      </c>
      <c r="HS251" s="1356"/>
      <c r="HT251" s="1536" t="s">
        <v>990</v>
      </c>
      <c r="HV251" s="1536" t="s">
        <v>990</v>
      </c>
      <c r="HX251" s="1536" t="s">
        <v>990</v>
      </c>
      <c r="HZ251" s="1536" t="s">
        <v>990</v>
      </c>
      <c r="IB251" s="1406" t="s">
        <v>990</v>
      </c>
      <c r="IC251" s="1356"/>
      <c r="ID251" s="1536" t="s">
        <v>990</v>
      </c>
      <c r="IF251" s="1536" t="s">
        <v>990</v>
      </c>
    </row>
    <row r="252" spans="1:241">
      <c r="A252" s="1149"/>
      <c r="B252" s="1149"/>
      <c r="C252" s="1149"/>
      <c r="D252" s="1149"/>
      <c r="E252" s="1143"/>
      <c r="F252" s="1406"/>
      <c r="G252" s="1356"/>
      <c r="H252" s="1406"/>
      <c r="I252" s="1356"/>
      <c r="J252" s="1406"/>
      <c r="K252" s="1356"/>
      <c r="L252" s="1406"/>
      <c r="M252" s="1356"/>
      <c r="N252" s="1406"/>
      <c r="O252" s="1356"/>
      <c r="P252" s="1406"/>
      <c r="Q252" s="1356"/>
      <c r="T252" s="1406"/>
      <c r="U252" s="1356"/>
      <c r="V252" s="1406"/>
      <c r="W252" s="1356"/>
      <c r="X252" s="1406"/>
      <c r="Y252" s="1356"/>
      <c r="Z252" s="1406"/>
      <c r="AA252" s="1356"/>
      <c r="AB252" s="1406"/>
      <c r="AC252" s="1356"/>
      <c r="AD252" s="1406"/>
      <c r="AE252" s="1356"/>
      <c r="AF252" s="1406"/>
      <c r="AG252" s="1356"/>
      <c r="AH252" s="1406"/>
      <c r="AI252" s="1356"/>
      <c r="AJ252" s="1406"/>
      <c r="AK252" s="1356"/>
      <c r="AL252" s="1406"/>
      <c r="AM252" s="1356"/>
      <c r="AN252" s="1406"/>
      <c r="AO252" s="1356"/>
      <c r="AP252" s="1406"/>
      <c r="AQ252" s="1356"/>
      <c r="AR252" s="1406"/>
      <c r="AS252" s="1356"/>
      <c r="AT252" s="1406"/>
      <c r="AU252" s="1356"/>
      <c r="AV252" s="1406"/>
      <c r="AW252" s="1356"/>
      <c r="AX252" s="1406"/>
      <c r="AY252" s="1356"/>
      <c r="AZ252" s="1406"/>
      <c r="BA252" s="1356"/>
      <c r="BB252" s="1406"/>
      <c r="BC252" s="1356"/>
      <c r="BD252" s="1406"/>
      <c r="BE252" s="1356"/>
      <c r="BF252" s="1406"/>
      <c r="BG252" s="1356"/>
      <c r="BH252" s="1406"/>
      <c r="BI252" s="1356"/>
      <c r="BJ252" s="1406"/>
      <c r="BK252" s="1356"/>
      <c r="BL252" s="1406"/>
      <c r="BM252" s="1356"/>
      <c r="BN252" s="1406"/>
      <c r="BO252" s="1356"/>
      <c r="BP252" s="1406"/>
      <c r="BQ252" s="1356"/>
      <c r="BR252" s="1406"/>
      <c r="BS252" s="1356"/>
      <c r="BT252" s="1406"/>
      <c r="BU252" s="1356"/>
      <c r="BV252" s="1406"/>
      <c r="BW252" s="1356"/>
      <c r="BX252" s="1406"/>
      <c r="BY252" s="1356"/>
      <c r="BZ252" s="1406"/>
      <c r="CA252" s="1356"/>
      <c r="CB252" s="1406"/>
      <c r="CC252" s="1356"/>
      <c r="CD252" s="1406"/>
      <c r="CE252" s="1356"/>
      <c r="CF252" s="1406"/>
      <c r="CG252" s="1356"/>
      <c r="CH252" s="1406"/>
      <c r="CI252" s="1356"/>
      <c r="CJ252" s="1406"/>
      <c r="CK252" s="1356"/>
      <c r="CL252" s="1406"/>
      <c r="CM252" s="1356"/>
      <c r="CN252" s="1406"/>
      <c r="CO252" s="1356"/>
      <c r="CP252" s="1406"/>
      <c r="CQ252" s="1356"/>
      <c r="CR252" s="1406"/>
      <c r="CS252" s="1356"/>
      <c r="CT252" s="1406"/>
      <c r="CU252" s="1356"/>
      <c r="CV252" s="1406"/>
      <c r="CW252" s="1356"/>
      <c r="CX252" s="1406"/>
      <c r="CY252" s="1356"/>
      <c r="CZ252" s="1406"/>
      <c r="DA252" s="1356"/>
      <c r="DB252" s="1406"/>
      <c r="DC252" s="1356"/>
      <c r="DD252" s="1406"/>
      <c r="DE252" s="1356"/>
      <c r="DF252" s="1406"/>
      <c r="DG252" s="1356"/>
      <c r="DH252" s="1406"/>
      <c r="DI252" s="1356"/>
      <c r="DJ252" s="1406"/>
      <c r="DK252" s="1356"/>
      <c r="DL252" s="1406"/>
      <c r="DM252" s="1356"/>
      <c r="DN252" s="1406"/>
      <c r="DO252" s="1356"/>
      <c r="DP252" s="1406"/>
      <c r="DQ252" s="1356"/>
      <c r="DR252" s="1406"/>
      <c r="DS252" s="1356"/>
      <c r="DT252" s="1406"/>
      <c r="DU252" s="1356"/>
      <c r="DV252" s="1406"/>
      <c r="DW252" s="1356"/>
      <c r="DX252" s="1406"/>
      <c r="DY252" s="1356"/>
      <c r="DZ252" s="1406"/>
      <c r="EA252" s="1356"/>
      <c r="EB252" s="1406"/>
      <c r="EC252" s="1356"/>
      <c r="ED252" s="1406"/>
      <c r="EE252" s="1356"/>
      <c r="EF252" s="1406"/>
      <c r="EG252" s="1356"/>
      <c r="EH252" s="1406"/>
      <c r="EI252" s="1356"/>
      <c r="EJ252" s="1406"/>
      <c r="EK252" s="1356"/>
      <c r="EL252" s="1406"/>
      <c r="EM252" s="1356"/>
      <c r="EN252" s="1406"/>
      <c r="EO252" s="1356"/>
      <c r="EP252" s="1406"/>
      <c r="EQ252" s="1356"/>
      <c r="ER252" s="1406"/>
      <c r="ES252" s="1356"/>
      <c r="ET252" s="1406"/>
      <c r="EU252" s="1356"/>
      <c r="EV252" s="1406"/>
      <c r="EW252" s="1356"/>
      <c r="EX252" s="1406"/>
      <c r="EY252" s="1356"/>
      <c r="EZ252" s="1406"/>
      <c r="FA252" s="1356"/>
      <c r="FB252" s="1406"/>
      <c r="FC252" s="1356"/>
      <c r="FD252" s="1406"/>
      <c r="FE252" s="1356"/>
      <c r="FF252" s="1406"/>
      <c r="FG252" s="1356"/>
      <c r="FH252" s="1406"/>
      <c r="FI252" s="1356"/>
      <c r="FJ252" s="1406"/>
      <c r="FK252" s="1356"/>
      <c r="FL252" s="1406"/>
      <c r="FM252" s="1356"/>
      <c r="FN252" s="1406"/>
      <c r="FO252" s="1356"/>
      <c r="FP252" s="1406"/>
      <c r="FQ252" s="1356"/>
      <c r="FR252" s="1406"/>
      <c r="FS252" s="1356"/>
      <c r="FT252" s="1406"/>
      <c r="FU252" s="1356"/>
      <c r="FV252" s="1406"/>
      <c r="FW252" s="1356"/>
      <c r="FX252" s="1406"/>
      <c r="FY252" s="1356"/>
      <c r="FZ252" s="1406"/>
      <c r="GA252" s="1356"/>
      <c r="GB252" s="1406"/>
      <c r="GC252" s="1356"/>
      <c r="GD252" s="1406"/>
      <c r="GE252" s="1356"/>
      <c r="GF252" s="1406"/>
      <c r="GG252" s="1356"/>
      <c r="GH252" s="1406"/>
      <c r="GI252" s="1356"/>
      <c r="GJ252" s="1406"/>
      <c r="GK252" s="1356"/>
      <c r="GL252" s="1406"/>
      <c r="GM252" s="1356"/>
      <c r="GN252" s="1406"/>
      <c r="GO252" s="1356"/>
      <c r="GP252" s="1406"/>
      <c r="GQ252" s="1356"/>
      <c r="GR252" s="1406"/>
      <c r="GS252" s="1356"/>
      <c r="GT252" s="1406"/>
      <c r="GU252" s="1356"/>
      <c r="GV252" s="1406"/>
      <c r="GW252" s="1356"/>
      <c r="GX252" s="1406"/>
      <c r="GY252" s="1356"/>
      <c r="GZ252" s="1406"/>
      <c r="HA252" s="1356"/>
      <c r="HB252" s="1406"/>
      <c r="HC252" s="1356"/>
      <c r="HD252" s="1406"/>
      <c r="HE252" s="1356"/>
      <c r="HH252" s="1406"/>
      <c r="HI252" s="1356"/>
      <c r="HJ252" s="1406"/>
      <c r="HK252" s="1356"/>
      <c r="HL252" s="1406"/>
      <c r="HM252" s="1356"/>
      <c r="HN252" s="1406"/>
      <c r="HO252" s="1356"/>
      <c r="HR252" s="1406"/>
      <c r="HS252" s="1356"/>
      <c r="IB252" s="1406"/>
      <c r="IC252" s="1356"/>
    </row>
    <row r="253" spans="1:241">
      <c r="A253" s="1149"/>
      <c r="B253" s="1149" t="s">
        <v>97</v>
      </c>
      <c r="C253" s="1149"/>
      <c r="D253" s="1149"/>
      <c r="E253" s="1143"/>
      <c r="F253" s="1537">
        <v>1</v>
      </c>
      <c r="G253" s="1356"/>
      <c r="H253" s="1537">
        <v>1</v>
      </c>
      <c r="I253" s="1356"/>
      <c r="J253" s="1537">
        <v>0</v>
      </c>
      <c r="K253" s="1356"/>
      <c r="L253" s="1537">
        <v>1</v>
      </c>
      <c r="M253" s="1356"/>
      <c r="N253" s="1537">
        <v>1</v>
      </c>
      <c r="O253" s="1356"/>
      <c r="P253" s="1537">
        <v>1</v>
      </c>
      <c r="Q253" s="1356"/>
      <c r="R253" s="1537">
        <v>1</v>
      </c>
      <c r="T253" s="1537">
        <v>1</v>
      </c>
      <c r="U253" s="1356"/>
      <c r="V253" s="1537">
        <v>1</v>
      </c>
      <c r="W253" s="1356"/>
      <c r="X253" s="1537">
        <v>1</v>
      </c>
      <c r="Y253" s="1356"/>
      <c r="Z253" s="1537">
        <v>1</v>
      </c>
      <c r="AA253" s="1356"/>
      <c r="AB253" s="1537">
        <v>0</v>
      </c>
      <c r="AC253" s="1356"/>
      <c r="AD253" s="1537">
        <v>0</v>
      </c>
      <c r="AE253" s="1356"/>
      <c r="AF253" s="1537">
        <v>0</v>
      </c>
      <c r="AG253" s="1356"/>
      <c r="AH253" s="1537">
        <v>0</v>
      </c>
      <c r="AI253" s="1356"/>
      <c r="AJ253" s="1537">
        <v>1</v>
      </c>
      <c r="AK253" s="1356"/>
      <c r="AL253" s="1537">
        <v>0</v>
      </c>
      <c r="AM253" s="1356"/>
      <c r="AN253" s="1537">
        <v>0</v>
      </c>
      <c r="AO253" s="1356"/>
      <c r="AP253" s="1537">
        <v>1</v>
      </c>
      <c r="AQ253" s="1356"/>
      <c r="AR253" s="1537">
        <v>1</v>
      </c>
      <c r="AS253" s="1356"/>
      <c r="AT253" s="1537">
        <v>1</v>
      </c>
      <c r="AU253" s="1356"/>
      <c r="AV253" s="1537">
        <v>1</v>
      </c>
      <c r="AW253" s="1356"/>
      <c r="AX253" s="1537">
        <v>1</v>
      </c>
      <c r="AY253" s="1356"/>
      <c r="AZ253" s="1537">
        <v>1</v>
      </c>
      <c r="BA253" s="1356"/>
      <c r="BB253" s="1537">
        <v>1</v>
      </c>
      <c r="BC253" s="1356"/>
      <c r="BD253" s="1537">
        <v>1</v>
      </c>
      <c r="BE253" s="1356"/>
      <c r="BF253" s="1537">
        <v>1</v>
      </c>
      <c r="BG253" s="1356"/>
      <c r="BH253" s="1537">
        <v>1</v>
      </c>
      <c r="BI253" s="1356"/>
      <c r="BJ253" s="1537">
        <v>0</v>
      </c>
      <c r="BK253" s="1356"/>
      <c r="BL253" s="1537">
        <v>1</v>
      </c>
      <c r="BM253" s="1356"/>
      <c r="BN253" s="1537"/>
      <c r="BO253" s="1356"/>
      <c r="BP253" s="1537">
        <v>1</v>
      </c>
      <c r="BQ253" s="1356"/>
      <c r="BR253" s="1537">
        <v>0</v>
      </c>
      <c r="BS253" s="1356"/>
      <c r="BT253" s="1537">
        <v>1</v>
      </c>
      <c r="BU253" s="1356"/>
      <c r="BV253" s="1537">
        <v>1</v>
      </c>
      <c r="BW253" s="1356"/>
      <c r="BX253" s="1537">
        <v>1</v>
      </c>
      <c r="BY253" s="1356"/>
      <c r="BZ253" s="1537">
        <v>1</v>
      </c>
      <c r="CA253" s="1356"/>
      <c r="CB253" s="1537">
        <v>0</v>
      </c>
      <c r="CC253" s="1356"/>
      <c r="CD253" s="1537">
        <v>1</v>
      </c>
      <c r="CE253" s="1356"/>
      <c r="CF253" s="1537">
        <v>1</v>
      </c>
      <c r="CG253" s="1356"/>
      <c r="CH253" s="1537">
        <v>1</v>
      </c>
      <c r="CI253" s="1356"/>
      <c r="CJ253" s="1537">
        <v>1</v>
      </c>
      <c r="CK253" s="1356"/>
      <c r="CL253" s="1537">
        <v>1</v>
      </c>
      <c r="CM253" s="1356"/>
      <c r="CN253" s="1537">
        <v>1</v>
      </c>
      <c r="CO253" s="1356"/>
      <c r="CP253" s="1537">
        <v>1</v>
      </c>
      <c r="CQ253" s="1356"/>
      <c r="CR253" s="1537">
        <v>1</v>
      </c>
      <c r="CS253" s="1356"/>
      <c r="CT253" s="1537">
        <v>1</v>
      </c>
      <c r="CU253" s="1356"/>
      <c r="CV253" s="1537">
        <v>1</v>
      </c>
      <c r="CW253" s="1356"/>
      <c r="CX253" s="1537">
        <v>1</v>
      </c>
      <c r="CY253" s="1356"/>
      <c r="CZ253" s="1537">
        <v>1</v>
      </c>
      <c r="DA253" s="1356"/>
      <c r="DB253" s="1537">
        <v>0</v>
      </c>
      <c r="DC253" s="1356"/>
      <c r="DD253" s="1537">
        <v>1</v>
      </c>
      <c r="DE253" s="1356"/>
      <c r="DF253" s="1537">
        <v>1</v>
      </c>
      <c r="DG253" s="1356"/>
      <c r="DH253" s="1537">
        <v>1</v>
      </c>
      <c r="DI253" s="1356"/>
      <c r="DJ253" s="1537">
        <v>1</v>
      </c>
      <c r="DK253" s="1356"/>
      <c r="DL253" s="1537">
        <v>1</v>
      </c>
      <c r="DM253" s="1356"/>
      <c r="DN253" s="1537">
        <v>0</v>
      </c>
      <c r="DO253" s="1356"/>
      <c r="DP253" s="1537">
        <v>1</v>
      </c>
      <c r="DQ253" s="1356"/>
      <c r="DR253" s="1537">
        <v>0</v>
      </c>
      <c r="DS253" s="1356"/>
      <c r="DT253" s="1537">
        <v>0</v>
      </c>
      <c r="DU253" s="1356"/>
      <c r="DV253" s="1537">
        <v>1</v>
      </c>
      <c r="DW253" s="1356"/>
      <c r="DX253" s="1537">
        <v>1</v>
      </c>
      <c r="DY253" s="1356"/>
      <c r="DZ253" s="1537">
        <v>1</v>
      </c>
      <c r="EA253" s="1356"/>
      <c r="EB253" s="1537">
        <v>1</v>
      </c>
      <c r="EC253" s="1356"/>
      <c r="ED253" s="1537">
        <v>1</v>
      </c>
      <c r="EE253" s="1356"/>
      <c r="EF253" s="1537">
        <v>1</v>
      </c>
      <c r="EG253" s="1356"/>
      <c r="EH253" s="1537">
        <v>1</v>
      </c>
      <c r="EI253" s="1356"/>
      <c r="EJ253" s="1537">
        <v>0</v>
      </c>
      <c r="EK253" s="1356"/>
      <c r="EL253" s="1537">
        <v>1</v>
      </c>
      <c r="EM253" s="1356"/>
      <c r="EN253" s="1537">
        <v>1</v>
      </c>
      <c r="EO253" s="1356"/>
      <c r="EP253" s="1537">
        <v>1</v>
      </c>
      <c r="EQ253" s="1356"/>
      <c r="ER253" s="1537">
        <v>1</v>
      </c>
      <c r="ES253" s="1356"/>
      <c r="ET253" s="1537">
        <v>1</v>
      </c>
      <c r="EU253" s="1356"/>
      <c r="EV253" s="1537">
        <v>1</v>
      </c>
      <c r="EW253" s="1356"/>
      <c r="EX253" s="1537">
        <v>0</v>
      </c>
      <c r="EY253" s="1356"/>
      <c r="EZ253" s="1537">
        <v>1</v>
      </c>
      <c r="FA253" s="1356"/>
      <c r="FB253" s="1537">
        <v>0</v>
      </c>
      <c r="FC253" s="1356"/>
      <c r="FD253" s="1537">
        <v>1</v>
      </c>
      <c r="FE253" s="1356"/>
      <c r="FF253" s="1537">
        <v>1</v>
      </c>
      <c r="FG253" s="1356"/>
      <c r="FH253" s="1537">
        <v>1</v>
      </c>
      <c r="FI253" s="1356"/>
      <c r="FJ253" s="1537">
        <v>1</v>
      </c>
      <c r="FK253" s="1356"/>
      <c r="FL253" s="1537">
        <v>1</v>
      </c>
      <c r="FM253" s="1356"/>
      <c r="FN253" s="1537">
        <v>1</v>
      </c>
      <c r="FO253" s="1356"/>
      <c r="FP253" s="1537">
        <v>0</v>
      </c>
      <c r="FQ253" s="1356"/>
      <c r="FR253" s="1537">
        <v>1</v>
      </c>
      <c r="FS253" s="1356"/>
      <c r="FT253" s="1537">
        <v>1</v>
      </c>
      <c r="FU253" s="1356"/>
      <c r="FV253" s="1537">
        <v>1</v>
      </c>
      <c r="FW253" s="1356"/>
      <c r="FX253" s="1537">
        <v>0</v>
      </c>
      <c r="FY253" s="1356"/>
      <c r="FZ253" s="1537">
        <v>1</v>
      </c>
      <c r="GA253" s="1356"/>
      <c r="GB253" s="1537">
        <v>1</v>
      </c>
      <c r="GC253" s="1356"/>
      <c r="GD253" s="1537">
        <v>0</v>
      </c>
      <c r="GE253" s="1356"/>
      <c r="GF253" s="1537">
        <v>1</v>
      </c>
      <c r="GG253" s="1356"/>
      <c r="GH253" s="1537">
        <v>1</v>
      </c>
      <c r="GI253" s="1356"/>
      <c r="GJ253" s="1537">
        <v>1</v>
      </c>
      <c r="GK253" s="1356"/>
      <c r="GL253" s="1537">
        <v>1</v>
      </c>
      <c r="GM253" s="1356"/>
      <c r="GN253" s="1537">
        <v>1</v>
      </c>
      <c r="GO253" s="1356"/>
      <c r="GP253" s="1537">
        <v>1</v>
      </c>
      <c r="GQ253" s="1356"/>
      <c r="GR253" s="1537">
        <v>1</v>
      </c>
      <c r="GS253" s="1356"/>
      <c r="GT253" s="1537">
        <v>0</v>
      </c>
      <c r="GU253" s="1356"/>
      <c r="GV253" s="1537">
        <v>1</v>
      </c>
      <c r="GW253" s="1356"/>
      <c r="GX253" s="1537">
        <v>1</v>
      </c>
      <c r="GY253" s="1356"/>
      <c r="GZ253" s="1537">
        <v>0</v>
      </c>
      <c r="HA253" s="1356"/>
      <c r="HB253" s="1537"/>
      <c r="HC253" s="1356"/>
      <c r="HD253" s="1537">
        <v>1</v>
      </c>
      <c r="HE253" s="1356"/>
      <c r="HF253" s="2012">
        <v>1</v>
      </c>
      <c r="HH253" s="1537">
        <v>1</v>
      </c>
      <c r="HI253" s="1356"/>
      <c r="HJ253" s="1537">
        <v>1</v>
      </c>
      <c r="HK253" s="1356"/>
      <c r="HL253" s="1537">
        <v>1</v>
      </c>
      <c r="HM253" s="1356"/>
      <c r="HN253" s="1537">
        <v>1</v>
      </c>
      <c r="HO253" s="1356"/>
      <c r="HP253" s="2012">
        <v>1</v>
      </c>
      <c r="HR253" s="1537">
        <v>1</v>
      </c>
      <c r="HS253" s="1356"/>
      <c r="HT253" s="2012">
        <v>1</v>
      </c>
      <c r="HV253" s="2012">
        <v>0</v>
      </c>
      <c r="HX253" s="2012">
        <v>1</v>
      </c>
      <c r="HZ253" s="2012">
        <v>1</v>
      </c>
      <c r="IB253" s="1537">
        <v>1</v>
      </c>
      <c r="IC253" s="1356"/>
      <c r="ID253" s="2012">
        <v>1</v>
      </c>
      <c r="IF253" s="2012">
        <v>1</v>
      </c>
    </row>
    <row r="254" spans="1:241">
      <c r="A254" s="1149"/>
      <c r="B254" s="1149"/>
      <c r="C254" s="1149" t="s">
        <v>1262</v>
      </c>
      <c r="D254" s="1149"/>
      <c r="E254" s="1143"/>
      <c r="F254" s="1543">
        <v>0.03</v>
      </c>
      <c r="G254" s="1356"/>
      <c r="H254" s="1543">
        <v>0.22</v>
      </c>
      <c r="I254" s="1356"/>
      <c r="J254" s="1543"/>
      <c r="K254" s="1356"/>
      <c r="L254" s="1543">
        <v>0.03</v>
      </c>
      <c r="M254" s="1356"/>
      <c r="N254" s="1543">
        <v>0.06</v>
      </c>
      <c r="O254" s="1356"/>
      <c r="P254" s="1543">
        <v>0.1</v>
      </c>
      <c r="Q254" s="1356"/>
      <c r="R254" s="1543">
        <v>7.4999999999999997E-2</v>
      </c>
      <c r="T254" s="1543">
        <v>0.15</v>
      </c>
      <c r="U254" s="1356"/>
      <c r="V254" s="1543">
        <v>0.08</v>
      </c>
      <c r="W254" s="1356"/>
      <c r="X254" s="1543">
        <v>0.02</v>
      </c>
      <c r="Y254" s="1356"/>
      <c r="Z254" s="1543">
        <v>0.15</v>
      </c>
      <c r="AA254" s="1356"/>
      <c r="AB254" s="1543"/>
      <c r="AC254" s="1356"/>
      <c r="AD254" s="1543"/>
      <c r="AE254" s="1356"/>
      <c r="AF254" s="1543"/>
      <c r="AG254" s="1356"/>
      <c r="AH254" s="1543"/>
      <c r="AI254" s="1356"/>
      <c r="AJ254" s="1543">
        <v>0.03</v>
      </c>
      <c r="AK254" s="1356"/>
      <c r="AL254" s="1543"/>
      <c r="AM254" s="1356"/>
      <c r="AN254" s="1543"/>
      <c r="AO254" s="1356"/>
      <c r="AP254" s="1543">
        <v>0.15</v>
      </c>
      <c r="AQ254" s="1356"/>
      <c r="AR254" s="1543">
        <v>0.1</v>
      </c>
      <c r="AS254" s="1356"/>
      <c r="AT254" s="1543">
        <v>0.08</v>
      </c>
      <c r="AU254" s="1356"/>
      <c r="AV254" s="1543">
        <v>7.0000000000000007E-2</v>
      </c>
      <c r="AW254" s="1356"/>
      <c r="AX254" s="1543">
        <v>0.2</v>
      </c>
      <c r="AY254" s="1356"/>
      <c r="AZ254" s="1543">
        <v>0.05</v>
      </c>
      <c r="BA254" s="1356"/>
      <c r="BB254" s="1543">
        <v>7.0000000000000007E-2</v>
      </c>
      <c r="BC254" s="1356"/>
      <c r="BD254" s="1543">
        <v>0.03</v>
      </c>
      <c r="BE254" s="1356"/>
      <c r="BF254" s="1543">
        <v>0.04</v>
      </c>
      <c r="BG254" s="1356"/>
      <c r="BH254" s="1543">
        <v>0.08</v>
      </c>
      <c r="BI254" s="1356"/>
      <c r="BJ254" s="1543"/>
      <c r="BK254" s="1356"/>
      <c r="BL254" s="1543">
        <v>0.05</v>
      </c>
      <c r="BM254" s="1356"/>
      <c r="BN254" s="1543"/>
      <c r="BO254" s="1356"/>
      <c r="BP254" s="1543">
        <v>0.08</v>
      </c>
      <c r="BQ254" s="1356"/>
      <c r="BR254" s="1543"/>
      <c r="BS254" s="1356"/>
      <c r="BT254" s="1543">
        <v>0.04</v>
      </c>
      <c r="BU254" s="1356"/>
      <c r="BV254" s="1543">
        <v>0.01</v>
      </c>
      <c r="BW254" s="1356"/>
      <c r="BX254" s="1543">
        <v>0.08</v>
      </c>
      <c r="BY254" s="1356"/>
      <c r="BZ254" s="1543">
        <v>4.2999999999999997E-2</v>
      </c>
      <c r="CA254" s="1356"/>
      <c r="CB254" s="1543"/>
      <c r="CC254" s="1356"/>
      <c r="CD254" s="1543">
        <v>0.02</v>
      </c>
      <c r="CE254" s="1356"/>
      <c r="CF254" s="1543">
        <v>0.05</v>
      </c>
      <c r="CG254" s="1356"/>
      <c r="CH254" s="1543">
        <v>0.17</v>
      </c>
      <c r="CI254" s="1356"/>
      <c r="CJ254" s="1543">
        <v>0.05</v>
      </c>
      <c r="CK254" s="1356"/>
      <c r="CL254" s="1543">
        <v>0.1</v>
      </c>
      <c r="CM254" s="1356"/>
      <c r="CN254" s="1543">
        <v>0.09</v>
      </c>
      <c r="CO254" s="1356"/>
      <c r="CP254" s="1543">
        <v>0.13</v>
      </c>
      <c r="CQ254" s="1356"/>
      <c r="CR254" s="1543">
        <v>0.04</v>
      </c>
      <c r="CS254" s="1356"/>
      <c r="CT254" s="1543">
        <v>0.04</v>
      </c>
      <c r="CU254" s="1356"/>
      <c r="CV254" s="1543">
        <v>0.04</v>
      </c>
      <c r="CW254" s="1356"/>
      <c r="CX254" s="1543">
        <v>0.1</v>
      </c>
      <c r="CY254" s="1356"/>
      <c r="CZ254" s="1543">
        <v>0.03</v>
      </c>
      <c r="DA254" s="1356"/>
      <c r="DB254" s="1543"/>
      <c r="DC254" s="1356"/>
      <c r="DD254" s="1543">
        <v>0.05</v>
      </c>
      <c r="DE254" s="1356"/>
      <c r="DF254" s="1543">
        <v>0.08</v>
      </c>
      <c r="DG254" s="1356"/>
      <c r="DH254" s="1543">
        <v>0.03</v>
      </c>
      <c r="DI254" s="1356"/>
      <c r="DJ254" s="1543">
        <v>0.05</v>
      </c>
      <c r="DK254" s="1356"/>
      <c r="DL254" s="1543">
        <v>0.1</v>
      </c>
      <c r="DM254" s="1356"/>
      <c r="DN254" s="1543"/>
      <c r="DO254" s="1356"/>
      <c r="DP254" s="1543">
        <v>0.04</v>
      </c>
      <c r="DQ254" s="1356"/>
      <c r="DR254" s="1543"/>
      <c r="DS254" s="1356"/>
      <c r="DT254" s="1543"/>
      <c r="DU254" s="1356"/>
      <c r="DV254" s="1543">
        <v>0.1</v>
      </c>
      <c r="DW254" s="1356"/>
      <c r="DX254" s="1543">
        <v>0.1</v>
      </c>
      <c r="DY254" s="1356"/>
      <c r="DZ254" s="1543">
        <v>0.2</v>
      </c>
      <c r="EA254" s="1356"/>
      <c r="EB254" s="1543">
        <v>0.01</v>
      </c>
      <c r="EC254" s="1356"/>
      <c r="ED254" s="1543">
        <v>0.1</v>
      </c>
      <c r="EE254" s="1356"/>
      <c r="EF254" s="1543">
        <v>7.0000000000000007E-2</v>
      </c>
      <c r="EG254" s="1356"/>
      <c r="EH254" s="1543">
        <v>0.1</v>
      </c>
      <c r="EI254" s="1356"/>
      <c r="EJ254" s="1543"/>
      <c r="EK254" s="1356"/>
      <c r="EL254" s="1543">
        <v>0.1</v>
      </c>
      <c r="EM254" s="1356"/>
      <c r="EN254" s="1543">
        <v>7.0000000000000007E-2</v>
      </c>
      <c r="EO254" s="1356"/>
      <c r="EP254" s="1543">
        <v>0.05</v>
      </c>
      <c r="EQ254" s="1356"/>
      <c r="ER254" s="1543">
        <v>7.0000000000000007E-2</v>
      </c>
      <c r="ES254" s="1356"/>
      <c r="ET254" s="1543">
        <v>0.04</v>
      </c>
      <c r="EU254" s="1356"/>
      <c r="EV254" s="1543">
        <v>0.1</v>
      </c>
      <c r="EW254" s="1356"/>
      <c r="EX254" s="1543"/>
      <c r="EY254" s="1356"/>
      <c r="EZ254" s="1543">
        <v>0.05</v>
      </c>
      <c r="FA254" s="1356"/>
      <c r="FB254" s="1543"/>
      <c r="FC254" s="1356"/>
      <c r="FD254" s="1543">
        <v>0.12</v>
      </c>
      <c r="FE254" s="1356"/>
      <c r="FF254" s="1543">
        <v>0.05</v>
      </c>
      <c r="FG254" s="1356"/>
      <c r="FH254" s="1543">
        <v>0.05</v>
      </c>
      <c r="FI254" s="1356"/>
      <c r="FJ254" s="1543">
        <v>0.05</v>
      </c>
      <c r="FK254" s="1356"/>
      <c r="FL254" s="1543">
        <v>0.1</v>
      </c>
      <c r="FM254" s="1356"/>
      <c r="FN254" s="1543">
        <v>0.01</v>
      </c>
      <c r="FO254" s="1356"/>
      <c r="FP254" s="1543"/>
      <c r="FQ254" s="1356"/>
      <c r="FR254" s="1543">
        <v>0.05</v>
      </c>
      <c r="FS254" s="1356"/>
      <c r="FT254" s="1543">
        <v>0.05</v>
      </c>
      <c r="FU254" s="1356"/>
      <c r="FV254" s="1543">
        <v>0.1</v>
      </c>
      <c r="FW254" s="1356"/>
      <c r="FX254" s="1543"/>
      <c r="FY254" s="1356"/>
      <c r="FZ254" s="1543">
        <v>0.05</v>
      </c>
      <c r="GA254" s="1356"/>
      <c r="GB254" s="1543">
        <v>0.1</v>
      </c>
      <c r="GC254" s="1356"/>
      <c r="GD254" s="1543"/>
      <c r="GE254" s="1356"/>
      <c r="GF254" s="1543">
        <v>0.13</v>
      </c>
      <c r="GG254" s="1356"/>
      <c r="GH254" s="1543">
        <v>0.05</v>
      </c>
      <c r="GI254" s="1356"/>
      <c r="GJ254" s="1543">
        <v>0.13</v>
      </c>
      <c r="GK254" s="1356"/>
      <c r="GL254" s="1543">
        <v>0.08</v>
      </c>
      <c r="GM254" s="1356"/>
      <c r="GN254" s="1543">
        <v>0.05</v>
      </c>
      <c r="GO254" s="1356"/>
      <c r="GP254" s="1543">
        <v>0.15</v>
      </c>
      <c r="GQ254" s="1356"/>
      <c r="GR254" s="1543">
        <v>0.05</v>
      </c>
      <c r="GS254" s="1356"/>
      <c r="GT254" s="1543"/>
      <c r="GU254" s="1356"/>
      <c r="GV254" s="1543">
        <v>0.05</v>
      </c>
      <c r="GW254" s="1356"/>
      <c r="GX254" s="1543">
        <v>0.1</v>
      </c>
      <c r="GY254" s="1356"/>
      <c r="GZ254" s="1543"/>
      <c r="HA254" s="1356"/>
      <c r="HB254" s="1543"/>
      <c r="HC254" s="1356"/>
      <c r="HD254" s="1543">
        <v>0.05</v>
      </c>
      <c r="HE254" s="1356"/>
      <c r="HF254" s="1543">
        <v>0.08</v>
      </c>
      <c r="HH254" s="1543">
        <v>0.05</v>
      </c>
      <c r="HI254" s="1356"/>
      <c r="HJ254" s="1543">
        <v>0.03</v>
      </c>
      <c r="HK254" s="1356"/>
      <c r="HL254" s="1543">
        <v>0.05</v>
      </c>
      <c r="HM254" s="1356"/>
      <c r="HN254" s="1543">
        <v>0.1</v>
      </c>
      <c r="HO254" s="1356"/>
      <c r="HP254" s="1543">
        <v>0.1</v>
      </c>
      <c r="HR254" s="1543">
        <v>0.03</v>
      </c>
      <c r="HS254" s="1356"/>
      <c r="HT254" s="1543">
        <v>0.05</v>
      </c>
      <c r="HV254" s="1543"/>
      <c r="HX254" s="1543">
        <v>0.02</v>
      </c>
      <c r="HZ254" s="1543">
        <v>0</v>
      </c>
      <c r="IB254" s="1543">
        <v>7.0000000000000007E-2</v>
      </c>
      <c r="IC254" s="1356"/>
      <c r="ID254" s="1543">
        <v>0.12</v>
      </c>
      <c r="IF254" s="1543">
        <v>0.05</v>
      </c>
    </row>
    <row r="255" spans="1:241">
      <c r="A255" s="1149"/>
      <c r="B255" s="1149" t="s">
        <v>98</v>
      </c>
      <c r="C255" s="1149"/>
      <c r="D255" s="1149"/>
      <c r="E255" s="1143"/>
      <c r="F255" s="1537">
        <v>1</v>
      </c>
      <c r="G255" s="1356"/>
      <c r="H255" s="1537">
        <v>1</v>
      </c>
      <c r="I255" s="1356"/>
      <c r="J255" s="1537">
        <v>0</v>
      </c>
      <c r="K255" s="1356"/>
      <c r="L255" s="1537">
        <v>1</v>
      </c>
      <c r="M255" s="1356"/>
      <c r="N255" s="1537">
        <v>1</v>
      </c>
      <c r="O255" s="1356"/>
      <c r="P255" s="1537">
        <v>1</v>
      </c>
      <c r="Q255" s="1356"/>
      <c r="R255" s="1537">
        <v>1</v>
      </c>
      <c r="T255" s="1537">
        <v>1</v>
      </c>
      <c r="U255" s="1356"/>
      <c r="V255" s="1537">
        <v>1</v>
      </c>
      <c r="W255" s="1356"/>
      <c r="X255" s="1537">
        <v>1</v>
      </c>
      <c r="Y255" s="1356"/>
      <c r="Z255" s="1537">
        <v>1</v>
      </c>
      <c r="AA255" s="1356"/>
      <c r="AB255" s="1537">
        <v>0</v>
      </c>
      <c r="AC255" s="1356"/>
      <c r="AD255" s="1537">
        <v>0</v>
      </c>
      <c r="AE255" s="1356"/>
      <c r="AF255" s="1537">
        <v>0</v>
      </c>
      <c r="AG255" s="1356"/>
      <c r="AH255" s="1537">
        <v>0</v>
      </c>
      <c r="AI255" s="1356"/>
      <c r="AJ255" s="1537">
        <v>1</v>
      </c>
      <c r="AK255" s="1356"/>
      <c r="AL255" s="1537">
        <v>0</v>
      </c>
      <c r="AM255" s="1356"/>
      <c r="AN255" s="1537">
        <v>0</v>
      </c>
      <c r="AO255" s="1356"/>
      <c r="AP255" s="1537">
        <v>0</v>
      </c>
      <c r="AQ255" s="1356"/>
      <c r="AR255" s="1537">
        <v>0</v>
      </c>
      <c r="AS255" s="1356"/>
      <c r="AT255" s="1537">
        <v>1</v>
      </c>
      <c r="AU255" s="1356"/>
      <c r="AV255" s="1537">
        <v>1</v>
      </c>
      <c r="AW255" s="1356"/>
      <c r="AX255" s="1537">
        <v>1</v>
      </c>
      <c r="AY255" s="1356"/>
      <c r="AZ255" s="1537">
        <v>1</v>
      </c>
      <c r="BA255" s="1356"/>
      <c r="BB255" s="1537">
        <v>1</v>
      </c>
      <c r="BC255" s="1356"/>
      <c r="BD255" s="1537">
        <v>0</v>
      </c>
      <c r="BE255" s="1356"/>
      <c r="BF255" s="1537">
        <v>0</v>
      </c>
      <c r="BG255" s="1356"/>
      <c r="BH255" s="1537">
        <v>0</v>
      </c>
      <c r="BI255" s="1356"/>
      <c r="BJ255" s="1537">
        <v>0</v>
      </c>
      <c r="BK255" s="1356"/>
      <c r="BL255" s="1537">
        <v>1</v>
      </c>
      <c r="BM255" s="1356"/>
      <c r="BN255" s="1537"/>
      <c r="BO255" s="1356"/>
      <c r="BP255" s="1537">
        <v>0</v>
      </c>
      <c r="BQ255" s="1356"/>
      <c r="BR255" s="1537">
        <v>0</v>
      </c>
      <c r="BS255" s="1356"/>
      <c r="BT255" s="1537">
        <v>1</v>
      </c>
      <c r="BU255" s="1356"/>
      <c r="BV255" s="1537">
        <v>1</v>
      </c>
      <c r="BW255" s="1356"/>
      <c r="BX255" s="1537">
        <v>1</v>
      </c>
      <c r="BY255" s="1356"/>
      <c r="BZ255" s="1537">
        <v>0</v>
      </c>
      <c r="CA255" s="1356"/>
      <c r="CB255" s="1537">
        <v>0</v>
      </c>
      <c r="CC255" s="1356"/>
      <c r="CD255" s="1537">
        <v>1</v>
      </c>
      <c r="CE255" s="1356"/>
      <c r="CF255" s="1537">
        <v>1</v>
      </c>
      <c r="CG255" s="1356"/>
      <c r="CH255" s="1537">
        <v>1</v>
      </c>
      <c r="CI255" s="1356"/>
      <c r="CJ255" s="1537">
        <v>1</v>
      </c>
      <c r="CK255" s="1356"/>
      <c r="CL255" s="1537">
        <v>1</v>
      </c>
      <c r="CM255" s="1356"/>
      <c r="CN255" s="1537">
        <v>1</v>
      </c>
      <c r="CO255" s="1356"/>
      <c r="CP255" s="1537">
        <v>1</v>
      </c>
      <c r="CQ255" s="1356"/>
      <c r="CR255" s="1537">
        <v>1</v>
      </c>
      <c r="CS255" s="1356"/>
      <c r="CT255" s="1537">
        <v>1</v>
      </c>
      <c r="CU255" s="1356"/>
      <c r="CV255" s="1537">
        <v>0</v>
      </c>
      <c r="CW255" s="1356"/>
      <c r="CX255" s="1537">
        <v>1</v>
      </c>
      <c r="CY255" s="1356"/>
      <c r="CZ255" s="1537">
        <v>0</v>
      </c>
      <c r="DA255" s="1356"/>
      <c r="DB255" s="1537">
        <v>0</v>
      </c>
      <c r="DC255" s="1356"/>
      <c r="DD255" s="1537">
        <v>1</v>
      </c>
      <c r="DE255" s="1356"/>
      <c r="DF255" s="1537">
        <v>1</v>
      </c>
      <c r="DG255" s="1356"/>
      <c r="DH255" s="1537">
        <v>0</v>
      </c>
      <c r="DI255" s="1356"/>
      <c r="DJ255" s="1537">
        <v>1</v>
      </c>
      <c r="DK255" s="1356"/>
      <c r="DL255" s="1537">
        <v>1</v>
      </c>
      <c r="DM255" s="1356"/>
      <c r="DN255" s="1537">
        <v>0</v>
      </c>
      <c r="DO255" s="1356"/>
      <c r="DP255" s="1537">
        <v>1</v>
      </c>
      <c r="DQ255" s="1356"/>
      <c r="DR255" s="1537">
        <v>0</v>
      </c>
      <c r="DS255" s="1356"/>
      <c r="DT255" s="1537">
        <v>1</v>
      </c>
      <c r="DU255" s="1356"/>
      <c r="DV255" s="1537">
        <v>1</v>
      </c>
      <c r="DW255" s="1356"/>
      <c r="DX255" s="1537">
        <v>1</v>
      </c>
      <c r="DY255" s="1356"/>
      <c r="DZ255" s="1537">
        <v>1</v>
      </c>
      <c r="EA255" s="1356"/>
      <c r="EB255" s="1537">
        <v>1</v>
      </c>
      <c r="EC255" s="1356"/>
      <c r="ED255" s="1537">
        <v>1</v>
      </c>
      <c r="EE255" s="1356"/>
      <c r="EF255" s="1537">
        <v>1</v>
      </c>
      <c r="EG255" s="1356"/>
      <c r="EH255" s="1537">
        <v>1</v>
      </c>
      <c r="EI255" s="1356"/>
      <c r="EJ255" s="1537">
        <v>0</v>
      </c>
      <c r="EK255" s="1356"/>
      <c r="EL255" s="1537">
        <v>0</v>
      </c>
      <c r="EM255" s="1356"/>
      <c r="EN255" s="1537">
        <v>1</v>
      </c>
      <c r="EO255" s="1356"/>
      <c r="EP255" s="1537">
        <v>1</v>
      </c>
      <c r="EQ255" s="1356"/>
      <c r="ER255" s="1537">
        <v>1</v>
      </c>
      <c r="ES255" s="1356"/>
      <c r="ET255" s="1537">
        <v>1</v>
      </c>
      <c r="EU255" s="1356"/>
      <c r="EV255" s="1537">
        <v>0</v>
      </c>
      <c r="EW255" s="1356"/>
      <c r="EX255" s="1537">
        <v>0</v>
      </c>
      <c r="EY255" s="1356"/>
      <c r="EZ255" s="1537">
        <v>1</v>
      </c>
      <c r="FA255" s="1356"/>
      <c r="FB255" s="1537">
        <v>0</v>
      </c>
      <c r="FC255" s="1356"/>
      <c r="FD255" s="1537">
        <v>0</v>
      </c>
      <c r="FE255" s="1356"/>
      <c r="FF255" s="1537">
        <v>1</v>
      </c>
      <c r="FG255" s="1356"/>
      <c r="FH255" s="1537">
        <v>0</v>
      </c>
      <c r="FI255" s="1356"/>
      <c r="FJ255" s="1537">
        <v>1</v>
      </c>
      <c r="FK255" s="1356"/>
      <c r="FL255" s="1537">
        <v>1</v>
      </c>
      <c r="FM255" s="1356"/>
      <c r="FN255" s="1537">
        <v>0</v>
      </c>
      <c r="FO255" s="1356"/>
      <c r="FP255" s="1537">
        <v>0</v>
      </c>
      <c r="FQ255" s="1356"/>
      <c r="FR255" s="1537">
        <v>1</v>
      </c>
      <c r="FS255" s="1356"/>
      <c r="FT255" s="1537">
        <v>1</v>
      </c>
      <c r="FU255" s="1356"/>
      <c r="FV255" s="1537">
        <v>1</v>
      </c>
      <c r="FW255" s="1356"/>
      <c r="FX255" s="1537">
        <v>0</v>
      </c>
      <c r="FY255" s="1356"/>
      <c r="FZ255" s="1537">
        <v>1</v>
      </c>
      <c r="GA255" s="1356"/>
      <c r="GB255" s="1537">
        <v>0</v>
      </c>
      <c r="GC255" s="1356"/>
      <c r="GD255" s="1537">
        <v>0</v>
      </c>
      <c r="GE255" s="1356"/>
      <c r="GF255" s="1537">
        <v>1</v>
      </c>
      <c r="GG255" s="1356"/>
      <c r="GH255" s="1537">
        <v>1</v>
      </c>
      <c r="GI255" s="1356"/>
      <c r="GJ255" s="1537">
        <v>1</v>
      </c>
      <c r="GK255" s="1356"/>
      <c r="GL255" s="1537">
        <v>1</v>
      </c>
      <c r="GM255" s="1356"/>
      <c r="GN255" s="1537">
        <v>0</v>
      </c>
      <c r="GO255" s="1356"/>
      <c r="GP255" s="1537">
        <v>1</v>
      </c>
      <c r="GQ255" s="1356"/>
      <c r="GR255" s="1537">
        <v>1</v>
      </c>
      <c r="GS255" s="1356"/>
      <c r="GT255" s="1537">
        <v>0</v>
      </c>
      <c r="GU255" s="1356"/>
      <c r="GV255" s="1537">
        <v>1</v>
      </c>
      <c r="GW255" s="1356"/>
      <c r="GX255" s="1537">
        <v>1</v>
      </c>
      <c r="GY255" s="1356"/>
      <c r="GZ255" s="1537">
        <v>0</v>
      </c>
      <c r="HA255" s="1356"/>
      <c r="HB255" s="1537"/>
      <c r="HC255" s="1356"/>
      <c r="HD255" s="1537">
        <v>1</v>
      </c>
      <c r="HE255" s="1356"/>
      <c r="HF255" s="2012">
        <v>1</v>
      </c>
      <c r="HH255" s="1537">
        <v>0</v>
      </c>
      <c r="HI255" s="1356"/>
      <c r="HJ255" s="1537">
        <v>1</v>
      </c>
      <c r="HK255" s="1356"/>
      <c r="HL255" s="1537">
        <v>1</v>
      </c>
      <c r="HM255" s="1356"/>
      <c r="HN255" s="1537">
        <v>1</v>
      </c>
      <c r="HO255" s="1356"/>
      <c r="HP255" s="2012">
        <v>1</v>
      </c>
      <c r="HR255" s="1537">
        <v>1</v>
      </c>
      <c r="HS255" s="1356"/>
      <c r="HT255" s="2012">
        <v>1</v>
      </c>
      <c r="HV255" s="2012">
        <v>0</v>
      </c>
      <c r="HX255" s="2012">
        <v>1</v>
      </c>
      <c r="HZ255" s="2012">
        <v>1</v>
      </c>
      <c r="IB255" s="1537">
        <v>1</v>
      </c>
      <c r="IC255" s="1356"/>
      <c r="ID255" s="2012">
        <v>1</v>
      </c>
      <c r="IF255" s="2012">
        <v>0</v>
      </c>
    </row>
    <row r="256" spans="1:241">
      <c r="A256" s="1149"/>
      <c r="B256" s="1149"/>
      <c r="C256" s="1149" t="s">
        <v>1262</v>
      </c>
      <c r="D256" s="1149"/>
      <c r="E256" s="1143"/>
      <c r="F256" s="1543">
        <v>0.03</v>
      </c>
      <c r="G256" s="1356"/>
      <c r="H256" s="1543">
        <v>0.03</v>
      </c>
      <c r="I256" s="1356"/>
      <c r="J256" s="1543"/>
      <c r="K256" s="1356"/>
      <c r="L256" s="1543">
        <v>0.03</v>
      </c>
      <c r="M256" s="1356"/>
      <c r="N256" s="1543">
        <v>0.06</v>
      </c>
      <c r="O256" s="1356"/>
      <c r="P256" s="1543">
        <v>0.05</v>
      </c>
      <c r="Q256" s="1356"/>
      <c r="R256" s="1543">
        <v>0.05</v>
      </c>
      <c r="T256" s="1543">
        <v>0.2</v>
      </c>
      <c r="U256" s="1356"/>
      <c r="V256" s="1543">
        <v>0.05</v>
      </c>
      <c r="W256" s="1356"/>
      <c r="X256" s="1543">
        <v>0.01</v>
      </c>
      <c r="Y256" s="1356"/>
      <c r="Z256" s="1543">
        <v>0.15</v>
      </c>
      <c r="AA256" s="1356"/>
      <c r="AB256" s="1543"/>
      <c r="AC256" s="1356"/>
      <c r="AD256" s="1543"/>
      <c r="AE256" s="1356"/>
      <c r="AF256" s="1543"/>
      <c r="AG256" s="1356"/>
      <c r="AH256" s="1543"/>
      <c r="AI256" s="1356"/>
      <c r="AJ256" s="1543">
        <v>0.03</v>
      </c>
      <c r="AK256" s="1356"/>
      <c r="AL256" s="1543"/>
      <c r="AM256" s="1356"/>
      <c r="AN256" s="1543"/>
      <c r="AO256" s="1356"/>
      <c r="AP256" s="1543"/>
      <c r="AQ256" s="1356"/>
      <c r="AR256" s="1543"/>
      <c r="AS256" s="1356"/>
      <c r="AT256" s="1543">
        <v>0.03</v>
      </c>
      <c r="AU256" s="1356"/>
      <c r="AV256" s="1543">
        <v>2.5000000000000001E-2</v>
      </c>
      <c r="AW256" s="1356"/>
      <c r="AX256" s="1543">
        <v>0.14000000000000001</v>
      </c>
      <c r="AY256" s="1356"/>
      <c r="AZ256" s="1543">
        <v>0.02</v>
      </c>
      <c r="BA256" s="1356"/>
      <c r="BB256" s="1543">
        <v>7.0000000000000007E-2</v>
      </c>
      <c r="BC256" s="1356"/>
      <c r="BD256" s="1543"/>
      <c r="BE256" s="1356"/>
      <c r="BF256" s="1543"/>
      <c r="BG256" s="1356"/>
      <c r="BH256" s="1543"/>
      <c r="BI256" s="1356"/>
      <c r="BJ256" s="1543"/>
      <c r="BK256" s="1356"/>
      <c r="BL256" s="1543">
        <v>0.03</v>
      </c>
      <c r="BM256" s="1356"/>
      <c r="BN256" s="1543"/>
      <c r="BO256" s="1356"/>
      <c r="BP256" s="1543"/>
      <c r="BQ256" s="1356"/>
      <c r="BR256" s="1543"/>
      <c r="BS256" s="1356"/>
      <c r="BT256" s="1543">
        <v>0.04</v>
      </c>
      <c r="BU256" s="1356"/>
      <c r="BV256" s="1543">
        <v>0.01</v>
      </c>
      <c r="BW256" s="1356"/>
      <c r="BX256" s="1543">
        <v>0.1</v>
      </c>
      <c r="BY256" s="1356"/>
      <c r="BZ256" s="1543"/>
      <c r="CA256" s="1356"/>
      <c r="CB256" s="1543"/>
      <c r="CC256" s="1356"/>
      <c r="CD256" s="1543">
        <v>0.02</v>
      </c>
      <c r="CE256" s="1356"/>
      <c r="CF256" s="1543">
        <v>0.1</v>
      </c>
      <c r="CG256" s="1356"/>
      <c r="CH256" s="1543">
        <v>0.08</v>
      </c>
      <c r="CI256" s="1356"/>
      <c r="CJ256" s="1543">
        <v>0.03</v>
      </c>
      <c r="CK256" s="1356"/>
      <c r="CL256" s="1543">
        <v>0.1</v>
      </c>
      <c r="CM256" s="1356"/>
      <c r="CN256" s="1543">
        <v>0.09</v>
      </c>
      <c r="CO256" s="1356"/>
      <c r="CP256" s="1543">
        <v>0.08</v>
      </c>
      <c r="CQ256" s="1356"/>
      <c r="CR256" s="1543">
        <v>0.02</v>
      </c>
      <c r="CS256" s="1356"/>
      <c r="CT256" s="1543">
        <v>0.1</v>
      </c>
      <c r="CU256" s="1356"/>
      <c r="CV256" s="1543"/>
      <c r="CW256" s="1356"/>
      <c r="CX256" s="1543">
        <v>0.1</v>
      </c>
      <c r="CY256" s="1356"/>
      <c r="CZ256" s="1543"/>
      <c r="DA256" s="1356"/>
      <c r="DB256" s="1543"/>
      <c r="DC256" s="1356"/>
      <c r="DD256" s="1543">
        <v>0.05</v>
      </c>
      <c r="DE256" s="1356"/>
      <c r="DF256" s="1543">
        <v>0.05</v>
      </c>
      <c r="DG256" s="1356"/>
      <c r="DH256" s="1543"/>
      <c r="DI256" s="1356"/>
      <c r="DJ256" s="1543">
        <v>0.05</v>
      </c>
      <c r="DK256" s="1356"/>
      <c r="DL256" s="1543">
        <v>0.08</v>
      </c>
      <c r="DM256" s="1356"/>
      <c r="DN256" s="1543"/>
      <c r="DO256" s="1356"/>
      <c r="DP256" s="1543">
        <v>0.05</v>
      </c>
      <c r="DQ256" s="1356"/>
      <c r="DR256" s="1543"/>
      <c r="DS256" s="1356"/>
      <c r="DT256" s="1543">
        <v>0.05</v>
      </c>
      <c r="DU256" s="1356"/>
      <c r="DV256" s="1543">
        <v>0.15</v>
      </c>
      <c r="DW256" s="1356"/>
      <c r="DX256" s="1543">
        <v>0.1</v>
      </c>
      <c r="DY256" s="1356"/>
      <c r="DZ256" s="1543">
        <v>0.3</v>
      </c>
      <c r="EA256" s="1356"/>
      <c r="EB256" s="1543">
        <v>0.03</v>
      </c>
      <c r="EC256" s="1356"/>
      <c r="ED256" s="1543">
        <v>0.1</v>
      </c>
      <c r="EE256" s="1356"/>
      <c r="EF256" s="1543">
        <v>7.0000000000000007E-2</v>
      </c>
      <c r="EG256" s="1356"/>
      <c r="EH256" s="1543">
        <v>0.03</v>
      </c>
      <c r="EI256" s="1356"/>
      <c r="EJ256" s="1543"/>
      <c r="EK256" s="1356"/>
      <c r="EL256" s="1543"/>
      <c r="EM256" s="1356"/>
      <c r="EN256" s="1543">
        <v>7.0000000000000007E-2</v>
      </c>
      <c r="EO256" s="1356"/>
      <c r="EP256" s="1543">
        <v>0.05</v>
      </c>
      <c r="EQ256" s="1356"/>
      <c r="ER256" s="1543">
        <v>7.0000000000000007E-2</v>
      </c>
      <c r="ES256" s="1356"/>
      <c r="ET256" s="1543">
        <v>0.04</v>
      </c>
      <c r="EU256" s="1356"/>
      <c r="EV256" s="1543"/>
      <c r="EW256" s="1356"/>
      <c r="EX256" s="1543"/>
      <c r="EY256" s="1356"/>
      <c r="EZ256" s="1543">
        <v>0.05</v>
      </c>
      <c r="FA256" s="1356"/>
      <c r="FB256" s="1543"/>
      <c r="FC256" s="1356"/>
      <c r="FD256" s="1543"/>
      <c r="FE256" s="1356"/>
      <c r="FF256" s="1543">
        <v>0.05</v>
      </c>
      <c r="FG256" s="1356"/>
      <c r="FH256" s="1543"/>
      <c r="FI256" s="1356"/>
      <c r="FJ256" s="1543">
        <v>0.03</v>
      </c>
      <c r="FK256" s="1356"/>
      <c r="FL256" s="1543">
        <v>0.1</v>
      </c>
      <c r="FM256" s="1356"/>
      <c r="FN256" s="1543"/>
      <c r="FO256" s="1356"/>
      <c r="FP256" s="1543"/>
      <c r="FQ256" s="1356"/>
      <c r="FR256" s="1543">
        <v>0.05</v>
      </c>
      <c r="FS256" s="1356"/>
      <c r="FT256" s="1543">
        <v>0.05</v>
      </c>
      <c r="FU256" s="1356"/>
      <c r="FV256" s="1543">
        <v>0.05</v>
      </c>
      <c r="FW256" s="1356"/>
      <c r="FX256" s="1543"/>
      <c r="FY256" s="1356"/>
      <c r="FZ256" s="1543">
        <v>0.05</v>
      </c>
      <c r="GA256" s="1356"/>
      <c r="GB256" s="1543"/>
      <c r="GC256" s="1356"/>
      <c r="GD256" s="1543"/>
      <c r="GE256" s="1356"/>
      <c r="GF256" s="1543">
        <v>0.06</v>
      </c>
      <c r="GG256" s="1356"/>
      <c r="GH256" s="1543">
        <v>0.05</v>
      </c>
      <c r="GI256" s="1356"/>
      <c r="GJ256" s="1543">
        <v>0.1</v>
      </c>
      <c r="GK256" s="1356"/>
      <c r="GL256" s="1543">
        <v>0.05</v>
      </c>
      <c r="GM256" s="1356"/>
      <c r="GN256" s="1543"/>
      <c r="GO256" s="1356"/>
      <c r="GP256" s="1543">
        <v>0.1</v>
      </c>
      <c r="GQ256" s="1356"/>
      <c r="GR256" s="1543">
        <v>0.05</v>
      </c>
      <c r="GS256" s="1356"/>
      <c r="GT256" s="1543"/>
      <c r="GU256" s="1356"/>
      <c r="GV256" s="1543">
        <v>0.15</v>
      </c>
      <c r="GW256" s="1356"/>
      <c r="GX256" s="1543">
        <v>0.1</v>
      </c>
      <c r="GY256" s="1356"/>
      <c r="GZ256" s="1543"/>
      <c r="HA256" s="1356"/>
      <c r="HB256" s="1543"/>
      <c r="HC256" s="1356"/>
      <c r="HD256" s="1543">
        <v>0.03</v>
      </c>
      <c r="HE256" s="1356"/>
      <c r="HF256" s="1543">
        <v>0.01</v>
      </c>
      <c r="HH256" s="1543"/>
      <c r="HI256" s="1356"/>
      <c r="HJ256" s="1543">
        <v>0.02</v>
      </c>
      <c r="HK256" s="1356"/>
      <c r="HL256" s="1543">
        <v>0.05</v>
      </c>
      <c r="HM256" s="1356"/>
      <c r="HN256" s="1543">
        <v>0.05</v>
      </c>
      <c r="HO256" s="1356"/>
      <c r="HP256" s="1543">
        <v>0.05</v>
      </c>
      <c r="HR256" s="1543">
        <v>0.03</v>
      </c>
      <c r="HS256" s="1356"/>
      <c r="HT256" s="1543">
        <v>0.1</v>
      </c>
      <c r="HV256" s="1543"/>
      <c r="HX256" s="1543">
        <v>0.02</v>
      </c>
      <c r="HZ256" s="1543">
        <v>0</v>
      </c>
      <c r="IB256" s="1543">
        <v>7.0000000000000007E-2</v>
      </c>
      <c r="IC256" s="1356"/>
      <c r="ID256" s="1543">
        <v>0.12</v>
      </c>
      <c r="IF256" s="1543"/>
    </row>
    <row r="257" spans="1:241" ht="16.2" thickBot="1">
      <c r="A257" s="1149"/>
      <c r="B257" s="1149"/>
      <c r="C257" s="1149"/>
      <c r="D257" s="1149"/>
      <c r="E257" s="1143"/>
      <c r="F257" s="1406"/>
      <c r="G257" s="1356"/>
      <c r="H257" s="1406"/>
      <c r="I257" s="1356"/>
      <c r="J257" s="1406"/>
      <c r="K257" s="1356"/>
      <c r="L257" s="1406"/>
      <c r="M257" s="1356"/>
      <c r="N257" s="1406"/>
      <c r="O257" s="1356"/>
      <c r="P257" s="1406"/>
      <c r="Q257" s="1356"/>
      <c r="T257" s="1406"/>
      <c r="U257" s="1356"/>
      <c r="V257" s="1406"/>
      <c r="W257" s="1356"/>
      <c r="X257" s="1406"/>
      <c r="Y257" s="1356"/>
      <c r="Z257" s="1406"/>
      <c r="AA257" s="1356"/>
      <c r="AB257" s="1406"/>
      <c r="AC257" s="1356"/>
      <c r="AD257" s="1406"/>
      <c r="AE257" s="1356"/>
      <c r="AF257" s="1406"/>
      <c r="AG257" s="1356"/>
      <c r="AH257" s="1406"/>
      <c r="AI257" s="1356"/>
      <c r="AJ257" s="1406"/>
      <c r="AK257" s="1356"/>
      <c r="AL257" s="1406"/>
      <c r="AM257" s="1356"/>
      <c r="AN257" s="1406"/>
      <c r="AO257" s="1356"/>
      <c r="AP257" s="1406"/>
      <c r="AQ257" s="1356"/>
      <c r="AR257" s="1406"/>
      <c r="AS257" s="1356"/>
      <c r="AT257" s="1406"/>
      <c r="AU257" s="1356"/>
      <c r="AV257" s="1406"/>
      <c r="AW257" s="1356"/>
      <c r="AX257" s="1406"/>
      <c r="AY257" s="1356"/>
      <c r="AZ257" s="1406"/>
      <c r="BA257" s="1356"/>
      <c r="BB257" s="1406"/>
      <c r="BC257" s="1356"/>
      <c r="BD257" s="1406"/>
      <c r="BE257" s="1356"/>
      <c r="BF257" s="1406"/>
      <c r="BG257" s="1356"/>
      <c r="BH257" s="1406"/>
      <c r="BI257" s="1356"/>
      <c r="BJ257" s="1406"/>
      <c r="BK257" s="1356"/>
      <c r="BL257" s="1406"/>
      <c r="BM257" s="1356"/>
      <c r="BN257" s="1406"/>
      <c r="BO257" s="1356"/>
      <c r="BP257" s="1406"/>
      <c r="BQ257" s="1356"/>
      <c r="BR257" s="1406"/>
      <c r="BS257" s="1356"/>
      <c r="BT257" s="1406"/>
      <c r="BU257" s="1356"/>
      <c r="BV257" s="1406"/>
      <c r="BW257" s="1356"/>
      <c r="BX257" s="1406"/>
      <c r="BY257" s="1356"/>
      <c r="BZ257" s="1406"/>
      <c r="CA257" s="1356"/>
      <c r="CB257" s="1406"/>
      <c r="CC257" s="1356"/>
      <c r="CD257" s="1406"/>
      <c r="CE257" s="1356"/>
      <c r="CF257" s="1406"/>
      <c r="CG257" s="1356"/>
      <c r="CH257" s="1406"/>
      <c r="CI257" s="1356"/>
      <c r="CJ257" s="1406"/>
      <c r="CK257" s="1356"/>
      <c r="CL257" s="1406"/>
      <c r="CM257" s="1356"/>
      <c r="CN257" s="1406"/>
      <c r="CO257" s="1356"/>
      <c r="CP257" s="1406"/>
      <c r="CQ257" s="1356"/>
      <c r="CR257" s="1406"/>
      <c r="CS257" s="1356"/>
      <c r="CT257" s="1406"/>
      <c r="CU257" s="1356"/>
      <c r="CV257" s="1406"/>
      <c r="CW257" s="1356"/>
      <c r="CX257" s="1406"/>
      <c r="CY257" s="1356"/>
      <c r="CZ257" s="1406"/>
      <c r="DA257" s="1356"/>
      <c r="DB257" s="1406"/>
      <c r="DC257" s="1356"/>
      <c r="DD257" s="1406"/>
      <c r="DE257" s="1356"/>
      <c r="DF257" s="1406"/>
      <c r="DG257" s="1356"/>
      <c r="DH257" s="1406"/>
      <c r="DI257" s="1356"/>
      <c r="DJ257" s="1406"/>
      <c r="DK257" s="1356"/>
      <c r="DL257" s="1406"/>
      <c r="DM257" s="1356"/>
      <c r="DN257" s="1406"/>
      <c r="DO257" s="1356"/>
      <c r="DP257" s="1406"/>
      <c r="DQ257" s="1356"/>
      <c r="DR257" s="1406"/>
      <c r="DS257" s="1356"/>
      <c r="DT257" s="1406"/>
      <c r="DU257" s="1356"/>
      <c r="DV257" s="1406"/>
      <c r="DW257" s="1356"/>
      <c r="DX257" s="1406"/>
      <c r="DY257" s="1356"/>
      <c r="DZ257" s="1406"/>
      <c r="EA257" s="1356"/>
      <c r="EB257" s="1406"/>
      <c r="EC257" s="1356"/>
      <c r="ED257" s="1406"/>
      <c r="EE257" s="1356"/>
      <c r="EF257" s="1406"/>
      <c r="EG257" s="1356"/>
      <c r="EH257" s="1406"/>
      <c r="EI257" s="1356"/>
      <c r="EJ257" s="1406"/>
      <c r="EK257" s="1356"/>
      <c r="EL257" s="1406"/>
      <c r="EM257" s="1356"/>
      <c r="EN257" s="1406"/>
      <c r="EO257" s="1356"/>
      <c r="EP257" s="1406"/>
      <c r="EQ257" s="1356"/>
      <c r="ER257" s="1406"/>
      <c r="ES257" s="1356"/>
      <c r="ET257" s="1406"/>
      <c r="EU257" s="1356"/>
      <c r="EV257" s="1406"/>
      <c r="EW257" s="1356"/>
      <c r="EX257" s="1406"/>
      <c r="EY257" s="1356"/>
      <c r="EZ257" s="1406"/>
      <c r="FA257" s="1356"/>
      <c r="FB257" s="1406"/>
      <c r="FC257" s="1356"/>
      <c r="FD257" s="1406"/>
      <c r="FE257" s="1356"/>
      <c r="FF257" s="1406"/>
      <c r="FG257" s="1356"/>
      <c r="FH257" s="1406"/>
      <c r="FI257" s="1356"/>
      <c r="FJ257" s="1406"/>
      <c r="FK257" s="1356"/>
      <c r="FL257" s="1406"/>
      <c r="FM257" s="1356"/>
      <c r="FN257" s="1406"/>
      <c r="FO257" s="1356"/>
      <c r="FP257" s="1406"/>
      <c r="FQ257" s="1356"/>
      <c r="FR257" s="1406"/>
      <c r="FS257" s="1356"/>
      <c r="FT257" s="1406"/>
      <c r="FU257" s="1356"/>
      <c r="FV257" s="1406"/>
      <c r="FW257" s="1356"/>
      <c r="FX257" s="1406"/>
      <c r="FY257" s="1356"/>
      <c r="FZ257" s="1406"/>
      <c r="GA257" s="1356"/>
      <c r="GB257" s="1406"/>
      <c r="GC257" s="1356"/>
      <c r="GD257" s="1406"/>
      <c r="GE257" s="1356"/>
      <c r="GF257" s="1406"/>
      <c r="GG257" s="1356"/>
      <c r="GH257" s="1406"/>
      <c r="GI257" s="1356"/>
      <c r="GJ257" s="1406"/>
      <c r="GK257" s="1356"/>
      <c r="GL257" s="1406"/>
      <c r="GM257" s="1356"/>
      <c r="GN257" s="1406"/>
      <c r="GO257" s="1356"/>
      <c r="GP257" s="1406"/>
      <c r="GQ257" s="1356"/>
      <c r="GR257" s="1406"/>
      <c r="GS257" s="1356"/>
      <c r="GT257" s="1406"/>
      <c r="GU257" s="1356"/>
      <c r="GV257" s="1406"/>
      <c r="GW257" s="1356"/>
      <c r="GX257" s="1406"/>
      <c r="GY257" s="1356"/>
      <c r="GZ257" s="1406"/>
      <c r="HA257" s="1356"/>
      <c r="HB257" s="1406"/>
      <c r="HC257" s="1356"/>
      <c r="HD257" s="1406"/>
      <c r="HE257" s="1356"/>
      <c r="HH257" s="1406"/>
      <c r="HI257" s="1356"/>
      <c r="HJ257" s="1406"/>
      <c r="HK257" s="1356"/>
      <c r="HL257" s="1406"/>
      <c r="HM257" s="1356"/>
      <c r="HN257" s="1406"/>
      <c r="HO257" s="1356"/>
      <c r="HR257" s="1406"/>
      <c r="HS257" s="1356"/>
      <c r="IB257" s="1406"/>
      <c r="IC257" s="1356"/>
    </row>
    <row r="258" spans="1:241" ht="21.6" thickBot="1">
      <c r="A258" s="1149"/>
      <c r="B258" s="1147" t="s">
        <v>68</v>
      </c>
      <c r="C258" s="1148"/>
      <c r="D258" s="1148"/>
      <c r="E258" s="1148"/>
      <c r="F258" s="1932"/>
      <c r="G258" s="1356"/>
      <c r="H258" s="1538"/>
      <c r="I258" s="1356"/>
      <c r="J258" s="1538"/>
      <c r="K258" s="1356"/>
      <c r="L258" s="1538"/>
      <c r="M258" s="1356"/>
      <c r="N258" s="1538"/>
      <c r="O258" s="1356"/>
      <c r="P258" s="1538"/>
      <c r="Q258" s="1356"/>
      <c r="R258" s="1538"/>
      <c r="T258" s="1538"/>
      <c r="U258" s="1356"/>
      <c r="V258" s="1538"/>
      <c r="W258" s="1356"/>
      <c r="X258" s="1538"/>
      <c r="Y258" s="1356"/>
      <c r="Z258" s="1538"/>
      <c r="AA258" s="1356"/>
      <c r="AB258" s="1538"/>
      <c r="AC258" s="1356"/>
      <c r="AD258" s="1538"/>
      <c r="AE258" s="1356"/>
      <c r="AF258" s="1538"/>
      <c r="AG258" s="1356"/>
      <c r="AH258" s="1538"/>
      <c r="AI258" s="1356"/>
      <c r="AJ258" s="1538"/>
      <c r="AK258" s="1356"/>
      <c r="AL258" s="1538"/>
      <c r="AM258" s="1356"/>
      <c r="AN258" s="1538"/>
      <c r="AO258" s="1356"/>
      <c r="AP258" s="1538"/>
      <c r="AQ258" s="1356"/>
      <c r="AR258" s="1538"/>
      <c r="AS258" s="1356"/>
      <c r="AT258" s="1538"/>
      <c r="AU258" s="1356"/>
      <c r="AV258" s="1538"/>
      <c r="AW258" s="1356"/>
      <c r="AX258" s="1538"/>
      <c r="AY258" s="1356"/>
      <c r="AZ258" s="1538"/>
      <c r="BA258" s="1356"/>
      <c r="BB258" s="1538"/>
      <c r="BC258" s="1356"/>
      <c r="BD258" s="1538"/>
      <c r="BE258" s="1356"/>
      <c r="BF258" s="1538"/>
      <c r="BG258" s="1356"/>
      <c r="BH258" s="1538"/>
      <c r="BI258" s="1356"/>
      <c r="BJ258" s="1538"/>
      <c r="BK258" s="1356"/>
      <c r="BL258" s="1538"/>
      <c r="BM258" s="1356"/>
      <c r="BN258" s="1538"/>
      <c r="BO258" s="1356"/>
      <c r="BP258" s="1538"/>
      <c r="BQ258" s="1356"/>
      <c r="BR258" s="1538"/>
      <c r="BS258" s="1356"/>
      <c r="BT258" s="1538"/>
      <c r="BU258" s="1356"/>
      <c r="BV258" s="1538"/>
      <c r="BW258" s="1356"/>
      <c r="BX258" s="1538"/>
      <c r="BY258" s="1356"/>
      <c r="BZ258" s="1538"/>
      <c r="CA258" s="1356"/>
      <c r="CB258" s="1538"/>
      <c r="CC258" s="1356"/>
      <c r="CD258" s="1538"/>
      <c r="CE258" s="1356"/>
      <c r="CF258" s="1538"/>
      <c r="CG258" s="1356"/>
      <c r="CH258" s="1538"/>
      <c r="CI258" s="1356"/>
      <c r="CJ258" s="1538"/>
      <c r="CK258" s="1356"/>
      <c r="CL258" s="1538"/>
      <c r="CM258" s="1356"/>
      <c r="CN258" s="1538"/>
      <c r="CO258" s="1356"/>
      <c r="CP258" s="1538"/>
      <c r="CQ258" s="1356"/>
      <c r="CR258" s="1538"/>
      <c r="CS258" s="1356"/>
      <c r="CT258" s="1538"/>
      <c r="CU258" s="1356"/>
      <c r="CV258" s="1538"/>
      <c r="CW258" s="1356"/>
      <c r="CX258" s="1538"/>
      <c r="CY258" s="1356"/>
      <c r="CZ258" s="1538"/>
      <c r="DA258" s="1356"/>
      <c r="DB258" s="1538"/>
      <c r="DC258" s="1356"/>
      <c r="DD258" s="1538"/>
      <c r="DE258" s="1356"/>
      <c r="DF258" s="1538"/>
      <c r="DG258" s="1356"/>
      <c r="DH258" s="1538"/>
      <c r="DI258" s="1356"/>
      <c r="DJ258" s="1538"/>
      <c r="DK258" s="1356"/>
      <c r="DL258" s="1538"/>
      <c r="DM258" s="1356"/>
      <c r="DN258" s="1538"/>
      <c r="DO258" s="1356"/>
      <c r="DP258" s="1538"/>
      <c r="DQ258" s="1356"/>
      <c r="DR258" s="1538"/>
      <c r="DS258" s="1356"/>
      <c r="DT258" s="1538"/>
      <c r="DU258" s="1356"/>
      <c r="DV258" s="1538"/>
      <c r="DW258" s="1356"/>
      <c r="DX258" s="1538"/>
      <c r="DY258" s="1356"/>
      <c r="DZ258" s="1538"/>
      <c r="EA258" s="1356"/>
      <c r="EB258" s="1538"/>
      <c r="EC258" s="1356"/>
      <c r="ED258" s="1538"/>
      <c r="EE258" s="1356"/>
      <c r="EF258" s="1538"/>
      <c r="EG258" s="1356"/>
      <c r="EH258" s="1538"/>
      <c r="EI258" s="1356"/>
      <c r="EJ258" s="1538"/>
      <c r="EK258" s="1356"/>
      <c r="EL258" s="1538"/>
      <c r="EM258" s="1356"/>
      <c r="EN258" s="1538"/>
      <c r="EO258" s="1356"/>
      <c r="EP258" s="1538"/>
      <c r="EQ258" s="1356"/>
      <c r="ER258" s="1538"/>
      <c r="ES258" s="1356"/>
      <c r="ET258" s="1538"/>
      <c r="EU258" s="1356"/>
      <c r="EV258" s="1538"/>
      <c r="EW258" s="1356"/>
      <c r="EX258" s="1538"/>
      <c r="EY258" s="1356"/>
      <c r="EZ258" s="1538"/>
      <c r="FA258" s="1356"/>
      <c r="FB258" s="1538"/>
      <c r="FC258" s="1356"/>
      <c r="FD258" s="1538"/>
      <c r="FE258" s="1356"/>
      <c r="FF258" s="1538"/>
      <c r="FG258" s="1356"/>
      <c r="FH258" s="1538"/>
      <c r="FI258" s="1356"/>
      <c r="FJ258" s="1538"/>
      <c r="FK258" s="1356"/>
      <c r="FL258" s="1538"/>
      <c r="FM258" s="1356"/>
      <c r="FN258" s="1538"/>
      <c r="FO258" s="1356"/>
      <c r="FP258" s="1538"/>
      <c r="FQ258" s="1356"/>
      <c r="FR258" s="1538"/>
      <c r="FS258" s="1356"/>
      <c r="FT258" s="1538"/>
      <c r="FU258" s="1356"/>
      <c r="FV258" s="1538"/>
      <c r="FW258" s="1356"/>
      <c r="FX258" s="1538"/>
      <c r="FY258" s="1356"/>
      <c r="FZ258" s="1538"/>
      <c r="GA258" s="1356"/>
      <c r="GB258" s="1538"/>
      <c r="GC258" s="1356"/>
      <c r="GD258" s="1538"/>
      <c r="GE258" s="1356"/>
      <c r="GF258" s="1538"/>
      <c r="GG258" s="1356"/>
      <c r="GH258" s="1538"/>
      <c r="GI258" s="1356"/>
      <c r="GJ258" s="1538"/>
      <c r="GK258" s="1356"/>
      <c r="GL258" s="1538"/>
      <c r="GM258" s="1356"/>
      <c r="GN258" s="1538"/>
      <c r="GO258" s="1356"/>
      <c r="GP258" s="1538"/>
      <c r="GQ258" s="1356"/>
      <c r="GR258" s="1538"/>
      <c r="GS258" s="1356"/>
      <c r="GT258" s="1538"/>
      <c r="GU258" s="1356"/>
      <c r="GV258" s="1538"/>
      <c r="GW258" s="1356"/>
      <c r="GX258" s="1538"/>
      <c r="GY258" s="1356"/>
      <c r="GZ258" s="1538"/>
      <c r="HA258" s="1356"/>
      <c r="HB258" s="1538"/>
      <c r="HC258" s="1356"/>
      <c r="HD258" s="1538"/>
      <c r="HE258" s="1356"/>
      <c r="HF258" s="1535"/>
      <c r="HH258" s="1538"/>
      <c r="HI258" s="1356"/>
      <c r="HJ258" s="1538"/>
      <c r="HK258" s="1356"/>
      <c r="HL258" s="1538"/>
      <c r="HM258" s="1356"/>
      <c r="HN258" s="1538"/>
      <c r="HO258" s="1356"/>
      <c r="HP258" s="2077"/>
      <c r="HR258" s="1538"/>
      <c r="HS258" s="1356"/>
      <c r="HT258" s="1538"/>
      <c r="HV258" s="1538"/>
      <c r="HX258" s="1538"/>
      <c r="HZ258" s="1538"/>
      <c r="IB258" s="1538"/>
      <c r="IC258" s="1356"/>
      <c r="ID258" s="1538"/>
      <c r="IF258" s="1005"/>
    </row>
    <row r="259" spans="1:241">
      <c r="A259" s="1149"/>
      <c r="B259" s="1149"/>
      <c r="C259" s="1149"/>
      <c r="D259" s="1149"/>
      <c r="E259" s="1143"/>
      <c r="F259" s="1406"/>
      <c r="G259" s="1356"/>
      <c r="H259" s="1406"/>
      <c r="I259" s="1356"/>
      <c r="J259" s="1406"/>
      <c r="K259" s="1356"/>
      <c r="L259" s="1406"/>
      <c r="M259" s="1356"/>
      <c r="N259" s="1406"/>
      <c r="O259" s="1356"/>
      <c r="P259" s="1406"/>
      <c r="Q259" s="1356"/>
      <c r="T259" s="1406"/>
      <c r="U259" s="1356"/>
      <c r="V259" s="1406"/>
      <c r="W259" s="1356"/>
      <c r="X259" s="1406"/>
      <c r="Y259" s="1356"/>
      <c r="Z259" s="1406"/>
      <c r="AA259" s="1356"/>
      <c r="AB259" s="1406"/>
      <c r="AC259" s="1356"/>
      <c r="AD259" s="1406"/>
      <c r="AE259" s="1356"/>
      <c r="AF259" s="1406"/>
      <c r="AG259" s="1356"/>
      <c r="AH259" s="1406"/>
      <c r="AI259" s="1356"/>
      <c r="AJ259" s="1406"/>
      <c r="AK259" s="1356"/>
      <c r="AL259" s="1406"/>
      <c r="AM259" s="1356"/>
      <c r="AN259" s="1406"/>
      <c r="AO259" s="1356"/>
      <c r="AP259" s="1406"/>
      <c r="AQ259" s="1356"/>
      <c r="AR259" s="1406"/>
      <c r="AS259" s="1356"/>
      <c r="AT259" s="1406"/>
      <c r="AU259" s="1356"/>
      <c r="AV259" s="1406"/>
      <c r="AW259" s="1356"/>
      <c r="AX259" s="1406"/>
      <c r="AY259" s="1356"/>
      <c r="AZ259" s="1406"/>
      <c r="BA259" s="1356"/>
      <c r="BB259" s="1406"/>
      <c r="BC259" s="1356"/>
      <c r="BD259" s="1406"/>
      <c r="BE259" s="1356"/>
      <c r="BF259" s="1406"/>
      <c r="BG259" s="1356"/>
      <c r="BH259" s="1406"/>
      <c r="BI259" s="1356"/>
      <c r="BJ259" s="1406"/>
      <c r="BK259" s="1356"/>
      <c r="BL259" s="1406"/>
      <c r="BM259" s="1356"/>
      <c r="BN259" s="1406"/>
      <c r="BO259" s="1356"/>
      <c r="BP259" s="1406"/>
      <c r="BQ259" s="1356"/>
      <c r="BR259" s="1406"/>
      <c r="BS259" s="1356"/>
      <c r="BT259" s="1406"/>
      <c r="BU259" s="1356"/>
      <c r="BV259" s="1406"/>
      <c r="BW259" s="1356"/>
      <c r="BX259" s="1406"/>
      <c r="BY259" s="1356"/>
      <c r="BZ259" s="1406"/>
      <c r="CA259" s="1356"/>
      <c r="CB259" s="1406"/>
      <c r="CC259" s="1356"/>
      <c r="CD259" s="1406"/>
      <c r="CE259" s="1356"/>
      <c r="CF259" s="1406"/>
      <c r="CG259" s="1356"/>
      <c r="CH259" s="1406"/>
      <c r="CI259" s="1356"/>
      <c r="CJ259" s="1406"/>
      <c r="CK259" s="1356"/>
      <c r="CL259" s="1406"/>
      <c r="CM259" s="1356"/>
      <c r="CN259" s="1406"/>
      <c r="CO259" s="1356"/>
      <c r="CP259" s="1406"/>
      <c r="CQ259" s="1356"/>
      <c r="CR259" s="1406"/>
      <c r="CS259" s="1356"/>
      <c r="CT259" s="1406"/>
      <c r="CU259" s="1356"/>
      <c r="CV259" s="1406"/>
      <c r="CW259" s="1356"/>
      <c r="CX259" s="1406"/>
      <c r="CY259" s="1356"/>
      <c r="CZ259" s="1406"/>
      <c r="DA259" s="1356"/>
      <c r="DB259" s="1406"/>
      <c r="DC259" s="1356"/>
      <c r="DD259" s="1406"/>
      <c r="DE259" s="1356"/>
      <c r="DF259" s="1406"/>
      <c r="DG259" s="1356"/>
      <c r="DH259" s="1406"/>
      <c r="DI259" s="1356"/>
      <c r="DJ259" s="1406"/>
      <c r="DK259" s="1356"/>
      <c r="DL259" s="1406"/>
      <c r="DM259" s="1356"/>
      <c r="DN259" s="1406"/>
      <c r="DO259" s="1356"/>
      <c r="DP259" s="1406"/>
      <c r="DQ259" s="1356"/>
      <c r="DR259" s="1406"/>
      <c r="DS259" s="1356"/>
      <c r="DT259" s="1406"/>
      <c r="DU259" s="1356"/>
      <c r="DV259" s="1406"/>
      <c r="DW259" s="1356"/>
      <c r="DX259" s="1406"/>
      <c r="DY259" s="1356"/>
      <c r="DZ259" s="1406"/>
      <c r="EA259" s="1356"/>
      <c r="EB259" s="1406"/>
      <c r="EC259" s="1356"/>
      <c r="ED259" s="1406"/>
      <c r="EE259" s="1356"/>
      <c r="EF259" s="1406"/>
      <c r="EG259" s="1356"/>
      <c r="EH259" s="1406"/>
      <c r="EI259" s="1356"/>
      <c r="EJ259" s="1406"/>
      <c r="EK259" s="1356"/>
      <c r="EL259" s="1406"/>
      <c r="EM259" s="1356"/>
      <c r="EN259" s="1406"/>
      <c r="EO259" s="1356"/>
      <c r="EP259" s="1406"/>
      <c r="EQ259" s="1356"/>
      <c r="ER259" s="1406"/>
      <c r="ES259" s="1356"/>
      <c r="ET259" s="1406"/>
      <c r="EU259" s="1356"/>
      <c r="EV259" s="1406"/>
      <c r="EW259" s="1356"/>
      <c r="EX259" s="1406"/>
      <c r="EY259" s="1356"/>
      <c r="EZ259" s="1406"/>
      <c r="FA259" s="1356"/>
      <c r="FB259" s="1406"/>
      <c r="FC259" s="1356"/>
      <c r="FD259" s="1406"/>
      <c r="FE259" s="1356"/>
      <c r="FF259" s="1406"/>
      <c r="FG259" s="1356"/>
      <c r="FH259" s="1406"/>
      <c r="FI259" s="1356"/>
      <c r="FJ259" s="1406"/>
      <c r="FK259" s="1356"/>
      <c r="FL259" s="1406"/>
      <c r="FM259" s="1356"/>
      <c r="FN259" s="1406"/>
      <c r="FO259" s="1356"/>
      <c r="FP259" s="1406"/>
      <c r="FQ259" s="1356"/>
      <c r="FR259" s="1406"/>
      <c r="FS259" s="1356"/>
      <c r="FT259" s="1406"/>
      <c r="FU259" s="1356"/>
      <c r="FV259" s="1406"/>
      <c r="FW259" s="1356"/>
      <c r="FX259" s="1406"/>
      <c r="FY259" s="1356"/>
      <c r="FZ259" s="1406"/>
      <c r="GA259" s="1356"/>
      <c r="GB259" s="1406"/>
      <c r="GC259" s="1356"/>
      <c r="GD259" s="1406"/>
      <c r="GE259" s="1356"/>
      <c r="GF259" s="1406"/>
      <c r="GG259" s="1356"/>
      <c r="GH259" s="1406"/>
      <c r="GI259" s="1356"/>
      <c r="GJ259" s="1406"/>
      <c r="GK259" s="1356"/>
      <c r="GL259" s="1406"/>
      <c r="GM259" s="1356"/>
      <c r="GN259" s="1406"/>
      <c r="GO259" s="1356"/>
      <c r="GP259" s="1406"/>
      <c r="GQ259" s="1356"/>
      <c r="GR259" s="1406"/>
      <c r="GS259" s="1356"/>
      <c r="GT259" s="1406"/>
      <c r="GU259" s="1356"/>
      <c r="GV259" s="1406"/>
      <c r="GW259" s="1356"/>
      <c r="GX259" s="1406"/>
      <c r="GY259" s="1356"/>
      <c r="GZ259" s="1406"/>
      <c r="HA259" s="1356"/>
      <c r="HB259" s="1406"/>
      <c r="HC259" s="1356"/>
      <c r="HD259" s="1406"/>
      <c r="HE259" s="1356"/>
      <c r="HH259" s="1406"/>
      <c r="HI259" s="1356"/>
      <c r="HJ259" s="1406"/>
      <c r="HK259" s="1356"/>
      <c r="HL259" s="1406"/>
      <c r="HM259" s="1356"/>
      <c r="HN259" s="1406"/>
      <c r="HO259" s="1356"/>
      <c r="HR259" s="1406"/>
      <c r="HS259" s="1356"/>
      <c r="IB259" s="1406"/>
      <c r="IC259" s="1356"/>
    </row>
    <row r="260" spans="1:241" ht="21">
      <c r="A260" s="1149"/>
      <c r="B260" s="1162" t="s">
        <v>36</v>
      </c>
      <c r="C260" s="1149"/>
      <c r="D260" s="1149"/>
      <c r="E260" s="1143"/>
      <c r="F260" s="1406"/>
      <c r="G260" s="1356"/>
      <c r="H260" s="1406"/>
      <c r="I260" s="1356"/>
      <c r="J260" s="1406"/>
      <c r="K260" s="1356"/>
      <c r="L260" s="1406"/>
      <c r="M260" s="1356"/>
      <c r="N260" s="1406"/>
      <c r="O260" s="1356"/>
      <c r="P260" s="1406"/>
      <c r="Q260" s="1356"/>
      <c r="T260" s="1406"/>
      <c r="U260" s="1356"/>
      <c r="V260" s="1406"/>
      <c r="W260" s="1356"/>
      <c r="X260" s="1406"/>
      <c r="Y260" s="1356"/>
      <c r="Z260" s="1406"/>
      <c r="AA260" s="1356"/>
      <c r="AB260" s="1406"/>
      <c r="AC260" s="1356"/>
      <c r="AD260" s="1406"/>
      <c r="AE260" s="1356"/>
      <c r="AF260" s="1406"/>
      <c r="AG260" s="1356"/>
      <c r="AH260" s="1406"/>
      <c r="AI260" s="1356"/>
      <c r="AJ260" s="1406"/>
      <c r="AK260" s="1356"/>
      <c r="AL260" s="1406"/>
      <c r="AM260" s="1356"/>
      <c r="AN260" s="1406"/>
      <c r="AO260" s="1356"/>
      <c r="AP260" s="1406"/>
      <c r="AQ260" s="1356"/>
      <c r="AR260" s="1406"/>
      <c r="AS260" s="1356"/>
      <c r="AT260" s="1406"/>
      <c r="AU260" s="1356"/>
      <c r="AV260" s="1406"/>
      <c r="AW260" s="1356"/>
      <c r="AX260" s="1406"/>
      <c r="AY260" s="1356"/>
      <c r="AZ260" s="1406"/>
      <c r="BA260" s="1356"/>
      <c r="BB260" s="1406"/>
      <c r="BC260" s="1356"/>
      <c r="BD260" s="1406"/>
      <c r="BE260" s="1356"/>
      <c r="BF260" s="1406"/>
      <c r="BG260" s="1356"/>
      <c r="BH260" s="1406"/>
      <c r="BI260" s="1356"/>
      <c r="BJ260" s="1406"/>
      <c r="BK260" s="1356"/>
      <c r="BL260" s="1406"/>
      <c r="BM260" s="1356"/>
      <c r="BN260" s="1406"/>
      <c r="BO260" s="1356"/>
      <c r="BP260" s="1406"/>
      <c r="BQ260" s="1356"/>
      <c r="BR260" s="1406"/>
      <c r="BS260" s="1356"/>
      <c r="BT260" s="1406"/>
      <c r="BU260" s="1356"/>
      <c r="BV260" s="1406"/>
      <c r="BW260" s="1356"/>
      <c r="BX260" s="1406"/>
      <c r="BY260" s="1356"/>
      <c r="BZ260" s="1406"/>
      <c r="CA260" s="1356"/>
      <c r="CB260" s="1406"/>
      <c r="CC260" s="1356"/>
      <c r="CD260" s="1406"/>
      <c r="CE260" s="1356"/>
      <c r="CF260" s="1406"/>
      <c r="CG260" s="1356"/>
      <c r="CH260" s="1406"/>
      <c r="CI260" s="1356"/>
      <c r="CJ260" s="1406"/>
      <c r="CK260" s="1356"/>
      <c r="CL260" s="1406"/>
      <c r="CM260" s="1356"/>
      <c r="CN260" s="1406"/>
      <c r="CO260" s="1356"/>
      <c r="CP260" s="1406"/>
      <c r="CQ260" s="1356"/>
      <c r="CR260" s="1406"/>
      <c r="CS260" s="1356"/>
      <c r="CT260" s="1406"/>
      <c r="CU260" s="1356"/>
      <c r="CV260" s="1406"/>
      <c r="CW260" s="1356"/>
      <c r="CX260" s="1406"/>
      <c r="CY260" s="1356"/>
      <c r="CZ260" s="1406"/>
      <c r="DA260" s="1356"/>
      <c r="DB260" s="1406"/>
      <c r="DC260" s="1356"/>
      <c r="DD260" s="1406"/>
      <c r="DE260" s="1356"/>
      <c r="DF260" s="1406"/>
      <c r="DG260" s="1356"/>
      <c r="DH260" s="1406"/>
      <c r="DI260" s="1356"/>
      <c r="DJ260" s="1406"/>
      <c r="DK260" s="1356"/>
      <c r="DL260" s="1406"/>
      <c r="DM260" s="1356"/>
      <c r="DN260" s="1406"/>
      <c r="DO260" s="1356"/>
      <c r="DP260" s="1406"/>
      <c r="DQ260" s="1356"/>
      <c r="DR260" s="1406"/>
      <c r="DS260" s="1356"/>
      <c r="DT260" s="1406"/>
      <c r="DU260" s="1356"/>
      <c r="DV260" s="1406"/>
      <c r="DW260" s="1356"/>
      <c r="DX260" s="1406"/>
      <c r="DY260" s="1356"/>
      <c r="DZ260" s="1406"/>
      <c r="EA260" s="1356"/>
      <c r="EB260" s="1406"/>
      <c r="EC260" s="1356"/>
      <c r="ED260" s="1406"/>
      <c r="EE260" s="1356"/>
      <c r="EF260" s="1406"/>
      <c r="EG260" s="1356"/>
      <c r="EH260" s="1406"/>
      <c r="EI260" s="1356"/>
      <c r="EJ260" s="1406"/>
      <c r="EK260" s="1356"/>
      <c r="EL260" s="1406"/>
      <c r="EM260" s="1356"/>
      <c r="EN260" s="1406"/>
      <c r="EO260" s="1356"/>
      <c r="EP260" s="1406"/>
      <c r="EQ260" s="1356"/>
      <c r="ER260" s="1406"/>
      <c r="ES260" s="1356"/>
      <c r="ET260" s="1406"/>
      <c r="EU260" s="1356"/>
      <c r="EV260" s="1406"/>
      <c r="EW260" s="1356"/>
      <c r="EX260" s="1406"/>
      <c r="EY260" s="1356"/>
      <c r="EZ260" s="1406"/>
      <c r="FA260" s="1356"/>
      <c r="FB260" s="1406"/>
      <c r="FC260" s="1356"/>
      <c r="FD260" s="1406"/>
      <c r="FE260" s="1356"/>
      <c r="FF260" s="1406"/>
      <c r="FG260" s="1356"/>
      <c r="FH260" s="1406"/>
      <c r="FI260" s="1356"/>
      <c r="FJ260" s="1406"/>
      <c r="FK260" s="1356"/>
      <c r="FL260" s="1406"/>
      <c r="FM260" s="1356"/>
      <c r="FN260" s="1406"/>
      <c r="FO260" s="1356"/>
      <c r="FP260" s="1406"/>
      <c r="FQ260" s="1356"/>
      <c r="FR260" s="1406"/>
      <c r="FS260" s="1356"/>
      <c r="FT260" s="1406"/>
      <c r="FU260" s="1356"/>
      <c r="FV260" s="1406"/>
      <c r="FW260" s="1356"/>
      <c r="FX260" s="1406"/>
      <c r="FY260" s="1356"/>
      <c r="FZ260" s="1406"/>
      <c r="GA260" s="1356"/>
      <c r="GB260" s="1406"/>
      <c r="GC260" s="1356"/>
      <c r="GD260" s="1406"/>
      <c r="GE260" s="1356"/>
      <c r="GF260" s="1406"/>
      <c r="GG260" s="1356"/>
      <c r="GH260" s="1406"/>
      <c r="GI260" s="1356"/>
      <c r="GJ260" s="1406"/>
      <c r="GK260" s="1356"/>
      <c r="GL260" s="1406"/>
      <c r="GM260" s="1356"/>
      <c r="GN260" s="1406"/>
      <c r="GO260" s="1356"/>
      <c r="GP260" s="1406"/>
      <c r="GQ260" s="1356"/>
      <c r="GR260" s="1406"/>
      <c r="GS260" s="1356"/>
      <c r="GT260" s="1406"/>
      <c r="GU260" s="1356"/>
      <c r="GV260" s="1406"/>
      <c r="GW260" s="1356"/>
      <c r="GX260" s="1406"/>
      <c r="GY260" s="1356"/>
      <c r="GZ260" s="1406"/>
      <c r="HA260" s="1356"/>
      <c r="HB260" s="1406"/>
      <c r="HC260" s="1356"/>
      <c r="HD260" s="1406"/>
      <c r="HE260" s="1356"/>
      <c r="HH260" s="1406"/>
      <c r="HI260" s="1356"/>
      <c r="HJ260" s="1406"/>
      <c r="HK260" s="1356"/>
      <c r="HL260" s="1406"/>
      <c r="HM260" s="1356"/>
      <c r="HN260" s="1406"/>
      <c r="HO260" s="1356"/>
      <c r="HR260" s="1406"/>
      <c r="HS260" s="1356"/>
      <c r="IB260" s="1406"/>
      <c r="IC260" s="1356"/>
    </row>
    <row r="261" spans="1:241">
      <c r="A261" s="1149"/>
      <c r="B261" s="1149"/>
      <c r="C261" s="1149"/>
      <c r="D261" s="1149"/>
      <c r="E261" s="1143"/>
      <c r="F261" s="1406"/>
      <c r="G261" s="1356"/>
      <c r="H261" s="1406"/>
      <c r="I261" s="1356"/>
      <c r="J261" s="1406"/>
      <c r="K261" s="1356"/>
      <c r="L261" s="1406"/>
      <c r="M261" s="1356"/>
      <c r="N261" s="1406"/>
      <c r="O261" s="1356"/>
      <c r="P261" s="1406"/>
      <c r="Q261" s="1356"/>
      <c r="T261" s="1406"/>
      <c r="U261" s="1356"/>
      <c r="V261" s="1406"/>
      <c r="W261" s="1356"/>
      <c r="X261" s="1406"/>
      <c r="Y261" s="1356"/>
      <c r="Z261" s="1406"/>
      <c r="AA261" s="1356"/>
      <c r="AB261" s="1406"/>
      <c r="AC261" s="1356"/>
      <c r="AD261" s="1406"/>
      <c r="AE261" s="1356"/>
      <c r="AF261" s="1406"/>
      <c r="AG261" s="1356"/>
      <c r="AH261" s="1406"/>
      <c r="AI261" s="1356"/>
      <c r="AJ261" s="1406"/>
      <c r="AK261" s="1356"/>
      <c r="AL261" s="1406"/>
      <c r="AM261" s="1356"/>
      <c r="AN261" s="1406"/>
      <c r="AO261" s="1356"/>
      <c r="AP261" s="1406"/>
      <c r="AQ261" s="1356"/>
      <c r="AR261" s="1406"/>
      <c r="AS261" s="1356"/>
      <c r="AT261" s="1406"/>
      <c r="AU261" s="1356"/>
      <c r="AV261" s="1406"/>
      <c r="AW261" s="1356"/>
      <c r="AX261" s="1406"/>
      <c r="AY261" s="1356"/>
      <c r="AZ261" s="1406"/>
      <c r="BA261" s="1356"/>
      <c r="BB261" s="1406"/>
      <c r="BC261" s="1356"/>
      <c r="BD261" s="1406"/>
      <c r="BE261" s="1356"/>
      <c r="BF261" s="1406"/>
      <c r="BG261" s="1356"/>
      <c r="BH261" s="1406"/>
      <c r="BI261" s="1356"/>
      <c r="BJ261" s="1406"/>
      <c r="BK261" s="1356"/>
      <c r="BL261" s="1406"/>
      <c r="BM261" s="1356"/>
      <c r="BN261" s="1406"/>
      <c r="BO261" s="1356"/>
      <c r="BP261" s="1406"/>
      <c r="BQ261" s="1356"/>
      <c r="BR261" s="1406"/>
      <c r="BS261" s="1356"/>
      <c r="BT261" s="1406"/>
      <c r="BU261" s="1356"/>
      <c r="BV261" s="1406"/>
      <c r="BW261" s="1356"/>
      <c r="BX261" s="1406"/>
      <c r="BY261" s="1356"/>
      <c r="BZ261" s="1406"/>
      <c r="CA261" s="1356"/>
      <c r="CB261" s="1406"/>
      <c r="CC261" s="1356"/>
      <c r="CD261" s="1406"/>
      <c r="CE261" s="1356"/>
      <c r="CF261" s="1406"/>
      <c r="CG261" s="1356"/>
      <c r="CH261" s="1406"/>
      <c r="CI261" s="1356"/>
      <c r="CJ261" s="1406"/>
      <c r="CK261" s="1356"/>
      <c r="CL261" s="1406"/>
      <c r="CM261" s="1356"/>
      <c r="CN261" s="1406"/>
      <c r="CO261" s="1356"/>
      <c r="CP261" s="1406"/>
      <c r="CQ261" s="1356"/>
      <c r="CR261" s="1406"/>
      <c r="CS261" s="1356"/>
      <c r="CT261" s="1406"/>
      <c r="CU261" s="1356"/>
      <c r="CV261" s="1406"/>
      <c r="CW261" s="1356"/>
      <c r="CX261" s="1406"/>
      <c r="CY261" s="1356"/>
      <c r="CZ261" s="1406"/>
      <c r="DA261" s="1356"/>
      <c r="DB261" s="1406"/>
      <c r="DC261" s="1356"/>
      <c r="DD261" s="1406"/>
      <c r="DE261" s="1356"/>
      <c r="DF261" s="1406"/>
      <c r="DG261" s="1356"/>
      <c r="DH261" s="1406"/>
      <c r="DI261" s="1356"/>
      <c r="DJ261" s="1406"/>
      <c r="DK261" s="1356"/>
      <c r="DL261" s="1406"/>
      <c r="DM261" s="1356"/>
      <c r="DN261" s="1406"/>
      <c r="DO261" s="1356"/>
      <c r="DP261" s="1406"/>
      <c r="DQ261" s="1356"/>
      <c r="DR261" s="1406"/>
      <c r="DS261" s="1356"/>
      <c r="DT261" s="1406"/>
      <c r="DU261" s="1356"/>
      <c r="DV261" s="1406"/>
      <c r="DW261" s="1356"/>
      <c r="DX261" s="1406"/>
      <c r="DY261" s="1356"/>
      <c r="DZ261" s="1406"/>
      <c r="EA261" s="1356"/>
      <c r="EB261" s="1406"/>
      <c r="EC261" s="1356"/>
      <c r="ED261" s="1406"/>
      <c r="EE261" s="1356"/>
      <c r="EF261" s="1406"/>
      <c r="EG261" s="1356"/>
      <c r="EH261" s="1406"/>
      <c r="EI261" s="1356"/>
      <c r="EJ261" s="1406"/>
      <c r="EK261" s="1356"/>
      <c r="EL261" s="1406"/>
      <c r="EM261" s="1356"/>
      <c r="EN261" s="1406"/>
      <c r="EO261" s="1356"/>
      <c r="EP261" s="1406"/>
      <c r="EQ261" s="1356"/>
      <c r="ER261" s="1406"/>
      <c r="ES261" s="1356"/>
      <c r="ET261" s="1406"/>
      <c r="EU261" s="1356"/>
      <c r="EV261" s="1406"/>
      <c r="EW261" s="1356"/>
      <c r="EX261" s="1406"/>
      <c r="EY261" s="1356"/>
      <c r="EZ261" s="1406"/>
      <c r="FA261" s="1356"/>
      <c r="FB261" s="1406"/>
      <c r="FC261" s="1356"/>
      <c r="FD261" s="1406"/>
      <c r="FE261" s="1356"/>
      <c r="FF261" s="1406"/>
      <c r="FG261" s="1356"/>
      <c r="FH261" s="1406"/>
      <c r="FI261" s="1356"/>
      <c r="FJ261" s="1406"/>
      <c r="FK261" s="1356"/>
      <c r="FL261" s="1406"/>
      <c r="FM261" s="1356"/>
      <c r="FN261" s="1406"/>
      <c r="FO261" s="1356"/>
      <c r="FP261" s="1406"/>
      <c r="FQ261" s="1356"/>
      <c r="FR261" s="1406"/>
      <c r="FS261" s="1356"/>
      <c r="FT261" s="1406"/>
      <c r="FU261" s="1356"/>
      <c r="FV261" s="1406"/>
      <c r="FW261" s="1356"/>
      <c r="FX261" s="1406"/>
      <c r="FY261" s="1356"/>
      <c r="FZ261" s="1406"/>
      <c r="GA261" s="1356"/>
      <c r="GB261" s="1406"/>
      <c r="GC261" s="1356"/>
      <c r="GD261" s="1406"/>
      <c r="GE261" s="1356"/>
      <c r="GF261" s="1406"/>
      <c r="GG261" s="1356"/>
      <c r="GH261" s="1406"/>
      <c r="GI261" s="1356"/>
      <c r="GJ261" s="1406"/>
      <c r="GK261" s="1356"/>
      <c r="GL261" s="1406"/>
      <c r="GM261" s="1356"/>
      <c r="GN261" s="1406"/>
      <c r="GO261" s="1356"/>
      <c r="GP261" s="1406"/>
      <c r="GQ261" s="1356"/>
      <c r="GR261" s="1406"/>
      <c r="GS261" s="1356"/>
      <c r="GT261" s="1406"/>
      <c r="GU261" s="1356"/>
      <c r="GV261" s="1406"/>
      <c r="GW261" s="1356"/>
      <c r="GX261" s="1406"/>
      <c r="GY261" s="1356"/>
      <c r="GZ261" s="1406"/>
      <c r="HA261" s="1356"/>
      <c r="HB261" s="1406"/>
      <c r="HC261" s="1356"/>
      <c r="HD261" s="1406"/>
      <c r="HE261" s="1356"/>
      <c r="HH261" s="1406"/>
      <c r="HI261" s="1356"/>
      <c r="HJ261" s="1406"/>
      <c r="HK261" s="1356"/>
      <c r="HL261" s="1406"/>
      <c r="HM261" s="1356"/>
      <c r="HN261" s="1406"/>
      <c r="HO261" s="1356"/>
      <c r="HR261" s="1406"/>
      <c r="HS261" s="1356"/>
      <c r="IB261" s="1406"/>
      <c r="IC261" s="1356"/>
    </row>
    <row r="262" spans="1:241">
      <c r="A262" s="1149"/>
      <c r="B262" s="1149" t="s">
        <v>79</v>
      </c>
      <c r="C262" s="1149"/>
      <c r="D262" s="1149"/>
      <c r="E262" s="1143"/>
      <c r="F262" s="1537"/>
      <c r="G262" s="1356"/>
      <c r="H262" s="1537">
        <v>18</v>
      </c>
      <c r="I262" s="1356"/>
      <c r="J262" s="1537">
        <v>18</v>
      </c>
      <c r="K262" s="1356"/>
      <c r="L262" s="1537"/>
      <c r="M262" s="1356"/>
      <c r="N262" s="1537">
        <v>18</v>
      </c>
      <c r="O262" s="1356"/>
      <c r="P262" s="1537"/>
      <c r="Q262" s="1356"/>
      <c r="R262" s="1537"/>
      <c r="T262" s="1537"/>
      <c r="U262" s="1356"/>
      <c r="V262" s="1537">
        <v>18</v>
      </c>
      <c r="W262" s="1356"/>
      <c r="X262" s="1537">
        <v>18</v>
      </c>
      <c r="Y262" s="1356"/>
      <c r="Z262" s="1537"/>
      <c r="AA262" s="1356"/>
      <c r="AB262" s="1537"/>
      <c r="AC262" s="1356"/>
      <c r="AD262" s="1537"/>
      <c r="AE262" s="1356"/>
      <c r="AF262" s="1537">
        <v>18</v>
      </c>
      <c r="AG262" s="1356"/>
      <c r="AH262" s="1537"/>
      <c r="AI262" s="1356"/>
      <c r="AJ262" s="1537">
        <v>18</v>
      </c>
      <c r="AK262" s="1356"/>
      <c r="AL262" s="1537"/>
      <c r="AM262" s="1356"/>
      <c r="AN262" s="1537">
        <v>18</v>
      </c>
      <c r="AO262" s="1356"/>
      <c r="AP262" s="1537"/>
      <c r="AQ262" s="1356"/>
      <c r="AR262" s="1537">
        <v>18</v>
      </c>
      <c r="AS262" s="1356"/>
      <c r="AT262" s="1537"/>
      <c r="AU262" s="1356"/>
      <c r="AV262" s="1537">
        <v>18</v>
      </c>
      <c r="AW262" s="1356"/>
      <c r="AX262" s="1537"/>
      <c r="AY262" s="1356"/>
      <c r="AZ262" s="1537">
        <v>18</v>
      </c>
      <c r="BA262" s="1356"/>
      <c r="BB262" s="1537"/>
      <c r="BC262" s="1356"/>
      <c r="BD262" s="1537"/>
      <c r="BE262" s="1356"/>
      <c r="BF262" s="1537">
        <v>18</v>
      </c>
      <c r="BG262" s="1356"/>
      <c r="BH262" s="1537"/>
      <c r="BI262" s="1356"/>
      <c r="BJ262" s="1537"/>
      <c r="BK262" s="1356"/>
      <c r="BL262" s="1537"/>
      <c r="BM262" s="1356"/>
      <c r="BN262" s="1537">
        <v>18</v>
      </c>
      <c r="BO262" s="1356"/>
      <c r="BP262" s="1537"/>
      <c r="BQ262" s="1356"/>
      <c r="BR262" s="1537">
        <v>18</v>
      </c>
      <c r="BS262" s="1356"/>
      <c r="BT262" s="1537">
        <v>18</v>
      </c>
      <c r="BU262" s="1356"/>
      <c r="BV262" s="1537">
        <v>18</v>
      </c>
      <c r="BW262" s="1356"/>
      <c r="BX262" s="1537"/>
      <c r="BY262" s="1356"/>
      <c r="BZ262" s="1537"/>
      <c r="CA262" s="1356"/>
      <c r="CB262" s="1537">
        <v>18</v>
      </c>
      <c r="CC262" s="1356"/>
      <c r="CD262" s="1537"/>
      <c r="CE262" s="1356"/>
      <c r="CF262" s="1537">
        <v>18</v>
      </c>
      <c r="CG262" s="1356"/>
      <c r="CH262" s="1537">
        <v>18</v>
      </c>
      <c r="CI262" s="1356"/>
      <c r="CJ262" s="1537"/>
      <c r="CK262" s="1356"/>
      <c r="CL262" s="1537"/>
      <c r="CM262" s="1356"/>
      <c r="CN262" s="1537"/>
      <c r="CO262" s="1356"/>
      <c r="CP262" s="1537"/>
      <c r="CQ262" s="1356"/>
      <c r="CR262" s="1537">
        <v>18</v>
      </c>
      <c r="CS262" s="1356"/>
      <c r="CT262" s="1537">
        <v>18</v>
      </c>
      <c r="CU262" s="1356"/>
      <c r="CV262" s="1537"/>
      <c r="CW262" s="1356"/>
      <c r="CX262" s="1537"/>
      <c r="CY262" s="1356"/>
      <c r="CZ262" s="1537">
        <v>18</v>
      </c>
      <c r="DA262" s="1356"/>
      <c r="DB262" s="1537">
        <v>18</v>
      </c>
      <c r="DC262" s="1356"/>
      <c r="DD262" s="1537">
        <v>18</v>
      </c>
      <c r="DE262" s="1356"/>
      <c r="DF262" s="1537"/>
      <c r="DG262" s="1356"/>
      <c r="DH262" s="1537"/>
      <c r="DI262" s="1356"/>
      <c r="DJ262" s="1537">
        <v>18</v>
      </c>
      <c r="DK262" s="1356"/>
      <c r="DL262" s="1537"/>
      <c r="DM262" s="1356"/>
      <c r="DN262" s="1537">
        <v>18</v>
      </c>
      <c r="DO262" s="1356"/>
      <c r="DP262" s="1537">
        <v>18</v>
      </c>
      <c r="DQ262" s="1356"/>
      <c r="DR262" s="1537"/>
      <c r="DS262" s="1356"/>
      <c r="DT262" s="1537"/>
      <c r="DU262" s="1356"/>
      <c r="DV262" s="1537">
        <v>18</v>
      </c>
      <c r="DW262" s="1356"/>
      <c r="DX262" s="1537">
        <v>18</v>
      </c>
      <c r="DY262" s="1356"/>
      <c r="DZ262" s="1537"/>
      <c r="EA262" s="1356"/>
      <c r="EB262" s="1537">
        <v>18</v>
      </c>
      <c r="EC262" s="1356"/>
      <c r="ED262" s="1537">
        <v>18</v>
      </c>
      <c r="EE262" s="1356"/>
      <c r="EF262" s="1537">
        <v>18</v>
      </c>
      <c r="EG262" s="1356"/>
      <c r="EH262" s="1537">
        <v>18</v>
      </c>
      <c r="EI262" s="1356"/>
      <c r="EJ262" s="1537">
        <v>18</v>
      </c>
      <c r="EK262" s="1356"/>
      <c r="EL262" s="1537"/>
      <c r="EM262" s="1356"/>
      <c r="EN262" s="1537"/>
      <c r="EO262" s="1356"/>
      <c r="EP262" s="1537"/>
      <c r="EQ262" s="1356"/>
      <c r="ER262" s="1537">
        <v>18</v>
      </c>
      <c r="ES262" s="1356"/>
      <c r="ET262" s="1537"/>
      <c r="EU262" s="1356"/>
      <c r="EV262" s="1537">
        <v>18</v>
      </c>
      <c r="EW262" s="1356"/>
      <c r="EX262" s="1537">
        <v>18</v>
      </c>
      <c r="EY262" s="1356"/>
      <c r="EZ262" s="1537"/>
      <c r="FA262" s="1356"/>
      <c r="FB262" s="1537"/>
      <c r="FC262" s="1356"/>
      <c r="FD262" s="1537"/>
      <c r="FE262" s="1356"/>
      <c r="FF262" s="1537"/>
      <c r="FG262" s="1356"/>
      <c r="FH262" s="1537">
        <v>18</v>
      </c>
      <c r="FI262" s="1356"/>
      <c r="FJ262" s="1537">
        <v>18</v>
      </c>
      <c r="FK262" s="1356"/>
      <c r="FL262" s="1537">
        <v>18</v>
      </c>
      <c r="FM262" s="1356"/>
      <c r="FN262" s="1537">
        <v>18</v>
      </c>
      <c r="FO262" s="1356"/>
      <c r="FP262" s="1537">
        <v>18</v>
      </c>
      <c r="FQ262" s="1356"/>
      <c r="FR262" s="1537"/>
      <c r="FS262" s="1356"/>
      <c r="FT262" s="1537"/>
      <c r="FU262" s="1356"/>
      <c r="FV262" s="1537"/>
      <c r="FW262" s="1356"/>
      <c r="FX262" s="1537">
        <v>18</v>
      </c>
      <c r="FY262" s="1356"/>
      <c r="FZ262" s="1537">
        <v>18</v>
      </c>
      <c r="GA262" s="1356"/>
      <c r="GB262" s="1537">
        <v>18</v>
      </c>
      <c r="GC262" s="1356"/>
      <c r="GD262" s="1537"/>
      <c r="GE262" s="1356"/>
      <c r="GF262" s="1537"/>
      <c r="GG262" s="1356"/>
      <c r="GH262" s="1537">
        <v>18</v>
      </c>
      <c r="GI262" s="1356"/>
      <c r="GJ262" s="1537"/>
      <c r="GK262" s="1356"/>
      <c r="GL262" s="1537">
        <v>18</v>
      </c>
      <c r="GM262" s="1356"/>
      <c r="GN262" s="1537">
        <v>18</v>
      </c>
      <c r="GO262" s="1356"/>
      <c r="GP262" s="1537">
        <v>18</v>
      </c>
      <c r="GQ262" s="1356"/>
      <c r="GR262" s="1537">
        <v>18</v>
      </c>
      <c r="GS262" s="1356"/>
      <c r="GT262" s="1537">
        <v>18</v>
      </c>
      <c r="GU262" s="1356"/>
      <c r="GV262" s="1537">
        <v>18</v>
      </c>
      <c r="GW262" s="1356"/>
      <c r="GX262" s="1537">
        <v>18</v>
      </c>
      <c r="GY262" s="1356"/>
      <c r="GZ262" s="1537"/>
      <c r="HA262" s="1356"/>
      <c r="HB262" s="1537">
        <v>18</v>
      </c>
      <c r="HC262" s="1356"/>
      <c r="HD262" s="1537">
        <v>18</v>
      </c>
      <c r="HE262" s="1356"/>
      <c r="HF262" s="1537"/>
      <c r="HH262" s="1537"/>
      <c r="HI262" s="1356"/>
      <c r="HJ262" s="1537">
        <v>18</v>
      </c>
      <c r="HK262" s="1356"/>
      <c r="HL262" s="1537"/>
      <c r="HM262" s="1356"/>
      <c r="HN262" s="1537">
        <v>18</v>
      </c>
      <c r="HO262" s="1356"/>
      <c r="HP262" s="1537"/>
      <c r="HR262" s="1537"/>
      <c r="HS262" s="1356"/>
      <c r="HT262" s="1537"/>
      <c r="HV262" s="1537">
        <v>18</v>
      </c>
      <c r="HX262" s="1537">
        <v>18</v>
      </c>
      <c r="HZ262" s="1537"/>
      <c r="IB262" s="1537">
        <v>18</v>
      </c>
      <c r="IC262" s="1356"/>
      <c r="ID262" s="1537">
        <v>18</v>
      </c>
      <c r="IF262" s="1537">
        <v>18</v>
      </c>
    </row>
    <row r="263" spans="1:241">
      <c r="A263" s="1149"/>
      <c r="B263" s="1149"/>
      <c r="C263" s="1149"/>
      <c r="D263" s="1149"/>
      <c r="E263" s="1143"/>
      <c r="F263" s="1699"/>
      <c r="G263" s="1356"/>
      <c r="H263" s="1699"/>
      <c r="I263" s="1356"/>
      <c r="J263" s="1699"/>
      <c r="K263" s="1356"/>
      <c r="L263" s="1699"/>
      <c r="M263" s="1356"/>
      <c r="N263" s="1699"/>
      <c r="O263" s="1356"/>
      <c r="P263" s="1699"/>
      <c r="Q263" s="1356"/>
      <c r="R263" s="1699"/>
      <c r="T263" s="1699"/>
      <c r="U263" s="1356"/>
      <c r="V263" s="1699"/>
      <c r="W263" s="1356"/>
      <c r="X263" s="1699"/>
      <c r="Y263" s="1356"/>
      <c r="Z263" s="1699"/>
      <c r="AA263" s="1356"/>
      <c r="AB263" s="1699"/>
      <c r="AC263" s="1356"/>
      <c r="AD263" s="1699"/>
      <c r="AE263" s="1356"/>
      <c r="AF263" s="1699"/>
      <c r="AG263" s="1356"/>
      <c r="AH263" s="1699"/>
      <c r="AI263" s="1356"/>
      <c r="AJ263" s="1699"/>
      <c r="AK263" s="1356"/>
      <c r="AL263" s="1699"/>
      <c r="AM263" s="1356"/>
      <c r="AN263" s="1699"/>
      <c r="AO263" s="1356"/>
      <c r="AP263" s="1699"/>
      <c r="AQ263" s="1356"/>
      <c r="AR263" s="1699"/>
      <c r="AS263" s="1356"/>
      <c r="AT263" s="1699"/>
      <c r="AU263" s="1356"/>
      <c r="AV263" s="1699"/>
      <c r="AW263" s="1356"/>
      <c r="AX263" s="1699"/>
      <c r="AY263" s="1356"/>
      <c r="AZ263" s="1699"/>
      <c r="BA263" s="1356"/>
      <c r="BB263" s="1699"/>
      <c r="BC263" s="1356"/>
      <c r="BD263" s="1699"/>
      <c r="BE263" s="1356"/>
      <c r="BF263" s="1699"/>
      <c r="BG263" s="1356"/>
      <c r="BH263" s="1699"/>
      <c r="BI263" s="1356"/>
      <c r="BJ263" s="1699"/>
      <c r="BK263" s="1356"/>
      <c r="BL263" s="1699"/>
      <c r="BM263" s="1356"/>
      <c r="BN263" s="1699"/>
      <c r="BO263" s="1356"/>
      <c r="BP263" s="1699"/>
      <c r="BQ263" s="1356"/>
      <c r="BR263" s="1699"/>
      <c r="BS263" s="1356"/>
      <c r="BT263" s="1699"/>
      <c r="BU263" s="1356"/>
      <c r="BV263" s="1699"/>
      <c r="BW263" s="1356"/>
      <c r="BX263" s="1699"/>
      <c r="BY263" s="1356"/>
      <c r="BZ263" s="1699"/>
      <c r="CA263" s="1356"/>
      <c r="CB263" s="1699"/>
      <c r="CC263" s="1356"/>
      <c r="CD263" s="1699"/>
      <c r="CE263" s="1356"/>
      <c r="CF263" s="1699"/>
      <c r="CG263" s="1356"/>
      <c r="CH263" s="1699"/>
      <c r="CI263" s="1356"/>
      <c r="CJ263" s="1699"/>
      <c r="CK263" s="1356"/>
      <c r="CL263" s="1699"/>
      <c r="CM263" s="1356"/>
      <c r="CN263" s="1699"/>
      <c r="CO263" s="1356"/>
      <c r="CP263" s="1699"/>
      <c r="CQ263" s="1356"/>
      <c r="CR263" s="1699"/>
      <c r="CS263" s="1356"/>
      <c r="CT263" s="1699"/>
      <c r="CU263" s="1356"/>
      <c r="CV263" s="1699"/>
      <c r="CW263" s="1356"/>
      <c r="CX263" s="1699"/>
      <c r="CY263" s="1356"/>
      <c r="CZ263" s="1699"/>
      <c r="DA263" s="1356"/>
      <c r="DB263" s="1699"/>
      <c r="DC263" s="1356"/>
      <c r="DD263" s="1699"/>
      <c r="DE263" s="1356"/>
      <c r="DF263" s="1699"/>
      <c r="DG263" s="1356"/>
      <c r="DH263" s="1699"/>
      <c r="DI263" s="1356"/>
      <c r="DJ263" s="1699"/>
      <c r="DK263" s="1356"/>
      <c r="DL263" s="1699"/>
      <c r="DM263" s="1356"/>
      <c r="DN263" s="1699"/>
      <c r="DO263" s="1356"/>
      <c r="DP263" s="1699"/>
      <c r="DQ263" s="1356"/>
      <c r="DR263" s="1699"/>
      <c r="DS263" s="1356"/>
      <c r="DT263" s="1699"/>
      <c r="DU263" s="1356"/>
      <c r="DV263" s="1699"/>
      <c r="DW263" s="1356"/>
      <c r="DX263" s="1699"/>
      <c r="DY263" s="1356"/>
      <c r="DZ263" s="1699"/>
      <c r="EA263" s="1356"/>
      <c r="EB263" s="1699"/>
      <c r="EC263" s="1356"/>
      <c r="ED263" s="1699"/>
      <c r="EE263" s="1356"/>
      <c r="EF263" s="1699"/>
      <c r="EG263" s="1356"/>
      <c r="EH263" s="1699"/>
      <c r="EI263" s="1356"/>
      <c r="EJ263" s="1699"/>
      <c r="EK263" s="1356"/>
      <c r="EL263" s="1699"/>
      <c r="EM263" s="1356"/>
      <c r="EN263" s="1699"/>
      <c r="EO263" s="1356"/>
      <c r="EP263" s="1699"/>
      <c r="EQ263" s="1356"/>
      <c r="ER263" s="1699"/>
      <c r="ES263" s="1356"/>
      <c r="ET263" s="1699"/>
      <c r="EU263" s="1356"/>
      <c r="EV263" s="1699"/>
      <c r="EW263" s="1356"/>
      <c r="EX263" s="1699"/>
      <c r="EY263" s="1356"/>
      <c r="EZ263" s="1699"/>
      <c r="FA263" s="1356"/>
      <c r="FB263" s="1699"/>
      <c r="FC263" s="1356"/>
      <c r="FD263" s="1699"/>
      <c r="FE263" s="1356"/>
      <c r="FF263" s="1699"/>
      <c r="FG263" s="1356"/>
      <c r="FH263" s="1699"/>
      <c r="FI263" s="1356"/>
      <c r="FJ263" s="1699"/>
      <c r="FK263" s="1356"/>
      <c r="FL263" s="1699"/>
      <c r="FM263" s="1356"/>
      <c r="FN263" s="1699"/>
      <c r="FO263" s="1356"/>
      <c r="FP263" s="1699"/>
      <c r="FQ263" s="1356"/>
      <c r="FR263" s="1699"/>
      <c r="FS263" s="1356"/>
      <c r="FT263" s="1699"/>
      <c r="FU263" s="1356"/>
      <c r="FV263" s="1699"/>
      <c r="FW263" s="1356"/>
      <c r="FX263" s="1699"/>
      <c r="FY263" s="1356"/>
      <c r="FZ263" s="1699"/>
      <c r="GA263" s="1356"/>
      <c r="GB263" s="1699"/>
      <c r="GC263" s="1356"/>
      <c r="GD263" s="1699"/>
      <c r="GE263" s="1356"/>
      <c r="GF263" s="1699"/>
      <c r="GG263" s="1356"/>
      <c r="GH263" s="1699"/>
      <c r="GI263" s="1356"/>
      <c r="GJ263" s="1699"/>
      <c r="GK263" s="1356"/>
      <c r="GL263" s="1699"/>
      <c r="GM263" s="1356"/>
      <c r="GN263" s="1699"/>
      <c r="GO263" s="1356"/>
      <c r="GP263" s="1699"/>
      <c r="GQ263" s="1356"/>
      <c r="GR263" s="1699"/>
      <c r="GS263" s="1356"/>
      <c r="GT263" s="1699"/>
      <c r="GU263" s="1356"/>
      <c r="GV263" s="1699"/>
      <c r="GW263" s="1356"/>
      <c r="GX263" s="1699"/>
      <c r="GY263" s="1356"/>
      <c r="GZ263" s="1699"/>
      <c r="HA263" s="1356"/>
      <c r="HB263" s="1699"/>
      <c r="HC263" s="1356"/>
      <c r="HD263" s="1699"/>
      <c r="HE263" s="1356"/>
      <c r="HF263" s="2042"/>
      <c r="HH263" s="1699"/>
      <c r="HI263" s="1356"/>
      <c r="HJ263" s="1699"/>
      <c r="HK263" s="1356"/>
      <c r="HL263" s="1699"/>
      <c r="HM263" s="1356"/>
      <c r="HN263" s="1699"/>
      <c r="HO263" s="1356"/>
      <c r="HP263" s="2042"/>
      <c r="HR263" s="1699"/>
      <c r="HS263" s="1356"/>
      <c r="HT263" s="2042"/>
      <c r="HV263" s="2042"/>
      <c r="HX263" s="2042"/>
      <c r="HZ263" s="2042"/>
      <c r="IB263" s="1699"/>
      <c r="IC263" s="1356"/>
      <c r="ID263" s="2042"/>
      <c r="IF263" s="2042"/>
    </row>
    <row r="264" spans="1:241">
      <c r="A264" s="1149"/>
      <c r="B264" s="1149" t="s">
        <v>1263</v>
      </c>
      <c r="C264" s="1149"/>
      <c r="D264" s="1149"/>
      <c r="E264" s="1143"/>
      <c r="F264" s="1537"/>
      <c r="G264" s="1356"/>
      <c r="H264" s="1537">
        <v>83</v>
      </c>
      <c r="I264" s="1356"/>
      <c r="J264" s="1537">
        <v>120</v>
      </c>
      <c r="K264" s="1356"/>
      <c r="L264" s="1537"/>
      <c r="M264" s="1356"/>
      <c r="N264" s="1537">
        <v>150</v>
      </c>
      <c r="O264" s="1356"/>
      <c r="P264" s="1537"/>
      <c r="Q264" s="1356"/>
      <c r="R264" s="1537"/>
      <c r="T264" s="1537"/>
      <c r="U264" s="1356"/>
      <c r="V264" s="1537">
        <v>75</v>
      </c>
      <c r="W264" s="1356"/>
      <c r="X264" s="1537">
        <v>82.18</v>
      </c>
      <c r="Y264" s="1356"/>
      <c r="Z264" s="1537"/>
      <c r="AA264" s="1356"/>
      <c r="AB264" s="1537"/>
      <c r="AC264" s="1356"/>
      <c r="AD264" s="1537"/>
      <c r="AE264" s="1356"/>
      <c r="AF264" s="1537">
        <v>90</v>
      </c>
      <c r="AG264" s="1356"/>
      <c r="AH264" s="1537"/>
      <c r="AI264" s="1356"/>
      <c r="AJ264" s="1537">
        <v>211</v>
      </c>
      <c r="AK264" s="1356"/>
      <c r="AL264" s="1537"/>
      <c r="AM264" s="1356"/>
      <c r="AN264" s="1537">
        <v>132.72999999999999</v>
      </c>
      <c r="AO264" s="1356"/>
      <c r="AP264" s="1537"/>
      <c r="AQ264" s="1356"/>
      <c r="AR264" s="1537">
        <v>95</v>
      </c>
      <c r="AS264" s="1356"/>
      <c r="AT264" s="1537"/>
      <c r="AU264" s="1356"/>
      <c r="AV264" s="1537">
        <v>120</v>
      </c>
      <c r="AW264" s="1356"/>
      <c r="AX264" s="1537"/>
      <c r="AY264" s="1356"/>
      <c r="AZ264" s="1537">
        <v>126</v>
      </c>
      <c r="BA264" s="1356"/>
      <c r="BB264" s="1537"/>
      <c r="BC264" s="1356"/>
      <c r="BD264" s="1537"/>
      <c r="BE264" s="1356"/>
      <c r="BF264" s="1537">
        <v>120</v>
      </c>
      <c r="BG264" s="1356"/>
      <c r="BH264" s="1537"/>
      <c r="BI264" s="1356"/>
      <c r="BJ264" s="1537"/>
      <c r="BK264" s="1356"/>
      <c r="BL264" s="1537"/>
      <c r="BM264" s="1356"/>
      <c r="BN264" s="1537">
        <v>90</v>
      </c>
      <c r="BO264" s="1356"/>
      <c r="BP264" s="1537"/>
      <c r="BQ264" s="1356"/>
      <c r="BR264" s="1537">
        <v>105</v>
      </c>
      <c r="BS264" s="1356"/>
      <c r="BT264" s="1537">
        <v>18</v>
      </c>
      <c r="BU264" s="1356"/>
      <c r="BV264" s="1537">
        <v>114</v>
      </c>
      <c r="BW264" s="1356"/>
      <c r="BX264" s="1537"/>
      <c r="BY264" s="1356"/>
      <c r="BZ264" s="1537"/>
      <c r="CA264" s="1356"/>
      <c r="CB264" s="1537">
        <v>130</v>
      </c>
      <c r="CC264" s="1356"/>
      <c r="CD264" s="1537"/>
      <c r="CE264" s="1356"/>
      <c r="CF264" s="1537">
        <v>100</v>
      </c>
      <c r="CG264" s="1356"/>
      <c r="CH264" s="1537">
        <v>95</v>
      </c>
      <c r="CI264" s="1356"/>
      <c r="CJ264" s="1537"/>
      <c r="CK264" s="1356"/>
      <c r="CL264" s="1537"/>
      <c r="CM264" s="1356"/>
      <c r="CN264" s="1537"/>
      <c r="CO264" s="1356"/>
      <c r="CP264" s="1537"/>
      <c r="CQ264" s="1356"/>
      <c r="CR264" s="1537">
        <v>125</v>
      </c>
      <c r="CS264" s="1356"/>
      <c r="CT264" s="1537">
        <v>106</v>
      </c>
      <c r="CU264" s="1356"/>
      <c r="CV264" s="1537"/>
      <c r="CW264" s="1356"/>
      <c r="CX264" s="1537"/>
      <c r="CY264" s="1356"/>
      <c r="CZ264" s="1537">
        <v>112</v>
      </c>
      <c r="DA264" s="1356"/>
      <c r="DB264" s="1537">
        <v>100</v>
      </c>
      <c r="DC264" s="1356"/>
      <c r="DD264" s="1537">
        <v>92</v>
      </c>
      <c r="DE264" s="1356"/>
      <c r="DF264" s="1537"/>
      <c r="DG264" s="1356"/>
      <c r="DH264" s="1537"/>
      <c r="DI264" s="1356"/>
      <c r="DJ264" s="1537">
        <v>121</v>
      </c>
      <c r="DK264" s="1356"/>
      <c r="DL264" s="1537"/>
      <c r="DM264" s="1356"/>
      <c r="DN264" s="1537">
        <v>200</v>
      </c>
      <c r="DO264" s="1356"/>
      <c r="DP264" s="1537"/>
      <c r="DQ264" s="1356"/>
      <c r="DR264" s="1537"/>
      <c r="DS264" s="1356"/>
      <c r="DT264" s="1537" t="s">
        <v>549</v>
      </c>
      <c r="DU264" s="1356"/>
      <c r="DV264" s="1537">
        <v>72</v>
      </c>
      <c r="DW264" s="1356"/>
      <c r="DX264" s="1537">
        <v>90</v>
      </c>
      <c r="DY264" s="1356"/>
      <c r="DZ264" s="1537"/>
      <c r="EA264" s="1356"/>
      <c r="EB264" s="1537">
        <v>120</v>
      </c>
      <c r="EC264" s="1356"/>
      <c r="ED264" s="1537">
        <v>186</v>
      </c>
      <c r="EE264" s="1356"/>
      <c r="EF264" s="1537">
        <v>120</v>
      </c>
      <c r="EG264" s="1356"/>
      <c r="EH264" s="1537">
        <v>125</v>
      </c>
      <c r="EI264" s="1356"/>
      <c r="EJ264" s="1537">
        <v>106</v>
      </c>
      <c r="EK264" s="1356"/>
      <c r="EL264" s="1537"/>
      <c r="EM264" s="1356"/>
      <c r="EN264" s="1537"/>
      <c r="EO264" s="1356"/>
      <c r="EP264" s="1537"/>
      <c r="EQ264" s="1356"/>
      <c r="ER264" s="1537">
        <v>100</v>
      </c>
      <c r="ES264" s="1356"/>
      <c r="ET264" s="1537"/>
      <c r="EU264" s="1356"/>
      <c r="EV264" s="1537">
        <v>126</v>
      </c>
      <c r="EW264" s="1356"/>
      <c r="EX264" s="1537">
        <v>234</v>
      </c>
      <c r="EY264" s="1356"/>
      <c r="EZ264" s="1537"/>
      <c r="FA264" s="1356"/>
      <c r="FB264" s="1537"/>
      <c r="FC264" s="1356"/>
      <c r="FD264" s="1537"/>
      <c r="FE264" s="1356"/>
      <c r="FF264" s="1537"/>
      <c r="FG264" s="1356"/>
      <c r="FH264" s="1537">
        <v>185</v>
      </c>
      <c r="FI264" s="1356"/>
      <c r="FJ264" s="1537">
        <v>103</v>
      </c>
      <c r="FK264" s="1356"/>
      <c r="FL264" s="1537"/>
      <c r="FM264" s="1356"/>
      <c r="FN264" s="1537">
        <v>124</v>
      </c>
      <c r="FO264" s="1356"/>
      <c r="FP264" s="1537">
        <v>66</v>
      </c>
      <c r="FQ264" s="1356"/>
      <c r="FR264" s="1537"/>
      <c r="FS264" s="1356"/>
      <c r="FT264" s="1537"/>
      <c r="FU264" s="1356"/>
      <c r="FV264" s="1537"/>
      <c r="FW264" s="1356"/>
      <c r="FX264" s="1537">
        <v>63</v>
      </c>
      <c r="FY264" s="1356"/>
      <c r="FZ264" s="1537">
        <v>125</v>
      </c>
      <c r="GA264" s="1356"/>
      <c r="GB264" s="1537">
        <v>77</v>
      </c>
      <c r="GC264" s="1356"/>
      <c r="GD264" s="1537"/>
      <c r="GE264" s="1356"/>
      <c r="GF264" s="1537"/>
      <c r="GG264" s="1356"/>
      <c r="GH264" s="1537">
        <v>70</v>
      </c>
      <c r="GI264" s="1356"/>
      <c r="GJ264" s="1537"/>
      <c r="GK264" s="1356"/>
      <c r="GL264" s="1537">
        <v>125</v>
      </c>
      <c r="GM264" s="1356"/>
      <c r="GN264" s="1537">
        <v>134</v>
      </c>
      <c r="GO264" s="1356"/>
      <c r="GP264" s="1537">
        <v>143</v>
      </c>
      <c r="GQ264" s="1356"/>
      <c r="GR264" s="1537">
        <v>68</v>
      </c>
      <c r="GS264" s="1356"/>
      <c r="GT264" s="1537">
        <v>110</v>
      </c>
      <c r="GU264" s="1356"/>
      <c r="GV264" s="1537">
        <v>170</v>
      </c>
      <c r="GW264" s="1356"/>
      <c r="GX264" s="1537">
        <v>65</v>
      </c>
      <c r="GY264" s="1356"/>
      <c r="GZ264" s="1537"/>
      <c r="HA264" s="1356"/>
      <c r="HB264" s="1537">
        <v>86</v>
      </c>
      <c r="HC264" s="1356"/>
      <c r="HD264" s="1537">
        <v>100</v>
      </c>
      <c r="HE264" s="1356"/>
      <c r="HF264" s="1537"/>
      <c r="HH264" s="1537"/>
      <c r="HI264" s="1356"/>
      <c r="HJ264" s="1537">
        <v>92</v>
      </c>
      <c r="HK264" s="1356"/>
      <c r="HL264" s="1537"/>
      <c r="HM264" s="1356"/>
      <c r="HN264" s="1537">
        <v>220</v>
      </c>
      <c r="HO264" s="1356"/>
      <c r="HP264" s="1537"/>
      <c r="HR264" s="1537"/>
      <c r="HS264" s="1356"/>
      <c r="HT264" s="1537"/>
      <c r="HV264" s="1537">
        <v>110</v>
      </c>
      <c r="HX264" s="1537">
        <v>79</v>
      </c>
      <c r="HZ264" s="1537"/>
      <c r="IB264" s="1537">
        <v>110</v>
      </c>
      <c r="IC264" s="1356"/>
      <c r="ID264" s="1537">
        <v>100</v>
      </c>
      <c r="IF264" s="1537">
        <v>82</v>
      </c>
    </row>
    <row r="265" spans="1:241">
      <c r="A265" s="1149"/>
      <c r="B265" s="1149"/>
      <c r="C265" s="1149"/>
      <c r="D265" s="1149"/>
      <c r="E265" s="1143"/>
      <c r="F265" s="1699"/>
      <c r="G265" s="1356"/>
      <c r="H265" s="1699"/>
      <c r="I265" s="1356"/>
      <c r="J265" s="1699"/>
      <c r="K265" s="1356"/>
      <c r="L265" s="1699"/>
      <c r="M265" s="1356"/>
      <c r="N265" s="1699"/>
      <c r="O265" s="1356"/>
      <c r="P265" s="1699"/>
      <c r="Q265" s="1356"/>
      <c r="R265" s="1699"/>
      <c r="T265" s="1699"/>
      <c r="U265" s="1356"/>
      <c r="V265" s="1699"/>
      <c r="W265" s="1356"/>
      <c r="X265" s="1699"/>
      <c r="Y265" s="1356"/>
      <c r="Z265" s="1699"/>
      <c r="AA265" s="1356"/>
      <c r="AB265" s="1699"/>
      <c r="AC265" s="1356"/>
      <c r="AD265" s="1699"/>
      <c r="AE265" s="1356"/>
      <c r="AF265" s="1699"/>
      <c r="AG265" s="1356"/>
      <c r="AH265" s="1699"/>
      <c r="AI265" s="1356"/>
      <c r="AJ265" s="1699"/>
      <c r="AK265" s="1356"/>
      <c r="AL265" s="1699"/>
      <c r="AM265" s="1356"/>
      <c r="AN265" s="1699"/>
      <c r="AO265" s="1356"/>
      <c r="AP265" s="1699"/>
      <c r="AQ265" s="1356"/>
      <c r="AR265" s="1699"/>
      <c r="AS265" s="1356"/>
      <c r="AT265" s="1699"/>
      <c r="AU265" s="1356"/>
      <c r="AV265" s="1699"/>
      <c r="AW265" s="1356"/>
      <c r="AX265" s="1699"/>
      <c r="AY265" s="1356"/>
      <c r="AZ265" s="1699"/>
      <c r="BA265" s="1356"/>
      <c r="BB265" s="1699"/>
      <c r="BC265" s="1356"/>
      <c r="BD265" s="1699"/>
      <c r="BE265" s="1356"/>
      <c r="BF265" s="1699"/>
      <c r="BG265" s="1356"/>
      <c r="BH265" s="1699"/>
      <c r="BI265" s="1356"/>
      <c r="BJ265" s="1699"/>
      <c r="BK265" s="1356"/>
      <c r="BL265" s="1699"/>
      <c r="BM265" s="1356"/>
      <c r="BN265" s="1699"/>
      <c r="BO265" s="1356"/>
      <c r="BP265" s="1699"/>
      <c r="BQ265" s="1356"/>
      <c r="BR265" s="1699"/>
      <c r="BS265" s="1356"/>
      <c r="BT265" s="1699"/>
      <c r="BU265" s="1356"/>
      <c r="BV265" s="1699"/>
      <c r="BW265" s="1356"/>
      <c r="BX265" s="1699"/>
      <c r="BY265" s="1356"/>
      <c r="BZ265" s="1699"/>
      <c r="CA265" s="1356"/>
      <c r="CB265" s="1699"/>
      <c r="CC265" s="1356"/>
      <c r="CD265" s="1699"/>
      <c r="CE265" s="1356"/>
      <c r="CF265" s="1699"/>
      <c r="CG265" s="1356"/>
      <c r="CH265" s="1699"/>
      <c r="CI265" s="1356"/>
      <c r="CJ265" s="1699"/>
      <c r="CK265" s="1356"/>
      <c r="CL265" s="1699"/>
      <c r="CM265" s="1356"/>
      <c r="CN265" s="1699"/>
      <c r="CO265" s="1356"/>
      <c r="CP265" s="1699"/>
      <c r="CQ265" s="1356"/>
      <c r="CR265" s="1699"/>
      <c r="CS265" s="1356"/>
      <c r="CT265" s="1699"/>
      <c r="CU265" s="1356"/>
      <c r="CV265" s="1699"/>
      <c r="CW265" s="1356"/>
      <c r="CX265" s="1699"/>
      <c r="CY265" s="1356"/>
      <c r="CZ265" s="1699"/>
      <c r="DA265" s="1356"/>
      <c r="DB265" s="1699"/>
      <c r="DC265" s="1356"/>
      <c r="DD265" s="1699"/>
      <c r="DE265" s="1356"/>
      <c r="DF265" s="1699"/>
      <c r="DG265" s="1356"/>
      <c r="DH265" s="1699"/>
      <c r="DI265" s="1356"/>
      <c r="DJ265" s="1699"/>
      <c r="DK265" s="1356"/>
      <c r="DL265" s="1699"/>
      <c r="DM265" s="1356"/>
      <c r="DN265" s="1699"/>
      <c r="DO265" s="1356"/>
      <c r="DP265" s="1699"/>
      <c r="DQ265" s="1356"/>
      <c r="DR265" s="1699"/>
      <c r="DS265" s="1356"/>
      <c r="DT265" s="1699"/>
      <c r="DU265" s="1356"/>
      <c r="DV265" s="1699"/>
      <c r="DW265" s="1356"/>
      <c r="DX265" s="1699"/>
      <c r="DY265" s="1356"/>
      <c r="DZ265" s="1699"/>
      <c r="EA265" s="1356"/>
      <c r="EB265" s="1699"/>
      <c r="EC265" s="1356"/>
      <c r="ED265" s="1699"/>
      <c r="EE265" s="1356"/>
      <c r="EF265" s="1699"/>
      <c r="EG265" s="1356"/>
      <c r="EH265" s="1699"/>
      <c r="EI265" s="1356"/>
      <c r="EJ265" s="1699"/>
      <c r="EK265" s="1356"/>
      <c r="EL265" s="1699"/>
      <c r="EM265" s="1356"/>
      <c r="EN265" s="1699"/>
      <c r="EO265" s="1356"/>
      <c r="EP265" s="1699"/>
      <c r="EQ265" s="1356"/>
      <c r="ER265" s="1699"/>
      <c r="ES265" s="1356"/>
      <c r="ET265" s="1699"/>
      <c r="EU265" s="1356"/>
      <c r="EV265" s="1699"/>
      <c r="EW265" s="1356"/>
      <c r="EX265" s="1699"/>
      <c r="EY265" s="1356"/>
      <c r="EZ265" s="1699"/>
      <c r="FA265" s="1356"/>
      <c r="FB265" s="1699"/>
      <c r="FC265" s="1356"/>
      <c r="FD265" s="1699"/>
      <c r="FE265" s="1356"/>
      <c r="FF265" s="1699"/>
      <c r="FG265" s="1356"/>
      <c r="FH265" s="1699"/>
      <c r="FI265" s="1356"/>
      <c r="FJ265" s="1699"/>
      <c r="FK265" s="1356"/>
      <c r="FL265" s="1699"/>
      <c r="FM265" s="1356"/>
      <c r="FN265" s="1699"/>
      <c r="FO265" s="1356"/>
      <c r="FP265" s="1699"/>
      <c r="FQ265" s="1356"/>
      <c r="FR265" s="1699"/>
      <c r="FS265" s="1356"/>
      <c r="FT265" s="1699"/>
      <c r="FU265" s="1356"/>
      <c r="FV265" s="1699"/>
      <c r="FW265" s="1356"/>
      <c r="FX265" s="1699"/>
      <c r="FY265" s="1356"/>
      <c r="FZ265" s="1699"/>
      <c r="GA265" s="1356"/>
      <c r="GB265" s="1699"/>
      <c r="GC265" s="1356"/>
      <c r="GD265" s="1699"/>
      <c r="GE265" s="1356"/>
      <c r="GF265" s="1699"/>
      <c r="GG265" s="1356"/>
      <c r="GH265" s="1699"/>
      <c r="GI265" s="1356"/>
      <c r="GJ265" s="1699"/>
      <c r="GK265" s="1356"/>
      <c r="GL265" s="1699"/>
      <c r="GM265" s="1356"/>
      <c r="GN265" s="1699"/>
      <c r="GO265" s="1356"/>
      <c r="GP265" s="1699"/>
      <c r="GQ265" s="1356"/>
      <c r="GR265" s="1699"/>
      <c r="GS265" s="1356"/>
      <c r="GT265" s="1699"/>
      <c r="GU265" s="1356"/>
      <c r="GV265" s="1699"/>
      <c r="GW265" s="1356"/>
      <c r="GX265" s="1699"/>
      <c r="GY265" s="1356"/>
      <c r="GZ265" s="1699"/>
      <c r="HA265" s="1356"/>
      <c r="HB265" s="1699"/>
      <c r="HC265" s="1356"/>
      <c r="HD265" s="1699"/>
      <c r="HE265" s="1356"/>
      <c r="HF265" s="2042"/>
      <c r="HH265" s="1699"/>
      <c r="HI265" s="1356"/>
      <c r="HJ265" s="1699"/>
      <c r="HK265" s="1356"/>
      <c r="HL265" s="1699"/>
      <c r="HM265" s="1356"/>
      <c r="HN265" s="1699"/>
      <c r="HO265" s="1356"/>
      <c r="HP265" s="2042"/>
      <c r="HR265" s="1699"/>
      <c r="HS265" s="1356"/>
      <c r="HT265" s="2042"/>
      <c r="HV265" s="2042"/>
      <c r="HX265" s="2042"/>
      <c r="HZ265" s="2042"/>
      <c r="IB265" s="1699"/>
      <c r="IC265" s="1356"/>
      <c r="ID265" s="2042"/>
      <c r="IF265" s="2042"/>
    </row>
    <row r="266" spans="1:241">
      <c r="A266" s="1149"/>
      <c r="B266" s="1149" t="s">
        <v>1264</v>
      </c>
      <c r="C266" s="1149"/>
      <c r="D266" s="1149"/>
      <c r="E266" s="1143"/>
      <c r="F266" s="1537"/>
      <c r="G266" s="1356"/>
      <c r="H266" s="1537">
        <v>25000</v>
      </c>
      <c r="I266" s="1356"/>
      <c r="J266" s="1537">
        <v>32598</v>
      </c>
      <c r="K266" s="1356"/>
      <c r="L266" s="1537"/>
      <c r="M266" s="1356"/>
      <c r="N266" s="1537">
        <v>24041</v>
      </c>
      <c r="O266" s="1356"/>
      <c r="P266" s="1537"/>
      <c r="Q266" s="1356"/>
      <c r="R266" s="1537"/>
      <c r="T266" s="1537"/>
      <c r="U266" s="1356"/>
      <c r="V266" s="1537">
        <v>43440</v>
      </c>
      <c r="W266" s="1356"/>
      <c r="X266" s="1537">
        <v>20000</v>
      </c>
      <c r="Y266" s="1356"/>
      <c r="Z266" s="1537"/>
      <c r="AA266" s="1356"/>
      <c r="AB266" s="1537"/>
      <c r="AC266" s="1356"/>
      <c r="AD266" s="1537"/>
      <c r="AE266" s="1356"/>
      <c r="AF266" s="1537">
        <v>37212</v>
      </c>
      <c r="AG266" s="1356"/>
      <c r="AH266" s="1537"/>
      <c r="AI266" s="1356"/>
      <c r="AJ266" s="1537">
        <v>19500</v>
      </c>
      <c r="AK266" s="1356"/>
      <c r="AL266" s="1537"/>
      <c r="AM266" s="1356"/>
      <c r="AN266" s="1537">
        <v>28814</v>
      </c>
      <c r="AO266" s="1356"/>
      <c r="AP266" s="1537"/>
      <c r="AQ266" s="1356"/>
      <c r="AR266" s="1537">
        <v>17435</v>
      </c>
      <c r="AS266" s="1356"/>
      <c r="AT266" s="1537"/>
      <c r="AU266" s="1356"/>
      <c r="AV266" s="1537">
        <v>26408</v>
      </c>
      <c r="AW266" s="1356"/>
      <c r="AX266" s="1537"/>
      <c r="AY266" s="1356"/>
      <c r="AZ266" s="1537">
        <v>52000</v>
      </c>
      <c r="BA266" s="1356"/>
      <c r="BB266" s="1537"/>
      <c r="BC266" s="1356"/>
      <c r="BD266" s="1537"/>
      <c r="BE266" s="1356"/>
      <c r="BF266" s="1537">
        <v>40118</v>
      </c>
      <c r="BG266" s="1356"/>
      <c r="BH266" s="1537"/>
      <c r="BI266" s="1356"/>
      <c r="BJ266" s="1537"/>
      <c r="BK266" s="1356"/>
      <c r="BL266" s="1537"/>
      <c r="BM266" s="1356"/>
      <c r="BN266" s="1537">
        <v>13800</v>
      </c>
      <c r="BO266" s="1356"/>
      <c r="BP266" s="1537"/>
      <c r="BQ266" s="1356"/>
      <c r="BR266" s="1537">
        <v>12000</v>
      </c>
      <c r="BS266" s="1356"/>
      <c r="BT266" s="1537">
        <v>5788</v>
      </c>
      <c r="BU266" s="1356"/>
      <c r="BV266" s="1537">
        <v>41335</v>
      </c>
      <c r="BW266" s="1356"/>
      <c r="BX266" s="1537"/>
      <c r="BY266" s="1356"/>
      <c r="BZ266" s="1537"/>
      <c r="CA266" s="1356"/>
      <c r="CB266" s="1537">
        <v>18467</v>
      </c>
      <c r="CC266" s="1356"/>
      <c r="CD266" s="1537"/>
      <c r="CE266" s="1356"/>
      <c r="CF266" s="1537">
        <v>28095</v>
      </c>
      <c r="CG266" s="1356"/>
      <c r="CH266" s="1537">
        <v>26564</v>
      </c>
      <c r="CI266" s="1356"/>
      <c r="CJ266" s="1537"/>
      <c r="CK266" s="1356"/>
      <c r="CL266" s="1537"/>
      <c r="CM266" s="1356"/>
      <c r="CN266" s="1537"/>
      <c r="CO266" s="1356"/>
      <c r="CP266" s="1537"/>
      <c r="CQ266" s="1356"/>
      <c r="CR266" s="1537">
        <v>22961</v>
      </c>
      <c r="CS266" s="1356"/>
      <c r="CT266" s="1537">
        <v>22991</v>
      </c>
      <c r="CU266" s="1356"/>
      <c r="CV266" s="1537"/>
      <c r="CW266" s="1356"/>
      <c r="CX266" s="1537"/>
      <c r="CY266" s="1356"/>
      <c r="CZ266" s="1537">
        <v>16195</v>
      </c>
      <c r="DA266" s="1356"/>
      <c r="DB266" s="1537">
        <v>24066</v>
      </c>
      <c r="DC266" s="1356"/>
      <c r="DD266" s="1537">
        <v>32278</v>
      </c>
      <c r="DE266" s="1356"/>
      <c r="DF266" s="1537"/>
      <c r="DG266" s="1356"/>
      <c r="DH266" s="1537"/>
      <c r="DI266" s="1356"/>
      <c r="DJ266" s="1537">
        <v>29840</v>
      </c>
      <c r="DK266" s="1356"/>
      <c r="DL266" s="1537"/>
      <c r="DM266" s="1356"/>
      <c r="DN266" s="1537">
        <v>19940</v>
      </c>
      <c r="DO266" s="1356"/>
      <c r="DP266" s="1537">
        <v>25500</v>
      </c>
      <c r="DQ266" s="1356"/>
      <c r="DR266" s="1537"/>
      <c r="DS266" s="1356"/>
      <c r="DT266" s="1537" t="s">
        <v>549</v>
      </c>
      <c r="DU266" s="1356"/>
      <c r="DV266" s="1537">
        <v>27193</v>
      </c>
      <c r="DW266" s="1356"/>
      <c r="DX266" s="1537">
        <v>28480</v>
      </c>
      <c r="DY266" s="1356"/>
      <c r="DZ266" s="1537"/>
      <c r="EA266" s="1356"/>
      <c r="EB266" s="1537">
        <v>36119</v>
      </c>
      <c r="EC266" s="1356"/>
      <c r="ED266" s="1537">
        <v>26657</v>
      </c>
      <c r="EE266" s="1356"/>
      <c r="EF266" s="1537">
        <v>31743</v>
      </c>
      <c r="EG266" s="1356"/>
      <c r="EH266" s="1537">
        <v>38000</v>
      </c>
      <c r="EI266" s="1356"/>
      <c r="EJ266" s="1537">
        <v>35568</v>
      </c>
      <c r="EK266" s="1356"/>
      <c r="EL266" s="1537"/>
      <c r="EM266" s="1356"/>
      <c r="EN266" s="1537"/>
      <c r="EO266" s="1356"/>
      <c r="EP266" s="1537"/>
      <c r="EQ266" s="1356"/>
      <c r="ER266" s="1537">
        <v>41972</v>
      </c>
      <c r="ES266" s="1356"/>
      <c r="ET266" s="1537"/>
      <c r="EU266" s="1356"/>
      <c r="EV266" s="1537">
        <v>57527</v>
      </c>
      <c r="EW266" s="1356"/>
      <c r="EX266" s="1537">
        <v>50556</v>
      </c>
      <c r="EY266" s="1356"/>
      <c r="EZ266" s="1537"/>
      <c r="FA266" s="1356"/>
      <c r="FB266" s="1537"/>
      <c r="FC266" s="1356"/>
      <c r="FD266" s="1537"/>
      <c r="FE266" s="1356"/>
      <c r="FF266" s="1537"/>
      <c r="FG266" s="1356"/>
      <c r="FH266" s="1537">
        <v>5691</v>
      </c>
      <c r="FI266" s="1356"/>
      <c r="FJ266" s="1537">
        <v>30386</v>
      </c>
      <c r="FK266" s="1356"/>
      <c r="FL266" s="1537">
        <v>26801</v>
      </c>
      <c r="FM266" s="1356"/>
      <c r="FN266" s="1537">
        <v>25258</v>
      </c>
      <c r="FO266" s="1356"/>
      <c r="FP266" s="1537">
        <v>34630</v>
      </c>
      <c r="FQ266" s="1356"/>
      <c r="FR266" s="1537"/>
      <c r="FS266" s="1356"/>
      <c r="FT266" s="1537"/>
      <c r="FU266" s="1356"/>
      <c r="FV266" s="1537"/>
      <c r="FW266" s="1356"/>
      <c r="FX266" s="1537">
        <v>47971</v>
      </c>
      <c r="FY266" s="1356"/>
      <c r="FZ266" s="1537">
        <v>33154</v>
      </c>
      <c r="GA266" s="1356"/>
      <c r="GB266" s="1537">
        <v>26282</v>
      </c>
      <c r="GC266" s="1356"/>
      <c r="GD266" s="1537"/>
      <c r="GE266" s="1356"/>
      <c r="GF266" s="1537"/>
      <c r="GG266" s="1356"/>
      <c r="GH266" s="1537">
        <v>17235</v>
      </c>
      <c r="GI266" s="1356"/>
      <c r="GJ266" s="1537"/>
      <c r="GK266" s="1356"/>
      <c r="GL266" s="1537">
        <v>53000</v>
      </c>
      <c r="GM266" s="1356"/>
      <c r="GN266" s="1537">
        <v>38800</v>
      </c>
      <c r="GO266" s="1356"/>
      <c r="GP266" s="1537">
        <v>29583</v>
      </c>
      <c r="GQ266" s="1356"/>
      <c r="GR266" s="1537">
        <v>48000</v>
      </c>
      <c r="GS266" s="1356"/>
      <c r="GT266" s="1537">
        <v>53333</v>
      </c>
      <c r="GU266" s="1356"/>
      <c r="GV266" s="1537">
        <v>52185</v>
      </c>
      <c r="GW266" s="1356"/>
      <c r="GX266" s="1537">
        <v>54000</v>
      </c>
      <c r="GY266" s="1356"/>
      <c r="GZ266" s="1537"/>
      <c r="HA266" s="1356"/>
      <c r="HB266" s="1537">
        <v>28687</v>
      </c>
      <c r="HC266" s="1356"/>
      <c r="HD266" s="1537">
        <v>18500</v>
      </c>
      <c r="HE266" s="1356"/>
      <c r="HF266" s="1537"/>
      <c r="HH266" s="1537"/>
      <c r="HI266" s="1356"/>
      <c r="HJ266" s="1537">
        <v>38277</v>
      </c>
      <c r="HK266" s="1356"/>
      <c r="HL266" s="1537"/>
      <c r="HM266" s="1356"/>
      <c r="HN266" s="1537">
        <v>33000</v>
      </c>
      <c r="HO266" s="1356"/>
      <c r="HP266" s="1537"/>
      <c r="HR266" s="1537"/>
      <c r="HS266" s="1356"/>
      <c r="HT266" s="1537"/>
      <c r="HV266" s="1537">
        <v>24632</v>
      </c>
      <c r="HX266" s="1537">
        <v>26536</v>
      </c>
      <c r="HZ266" s="1537"/>
      <c r="IB266" s="1537">
        <v>45069</v>
      </c>
      <c r="IC266" s="1356"/>
      <c r="ID266" s="1537">
        <v>49466</v>
      </c>
      <c r="IF266" s="1537">
        <v>39686</v>
      </c>
    </row>
    <row r="267" spans="1:241">
      <c r="A267" s="1149"/>
      <c r="B267" s="1149"/>
      <c r="C267" s="1149"/>
      <c r="D267" s="1149"/>
      <c r="E267" s="1143"/>
      <c r="F267" s="1699"/>
      <c r="G267" s="1356"/>
      <c r="H267" s="1699"/>
      <c r="I267" s="1356"/>
      <c r="J267" s="1699"/>
      <c r="K267" s="1356"/>
      <c r="L267" s="1699"/>
      <c r="M267" s="1356"/>
      <c r="N267" s="1699"/>
      <c r="O267" s="1356"/>
      <c r="P267" s="1699"/>
      <c r="Q267" s="1356"/>
      <c r="R267" s="1699"/>
      <c r="T267" s="1699"/>
      <c r="U267" s="1356"/>
      <c r="V267" s="1699"/>
      <c r="W267" s="1356"/>
      <c r="X267" s="1699"/>
      <c r="Y267" s="1356"/>
      <c r="Z267" s="1699"/>
      <c r="AA267" s="1356"/>
      <c r="AB267" s="1699"/>
      <c r="AC267" s="1356"/>
      <c r="AD267" s="1699"/>
      <c r="AE267" s="1356"/>
      <c r="AF267" s="1699"/>
      <c r="AG267" s="1356"/>
      <c r="AH267" s="1699"/>
      <c r="AI267" s="1356"/>
      <c r="AJ267" s="1699"/>
      <c r="AK267" s="1356"/>
      <c r="AL267" s="1699"/>
      <c r="AM267" s="1356"/>
      <c r="AN267" s="1699"/>
      <c r="AO267" s="1356"/>
      <c r="AP267" s="1699"/>
      <c r="AQ267" s="1356"/>
      <c r="AR267" s="1699"/>
      <c r="AS267" s="1356"/>
      <c r="AT267" s="1699"/>
      <c r="AU267" s="1356"/>
      <c r="AV267" s="1699"/>
      <c r="AW267" s="1356"/>
      <c r="AX267" s="1699"/>
      <c r="AY267" s="1356"/>
      <c r="AZ267" s="1699"/>
      <c r="BA267" s="1356"/>
      <c r="BB267" s="1699"/>
      <c r="BC267" s="1356"/>
      <c r="BD267" s="1699"/>
      <c r="BE267" s="1356"/>
      <c r="BF267" s="1699"/>
      <c r="BG267" s="1356"/>
      <c r="BH267" s="1699"/>
      <c r="BI267" s="1356"/>
      <c r="BJ267" s="1699"/>
      <c r="BK267" s="1356"/>
      <c r="BL267" s="1699"/>
      <c r="BM267" s="1356"/>
      <c r="BN267" s="1699"/>
      <c r="BO267" s="1356"/>
      <c r="BP267" s="1699"/>
      <c r="BQ267" s="1356"/>
      <c r="BR267" s="1699"/>
      <c r="BS267" s="1356"/>
      <c r="BT267" s="1699"/>
      <c r="BU267" s="1356"/>
      <c r="BV267" s="1699"/>
      <c r="BW267" s="1356"/>
      <c r="BX267" s="1699"/>
      <c r="BY267" s="1356"/>
      <c r="BZ267" s="1699"/>
      <c r="CA267" s="1356"/>
      <c r="CB267" s="1699"/>
      <c r="CC267" s="1356"/>
      <c r="CD267" s="1699"/>
      <c r="CE267" s="1356"/>
      <c r="CF267" s="1699"/>
      <c r="CG267" s="1356"/>
      <c r="CH267" s="1699"/>
      <c r="CI267" s="1356"/>
      <c r="CJ267" s="1699"/>
      <c r="CK267" s="1356"/>
      <c r="CL267" s="1699"/>
      <c r="CM267" s="1356"/>
      <c r="CN267" s="1699"/>
      <c r="CO267" s="1356"/>
      <c r="CP267" s="1699"/>
      <c r="CQ267" s="1356"/>
      <c r="CR267" s="1699"/>
      <c r="CS267" s="1356"/>
      <c r="CT267" s="1699"/>
      <c r="CU267" s="1356"/>
      <c r="CV267" s="1699"/>
      <c r="CW267" s="1356"/>
      <c r="CX267" s="1699"/>
      <c r="CY267" s="1356"/>
      <c r="CZ267" s="1699"/>
      <c r="DA267" s="1356"/>
      <c r="DB267" s="1699"/>
      <c r="DC267" s="1356"/>
      <c r="DD267" s="1699"/>
      <c r="DE267" s="1356"/>
      <c r="DF267" s="1699"/>
      <c r="DG267" s="1356"/>
      <c r="DH267" s="1699"/>
      <c r="DI267" s="1356"/>
      <c r="DJ267" s="1699"/>
      <c r="DK267" s="1356"/>
      <c r="DL267" s="1699"/>
      <c r="DM267" s="1356"/>
      <c r="DN267" s="1699"/>
      <c r="DO267" s="1356"/>
      <c r="DP267" s="1699"/>
      <c r="DQ267" s="1356"/>
      <c r="DR267" s="1699"/>
      <c r="DS267" s="1356"/>
      <c r="DT267" s="1699"/>
      <c r="DU267" s="1356"/>
      <c r="DV267" s="1699"/>
      <c r="DW267" s="1356"/>
      <c r="DX267" s="1699"/>
      <c r="DY267" s="1356"/>
      <c r="DZ267" s="1699"/>
      <c r="EA267" s="1356"/>
      <c r="EB267" s="1699"/>
      <c r="EC267" s="1356"/>
      <c r="ED267" s="1699"/>
      <c r="EE267" s="1356"/>
      <c r="EF267" s="1699"/>
      <c r="EG267" s="1356"/>
      <c r="EH267" s="1699"/>
      <c r="EI267" s="1356"/>
      <c r="EJ267" s="1699"/>
      <c r="EK267" s="1356"/>
      <c r="EL267" s="1699"/>
      <c r="EM267" s="1356"/>
      <c r="EN267" s="1699"/>
      <c r="EO267" s="1356"/>
      <c r="EP267" s="1699"/>
      <c r="EQ267" s="1356"/>
      <c r="ER267" s="1699"/>
      <c r="ES267" s="1356"/>
      <c r="ET267" s="1699"/>
      <c r="EU267" s="1356"/>
      <c r="EV267" s="1699"/>
      <c r="EW267" s="1356"/>
      <c r="EX267" s="1699"/>
      <c r="EY267" s="1356"/>
      <c r="EZ267" s="1699"/>
      <c r="FA267" s="1356"/>
      <c r="FB267" s="1699"/>
      <c r="FC267" s="1356"/>
      <c r="FD267" s="1699"/>
      <c r="FE267" s="1356"/>
      <c r="FF267" s="1699"/>
      <c r="FG267" s="1356"/>
      <c r="FH267" s="1699"/>
      <c r="FI267" s="1356"/>
      <c r="FJ267" s="1699"/>
      <c r="FK267" s="1356"/>
      <c r="FL267" s="1699"/>
      <c r="FM267" s="1356"/>
      <c r="FN267" s="1699"/>
      <c r="FO267" s="1356"/>
      <c r="FP267" s="1699"/>
      <c r="FQ267" s="1356"/>
      <c r="FR267" s="1699"/>
      <c r="FS267" s="1356"/>
      <c r="FT267" s="1699"/>
      <c r="FU267" s="1356"/>
      <c r="FV267" s="1699"/>
      <c r="FW267" s="1356"/>
      <c r="FX267" s="1699"/>
      <c r="FY267" s="1356"/>
      <c r="FZ267" s="1699"/>
      <c r="GA267" s="1356"/>
      <c r="GB267" s="1699"/>
      <c r="GC267" s="1356"/>
      <c r="GD267" s="1699"/>
      <c r="GE267" s="1356"/>
      <c r="GF267" s="1699"/>
      <c r="GG267" s="1356"/>
      <c r="GH267" s="1699"/>
      <c r="GI267" s="1356"/>
      <c r="GJ267" s="1699"/>
      <c r="GK267" s="1356"/>
      <c r="GL267" s="1699"/>
      <c r="GM267" s="1356"/>
      <c r="GN267" s="1699"/>
      <c r="GO267" s="1356"/>
      <c r="GP267" s="1699"/>
      <c r="GQ267" s="1356"/>
      <c r="GR267" s="1699"/>
      <c r="GS267" s="1356"/>
      <c r="GT267" s="1699"/>
      <c r="GU267" s="1356"/>
      <c r="GV267" s="1699"/>
      <c r="GW267" s="1356"/>
      <c r="GX267" s="1699"/>
      <c r="GY267" s="1356"/>
      <c r="GZ267" s="1699"/>
      <c r="HA267" s="1356"/>
      <c r="HB267" s="1699"/>
      <c r="HC267" s="1356"/>
      <c r="HD267" s="1699"/>
      <c r="HE267" s="1356"/>
      <c r="HF267" s="2042"/>
      <c r="HH267" s="1699"/>
      <c r="HI267" s="1356"/>
      <c r="HJ267" s="1699"/>
      <c r="HK267" s="1356"/>
      <c r="HL267" s="1699"/>
      <c r="HM267" s="1356"/>
      <c r="HN267" s="1699"/>
      <c r="HO267" s="1356"/>
      <c r="HP267" s="2042"/>
      <c r="HR267" s="1699"/>
      <c r="HS267" s="1356"/>
      <c r="HT267" s="2042"/>
      <c r="HV267" s="2042"/>
      <c r="HX267" s="2042"/>
      <c r="HZ267" s="2042"/>
      <c r="IB267" s="1699"/>
      <c r="IC267" s="1356"/>
      <c r="ID267" s="2042"/>
      <c r="IF267" s="2042"/>
    </row>
    <row r="268" spans="1:241">
      <c r="A268" s="1149"/>
      <c r="B268" s="1149" t="s">
        <v>1265</v>
      </c>
      <c r="C268" s="1149"/>
      <c r="D268" s="1149"/>
      <c r="E268" s="1143"/>
      <c r="F268" s="1729"/>
      <c r="G268" s="1716" t="e">
        <f t="shared" ref="G268:G273" si="528">F268/F$275</f>
        <v>#DIV/0!</v>
      </c>
      <c r="H268" s="1729">
        <v>1279870</v>
      </c>
      <c r="I268" s="1716">
        <f t="shared" ref="I268:I273" si="529">H268/H$275</f>
        <v>0.42976404900345055</v>
      </c>
      <c r="J268" s="1729">
        <v>873597</v>
      </c>
      <c r="K268" s="1716">
        <f t="shared" ref="K268:K273" si="530">J268/J$275</f>
        <v>0.44050157650287136</v>
      </c>
      <c r="L268" s="1729"/>
      <c r="M268" s="1716" t="e">
        <f t="shared" ref="M268:M273" si="531">L268/L$275</f>
        <v>#DIV/0!</v>
      </c>
      <c r="N268" s="1729">
        <v>1011913</v>
      </c>
      <c r="O268" s="1716">
        <f t="shared" ref="O268:O273" si="532">N268/N$275</f>
        <v>0.49385820853638002</v>
      </c>
      <c r="P268" s="1729"/>
      <c r="Q268" s="1716" t="e">
        <f t="shared" ref="Q268:Q273" si="533">P268/P$275</f>
        <v>#DIV/0!</v>
      </c>
      <c r="R268" s="1729"/>
      <c r="S268" s="1716" t="e">
        <f t="shared" ref="S268:S273" si="534">R268/R$275</f>
        <v>#DIV/0!</v>
      </c>
      <c r="T268" s="1729"/>
      <c r="U268" s="1716" t="e">
        <f t="shared" ref="U268:U273" si="535">T268/T$275</f>
        <v>#DIV/0!</v>
      </c>
      <c r="V268" s="1729">
        <v>669278</v>
      </c>
      <c r="W268" s="1716">
        <f t="shared" ref="W268:W273" si="536">V268/V$275</f>
        <v>0.47800688929630758</v>
      </c>
      <c r="X268" s="1729">
        <v>1627027</v>
      </c>
      <c r="Y268" s="1716">
        <f t="shared" ref="Y268:Y273" si="537">X268/X$275</f>
        <v>0.60747340434468822</v>
      </c>
      <c r="Z268" s="1729"/>
      <c r="AA268" s="1716" t="e">
        <f t="shared" ref="AA268:AA273" si="538">Z268/Z$275</f>
        <v>#DIV/0!</v>
      </c>
      <c r="AB268" s="1729"/>
      <c r="AC268" s="1716" t="e">
        <f t="shared" ref="AC268:AC273" si="539">AB268/AB$275</f>
        <v>#DIV/0!</v>
      </c>
      <c r="AD268" s="1729"/>
      <c r="AE268" s="1716" t="e">
        <f t="shared" ref="AE268:AE273" si="540">AD268/AD$275</f>
        <v>#DIV/0!</v>
      </c>
      <c r="AF268" s="1729">
        <v>860388</v>
      </c>
      <c r="AG268" s="1716">
        <f t="shared" ref="AG268:AG273" si="541">AF268/AF$275</f>
        <v>0.40356174946739798</v>
      </c>
      <c r="AH268" s="1729"/>
      <c r="AI268" s="1716" t="e">
        <f t="shared" ref="AI268:AI273" si="542">AH268/AH$275</f>
        <v>#DIV/0!</v>
      </c>
      <c r="AJ268" s="1729">
        <v>982096</v>
      </c>
      <c r="AK268" s="1716">
        <f t="shared" ref="AK268:AK273" si="543">AJ268/AJ$275</f>
        <v>0.567450696705872</v>
      </c>
      <c r="AL268" s="1729"/>
      <c r="AM268" s="1716" t="e">
        <f t="shared" ref="AM268:AM273" si="544">AL268/AL$275</f>
        <v>#DIV/0!</v>
      </c>
      <c r="AN268" s="1729">
        <v>920317</v>
      </c>
      <c r="AO268" s="1716">
        <f t="shared" ref="AO268:AO273" si="545">AN268/AN$275</f>
        <v>0.435567038364498</v>
      </c>
      <c r="AP268" s="1729"/>
      <c r="AQ268" s="1716" t="e">
        <f t="shared" ref="AQ268:AQ273" si="546">AP268/AP$275</f>
        <v>#DIV/0!</v>
      </c>
      <c r="AR268" s="1729">
        <v>1431883</v>
      </c>
      <c r="AS268" s="1716">
        <f t="shared" ref="AS268:AS273" si="547">AR268/AR$275</f>
        <v>0.52875487254932374</v>
      </c>
      <c r="AT268" s="1729"/>
      <c r="AU268" s="1716" t="e">
        <f t="shared" ref="AU268:AU273" si="548">AT268/AT$275</f>
        <v>#DIV/0!</v>
      </c>
      <c r="AV268" s="1729">
        <v>1443714</v>
      </c>
      <c r="AW268" s="1716">
        <f t="shared" ref="AW268:AW273" si="549">AV268/AV$275</f>
        <v>0.34537207816906967</v>
      </c>
      <c r="AX268" s="1729"/>
      <c r="AY268" s="1716" t="e">
        <f t="shared" ref="AY268:AY273" si="550">AX268/AX$275</f>
        <v>#DIV/0!</v>
      </c>
      <c r="AZ268" s="1934">
        <v>599097</v>
      </c>
      <c r="BA268" s="1716">
        <f t="shared" ref="BA268:BA273" si="551">AZ268/AZ$275</f>
        <v>0.48526066995629313</v>
      </c>
      <c r="BB268" s="1729"/>
      <c r="BC268" s="1716" t="e">
        <f t="shared" ref="BC268:BC273" si="552">BB268/BB$275</f>
        <v>#DIV/0!</v>
      </c>
      <c r="BD268" s="1729"/>
      <c r="BE268" s="1716" t="e">
        <f t="shared" ref="BE268:BE273" si="553">BD268/BD$275</f>
        <v>#DIV/0!</v>
      </c>
      <c r="BF268" s="1729">
        <v>721727</v>
      </c>
      <c r="BG268" s="1716">
        <f t="shared" ref="BG268:BG273" si="554">BF268/BF$275</f>
        <v>0.37787387013813845</v>
      </c>
      <c r="BH268" s="1729"/>
      <c r="BI268" s="1716" t="e">
        <f t="shared" ref="BI268:BI273" si="555">BH268/BH$275</f>
        <v>#DIV/0!</v>
      </c>
      <c r="BJ268" s="1729"/>
      <c r="BK268" s="1716" t="e">
        <f t="shared" ref="BK268:BK273" si="556">BJ268/BJ$275</f>
        <v>#DIV/0!</v>
      </c>
      <c r="BL268" s="1729"/>
      <c r="BM268" s="1716" t="e">
        <f t="shared" ref="BM268:BM273" si="557">BL268/BL$275</f>
        <v>#DIV/0!</v>
      </c>
      <c r="BN268" s="1729">
        <v>1187643</v>
      </c>
      <c r="BO268" s="1716">
        <f t="shared" ref="BO268:BO273" si="558">BN268/BN$275</f>
        <v>0.45447215636092569</v>
      </c>
      <c r="BP268" s="1729"/>
      <c r="BQ268" s="1716" t="e">
        <f t="shared" ref="BQ268:BQ273" si="559">BP268/BP$275</f>
        <v>#DIV/0!</v>
      </c>
      <c r="BR268" s="1729">
        <v>1394406</v>
      </c>
      <c r="BS268" s="1716">
        <f t="shared" ref="BS268:BS273" si="560">BR268/BR$275</f>
        <v>0.36644835962242106</v>
      </c>
      <c r="BT268" s="1729">
        <v>457962</v>
      </c>
      <c r="BU268" s="1716">
        <f t="shared" ref="BU268:BU273" si="561">BT268/BT$275</f>
        <v>0.54159639914945756</v>
      </c>
      <c r="BV268" s="1729">
        <v>635118</v>
      </c>
      <c r="BW268" s="1716">
        <f t="shared" ref="BW268:BW273" si="562">BV268/BV$275</f>
        <v>0.41992994092981001</v>
      </c>
      <c r="BX268" s="1729"/>
      <c r="BY268" s="1716" t="e">
        <f t="shared" ref="BY268:BY273" si="563">BX268/BX$275</f>
        <v>#DIV/0!</v>
      </c>
      <c r="BZ268" s="1729"/>
      <c r="CA268" s="1716" t="e">
        <f t="shared" ref="CA268:CA273" si="564">BZ268/BZ$275</f>
        <v>#DIV/0!</v>
      </c>
      <c r="CB268" s="1729">
        <v>994383</v>
      </c>
      <c r="CC268" s="1716">
        <f t="shared" ref="CC268:CC273" si="565">CB268/CB$275</f>
        <v>0.49063030098492855</v>
      </c>
      <c r="CD268" s="1729"/>
      <c r="CE268" s="1716" t="e">
        <f t="shared" ref="CE268:CE273" si="566">CD268/CD$275</f>
        <v>#DIV/0!</v>
      </c>
      <c r="CF268" s="1729">
        <v>1066784</v>
      </c>
      <c r="CG268" s="1716">
        <v>0.50358338848538464</v>
      </c>
      <c r="CH268" s="1729">
        <v>1086366</v>
      </c>
      <c r="CI268" s="1716">
        <v>0.49878880151037097</v>
      </c>
      <c r="CJ268" s="1729"/>
      <c r="CK268" s="1716" t="e">
        <v>#DIV/0!</v>
      </c>
      <c r="CL268" s="1729"/>
      <c r="CM268" s="1716" t="e">
        <v>#DIV/0!</v>
      </c>
      <c r="CN268" s="1729"/>
      <c r="CO268" s="1716" t="e">
        <f t="shared" ref="CO268:CO273" si="567">CN268/CN$275</f>
        <v>#DIV/0!</v>
      </c>
      <c r="CP268" s="1729"/>
      <c r="CQ268" s="1716" t="e">
        <f t="shared" ref="CQ268:CQ273" si="568">CP268/CP$275</f>
        <v>#DIV/0!</v>
      </c>
      <c r="CR268" s="1729">
        <v>1118433</v>
      </c>
      <c r="CS268" s="1716">
        <v>0.41473058510736921</v>
      </c>
      <c r="CT268" s="1729">
        <v>887522</v>
      </c>
      <c r="CU268" s="1716">
        <f t="shared" ref="CU268:CU273" si="569">CT268/CT$275</f>
        <v>0.49442056738576384</v>
      </c>
      <c r="CV268" s="1729"/>
      <c r="CW268" s="1716" t="e">
        <f t="shared" ref="CW268:CY273" si="570">CV268/CV$275</f>
        <v>#DIV/0!</v>
      </c>
      <c r="CX268" s="1729"/>
      <c r="CY268" s="1716" t="e">
        <f t="shared" si="570"/>
        <v>#DIV/0!</v>
      </c>
      <c r="CZ268" s="1729">
        <v>1028408</v>
      </c>
      <c r="DA268" s="1716">
        <v>0.50043576112212751</v>
      </c>
      <c r="DB268" s="1729">
        <v>864435</v>
      </c>
      <c r="DC268" s="1716">
        <v>0.52419418413000263</v>
      </c>
      <c r="DD268" s="1729">
        <v>917777</v>
      </c>
      <c r="DE268" s="1716">
        <v>0.44357946375708363</v>
      </c>
      <c r="DF268" s="1729"/>
      <c r="DG268" s="1716" t="e">
        <v>#DIV/0!</v>
      </c>
      <c r="DH268" s="1729"/>
      <c r="DI268" s="1716" t="e">
        <v>#DIV/0!</v>
      </c>
      <c r="DJ268" s="1729">
        <v>677858</v>
      </c>
      <c r="DK268" s="1716">
        <v>0.40370221260862937</v>
      </c>
      <c r="DL268" s="1729"/>
      <c r="DM268" s="1716" t="e">
        <v>#DIV/0!</v>
      </c>
      <c r="DN268" s="1729">
        <v>1292093</v>
      </c>
      <c r="DO268" s="1716">
        <f t="shared" ref="DO268:DO271" si="571">DN268/DN$275</f>
        <v>0.4708649589444055</v>
      </c>
      <c r="DP268" s="1729">
        <v>1355110</v>
      </c>
      <c r="DQ268" s="1716">
        <f t="shared" ref="DQ268:DQ273" si="572">DP268/DP$275</f>
        <v>0.51251125636757733</v>
      </c>
      <c r="DR268" s="1729"/>
      <c r="DS268" s="1716" t="e">
        <f t="shared" ref="DS268:DS273" si="573">DR268/DR$275</f>
        <v>#DIV/0!</v>
      </c>
      <c r="DT268" s="1729"/>
      <c r="DU268" s="1716" t="e">
        <f t="shared" ref="DU268:DU273" si="574">DT268/DT$275</f>
        <v>#DIV/0!</v>
      </c>
      <c r="DV268" s="1729">
        <v>1127485</v>
      </c>
      <c r="DW268" s="1716">
        <f t="shared" ref="DW268:DW273" si="575">DV268/DV$275</f>
        <v>0.45204908255869197</v>
      </c>
      <c r="DX268" s="1729">
        <v>1177363</v>
      </c>
      <c r="DY268" s="1716">
        <f t="shared" ref="DY268:DY273" si="576">DX268/DX$275</f>
        <v>0.46926395863013665</v>
      </c>
      <c r="DZ268" s="1729"/>
      <c r="EA268" s="1716" t="e">
        <f t="shared" ref="EA268:EA273" si="577">DZ268/DZ$275</f>
        <v>#DIV/0!</v>
      </c>
      <c r="EB268" s="1729">
        <v>957573</v>
      </c>
      <c r="EC268" s="1716">
        <f t="shared" ref="EC268:EC273" si="578">EB268/EB$275</f>
        <v>0.52349163898613826</v>
      </c>
      <c r="ED268" s="1729">
        <f>1161475+204118</f>
        <v>1365593</v>
      </c>
      <c r="EE268" s="1716">
        <f t="shared" ref="EE268:EE273" si="579">ED268/ED$275</f>
        <v>0.46393968209640929</v>
      </c>
      <c r="EF268" s="1729">
        <v>1239524</v>
      </c>
      <c r="EG268" s="1716">
        <f t="shared" ref="EG268:EG273" si="580">EF268/EF$275</f>
        <v>0.52921672318082336</v>
      </c>
      <c r="EH268" s="1729">
        <v>1187889</v>
      </c>
      <c r="EI268" s="1716">
        <f t="shared" ref="EI268:EI273" si="581">EH268/EH$275</f>
        <v>0.50539543016871491</v>
      </c>
      <c r="EJ268" s="1729">
        <v>1126645</v>
      </c>
      <c r="EK268" s="1716">
        <f t="shared" ref="EK268:EK273" si="582">EJ268/EJ$275</f>
        <v>0.49550082462891698</v>
      </c>
      <c r="EL268" s="1729"/>
      <c r="EM268" s="1716" t="e">
        <f t="shared" ref="EM268:EM273" si="583">EL268/EL$275</f>
        <v>#DIV/0!</v>
      </c>
      <c r="EN268" s="1729"/>
      <c r="EO268" s="1716" t="e">
        <f t="shared" ref="EO268:EO273" si="584">EN268/EN$275</f>
        <v>#DIV/0!</v>
      </c>
      <c r="EP268" s="1729"/>
      <c r="EQ268" s="1716" t="e">
        <f t="shared" ref="EQ268:EQ273" si="585">EP268/EP$275</f>
        <v>#DIV/0!</v>
      </c>
      <c r="ER268" s="1729">
        <f>827542+7653</f>
        <v>835195</v>
      </c>
      <c r="ES268" s="1716">
        <f t="shared" ref="ES268:ES273" si="586">ER268/ER$275</f>
        <v>0.39431832613890078</v>
      </c>
      <c r="ET268" s="1729"/>
      <c r="EU268" s="1716" t="e">
        <f t="shared" ref="EU268:EU273" si="587">ET268/ET$275</f>
        <v>#DIV/0!</v>
      </c>
      <c r="EV268" s="1729">
        <v>787388</v>
      </c>
      <c r="EW268" s="1716">
        <f t="shared" ref="EW268:EW273" si="588">EV268/EV$275</f>
        <v>0.43595190835679504</v>
      </c>
      <c r="EX268" s="1729">
        <v>845300</v>
      </c>
      <c r="EY268" s="1716">
        <f t="shared" ref="EY268:EY273" si="589">EX268/EX$275</f>
        <v>0.40825828313216644</v>
      </c>
      <c r="EZ268" s="1729"/>
      <c r="FA268" s="1716" t="e">
        <f t="shared" ref="FA268:FA273" si="590">EZ268/EZ$275</f>
        <v>#DIV/0!</v>
      </c>
      <c r="FB268" s="1729"/>
      <c r="FC268" s="1716" t="e">
        <f t="shared" ref="FC268:FC273" si="591">FB268/FB$275</f>
        <v>#DIV/0!</v>
      </c>
      <c r="FD268" s="1729"/>
      <c r="FE268" s="1716" t="e">
        <f t="shared" ref="FE268:FE273" si="592">FD268/FD$275</f>
        <v>#DIV/0!</v>
      </c>
      <c r="FF268" s="1729"/>
      <c r="FG268" s="1716" t="e">
        <f t="shared" ref="FG268:FG273" si="593">FF268/FF$275</f>
        <v>#DIV/0!</v>
      </c>
      <c r="FH268" s="1729">
        <v>1438939</v>
      </c>
      <c r="FI268" s="1716">
        <f t="shared" ref="FI268:FI273" si="594">FH268/FH$275</f>
        <v>0.49088179958960676</v>
      </c>
      <c r="FJ268" s="1729">
        <v>961284</v>
      </c>
      <c r="FK268" s="1716">
        <f t="shared" ref="FK268:FK273" si="595">FJ268/FJ$275</f>
        <v>0.56195753651206393</v>
      </c>
      <c r="FL268" s="1729">
        <v>846219</v>
      </c>
      <c r="FM268" s="1716">
        <f t="shared" ref="FM268:FM273" si="596">FL268/FL$275</f>
        <v>0.50587826673330261</v>
      </c>
      <c r="FN268" s="1729">
        <v>1484049</v>
      </c>
      <c r="FO268" s="1716">
        <f t="shared" ref="FO268:FO273" si="597">FN268/FN$275</f>
        <v>0.57309788180902954</v>
      </c>
      <c r="FP268" s="1729">
        <v>721622</v>
      </c>
      <c r="FQ268" s="1716">
        <f t="shared" ref="FQ268:FQ273" si="598">FP268/FP$275</f>
        <v>0.420709762839098</v>
      </c>
      <c r="FR268" s="1729"/>
      <c r="FS268" s="1716" t="e">
        <f t="shared" ref="FS268:FS273" si="599">FR268/FR$275</f>
        <v>#DIV/0!</v>
      </c>
      <c r="FT268" s="1729"/>
      <c r="FU268" s="1716" t="e">
        <f t="shared" ref="FU268:FU273" si="600">FT268/FT$275</f>
        <v>#DIV/0!</v>
      </c>
      <c r="FV268" s="1729"/>
      <c r="FW268" s="1716" t="e">
        <f t="shared" ref="FW268:FW273" si="601">FV268/FV$275</f>
        <v>#DIV/0!</v>
      </c>
      <c r="FX268" s="1729">
        <v>861072</v>
      </c>
      <c r="FY268" s="1716">
        <f t="shared" ref="FY268:FY273" si="602">FX268/FX$275</f>
        <v>0.5250474240985763</v>
      </c>
      <c r="FZ268" s="1729">
        <v>803900</v>
      </c>
      <c r="GA268" s="1716">
        <f t="shared" ref="GA268:GA273" si="603">FZ268/FZ$275</f>
        <v>0.46509744251368995</v>
      </c>
      <c r="GB268" s="1729">
        <v>941351</v>
      </c>
      <c r="GC268" s="1716">
        <f t="shared" ref="GC268:GC273" si="604">GB268/GB$275</f>
        <v>0.38406688187064258</v>
      </c>
      <c r="GD268" s="1729"/>
      <c r="GE268" s="1716" t="e">
        <f t="shared" ref="GE268:GE273" si="605">GD268/GD$275</f>
        <v>#DIV/0!</v>
      </c>
      <c r="GF268" s="1729"/>
      <c r="GG268" s="1716" t="e">
        <f t="shared" ref="GG268:GG273" si="606">GF268/GF$275</f>
        <v>#DIV/0!</v>
      </c>
      <c r="GH268" s="1729">
        <v>382262</v>
      </c>
      <c r="GI268" s="1716">
        <f t="shared" ref="GI268:GI273" si="607">GH268/GH$275</f>
        <v>0.52524028387504551</v>
      </c>
      <c r="GJ268" s="1729"/>
      <c r="GK268" s="1716" t="e">
        <f t="shared" ref="GK268:GK273" si="608">GJ268/GJ$275</f>
        <v>#DIV/0!</v>
      </c>
      <c r="GL268" s="1729">
        <v>879023</v>
      </c>
      <c r="GM268" s="1716">
        <f t="shared" ref="GM268:GM273" si="609">GL268/GL$275</f>
        <v>0.4532233182709699</v>
      </c>
      <c r="GN268" s="1729">
        <v>799519</v>
      </c>
      <c r="GO268" s="1716">
        <f t="shared" ref="GO268:GO273" si="610">GN268/GN$275</f>
        <v>0.46376968799105778</v>
      </c>
      <c r="GP268" s="1729">
        <v>899229</v>
      </c>
      <c r="GQ268" s="1716">
        <f t="shared" ref="GQ268:GQ273" si="611">GP268/GP$275</f>
        <v>0.49461643435515196</v>
      </c>
      <c r="GR268" s="1729">
        <v>967396</v>
      </c>
      <c r="GS268" s="1716">
        <f t="shared" ref="GS268:GS273" si="612">GR268/GR$275</f>
        <v>0.50331128584234752</v>
      </c>
      <c r="GT268" s="1729">
        <v>711143</v>
      </c>
      <c r="GU268" s="1716">
        <f t="shared" ref="GU268:GU273" si="613">GT268/GT$275</f>
        <v>0.47039209318108305</v>
      </c>
      <c r="GV268" s="1729">
        <v>970755</v>
      </c>
      <c r="GW268" s="1716">
        <f t="shared" ref="GW268:GW273" si="614">GV268/GV$275</f>
        <v>0.45880598101264325</v>
      </c>
      <c r="GX268" s="1729">
        <v>792154</v>
      </c>
      <c r="GY268" s="1716">
        <f t="shared" ref="GY268:GY273" si="615">GX268/GX$275</f>
        <v>0.44763314779758712</v>
      </c>
      <c r="GZ268" s="1729"/>
      <c r="HA268" s="1716" t="e">
        <f t="shared" ref="HA268:HA273" si="616">GZ268/GZ$275</f>
        <v>#DIV/0!</v>
      </c>
      <c r="HB268" s="1729">
        <v>803614</v>
      </c>
      <c r="HC268" s="1716">
        <f t="shared" ref="HC268:HC273" si="617">HB268/HB$275</f>
        <v>0.44841528469075731</v>
      </c>
      <c r="HD268" s="1729">
        <v>1260997</v>
      </c>
      <c r="HE268" s="1716">
        <f t="shared" ref="HE268:HE273" si="618">HD268/HD$275</f>
        <v>0.56419185253126325</v>
      </c>
      <c r="HF268" s="2050"/>
      <c r="HG268" s="2033" t="e">
        <f t="shared" ref="HG268:HG273" si="619">HF268/HF$275</f>
        <v>#DIV/0!</v>
      </c>
      <c r="HH268" s="1729"/>
      <c r="HI268" s="1716" t="e">
        <f t="shared" ref="HI268:HI273" si="620">HH268/HH$275</f>
        <v>#DIV/0!</v>
      </c>
      <c r="HJ268" s="1729">
        <v>969425</v>
      </c>
      <c r="HK268" s="1716">
        <f t="shared" ref="HK268:HK273" si="621">HJ268/HJ$275</f>
        <v>0.40428032326578683</v>
      </c>
      <c r="HL268" s="1729"/>
      <c r="HM268" s="1716" t="e">
        <f t="shared" ref="HM268:HM273" si="622">HL268/HL$275</f>
        <v>#DIV/0!</v>
      </c>
      <c r="HN268" s="1729">
        <v>868618</v>
      </c>
      <c r="HO268" s="1716">
        <f t="shared" ref="HO268:HO273" si="623">HN268/HN$275</f>
        <v>0.38105252721731697</v>
      </c>
      <c r="HP268" s="2050"/>
      <c r="HQ268" s="2033" t="e">
        <f t="shared" ref="HQ268:HQ273" si="624">HP268/HP$275</f>
        <v>#DIV/0!</v>
      </c>
      <c r="HR268" s="1729"/>
      <c r="HS268" s="1716" t="e">
        <f t="shared" ref="HS268:HS273" si="625">HR268/HR$275</f>
        <v>#DIV/0!</v>
      </c>
      <c r="HT268" s="2050"/>
      <c r="HU268" s="2033" t="e">
        <f t="shared" ref="HU268:HU273" si="626">HT268/HT$275</f>
        <v>#DIV/0!</v>
      </c>
      <c r="HV268" s="2050">
        <v>1122400</v>
      </c>
      <c r="HW268" s="2033">
        <f t="shared" ref="HW268:HW273" si="627">HV268/HV$275</f>
        <v>0.49648778243714281</v>
      </c>
      <c r="HX268" s="2050">
        <v>835114</v>
      </c>
      <c r="HY268" s="2033">
        <f t="shared" ref="HY268:HY273" si="628">HX268/HX$275</f>
        <v>0.47228009455623043</v>
      </c>
      <c r="HZ268" s="2050"/>
      <c r="IA268" s="2033" t="e">
        <f t="shared" ref="IA268:IA273" si="629">HZ268/HZ$275</f>
        <v>#DIV/0!</v>
      </c>
      <c r="IB268" s="1729">
        <v>863161</v>
      </c>
      <c r="IC268" s="1716">
        <f t="shared" ref="IC268:IC273" si="630">IB268/IB$275</f>
        <v>0.38113533300069324</v>
      </c>
      <c r="ID268" s="2050">
        <v>795614</v>
      </c>
      <c r="IE268" s="2033">
        <f t="shared" ref="IE268:IE273" si="631">ID268/ID$275</f>
        <v>0.37912016697004641</v>
      </c>
      <c r="IF268" s="2050">
        <v>674880</v>
      </c>
      <c r="IG268" s="2033">
        <f t="shared" ref="IG268:IG273" si="632">IF268/IF$275</f>
        <v>0.45424226658060329</v>
      </c>
    </row>
    <row r="269" spans="1:241">
      <c r="A269" s="1149"/>
      <c r="B269" s="1149" t="s">
        <v>31</v>
      </c>
      <c r="C269" s="1149"/>
      <c r="D269" s="1149"/>
      <c r="E269" s="1143"/>
      <c r="F269" s="1729"/>
      <c r="G269" s="1716" t="e">
        <f t="shared" si="528"/>
        <v>#DIV/0!</v>
      </c>
      <c r="H269" s="1729">
        <v>214727</v>
      </c>
      <c r="I269" s="1716">
        <f t="shared" si="529"/>
        <v>7.2102592412013666E-2</v>
      </c>
      <c r="J269" s="1729">
        <v>94940</v>
      </c>
      <c r="K269" s="1716">
        <f t="shared" si="530"/>
        <v>4.7872439664035718E-2</v>
      </c>
      <c r="L269" s="1729"/>
      <c r="M269" s="1716" t="e">
        <f t="shared" si="531"/>
        <v>#DIV/0!</v>
      </c>
      <c r="N269" s="1729">
        <v>215991</v>
      </c>
      <c r="O269" s="1716">
        <f t="shared" si="532"/>
        <v>0.1054131415645231</v>
      </c>
      <c r="P269" s="1729"/>
      <c r="Q269" s="1716" t="e">
        <f t="shared" si="533"/>
        <v>#DIV/0!</v>
      </c>
      <c r="R269" s="1729"/>
      <c r="S269" s="1716" t="e">
        <f t="shared" si="534"/>
        <v>#DIV/0!</v>
      </c>
      <c r="T269" s="1729"/>
      <c r="U269" s="1716" t="e">
        <f t="shared" si="535"/>
        <v>#DIV/0!</v>
      </c>
      <c r="V269" s="1729">
        <v>187545</v>
      </c>
      <c r="W269" s="1716">
        <f t="shared" si="536"/>
        <v>0.1339470325531035</v>
      </c>
      <c r="X269" s="1729">
        <v>121666</v>
      </c>
      <c r="Y269" s="1716">
        <f t="shared" si="537"/>
        <v>4.5425711566557184E-2</v>
      </c>
      <c r="Z269" s="1729"/>
      <c r="AA269" s="1716" t="e">
        <f t="shared" si="538"/>
        <v>#DIV/0!</v>
      </c>
      <c r="AB269" s="1729"/>
      <c r="AC269" s="1716" t="e">
        <f t="shared" si="539"/>
        <v>#DIV/0!</v>
      </c>
      <c r="AD269" s="1729"/>
      <c r="AE269" s="1716" t="e">
        <f t="shared" si="540"/>
        <v>#DIV/0!</v>
      </c>
      <c r="AF269" s="1729">
        <v>248769</v>
      </c>
      <c r="AG269" s="1716">
        <f t="shared" si="541"/>
        <v>0.11668416209112067</v>
      </c>
      <c r="AH269" s="1729"/>
      <c r="AI269" s="1716" t="e">
        <f t="shared" si="542"/>
        <v>#DIV/0!</v>
      </c>
      <c r="AJ269" s="1729">
        <v>195003</v>
      </c>
      <c r="AK269" s="1716">
        <f t="shared" si="543"/>
        <v>0.11267186528581234</v>
      </c>
      <c r="AL269" s="1729"/>
      <c r="AM269" s="1716" t="e">
        <f t="shared" si="544"/>
        <v>#DIV/0!</v>
      </c>
      <c r="AN269" s="1729">
        <v>89652</v>
      </c>
      <c r="AO269" s="1716">
        <f t="shared" si="545"/>
        <v>4.2430440949644495E-2</v>
      </c>
      <c r="AP269" s="1729"/>
      <c r="AQ269" s="1716" t="e">
        <f t="shared" si="546"/>
        <v>#DIV/0!</v>
      </c>
      <c r="AR269" s="1729">
        <v>379549</v>
      </c>
      <c r="AS269" s="1716">
        <f t="shared" si="547"/>
        <v>0.1401569703119761</v>
      </c>
      <c r="AT269" s="1729"/>
      <c r="AU269" s="1716" t="e">
        <f t="shared" si="548"/>
        <v>#DIV/0!</v>
      </c>
      <c r="AV269" s="1729">
        <v>219170</v>
      </c>
      <c r="AW269" s="1716">
        <f t="shared" si="549"/>
        <v>5.2430881997622109E-2</v>
      </c>
      <c r="AX269" s="1729"/>
      <c r="AY269" s="1716" t="e">
        <f t="shared" si="550"/>
        <v>#DIV/0!</v>
      </c>
      <c r="AZ269" s="1729">
        <v>159528</v>
      </c>
      <c r="BA269" s="1716">
        <f t="shared" si="551"/>
        <v>0.1292155763704167</v>
      </c>
      <c r="BB269" s="1729"/>
      <c r="BC269" s="1716" t="e">
        <f t="shared" si="552"/>
        <v>#DIV/0!</v>
      </c>
      <c r="BD269" s="1729"/>
      <c r="BE269" s="1716" t="e">
        <f t="shared" si="553"/>
        <v>#DIV/0!</v>
      </c>
      <c r="BF269" s="1729">
        <v>166102</v>
      </c>
      <c r="BG269" s="1716">
        <f t="shared" si="554"/>
        <v>8.6965854925318123E-2</v>
      </c>
      <c r="BH269" s="1729"/>
      <c r="BI269" s="1716" t="e">
        <f t="shared" si="555"/>
        <v>#DIV/0!</v>
      </c>
      <c r="BJ269" s="1729"/>
      <c r="BK269" s="1716" t="e">
        <f t="shared" si="556"/>
        <v>#DIV/0!</v>
      </c>
      <c r="BL269" s="1729"/>
      <c r="BM269" s="1716" t="e">
        <f t="shared" si="557"/>
        <v>#DIV/0!</v>
      </c>
      <c r="BN269" s="1729">
        <v>206042</v>
      </c>
      <c r="BO269" s="1716">
        <f t="shared" si="558"/>
        <v>7.8845538634857312E-2</v>
      </c>
      <c r="BP269" s="1729"/>
      <c r="BQ269" s="1716" t="e">
        <f t="shared" si="559"/>
        <v>#DIV/0!</v>
      </c>
      <c r="BR269" s="1729">
        <v>369205</v>
      </c>
      <c r="BS269" s="1716">
        <f t="shared" si="560"/>
        <v>9.70266669925373E-2</v>
      </c>
      <c r="BT269" s="1729">
        <v>83306</v>
      </c>
      <c r="BU269" s="1716">
        <f t="shared" si="561"/>
        <v>9.8519592515415491E-2</v>
      </c>
      <c r="BV269" s="1729">
        <v>151304</v>
      </c>
      <c r="BW269" s="1716">
        <f t="shared" si="562"/>
        <v>0.10003980328449827</v>
      </c>
      <c r="BX269" s="1729"/>
      <c r="BY269" s="1716" t="e">
        <f t="shared" si="563"/>
        <v>#DIV/0!</v>
      </c>
      <c r="BZ269" s="1729"/>
      <c r="CA269" s="1716" t="e">
        <f t="shared" si="564"/>
        <v>#DIV/0!</v>
      </c>
      <c r="CB269" s="1729">
        <v>206145</v>
      </c>
      <c r="CC269" s="1716">
        <f t="shared" si="565"/>
        <v>0.1017123013934652</v>
      </c>
      <c r="CD269" s="1729"/>
      <c r="CE269" s="1716" t="e">
        <f t="shared" si="566"/>
        <v>#DIV/0!</v>
      </c>
      <c r="CF269" s="1729">
        <v>70576</v>
      </c>
      <c r="CG269" s="1716">
        <v>3.3315930146819321E-2</v>
      </c>
      <c r="CH269" s="1729">
        <v>218397</v>
      </c>
      <c r="CI269" s="1716">
        <v>0.1002737363682778</v>
      </c>
      <c r="CJ269" s="1729"/>
      <c r="CK269" s="1716" t="e">
        <v>#DIV/0!</v>
      </c>
      <c r="CL269" s="1729"/>
      <c r="CM269" s="1716" t="e">
        <v>#DIV/0!</v>
      </c>
      <c r="CN269" s="1729"/>
      <c r="CO269" s="1716" t="e">
        <f t="shared" si="567"/>
        <v>#DIV/0!</v>
      </c>
      <c r="CP269" s="1729"/>
      <c r="CQ269" s="1716" t="e">
        <f t="shared" si="568"/>
        <v>#DIV/0!</v>
      </c>
      <c r="CR269" s="1729">
        <v>248652</v>
      </c>
      <c r="CS269" s="1716">
        <v>9.220363620182663E-2</v>
      </c>
      <c r="CT269" s="1729">
        <v>137837</v>
      </c>
      <c r="CU269" s="1716">
        <f t="shared" si="569"/>
        <v>7.678620670445524E-2</v>
      </c>
      <c r="CV269" s="1729"/>
      <c r="CW269" s="1716" t="e">
        <f t="shared" si="570"/>
        <v>#DIV/0!</v>
      </c>
      <c r="CX269" s="1729"/>
      <c r="CY269" s="1716" t="e">
        <f t="shared" si="570"/>
        <v>#DIV/0!</v>
      </c>
      <c r="CZ269" s="1729">
        <v>270698</v>
      </c>
      <c r="DA269" s="1716">
        <v>0.1317249181883432</v>
      </c>
      <c r="DB269" s="1729">
        <v>239632</v>
      </c>
      <c r="DC269" s="1716">
        <v>0.14531306660586488</v>
      </c>
      <c r="DD269" s="1729">
        <v>193940</v>
      </c>
      <c r="DE269" s="1716">
        <v>9.3734971786227819E-2</v>
      </c>
      <c r="DF269" s="1729"/>
      <c r="DG269" s="1716" t="e">
        <v>#DIV/0!</v>
      </c>
      <c r="DH269" s="1729"/>
      <c r="DI269" s="1716" t="e">
        <v>#DIV/0!</v>
      </c>
      <c r="DJ269" s="1729">
        <v>155743</v>
      </c>
      <c r="DK269" s="1716">
        <v>9.2753635272145141E-2</v>
      </c>
      <c r="DL269" s="1729"/>
      <c r="DM269" s="1716" t="e">
        <v>#DIV/0!</v>
      </c>
      <c r="DN269" s="1729">
        <v>299912</v>
      </c>
      <c r="DO269" s="1716">
        <f t="shared" si="571"/>
        <v>0.10929403035767127</v>
      </c>
      <c r="DP269" s="1729">
        <v>139809</v>
      </c>
      <c r="DQ269" s="1716">
        <f t="shared" si="572"/>
        <v>5.2876656685800126E-2</v>
      </c>
      <c r="DR269" s="1729"/>
      <c r="DS269" s="1716" t="e">
        <f t="shared" si="573"/>
        <v>#DIV/0!</v>
      </c>
      <c r="DT269" s="1729"/>
      <c r="DU269" s="1716" t="e">
        <f t="shared" si="574"/>
        <v>#DIV/0!</v>
      </c>
      <c r="DV269" s="1729">
        <v>215831</v>
      </c>
      <c r="DW269" s="1716">
        <f t="shared" si="575"/>
        <v>8.6534371222433154E-2</v>
      </c>
      <c r="DX269" s="1729">
        <v>217600</v>
      </c>
      <c r="DY269" s="1716">
        <f t="shared" si="576"/>
        <v>8.6729273297969908E-2</v>
      </c>
      <c r="DZ269" s="1729"/>
      <c r="EA269" s="1716" t="e">
        <f t="shared" si="577"/>
        <v>#DIV/0!</v>
      </c>
      <c r="EB269" s="1729">
        <v>207827</v>
      </c>
      <c r="EC269" s="1716">
        <f t="shared" si="578"/>
        <v>0.11361608656005563</v>
      </c>
      <c r="ED269" s="1729">
        <v>223485</v>
      </c>
      <c r="EE269" s="1716">
        <f t="shared" si="579"/>
        <v>7.5925667349873674E-2</v>
      </c>
      <c r="EF269" s="1729">
        <v>222203</v>
      </c>
      <c r="EG269" s="1716">
        <f t="shared" si="580"/>
        <v>9.4869920663858465E-2</v>
      </c>
      <c r="EH269" s="1729">
        <v>185596</v>
      </c>
      <c r="EI269" s="1716">
        <f t="shared" si="581"/>
        <v>7.8963076733257739E-2</v>
      </c>
      <c r="EJ269" s="1729">
        <v>248787</v>
      </c>
      <c r="EK269" s="1716">
        <f t="shared" si="582"/>
        <v>0.10941704233095108</v>
      </c>
      <c r="EL269" s="1729"/>
      <c r="EM269" s="1716" t="e">
        <f t="shared" si="583"/>
        <v>#DIV/0!</v>
      </c>
      <c r="EN269" s="1729"/>
      <c r="EO269" s="1716" t="e">
        <f t="shared" si="584"/>
        <v>#DIV/0!</v>
      </c>
      <c r="EP269" s="1729"/>
      <c r="EQ269" s="1716" t="e">
        <f t="shared" si="585"/>
        <v>#DIV/0!</v>
      </c>
      <c r="ER269" s="1729">
        <v>179532</v>
      </c>
      <c r="ES269" s="1716">
        <f t="shared" si="586"/>
        <v>8.4761951075340652E-2</v>
      </c>
      <c r="ET269" s="1729"/>
      <c r="EU269" s="1716" t="e">
        <f t="shared" si="587"/>
        <v>#DIV/0!</v>
      </c>
      <c r="EV269" s="1729">
        <v>160527</v>
      </c>
      <c r="EW269" s="1716">
        <f t="shared" si="588"/>
        <v>8.8878738300293164E-2</v>
      </c>
      <c r="EX269" s="1729">
        <v>250198</v>
      </c>
      <c r="EY269" s="1716">
        <f t="shared" si="589"/>
        <v>0.1208392356833098</v>
      </c>
      <c r="EZ269" s="1729"/>
      <c r="FA269" s="1716" t="e">
        <f t="shared" si="590"/>
        <v>#DIV/0!</v>
      </c>
      <c r="FB269" s="1729"/>
      <c r="FC269" s="1716" t="e">
        <f t="shared" si="591"/>
        <v>#DIV/0!</v>
      </c>
      <c r="FD269" s="1729"/>
      <c r="FE269" s="1716" t="e">
        <f t="shared" si="592"/>
        <v>#DIV/0!</v>
      </c>
      <c r="FF269" s="1729"/>
      <c r="FG269" s="1716" t="e">
        <f t="shared" si="593"/>
        <v>#DIV/0!</v>
      </c>
      <c r="FH269" s="1729">
        <v>241686</v>
      </c>
      <c r="FI269" s="1716">
        <f t="shared" si="594"/>
        <v>8.2449123010505457E-2</v>
      </c>
      <c r="FJ269" s="1729">
        <v>212692</v>
      </c>
      <c r="FK269" s="1716">
        <f t="shared" si="595"/>
        <v>0.12433773198745</v>
      </c>
      <c r="FL269" s="1729">
        <v>98788</v>
      </c>
      <c r="FM269" s="1716">
        <f t="shared" si="596"/>
        <v>5.9056464359757338E-2</v>
      </c>
      <c r="FN269" s="1729">
        <v>201352</v>
      </c>
      <c r="FO269" s="1716">
        <f t="shared" si="597"/>
        <v>7.7756465384910961E-2</v>
      </c>
      <c r="FP269" s="1729">
        <v>193052</v>
      </c>
      <c r="FQ269" s="1716">
        <f t="shared" si="598"/>
        <v>0.11255042270830649</v>
      </c>
      <c r="FR269" s="1729"/>
      <c r="FS269" s="1716" t="e">
        <f t="shared" si="599"/>
        <v>#DIV/0!</v>
      </c>
      <c r="FT269" s="1729"/>
      <c r="FU269" s="1716" t="e">
        <f t="shared" si="600"/>
        <v>#DIV/0!</v>
      </c>
      <c r="FV269" s="1729"/>
      <c r="FW269" s="1716" t="e">
        <f t="shared" si="601"/>
        <v>#DIV/0!</v>
      </c>
      <c r="FX269" s="1729">
        <v>157266</v>
      </c>
      <c r="FY269" s="1716">
        <f t="shared" si="602"/>
        <v>9.5894545634147552E-2</v>
      </c>
      <c r="FZ269" s="1729">
        <v>217670</v>
      </c>
      <c r="GA269" s="1716">
        <f t="shared" si="603"/>
        <v>0.12593327567104726</v>
      </c>
      <c r="GB269" s="1729">
        <v>234758</v>
      </c>
      <c r="GC269" s="1716">
        <f t="shared" si="604"/>
        <v>9.5780185131994669E-2</v>
      </c>
      <c r="GD269" s="1729"/>
      <c r="GE269" s="1716" t="e">
        <f t="shared" si="605"/>
        <v>#DIV/0!</v>
      </c>
      <c r="GF269" s="1729"/>
      <c r="GG269" s="1716" t="e">
        <f t="shared" si="606"/>
        <v>#DIV/0!</v>
      </c>
      <c r="GH269" s="1729">
        <v>109894</v>
      </c>
      <c r="GI269" s="1716">
        <f t="shared" si="607"/>
        <v>0.15099789086062504</v>
      </c>
      <c r="GJ269" s="1729"/>
      <c r="GK269" s="1716" t="e">
        <f t="shared" si="608"/>
        <v>#DIV/0!</v>
      </c>
      <c r="GL269" s="1729">
        <v>204686</v>
      </c>
      <c r="GM269" s="1716">
        <f t="shared" si="609"/>
        <v>0.10553588259193644</v>
      </c>
      <c r="GN269" s="1729">
        <v>147207</v>
      </c>
      <c r="GO269" s="1716">
        <f t="shared" si="610"/>
        <v>8.5389020723834766E-2</v>
      </c>
      <c r="GP269" s="1729">
        <v>159394</v>
      </c>
      <c r="GQ269" s="1716">
        <f t="shared" si="611"/>
        <v>8.7673876106759335E-2</v>
      </c>
      <c r="GR269" s="1729">
        <v>185581</v>
      </c>
      <c r="GS269" s="1716">
        <f t="shared" si="612"/>
        <v>9.6553026617753945E-2</v>
      </c>
      <c r="GT269" s="1729">
        <v>107625</v>
      </c>
      <c r="GU269" s="1716">
        <f t="shared" si="613"/>
        <v>7.1189548415176787E-2</v>
      </c>
      <c r="GV269" s="1729">
        <v>119549</v>
      </c>
      <c r="GW269" s="1716">
        <f t="shared" si="614"/>
        <v>5.6502203155358963E-2</v>
      </c>
      <c r="GX269" s="1729">
        <v>127517</v>
      </c>
      <c r="GY269" s="1716">
        <f t="shared" si="615"/>
        <v>7.2057751532788969E-2</v>
      </c>
      <c r="GZ269" s="1729"/>
      <c r="HA269" s="1716" t="e">
        <f t="shared" si="616"/>
        <v>#DIV/0!</v>
      </c>
      <c r="HB269" s="1729">
        <v>216333</v>
      </c>
      <c r="HC269" s="1716">
        <f t="shared" si="617"/>
        <v>0.1207134566881682</v>
      </c>
      <c r="HD269" s="1729">
        <v>233541</v>
      </c>
      <c r="HE269" s="1716">
        <f t="shared" si="618"/>
        <v>0.10449027985951097</v>
      </c>
      <c r="HF269" s="2050"/>
      <c r="HG269" s="2033" t="e">
        <f t="shared" si="619"/>
        <v>#DIV/0!</v>
      </c>
      <c r="HH269" s="1729"/>
      <c r="HI269" s="1716" t="e">
        <f t="shared" si="620"/>
        <v>#DIV/0!</v>
      </c>
      <c r="HJ269" s="1729">
        <v>215324</v>
      </c>
      <c r="HK269" s="1716">
        <f t="shared" si="621"/>
        <v>8.9796793281463005E-2</v>
      </c>
      <c r="HL269" s="1729"/>
      <c r="HM269" s="1716" t="e">
        <f t="shared" si="622"/>
        <v>#DIV/0!</v>
      </c>
      <c r="HN269" s="1729">
        <v>225219</v>
      </c>
      <c r="HO269" s="1716">
        <f t="shared" si="623"/>
        <v>9.8800933353162049E-2</v>
      </c>
      <c r="HP269" s="2050"/>
      <c r="HQ269" s="2033" t="e">
        <f t="shared" si="624"/>
        <v>#DIV/0!</v>
      </c>
      <c r="HR269" s="1729"/>
      <c r="HS269" s="1716" t="e">
        <f t="shared" si="625"/>
        <v>#DIV/0!</v>
      </c>
      <c r="HT269" s="2050"/>
      <c r="HU269" s="2033" t="e">
        <f t="shared" si="626"/>
        <v>#DIV/0!</v>
      </c>
      <c r="HV269" s="2050">
        <v>240680</v>
      </c>
      <c r="HW269" s="2033">
        <f t="shared" si="627"/>
        <v>0.10646354194313215</v>
      </c>
      <c r="HX269" s="2050">
        <v>144694</v>
      </c>
      <c r="HY269" s="2033">
        <f t="shared" si="628"/>
        <v>8.1828464139888923E-2</v>
      </c>
      <c r="HZ269" s="2050"/>
      <c r="IA269" s="2033" t="e">
        <f t="shared" si="629"/>
        <v>#DIV/0!</v>
      </c>
      <c r="IB269" s="1729">
        <v>182953</v>
      </c>
      <c r="IC269" s="1716">
        <f t="shared" si="630"/>
        <v>8.078429467790578E-2</v>
      </c>
      <c r="ID269" s="2050">
        <v>189552</v>
      </c>
      <c r="IE269" s="2033">
        <f t="shared" si="631"/>
        <v>9.0323933326344474E-2</v>
      </c>
      <c r="IF269" s="2050">
        <v>105122</v>
      </c>
      <c r="IG269" s="2033">
        <f t="shared" si="632"/>
        <v>7.0754586811709014E-2</v>
      </c>
    </row>
    <row r="270" spans="1:241">
      <c r="A270" s="1149"/>
      <c r="B270" s="1149" t="s">
        <v>37</v>
      </c>
      <c r="C270" s="1149"/>
      <c r="D270" s="1149"/>
      <c r="E270" s="1143"/>
      <c r="F270" s="1729"/>
      <c r="G270" s="1716" t="e">
        <f t="shared" si="528"/>
        <v>#DIV/0!</v>
      </c>
      <c r="H270" s="1729">
        <v>983441</v>
      </c>
      <c r="I270" s="1716">
        <f t="shared" si="529"/>
        <v>0.33022696532929313</v>
      </c>
      <c r="J270" s="1729">
        <v>513991</v>
      </c>
      <c r="K270" s="1716">
        <f t="shared" si="530"/>
        <v>0.2591742483184894</v>
      </c>
      <c r="L270" s="1729"/>
      <c r="M270" s="1716" t="e">
        <f t="shared" si="531"/>
        <v>#DIV/0!</v>
      </c>
      <c r="N270" s="1729">
        <v>417781</v>
      </c>
      <c r="O270" s="1716">
        <f t="shared" si="532"/>
        <v>0.20389556831519842</v>
      </c>
      <c r="P270" s="1729"/>
      <c r="Q270" s="1716" t="e">
        <f t="shared" si="533"/>
        <v>#DIV/0!</v>
      </c>
      <c r="R270" s="1729"/>
      <c r="S270" s="1716" t="e">
        <f t="shared" si="534"/>
        <v>#DIV/0!</v>
      </c>
      <c r="T270" s="1729"/>
      <c r="U270" s="1716" t="e">
        <f t="shared" si="535"/>
        <v>#DIV/0!</v>
      </c>
      <c r="V270" s="1729">
        <v>356815</v>
      </c>
      <c r="W270" s="1716">
        <f t="shared" si="536"/>
        <v>0.25484182687054108</v>
      </c>
      <c r="X270" s="1729">
        <v>429229</v>
      </c>
      <c r="Y270" s="1716">
        <f t="shared" si="537"/>
        <v>0.16025868155443404</v>
      </c>
      <c r="Z270" s="1729"/>
      <c r="AA270" s="1716" t="e">
        <f t="shared" si="538"/>
        <v>#DIV/0!</v>
      </c>
      <c r="AB270" s="1729"/>
      <c r="AC270" s="1716" t="e">
        <f t="shared" si="539"/>
        <v>#DIV/0!</v>
      </c>
      <c r="AD270" s="1729"/>
      <c r="AE270" s="1716" t="e">
        <f t="shared" si="540"/>
        <v>#DIV/0!</v>
      </c>
      <c r="AF270" s="1729">
        <v>583269</v>
      </c>
      <c r="AG270" s="1716">
        <f t="shared" si="541"/>
        <v>0.27358012669876819</v>
      </c>
      <c r="AH270" s="1729"/>
      <c r="AI270" s="1716" t="e">
        <f t="shared" si="542"/>
        <v>#DIV/0!</v>
      </c>
      <c r="AJ270" s="1729">
        <v>308509</v>
      </c>
      <c r="AK270" s="1716">
        <f t="shared" si="543"/>
        <v>0.17825512677989919</v>
      </c>
      <c r="AL270" s="1729"/>
      <c r="AM270" s="1716" t="e">
        <f t="shared" si="544"/>
        <v>#DIV/0!</v>
      </c>
      <c r="AN270" s="1729">
        <v>544063</v>
      </c>
      <c r="AO270" s="1716">
        <f t="shared" si="545"/>
        <v>0.25749378702523573</v>
      </c>
      <c r="AP270" s="1729"/>
      <c r="AQ270" s="1716" t="e">
        <f t="shared" si="546"/>
        <v>#DIV/0!</v>
      </c>
      <c r="AR270" s="1729">
        <v>378444</v>
      </c>
      <c r="AS270" s="1716">
        <f t="shared" si="547"/>
        <v>0.13974892430949754</v>
      </c>
      <c r="AT270" s="1729"/>
      <c r="AU270" s="1716" t="e">
        <f t="shared" si="548"/>
        <v>#DIV/0!</v>
      </c>
      <c r="AV270" s="1729">
        <v>1002951</v>
      </c>
      <c r="AW270" s="1716">
        <f t="shared" si="549"/>
        <v>0.23993067267599164</v>
      </c>
      <c r="AX270" s="1729"/>
      <c r="AY270" s="1716" t="e">
        <f t="shared" si="550"/>
        <v>#DIV/0!</v>
      </c>
      <c r="AZ270" s="1729">
        <v>365718</v>
      </c>
      <c r="BA270" s="1716">
        <f t="shared" si="551"/>
        <v>0.29622675742838905</v>
      </c>
      <c r="BB270" s="1729"/>
      <c r="BC270" s="1716" t="e">
        <f t="shared" si="552"/>
        <v>#DIV/0!</v>
      </c>
      <c r="BD270" s="1729"/>
      <c r="BE270" s="1716" t="e">
        <f t="shared" si="553"/>
        <v>#DIV/0!</v>
      </c>
      <c r="BF270" s="1729">
        <v>721157</v>
      </c>
      <c r="BG270" s="1716">
        <f t="shared" si="554"/>
        <v>0.37757543581882003</v>
      </c>
      <c r="BH270" s="1729"/>
      <c r="BI270" s="1716" t="e">
        <f t="shared" si="555"/>
        <v>#DIV/0!</v>
      </c>
      <c r="BJ270" s="1729"/>
      <c r="BK270" s="1716" t="e">
        <f t="shared" si="556"/>
        <v>#DIV/0!</v>
      </c>
      <c r="BL270" s="1729"/>
      <c r="BM270" s="1716" t="e">
        <f t="shared" si="557"/>
        <v>#DIV/0!</v>
      </c>
      <c r="BN270" s="1729">
        <v>513268</v>
      </c>
      <c r="BO270" s="1716">
        <f t="shared" si="558"/>
        <v>0.19641088673200582</v>
      </c>
      <c r="BP270" s="1729"/>
      <c r="BQ270" s="1716" t="e">
        <f t="shared" si="559"/>
        <v>#DIV/0!</v>
      </c>
      <c r="BR270" s="1729">
        <v>1333876</v>
      </c>
      <c r="BS270" s="1716">
        <f t="shared" si="560"/>
        <v>0.35054114235001604</v>
      </c>
      <c r="BT270" s="1729">
        <v>159491</v>
      </c>
      <c r="BU270" s="1716">
        <f t="shared" si="561"/>
        <v>0.18861772657282946</v>
      </c>
      <c r="BV270" s="1729">
        <v>350272</v>
      </c>
      <c r="BW270" s="1716">
        <f t="shared" si="562"/>
        <v>0.23159428684018782</v>
      </c>
      <c r="BX270" s="1729"/>
      <c r="BY270" s="1716" t="e">
        <f t="shared" si="563"/>
        <v>#DIV/0!</v>
      </c>
      <c r="BZ270" s="1729"/>
      <c r="CA270" s="1716" t="e">
        <f t="shared" si="564"/>
        <v>#DIV/0!</v>
      </c>
      <c r="CB270" s="1729">
        <v>504026</v>
      </c>
      <c r="CC270" s="1716">
        <f t="shared" si="565"/>
        <v>0.24868730467458675</v>
      </c>
      <c r="CD270" s="1729"/>
      <c r="CE270" s="1716" t="e">
        <f t="shared" si="566"/>
        <v>#DIV/0!</v>
      </c>
      <c r="CF270" s="1729">
        <v>245124</v>
      </c>
      <c r="CG270" s="1716">
        <v>0.11571262272314867</v>
      </c>
      <c r="CH270" s="1729">
        <v>389554</v>
      </c>
      <c r="CI270" s="1716">
        <v>0.17885792889649624</v>
      </c>
      <c r="CJ270" s="1729"/>
      <c r="CK270" s="1716" t="e">
        <v>#DIV/0!</v>
      </c>
      <c r="CL270" s="1729"/>
      <c r="CM270" s="1716" t="e">
        <v>#DIV/0!</v>
      </c>
      <c r="CN270" s="1729"/>
      <c r="CO270" s="1716" t="e">
        <f t="shared" si="567"/>
        <v>#DIV/0!</v>
      </c>
      <c r="CP270" s="1729"/>
      <c r="CQ270" s="1716" t="e">
        <f t="shared" si="568"/>
        <v>#DIV/0!</v>
      </c>
      <c r="CR270" s="1729">
        <v>911715</v>
      </c>
      <c r="CS270" s="1716">
        <v>0.33807666208093384</v>
      </c>
      <c r="CT270" s="1729">
        <v>505165</v>
      </c>
      <c r="CU270" s="1716">
        <f t="shared" si="569"/>
        <v>0.28141721098004263</v>
      </c>
      <c r="CV270" s="1729"/>
      <c r="CW270" s="1716" t="e">
        <f t="shared" si="570"/>
        <v>#DIV/0!</v>
      </c>
      <c r="CX270" s="1729"/>
      <c r="CY270" s="1716" t="e">
        <f t="shared" si="570"/>
        <v>#DIV/0!</v>
      </c>
      <c r="CZ270" s="1729">
        <v>352463</v>
      </c>
      <c r="DA270" s="1716">
        <v>0.17151275531927834</v>
      </c>
      <c r="DB270" s="1729">
        <v>347918</v>
      </c>
      <c r="DC270" s="1716">
        <v>0.2109777972365097</v>
      </c>
      <c r="DD270" s="1729">
        <v>526822</v>
      </c>
      <c r="DE270" s="1716">
        <v>0.2546233129130871</v>
      </c>
      <c r="DF270" s="1729"/>
      <c r="DG270" s="1716" t="e">
        <v>#DIV/0!</v>
      </c>
      <c r="DH270" s="1729"/>
      <c r="DI270" s="1716" t="e">
        <v>#DIV/0!</v>
      </c>
      <c r="DJ270" s="1729">
        <v>513640</v>
      </c>
      <c r="DK270" s="1716">
        <v>0.30590124256746454</v>
      </c>
      <c r="DL270" s="1729"/>
      <c r="DM270" s="1716" t="e">
        <v>#DIV/0!</v>
      </c>
      <c r="DN270" s="1729">
        <v>524224</v>
      </c>
      <c r="DO270" s="1716">
        <f t="shared" si="571"/>
        <v>0.19103788367994565</v>
      </c>
      <c r="DP270" s="1729">
        <v>591742</v>
      </c>
      <c r="DQ270" s="1716">
        <f t="shared" si="572"/>
        <v>0.22380060354175152</v>
      </c>
      <c r="DR270" s="1729"/>
      <c r="DS270" s="1716" t="e">
        <f t="shared" si="573"/>
        <v>#DIV/0!</v>
      </c>
      <c r="DT270" s="1729"/>
      <c r="DU270" s="1716" t="e">
        <f t="shared" si="574"/>
        <v>#DIV/0!</v>
      </c>
      <c r="DV270" s="1729">
        <v>718138</v>
      </c>
      <c r="DW270" s="1716">
        <f t="shared" si="575"/>
        <v>0.28792722213646649</v>
      </c>
      <c r="DX270" s="1729">
        <v>643044</v>
      </c>
      <c r="DY270" s="1716">
        <f t="shared" si="576"/>
        <v>0.25629935118850994</v>
      </c>
      <c r="DZ270" s="1729"/>
      <c r="EA270" s="1716" t="e">
        <f t="shared" si="577"/>
        <v>#DIV/0!</v>
      </c>
      <c r="EB270" s="1729">
        <v>496922</v>
      </c>
      <c r="EC270" s="1716">
        <f t="shared" si="578"/>
        <v>0.27166024128528038</v>
      </c>
      <c r="ED270" s="1729">
        <v>691945</v>
      </c>
      <c r="EE270" s="1716">
        <f t="shared" si="579"/>
        <v>0.23507790632216183</v>
      </c>
      <c r="EF270" s="1729">
        <v>592549</v>
      </c>
      <c r="EG270" s="1716">
        <f t="shared" si="580"/>
        <v>0.2529897283990255</v>
      </c>
      <c r="EH270" s="1729">
        <v>459135</v>
      </c>
      <c r="EI270" s="1716">
        <f t="shared" si="581"/>
        <v>0.19534209916121195</v>
      </c>
      <c r="EJ270" s="1729">
        <v>642021</v>
      </c>
      <c r="EK270" s="1716">
        <f t="shared" si="582"/>
        <v>0.28236217702034083</v>
      </c>
      <c r="EL270" s="1729"/>
      <c r="EM270" s="1716" t="e">
        <f t="shared" si="583"/>
        <v>#DIV/0!</v>
      </c>
      <c r="EN270" s="1729"/>
      <c r="EO270" s="1716" t="e">
        <f t="shared" si="584"/>
        <v>#DIV/0!</v>
      </c>
      <c r="EP270" s="1729"/>
      <c r="EQ270" s="1716" t="e">
        <f t="shared" si="585"/>
        <v>#DIV/0!</v>
      </c>
      <c r="ER270" s="1729">
        <v>611294</v>
      </c>
      <c r="ES270" s="1716">
        <f t="shared" si="586"/>
        <v>0.28860856070588692</v>
      </c>
      <c r="ET270" s="1729"/>
      <c r="EU270" s="1716" t="e">
        <f t="shared" si="587"/>
        <v>#DIV/0!</v>
      </c>
      <c r="EV270" s="1729">
        <v>320595</v>
      </c>
      <c r="EW270" s="1716">
        <f t="shared" si="588"/>
        <v>0.17750334277338073</v>
      </c>
      <c r="EX270" s="1729">
        <f>113855+181407+149803+59756+25400+26814+8445</f>
        <v>565480</v>
      </c>
      <c r="EY270" s="1716">
        <f t="shared" si="589"/>
        <v>0.27311237897264579</v>
      </c>
      <c r="EZ270" s="1729"/>
      <c r="FA270" s="1716" t="e">
        <f t="shared" si="590"/>
        <v>#DIV/0!</v>
      </c>
      <c r="FB270" s="1729"/>
      <c r="FC270" s="1716" t="e">
        <f t="shared" si="591"/>
        <v>#DIV/0!</v>
      </c>
      <c r="FD270" s="1729"/>
      <c r="FE270" s="1716" t="e">
        <f t="shared" si="592"/>
        <v>#DIV/0!</v>
      </c>
      <c r="FF270" s="1729"/>
      <c r="FG270" s="1716" t="e">
        <f t="shared" si="593"/>
        <v>#DIV/0!</v>
      </c>
      <c r="FH270" s="1729">
        <v>584723</v>
      </c>
      <c r="FI270" s="1716">
        <f t="shared" si="594"/>
        <v>0.19947327753395638</v>
      </c>
      <c r="FJ270" s="1729">
        <v>470439</v>
      </c>
      <c r="FK270" s="1716">
        <f t="shared" si="595"/>
        <v>0.27501419093545593</v>
      </c>
      <c r="FL270" s="1729">
        <v>562119</v>
      </c>
      <c r="FM270" s="1716">
        <f t="shared" si="596"/>
        <v>0.33604041674537832</v>
      </c>
      <c r="FN270" s="1729">
        <v>530963</v>
      </c>
      <c r="FO270" s="1716">
        <f t="shared" si="597"/>
        <v>0.20504294037391471</v>
      </c>
      <c r="FP270" s="1729">
        <v>597845</v>
      </c>
      <c r="FQ270" s="1716">
        <f t="shared" si="598"/>
        <v>0.34854706226326321</v>
      </c>
      <c r="FR270" s="1729"/>
      <c r="FS270" s="1716" t="e">
        <f t="shared" si="599"/>
        <v>#DIV/0!</v>
      </c>
      <c r="FT270" s="1729"/>
      <c r="FU270" s="1716" t="e">
        <f t="shared" si="600"/>
        <v>#DIV/0!</v>
      </c>
      <c r="FV270" s="1729"/>
      <c r="FW270" s="1716" t="e">
        <f t="shared" si="601"/>
        <v>#DIV/0!</v>
      </c>
      <c r="FX270" s="1729">
        <v>380277</v>
      </c>
      <c r="FY270" s="1716">
        <f t="shared" si="602"/>
        <v>0.23187777478995286</v>
      </c>
      <c r="FZ270" s="1729">
        <v>253781</v>
      </c>
      <c r="GA270" s="1716">
        <f t="shared" si="603"/>
        <v>0.14682534402110556</v>
      </c>
      <c r="GB270" s="1729">
        <v>650881</v>
      </c>
      <c r="GC270" s="1716">
        <f t="shared" si="604"/>
        <v>0.2655564567720709</v>
      </c>
      <c r="GD270" s="1729"/>
      <c r="GE270" s="1716" t="e">
        <f t="shared" si="605"/>
        <v>#DIV/0!</v>
      </c>
      <c r="GF270" s="1729"/>
      <c r="GG270" s="1716" t="e">
        <f t="shared" si="606"/>
        <v>#DIV/0!</v>
      </c>
      <c r="GH270" s="1729">
        <v>122795</v>
      </c>
      <c r="GI270" s="1716">
        <f t="shared" si="607"/>
        <v>0.16872427983539096</v>
      </c>
      <c r="GJ270" s="1729"/>
      <c r="GK270" s="1716" t="e">
        <f t="shared" si="608"/>
        <v>#DIV/0!</v>
      </c>
      <c r="GL270" s="1729">
        <v>527756</v>
      </c>
      <c r="GM270" s="1716">
        <f t="shared" si="609"/>
        <v>0.27211042891643789</v>
      </c>
      <c r="GN270" s="1729">
        <v>453544</v>
      </c>
      <c r="GO270" s="1716">
        <f t="shared" si="610"/>
        <v>0.2630831279434464</v>
      </c>
      <c r="GP270" s="1729">
        <v>548763</v>
      </c>
      <c r="GQ270" s="1716">
        <f t="shared" si="611"/>
        <v>0.30184435596053538</v>
      </c>
      <c r="GR270" s="1729">
        <v>613271</v>
      </c>
      <c r="GS270" s="1716">
        <f t="shared" si="612"/>
        <v>0.31906914601654579</v>
      </c>
      <c r="GT270" s="1729">
        <v>462878</v>
      </c>
      <c r="GU270" s="1716">
        <f t="shared" si="613"/>
        <v>0.30617492024455473</v>
      </c>
      <c r="GV270" s="1729">
        <v>555551</v>
      </c>
      <c r="GW270" s="1716">
        <f t="shared" si="614"/>
        <v>0.26256895051537721</v>
      </c>
      <c r="GX270" s="1729">
        <v>544869</v>
      </c>
      <c r="GY270" s="1716">
        <f t="shared" si="615"/>
        <v>0.3078964767044331</v>
      </c>
      <c r="GZ270" s="1729"/>
      <c r="HA270" s="1716" t="e">
        <f t="shared" si="616"/>
        <v>#DIV/0!</v>
      </c>
      <c r="HB270" s="1729">
        <v>561903</v>
      </c>
      <c r="HC270" s="1716">
        <f t="shared" si="617"/>
        <v>0.31354094591880011</v>
      </c>
      <c r="HD270" s="1729">
        <v>358594</v>
      </c>
      <c r="HE270" s="1716">
        <f t="shared" si="618"/>
        <v>0.16044115344175747</v>
      </c>
      <c r="HF270" s="2050"/>
      <c r="HG270" s="2033" t="e">
        <f t="shared" si="619"/>
        <v>#DIV/0!</v>
      </c>
      <c r="HH270" s="1729"/>
      <c r="HI270" s="1716" t="e">
        <f t="shared" si="620"/>
        <v>#DIV/0!</v>
      </c>
      <c r="HJ270" s="1729">
        <v>713855</v>
      </c>
      <c r="HK270" s="1716">
        <f t="shared" si="621"/>
        <v>0.2976996984448495</v>
      </c>
      <c r="HL270" s="1729"/>
      <c r="HM270" s="1716" t="e">
        <f t="shared" si="622"/>
        <v>#DIV/0!</v>
      </c>
      <c r="HN270" s="1729">
        <v>663752</v>
      </c>
      <c r="HO270" s="1716">
        <f t="shared" si="623"/>
        <v>0.29118021621190049</v>
      </c>
      <c r="HP270" s="2050"/>
      <c r="HQ270" s="2033" t="e">
        <f t="shared" si="624"/>
        <v>#DIV/0!</v>
      </c>
      <c r="HR270" s="1729"/>
      <c r="HS270" s="1716" t="e">
        <f t="shared" si="625"/>
        <v>#DIV/0!</v>
      </c>
      <c r="HT270" s="2050"/>
      <c r="HU270" s="2033" t="e">
        <f t="shared" si="626"/>
        <v>#DIV/0!</v>
      </c>
      <c r="HV270" s="2050">
        <v>620341</v>
      </c>
      <c r="HW270" s="2033">
        <f t="shared" si="627"/>
        <v>0.2744046039244829</v>
      </c>
      <c r="HX270" s="2050">
        <v>418257</v>
      </c>
      <c r="HY270" s="2033">
        <f t="shared" si="628"/>
        <v>0.23653591666383902</v>
      </c>
      <c r="HZ270" s="2050"/>
      <c r="IA270" s="2033" t="e">
        <f t="shared" si="629"/>
        <v>#DIV/0!</v>
      </c>
      <c r="IB270" s="1729">
        <v>589841</v>
      </c>
      <c r="IC270" s="1716">
        <f t="shared" si="630"/>
        <v>0.26044879918400149</v>
      </c>
      <c r="ID270" s="2050">
        <v>592151</v>
      </c>
      <c r="IE270" s="2033">
        <f t="shared" si="631"/>
        <v>0.28216746561960943</v>
      </c>
      <c r="IF270" s="2050">
        <v>362908</v>
      </c>
      <c r="IG270" s="2033">
        <f t="shared" si="632"/>
        <v>0.24426290967317685</v>
      </c>
    </row>
    <row r="271" spans="1:241" s="1004" customFormat="1">
      <c r="A271" s="1149"/>
      <c r="B271" s="1149" t="s">
        <v>38</v>
      </c>
      <c r="C271" s="1149"/>
      <c r="D271" s="1149"/>
      <c r="E271" s="1143"/>
      <c r="F271" s="1729"/>
      <c r="G271" s="1716" t="e">
        <f t="shared" si="528"/>
        <v>#DIV/0!</v>
      </c>
      <c r="H271" s="1729">
        <v>119388</v>
      </c>
      <c r="I271" s="1716">
        <f t="shared" si="529"/>
        <v>4.0088970194179063E-2</v>
      </c>
      <c r="J271" s="1729">
        <v>198344</v>
      </c>
      <c r="K271" s="1716">
        <f t="shared" si="530"/>
        <v>0.10001275724376975</v>
      </c>
      <c r="L271" s="1729"/>
      <c r="M271" s="1716" t="e">
        <f t="shared" si="531"/>
        <v>#DIV/0!</v>
      </c>
      <c r="N271" s="1729">
        <v>144742</v>
      </c>
      <c r="O271" s="1716">
        <f t="shared" si="532"/>
        <v>7.0640484725438574E-2</v>
      </c>
      <c r="P271" s="1729"/>
      <c r="Q271" s="1716" t="e">
        <f t="shared" si="533"/>
        <v>#DIV/0!</v>
      </c>
      <c r="R271" s="1729"/>
      <c r="S271" s="1716" t="e">
        <f t="shared" si="534"/>
        <v>#DIV/0!</v>
      </c>
      <c r="T271" s="1729"/>
      <c r="U271" s="1716" t="e">
        <f t="shared" si="535"/>
        <v>#DIV/0!</v>
      </c>
      <c r="V271" s="1729">
        <v>95545</v>
      </c>
      <c r="W271" s="1716">
        <f t="shared" si="536"/>
        <v>6.8239458398177896E-2</v>
      </c>
      <c r="X271" s="1729">
        <v>208930</v>
      </c>
      <c r="Y271" s="1716">
        <f t="shared" si="537"/>
        <v>7.8006952785501224E-2</v>
      </c>
      <c r="Z271" s="1729"/>
      <c r="AA271" s="1716" t="e">
        <f t="shared" si="538"/>
        <v>#DIV/0!</v>
      </c>
      <c r="AB271" s="1729"/>
      <c r="AC271" s="1716" t="e">
        <f t="shared" si="539"/>
        <v>#DIV/0!</v>
      </c>
      <c r="AD271" s="1729"/>
      <c r="AE271" s="1716" t="e">
        <f t="shared" si="540"/>
        <v>#DIV/0!</v>
      </c>
      <c r="AF271" s="1729">
        <v>68717</v>
      </c>
      <c r="AG271" s="1716">
        <f t="shared" si="541"/>
        <v>3.2231449925093317E-2</v>
      </c>
      <c r="AH271" s="1729"/>
      <c r="AI271" s="1716" t="e">
        <f t="shared" si="542"/>
        <v>#DIV/0!</v>
      </c>
      <c r="AJ271" s="1729">
        <v>127154</v>
      </c>
      <c r="AK271" s="1716">
        <f t="shared" si="543"/>
        <v>7.3469015135932181E-2</v>
      </c>
      <c r="AL271" s="1729"/>
      <c r="AM271" s="1716" t="e">
        <f t="shared" si="544"/>
        <v>#DIV/0!</v>
      </c>
      <c r="AN271" s="1729">
        <v>110988</v>
      </c>
      <c r="AO271" s="1716">
        <f t="shared" si="545"/>
        <v>5.2528329319135585E-2</v>
      </c>
      <c r="AP271" s="1729"/>
      <c r="AQ271" s="1716" t="e">
        <f t="shared" si="546"/>
        <v>#DIV/0!</v>
      </c>
      <c r="AR271" s="1729">
        <v>227849</v>
      </c>
      <c r="AS271" s="1716">
        <f t="shared" si="547"/>
        <v>8.4138347166277452E-2</v>
      </c>
      <c r="AT271" s="1729"/>
      <c r="AU271" s="1716" t="e">
        <f t="shared" si="548"/>
        <v>#DIV/0!</v>
      </c>
      <c r="AV271" s="1729">
        <v>342425</v>
      </c>
      <c r="AW271" s="1716">
        <f t="shared" si="549"/>
        <v>8.1916524926019751E-2</v>
      </c>
      <c r="AX271" s="1729"/>
      <c r="AY271" s="1716" t="e">
        <f t="shared" si="550"/>
        <v>#DIV/0!</v>
      </c>
      <c r="AZ271" s="1729">
        <v>50126</v>
      </c>
      <c r="BA271" s="1716">
        <f t="shared" si="551"/>
        <v>4.0601399009224132E-2</v>
      </c>
      <c r="BB271" s="1729"/>
      <c r="BC271" s="1716" t="e">
        <f t="shared" si="552"/>
        <v>#DIV/0!</v>
      </c>
      <c r="BD271" s="1729"/>
      <c r="BE271" s="1716" t="e">
        <f t="shared" si="553"/>
        <v>#DIV/0!</v>
      </c>
      <c r="BF271" s="1729">
        <v>153093</v>
      </c>
      <c r="BG271" s="1716">
        <f t="shared" si="554"/>
        <v>8.0154746048101327E-2</v>
      </c>
      <c r="BH271" s="1729"/>
      <c r="BI271" s="1716" t="e">
        <f t="shared" si="555"/>
        <v>#DIV/0!</v>
      </c>
      <c r="BJ271" s="1729"/>
      <c r="BK271" s="1716" t="e">
        <f t="shared" si="556"/>
        <v>#DIV/0!</v>
      </c>
      <c r="BL271" s="1729"/>
      <c r="BM271" s="1716" t="e">
        <f t="shared" si="557"/>
        <v>#DIV/0!</v>
      </c>
      <c r="BN271" s="1729">
        <v>315649</v>
      </c>
      <c r="BO271" s="1716">
        <f t="shared" si="558"/>
        <v>0.12078855487985012</v>
      </c>
      <c r="BP271" s="1729"/>
      <c r="BQ271" s="1716" t="e">
        <f t="shared" si="559"/>
        <v>#DIV/0!</v>
      </c>
      <c r="BR271" s="1729">
        <v>443280</v>
      </c>
      <c r="BS271" s="1716">
        <f t="shared" si="560"/>
        <v>0.11649349533308578</v>
      </c>
      <c r="BT271" s="1729">
        <v>105389</v>
      </c>
      <c r="BU271" s="1716">
        <f t="shared" si="561"/>
        <v>0.12463545645700337</v>
      </c>
      <c r="BV271" s="1729">
        <v>73877</v>
      </c>
      <c r="BW271" s="1716">
        <f t="shared" si="562"/>
        <v>4.8846299815265157E-2</v>
      </c>
      <c r="BX271" s="1729"/>
      <c r="BY271" s="1716" t="e">
        <f t="shared" si="563"/>
        <v>#DIV/0!</v>
      </c>
      <c r="BZ271" s="1729"/>
      <c r="CA271" s="1716" t="e">
        <f t="shared" si="564"/>
        <v>#DIV/0!</v>
      </c>
      <c r="CB271" s="1729">
        <v>169857</v>
      </c>
      <c r="CC271" s="1716">
        <f t="shared" si="565"/>
        <v>8.3807739104949514E-2</v>
      </c>
      <c r="CD271" s="1729"/>
      <c r="CE271" s="1716" t="e">
        <f t="shared" si="566"/>
        <v>#DIV/0!</v>
      </c>
      <c r="CF271" s="1729">
        <v>544472</v>
      </c>
      <c r="CG271" s="1716">
        <v>0.25702209134690279</v>
      </c>
      <c r="CH271" s="1729">
        <v>373105</v>
      </c>
      <c r="CI271" s="1716">
        <v>0.17130561503906322</v>
      </c>
      <c r="CJ271" s="1729"/>
      <c r="CK271" s="1716" t="e">
        <v>#DIV/0!</v>
      </c>
      <c r="CL271" s="1729"/>
      <c r="CM271" s="1716" t="e">
        <v>#DIV/0!</v>
      </c>
      <c r="CN271" s="1729"/>
      <c r="CO271" s="1716" t="e">
        <f t="shared" si="567"/>
        <v>#DIV/0!</v>
      </c>
      <c r="CP271" s="1729"/>
      <c r="CQ271" s="1716" t="e">
        <f t="shared" si="568"/>
        <v>#DIV/0!</v>
      </c>
      <c r="CR271" s="1729">
        <v>61654</v>
      </c>
      <c r="CS271" s="1716">
        <v>2.2862164737815979E-2</v>
      </c>
      <c r="CT271" s="1729">
        <v>147713</v>
      </c>
      <c r="CU271" s="1716">
        <f t="shared" si="569"/>
        <v>8.2287926688299928E-2</v>
      </c>
      <c r="CV271" s="1729"/>
      <c r="CW271" s="1716" t="e">
        <f t="shared" si="570"/>
        <v>#DIV/0!</v>
      </c>
      <c r="CX271" s="1729"/>
      <c r="CY271" s="1716" t="e">
        <f t="shared" si="570"/>
        <v>#DIV/0!</v>
      </c>
      <c r="CZ271" s="1729">
        <v>98961</v>
      </c>
      <c r="DA271" s="1716">
        <v>4.815561854478656E-2</v>
      </c>
      <c r="DB271" s="1729">
        <v>134328</v>
      </c>
      <c r="DC271" s="1716">
        <v>8.1456623535390169E-2</v>
      </c>
      <c r="DD271" s="1729">
        <v>268049</v>
      </c>
      <c r="DE271" s="1716">
        <v>0.1295532920095214</v>
      </c>
      <c r="DF271" s="1729"/>
      <c r="DG271" s="1716" t="e">
        <v>#DIV/0!</v>
      </c>
      <c r="DH271" s="1729"/>
      <c r="DI271" s="1716" t="e">
        <v>#DIV/0!</v>
      </c>
      <c r="DJ271" s="1729">
        <v>167409</v>
      </c>
      <c r="DK271" s="1716">
        <v>9.9701388359506024E-2</v>
      </c>
      <c r="DL271" s="1729"/>
      <c r="DM271" s="1716" t="e">
        <v>#DIV/0!</v>
      </c>
      <c r="DN271" s="1729">
        <v>119737</v>
      </c>
      <c r="DO271" s="1716">
        <f t="shared" si="571"/>
        <v>4.363459719163116E-2</v>
      </c>
      <c r="DP271" s="1729">
        <v>159728</v>
      </c>
      <c r="DQ271" s="1716">
        <f t="shared" si="572"/>
        <v>6.0410149697869828E-2</v>
      </c>
      <c r="DR271" s="1729"/>
      <c r="DS271" s="1716" t="e">
        <f t="shared" si="573"/>
        <v>#DIV/0!</v>
      </c>
      <c r="DT271" s="1729"/>
      <c r="DU271" s="1716" t="e">
        <f t="shared" si="574"/>
        <v>#DIV/0!</v>
      </c>
      <c r="DV271" s="1729">
        <v>201392</v>
      </c>
      <c r="DW271" s="1716">
        <f t="shared" si="575"/>
        <v>8.0745259435522507E-2</v>
      </c>
      <c r="DX271" s="1729">
        <v>85276</v>
      </c>
      <c r="DY271" s="1716">
        <f t="shared" si="576"/>
        <v>3.3988628261754049E-2</v>
      </c>
      <c r="DZ271" s="1729"/>
      <c r="EA271" s="1716" t="e">
        <f t="shared" si="577"/>
        <v>#DIV/0!</v>
      </c>
      <c r="EB271" s="1729">
        <v>91394</v>
      </c>
      <c r="EC271" s="1716">
        <f t="shared" si="578"/>
        <v>4.9963809394687524E-2</v>
      </c>
      <c r="ED271" s="1729">
        <v>262964</v>
      </c>
      <c r="EE271" s="1716">
        <f t="shared" si="579"/>
        <v>8.9338063802904807E-2</v>
      </c>
      <c r="EF271" s="1729">
        <v>177533</v>
      </c>
      <c r="EG271" s="1716">
        <f t="shared" si="580"/>
        <v>7.5797993839942693E-2</v>
      </c>
      <c r="EH271" s="1729">
        <v>94533</v>
      </c>
      <c r="EI271" s="1716">
        <f t="shared" si="581"/>
        <v>4.0219705881727269E-2</v>
      </c>
      <c r="EJ271" s="1729">
        <v>208781</v>
      </c>
      <c r="EK271" s="1716">
        <f t="shared" si="582"/>
        <v>9.1822319956019791E-2</v>
      </c>
      <c r="EL271" s="1729"/>
      <c r="EM271" s="1716" t="e">
        <f t="shared" si="583"/>
        <v>#DIV/0!</v>
      </c>
      <c r="EN271" s="1729"/>
      <c r="EO271" s="1716" t="e">
        <f t="shared" si="584"/>
        <v>#DIV/0!</v>
      </c>
      <c r="EP271" s="1729"/>
      <c r="EQ271" s="1716" t="e">
        <f t="shared" si="585"/>
        <v>#DIV/0!</v>
      </c>
      <c r="ER271" s="1729">
        <v>181747</v>
      </c>
      <c r="ES271" s="1716">
        <f t="shared" si="586"/>
        <v>8.5807712954180521E-2</v>
      </c>
      <c r="ET271" s="1729"/>
      <c r="EU271" s="1716" t="e">
        <f t="shared" si="587"/>
        <v>#DIV/0!</v>
      </c>
      <c r="EV271" s="1729">
        <v>102854</v>
      </c>
      <c r="EW271" s="1716">
        <f t="shared" si="588"/>
        <v>5.6947016695872675E-2</v>
      </c>
      <c r="EX271" s="1729">
        <v>100123</v>
      </c>
      <c r="EY271" s="1716">
        <f t="shared" si="589"/>
        <v>4.8356848553225952E-2</v>
      </c>
      <c r="EZ271" s="1729"/>
      <c r="FA271" s="1716" t="e">
        <f t="shared" si="590"/>
        <v>#DIV/0!</v>
      </c>
      <c r="FB271" s="1729"/>
      <c r="FC271" s="1716" t="e">
        <f t="shared" si="591"/>
        <v>#DIV/0!</v>
      </c>
      <c r="FD271" s="1729"/>
      <c r="FE271" s="1716" t="e">
        <f t="shared" si="592"/>
        <v>#DIV/0!</v>
      </c>
      <c r="FF271" s="1729"/>
      <c r="FG271" s="1716" t="e">
        <f t="shared" si="593"/>
        <v>#DIV/0!</v>
      </c>
      <c r="FH271" s="1729">
        <v>177025</v>
      </c>
      <c r="FI271" s="1716">
        <f t="shared" si="594"/>
        <v>6.0390572895967193E-2</v>
      </c>
      <c r="FJ271" s="1729">
        <v>54870</v>
      </c>
      <c r="FK271" s="1716">
        <f t="shared" si="595"/>
        <v>3.2076483150054458E-2</v>
      </c>
      <c r="FL271" s="1729">
        <v>99923</v>
      </c>
      <c r="FM271" s="1716">
        <f t="shared" si="596"/>
        <v>5.9734978825566186E-2</v>
      </c>
      <c r="FN271" s="1729">
        <v>95854</v>
      </c>
      <c r="FO271" s="1716">
        <f t="shared" si="597"/>
        <v>3.7016112246241677E-2</v>
      </c>
      <c r="FP271" s="1729">
        <v>100637</v>
      </c>
      <c r="FQ271" s="1716">
        <f t="shared" si="598"/>
        <v>5.8671947921263908E-2</v>
      </c>
      <c r="FR271" s="1729"/>
      <c r="FS271" s="1716" t="e">
        <f t="shared" si="599"/>
        <v>#DIV/0!</v>
      </c>
      <c r="FT271" s="1729"/>
      <c r="FU271" s="1716" t="e">
        <f t="shared" si="600"/>
        <v>#DIV/0!</v>
      </c>
      <c r="FV271" s="1729"/>
      <c r="FW271" s="1716" t="e">
        <f t="shared" si="601"/>
        <v>#DIV/0!</v>
      </c>
      <c r="FX271" s="1729">
        <v>64741</v>
      </c>
      <c r="FY271" s="1716">
        <f t="shared" si="602"/>
        <v>3.9476484293492216E-2</v>
      </c>
      <c r="FZ271" s="1729">
        <v>151387</v>
      </c>
      <c r="GA271" s="1716">
        <f t="shared" si="603"/>
        <v>8.7585155529070757E-2</v>
      </c>
      <c r="GB271" s="1729">
        <v>184093</v>
      </c>
      <c r="GC271" s="1716">
        <f t="shared" si="604"/>
        <v>7.5109097971120448E-2</v>
      </c>
      <c r="GD271" s="1729"/>
      <c r="GE271" s="1716" t="e">
        <f t="shared" si="605"/>
        <v>#DIV/0!</v>
      </c>
      <c r="GF271" s="1729"/>
      <c r="GG271" s="1716" t="e">
        <f t="shared" si="606"/>
        <v>#DIV/0!</v>
      </c>
      <c r="GH271" s="1729">
        <v>46335</v>
      </c>
      <c r="GI271" s="1716">
        <f t="shared" si="607"/>
        <v>6.366578041591954E-2</v>
      </c>
      <c r="GJ271" s="1729"/>
      <c r="GK271" s="1716" t="e">
        <f t="shared" si="608"/>
        <v>#DIV/0!</v>
      </c>
      <c r="GL271" s="1729">
        <v>111937</v>
      </c>
      <c r="GM271" s="1716">
        <f t="shared" si="609"/>
        <v>5.7714597430667411E-2</v>
      </c>
      <c r="GN271" s="1729">
        <v>103567</v>
      </c>
      <c r="GO271" s="1716">
        <f t="shared" si="610"/>
        <v>6.0075164287740353E-2</v>
      </c>
      <c r="GP271" s="1729">
        <v>117586</v>
      </c>
      <c r="GQ271" s="1716">
        <f t="shared" si="611"/>
        <v>6.4677593861057522E-2</v>
      </c>
      <c r="GR271" s="1729">
        <v>103905</v>
      </c>
      <c r="GS271" s="1716">
        <f t="shared" si="612"/>
        <v>5.4059102121002275E-2</v>
      </c>
      <c r="GT271" s="1729">
        <v>59048</v>
      </c>
      <c r="GU271" s="1716">
        <f t="shared" si="613"/>
        <v>3.9057843947218202E-2</v>
      </c>
      <c r="GV271" s="1729">
        <v>72268</v>
      </c>
      <c r="GW271" s="1716">
        <f t="shared" si="614"/>
        <v>3.4155879326731982E-2</v>
      </c>
      <c r="GX271" s="1729">
        <v>82199</v>
      </c>
      <c r="GY271" s="1716">
        <f t="shared" si="615"/>
        <v>4.6449297883762328E-2</v>
      </c>
      <c r="GZ271" s="1729"/>
      <c r="HA271" s="1716" t="e">
        <f t="shared" si="616"/>
        <v>#DIV/0!</v>
      </c>
      <c r="HB271" s="1729">
        <v>174115</v>
      </c>
      <c r="HC271" s="1716">
        <f t="shared" si="617"/>
        <v>9.7155882418588038E-2</v>
      </c>
      <c r="HD271" s="1729">
        <v>78047</v>
      </c>
      <c r="HE271" s="1716">
        <f t="shared" si="618"/>
        <v>3.4919576743249595E-2</v>
      </c>
      <c r="HF271" s="2050"/>
      <c r="HG271" s="2033" t="e">
        <f t="shared" si="619"/>
        <v>#DIV/0!</v>
      </c>
      <c r="HH271" s="1729"/>
      <c r="HI271" s="1716" t="e">
        <f t="shared" si="620"/>
        <v>#DIV/0!</v>
      </c>
      <c r="HJ271" s="1729">
        <v>117539</v>
      </c>
      <c r="HK271" s="1716">
        <f t="shared" si="621"/>
        <v>4.9017412297328124E-2</v>
      </c>
      <c r="HL271" s="1729"/>
      <c r="HM271" s="1716" t="e">
        <f t="shared" si="622"/>
        <v>#DIV/0!</v>
      </c>
      <c r="HN271" s="1729">
        <v>161614</v>
      </c>
      <c r="HO271" s="1716">
        <f t="shared" si="623"/>
        <v>7.0898165975951985E-2</v>
      </c>
      <c r="HP271" s="2050"/>
      <c r="HQ271" s="2033" t="e">
        <f t="shared" si="624"/>
        <v>#DIV/0!</v>
      </c>
      <c r="HR271" s="1729"/>
      <c r="HS271" s="1716" t="e">
        <f t="shared" si="625"/>
        <v>#DIV/0!</v>
      </c>
      <c r="HT271" s="2050"/>
      <c r="HU271" s="2033" t="e">
        <f t="shared" si="626"/>
        <v>#DIV/0!</v>
      </c>
      <c r="HV271" s="2050">
        <v>175392</v>
      </c>
      <c r="HW271" s="2033">
        <f t="shared" si="627"/>
        <v>7.7583735867084239E-2</v>
      </c>
      <c r="HX271" s="2050">
        <v>171537</v>
      </c>
      <c r="HY271" s="2033">
        <f t="shared" si="628"/>
        <v>9.7008924027009599E-2</v>
      </c>
      <c r="HZ271" s="2050"/>
      <c r="IA271" s="2033" t="e">
        <f t="shared" si="629"/>
        <v>#DIV/0!</v>
      </c>
      <c r="IB271" s="1729">
        <v>164129</v>
      </c>
      <c r="IC271" s="1716">
        <f t="shared" si="630"/>
        <v>7.2472413686520576E-2</v>
      </c>
      <c r="ID271" s="2050">
        <v>195784</v>
      </c>
      <c r="IE271" s="2033">
        <f t="shared" si="631"/>
        <v>9.3293560407513645E-2</v>
      </c>
      <c r="IF271" s="2050">
        <v>12077</v>
      </c>
      <c r="IG271" s="2033">
        <f t="shared" si="632"/>
        <v>8.128680437253951E-3</v>
      </c>
    </row>
    <row r="272" spans="1:241">
      <c r="A272" s="1149"/>
      <c r="B272" s="1149" t="s">
        <v>616</v>
      </c>
      <c r="C272" s="1149"/>
      <c r="D272" s="1149"/>
      <c r="E272" s="1143"/>
      <c r="F272" s="1729"/>
      <c r="G272" s="1716" t="e">
        <f t="shared" si="528"/>
        <v>#DIV/0!</v>
      </c>
      <c r="H272" s="1729">
        <v>0</v>
      </c>
      <c r="I272" s="1716">
        <f t="shared" si="529"/>
        <v>0</v>
      </c>
      <c r="J272" s="1729">
        <v>0</v>
      </c>
      <c r="K272" s="1716">
        <f t="shared" si="530"/>
        <v>0</v>
      </c>
      <c r="L272" s="1729"/>
      <c r="M272" s="1716" t="e">
        <f t="shared" si="531"/>
        <v>#DIV/0!</v>
      </c>
      <c r="N272" s="1729">
        <v>15221</v>
      </c>
      <c r="O272" s="1716">
        <f t="shared" si="532"/>
        <v>7.4285198353339077E-3</v>
      </c>
      <c r="P272" s="1729"/>
      <c r="Q272" s="1716" t="e">
        <f t="shared" si="533"/>
        <v>#DIV/0!</v>
      </c>
      <c r="R272" s="1729"/>
      <c r="S272" s="1716" t="e">
        <f t="shared" si="534"/>
        <v>#DIV/0!</v>
      </c>
      <c r="T272" s="1729"/>
      <c r="U272" s="1716" t="e">
        <f t="shared" si="535"/>
        <v>#DIV/0!</v>
      </c>
      <c r="V272" s="1729">
        <v>0</v>
      </c>
      <c r="W272" s="1716">
        <f t="shared" si="536"/>
        <v>0</v>
      </c>
      <c r="X272" s="1729">
        <v>0</v>
      </c>
      <c r="Y272" s="1716">
        <f t="shared" si="537"/>
        <v>0</v>
      </c>
      <c r="Z272" s="1729"/>
      <c r="AA272" s="1716" t="e">
        <f t="shared" si="538"/>
        <v>#DIV/0!</v>
      </c>
      <c r="AB272" s="1729"/>
      <c r="AC272" s="1716" t="e">
        <f t="shared" si="539"/>
        <v>#DIV/0!</v>
      </c>
      <c r="AD272" s="1729"/>
      <c r="AE272" s="1716" t="e">
        <f t="shared" si="540"/>
        <v>#DIV/0!</v>
      </c>
      <c r="AF272" s="1729">
        <v>207559</v>
      </c>
      <c r="AG272" s="1716">
        <f t="shared" si="541"/>
        <v>9.7354766869951301E-2</v>
      </c>
      <c r="AH272" s="1729"/>
      <c r="AI272" s="1716" t="e">
        <f t="shared" si="542"/>
        <v>#DIV/0!</v>
      </c>
      <c r="AJ272" s="1729">
        <v>0</v>
      </c>
      <c r="AK272" s="1716">
        <f t="shared" si="543"/>
        <v>0</v>
      </c>
      <c r="AL272" s="1729"/>
      <c r="AM272" s="1716" t="e">
        <f t="shared" si="544"/>
        <v>#DIV/0!</v>
      </c>
      <c r="AN272" s="1729">
        <v>0</v>
      </c>
      <c r="AO272" s="1716">
        <f t="shared" si="545"/>
        <v>0</v>
      </c>
      <c r="AP272" s="1729"/>
      <c r="AQ272" s="1716" t="e">
        <f t="shared" si="546"/>
        <v>#DIV/0!</v>
      </c>
      <c r="AR272" s="1729">
        <v>71262</v>
      </c>
      <c r="AS272" s="1716">
        <f t="shared" si="547"/>
        <v>2.6315089799662336E-2</v>
      </c>
      <c r="AT272" s="1729"/>
      <c r="AU272" s="1716" t="e">
        <f t="shared" si="548"/>
        <v>#DIV/0!</v>
      </c>
      <c r="AV272" s="1729">
        <v>0</v>
      </c>
      <c r="AW272" s="1716">
        <f t="shared" si="549"/>
        <v>0</v>
      </c>
      <c r="AX272" s="1729"/>
      <c r="AY272" s="1716" t="e">
        <f t="shared" si="550"/>
        <v>#DIV/0!</v>
      </c>
      <c r="AZ272" s="1729">
        <v>495</v>
      </c>
      <c r="BA272" s="1716">
        <f t="shared" si="551"/>
        <v>4.0094347264026543E-4</v>
      </c>
      <c r="BB272" s="1729"/>
      <c r="BC272" s="1716" t="e">
        <f t="shared" si="552"/>
        <v>#DIV/0!</v>
      </c>
      <c r="BD272" s="1729"/>
      <c r="BE272" s="1716" t="e">
        <f t="shared" si="553"/>
        <v>#DIV/0!</v>
      </c>
      <c r="BF272" s="1729">
        <v>0</v>
      </c>
      <c r="BG272" s="1716">
        <f t="shared" si="554"/>
        <v>0</v>
      </c>
      <c r="BH272" s="1729"/>
      <c r="BI272" s="1716" t="e">
        <f t="shared" si="555"/>
        <v>#DIV/0!</v>
      </c>
      <c r="BJ272" s="1729"/>
      <c r="BK272" s="1716" t="e">
        <f t="shared" si="556"/>
        <v>#DIV/0!</v>
      </c>
      <c r="BL272" s="1729"/>
      <c r="BM272" s="1716" t="e">
        <f t="shared" si="557"/>
        <v>#DIV/0!</v>
      </c>
      <c r="BN272" s="1729"/>
      <c r="BO272" s="1716">
        <f t="shared" si="558"/>
        <v>0</v>
      </c>
      <c r="BP272" s="1729"/>
      <c r="BQ272" s="1716" t="e">
        <f t="shared" si="559"/>
        <v>#DIV/0!</v>
      </c>
      <c r="BR272" s="1729">
        <v>8899</v>
      </c>
      <c r="BS272" s="1716">
        <f t="shared" si="560"/>
        <v>2.3386473898419293E-3</v>
      </c>
      <c r="BT272" s="1729">
        <v>26714</v>
      </c>
      <c r="BU272" s="1716">
        <f t="shared" si="561"/>
        <v>3.1592591103363619E-2</v>
      </c>
      <c r="BV272" s="1729">
        <v>142543</v>
      </c>
      <c r="BW272" s="1716">
        <f t="shared" si="562"/>
        <v>9.4247169140156489E-2</v>
      </c>
      <c r="BX272" s="1729"/>
      <c r="BY272" s="1716" t="e">
        <f t="shared" si="563"/>
        <v>#DIV/0!</v>
      </c>
      <c r="BZ272" s="1729"/>
      <c r="CA272" s="1716" t="e">
        <f t="shared" si="564"/>
        <v>#DIV/0!</v>
      </c>
      <c r="CB272" s="1729">
        <v>0</v>
      </c>
      <c r="CC272" s="1716">
        <f t="shared" si="565"/>
        <v>0</v>
      </c>
      <c r="CD272" s="1729"/>
      <c r="CE272" s="1716" t="e">
        <f t="shared" si="566"/>
        <v>#DIV/0!</v>
      </c>
      <c r="CF272" s="1729">
        <v>0</v>
      </c>
      <c r="CG272" s="1716">
        <v>0</v>
      </c>
      <c r="CH272" s="1729"/>
      <c r="CI272" s="1716">
        <v>0</v>
      </c>
      <c r="CJ272" s="1729"/>
      <c r="CK272" s="1716" t="e">
        <v>#DIV/0!</v>
      </c>
      <c r="CL272" s="1729"/>
      <c r="CM272" s="1716" t="e">
        <v>#DIV/0!</v>
      </c>
      <c r="CN272" s="1729"/>
      <c r="CO272" s="1716" t="e">
        <f t="shared" si="567"/>
        <v>#DIV/0!</v>
      </c>
      <c r="CP272" s="1729"/>
      <c r="CQ272" s="1716" t="e">
        <f t="shared" si="568"/>
        <v>#DIV/0!</v>
      </c>
      <c r="CR272" s="1729">
        <v>0</v>
      </c>
      <c r="CS272" s="1716">
        <v>0</v>
      </c>
      <c r="CT272" s="1729">
        <v>0</v>
      </c>
      <c r="CU272" s="1716">
        <f t="shared" si="569"/>
        <v>0</v>
      </c>
      <c r="CV272" s="1729"/>
      <c r="CW272" s="1716" t="e">
        <f t="shared" si="570"/>
        <v>#DIV/0!</v>
      </c>
      <c r="CX272" s="1729"/>
      <c r="CY272" s="1716" t="e">
        <f t="shared" si="570"/>
        <v>#DIV/0!</v>
      </c>
      <c r="CZ272" s="1729">
        <v>0</v>
      </c>
      <c r="DA272" s="1716">
        <v>0</v>
      </c>
      <c r="DB272" s="1729">
        <v>0</v>
      </c>
      <c r="DC272" s="1716">
        <v>0</v>
      </c>
      <c r="DD272" s="1729">
        <v>0</v>
      </c>
      <c r="DE272" s="1716">
        <v>0</v>
      </c>
      <c r="DF272" s="1729"/>
      <c r="DG272" s="1716" t="e">
        <v>#DIV/0!</v>
      </c>
      <c r="DH272" s="1729"/>
      <c r="DI272" s="1716" t="e">
        <v>#DIV/0!</v>
      </c>
      <c r="DJ272" s="1729">
        <v>3062</v>
      </c>
      <c r="DK272" s="1716">
        <v>1.8235916298216192E-3</v>
      </c>
      <c r="DL272" s="1729"/>
      <c r="DM272" s="1716" t="e">
        <v>#DIV/0!</v>
      </c>
      <c r="DN272" s="1729">
        <v>397109</v>
      </c>
      <c r="DO272" s="1716">
        <f>DN272/DN$275</f>
        <v>0.14471459328504521</v>
      </c>
      <c r="DP272" s="1729">
        <v>0</v>
      </c>
      <c r="DQ272" s="1716">
        <f t="shared" si="572"/>
        <v>0</v>
      </c>
      <c r="DR272" s="1729"/>
      <c r="DS272" s="1716" t="e">
        <f t="shared" si="573"/>
        <v>#DIV/0!</v>
      </c>
      <c r="DT272" s="1729"/>
      <c r="DU272" s="1716" t="e">
        <f t="shared" si="574"/>
        <v>#DIV/0!</v>
      </c>
      <c r="DV272" s="1729">
        <v>0</v>
      </c>
      <c r="DW272" s="1716">
        <f t="shared" si="575"/>
        <v>0</v>
      </c>
      <c r="DX272" s="1729">
        <v>146033</v>
      </c>
      <c r="DY272" s="1716">
        <f t="shared" si="576"/>
        <v>5.8204668968393561E-2</v>
      </c>
      <c r="DZ272" s="1729"/>
      <c r="EA272" s="1716" t="e">
        <f t="shared" si="577"/>
        <v>#DIV/0!</v>
      </c>
      <c r="EB272" s="1729">
        <v>0</v>
      </c>
      <c r="EC272" s="1716">
        <f t="shared" si="578"/>
        <v>0</v>
      </c>
      <c r="ED272" s="1729">
        <v>207749</v>
      </c>
      <c r="EE272" s="1716">
        <f t="shared" si="579"/>
        <v>7.0579598032391014E-2</v>
      </c>
      <c r="EF272" s="1729">
        <v>0</v>
      </c>
      <c r="EG272" s="1716">
        <f t="shared" si="580"/>
        <v>0</v>
      </c>
      <c r="EH272" s="1729">
        <v>0</v>
      </c>
      <c r="EI272" s="1716">
        <f t="shared" si="581"/>
        <v>0</v>
      </c>
      <c r="EJ272" s="1729">
        <v>0</v>
      </c>
      <c r="EK272" s="1716">
        <f t="shared" si="582"/>
        <v>0</v>
      </c>
      <c r="EL272" s="1729"/>
      <c r="EM272" s="1716" t="e">
        <f t="shared" si="583"/>
        <v>#DIV/0!</v>
      </c>
      <c r="EN272" s="1729"/>
      <c r="EO272" s="1716" t="e">
        <f t="shared" si="584"/>
        <v>#DIV/0!</v>
      </c>
      <c r="EP272" s="1729"/>
      <c r="EQ272" s="1716" t="e">
        <f t="shared" si="585"/>
        <v>#DIV/0!</v>
      </c>
      <c r="ER272" s="1729">
        <v>104192</v>
      </c>
      <c r="ES272" s="1716">
        <f t="shared" si="586"/>
        <v>4.9191883377012975E-2</v>
      </c>
      <c r="ET272" s="1729"/>
      <c r="EU272" s="1716" t="e">
        <f t="shared" si="587"/>
        <v>#DIV/0!</v>
      </c>
      <c r="EV272" s="1729">
        <v>164736</v>
      </c>
      <c r="EW272" s="1716">
        <f t="shared" si="588"/>
        <v>9.120912888571453E-2</v>
      </c>
      <c r="EX272" s="1729">
        <v>11549</v>
      </c>
      <c r="EY272" s="1716">
        <f t="shared" si="589"/>
        <v>5.5778716572736191E-3</v>
      </c>
      <c r="EZ272" s="1729"/>
      <c r="FA272" s="1716" t="e">
        <f t="shared" si="590"/>
        <v>#DIV/0!</v>
      </c>
      <c r="FB272" s="1729"/>
      <c r="FC272" s="1716" t="e">
        <f t="shared" si="591"/>
        <v>#DIV/0!</v>
      </c>
      <c r="FD272" s="1729"/>
      <c r="FE272" s="1716" t="e">
        <f t="shared" si="592"/>
        <v>#DIV/0!</v>
      </c>
      <c r="FF272" s="1729"/>
      <c r="FG272" s="1716" t="e">
        <f t="shared" si="593"/>
        <v>#DIV/0!</v>
      </c>
      <c r="FH272" s="1729">
        <v>67665</v>
      </c>
      <c r="FI272" s="1716">
        <f t="shared" si="594"/>
        <v>2.3083339161167182E-2</v>
      </c>
      <c r="FJ272" s="1729">
        <v>0</v>
      </c>
      <c r="FK272" s="1716">
        <f t="shared" si="595"/>
        <v>0</v>
      </c>
      <c r="FL272" s="1729">
        <v>0</v>
      </c>
      <c r="FM272" s="1716">
        <f t="shared" si="596"/>
        <v>0</v>
      </c>
      <c r="FN272" s="1729" t="s">
        <v>1857</v>
      </c>
      <c r="FO272" s="1716">
        <f t="shared" si="597"/>
        <v>0</v>
      </c>
      <c r="FP272" s="1729">
        <v>0</v>
      </c>
      <c r="FQ272" s="1716">
        <f t="shared" si="598"/>
        <v>0</v>
      </c>
      <c r="FR272" s="1729"/>
      <c r="FS272" s="1716" t="e">
        <f t="shared" si="599"/>
        <v>#DIV/0!</v>
      </c>
      <c r="FT272" s="1729"/>
      <c r="FU272" s="1716" t="e">
        <f t="shared" si="600"/>
        <v>#DIV/0!</v>
      </c>
      <c r="FV272" s="1729"/>
      <c r="FW272" s="1716" t="e">
        <f t="shared" si="601"/>
        <v>#DIV/0!</v>
      </c>
      <c r="FX272" s="1729"/>
      <c r="FY272" s="1716">
        <f t="shared" si="602"/>
        <v>0</v>
      </c>
      <c r="FZ272" s="1729">
        <v>26640</v>
      </c>
      <c r="GA272" s="1716">
        <f t="shared" si="603"/>
        <v>1.5412608369902601E-2</v>
      </c>
      <c r="GB272" s="1729">
        <v>0</v>
      </c>
      <c r="GC272" s="1716">
        <f t="shared" si="604"/>
        <v>0</v>
      </c>
      <c r="GD272" s="1729"/>
      <c r="GE272" s="1716" t="e">
        <f t="shared" si="605"/>
        <v>#DIV/0!</v>
      </c>
      <c r="GF272" s="1729"/>
      <c r="GG272" s="1716" t="e">
        <f t="shared" si="606"/>
        <v>#DIV/0!</v>
      </c>
      <c r="GH272" s="1729">
        <v>0</v>
      </c>
      <c r="GI272" s="1716">
        <f t="shared" si="607"/>
        <v>0</v>
      </c>
      <c r="GJ272" s="1729"/>
      <c r="GK272" s="1716" t="e">
        <f t="shared" si="608"/>
        <v>#DIV/0!</v>
      </c>
      <c r="GL272" s="1729"/>
      <c r="GM272" s="1716">
        <f t="shared" si="609"/>
        <v>0</v>
      </c>
      <c r="GN272" s="1729">
        <v>14098</v>
      </c>
      <c r="GO272" s="1716">
        <f t="shared" si="610"/>
        <v>8.1776981676457122E-3</v>
      </c>
      <c r="GP272" s="1729"/>
      <c r="GQ272" s="1716">
        <f t="shared" si="611"/>
        <v>0</v>
      </c>
      <c r="GR272" s="1729">
        <v>10109</v>
      </c>
      <c r="GS272" s="1716">
        <f t="shared" si="612"/>
        <v>5.2594529939965547E-3</v>
      </c>
      <c r="GT272" s="1729">
        <v>34693</v>
      </c>
      <c r="GU272" s="1716">
        <f t="shared" si="613"/>
        <v>2.294800467519376E-2</v>
      </c>
      <c r="GV272" s="1729">
        <v>243899</v>
      </c>
      <c r="GW272" s="1716">
        <f t="shared" si="614"/>
        <v>0.11527349327379481</v>
      </c>
      <c r="GX272" s="1729">
        <v>84568</v>
      </c>
      <c r="GY272" s="1716">
        <f t="shared" si="615"/>
        <v>4.7787980674144602E-2</v>
      </c>
      <c r="GZ272" s="1729"/>
      <c r="HA272" s="1716" t="e">
        <f t="shared" si="616"/>
        <v>#DIV/0!</v>
      </c>
      <c r="HB272" s="1729">
        <v>0</v>
      </c>
      <c r="HC272" s="1716">
        <f t="shared" si="617"/>
        <v>0</v>
      </c>
      <c r="HD272" s="1729">
        <v>66107</v>
      </c>
      <c r="HE272" s="1716">
        <f t="shared" si="618"/>
        <v>2.9577414375517325E-2</v>
      </c>
      <c r="HF272" s="2050"/>
      <c r="HG272" s="2033" t="e">
        <f t="shared" si="619"/>
        <v>#DIV/0!</v>
      </c>
      <c r="HH272" s="1729"/>
      <c r="HI272" s="1716" t="e">
        <f t="shared" si="620"/>
        <v>#DIV/0!</v>
      </c>
      <c r="HJ272" s="1729">
        <v>242726</v>
      </c>
      <c r="HK272" s="1716">
        <f t="shared" si="621"/>
        <v>0.10122427804627626</v>
      </c>
      <c r="HL272" s="1729"/>
      <c r="HM272" s="1716" t="e">
        <f t="shared" si="622"/>
        <v>#DIV/0!</v>
      </c>
      <c r="HN272" s="1729">
        <v>65116</v>
      </c>
      <c r="HO272" s="1716">
        <f t="shared" si="623"/>
        <v>2.8565625352321516E-2</v>
      </c>
      <c r="HP272" s="2050"/>
      <c r="HQ272" s="2033" t="e">
        <f t="shared" si="624"/>
        <v>#DIV/0!</v>
      </c>
      <c r="HR272" s="1729"/>
      <c r="HS272" s="1716" t="e">
        <f t="shared" si="625"/>
        <v>#DIV/0!</v>
      </c>
      <c r="HT272" s="2050"/>
      <c r="HU272" s="2033" t="e">
        <f t="shared" si="626"/>
        <v>#DIV/0!</v>
      </c>
      <c r="HV272" s="2050"/>
      <c r="HW272" s="2033">
        <f t="shared" si="627"/>
        <v>0</v>
      </c>
      <c r="HX272" s="2050">
        <v>46421</v>
      </c>
      <c r="HY272" s="2033">
        <f t="shared" si="628"/>
        <v>2.6252361078121997E-2</v>
      </c>
      <c r="HZ272" s="2050"/>
      <c r="IA272" s="2033" t="e">
        <f t="shared" si="629"/>
        <v>#DIV/0!</v>
      </c>
      <c r="IB272" s="1729">
        <v>301699</v>
      </c>
      <c r="IC272" s="1716">
        <f t="shared" si="630"/>
        <v>0.13321749804610744</v>
      </c>
      <c r="ID272" s="2050">
        <v>215759</v>
      </c>
      <c r="IE272" s="2033">
        <f t="shared" si="631"/>
        <v>0.10281190138093377</v>
      </c>
      <c r="IF272" s="2050">
        <v>148640</v>
      </c>
      <c r="IG272" s="2033">
        <f t="shared" si="632"/>
        <v>0.10004529768927939</v>
      </c>
    </row>
    <row r="273" spans="1:241">
      <c r="A273" s="1149"/>
      <c r="B273" s="1149" t="s">
        <v>39</v>
      </c>
      <c r="C273" s="1149"/>
      <c r="D273" s="1149"/>
      <c r="E273" s="1143"/>
      <c r="F273" s="1730"/>
      <c r="G273" s="1716" t="e">
        <f t="shared" si="528"/>
        <v>#DIV/0!</v>
      </c>
      <c r="H273" s="1729">
        <v>380650</v>
      </c>
      <c r="I273" s="1716">
        <f t="shared" si="529"/>
        <v>0.12781742306106358</v>
      </c>
      <c r="J273" s="1730">
        <v>302315</v>
      </c>
      <c r="K273" s="1716">
        <f t="shared" si="530"/>
        <v>0.15243897827083377</v>
      </c>
      <c r="L273" s="1730"/>
      <c r="M273" s="1716" t="e">
        <f t="shared" si="531"/>
        <v>#DIV/0!</v>
      </c>
      <c r="N273" s="1730">
        <v>243347</v>
      </c>
      <c r="O273" s="1716">
        <f t="shared" si="532"/>
        <v>0.11876407702312597</v>
      </c>
      <c r="P273" s="1730"/>
      <c r="Q273" s="1716" t="e">
        <f t="shared" si="533"/>
        <v>#DIV/0!</v>
      </c>
      <c r="R273" s="1730"/>
      <c r="S273" s="1716" t="e">
        <f t="shared" si="534"/>
        <v>#DIV/0!</v>
      </c>
      <c r="T273" s="1730"/>
      <c r="U273" s="1716" t="e">
        <f t="shared" si="535"/>
        <v>#DIV/0!</v>
      </c>
      <c r="V273" s="1730">
        <v>90960</v>
      </c>
      <c r="W273" s="1716">
        <f t="shared" si="536"/>
        <v>6.4964792881869918E-2</v>
      </c>
      <c r="X273" s="1730">
        <v>291499</v>
      </c>
      <c r="Y273" s="1716">
        <f t="shared" si="537"/>
        <v>0.10883524974881933</v>
      </c>
      <c r="Z273" s="1730"/>
      <c r="AA273" s="1716" t="e">
        <f t="shared" si="538"/>
        <v>#DIV/0!</v>
      </c>
      <c r="AB273" s="1730"/>
      <c r="AC273" s="1716" t="e">
        <f t="shared" si="539"/>
        <v>#DIV/0!</v>
      </c>
      <c r="AD273" s="1730"/>
      <c r="AE273" s="1716" t="e">
        <f t="shared" si="540"/>
        <v>#DIV/0!</v>
      </c>
      <c r="AF273" s="1730">
        <v>163284</v>
      </c>
      <c r="AG273" s="1716">
        <f t="shared" si="541"/>
        <v>7.6587744947668512E-2</v>
      </c>
      <c r="AH273" s="1730"/>
      <c r="AI273" s="1716" t="e">
        <f t="shared" si="542"/>
        <v>#DIV/0!</v>
      </c>
      <c r="AJ273" s="1730">
        <v>117954</v>
      </c>
      <c r="AK273" s="1716">
        <f t="shared" si="543"/>
        <v>6.8153296092484272E-2</v>
      </c>
      <c r="AL273" s="1730"/>
      <c r="AM273" s="1716" t="e">
        <f t="shared" si="544"/>
        <v>#DIV/0!</v>
      </c>
      <c r="AN273" s="1730">
        <v>447897</v>
      </c>
      <c r="AO273" s="1716">
        <f t="shared" si="545"/>
        <v>0.21198040434148621</v>
      </c>
      <c r="AP273" s="1730"/>
      <c r="AQ273" s="1716" t="e">
        <f t="shared" si="546"/>
        <v>#DIV/0!</v>
      </c>
      <c r="AR273" s="1730">
        <v>219041</v>
      </c>
      <c r="AS273" s="1716">
        <f t="shared" si="547"/>
        <v>8.088579586326286E-2</v>
      </c>
      <c r="AT273" s="1730"/>
      <c r="AU273" s="1716" t="e">
        <f t="shared" si="548"/>
        <v>#DIV/0!</v>
      </c>
      <c r="AV273" s="1730">
        <v>1171910</v>
      </c>
      <c r="AW273" s="1716">
        <f t="shared" si="549"/>
        <v>0.28034984223129683</v>
      </c>
      <c r="AX273" s="1730"/>
      <c r="AY273" s="1716" t="e">
        <f t="shared" si="550"/>
        <v>#DIV/0!</v>
      </c>
      <c r="AZ273" s="1730">
        <v>59624</v>
      </c>
      <c r="BA273" s="1716">
        <f t="shared" si="551"/>
        <v>4.8294653763036738E-2</v>
      </c>
      <c r="BB273" s="1730"/>
      <c r="BC273" s="1716" t="e">
        <f t="shared" si="552"/>
        <v>#DIV/0!</v>
      </c>
      <c r="BD273" s="1730"/>
      <c r="BE273" s="1716" t="e">
        <f t="shared" si="553"/>
        <v>#DIV/0!</v>
      </c>
      <c r="BF273" s="1730">
        <v>147889</v>
      </c>
      <c r="BG273" s="1716">
        <f t="shared" si="554"/>
        <v>7.7430093069622105E-2</v>
      </c>
      <c r="BH273" s="1730"/>
      <c r="BI273" s="1716" t="e">
        <f t="shared" si="555"/>
        <v>#DIV/0!</v>
      </c>
      <c r="BJ273" s="1730"/>
      <c r="BK273" s="1716" t="e">
        <f t="shared" si="556"/>
        <v>#DIV/0!</v>
      </c>
      <c r="BL273" s="1730"/>
      <c r="BM273" s="1716" t="e">
        <f t="shared" si="557"/>
        <v>#DIV/0!</v>
      </c>
      <c r="BN273" s="1730">
        <v>390634</v>
      </c>
      <c r="BO273" s="1716">
        <f t="shared" si="558"/>
        <v>0.14948286339236105</v>
      </c>
      <c r="BP273" s="1730"/>
      <c r="BQ273" s="1716" t="e">
        <f t="shared" si="559"/>
        <v>#DIV/0!</v>
      </c>
      <c r="BR273" s="1730">
        <v>255525</v>
      </c>
      <c r="BS273" s="1716">
        <f t="shared" si="560"/>
        <v>6.7151688312097862E-2</v>
      </c>
      <c r="BT273" s="1730">
        <v>12716</v>
      </c>
      <c r="BU273" s="1716">
        <f t="shared" si="561"/>
        <v>1.5038234201930513E-2</v>
      </c>
      <c r="BV273" s="1730">
        <v>159324</v>
      </c>
      <c r="BW273" s="1716">
        <f t="shared" si="562"/>
        <v>0.10534249999008224</v>
      </c>
      <c r="BX273" s="1730"/>
      <c r="BY273" s="1716" t="e">
        <f t="shared" si="563"/>
        <v>#DIV/0!</v>
      </c>
      <c r="BZ273" s="1730"/>
      <c r="CA273" s="1716" t="e">
        <f t="shared" si="564"/>
        <v>#DIV/0!</v>
      </c>
      <c r="CB273" s="1730">
        <v>152335</v>
      </c>
      <c r="CC273" s="1716">
        <f t="shared" si="565"/>
        <v>7.5162353842069998E-2</v>
      </c>
      <c r="CD273" s="1730"/>
      <c r="CE273" s="1716" t="e">
        <f t="shared" si="566"/>
        <v>#DIV/0!</v>
      </c>
      <c r="CF273" s="1729">
        <v>191430</v>
      </c>
      <c r="CG273" s="1716">
        <v>9.0365967297744598E-2</v>
      </c>
      <c r="CH273" s="1730">
        <v>110586</v>
      </c>
      <c r="CI273" s="1716">
        <v>5.0773918185791786E-2</v>
      </c>
      <c r="CJ273" s="1730"/>
      <c r="CK273" s="1716" t="e">
        <v>#DIV/0!</v>
      </c>
      <c r="CL273" s="1730"/>
      <c r="CM273" s="1716" t="e">
        <v>#DIV/0!</v>
      </c>
      <c r="CN273" s="1730"/>
      <c r="CO273" s="1716" t="e">
        <f t="shared" si="567"/>
        <v>#DIV/0!</v>
      </c>
      <c r="CP273" s="1730"/>
      <c r="CQ273" s="1716" t="e">
        <f t="shared" si="568"/>
        <v>#DIV/0!</v>
      </c>
      <c r="CR273" s="1730">
        <v>356316</v>
      </c>
      <c r="CS273" s="1716">
        <v>0.13212695187205434</v>
      </c>
      <c r="CT273" s="1730">
        <v>116838</v>
      </c>
      <c r="CU273" s="1716">
        <f t="shared" si="569"/>
        <v>6.5088088241438385E-2</v>
      </c>
      <c r="CV273" s="1730"/>
      <c r="CW273" s="1716" t="e">
        <f t="shared" si="570"/>
        <v>#DIV/0!</v>
      </c>
      <c r="CX273" s="1730"/>
      <c r="CY273" s="1716" t="e">
        <f t="shared" si="570"/>
        <v>#DIV/0!</v>
      </c>
      <c r="CZ273" s="1730">
        <v>304495</v>
      </c>
      <c r="DA273" s="1716">
        <v>0.14817094682546442</v>
      </c>
      <c r="DB273" s="1730">
        <v>62761</v>
      </c>
      <c r="DC273" s="1716">
        <v>3.8058328492232611E-2</v>
      </c>
      <c r="DD273" s="1729">
        <v>162437</v>
      </c>
      <c r="DE273" s="1716">
        <v>7.8508959534080061E-2</v>
      </c>
      <c r="DF273" s="1730"/>
      <c r="DG273" s="1716" t="e">
        <v>#DIV/0!</v>
      </c>
      <c r="DH273" s="1730"/>
      <c r="DI273" s="1716" t="e">
        <v>#DIV/0!</v>
      </c>
      <c r="DJ273" s="1730">
        <v>161392</v>
      </c>
      <c r="DK273" s="1716">
        <v>9.6117929562433299E-2</v>
      </c>
      <c r="DL273" s="1730"/>
      <c r="DM273" s="1716" t="e">
        <v>#DIV/0!</v>
      </c>
      <c r="DN273" s="1730">
        <f>508118-DN272</f>
        <v>111009</v>
      </c>
      <c r="DO273" s="1716">
        <f>DN273/DN$275</f>
        <v>4.0453936541301215E-2</v>
      </c>
      <c r="DP273" s="1730">
        <v>397670</v>
      </c>
      <c r="DQ273" s="1716">
        <f t="shared" si="572"/>
        <v>0.15040133370700123</v>
      </c>
      <c r="DR273" s="1730"/>
      <c r="DS273" s="1716" t="e">
        <f t="shared" si="573"/>
        <v>#DIV/0!</v>
      </c>
      <c r="DT273" s="1730"/>
      <c r="DU273" s="1716" t="e">
        <f t="shared" si="574"/>
        <v>#DIV/0!</v>
      </c>
      <c r="DV273" s="1730">
        <v>231319</v>
      </c>
      <c r="DW273" s="1716">
        <f t="shared" si="575"/>
        <v>9.2744064646885838E-2</v>
      </c>
      <c r="DX273" s="1730">
        <f>1113993.8-DX272-DX271-DX270</f>
        <v>239640.80000000005</v>
      </c>
      <c r="DY273" s="1716">
        <f t="shared" si="576"/>
        <v>9.5514119653235988E-2</v>
      </c>
      <c r="DZ273" s="1730"/>
      <c r="EA273" s="1716" t="e">
        <f t="shared" si="577"/>
        <v>#DIV/0!</v>
      </c>
      <c r="EB273" s="1730">
        <v>75488</v>
      </c>
      <c r="EC273" s="1716">
        <f t="shared" si="578"/>
        <v>4.1268223773838236E-2</v>
      </c>
      <c r="ED273" s="1730">
        <v>191735</v>
      </c>
      <c r="EE273" s="1716">
        <f t="shared" si="579"/>
        <v>6.5139082396259387E-2</v>
      </c>
      <c r="EF273" s="1730">
        <v>110377</v>
      </c>
      <c r="EG273" s="1716">
        <f t="shared" si="580"/>
        <v>4.712563391634994E-2</v>
      </c>
      <c r="EH273" s="1730">
        <v>423262</v>
      </c>
      <c r="EI273" s="1716">
        <f t="shared" si="581"/>
        <v>0.18007968805508814</v>
      </c>
      <c r="EJ273" s="1730">
        <v>47516</v>
      </c>
      <c r="EK273" s="1716">
        <f t="shared" si="582"/>
        <v>2.0897636063771301E-2</v>
      </c>
      <c r="EL273" s="1730"/>
      <c r="EM273" s="1716" t="e">
        <f t="shared" si="583"/>
        <v>#DIV/0!</v>
      </c>
      <c r="EN273" s="1730"/>
      <c r="EO273" s="1716" t="e">
        <f t="shared" si="584"/>
        <v>#DIV/0!</v>
      </c>
      <c r="EP273" s="1730"/>
      <c r="EQ273" s="1716" t="e">
        <f t="shared" si="585"/>
        <v>#DIV/0!</v>
      </c>
      <c r="ER273" s="1730">
        <v>206113</v>
      </c>
      <c r="ES273" s="1716">
        <f t="shared" si="586"/>
        <v>9.7311565748678164E-2</v>
      </c>
      <c r="ET273" s="1730"/>
      <c r="EU273" s="1716" t="e">
        <f t="shared" si="587"/>
        <v>#DIV/0!</v>
      </c>
      <c r="EV273" s="1730">
        <v>270035</v>
      </c>
      <c r="EW273" s="1716">
        <f t="shared" si="588"/>
        <v>0.14950986498794386</v>
      </c>
      <c r="EX273" s="1730">
        <f>2070503-EX272-EX271-EX270-EX269-EX268</f>
        <v>297853</v>
      </c>
      <c r="EY273" s="1716">
        <f t="shared" si="589"/>
        <v>0.1438553820013784</v>
      </c>
      <c r="EZ273" s="1730"/>
      <c r="FA273" s="1716" t="e">
        <f t="shared" si="590"/>
        <v>#DIV/0!</v>
      </c>
      <c r="FB273" s="1730"/>
      <c r="FC273" s="1716" t="e">
        <f t="shared" si="591"/>
        <v>#DIV/0!</v>
      </c>
      <c r="FD273" s="1730"/>
      <c r="FE273" s="1716" t="e">
        <f t="shared" si="592"/>
        <v>#DIV/0!</v>
      </c>
      <c r="FF273" s="1730"/>
      <c r="FG273" s="1716" t="e">
        <f t="shared" si="593"/>
        <v>#DIV/0!</v>
      </c>
      <c r="FH273" s="1730">
        <v>421297</v>
      </c>
      <c r="FI273" s="1716">
        <f t="shared" si="594"/>
        <v>0.14372188780879702</v>
      </c>
      <c r="FJ273" s="1730">
        <v>11314</v>
      </c>
      <c r="FK273" s="1716">
        <f t="shared" si="595"/>
        <v>6.6140574149756897E-3</v>
      </c>
      <c r="FL273" s="1730">
        <v>65723</v>
      </c>
      <c r="FM273" s="1716">
        <f t="shared" si="596"/>
        <v>3.9289873335995582E-2</v>
      </c>
      <c r="FN273" s="1730">
        <v>277303</v>
      </c>
      <c r="FO273" s="1716">
        <f t="shared" si="597"/>
        <v>0.1070866001859031</v>
      </c>
      <c r="FP273" s="1730">
        <v>102093</v>
      </c>
      <c r="FQ273" s="1716">
        <f t="shared" si="598"/>
        <v>5.952080426806837E-2</v>
      </c>
      <c r="FR273" s="1730"/>
      <c r="FS273" s="1716" t="e">
        <f t="shared" si="599"/>
        <v>#DIV/0!</v>
      </c>
      <c r="FT273" s="1730"/>
      <c r="FU273" s="1716" t="e">
        <f t="shared" si="600"/>
        <v>#DIV/0!</v>
      </c>
      <c r="FV273" s="1730"/>
      <c r="FW273" s="1716" t="e">
        <f t="shared" si="601"/>
        <v>#DIV/0!</v>
      </c>
      <c r="FX273" s="1729">
        <v>176633</v>
      </c>
      <c r="FY273" s="1716">
        <f t="shared" si="602"/>
        <v>0.10770377118383111</v>
      </c>
      <c r="FZ273" s="1730">
        <v>275077</v>
      </c>
      <c r="GA273" s="1716">
        <f t="shared" si="603"/>
        <v>0.15914617389518385</v>
      </c>
      <c r="GB273" s="1729">
        <v>439925</v>
      </c>
      <c r="GC273" s="1716">
        <f t="shared" si="604"/>
        <v>0.17948737825417135</v>
      </c>
      <c r="GD273" s="1730"/>
      <c r="GE273" s="1716" t="e">
        <f t="shared" si="605"/>
        <v>#DIV/0!</v>
      </c>
      <c r="GF273" s="1730"/>
      <c r="GG273" s="1716" t="e">
        <f t="shared" si="606"/>
        <v>#DIV/0!</v>
      </c>
      <c r="GH273" s="1730">
        <v>66499</v>
      </c>
      <c r="GI273" s="1716">
        <f t="shared" si="607"/>
        <v>9.1371765013018955E-2</v>
      </c>
      <c r="GJ273" s="1730"/>
      <c r="GK273" s="1716" t="e">
        <f t="shared" si="608"/>
        <v>#DIV/0!</v>
      </c>
      <c r="GL273" s="1730">
        <v>216090</v>
      </c>
      <c r="GM273" s="1716">
        <f t="shared" si="609"/>
        <v>0.11141577278998831</v>
      </c>
      <c r="GN273" s="1730">
        <v>206022</v>
      </c>
      <c r="GO273" s="1716">
        <f t="shared" si="610"/>
        <v>0.11950530088627501</v>
      </c>
      <c r="GP273" s="1730">
        <v>93061</v>
      </c>
      <c r="GQ273" s="1716">
        <f t="shared" si="611"/>
        <v>5.1187739716495796E-2</v>
      </c>
      <c r="GR273" s="1730">
        <v>41801</v>
      </c>
      <c r="GS273" s="1716">
        <f t="shared" si="612"/>
        <v>2.1747986408353941E-2</v>
      </c>
      <c r="GT273" s="1730">
        <v>136422</v>
      </c>
      <c r="GU273" s="1716">
        <f t="shared" si="613"/>
        <v>9.0237589536773494E-2</v>
      </c>
      <c r="GV273" s="1730">
        <v>153807</v>
      </c>
      <c r="GW273" s="1716">
        <f t="shared" si="614"/>
        <v>7.269349271609378E-2</v>
      </c>
      <c r="GX273" s="1730">
        <v>138343</v>
      </c>
      <c r="GY273" s="1716">
        <f t="shared" si="615"/>
        <v>7.8175345407283922E-2</v>
      </c>
      <c r="GZ273" s="1730"/>
      <c r="HA273" s="1716" t="e">
        <f t="shared" si="616"/>
        <v>#DIV/0!</v>
      </c>
      <c r="HB273" s="1730">
        <v>36155</v>
      </c>
      <c r="HC273" s="1716">
        <f t="shared" si="617"/>
        <v>2.0174430283686359E-2</v>
      </c>
      <c r="HD273" s="1730">
        <v>237764</v>
      </c>
      <c r="HE273" s="1716">
        <f t="shared" si="618"/>
        <v>0.10637972304870137</v>
      </c>
      <c r="HF273" s="2051"/>
      <c r="HG273" s="2033" t="e">
        <f t="shared" si="619"/>
        <v>#DIV/0!</v>
      </c>
      <c r="HH273" s="1730"/>
      <c r="HI273" s="1716" t="e">
        <f t="shared" si="620"/>
        <v>#DIV/0!</v>
      </c>
      <c r="HJ273" s="1730">
        <v>139034</v>
      </c>
      <c r="HK273" s="1716">
        <f t="shared" si="621"/>
        <v>5.7981494664296265E-2</v>
      </c>
      <c r="HL273" s="1730"/>
      <c r="HM273" s="1716" t="e">
        <f t="shared" si="622"/>
        <v>#DIV/0!</v>
      </c>
      <c r="HN273" s="1730">
        <v>295204</v>
      </c>
      <c r="HO273" s="1716">
        <f t="shared" si="623"/>
        <v>0.12950253188934702</v>
      </c>
      <c r="HP273" s="2051"/>
      <c r="HQ273" s="2033" t="e">
        <f t="shared" si="624"/>
        <v>#DIV/0!</v>
      </c>
      <c r="HR273" s="1730"/>
      <c r="HS273" s="1716" t="e">
        <f t="shared" si="625"/>
        <v>#DIV/0!</v>
      </c>
      <c r="HT273" s="2051"/>
      <c r="HU273" s="2033" t="e">
        <f t="shared" si="626"/>
        <v>#DIV/0!</v>
      </c>
      <c r="HV273" s="2051">
        <v>101867</v>
      </c>
      <c r="HW273" s="2033">
        <f t="shared" si="627"/>
        <v>4.5060335828157896E-2</v>
      </c>
      <c r="HX273" s="2051">
        <v>152237</v>
      </c>
      <c r="HY273" s="2033">
        <f t="shared" si="628"/>
        <v>8.6094239534910022E-2</v>
      </c>
      <c r="HZ273" s="2051"/>
      <c r="IA273" s="2033" t="e">
        <f t="shared" si="629"/>
        <v>#DIV/0!</v>
      </c>
      <c r="IB273" s="1730">
        <v>162927</v>
      </c>
      <c r="IC273" s="1716">
        <f t="shared" si="630"/>
        <v>7.194166140477147E-2</v>
      </c>
      <c r="ID273" s="2051">
        <v>109720</v>
      </c>
      <c r="IE273" s="2033">
        <f t="shared" si="631"/>
        <v>5.2282972295552232E-2</v>
      </c>
      <c r="IF273" s="2051">
        <v>182100</v>
      </c>
      <c r="IG273" s="2033">
        <f t="shared" si="632"/>
        <v>0.1225662588079775</v>
      </c>
    </row>
    <row r="274" spans="1:241">
      <c r="A274" s="1149"/>
      <c r="B274" s="1149"/>
      <c r="C274" s="1149"/>
      <c r="D274" s="1149"/>
      <c r="E274" s="1143"/>
      <c r="F274" s="1406"/>
      <c r="G274" s="1718"/>
      <c r="H274" s="1406"/>
      <c r="I274" s="1718"/>
      <c r="J274" s="1406"/>
      <c r="K274" s="1718"/>
      <c r="L274" s="1406"/>
      <c r="M274" s="1718"/>
      <c r="N274" s="1406"/>
      <c r="O274" s="1718"/>
      <c r="P274" s="1406"/>
      <c r="Q274" s="1718"/>
      <c r="S274" s="1718"/>
      <c r="T274" s="1406"/>
      <c r="U274" s="1718"/>
      <c r="V274" s="1406"/>
      <c r="W274" s="1718"/>
      <c r="X274" s="1406"/>
      <c r="Y274" s="1718"/>
      <c r="Z274" s="1406"/>
      <c r="AA274" s="1718"/>
      <c r="AB274" s="1406"/>
      <c r="AC274" s="1718"/>
      <c r="AD274" s="1406"/>
      <c r="AE274" s="1718"/>
      <c r="AF274" s="1406"/>
      <c r="AG274" s="1718"/>
      <c r="AH274" s="1406"/>
      <c r="AI274" s="1718"/>
      <c r="AJ274" s="1406"/>
      <c r="AK274" s="1718"/>
      <c r="AL274" s="1406"/>
      <c r="AM274" s="1718"/>
      <c r="AN274" s="1406"/>
      <c r="AO274" s="1718"/>
      <c r="AP274" s="1406"/>
      <c r="AQ274" s="1718"/>
      <c r="AR274" s="1406"/>
      <c r="AS274" s="1718"/>
      <c r="AT274" s="1406"/>
      <c r="AU274" s="1718"/>
      <c r="AV274" s="1406"/>
      <c r="AW274" s="1718"/>
      <c r="AX274" s="1406"/>
      <c r="AY274" s="1718"/>
      <c r="AZ274" s="1406"/>
      <c r="BA274" s="1718"/>
      <c r="BB274" s="1406"/>
      <c r="BC274" s="1718"/>
      <c r="BD274" s="1406"/>
      <c r="BE274" s="1718"/>
      <c r="BF274" s="1406"/>
      <c r="BG274" s="1718"/>
      <c r="BH274" s="1406"/>
      <c r="BI274" s="1718"/>
      <c r="BJ274" s="1406"/>
      <c r="BK274" s="1718"/>
      <c r="BL274" s="1406"/>
      <c r="BM274" s="1718"/>
      <c r="BN274" s="1406"/>
      <c r="BO274" s="1718"/>
      <c r="BP274" s="1406"/>
      <c r="BQ274" s="1718"/>
      <c r="BR274" s="1406"/>
      <c r="BS274" s="1718"/>
      <c r="BT274" s="1406"/>
      <c r="BU274" s="1718"/>
      <c r="BV274" s="1406"/>
      <c r="BW274" s="1718"/>
      <c r="BX274" s="1406"/>
      <c r="BY274" s="1718"/>
      <c r="BZ274" s="1406"/>
      <c r="CA274" s="1718"/>
      <c r="CB274" s="1406"/>
      <c r="CC274" s="1718"/>
      <c r="CD274" s="1406"/>
      <c r="CE274" s="1718"/>
      <c r="CF274" s="1406"/>
      <c r="CG274" s="1718"/>
      <c r="CH274" s="1406"/>
      <c r="CI274" s="1718"/>
      <c r="CJ274" s="1406"/>
      <c r="CK274" s="1718"/>
      <c r="CL274" s="1406"/>
      <c r="CM274" s="1718"/>
      <c r="CN274" s="1406"/>
      <c r="CO274" s="1718"/>
      <c r="CP274" s="1406"/>
      <c r="CQ274" s="1718"/>
      <c r="CR274" s="1406"/>
      <c r="CS274" s="1718"/>
      <c r="CT274" s="1406"/>
      <c r="CU274" s="1718"/>
      <c r="CV274" s="1406"/>
      <c r="CW274" s="1718"/>
      <c r="CX274" s="1406"/>
      <c r="CY274" s="1718"/>
      <c r="CZ274" s="1406"/>
      <c r="DA274" s="1718"/>
      <c r="DB274" s="1406"/>
      <c r="DC274" s="1718"/>
      <c r="DD274" s="1406"/>
      <c r="DE274" s="1718"/>
      <c r="DF274" s="1406"/>
      <c r="DG274" s="1718"/>
      <c r="DH274" s="1406"/>
      <c r="DI274" s="1718"/>
      <c r="DJ274" s="1406"/>
      <c r="DK274" s="1718"/>
      <c r="DL274" s="1406"/>
      <c r="DM274" s="1718"/>
      <c r="DN274" s="1406"/>
      <c r="DO274" s="1718"/>
      <c r="DP274" s="1406"/>
      <c r="DQ274" s="1718"/>
      <c r="DR274" s="1406"/>
      <c r="DS274" s="1718"/>
      <c r="DT274" s="1406"/>
      <c r="DU274" s="1718"/>
      <c r="DV274" s="1406"/>
      <c r="DW274" s="1718"/>
      <c r="DX274" s="1406"/>
      <c r="DY274" s="1718"/>
      <c r="DZ274" s="1406"/>
      <c r="EA274" s="1718"/>
      <c r="EB274" s="1406"/>
      <c r="EC274" s="1718"/>
      <c r="ED274" s="1406"/>
      <c r="EE274" s="1718"/>
      <c r="EF274" s="1406"/>
      <c r="EG274" s="1718"/>
      <c r="EH274" s="1406"/>
      <c r="EI274" s="1718"/>
      <c r="EJ274" s="1406"/>
      <c r="EK274" s="1718"/>
      <c r="EL274" s="1406"/>
      <c r="EM274" s="1718"/>
      <c r="EN274" s="1406"/>
      <c r="EO274" s="1718"/>
      <c r="EP274" s="1406"/>
      <c r="EQ274" s="1718"/>
      <c r="ER274" s="1406"/>
      <c r="ES274" s="1718"/>
      <c r="ET274" s="1406"/>
      <c r="EU274" s="1718"/>
      <c r="EV274" s="1406"/>
      <c r="EW274" s="1718"/>
      <c r="EX274" s="1406"/>
      <c r="EY274" s="1718"/>
      <c r="EZ274" s="1406"/>
      <c r="FA274" s="1718"/>
      <c r="FB274" s="1406"/>
      <c r="FC274" s="1718"/>
      <c r="FD274" s="1406"/>
      <c r="FE274" s="1718"/>
      <c r="FF274" s="1406"/>
      <c r="FG274" s="1718"/>
      <c r="FH274" s="1406"/>
      <c r="FI274" s="1718"/>
      <c r="FJ274" s="1406"/>
      <c r="FK274" s="1718"/>
      <c r="FL274" s="1406"/>
      <c r="FM274" s="1718"/>
      <c r="FN274" s="1406"/>
      <c r="FO274" s="1718"/>
      <c r="FP274" s="1406"/>
      <c r="FQ274" s="1718"/>
      <c r="FR274" s="1406"/>
      <c r="FS274" s="1718"/>
      <c r="FT274" s="1406"/>
      <c r="FU274" s="1718"/>
      <c r="FV274" s="1406"/>
      <c r="FW274" s="1718"/>
      <c r="FX274" s="1406"/>
      <c r="FY274" s="1718"/>
      <c r="FZ274" s="1406"/>
      <c r="GA274" s="1718"/>
      <c r="GB274" s="1406"/>
      <c r="GC274" s="1718"/>
      <c r="GD274" s="1406"/>
      <c r="GE274" s="1718"/>
      <c r="GF274" s="1406"/>
      <c r="GG274" s="1718"/>
      <c r="GH274" s="1406"/>
      <c r="GI274" s="1718"/>
      <c r="GJ274" s="1406"/>
      <c r="GK274" s="1718"/>
      <c r="GL274" s="1406"/>
      <c r="GM274" s="1718"/>
      <c r="GN274" s="1406"/>
      <c r="GO274" s="1718"/>
      <c r="GP274" s="1406"/>
      <c r="GQ274" s="1718"/>
      <c r="GR274" s="1406"/>
      <c r="GS274" s="1718"/>
      <c r="GT274" s="1406"/>
      <c r="GU274" s="1718"/>
      <c r="GV274" s="1406"/>
      <c r="GW274" s="1718"/>
      <c r="GX274" s="1406"/>
      <c r="GY274" s="1718"/>
      <c r="GZ274" s="1406"/>
      <c r="HA274" s="1718"/>
      <c r="HB274" s="1406"/>
      <c r="HC274" s="1718"/>
      <c r="HD274" s="1406"/>
      <c r="HE274" s="1718"/>
      <c r="HF274" s="2017"/>
      <c r="HG274" s="2035"/>
      <c r="HH274" s="1406"/>
      <c r="HI274" s="1718"/>
      <c r="HJ274" s="1406"/>
      <c r="HK274" s="1718"/>
      <c r="HL274" s="1406"/>
      <c r="HM274" s="1718"/>
      <c r="HN274" s="1406"/>
      <c r="HO274" s="1718"/>
      <c r="HP274" s="2017"/>
      <c r="HQ274" s="2035"/>
      <c r="HR274" s="1406"/>
      <c r="HS274" s="1718"/>
      <c r="HT274" s="2017"/>
      <c r="HU274" s="2035"/>
      <c r="HV274" s="2017"/>
      <c r="HW274" s="2035"/>
      <c r="HX274" s="2017"/>
      <c r="HY274" s="2035"/>
      <c r="HZ274" s="2017"/>
      <c r="IA274" s="2035"/>
      <c r="IB274" s="1406"/>
      <c r="IC274" s="1718"/>
      <c r="ID274" s="2017"/>
      <c r="IE274" s="2035"/>
      <c r="IF274" s="2017"/>
      <c r="IG274" s="2035"/>
    </row>
    <row r="275" spans="1:241" ht="16.2" thickBot="1">
      <c r="A275" s="1149"/>
      <c r="B275" s="1149"/>
      <c r="C275" s="1149"/>
      <c r="D275" s="1149"/>
      <c r="E275" s="1143"/>
      <c r="F275" s="1731">
        <f>SUM(F268:F273)</f>
        <v>0</v>
      </c>
      <c r="G275" s="1716" t="e">
        <f>F275/F$275</f>
        <v>#DIV/0!</v>
      </c>
      <c r="H275" s="1731">
        <f>SUM(H268:H273)</f>
        <v>2978076</v>
      </c>
      <c r="I275" s="1716">
        <f>H275/H$275</f>
        <v>1</v>
      </c>
      <c r="J275" s="1731">
        <f>SUM(J268:J273)</f>
        <v>1983187</v>
      </c>
      <c r="K275" s="1716">
        <f>J275/J$275</f>
        <v>1</v>
      </c>
      <c r="L275" s="1731">
        <f>SUM(L268:L273)</f>
        <v>0</v>
      </c>
      <c r="M275" s="1716" t="e">
        <f>L275/L$275</f>
        <v>#DIV/0!</v>
      </c>
      <c r="N275" s="1731">
        <f>SUM(N268:N273)</f>
        <v>2048995</v>
      </c>
      <c r="O275" s="1716">
        <f>N275/N$275</f>
        <v>1</v>
      </c>
      <c r="P275" s="1731">
        <f>SUM(P268:P273)</f>
        <v>0</v>
      </c>
      <c r="Q275" s="1716" t="e">
        <f>P275/P$275</f>
        <v>#DIV/0!</v>
      </c>
      <c r="R275" s="1731">
        <f>SUM(R268:R273)</f>
        <v>0</v>
      </c>
      <c r="S275" s="1716" t="e">
        <f>R275/R$275</f>
        <v>#DIV/0!</v>
      </c>
      <c r="T275" s="1731">
        <f>SUM(T268:T273)</f>
        <v>0</v>
      </c>
      <c r="U275" s="1716" t="e">
        <f>T275/T$275</f>
        <v>#DIV/0!</v>
      </c>
      <c r="V275" s="1731">
        <f>SUM(V268:V273)</f>
        <v>1400143</v>
      </c>
      <c r="W275" s="1716">
        <f>V275/V$275</f>
        <v>1</v>
      </c>
      <c r="X275" s="1731">
        <f>SUM(X268:X273)</f>
        <v>2678351</v>
      </c>
      <c r="Y275" s="1716">
        <f>X275/X$275</f>
        <v>1</v>
      </c>
      <c r="Z275" s="1731">
        <f>SUM(Z268:Z273)</f>
        <v>0</v>
      </c>
      <c r="AA275" s="1716" t="e">
        <f>Z275/Z$275</f>
        <v>#DIV/0!</v>
      </c>
      <c r="AB275" s="1731">
        <f>SUM(AB268:AB273)</f>
        <v>0</v>
      </c>
      <c r="AC275" s="1716" t="e">
        <f>AB275/AB$275</f>
        <v>#DIV/0!</v>
      </c>
      <c r="AD275" s="1731">
        <f>SUM(AD268:AD273)</f>
        <v>0</v>
      </c>
      <c r="AE275" s="1716" t="e">
        <f>AD275/AD$275</f>
        <v>#DIV/0!</v>
      </c>
      <c r="AF275" s="1731">
        <f>SUM(AF268:AF273)</f>
        <v>2131986</v>
      </c>
      <c r="AG275" s="1716">
        <f>AF275/AF$275</f>
        <v>1</v>
      </c>
      <c r="AH275" s="1731">
        <f>SUM(AH268:AH273)</f>
        <v>0</v>
      </c>
      <c r="AI275" s="1716" t="e">
        <f>AH275/AH$275</f>
        <v>#DIV/0!</v>
      </c>
      <c r="AJ275" s="1731">
        <f>SUM(AJ268:AJ273)</f>
        <v>1730716</v>
      </c>
      <c r="AK275" s="1716">
        <f>AJ275/AJ$275</f>
        <v>1</v>
      </c>
      <c r="AL275" s="1731">
        <f>SUM(AL268:AL273)</f>
        <v>0</v>
      </c>
      <c r="AM275" s="1716" t="e">
        <f>AL275/AL$275</f>
        <v>#DIV/0!</v>
      </c>
      <c r="AN275" s="1731">
        <f>SUM(AN268:AN273)</f>
        <v>2112917</v>
      </c>
      <c r="AO275" s="1716">
        <f>AN275/AN$275</f>
        <v>1</v>
      </c>
      <c r="AP275" s="1731">
        <f>SUM(AP268:AP273)</f>
        <v>0</v>
      </c>
      <c r="AQ275" s="1716" t="e">
        <f>AP275/AP$275</f>
        <v>#DIV/0!</v>
      </c>
      <c r="AR275" s="1731">
        <f>SUM(AR268:AR273)</f>
        <v>2708028</v>
      </c>
      <c r="AS275" s="1716">
        <f>AR275/AR$275</f>
        <v>1</v>
      </c>
      <c r="AT275" s="1731">
        <f>SUM(AT268:AT273)</f>
        <v>0</v>
      </c>
      <c r="AU275" s="1716" t="e">
        <f>AT275/AT$275</f>
        <v>#DIV/0!</v>
      </c>
      <c r="AV275" s="1731">
        <f>SUM(AV268:AV273)</f>
        <v>4180170</v>
      </c>
      <c r="AW275" s="1716">
        <f>AV275/AV$275</f>
        <v>1</v>
      </c>
      <c r="AX275" s="1731">
        <f>SUM(AX268:AX273)</f>
        <v>0</v>
      </c>
      <c r="AY275" s="1716" t="e">
        <f>AX275/AX$275</f>
        <v>#DIV/0!</v>
      </c>
      <c r="AZ275" s="1731">
        <f>SUM(AZ268:AZ273)</f>
        <v>1234588</v>
      </c>
      <c r="BA275" s="1716">
        <f>AZ275/AZ$275</f>
        <v>1</v>
      </c>
      <c r="BB275" s="1731">
        <f>SUM(BB268:BB273)</f>
        <v>0</v>
      </c>
      <c r="BC275" s="1716" t="e">
        <f>BB275/BB$275</f>
        <v>#DIV/0!</v>
      </c>
      <c r="BD275" s="1731">
        <f>SUM(BD268:BD273)</f>
        <v>0</v>
      </c>
      <c r="BE275" s="1716" t="e">
        <f>BD275/BD$275</f>
        <v>#DIV/0!</v>
      </c>
      <c r="BF275" s="1731">
        <f>SUM(BF268:BF273)</f>
        <v>1909968</v>
      </c>
      <c r="BG275" s="1716">
        <f>BF275/BF$275</f>
        <v>1</v>
      </c>
      <c r="BH275" s="1731">
        <f>SUM(BH268:BH273)</f>
        <v>0</v>
      </c>
      <c r="BI275" s="1716" t="e">
        <f>BH275/BH$275</f>
        <v>#DIV/0!</v>
      </c>
      <c r="BJ275" s="1731">
        <f>SUM(BJ268:BJ273)</f>
        <v>0</v>
      </c>
      <c r="BK275" s="1716" t="e">
        <f>BJ275/BJ$275</f>
        <v>#DIV/0!</v>
      </c>
      <c r="BL275" s="1731">
        <f>SUM(BL268:BL273)</f>
        <v>0</v>
      </c>
      <c r="BM275" s="1716" t="e">
        <f>BL275/BL$275</f>
        <v>#DIV/0!</v>
      </c>
      <c r="BN275" s="1731">
        <f>SUM(BN268:BN273)</f>
        <v>2613236</v>
      </c>
      <c r="BO275" s="1716">
        <f>BN275/BN$275</f>
        <v>1</v>
      </c>
      <c r="BP275" s="1731">
        <f>SUM(BP268:BP273)</f>
        <v>0</v>
      </c>
      <c r="BQ275" s="1716" t="e">
        <f>BP275/BP$275</f>
        <v>#DIV/0!</v>
      </c>
      <c r="BR275" s="1731">
        <f>SUM(BR268:BR273)</f>
        <v>3805191</v>
      </c>
      <c r="BS275" s="1716">
        <f>BR275/BR$275</f>
        <v>1</v>
      </c>
      <c r="BT275" s="1731">
        <f>SUM(BT268:BT273)</f>
        <v>845578</v>
      </c>
      <c r="BU275" s="1716">
        <f>BT275/BT$275</f>
        <v>1</v>
      </c>
      <c r="BV275" s="1731">
        <f>SUM(BV268:BV273)</f>
        <v>1512438</v>
      </c>
      <c r="BW275" s="1716">
        <f>BV275/BV$275</f>
        <v>1</v>
      </c>
      <c r="BX275" s="1731">
        <f>SUM(BX268:BX273)</f>
        <v>0</v>
      </c>
      <c r="BY275" s="1716" t="e">
        <f>BX275/BX$275</f>
        <v>#DIV/0!</v>
      </c>
      <c r="BZ275" s="1731">
        <f>SUM(BZ268:BZ273)</f>
        <v>0</v>
      </c>
      <c r="CA275" s="1716" t="e">
        <f>BZ275/BZ$275</f>
        <v>#DIV/0!</v>
      </c>
      <c r="CB275" s="1731">
        <f>SUM(CB268:CB273)</f>
        <v>2026746</v>
      </c>
      <c r="CC275" s="1716">
        <f>CB275/CB$275</f>
        <v>1</v>
      </c>
      <c r="CD275" s="1731">
        <f>SUM(CD268:CD273)</f>
        <v>0</v>
      </c>
      <c r="CE275" s="1716" t="e">
        <f>CD275/CD$275</f>
        <v>#DIV/0!</v>
      </c>
      <c r="CF275" s="1731">
        <v>2118386</v>
      </c>
      <c r="CG275" s="1716">
        <v>1</v>
      </c>
      <c r="CH275" s="1731">
        <v>2178008</v>
      </c>
      <c r="CI275" s="1716">
        <v>1</v>
      </c>
      <c r="CJ275" s="1731">
        <v>0</v>
      </c>
      <c r="CK275" s="1716" t="e">
        <v>#DIV/0!</v>
      </c>
      <c r="CL275" s="1731">
        <v>0</v>
      </c>
      <c r="CM275" s="1716" t="e">
        <v>#DIV/0!</v>
      </c>
      <c r="CN275" s="1731">
        <f>SUM(CN268:CN273)</f>
        <v>0</v>
      </c>
      <c r="CO275" s="1716" t="e">
        <f>CN275/CN$275</f>
        <v>#DIV/0!</v>
      </c>
      <c r="CP275" s="1731">
        <f>SUM(CP268:CP273)</f>
        <v>0</v>
      </c>
      <c r="CQ275" s="1716" t="e">
        <f>CP275/CP$275</f>
        <v>#DIV/0!</v>
      </c>
      <c r="CR275" s="1731">
        <v>2696770</v>
      </c>
      <c r="CS275" s="1716">
        <v>1</v>
      </c>
      <c r="CT275" s="1731">
        <f>SUM(CT268:CT273)</f>
        <v>1795075</v>
      </c>
      <c r="CU275" s="1716">
        <f>CT275/CT$275</f>
        <v>1</v>
      </c>
      <c r="CV275" s="1731">
        <f>SUM(CV268:CV273)</f>
        <v>0</v>
      </c>
      <c r="CW275" s="1716" t="e">
        <f>CV275/CV$275</f>
        <v>#DIV/0!</v>
      </c>
      <c r="CX275" s="1731">
        <v>0</v>
      </c>
      <c r="CY275" s="1716" t="e">
        <f>CX275/CX$275</f>
        <v>#DIV/0!</v>
      </c>
      <c r="CZ275" s="1731">
        <v>2055025</v>
      </c>
      <c r="DA275" s="1716">
        <v>1</v>
      </c>
      <c r="DB275" s="1731">
        <v>1649074</v>
      </c>
      <c r="DC275" s="1716">
        <v>1</v>
      </c>
      <c r="DD275" s="1731">
        <v>2069025</v>
      </c>
      <c r="DE275" s="1716">
        <v>1</v>
      </c>
      <c r="DF275" s="1731">
        <v>0</v>
      </c>
      <c r="DG275" s="1716" t="e">
        <v>#DIV/0!</v>
      </c>
      <c r="DH275" s="1731">
        <v>0</v>
      </c>
      <c r="DI275" s="1716" t="e">
        <v>#DIV/0!</v>
      </c>
      <c r="DJ275" s="1731">
        <v>1679104</v>
      </c>
      <c r="DK275" s="1716">
        <v>1</v>
      </c>
      <c r="DL275" s="1731">
        <v>0</v>
      </c>
      <c r="DM275" s="1716" t="e">
        <v>#DIV/0!</v>
      </c>
      <c r="DN275" s="1731">
        <f>SUM(DN268:DN273)</f>
        <v>2744084</v>
      </c>
      <c r="DO275" s="1716">
        <f>DN275/DN$275</f>
        <v>1</v>
      </c>
      <c r="DP275" s="1731">
        <f>SUM(DP268:DP273)</f>
        <v>2644059</v>
      </c>
      <c r="DQ275" s="1716">
        <f>DP275/DP$275</f>
        <v>1</v>
      </c>
      <c r="DR275" s="1731">
        <f>SUM(DR268:DR273)</f>
        <v>0</v>
      </c>
      <c r="DS275" s="1716" t="e">
        <f>DR275/DR$275</f>
        <v>#DIV/0!</v>
      </c>
      <c r="DT275" s="1731">
        <f>SUM(DT268:DT273)</f>
        <v>0</v>
      </c>
      <c r="DU275" s="1716" t="e">
        <f>DT275/DT$275</f>
        <v>#DIV/0!</v>
      </c>
      <c r="DV275" s="1731">
        <f>SUM(DV268:DV273)</f>
        <v>2494165</v>
      </c>
      <c r="DW275" s="1716">
        <f>DV275/DV$275</f>
        <v>1</v>
      </c>
      <c r="DX275" s="1731">
        <f>SUM(DX268:DX273)</f>
        <v>2508956.7999999998</v>
      </c>
      <c r="DY275" s="1716">
        <f>DX275/DX$275</f>
        <v>1</v>
      </c>
      <c r="DZ275" s="1731">
        <f>SUM(DZ268:DZ273)</f>
        <v>0</v>
      </c>
      <c r="EA275" s="1716" t="e">
        <f>DZ275/DZ$275</f>
        <v>#DIV/0!</v>
      </c>
      <c r="EB275" s="1731">
        <f>SUM(EB268:EB273)</f>
        <v>1829204</v>
      </c>
      <c r="EC275" s="1716">
        <f>EB275/EB$275</f>
        <v>1</v>
      </c>
      <c r="ED275" s="1731">
        <f>SUM(ED268:ED273)</f>
        <v>2943471</v>
      </c>
      <c r="EE275" s="1716">
        <f>ED275/ED$275</f>
        <v>1</v>
      </c>
      <c r="EF275" s="1731">
        <f>SUM(EF268:EF273)</f>
        <v>2342186</v>
      </c>
      <c r="EG275" s="1716">
        <f>EF275/EF$275</f>
        <v>1</v>
      </c>
      <c r="EH275" s="1731">
        <f>SUM(EH268:EH273)</f>
        <v>2350415</v>
      </c>
      <c r="EI275" s="1716">
        <f>EH275/EH$275</f>
        <v>1</v>
      </c>
      <c r="EJ275" s="1731">
        <f>SUM(EJ268:EJ273)</f>
        <v>2273750</v>
      </c>
      <c r="EK275" s="1716">
        <f>EJ275/EJ$275</f>
        <v>1</v>
      </c>
      <c r="EL275" s="1731">
        <f>SUM(EL268:EL273)</f>
        <v>0</v>
      </c>
      <c r="EM275" s="1716" t="e">
        <f>EL275/EL$275</f>
        <v>#DIV/0!</v>
      </c>
      <c r="EN275" s="1731">
        <f>SUM(EN268:EN273)</f>
        <v>0</v>
      </c>
      <c r="EO275" s="1716" t="e">
        <f>EN275/EN$275</f>
        <v>#DIV/0!</v>
      </c>
      <c r="EP275" s="1731">
        <f>SUM(EP268:EP273)</f>
        <v>0</v>
      </c>
      <c r="EQ275" s="1716" t="e">
        <f>EP275/EP$275</f>
        <v>#DIV/0!</v>
      </c>
      <c r="ER275" s="1731">
        <f>SUM(ER268:ER273)</f>
        <v>2118073</v>
      </c>
      <c r="ES275" s="1716">
        <f>ER275/ER$275</f>
        <v>1</v>
      </c>
      <c r="ET275" s="1731">
        <f>SUM(ET268:ET273)</f>
        <v>0</v>
      </c>
      <c r="EU275" s="1716" t="e">
        <f>ET275/ET$275</f>
        <v>#DIV/0!</v>
      </c>
      <c r="EV275" s="1731">
        <f>SUM(EV268:EV273)</f>
        <v>1806135</v>
      </c>
      <c r="EW275" s="1716">
        <f>EV275/EV$275</f>
        <v>1</v>
      </c>
      <c r="EX275" s="1731">
        <f>SUM(EX268:EX273)</f>
        <v>2070503</v>
      </c>
      <c r="EY275" s="1716">
        <f>EX275/EX$275</f>
        <v>1</v>
      </c>
      <c r="EZ275" s="1731">
        <f>SUM(EZ268:EZ273)</f>
        <v>0</v>
      </c>
      <c r="FA275" s="1716" t="e">
        <f>EZ275/EZ$275</f>
        <v>#DIV/0!</v>
      </c>
      <c r="FB275" s="1731">
        <f>SUM(FB268:FB273)</f>
        <v>0</v>
      </c>
      <c r="FC275" s="1716" t="e">
        <f>FB275/FB$275</f>
        <v>#DIV/0!</v>
      </c>
      <c r="FD275" s="1731">
        <f>SUM(FD268:FD273)</f>
        <v>0</v>
      </c>
      <c r="FE275" s="1716" t="e">
        <f>FD275/FD$275</f>
        <v>#DIV/0!</v>
      </c>
      <c r="FF275" s="1731">
        <f>SUM(FF268:FF273)</f>
        <v>0</v>
      </c>
      <c r="FG275" s="1716" t="e">
        <f>FF275/FF$275</f>
        <v>#DIV/0!</v>
      </c>
      <c r="FH275" s="1731">
        <f>SUM(FH268:FH273)</f>
        <v>2931335</v>
      </c>
      <c r="FI275" s="1716">
        <f>FH275/FH$275</f>
        <v>1</v>
      </c>
      <c r="FJ275" s="1731">
        <f>SUM(FJ268:FJ273)</f>
        <v>1710599</v>
      </c>
      <c r="FK275" s="1716">
        <f>FJ275/FJ$275</f>
        <v>1</v>
      </c>
      <c r="FL275" s="1731">
        <f>SUM(FL268:FL273)</f>
        <v>1672772</v>
      </c>
      <c r="FM275" s="1716">
        <f>FL275/FL$275</f>
        <v>1</v>
      </c>
      <c r="FN275" s="1731">
        <f>SUM(FN268:FN273)</f>
        <v>2589521</v>
      </c>
      <c r="FO275" s="1716">
        <f>FN275/FN$275</f>
        <v>1</v>
      </c>
      <c r="FP275" s="1731">
        <f>SUM(FP268:FP273)</f>
        <v>1715249</v>
      </c>
      <c r="FQ275" s="1716">
        <f>FP275/FP$275</f>
        <v>1</v>
      </c>
      <c r="FR275" s="1731">
        <f>SUM(FR268:FR273)</f>
        <v>0</v>
      </c>
      <c r="FS275" s="1716" t="e">
        <f>FR275/FR$275</f>
        <v>#DIV/0!</v>
      </c>
      <c r="FT275" s="1731">
        <f>SUM(FT268:FT273)</f>
        <v>0</v>
      </c>
      <c r="FU275" s="1716" t="e">
        <f>FT275/FT$275</f>
        <v>#DIV/0!</v>
      </c>
      <c r="FV275" s="1731">
        <f>SUM(FV268:FV273)</f>
        <v>0</v>
      </c>
      <c r="FW275" s="1716" t="e">
        <f>FV275/FV$275</f>
        <v>#DIV/0!</v>
      </c>
      <c r="FX275" s="1731">
        <f>SUM(FX268:FX273)</f>
        <v>1639989</v>
      </c>
      <c r="FY275" s="1716">
        <f>FX275/FX$275</f>
        <v>1</v>
      </c>
      <c r="FZ275" s="1731">
        <f>SUM(FZ268:FZ273)</f>
        <v>1728455</v>
      </c>
      <c r="GA275" s="1716">
        <f>FZ275/FZ$275</f>
        <v>1</v>
      </c>
      <c r="GB275" s="1731">
        <f>SUM(GB268:GB273)</f>
        <v>2451008</v>
      </c>
      <c r="GC275" s="1716">
        <f>GB275/GB$275</f>
        <v>1</v>
      </c>
      <c r="GD275" s="1731">
        <f>SUM(GD268:GD273)</f>
        <v>0</v>
      </c>
      <c r="GE275" s="1716" t="e">
        <f>GD275/GD$275</f>
        <v>#DIV/0!</v>
      </c>
      <c r="GF275" s="1731">
        <f>SUM(GF268:GF273)</f>
        <v>0</v>
      </c>
      <c r="GG275" s="1716" t="e">
        <f>GF275/GF$275</f>
        <v>#DIV/0!</v>
      </c>
      <c r="GH275" s="1731">
        <f>SUM(GH268:GH273)</f>
        <v>727785</v>
      </c>
      <c r="GI275" s="1716">
        <f>GH275/GH$275</f>
        <v>1</v>
      </c>
      <c r="GJ275" s="1731">
        <f>SUM(GJ268:GJ273)</f>
        <v>0</v>
      </c>
      <c r="GK275" s="1716" t="e">
        <f>GJ275/GJ$275</f>
        <v>#DIV/0!</v>
      </c>
      <c r="GL275" s="1731">
        <f>SUM(GL268:GL273)</f>
        <v>1939492</v>
      </c>
      <c r="GM275" s="1716">
        <f>GL275/GL$275</f>
        <v>1</v>
      </c>
      <c r="GN275" s="1731">
        <f>SUM(GN268:GN273)</f>
        <v>1723957</v>
      </c>
      <c r="GO275" s="1716">
        <f>GN275/GN$275</f>
        <v>1</v>
      </c>
      <c r="GP275" s="1731">
        <f>SUM(GP268:GP273)</f>
        <v>1818033</v>
      </c>
      <c r="GQ275" s="1716">
        <f>GP275/GP$275</f>
        <v>1</v>
      </c>
      <c r="GR275" s="1731">
        <f>SUM(GR268:GR273)</f>
        <v>1922063</v>
      </c>
      <c r="GS275" s="1716">
        <f>GR275/GR$275</f>
        <v>1</v>
      </c>
      <c r="GT275" s="1731">
        <f>SUM(GT268:GT273)</f>
        <v>1511809</v>
      </c>
      <c r="GU275" s="1716">
        <f>GT275/GT$275</f>
        <v>1</v>
      </c>
      <c r="GV275" s="1731">
        <f>SUM(GV268:GV273)</f>
        <v>2115829</v>
      </c>
      <c r="GW275" s="1716">
        <f>GV275/GV$275</f>
        <v>1</v>
      </c>
      <c r="GX275" s="1731">
        <f>SUM(GX268:GX273)</f>
        <v>1769650</v>
      </c>
      <c r="GY275" s="1716">
        <f>GX275/GX$275</f>
        <v>1</v>
      </c>
      <c r="GZ275" s="1731">
        <f>SUM(GZ268:GZ273)</f>
        <v>0</v>
      </c>
      <c r="HA275" s="1716" t="e">
        <f>GZ275/GZ$275</f>
        <v>#DIV/0!</v>
      </c>
      <c r="HB275" s="1731">
        <f>SUM(HB268:HB273)</f>
        <v>1792120</v>
      </c>
      <c r="HC275" s="1716">
        <f>HB275/HB$275</f>
        <v>1</v>
      </c>
      <c r="HD275" s="1731">
        <f>SUM(HD268:HD273)</f>
        <v>2235050</v>
      </c>
      <c r="HE275" s="1716">
        <f>HD275/HD$275</f>
        <v>1</v>
      </c>
      <c r="HF275" s="2052">
        <f>SUM(HF268:HF273)</f>
        <v>0</v>
      </c>
      <c r="HG275" s="2033" t="e">
        <f>HF275/HF$275</f>
        <v>#DIV/0!</v>
      </c>
      <c r="HH275" s="1731">
        <f>SUM(HH268:HH273)</f>
        <v>0</v>
      </c>
      <c r="HI275" s="1716" t="e">
        <f>HH275/HH$275</f>
        <v>#DIV/0!</v>
      </c>
      <c r="HJ275" s="1731">
        <f>SUM(HJ268:HJ273)</f>
        <v>2397903</v>
      </c>
      <c r="HK275" s="1716">
        <f>HJ275/HJ$275</f>
        <v>1</v>
      </c>
      <c r="HL275" s="1731">
        <f>SUM(HL268:HL273)</f>
        <v>0</v>
      </c>
      <c r="HM275" s="1716" t="e">
        <f>HL275/HL$275</f>
        <v>#DIV/0!</v>
      </c>
      <c r="HN275" s="1731">
        <f>SUM(HN268:HN273)</f>
        <v>2279523</v>
      </c>
      <c r="HO275" s="1716">
        <f>HN275/HN$275</f>
        <v>1</v>
      </c>
      <c r="HP275" s="2052">
        <f>SUM(HP268:HP273)</f>
        <v>0</v>
      </c>
      <c r="HQ275" s="2033" t="e">
        <f>HP275/HP$275</f>
        <v>#DIV/0!</v>
      </c>
      <c r="HR275" s="1731">
        <f>SUM(HR268:HR273)</f>
        <v>0</v>
      </c>
      <c r="HS275" s="1716" t="e">
        <f>HR275/HR$275</f>
        <v>#DIV/0!</v>
      </c>
      <c r="HT275" s="2052">
        <f>SUM(HT268:HT273)</f>
        <v>0</v>
      </c>
      <c r="HU275" s="2033" t="e">
        <f>HT275/HT$275</f>
        <v>#DIV/0!</v>
      </c>
      <c r="HV275" s="2052">
        <f>SUM(HV268:HV273)</f>
        <v>2260680</v>
      </c>
      <c r="HW275" s="2033">
        <f>HV275/HV$275</f>
        <v>1</v>
      </c>
      <c r="HX275" s="2052">
        <f>SUM(HX268:HX273)</f>
        <v>1768260</v>
      </c>
      <c r="HY275" s="2033">
        <f>HX275/HX$275</f>
        <v>1</v>
      </c>
      <c r="HZ275" s="2052">
        <f>SUM(HZ268:HZ273)</f>
        <v>0</v>
      </c>
      <c r="IA275" s="2033" t="e">
        <f>HZ275/HZ$275</f>
        <v>#DIV/0!</v>
      </c>
      <c r="IB275" s="1731">
        <f>SUM(IB268:IB273)</f>
        <v>2264710</v>
      </c>
      <c r="IC275" s="1716">
        <f>IB275/IB$275</f>
        <v>1</v>
      </c>
      <c r="ID275" s="2052">
        <f>SUM(ID268:ID273)</f>
        <v>2098580</v>
      </c>
      <c r="IE275" s="2033">
        <f>ID275/ID$275</f>
        <v>1</v>
      </c>
      <c r="IF275" s="2052">
        <f>SUM(IF268:IF273)</f>
        <v>1485727</v>
      </c>
      <c r="IG275" s="2033">
        <f>IF275/IF$275</f>
        <v>1</v>
      </c>
    </row>
    <row r="276" spans="1:241" ht="16.2" thickTop="1">
      <c r="A276" s="1149"/>
      <c r="B276" s="1149"/>
      <c r="C276" s="1149"/>
      <c r="D276" s="1149"/>
      <c r="E276" s="1143"/>
      <c r="F276" s="1406"/>
      <c r="G276" s="1356"/>
      <c r="H276" s="1406"/>
      <c r="I276" s="1356"/>
      <c r="J276" s="1406"/>
      <c r="K276" s="1356"/>
      <c r="L276" s="1406"/>
      <c r="M276" s="1356"/>
      <c r="N276" s="1406"/>
      <c r="O276" s="1356"/>
      <c r="P276" s="1406"/>
      <c r="Q276" s="1356"/>
      <c r="T276" s="1406"/>
      <c r="U276" s="1356"/>
      <c r="V276" s="1406"/>
      <c r="W276" s="1356"/>
      <c r="X276" s="1406"/>
      <c r="Y276" s="1356"/>
      <c r="Z276" s="1406"/>
      <c r="AA276" s="1356"/>
      <c r="AB276" s="1406"/>
      <c r="AC276" s="1356"/>
      <c r="AD276" s="1406"/>
      <c r="AE276" s="1356"/>
      <c r="AF276" s="1406"/>
      <c r="AG276" s="1356"/>
      <c r="AH276" s="1406"/>
      <c r="AI276" s="1356"/>
      <c r="AJ276" s="1406"/>
      <c r="AK276" s="1356"/>
      <c r="AL276" s="1406"/>
      <c r="AM276" s="1356"/>
      <c r="AN276" s="1406"/>
      <c r="AO276" s="1356"/>
      <c r="AP276" s="1406"/>
      <c r="AQ276" s="1356"/>
      <c r="AR276" s="1406"/>
      <c r="AS276" s="1356"/>
      <c r="AT276" s="1406"/>
      <c r="AU276" s="1356"/>
      <c r="AV276" s="1406"/>
      <c r="AW276" s="1356"/>
      <c r="AX276" s="1406"/>
      <c r="AY276" s="1356"/>
      <c r="AZ276" s="1406"/>
      <c r="BA276" s="1356"/>
      <c r="BB276" s="1406"/>
      <c r="BC276" s="1356"/>
      <c r="BD276" s="1406"/>
      <c r="BE276" s="1356"/>
      <c r="BF276" s="1406"/>
      <c r="BG276" s="1356"/>
      <c r="BH276" s="1406"/>
      <c r="BI276" s="1356"/>
      <c r="BJ276" s="1406"/>
      <c r="BK276" s="1356"/>
      <c r="BL276" s="1406"/>
      <c r="BM276" s="1356"/>
      <c r="BN276" s="1406"/>
      <c r="BO276" s="1356"/>
      <c r="BP276" s="1406"/>
      <c r="BQ276" s="1356"/>
      <c r="BR276" s="1406"/>
      <c r="BS276" s="1356"/>
      <c r="BT276" s="1406"/>
      <c r="BU276" s="1356"/>
      <c r="BV276" s="1406"/>
      <c r="BW276" s="1356"/>
      <c r="BX276" s="1406"/>
      <c r="BY276" s="1356"/>
      <c r="BZ276" s="1406"/>
      <c r="CA276" s="1356"/>
      <c r="CB276" s="1406"/>
      <c r="CC276" s="1356"/>
      <c r="CD276" s="1406"/>
      <c r="CE276" s="1356"/>
      <c r="CF276" s="1406"/>
      <c r="CG276" s="1356"/>
      <c r="CH276" s="1406"/>
      <c r="CI276" s="1356"/>
      <c r="CJ276" s="1406"/>
      <c r="CK276" s="1356"/>
      <c r="CL276" s="1406"/>
      <c r="CM276" s="1356"/>
      <c r="CN276" s="1406"/>
      <c r="CO276" s="1356"/>
      <c r="CP276" s="1406"/>
      <c r="CQ276" s="1356"/>
      <c r="CR276" s="1406"/>
      <c r="CS276" s="1356"/>
      <c r="CT276" s="1406"/>
      <c r="CU276" s="1356"/>
      <c r="CV276" s="1406"/>
      <c r="CW276" s="1356"/>
      <c r="CX276" s="1406"/>
      <c r="CY276" s="1356"/>
      <c r="CZ276" s="1406"/>
      <c r="DA276" s="1356"/>
      <c r="DB276" s="1406"/>
      <c r="DC276" s="1356"/>
      <c r="DD276" s="1406"/>
      <c r="DE276" s="1356"/>
      <c r="DF276" s="1406"/>
      <c r="DG276" s="1356"/>
      <c r="DH276" s="1406"/>
      <c r="DI276" s="1356"/>
      <c r="DJ276" s="1406"/>
      <c r="DK276" s="1356"/>
      <c r="DL276" s="1406"/>
      <c r="DM276" s="1356"/>
      <c r="DN276" s="1406"/>
      <c r="DO276" s="1356"/>
      <c r="DP276" s="1406"/>
      <c r="DQ276" s="1356"/>
      <c r="DR276" s="1406"/>
      <c r="DS276" s="1356"/>
      <c r="DT276" s="1406"/>
      <c r="DU276" s="1356"/>
      <c r="DV276" s="1406"/>
      <c r="DW276" s="1356"/>
      <c r="DX276" s="1406"/>
      <c r="DY276" s="1356"/>
      <c r="DZ276" s="1406"/>
      <c r="EA276" s="1356"/>
      <c r="EB276" s="1406"/>
      <c r="EC276" s="1356"/>
      <c r="ED276" s="1406"/>
      <c r="EE276" s="1356"/>
      <c r="EF276" s="1406"/>
      <c r="EG276" s="1356"/>
      <c r="EH276" s="1406"/>
      <c r="EI276" s="1356"/>
      <c r="EJ276" s="1406"/>
      <c r="EK276" s="1356"/>
      <c r="EL276" s="1406"/>
      <c r="EM276" s="1356"/>
      <c r="EN276" s="1406"/>
      <c r="EO276" s="1356"/>
      <c r="EP276" s="1406"/>
      <c r="EQ276" s="1356"/>
      <c r="ER276" s="1406"/>
      <c r="ES276" s="1356"/>
      <c r="ET276" s="1406"/>
      <c r="EU276" s="1356"/>
      <c r="EV276" s="1406"/>
      <c r="EW276" s="1356"/>
      <c r="EX276" s="1406"/>
      <c r="EY276" s="1356"/>
      <c r="EZ276" s="1406"/>
      <c r="FA276" s="1356"/>
      <c r="FB276" s="1406"/>
      <c r="FC276" s="1356"/>
      <c r="FD276" s="1406"/>
      <c r="FE276" s="1356"/>
      <c r="FF276" s="1406"/>
      <c r="FG276" s="1356"/>
      <c r="FH276" s="1406"/>
      <c r="FI276" s="1356"/>
      <c r="FJ276" s="1406"/>
      <c r="FK276" s="1356"/>
      <c r="FL276" s="1406"/>
      <c r="FM276" s="1356"/>
      <c r="FN276" s="1406"/>
      <c r="FO276" s="1356"/>
      <c r="FP276" s="1406"/>
      <c r="FQ276" s="1356"/>
      <c r="FR276" s="1406"/>
      <c r="FS276" s="1356"/>
      <c r="FT276" s="1406"/>
      <c r="FU276" s="1356"/>
      <c r="FV276" s="1406"/>
      <c r="FW276" s="1356"/>
      <c r="FX276" s="1406"/>
      <c r="FY276" s="1356"/>
      <c r="FZ276" s="1406"/>
      <c r="GA276" s="1356"/>
      <c r="GB276" s="1406"/>
      <c r="GC276" s="1356"/>
      <c r="GD276" s="1406"/>
      <c r="GE276" s="1356"/>
      <c r="GF276" s="1406"/>
      <c r="GG276" s="1356"/>
      <c r="GH276" s="1406"/>
      <c r="GI276" s="1356"/>
      <c r="GJ276" s="1406"/>
      <c r="GK276" s="1356"/>
      <c r="GL276" s="1406"/>
      <c r="GM276" s="1356"/>
      <c r="GN276" s="1406"/>
      <c r="GO276" s="1356"/>
      <c r="GP276" s="1406"/>
      <c r="GQ276" s="1356"/>
      <c r="GR276" s="1406"/>
      <c r="GS276" s="1356"/>
      <c r="GT276" s="1406"/>
      <c r="GU276" s="1356"/>
      <c r="GV276" s="1406"/>
      <c r="GW276" s="1356"/>
      <c r="GX276" s="1406"/>
      <c r="GY276" s="1356"/>
      <c r="GZ276" s="1406"/>
      <c r="HA276" s="1356"/>
      <c r="HB276" s="1406"/>
      <c r="HC276" s="1356"/>
      <c r="HD276" s="1406"/>
      <c r="HE276" s="1356"/>
      <c r="HH276" s="1406"/>
      <c r="HI276" s="1356"/>
      <c r="HJ276" s="1406"/>
      <c r="HK276" s="1356"/>
      <c r="HL276" s="1406"/>
      <c r="HM276" s="1356"/>
      <c r="HN276" s="1406"/>
      <c r="HO276" s="1356"/>
      <c r="HR276" s="1406"/>
      <c r="HS276" s="1356"/>
      <c r="IB276" s="1406"/>
      <c r="IC276" s="1356"/>
    </row>
    <row r="277" spans="1:241">
      <c r="A277" s="1149"/>
      <c r="B277" s="1149"/>
      <c r="C277" s="1149" t="s">
        <v>77</v>
      </c>
      <c r="D277" s="1149"/>
      <c r="E277" s="1143"/>
      <c r="F277" s="1702" t="e">
        <f>F275/F262</f>
        <v>#DIV/0!</v>
      </c>
      <c r="G277" s="1356"/>
      <c r="H277" s="1702">
        <f>H275/H262</f>
        <v>165448.66666666666</v>
      </c>
      <c r="I277" s="1356"/>
      <c r="J277" s="1702">
        <f>J275/J262</f>
        <v>110177.05555555556</v>
      </c>
      <c r="K277" s="1356"/>
      <c r="L277" s="1702" t="e">
        <f>L275/L262</f>
        <v>#DIV/0!</v>
      </c>
      <c r="M277" s="1356"/>
      <c r="N277" s="1702">
        <f>N275/N262</f>
        <v>113833.05555555556</v>
      </c>
      <c r="O277" s="1356"/>
      <c r="P277" s="1702" t="e">
        <f>P275/P262</f>
        <v>#DIV/0!</v>
      </c>
      <c r="Q277" s="1356"/>
      <c r="R277" s="1702" t="e">
        <f>R275/R262</f>
        <v>#DIV/0!</v>
      </c>
      <c r="T277" s="1702" t="e">
        <f>T275/T262</f>
        <v>#DIV/0!</v>
      </c>
      <c r="U277" s="1356"/>
      <c r="V277" s="1702">
        <f>V275/V262</f>
        <v>77785.722222222219</v>
      </c>
      <c r="W277" s="1356"/>
      <c r="X277" s="1702">
        <f>X275/X262</f>
        <v>148797.27777777778</v>
      </c>
      <c r="Y277" s="1356"/>
      <c r="Z277" s="1702" t="e">
        <f>Z275/Z262</f>
        <v>#DIV/0!</v>
      </c>
      <c r="AA277" s="1356"/>
      <c r="AB277" s="1702" t="e">
        <f>AB275/AB262</f>
        <v>#DIV/0!</v>
      </c>
      <c r="AC277" s="1356"/>
      <c r="AD277" s="1702" t="e">
        <f>AD275/AD262</f>
        <v>#DIV/0!</v>
      </c>
      <c r="AE277" s="1356"/>
      <c r="AF277" s="1702">
        <f>AF275/AF262</f>
        <v>118443.66666666667</v>
      </c>
      <c r="AG277" s="1356"/>
      <c r="AH277" s="1702" t="e">
        <f>AH275/AH262</f>
        <v>#DIV/0!</v>
      </c>
      <c r="AI277" s="1356"/>
      <c r="AJ277" s="1702">
        <f>AJ275/AJ262</f>
        <v>96150.888888888891</v>
      </c>
      <c r="AK277" s="1356"/>
      <c r="AL277" s="1702" t="e">
        <f>AL275/AL262</f>
        <v>#DIV/0!</v>
      </c>
      <c r="AM277" s="1356"/>
      <c r="AN277" s="1702">
        <f>AN275/AN262</f>
        <v>117384.27777777778</v>
      </c>
      <c r="AO277" s="1356"/>
      <c r="AP277" s="1702" t="e">
        <f>AP275/AP262</f>
        <v>#DIV/0!</v>
      </c>
      <c r="AQ277" s="1356"/>
      <c r="AR277" s="1702">
        <f>AR275/AR262</f>
        <v>150446</v>
      </c>
      <c r="AS277" s="1356"/>
      <c r="AT277" s="1702" t="e">
        <f>AT275/AT262</f>
        <v>#DIV/0!</v>
      </c>
      <c r="AU277" s="1356"/>
      <c r="AV277" s="1702">
        <f>AV275/AV262</f>
        <v>232231.66666666666</v>
      </c>
      <c r="AW277" s="1356"/>
      <c r="AX277" s="1702" t="e">
        <f>AX275/AX262</f>
        <v>#DIV/0!</v>
      </c>
      <c r="AY277" s="1356"/>
      <c r="AZ277" s="1702">
        <f>AZ275/AZ262</f>
        <v>68588.222222222219</v>
      </c>
      <c r="BA277" s="1356"/>
      <c r="BB277" s="1702" t="e">
        <f>BB275/BB262</f>
        <v>#DIV/0!</v>
      </c>
      <c r="BC277" s="1356"/>
      <c r="BD277" s="1702" t="e">
        <f>BD275/BD262</f>
        <v>#DIV/0!</v>
      </c>
      <c r="BE277" s="1356"/>
      <c r="BF277" s="1702">
        <f>BF275/BF262</f>
        <v>106109.33333333333</v>
      </c>
      <c r="BG277" s="1356"/>
      <c r="BH277" s="1702" t="e">
        <f>BH275/BH262</f>
        <v>#DIV/0!</v>
      </c>
      <c r="BI277" s="1356"/>
      <c r="BJ277" s="1702" t="e">
        <f>BJ275/BJ262</f>
        <v>#DIV/0!</v>
      </c>
      <c r="BK277" s="1356"/>
      <c r="BL277" s="1702" t="e">
        <f>BL275/BL262</f>
        <v>#DIV/0!</v>
      </c>
      <c r="BM277" s="1356"/>
      <c r="BN277" s="1702">
        <f>BN275/BN262</f>
        <v>145179.77777777778</v>
      </c>
      <c r="BO277" s="1356"/>
      <c r="BP277" s="1702" t="e">
        <f>BP275/BP262</f>
        <v>#DIV/0!</v>
      </c>
      <c r="BQ277" s="1356"/>
      <c r="BR277" s="1702">
        <f>BR275/BR262</f>
        <v>211399.5</v>
      </c>
      <c r="BS277" s="1356"/>
      <c r="BT277" s="1702">
        <f>BT275/BT262</f>
        <v>46976.555555555555</v>
      </c>
      <c r="BU277" s="1356"/>
      <c r="BV277" s="1702">
        <f>BV275/BV262</f>
        <v>84024.333333333328</v>
      </c>
      <c r="BW277" s="1356"/>
      <c r="BX277" s="1702" t="e">
        <f>BX275/BX262</f>
        <v>#DIV/0!</v>
      </c>
      <c r="BY277" s="1356"/>
      <c r="BZ277" s="1702" t="e">
        <f>BZ275/BZ262</f>
        <v>#DIV/0!</v>
      </c>
      <c r="CA277" s="1356"/>
      <c r="CB277" s="1702">
        <f>CB275/CB262</f>
        <v>112597</v>
      </c>
      <c r="CC277" s="1356"/>
      <c r="CD277" s="1702" t="e">
        <f>CD275/CD262</f>
        <v>#DIV/0!</v>
      </c>
      <c r="CE277" s="1356"/>
      <c r="CF277" s="1702">
        <v>117688.11111111111</v>
      </c>
      <c r="CG277" s="1356"/>
      <c r="CH277" s="1702">
        <v>121000.44444444444</v>
      </c>
      <c r="CI277" s="1356"/>
      <c r="CJ277" s="1702" t="e">
        <v>#DIV/0!</v>
      </c>
      <c r="CK277" s="1356"/>
      <c r="CL277" s="1702" t="e">
        <v>#DIV/0!</v>
      </c>
      <c r="CM277" s="1356"/>
      <c r="CN277" s="1702" t="e">
        <f>CN275/CN262</f>
        <v>#DIV/0!</v>
      </c>
      <c r="CO277" s="1356"/>
      <c r="CP277" s="1702" t="e">
        <f>CP275/CP262</f>
        <v>#DIV/0!</v>
      </c>
      <c r="CQ277" s="1356"/>
      <c r="CR277" s="1702">
        <v>149820.55555555556</v>
      </c>
      <c r="CS277" s="1356"/>
      <c r="CT277" s="1702">
        <f>CT275/CT262</f>
        <v>99726.388888888891</v>
      </c>
      <c r="CU277" s="1356"/>
      <c r="CV277" s="1702" t="e">
        <f>CV275/CV262</f>
        <v>#DIV/0!</v>
      </c>
      <c r="CW277" s="1356"/>
      <c r="CX277" s="1702" t="e">
        <v>#DIV/0!</v>
      </c>
      <c r="CY277" s="1356"/>
      <c r="CZ277" s="1702">
        <v>114168.05555555556</v>
      </c>
      <c r="DA277" s="1356"/>
      <c r="DB277" s="1702">
        <v>91615.222222222219</v>
      </c>
      <c r="DC277" s="1356"/>
      <c r="DD277" s="1702">
        <v>114945.83333333333</v>
      </c>
      <c r="DE277" s="1356"/>
      <c r="DF277" s="1702" t="e">
        <v>#DIV/0!</v>
      </c>
      <c r="DG277" s="1356"/>
      <c r="DH277" s="1702" t="e">
        <v>#DIV/0!</v>
      </c>
      <c r="DI277" s="1356"/>
      <c r="DJ277" s="1702">
        <f>DJ275/DJ262</f>
        <v>93283.555555555562</v>
      </c>
      <c r="DK277" s="1356"/>
      <c r="DL277" s="1702" t="e">
        <v>#DIV/0!</v>
      </c>
      <c r="DM277" s="1356"/>
      <c r="DN277" s="1702">
        <f>DN275/DN262</f>
        <v>152449.11111111112</v>
      </c>
      <c r="DO277" s="1356"/>
      <c r="DP277" s="1702">
        <f>DP275/DP262</f>
        <v>146892.16666666666</v>
      </c>
      <c r="DQ277" s="1356"/>
      <c r="DR277" s="1702" t="e">
        <f>DR275/DR262</f>
        <v>#DIV/0!</v>
      </c>
      <c r="DS277" s="1356"/>
      <c r="DT277" s="1702" t="e">
        <f>DT275/DT262</f>
        <v>#DIV/0!</v>
      </c>
      <c r="DU277" s="1356"/>
      <c r="DV277" s="1702">
        <f>DV275/DV262</f>
        <v>138564.72222222222</v>
      </c>
      <c r="DW277" s="1356"/>
      <c r="DX277" s="1702">
        <f>DX275/DX262</f>
        <v>139386.48888888888</v>
      </c>
      <c r="DY277" s="1356"/>
      <c r="DZ277" s="1702" t="e">
        <f>DZ275/DZ262</f>
        <v>#DIV/0!</v>
      </c>
      <c r="EA277" s="1356"/>
      <c r="EB277" s="1702">
        <f>EB275/EB262</f>
        <v>101622.44444444444</v>
      </c>
      <c r="EC277" s="1356"/>
      <c r="ED277" s="1702">
        <f>ED275/ED262</f>
        <v>163526.16666666666</v>
      </c>
      <c r="EE277" s="1356"/>
      <c r="EF277" s="1702">
        <f>EF275/EF262</f>
        <v>130121.44444444444</v>
      </c>
      <c r="EG277" s="1356"/>
      <c r="EH277" s="1702">
        <f>EH275/EH262</f>
        <v>130578.61111111111</v>
      </c>
      <c r="EI277" s="1356"/>
      <c r="EJ277" s="1702">
        <f>EJ275/EJ262</f>
        <v>126319.44444444444</v>
      </c>
      <c r="EK277" s="1356"/>
      <c r="EL277" s="1702" t="e">
        <f>EL275/EL262</f>
        <v>#DIV/0!</v>
      </c>
      <c r="EM277" s="1356"/>
      <c r="EN277" s="1702" t="e">
        <f>EN275/EN262</f>
        <v>#DIV/0!</v>
      </c>
      <c r="EO277" s="1356"/>
      <c r="EP277" s="1702" t="e">
        <f>EP275/EP262</f>
        <v>#DIV/0!</v>
      </c>
      <c r="EQ277" s="1356"/>
      <c r="ER277" s="1702">
        <f>ER275/ER262</f>
        <v>117670.72222222222</v>
      </c>
      <c r="ES277" s="1356"/>
      <c r="ET277" s="1702" t="e">
        <f>ET275/ET262</f>
        <v>#DIV/0!</v>
      </c>
      <c r="EU277" s="1356"/>
      <c r="EV277" s="1702">
        <f>EV275/EV262</f>
        <v>100340.83333333333</v>
      </c>
      <c r="EW277" s="1356"/>
      <c r="EX277" s="1702">
        <f>EX275/EX262</f>
        <v>115027.94444444444</v>
      </c>
      <c r="EY277" s="1356"/>
      <c r="EZ277" s="1702" t="e">
        <f>EZ275/EZ262</f>
        <v>#DIV/0!</v>
      </c>
      <c r="FA277" s="1356"/>
      <c r="FB277" s="1702" t="e">
        <f>FB275/FB262</f>
        <v>#DIV/0!</v>
      </c>
      <c r="FC277" s="1356"/>
      <c r="FD277" s="1702" t="e">
        <f>FD275/FD262</f>
        <v>#DIV/0!</v>
      </c>
      <c r="FE277" s="1356"/>
      <c r="FF277" s="1702" t="e">
        <f>FF275/FF262</f>
        <v>#DIV/0!</v>
      </c>
      <c r="FG277" s="1356"/>
      <c r="FH277" s="1702">
        <f>FH275/FH262</f>
        <v>162851.94444444444</v>
      </c>
      <c r="FI277" s="1356"/>
      <c r="FJ277" s="1702">
        <f>FJ275/FJ262</f>
        <v>95033.277777777781</v>
      </c>
      <c r="FK277" s="1356"/>
      <c r="FL277" s="1702">
        <f>FL275/FL262</f>
        <v>92931.777777777781</v>
      </c>
      <c r="FM277" s="1356"/>
      <c r="FN277" s="1702">
        <f>FN275/FN262</f>
        <v>143862.27777777778</v>
      </c>
      <c r="FO277" s="1356"/>
      <c r="FP277" s="1702">
        <f>FP275/FP262</f>
        <v>95291.611111111109</v>
      </c>
      <c r="FQ277" s="1356"/>
      <c r="FR277" s="1702" t="e">
        <f>FR275/FR262</f>
        <v>#DIV/0!</v>
      </c>
      <c r="FS277" s="1356"/>
      <c r="FT277" s="1702" t="e">
        <f>FT275/FT262</f>
        <v>#DIV/0!</v>
      </c>
      <c r="FU277" s="1356"/>
      <c r="FV277" s="1702" t="e">
        <f>FV275/FV262</f>
        <v>#DIV/0!</v>
      </c>
      <c r="FW277" s="1356"/>
      <c r="FX277" s="1702">
        <f>FX275/FX262</f>
        <v>91110.5</v>
      </c>
      <c r="FY277" s="1356"/>
      <c r="FZ277" s="1702">
        <f>FZ275/FZ262</f>
        <v>96025.277777777781</v>
      </c>
      <c r="GA277" s="1356"/>
      <c r="GB277" s="1702">
        <f>GB275/GB262</f>
        <v>136167.11111111112</v>
      </c>
      <c r="GC277" s="1356"/>
      <c r="GD277" s="1702" t="e">
        <f>GD275/GD262</f>
        <v>#DIV/0!</v>
      </c>
      <c r="GE277" s="1356"/>
      <c r="GF277" s="1702" t="e">
        <f>GF275/GF262</f>
        <v>#DIV/0!</v>
      </c>
      <c r="GG277" s="1356"/>
      <c r="GH277" s="1702">
        <f>GH275/GH262</f>
        <v>40432.5</v>
      </c>
      <c r="GI277" s="1356"/>
      <c r="GJ277" s="1702" t="e">
        <f>GJ275/GJ262</f>
        <v>#DIV/0!</v>
      </c>
      <c r="GK277" s="1356"/>
      <c r="GL277" s="1702">
        <f>GL275/GL262</f>
        <v>107749.55555555556</v>
      </c>
      <c r="GM277" s="1356"/>
      <c r="GN277" s="1702">
        <f>GN275/GN262</f>
        <v>95775.388888888891</v>
      </c>
      <c r="GO277" s="1356"/>
      <c r="GP277" s="1702">
        <f>GP275/GP262</f>
        <v>101001.83333333333</v>
      </c>
      <c r="GQ277" s="1356"/>
      <c r="GR277" s="1702">
        <f>GR275/GR262</f>
        <v>106781.27777777778</v>
      </c>
      <c r="GS277" s="1356"/>
      <c r="GT277" s="1702">
        <f>GT275/GT262</f>
        <v>83989.388888888891</v>
      </c>
      <c r="GU277" s="1356"/>
      <c r="GV277" s="1702">
        <f>GV275/GV262</f>
        <v>117546.05555555556</v>
      </c>
      <c r="GW277" s="1356"/>
      <c r="GX277" s="1702">
        <f>GX275/GX262</f>
        <v>98313.888888888891</v>
      </c>
      <c r="GY277" s="1356"/>
      <c r="GZ277" s="1702" t="e">
        <f>GZ275/GZ262</f>
        <v>#DIV/0!</v>
      </c>
      <c r="HA277" s="1356"/>
      <c r="HB277" s="1702">
        <f>HB275/HB262</f>
        <v>99562.222222222219</v>
      </c>
      <c r="HC277" s="1356"/>
      <c r="HD277" s="1702">
        <f>HD275/HD262</f>
        <v>124169.44444444444</v>
      </c>
      <c r="HE277" s="1356"/>
      <c r="HF277" s="2043" t="e">
        <f>HF275/HF262</f>
        <v>#DIV/0!</v>
      </c>
      <c r="HH277" s="1702" t="e">
        <f>HH275/HH262</f>
        <v>#DIV/0!</v>
      </c>
      <c r="HI277" s="1356"/>
      <c r="HJ277" s="1702">
        <f>HJ275/HJ262</f>
        <v>133216.83333333334</v>
      </c>
      <c r="HK277" s="1356"/>
      <c r="HL277" s="1702" t="e">
        <f>HL275/HL262</f>
        <v>#DIV/0!</v>
      </c>
      <c r="HM277" s="1356"/>
      <c r="HN277" s="1702">
        <f>HN275/HN262</f>
        <v>126640.16666666667</v>
      </c>
      <c r="HO277" s="1356"/>
      <c r="HP277" s="2043" t="e">
        <f>HP275/HP262</f>
        <v>#DIV/0!</v>
      </c>
      <c r="HR277" s="1702" t="e">
        <f>HR275/HR262</f>
        <v>#DIV/0!</v>
      </c>
      <c r="HS277" s="1356"/>
      <c r="HT277" s="2043" t="e">
        <f>HT275/HT262</f>
        <v>#DIV/0!</v>
      </c>
      <c r="HV277" s="2043">
        <f>HV275/HV262</f>
        <v>125593.33333333333</v>
      </c>
      <c r="HX277" s="2043">
        <f>HX275/HX262</f>
        <v>98236.666666666672</v>
      </c>
      <c r="HZ277" s="2043" t="e">
        <f>HZ275/HZ262</f>
        <v>#DIV/0!</v>
      </c>
      <c r="IB277" s="1702">
        <f>IB275/IB262</f>
        <v>125817.22222222222</v>
      </c>
      <c r="IC277" s="1356"/>
      <c r="ID277" s="2043">
        <f>ID275/ID262</f>
        <v>116587.77777777778</v>
      </c>
      <c r="IF277" s="2043">
        <f>IF275/IF262</f>
        <v>82540.388888888891</v>
      </c>
    </row>
    <row r="278" spans="1:241">
      <c r="A278" s="1149"/>
      <c r="B278" s="1149"/>
      <c r="C278" s="1149"/>
      <c r="D278" s="1149"/>
      <c r="E278" s="1143"/>
      <c r="F278" s="1406"/>
      <c r="G278" s="1356"/>
      <c r="H278" s="1406"/>
      <c r="I278" s="1356"/>
      <c r="J278" s="1406"/>
      <c r="K278" s="1356"/>
      <c r="L278" s="1406"/>
      <c r="M278" s="1356"/>
      <c r="N278" s="1406"/>
      <c r="O278" s="1356"/>
      <c r="P278" s="1406"/>
      <c r="Q278" s="1356"/>
      <c r="T278" s="1406"/>
      <c r="U278" s="1356"/>
      <c r="V278" s="1406"/>
      <c r="W278" s="1356"/>
      <c r="X278" s="1406"/>
      <c r="Y278" s="1356"/>
      <c r="Z278" s="1406"/>
      <c r="AA278" s="1356"/>
      <c r="AB278" s="1406"/>
      <c r="AC278" s="1356"/>
      <c r="AD278" s="1406"/>
      <c r="AE278" s="1356"/>
      <c r="AF278" s="1406"/>
      <c r="AG278" s="1356"/>
      <c r="AH278" s="1406"/>
      <c r="AI278" s="1356"/>
      <c r="AJ278" s="1406"/>
      <c r="AK278" s="1356"/>
      <c r="AL278" s="1406"/>
      <c r="AM278" s="1356"/>
      <c r="AN278" s="1406"/>
      <c r="AO278" s="1356"/>
      <c r="AP278" s="1406"/>
      <c r="AQ278" s="1356"/>
      <c r="AR278" s="1406"/>
      <c r="AS278" s="1356"/>
      <c r="AT278" s="1406"/>
      <c r="AU278" s="1356"/>
      <c r="AV278" s="1406"/>
      <c r="AW278" s="1356"/>
      <c r="AX278" s="1406"/>
      <c r="AY278" s="1356"/>
      <c r="AZ278" s="1406"/>
      <c r="BA278" s="1356"/>
      <c r="BB278" s="1406"/>
      <c r="BC278" s="1356"/>
      <c r="BD278" s="1406"/>
      <c r="BE278" s="1356"/>
      <c r="BF278" s="1406"/>
      <c r="BG278" s="1356"/>
      <c r="BH278" s="1406"/>
      <c r="BI278" s="1356"/>
      <c r="BJ278" s="1406"/>
      <c r="BK278" s="1356"/>
      <c r="BL278" s="1406"/>
      <c r="BM278" s="1356"/>
      <c r="BN278" s="1406"/>
      <c r="BO278" s="1356"/>
      <c r="BP278" s="1406"/>
      <c r="BQ278" s="1356"/>
      <c r="BR278" s="1406"/>
      <c r="BS278" s="1356"/>
      <c r="BT278" s="1406"/>
      <c r="BU278" s="1356"/>
      <c r="BV278" s="1406"/>
      <c r="BW278" s="1356"/>
      <c r="BX278" s="1406"/>
      <c r="BY278" s="1356"/>
      <c r="BZ278" s="1406"/>
      <c r="CA278" s="1356"/>
      <c r="CB278" s="1406"/>
      <c r="CC278" s="1356"/>
      <c r="CD278" s="1406"/>
      <c r="CE278" s="1356"/>
      <c r="CF278" s="1406"/>
      <c r="CG278" s="1356"/>
      <c r="CH278" s="1406"/>
      <c r="CI278" s="1356"/>
      <c r="CJ278" s="1406"/>
      <c r="CK278" s="1356"/>
      <c r="CL278" s="1406"/>
      <c r="CM278" s="1356"/>
      <c r="CN278" s="1406"/>
      <c r="CO278" s="1356"/>
      <c r="CP278" s="1406"/>
      <c r="CQ278" s="1356"/>
      <c r="CR278" s="1406"/>
      <c r="CS278" s="1356"/>
      <c r="CT278" s="1406"/>
      <c r="CU278" s="1356"/>
      <c r="CV278" s="1406"/>
      <c r="CW278" s="1356"/>
      <c r="CX278" s="1406"/>
      <c r="CY278" s="1356"/>
      <c r="CZ278" s="1406"/>
      <c r="DA278" s="1356"/>
      <c r="DB278" s="1406"/>
      <c r="DC278" s="1356"/>
      <c r="DD278" s="1406"/>
      <c r="DE278" s="1356"/>
      <c r="DF278" s="1406"/>
      <c r="DG278" s="1356"/>
      <c r="DH278" s="1406"/>
      <c r="DI278" s="1356"/>
      <c r="DJ278" s="1406"/>
      <c r="DK278" s="1356"/>
      <c r="DL278" s="1406"/>
      <c r="DM278" s="1356"/>
      <c r="DN278" s="1406"/>
      <c r="DO278" s="1356"/>
      <c r="DP278" s="1406"/>
      <c r="DQ278" s="1356"/>
      <c r="DR278" s="1406"/>
      <c r="DS278" s="1356"/>
      <c r="DT278" s="1406"/>
      <c r="DU278" s="1356"/>
      <c r="DV278" s="1406"/>
      <c r="DW278" s="1356"/>
      <c r="DX278" s="1406"/>
      <c r="DY278" s="1356"/>
      <c r="DZ278" s="1406"/>
      <c r="EA278" s="1356"/>
      <c r="EB278" s="1406"/>
      <c r="EC278" s="1356"/>
      <c r="ED278" s="1406"/>
      <c r="EE278" s="1356"/>
      <c r="EF278" s="1406"/>
      <c r="EG278" s="1356"/>
      <c r="EH278" s="1406"/>
      <c r="EI278" s="1356"/>
      <c r="EJ278" s="1406"/>
      <c r="EK278" s="1356"/>
      <c r="EL278" s="1406"/>
      <c r="EM278" s="1356"/>
      <c r="EN278" s="1406"/>
      <c r="EO278" s="1356"/>
      <c r="EP278" s="1406"/>
      <c r="EQ278" s="1356"/>
      <c r="ER278" s="1406"/>
      <c r="ES278" s="1356"/>
      <c r="ET278" s="1406"/>
      <c r="EU278" s="1356"/>
      <c r="EV278" s="1406"/>
      <c r="EW278" s="1356"/>
      <c r="EX278" s="1406"/>
      <c r="EY278" s="1356"/>
      <c r="EZ278" s="1406"/>
      <c r="FA278" s="1356"/>
      <c r="FB278" s="1406"/>
      <c r="FC278" s="1356"/>
      <c r="FD278" s="1406"/>
      <c r="FE278" s="1356"/>
      <c r="FF278" s="1406"/>
      <c r="FG278" s="1356"/>
      <c r="FH278" s="1406"/>
      <c r="FI278" s="1356"/>
      <c r="FJ278" s="1406"/>
      <c r="FK278" s="1356"/>
      <c r="FL278" s="1406"/>
      <c r="FM278" s="1356"/>
      <c r="FN278" s="1406"/>
      <c r="FO278" s="1356"/>
      <c r="FP278" s="1406"/>
      <c r="FQ278" s="1356"/>
      <c r="FR278" s="1406"/>
      <c r="FS278" s="1356"/>
      <c r="FT278" s="1406"/>
      <c r="FU278" s="1356"/>
      <c r="FV278" s="1406"/>
      <c r="FW278" s="1356"/>
      <c r="FX278" s="1406"/>
      <c r="FY278" s="1356"/>
      <c r="FZ278" s="1406"/>
      <c r="GA278" s="1356"/>
      <c r="GB278" s="1406"/>
      <c r="GC278" s="1356"/>
      <c r="GD278" s="1406"/>
      <c r="GE278" s="1356"/>
      <c r="GF278" s="1406"/>
      <c r="GG278" s="1356"/>
      <c r="GH278" s="1406"/>
      <c r="GI278" s="1356"/>
      <c r="GJ278" s="1406"/>
      <c r="GK278" s="1356"/>
      <c r="GL278" s="1406"/>
      <c r="GM278" s="1356"/>
      <c r="GN278" s="1406"/>
      <c r="GO278" s="1356"/>
      <c r="GP278" s="1406"/>
      <c r="GQ278" s="1356"/>
      <c r="GR278" s="1406"/>
      <c r="GS278" s="1356"/>
      <c r="GT278" s="1406"/>
      <c r="GU278" s="1356"/>
      <c r="GV278" s="1406"/>
      <c r="GW278" s="1356"/>
      <c r="GX278" s="1406"/>
      <c r="GY278" s="1356"/>
      <c r="GZ278" s="1406"/>
      <c r="HA278" s="1356"/>
      <c r="HB278" s="1406"/>
      <c r="HC278" s="1356"/>
      <c r="HD278" s="1406"/>
      <c r="HE278" s="1356"/>
      <c r="HH278" s="1406"/>
      <c r="HI278" s="1356"/>
      <c r="HJ278" s="1406"/>
      <c r="HK278" s="1356"/>
      <c r="HL278" s="1406"/>
      <c r="HM278" s="1356"/>
      <c r="HN278" s="1406"/>
      <c r="HO278" s="1356"/>
      <c r="HR278" s="1406"/>
      <c r="HS278" s="1356"/>
      <c r="IB278" s="1406"/>
      <c r="IC278" s="1356"/>
    </row>
    <row r="279" spans="1:241">
      <c r="A279" s="1149"/>
      <c r="B279" s="1149"/>
      <c r="C279" s="1149" t="s">
        <v>78</v>
      </c>
      <c r="D279" s="1149"/>
      <c r="E279" s="1143"/>
      <c r="F279" s="1702" t="e">
        <f>F275/F264</f>
        <v>#DIV/0!</v>
      </c>
      <c r="G279" s="1356"/>
      <c r="H279" s="1702">
        <f>H275/H264</f>
        <v>35880.433734939761</v>
      </c>
      <c r="I279" s="1356"/>
      <c r="J279" s="1702">
        <f>J275/J264</f>
        <v>16526.558333333334</v>
      </c>
      <c r="K279" s="1356"/>
      <c r="L279" s="1702" t="e">
        <f>L275/L264</f>
        <v>#DIV/0!</v>
      </c>
      <c r="M279" s="1356"/>
      <c r="N279" s="1702">
        <f>N275/N264</f>
        <v>13659.966666666667</v>
      </c>
      <c r="O279" s="1356"/>
      <c r="P279" s="1702" t="e">
        <f>P275/P264</f>
        <v>#DIV/0!</v>
      </c>
      <c r="Q279" s="1356"/>
      <c r="R279" s="1702" t="e">
        <f>R275/R264</f>
        <v>#DIV/0!</v>
      </c>
      <c r="T279" s="1702" t="e">
        <f>T275/T264</f>
        <v>#DIV/0!</v>
      </c>
      <c r="U279" s="1356"/>
      <c r="V279" s="1702">
        <f>V275/V264</f>
        <v>18668.573333333334</v>
      </c>
      <c r="W279" s="1356"/>
      <c r="X279" s="1702">
        <f>X275/X264</f>
        <v>32591.275249452417</v>
      </c>
      <c r="Y279" s="1356"/>
      <c r="Z279" s="1702" t="e">
        <f>Z275/Z264</f>
        <v>#DIV/0!</v>
      </c>
      <c r="AA279" s="1356"/>
      <c r="AB279" s="1702" t="e">
        <f>AB275/AB264</f>
        <v>#DIV/0!</v>
      </c>
      <c r="AC279" s="1356"/>
      <c r="AD279" s="1702" t="e">
        <f>AD275/AD264</f>
        <v>#DIV/0!</v>
      </c>
      <c r="AE279" s="1356"/>
      <c r="AF279" s="1702">
        <f>AF275/AF264</f>
        <v>23688.733333333334</v>
      </c>
      <c r="AG279" s="1356"/>
      <c r="AH279" s="1702" t="e">
        <f>AH275/AH264</f>
        <v>#DIV/0!</v>
      </c>
      <c r="AI279" s="1356"/>
      <c r="AJ279" s="1702">
        <f>AJ275/AJ264</f>
        <v>8202.4454976303314</v>
      </c>
      <c r="AK279" s="1356"/>
      <c r="AL279" s="1702" t="e">
        <f>AL275/AL264</f>
        <v>#DIV/0!</v>
      </c>
      <c r="AM279" s="1356"/>
      <c r="AN279" s="1702">
        <f>AN275/AN264</f>
        <v>15918.910570330749</v>
      </c>
      <c r="AO279" s="1356"/>
      <c r="AP279" s="1702" t="e">
        <f>AP275/AP264</f>
        <v>#DIV/0!</v>
      </c>
      <c r="AQ279" s="1356"/>
      <c r="AR279" s="1702">
        <f>AR275/AR264</f>
        <v>28505.557894736841</v>
      </c>
      <c r="AS279" s="1356"/>
      <c r="AT279" s="1702" t="e">
        <f>AT275/AT264</f>
        <v>#DIV/0!</v>
      </c>
      <c r="AU279" s="1356"/>
      <c r="AV279" s="1702">
        <f>AV275/AV264</f>
        <v>34834.75</v>
      </c>
      <c r="AW279" s="1356"/>
      <c r="AX279" s="1702" t="e">
        <f>AX275/AX264</f>
        <v>#DIV/0!</v>
      </c>
      <c r="AY279" s="1356"/>
      <c r="AZ279" s="1702">
        <f>AZ275/AZ264</f>
        <v>9798.3174603174612</v>
      </c>
      <c r="BA279" s="1356"/>
      <c r="BB279" s="1702" t="e">
        <f>BB275/BB264</f>
        <v>#DIV/0!</v>
      </c>
      <c r="BC279" s="1356"/>
      <c r="BD279" s="1702" t="e">
        <f>BD275/BD264</f>
        <v>#DIV/0!</v>
      </c>
      <c r="BE279" s="1356"/>
      <c r="BF279" s="1702">
        <f>BF275/BF264</f>
        <v>15916.4</v>
      </c>
      <c r="BG279" s="1356"/>
      <c r="BH279" s="1702" t="e">
        <f>BH275/BH264</f>
        <v>#DIV/0!</v>
      </c>
      <c r="BI279" s="1356"/>
      <c r="BJ279" s="1702" t="e">
        <f>BJ275/BJ264</f>
        <v>#DIV/0!</v>
      </c>
      <c r="BK279" s="1356"/>
      <c r="BL279" s="1702" t="e">
        <f>BL275/BL264</f>
        <v>#DIV/0!</v>
      </c>
      <c r="BM279" s="1356"/>
      <c r="BN279" s="1702">
        <f>BN275/BN264</f>
        <v>29035.955555555556</v>
      </c>
      <c r="BO279" s="1356"/>
      <c r="BP279" s="1702" t="e">
        <f>BP275/BP264</f>
        <v>#DIV/0!</v>
      </c>
      <c r="BQ279" s="1356"/>
      <c r="BR279" s="1702">
        <f>BR275/BR264</f>
        <v>36239.914285714287</v>
      </c>
      <c r="BS279" s="1356"/>
      <c r="BT279" s="1702">
        <f>BT275/BT264</f>
        <v>46976.555555555555</v>
      </c>
      <c r="BU279" s="1356"/>
      <c r="BV279" s="1702">
        <f>BV275/BV264</f>
        <v>13267</v>
      </c>
      <c r="BW279" s="1356"/>
      <c r="BX279" s="1702" t="e">
        <f>BX275/BX264</f>
        <v>#DIV/0!</v>
      </c>
      <c r="BY279" s="1356"/>
      <c r="BZ279" s="1702" t="e">
        <f>BZ275/BZ264</f>
        <v>#DIV/0!</v>
      </c>
      <c r="CA279" s="1356"/>
      <c r="CB279" s="1702">
        <f>CB275/CB264</f>
        <v>15590.353846153846</v>
      </c>
      <c r="CC279" s="1356"/>
      <c r="CD279" s="1702" t="e">
        <f>CD275/CD264</f>
        <v>#DIV/0!</v>
      </c>
      <c r="CE279" s="1356"/>
      <c r="CF279" s="1702">
        <v>21183.86</v>
      </c>
      <c r="CG279" s="1356"/>
      <c r="CH279" s="1702">
        <v>22926.400000000001</v>
      </c>
      <c r="CI279" s="1356"/>
      <c r="CJ279" s="1702" t="e">
        <v>#DIV/0!</v>
      </c>
      <c r="CK279" s="1356"/>
      <c r="CL279" s="1702" t="e">
        <v>#DIV/0!</v>
      </c>
      <c r="CM279" s="1356"/>
      <c r="CN279" s="1702" t="e">
        <f>CN275/CN264</f>
        <v>#DIV/0!</v>
      </c>
      <c r="CO279" s="1356"/>
      <c r="CP279" s="1702" t="e">
        <f>CP275/CP264</f>
        <v>#DIV/0!</v>
      </c>
      <c r="CQ279" s="1356"/>
      <c r="CR279" s="1702">
        <v>21574.16</v>
      </c>
      <c r="CS279" s="1356"/>
      <c r="CT279" s="1702">
        <f>CT275/CT264</f>
        <v>16934.669811320753</v>
      </c>
      <c r="CU279" s="1356"/>
      <c r="CV279" s="1702" t="e">
        <f>CV275/CV264</f>
        <v>#DIV/0!</v>
      </c>
      <c r="CW279" s="1356"/>
      <c r="CX279" s="1702" t="e">
        <v>#DIV/0!</v>
      </c>
      <c r="CY279" s="1356"/>
      <c r="CZ279" s="1702">
        <v>18348.4375</v>
      </c>
      <c r="DA279" s="1356"/>
      <c r="DB279" s="1702">
        <v>16490.740000000002</v>
      </c>
      <c r="DC279" s="1356"/>
      <c r="DD279" s="1702">
        <v>22489.402173913044</v>
      </c>
      <c r="DE279" s="1356"/>
      <c r="DF279" s="1702" t="e">
        <v>#DIV/0!</v>
      </c>
      <c r="DG279" s="1356"/>
      <c r="DH279" s="1702" t="e">
        <v>#DIV/0!</v>
      </c>
      <c r="DI279" s="1356"/>
      <c r="DJ279" s="1702">
        <f>DJ275/DJ264</f>
        <v>13876.892561983472</v>
      </c>
      <c r="DK279" s="1356"/>
      <c r="DL279" s="1702" t="e">
        <v>#DIV/0!</v>
      </c>
      <c r="DM279" s="1356"/>
      <c r="DN279" s="1702">
        <f>DN275/DN264</f>
        <v>13720.42</v>
      </c>
      <c r="DO279" s="1356"/>
      <c r="DP279" s="1702" t="e">
        <f>DP275/DP264</f>
        <v>#DIV/0!</v>
      </c>
      <c r="DQ279" s="1356"/>
      <c r="DR279" s="1702" t="e">
        <f>DR275/DR264</f>
        <v>#DIV/0!</v>
      </c>
      <c r="DS279" s="1356"/>
      <c r="DT279" s="1702" t="e">
        <f>DT275/DT264</f>
        <v>#DIV/0!</v>
      </c>
      <c r="DU279" s="1356"/>
      <c r="DV279" s="1702">
        <f>DV275/DV264</f>
        <v>34641.180555555555</v>
      </c>
      <c r="DW279" s="1356"/>
      <c r="DX279" s="1702">
        <f>DX275/DX264</f>
        <v>27877.297777777774</v>
      </c>
      <c r="DY279" s="1356"/>
      <c r="DZ279" s="1702" t="e">
        <f>DZ275/DZ264</f>
        <v>#DIV/0!</v>
      </c>
      <c r="EA279" s="1356"/>
      <c r="EB279" s="1702">
        <f>EB275/EB264</f>
        <v>15243.366666666667</v>
      </c>
      <c r="EC279" s="1356"/>
      <c r="ED279" s="1702">
        <f>ED275/ED264</f>
        <v>15825.112903225807</v>
      </c>
      <c r="EE279" s="1356"/>
      <c r="EF279" s="1702">
        <f>EF275/EF264</f>
        <v>19518.216666666667</v>
      </c>
      <c r="EG279" s="1356"/>
      <c r="EH279" s="1702">
        <f>EH275/EH264</f>
        <v>18803.32</v>
      </c>
      <c r="EI279" s="1356"/>
      <c r="EJ279" s="1702">
        <f>EJ275/EJ264</f>
        <v>21450.471698113208</v>
      </c>
      <c r="EK279" s="1356"/>
      <c r="EL279" s="1702" t="e">
        <f>EL275/EL264</f>
        <v>#DIV/0!</v>
      </c>
      <c r="EM279" s="1356"/>
      <c r="EN279" s="1702" t="e">
        <f>EN275/EN264</f>
        <v>#DIV/0!</v>
      </c>
      <c r="EO279" s="1356"/>
      <c r="EP279" s="1702" t="e">
        <f>EP275/EP264</f>
        <v>#DIV/0!</v>
      </c>
      <c r="EQ279" s="1356"/>
      <c r="ER279" s="1702">
        <f>ER275/ER264</f>
        <v>21180.73</v>
      </c>
      <c r="ES279" s="1356"/>
      <c r="ET279" s="1702" t="e">
        <f>ET275/ET264</f>
        <v>#DIV/0!</v>
      </c>
      <c r="EU279" s="1356"/>
      <c r="EV279" s="1702">
        <f>EV275/EV264</f>
        <v>14334.404761904761</v>
      </c>
      <c r="EW279" s="1356"/>
      <c r="EX279" s="1702">
        <f>EX275/EX264</f>
        <v>8848.303418803418</v>
      </c>
      <c r="EY279" s="1356"/>
      <c r="EZ279" s="1702" t="e">
        <f>EZ275/EZ264</f>
        <v>#DIV/0!</v>
      </c>
      <c r="FA279" s="1356"/>
      <c r="FB279" s="1702" t="e">
        <f>FB275/FB264</f>
        <v>#DIV/0!</v>
      </c>
      <c r="FC279" s="1356"/>
      <c r="FD279" s="1702" t="e">
        <f>FD275/FD264</f>
        <v>#DIV/0!</v>
      </c>
      <c r="FE279" s="1356"/>
      <c r="FF279" s="1702" t="e">
        <f>FF275/FF264</f>
        <v>#DIV/0!</v>
      </c>
      <c r="FG279" s="1356"/>
      <c r="FH279" s="1702">
        <f>FH275/FH264</f>
        <v>15845.054054054053</v>
      </c>
      <c r="FI279" s="1356"/>
      <c r="FJ279" s="1702">
        <f>FJ275/FJ264</f>
        <v>16607.757281553397</v>
      </c>
      <c r="FK279" s="1356"/>
      <c r="FL279" s="1702" t="e">
        <f>FL275/FL264</f>
        <v>#DIV/0!</v>
      </c>
      <c r="FM279" s="1356"/>
      <c r="FN279" s="1702">
        <f>FN275/FN264</f>
        <v>20883.233870967742</v>
      </c>
      <c r="FO279" s="1356"/>
      <c r="FP279" s="1702">
        <f>FP275/FP264</f>
        <v>25988.621212121212</v>
      </c>
      <c r="FQ279" s="1356"/>
      <c r="FR279" s="1702" t="e">
        <f>FR275/FR264</f>
        <v>#DIV/0!</v>
      </c>
      <c r="FS279" s="1356"/>
      <c r="FT279" s="1702" t="e">
        <f>FT275/FT264</f>
        <v>#DIV/0!</v>
      </c>
      <c r="FU279" s="1356"/>
      <c r="FV279" s="1702" t="e">
        <f>FV275/FV264</f>
        <v>#DIV/0!</v>
      </c>
      <c r="FW279" s="1356"/>
      <c r="FX279" s="1702">
        <f>FX275/FX264</f>
        <v>26031.571428571428</v>
      </c>
      <c r="FY279" s="1356"/>
      <c r="FZ279" s="1702">
        <f>FZ275/FZ264</f>
        <v>13827.64</v>
      </c>
      <c r="GA279" s="1356"/>
      <c r="GB279" s="1702">
        <f>GB275/GB264</f>
        <v>31831.272727272728</v>
      </c>
      <c r="GC279" s="1356"/>
      <c r="GD279" s="1702" t="e">
        <f>GD275/GD264</f>
        <v>#DIV/0!</v>
      </c>
      <c r="GE279" s="1356"/>
      <c r="GF279" s="1702" t="e">
        <f>GF275/GF264</f>
        <v>#DIV/0!</v>
      </c>
      <c r="GG279" s="1356"/>
      <c r="GH279" s="1702">
        <f>GH275/GH264</f>
        <v>10396.928571428571</v>
      </c>
      <c r="GI279" s="1356"/>
      <c r="GJ279" s="1702" t="e">
        <f>GJ275/GJ264</f>
        <v>#DIV/0!</v>
      </c>
      <c r="GK279" s="1356"/>
      <c r="GL279" s="1702">
        <f>GL275/GL264</f>
        <v>15515.936</v>
      </c>
      <c r="GM279" s="1356"/>
      <c r="GN279" s="1702">
        <f>GN275/GN264</f>
        <v>12865.350746268658</v>
      </c>
      <c r="GO279" s="1356"/>
      <c r="GP279" s="1702">
        <f>GP275/GP264</f>
        <v>12713.517482517482</v>
      </c>
      <c r="GQ279" s="1356"/>
      <c r="GR279" s="1702">
        <f>GR275/GR264</f>
        <v>28265.632352941175</v>
      </c>
      <c r="GS279" s="1356"/>
      <c r="GT279" s="1702">
        <f>GT275/GT264</f>
        <v>13743.718181818182</v>
      </c>
      <c r="GU279" s="1356"/>
      <c r="GV279" s="1702">
        <f>GV275/GV264</f>
        <v>12446.052941176471</v>
      </c>
      <c r="GW279" s="1356"/>
      <c r="GX279" s="1702">
        <f>GX275/GX264</f>
        <v>27225.384615384617</v>
      </c>
      <c r="GY279" s="1356"/>
      <c r="GZ279" s="1702" t="e">
        <f>GZ275/GZ264</f>
        <v>#DIV/0!</v>
      </c>
      <c r="HA279" s="1356"/>
      <c r="HB279" s="1702">
        <f>HB275/HB264</f>
        <v>20838.60465116279</v>
      </c>
      <c r="HC279" s="1356"/>
      <c r="HD279" s="1702">
        <f>HD275/HD264</f>
        <v>22350.5</v>
      </c>
      <c r="HE279" s="1356"/>
      <c r="HF279" s="2043" t="e">
        <f>HF275/HF264</f>
        <v>#DIV/0!</v>
      </c>
      <c r="HH279" s="1702" t="e">
        <f>HH275/HH264</f>
        <v>#DIV/0!</v>
      </c>
      <c r="HI279" s="1356"/>
      <c r="HJ279" s="1702">
        <f>HJ275/HJ264</f>
        <v>26064.16304347826</v>
      </c>
      <c r="HK279" s="1356"/>
      <c r="HL279" s="1702" t="e">
        <f>HL275/HL264</f>
        <v>#DIV/0!</v>
      </c>
      <c r="HM279" s="1356"/>
      <c r="HN279" s="1702">
        <f>HN275/HN264</f>
        <v>10361.468181818182</v>
      </c>
      <c r="HO279" s="1356"/>
      <c r="HP279" s="2043" t="e">
        <f>HP275/HP264</f>
        <v>#DIV/0!</v>
      </c>
      <c r="HR279" s="1702" t="e">
        <f>HR275/HR264</f>
        <v>#DIV/0!</v>
      </c>
      <c r="HS279" s="1356"/>
      <c r="HT279" s="2043" t="e">
        <f>HT275/HT264</f>
        <v>#DIV/0!</v>
      </c>
      <c r="HV279" s="2043">
        <f>HV275/HV264</f>
        <v>20551.636363636364</v>
      </c>
      <c r="HX279" s="2043">
        <f>HX275/HX264</f>
        <v>22383.037974683546</v>
      </c>
      <c r="HZ279" s="2043" t="e">
        <f>HZ275/HZ264</f>
        <v>#DIV/0!</v>
      </c>
      <c r="IB279" s="1702">
        <f>IB275/IB264</f>
        <v>20588.272727272728</v>
      </c>
      <c r="IC279" s="1356"/>
      <c r="ID279" s="2043">
        <f>ID275/ID264</f>
        <v>20985.8</v>
      </c>
      <c r="IF279" s="2043">
        <f>IF275/IF264</f>
        <v>18118.621951219513</v>
      </c>
    </row>
    <row r="280" spans="1:241">
      <c r="A280" s="1149"/>
      <c r="B280" s="1149"/>
      <c r="C280" s="1149"/>
      <c r="D280" s="1149"/>
      <c r="E280" s="1143"/>
      <c r="F280" s="1406"/>
      <c r="G280" s="1356"/>
      <c r="H280" s="1406"/>
      <c r="I280" s="1356"/>
      <c r="J280" s="1406"/>
      <c r="K280" s="1356"/>
      <c r="L280" s="1406"/>
      <c r="M280" s="1356"/>
      <c r="N280" s="1406"/>
      <c r="O280" s="1356"/>
      <c r="P280" s="1406"/>
      <c r="Q280" s="1356"/>
      <c r="T280" s="1406"/>
      <c r="U280" s="1356"/>
      <c r="V280" s="1406"/>
      <c r="W280" s="1356"/>
      <c r="X280" s="1406"/>
      <c r="Y280" s="1356"/>
      <c r="Z280" s="1406"/>
      <c r="AA280" s="1356"/>
      <c r="AB280" s="1406"/>
      <c r="AC280" s="1356"/>
      <c r="AD280" s="1406"/>
      <c r="AE280" s="1356"/>
      <c r="AF280" s="1406"/>
      <c r="AG280" s="1356"/>
      <c r="AH280" s="1406"/>
      <c r="AI280" s="1356"/>
      <c r="AJ280" s="1406"/>
      <c r="AK280" s="1356"/>
      <c r="AL280" s="1406"/>
      <c r="AM280" s="1356"/>
      <c r="AN280" s="1406"/>
      <c r="AO280" s="1356"/>
      <c r="AP280" s="1406"/>
      <c r="AQ280" s="1356"/>
      <c r="AR280" s="1406"/>
      <c r="AS280" s="1356"/>
      <c r="AT280" s="1406"/>
      <c r="AU280" s="1356"/>
      <c r="AV280" s="1406"/>
      <c r="AW280" s="1356"/>
      <c r="AX280" s="1406"/>
      <c r="AY280" s="1356"/>
      <c r="AZ280" s="1406"/>
      <c r="BA280" s="1356"/>
      <c r="BB280" s="1406"/>
      <c r="BC280" s="1356"/>
      <c r="BD280" s="1406"/>
      <c r="BE280" s="1356"/>
      <c r="BF280" s="1406"/>
      <c r="BG280" s="1356"/>
      <c r="BH280" s="1406"/>
      <c r="BI280" s="1356"/>
      <c r="BJ280" s="1406"/>
      <c r="BK280" s="1356"/>
      <c r="BL280" s="1406"/>
      <c r="BM280" s="1356"/>
      <c r="BN280" s="1406"/>
      <c r="BO280" s="1356"/>
      <c r="BP280" s="1406"/>
      <c r="BQ280" s="1356"/>
      <c r="BR280" s="1406"/>
      <c r="BS280" s="1356"/>
      <c r="BT280" s="1406"/>
      <c r="BU280" s="1356"/>
      <c r="BV280" s="1406"/>
      <c r="BW280" s="1356"/>
      <c r="BX280" s="1406"/>
      <c r="BY280" s="1356"/>
      <c r="BZ280" s="1406"/>
      <c r="CA280" s="1356"/>
      <c r="CB280" s="1406"/>
      <c r="CC280" s="1356"/>
      <c r="CD280" s="1406"/>
      <c r="CE280" s="1356"/>
      <c r="CF280" s="1406"/>
      <c r="CG280" s="1356"/>
      <c r="CH280" s="1406"/>
      <c r="CI280" s="1356"/>
      <c r="CJ280" s="1406"/>
      <c r="CK280" s="1356"/>
      <c r="CL280" s="1406"/>
      <c r="CM280" s="1356"/>
      <c r="CN280" s="1406"/>
      <c r="CO280" s="1356"/>
      <c r="CP280" s="1406"/>
      <c r="CQ280" s="1356"/>
      <c r="CR280" s="1406"/>
      <c r="CS280" s="1356"/>
      <c r="CT280" s="1406"/>
      <c r="CU280" s="1356"/>
      <c r="CV280" s="1406"/>
      <c r="CW280" s="1356"/>
      <c r="CX280" s="1406"/>
      <c r="CY280" s="1356"/>
      <c r="CZ280" s="1406"/>
      <c r="DA280" s="1356"/>
      <c r="DB280" s="1406"/>
      <c r="DC280" s="1356"/>
      <c r="DD280" s="1406"/>
      <c r="DE280" s="1356"/>
      <c r="DF280" s="1406"/>
      <c r="DG280" s="1356"/>
      <c r="DH280" s="1406"/>
      <c r="DI280" s="1356"/>
      <c r="DJ280" s="1406"/>
      <c r="DK280" s="1356"/>
      <c r="DL280" s="1406"/>
      <c r="DM280" s="1356"/>
      <c r="DN280" s="1406"/>
      <c r="DO280" s="1356"/>
      <c r="DP280" s="1406"/>
      <c r="DQ280" s="1356"/>
      <c r="DR280" s="1406"/>
      <c r="DS280" s="1356"/>
      <c r="DT280" s="1406"/>
      <c r="DU280" s="1356"/>
      <c r="DV280" s="1406"/>
      <c r="DW280" s="1356"/>
      <c r="DX280" s="1406"/>
      <c r="DY280" s="1356"/>
      <c r="DZ280" s="1406"/>
      <c r="EA280" s="1356"/>
      <c r="EB280" s="1406"/>
      <c r="EC280" s="1356"/>
      <c r="ED280" s="1406"/>
      <c r="EE280" s="1356"/>
      <c r="EF280" s="1406"/>
      <c r="EG280" s="1356"/>
      <c r="EH280" s="1406"/>
      <c r="EI280" s="1356"/>
      <c r="EJ280" s="1406"/>
      <c r="EK280" s="1356"/>
      <c r="EL280" s="1406"/>
      <c r="EM280" s="1356"/>
      <c r="EN280" s="1406"/>
      <c r="EO280" s="1356"/>
      <c r="EP280" s="1406"/>
      <c r="EQ280" s="1356"/>
      <c r="ER280" s="1406"/>
      <c r="ES280" s="1356"/>
      <c r="ET280" s="1406"/>
      <c r="EU280" s="1356"/>
      <c r="EV280" s="1406"/>
      <c r="EW280" s="1356"/>
      <c r="EX280" s="1406"/>
      <c r="EY280" s="1356"/>
      <c r="EZ280" s="1406"/>
      <c r="FA280" s="1356"/>
      <c r="FB280" s="1406"/>
      <c r="FC280" s="1356"/>
      <c r="FD280" s="1406"/>
      <c r="FE280" s="1356"/>
      <c r="FF280" s="1406"/>
      <c r="FG280" s="1356"/>
      <c r="FH280" s="1406"/>
      <c r="FI280" s="1356"/>
      <c r="FJ280" s="1406"/>
      <c r="FK280" s="1356"/>
      <c r="FL280" s="1406"/>
      <c r="FM280" s="1356"/>
      <c r="FN280" s="1406"/>
      <c r="FO280" s="1356"/>
      <c r="FP280" s="1406"/>
      <c r="FQ280" s="1356"/>
      <c r="FR280" s="1406"/>
      <c r="FS280" s="1356"/>
      <c r="FT280" s="1406"/>
      <c r="FU280" s="1356"/>
      <c r="FV280" s="1406"/>
      <c r="FW280" s="1356"/>
      <c r="FX280" s="1406"/>
      <c r="FY280" s="1356"/>
      <c r="FZ280" s="1406"/>
      <c r="GA280" s="1356"/>
      <c r="GB280" s="1406"/>
      <c r="GC280" s="1356"/>
      <c r="GD280" s="1406"/>
      <c r="GE280" s="1356"/>
      <c r="GF280" s="1406"/>
      <c r="GG280" s="1356"/>
      <c r="GH280" s="1406"/>
      <c r="GI280" s="1356"/>
      <c r="GJ280" s="1406"/>
      <c r="GK280" s="1356"/>
      <c r="GL280" s="1406"/>
      <c r="GM280" s="1356"/>
      <c r="GN280" s="1406"/>
      <c r="GO280" s="1356"/>
      <c r="GP280" s="1406"/>
      <c r="GQ280" s="1356"/>
      <c r="GR280" s="1406"/>
      <c r="GS280" s="1356"/>
      <c r="GT280" s="1406"/>
      <c r="GU280" s="1356"/>
      <c r="GV280" s="1406"/>
      <c r="GW280" s="1356"/>
      <c r="GX280" s="1406"/>
      <c r="GY280" s="1356"/>
      <c r="GZ280" s="1406"/>
      <c r="HA280" s="1356"/>
      <c r="HB280" s="1406"/>
      <c r="HC280" s="1356"/>
      <c r="HD280" s="1406"/>
      <c r="HE280" s="1356"/>
      <c r="HH280" s="1406"/>
      <c r="HI280" s="1356"/>
      <c r="HJ280" s="1406"/>
      <c r="HK280" s="1356"/>
      <c r="HL280" s="1406"/>
      <c r="HM280" s="1356"/>
      <c r="HN280" s="1406"/>
      <c r="HO280" s="1356"/>
      <c r="HR280" s="1406"/>
      <c r="HS280" s="1356"/>
      <c r="IB280" s="1406"/>
      <c r="IC280" s="1356"/>
    </row>
    <row r="281" spans="1:241" ht="21">
      <c r="A281" s="1149"/>
      <c r="B281" s="1162" t="s">
        <v>40</v>
      </c>
      <c r="C281" s="1149"/>
      <c r="D281" s="1149"/>
      <c r="E281" s="1143"/>
      <c r="F281" s="1406"/>
      <c r="G281" s="1356"/>
      <c r="H281" s="1406"/>
      <c r="I281" s="1356"/>
      <c r="J281" s="1406"/>
      <c r="K281" s="1356"/>
      <c r="L281" s="1406"/>
      <c r="M281" s="1356"/>
      <c r="N281" s="1406"/>
      <c r="O281" s="1356"/>
      <c r="P281" s="1406"/>
      <c r="Q281" s="1356"/>
      <c r="T281" s="1406"/>
      <c r="U281" s="1356"/>
      <c r="V281" s="1406"/>
      <c r="W281" s="1356"/>
      <c r="X281" s="1406"/>
      <c r="Y281" s="1356"/>
      <c r="Z281" s="1406"/>
      <c r="AA281" s="1356"/>
      <c r="AB281" s="1406"/>
      <c r="AC281" s="1356"/>
      <c r="AD281" s="1406"/>
      <c r="AE281" s="1356"/>
      <c r="AF281" s="1406"/>
      <c r="AG281" s="1356"/>
      <c r="AH281" s="1406"/>
      <c r="AI281" s="1356"/>
      <c r="AJ281" s="1406"/>
      <c r="AK281" s="1356"/>
      <c r="AL281" s="1406"/>
      <c r="AM281" s="1356"/>
      <c r="AN281" s="1406"/>
      <c r="AO281" s="1356"/>
      <c r="AP281" s="1406"/>
      <c r="AQ281" s="1356"/>
      <c r="AR281" s="1406"/>
      <c r="AS281" s="1356"/>
      <c r="AT281" s="1406"/>
      <c r="AU281" s="1356"/>
      <c r="AV281" s="1406"/>
      <c r="AW281" s="1356"/>
      <c r="AX281" s="1406"/>
      <c r="AY281" s="1356"/>
      <c r="AZ281" s="1406"/>
      <c r="BA281" s="1356"/>
      <c r="BB281" s="1406"/>
      <c r="BC281" s="1356"/>
      <c r="BD281" s="1406"/>
      <c r="BE281" s="1356"/>
      <c r="BF281" s="1406"/>
      <c r="BG281" s="1356"/>
      <c r="BH281" s="1406"/>
      <c r="BI281" s="1356"/>
      <c r="BJ281" s="1406"/>
      <c r="BK281" s="1356"/>
      <c r="BL281" s="1406"/>
      <c r="BM281" s="1356"/>
      <c r="BN281" s="1406"/>
      <c r="BO281" s="1356"/>
      <c r="BP281" s="1406"/>
      <c r="BQ281" s="1356"/>
      <c r="BR281" s="1406"/>
      <c r="BS281" s="1356"/>
      <c r="BT281" s="1406"/>
      <c r="BU281" s="1356"/>
      <c r="BV281" s="1406"/>
      <c r="BW281" s="1356"/>
      <c r="BX281" s="1406"/>
      <c r="BY281" s="1356"/>
      <c r="BZ281" s="1406"/>
      <c r="CA281" s="1356"/>
      <c r="CB281" s="1406"/>
      <c r="CC281" s="1356"/>
      <c r="CD281" s="1406"/>
      <c r="CE281" s="1356"/>
      <c r="CF281" s="1406"/>
      <c r="CG281" s="1356"/>
      <c r="CH281" s="1406"/>
      <c r="CI281" s="1356"/>
      <c r="CJ281" s="1406"/>
      <c r="CK281" s="1356"/>
      <c r="CL281" s="1406"/>
      <c r="CM281" s="1356"/>
      <c r="CN281" s="1406"/>
      <c r="CO281" s="1356"/>
      <c r="CP281" s="1406"/>
      <c r="CQ281" s="1356"/>
      <c r="CR281" s="1406"/>
      <c r="CS281" s="1356"/>
      <c r="CT281" s="1406"/>
      <c r="CU281" s="1356"/>
      <c r="CV281" s="1406"/>
      <c r="CW281" s="1356"/>
      <c r="CX281" s="1406"/>
      <c r="CY281" s="1356"/>
      <c r="CZ281" s="1406"/>
      <c r="DA281" s="1356"/>
      <c r="DB281" s="1406"/>
      <c r="DC281" s="1356"/>
      <c r="DD281" s="1406"/>
      <c r="DE281" s="1356"/>
      <c r="DF281" s="1406"/>
      <c r="DG281" s="1356"/>
      <c r="DH281" s="1406"/>
      <c r="DI281" s="1356"/>
      <c r="DJ281" s="1406"/>
      <c r="DK281" s="1356"/>
      <c r="DL281" s="1406"/>
      <c r="DM281" s="1356"/>
      <c r="DN281" s="1406"/>
      <c r="DO281" s="1356"/>
      <c r="DP281" s="1406"/>
      <c r="DQ281" s="1356"/>
      <c r="DR281" s="1406"/>
      <c r="DS281" s="1356"/>
      <c r="DT281" s="1406"/>
      <c r="DU281" s="1356"/>
      <c r="DV281" s="1406"/>
      <c r="DW281" s="1356"/>
      <c r="DX281" s="1406"/>
      <c r="DY281" s="1356"/>
      <c r="DZ281" s="1406"/>
      <c r="EA281" s="1356"/>
      <c r="EB281" s="1406"/>
      <c r="EC281" s="1356"/>
      <c r="ED281" s="1406"/>
      <c r="EE281" s="1356"/>
      <c r="EF281" s="1406"/>
      <c r="EG281" s="1356"/>
      <c r="EH281" s="1406"/>
      <c r="EI281" s="1356"/>
      <c r="EJ281" s="1406"/>
      <c r="EK281" s="1356"/>
      <c r="EL281" s="1406"/>
      <c r="EM281" s="1356"/>
      <c r="EN281" s="1406"/>
      <c r="EO281" s="1356"/>
      <c r="EP281" s="1406"/>
      <c r="EQ281" s="1356"/>
      <c r="ER281" s="1406"/>
      <c r="ES281" s="1356"/>
      <c r="ET281" s="1406"/>
      <c r="EU281" s="1356"/>
      <c r="EV281" s="1406"/>
      <c r="EW281" s="1356"/>
      <c r="EX281" s="1406"/>
      <c r="EY281" s="1356"/>
      <c r="EZ281" s="1406"/>
      <c r="FA281" s="1356"/>
      <c r="FB281" s="1406"/>
      <c r="FC281" s="1356"/>
      <c r="FD281" s="1406"/>
      <c r="FE281" s="1356"/>
      <c r="FF281" s="1406"/>
      <c r="FG281" s="1356"/>
      <c r="FH281" s="1406"/>
      <c r="FI281" s="1356"/>
      <c r="FJ281" s="1406"/>
      <c r="FK281" s="1356"/>
      <c r="FL281" s="1406"/>
      <c r="FM281" s="1356"/>
      <c r="FN281" s="1406"/>
      <c r="FO281" s="1356"/>
      <c r="FP281" s="1406"/>
      <c r="FQ281" s="1356"/>
      <c r="FR281" s="1406"/>
      <c r="FS281" s="1356"/>
      <c r="FT281" s="1406"/>
      <c r="FU281" s="1356"/>
      <c r="FV281" s="1406"/>
      <c r="FW281" s="1356"/>
      <c r="FX281" s="1406"/>
      <c r="FY281" s="1356"/>
      <c r="FZ281" s="1406"/>
      <c r="GA281" s="1356"/>
      <c r="GB281" s="1406"/>
      <c r="GC281" s="1356"/>
      <c r="GD281" s="1406"/>
      <c r="GE281" s="1356"/>
      <c r="GF281" s="1406"/>
      <c r="GG281" s="1356"/>
      <c r="GH281" s="1406"/>
      <c r="GI281" s="1356"/>
      <c r="GJ281" s="1406"/>
      <c r="GK281" s="1356"/>
      <c r="GL281" s="1406"/>
      <c r="GM281" s="1356"/>
      <c r="GN281" s="1406"/>
      <c r="GO281" s="1356"/>
      <c r="GP281" s="1406"/>
      <c r="GQ281" s="1356"/>
      <c r="GR281" s="1406"/>
      <c r="GS281" s="1356"/>
      <c r="GT281" s="1406"/>
      <c r="GU281" s="1356"/>
      <c r="GV281" s="1406"/>
      <c r="GW281" s="1356"/>
      <c r="GX281" s="1406"/>
      <c r="GY281" s="1356"/>
      <c r="GZ281" s="1406"/>
      <c r="HA281" s="1356"/>
      <c r="HB281" s="1406"/>
      <c r="HC281" s="1356"/>
      <c r="HD281" s="1406"/>
      <c r="HE281" s="1356"/>
      <c r="HH281" s="1406"/>
      <c r="HI281" s="1356"/>
      <c r="HJ281" s="1406"/>
      <c r="HK281" s="1356"/>
      <c r="HL281" s="1406"/>
      <c r="HM281" s="1356"/>
      <c r="HN281" s="1406"/>
      <c r="HO281" s="1356"/>
      <c r="HR281" s="1406"/>
      <c r="HS281" s="1356"/>
      <c r="IB281" s="1406"/>
      <c r="IC281" s="1356"/>
    </row>
    <row r="282" spans="1:241">
      <c r="A282" s="1149"/>
      <c r="B282" s="1149"/>
      <c r="C282" s="1149"/>
      <c r="D282" s="1149"/>
      <c r="E282" s="1143"/>
      <c r="F282" s="1406"/>
      <c r="G282" s="1356"/>
      <c r="H282" s="1406"/>
      <c r="I282" s="1356"/>
      <c r="J282" s="1406"/>
      <c r="K282" s="1356"/>
      <c r="L282" s="1406"/>
      <c r="M282" s="1356"/>
      <c r="N282" s="1406"/>
      <c r="O282" s="1356"/>
      <c r="P282" s="1406"/>
      <c r="Q282" s="1356"/>
      <c r="T282" s="1406"/>
      <c r="U282" s="1356"/>
      <c r="V282" s="1406"/>
      <c r="W282" s="1356"/>
      <c r="X282" s="1406"/>
      <c r="Y282" s="1356"/>
      <c r="Z282" s="1406"/>
      <c r="AA282" s="1356"/>
      <c r="AB282" s="1406"/>
      <c r="AC282" s="1356"/>
      <c r="AD282" s="1406"/>
      <c r="AE282" s="1356"/>
      <c r="AF282" s="1406"/>
      <c r="AG282" s="1356"/>
      <c r="AH282" s="1406"/>
      <c r="AI282" s="1356"/>
      <c r="AJ282" s="1406"/>
      <c r="AK282" s="1356"/>
      <c r="AL282" s="1406"/>
      <c r="AM282" s="1356"/>
      <c r="AN282" s="1406"/>
      <c r="AO282" s="1356"/>
      <c r="AP282" s="1406"/>
      <c r="AQ282" s="1356"/>
      <c r="AR282" s="1406"/>
      <c r="AS282" s="1356"/>
      <c r="AT282" s="1406"/>
      <c r="AU282" s="1356"/>
      <c r="AV282" s="1406"/>
      <c r="AW282" s="1356"/>
      <c r="AX282" s="1406"/>
      <c r="AY282" s="1356"/>
      <c r="AZ282" s="1406"/>
      <c r="BA282" s="1356"/>
      <c r="BB282" s="1406"/>
      <c r="BC282" s="1356"/>
      <c r="BD282" s="1406"/>
      <c r="BE282" s="1356"/>
      <c r="BF282" s="1406"/>
      <c r="BG282" s="1356"/>
      <c r="BH282" s="1406"/>
      <c r="BI282" s="1356"/>
      <c r="BJ282" s="1406"/>
      <c r="BK282" s="1356"/>
      <c r="BL282" s="1406"/>
      <c r="BM282" s="1356"/>
      <c r="BN282" s="1406"/>
      <c r="BO282" s="1356"/>
      <c r="BP282" s="1406"/>
      <c r="BQ282" s="1356"/>
      <c r="BR282" s="1406"/>
      <c r="BS282" s="1356"/>
      <c r="BT282" s="1406"/>
      <c r="BU282" s="1356"/>
      <c r="BV282" s="1406"/>
      <c r="BW282" s="1356"/>
      <c r="BX282" s="1406"/>
      <c r="BY282" s="1356"/>
      <c r="BZ282" s="1406"/>
      <c r="CA282" s="1356"/>
      <c r="CB282" s="1406"/>
      <c r="CC282" s="1356"/>
      <c r="CD282" s="1406"/>
      <c r="CE282" s="1356"/>
      <c r="CF282" s="1406"/>
      <c r="CG282" s="1356"/>
      <c r="CH282" s="1406"/>
      <c r="CI282" s="1356"/>
      <c r="CJ282" s="1406"/>
      <c r="CK282" s="1356"/>
      <c r="CL282" s="1406"/>
      <c r="CM282" s="1356"/>
      <c r="CN282" s="1406"/>
      <c r="CO282" s="1356"/>
      <c r="CP282" s="1406"/>
      <c r="CQ282" s="1356"/>
      <c r="CR282" s="1406"/>
      <c r="CS282" s="1356"/>
      <c r="CT282" s="1406"/>
      <c r="CU282" s="1356"/>
      <c r="CV282" s="1406"/>
      <c r="CW282" s="1356"/>
      <c r="CX282" s="1406"/>
      <c r="CY282" s="1356"/>
      <c r="CZ282" s="1406"/>
      <c r="DA282" s="1356"/>
      <c r="DB282" s="1406"/>
      <c r="DC282" s="1356"/>
      <c r="DD282" s="1406"/>
      <c r="DE282" s="1356"/>
      <c r="DF282" s="1406"/>
      <c r="DG282" s="1356"/>
      <c r="DH282" s="1406"/>
      <c r="DI282" s="1356"/>
      <c r="DJ282" s="1406"/>
      <c r="DK282" s="1356"/>
      <c r="DL282" s="1406"/>
      <c r="DM282" s="1356"/>
      <c r="DN282" s="1406"/>
      <c r="DO282" s="1356"/>
      <c r="DP282" s="1406"/>
      <c r="DQ282" s="1356"/>
      <c r="DR282" s="1406"/>
      <c r="DS282" s="1356"/>
      <c r="DT282" s="1406"/>
      <c r="DU282" s="1356"/>
      <c r="DV282" s="1406"/>
      <c r="DW282" s="1356"/>
      <c r="DX282" s="1406"/>
      <c r="DY282" s="1356"/>
      <c r="DZ282" s="1406"/>
      <c r="EA282" s="1356"/>
      <c r="EB282" s="1406"/>
      <c r="EC282" s="1356"/>
      <c r="ED282" s="1406"/>
      <c r="EE282" s="1356"/>
      <c r="EF282" s="1406"/>
      <c r="EG282" s="1356"/>
      <c r="EH282" s="1406"/>
      <c r="EI282" s="1356"/>
      <c r="EJ282" s="1406"/>
      <c r="EK282" s="1356"/>
      <c r="EL282" s="1406"/>
      <c r="EM282" s="1356"/>
      <c r="EN282" s="1406"/>
      <c r="EO282" s="1356"/>
      <c r="EP282" s="1406"/>
      <c r="EQ282" s="1356"/>
      <c r="ER282" s="1406"/>
      <c r="ES282" s="1356"/>
      <c r="ET282" s="1406"/>
      <c r="EU282" s="1356"/>
      <c r="EV282" s="1406"/>
      <c r="EW282" s="1356"/>
      <c r="EX282" s="1406"/>
      <c r="EY282" s="1356"/>
      <c r="EZ282" s="1406"/>
      <c r="FA282" s="1356"/>
      <c r="FB282" s="1406"/>
      <c r="FC282" s="1356"/>
      <c r="FD282" s="1406"/>
      <c r="FE282" s="1356"/>
      <c r="FF282" s="1406"/>
      <c r="FG282" s="1356"/>
      <c r="FH282" s="1406"/>
      <c r="FI282" s="1356"/>
      <c r="FJ282" s="1406"/>
      <c r="FK282" s="1356"/>
      <c r="FL282" s="1406"/>
      <c r="FM282" s="1356"/>
      <c r="FN282" s="1406"/>
      <c r="FO282" s="1356"/>
      <c r="FP282" s="1406"/>
      <c r="FQ282" s="1356"/>
      <c r="FR282" s="1406"/>
      <c r="FS282" s="1356"/>
      <c r="FT282" s="1406"/>
      <c r="FU282" s="1356"/>
      <c r="FV282" s="1406"/>
      <c r="FW282" s="1356"/>
      <c r="FX282" s="1406"/>
      <c r="FY282" s="1356"/>
      <c r="FZ282" s="1406"/>
      <c r="GA282" s="1356"/>
      <c r="GB282" s="1406"/>
      <c r="GC282" s="1356"/>
      <c r="GD282" s="1406"/>
      <c r="GE282" s="1356"/>
      <c r="GF282" s="1406"/>
      <c r="GG282" s="1356"/>
      <c r="GH282" s="1406"/>
      <c r="GI282" s="1356"/>
      <c r="GJ282" s="1406"/>
      <c r="GK282" s="1356"/>
      <c r="GL282" s="1406"/>
      <c r="GM282" s="1356"/>
      <c r="GN282" s="1406"/>
      <c r="GO282" s="1356"/>
      <c r="GP282" s="1406"/>
      <c r="GQ282" s="1356"/>
      <c r="GR282" s="1406"/>
      <c r="GS282" s="1356"/>
      <c r="GT282" s="1406"/>
      <c r="GU282" s="1356"/>
      <c r="GV282" s="1406"/>
      <c r="GW282" s="1356"/>
      <c r="GX282" s="1406"/>
      <c r="GY282" s="1356"/>
      <c r="GZ282" s="1406"/>
      <c r="HA282" s="1356"/>
      <c r="HB282" s="1406"/>
      <c r="HC282" s="1356"/>
      <c r="HD282" s="1406"/>
      <c r="HE282" s="1356"/>
      <c r="HH282" s="1406"/>
      <c r="HI282" s="1356"/>
      <c r="HJ282" s="1406"/>
      <c r="HK282" s="1356"/>
      <c r="HL282" s="1406"/>
      <c r="HM282" s="1356"/>
      <c r="HN282" s="1406"/>
      <c r="HO282" s="1356"/>
      <c r="HR282" s="1406"/>
      <c r="HS282" s="1356"/>
      <c r="IB282" s="1406"/>
      <c r="IC282" s="1356"/>
    </row>
    <row r="283" spans="1:241">
      <c r="A283" s="1149"/>
      <c r="B283" s="1149" t="s">
        <v>79</v>
      </c>
      <c r="C283" s="1149"/>
      <c r="D283" s="1149"/>
      <c r="E283" s="1143"/>
      <c r="F283" s="1537"/>
      <c r="G283" s="1356"/>
      <c r="H283" s="1537"/>
      <c r="I283" s="1356"/>
      <c r="J283" s="1537"/>
      <c r="K283" s="1356"/>
      <c r="L283" s="1537">
        <v>72</v>
      </c>
      <c r="M283" s="1356"/>
      <c r="N283" s="1537"/>
      <c r="O283" s="1356"/>
      <c r="P283" s="1537">
        <v>90</v>
      </c>
      <c r="Q283" s="1356"/>
      <c r="R283" s="1537">
        <v>36</v>
      </c>
      <c r="T283" s="1537"/>
      <c r="U283" s="1356"/>
      <c r="V283" s="1537"/>
      <c r="W283" s="1356"/>
      <c r="X283" s="1537"/>
      <c r="Y283" s="1356"/>
      <c r="Z283" s="1537">
        <v>36</v>
      </c>
      <c r="AA283" s="1356"/>
      <c r="AB283" s="1537">
        <v>27</v>
      </c>
      <c r="AC283" s="1356"/>
      <c r="AD283" s="1537">
        <v>36</v>
      </c>
      <c r="AE283" s="1356"/>
      <c r="AF283" s="1537"/>
      <c r="AG283" s="1356"/>
      <c r="AH283" s="1537"/>
      <c r="AI283" s="1356"/>
      <c r="AJ283" s="1537"/>
      <c r="AK283" s="1356"/>
      <c r="AL283" s="1537"/>
      <c r="AM283" s="1356"/>
      <c r="AN283" s="1537"/>
      <c r="AO283" s="1356"/>
      <c r="AP283" s="1537">
        <v>36</v>
      </c>
      <c r="AQ283" s="1356"/>
      <c r="AR283" s="1537"/>
      <c r="AS283" s="1356"/>
      <c r="AT283" s="1537"/>
      <c r="AU283" s="1356"/>
      <c r="AV283" s="1537"/>
      <c r="AW283" s="1356"/>
      <c r="AX283" s="1537"/>
      <c r="AY283" s="1356"/>
      <c r="AZ283" s="1537"/>
      <c r="BA283" s="1356"/>
      <c r="BB283" s="1537">
        <v>36</v>
      </c>
      <c r="BC283" s="1356"/>
      <c r="BD283" s="1537"/>
      <c r="BE283" s="1356"/>
      <c r="BF283" s="1537"/>
      <c r="BG283" s="1356"/>
      <c r="BH283" s="1537">
        <v>36</v>
      </c>
      <c r="BI283" s="1356"/>
      <c r="BJ283" s="1537">
        <v>36</v>
      </c>
      <c r="BK283" s="1356"/>
      <c r="BL283" s="1537">
        <v>36</v>
      </c>
      <c r="BM283" s="1356"/>
      <c r="BN283" s="1537"/>
      <c r="BO283" s="1356"/>
      <c r="BP283" s="1537"/>
      <c r="BQ283" s="1356"/>
      <c r="BR283" s="1537"/>
      <c r="BS283" s="1356"/>
      <c r="BT283" s="1537"/>
      <c r="BU283" s="1356"/>
      <c r="BV283" s="1537"/>
      <c r="BW283" s="1356"/>
      <c r="BX283" s="1537"/>
      <c r="BY283" s="1356"/>
      <c r="BZ283" s="1537">
        <v>36</v>
      </c>
      <c r="CA283" s="1356"/>
      <c r="CB283" s="1537"/>
      <c r="CC283" s="1356"/>
      <c r="CD283" s="1537">
        <v>36</v>
      </c>
      <c r="CE283" s="1356"/>
      <c r="CF283" s="1537"/>
      <c r="CG283" s="1356"/>
      <c r="CH283" s="1537"/>
      <c r="CI283" s="1356"/>
      <c r="CJ283" s="1537">
        <v>36</v>
      </c>
      <c r="CK283" s="1356"/>
      <c r="CL283" s="1537">
        <v>54</v>
      </c>
      <c r="CM283" s="1356"/>
      <c r="CN283" s="1537">
        <v>36</v>
      </c>
      <c r="CO283" s="1356"/>
      <c r="CP283" s="1537">
        <v>36</v>
      </c>
      <c r="CQ283" s="1356"/>
      <c r="CR283" s="1537"/>
      <c r="CS283" s="1356"/>
      <c r="CT283" s="1537"/>
      <c r="CU283" s="1356"/>
      <c r="CV283" s="1537">
        <v>36</v>
      </c>
      <c r="CW283" s="1356"/>
      <c r="CX283" s="1537">
        <v>27</v>
      </c>
      <c r="CY283" s="1356"/>
      <c r="CZ283" s="1537"/>
      <c r="DA283" s="1356"/>
      <c r="DB283" s="1537"/>
      <c r="DC283" s="1356"/>
      <c r="DD283" s="1537"/>
      <c r="DE283" s="1356"/>
      <c r="DF283" s="1537">
        <v>36</v>
      </c>
      <c r="DG283" s="1356"/>
      <c r="DH283" s="1537">
        <v>54</v>
      </c>
      <c r="DI283" s="1356"/>
      <c r="DJ283" s="1537"/>
      <c r="DK283" s="1356"/>
      <c r="DL283" s="1537">
        <v>27</v>
      </c>
      <c r="DM283" s="1356"/>
      <c r="DN283" s="1537"/>
      <c r="DO283" s="1356"/>
      <c r="DP283" s="1537"/>
      <c r="DQ283" s="1356"/>
      <c r="DR283" s="1537">
        <v>36</v>
      </c>
      <c r="DS283" s="1356"/>
      <c r="DT283" s="1537">
        <v>36</v>
      </c>
      <c r="DU283" s="1356"/>
      <c r="DV283" s="1537"/>
      <c r="DW283" s="1356"/>
      <c r="DX283" s="1537"/>
      <c r="DY283" s="1356"/>
      <c r="DZ283" s="1537">
        <v>54</v>
      </c>
      <c r="EA283" s="1356"/>
      <c r="EB283" s="1537"/>
      <c r="EC283" s="1356"/>
      <c r="ED283" s="1537"/>
      <c r="EE283" s="1356"/>
      <c r="EF283" s="1537"/>
      <c r="EG283" s="1356"/>
      <c r="EH283" s="1537"/>
      <c r="EI283" s="1356"/>
      <c r="EJ283" s="1537"/>
      <c r="EK283" s="1356"/>
      <c r="EL283" s="1537">
        <v>54</v>
      </c>
      <c r="EM283" s="1356"/>
      <c r="EN283" s="1537"/>
      <c r="EO283" s="1356"/>
      <c r="EP283" s="1537"/>
      <c r="EQ283" s="1356"/>
      <c r="ER283" s="1537"/>
      <c r="ES283" s="1356"/>
      <c r="ET283" s="1537">
        <v>27</v>
      </c>
      <c r="EU283" s="1356"/>
      <c r="EV283" s="1537"/>
      <c r="EW283" s="1356"/>
      <c r="EX283" s="1537"/>
      <c r="EY283" s="1356"/>
      <c r="EZ283" s="1537">
        <v>27</v>
      </c>
      <c r="FA283" s="1356"/>
      <c r="FB283" s="1537"/>
      <c r="FC283" s="1356"/>
      <c r="FD283" s="1537">
        <v>36</v>
      </c>
      <c r="FE283" s="1356"/>
      <c r="FF283" s="1537">
        <v>27</v>
      </c>
      <c r="FG283" s="1356"/>
      <c r="FH283" s="1537"/>
      <c r="FI283" s="1356"/>
      <c r="FJ283" s="1537"/>
      <c r="FK283" s="1356"/>
      <c r="FL283" s="1537"/>
      <c r="FM283" s="1356"/>
      <c r="FN283" s="1537"/>
      <c r="FO283" s="1356"/>
      <c r="FP283" s="1537"/>
      <c r="FQ283" s="1356"/>
      <c r="FR283" s="1537">
        <v>27</v>
      </c>
      <c r="FS283" s="1356"/>
      <c r="FT283" s="1537">
        <v>54</v>
      </c>
      <c r="FU283" s="1356"/>
      <c r="FV283" s="1537">
        <v>36</v>
      </c>
      <c r="FW283" s="1356"/>
      <c r="FX283" s="1537"/>
      <c r="FY283" s="1356"/>
      <c r="FZ283" s="1537"/>
      <c r="GA283" s="1356"/>
      <c r="GB283" s="1537"/>
      <c r="GC283" s="1356"/>
      <c r="GD283" s="1537">
        <v>36</v>
      </c>
      <c r="GE283" s="1356"/>
      <c r="GF283" s="1537">
        <v>36</v>
      </c>
      <c r="GG283" s="1356"/>
      <c r="GH283" s="1537"/>
      <c r="GI283" s="1356"/>
      <c r="GJ283" s="1537">
        <v>54</v>
      </c>
      <c r="GK283" s="1356"/>
      <c r="GL283" s="1537"/>
      <c r="GM283" s="1356"/>
      <c r="GN283" s="1537"/>
      <c r="GO283" s="1356"/>
      <c r="GP283" s="1537"/>
      <c r="GQ283" s="1356"/>
      <c r="GR283" s="1537"/>
      <c r="GS283" s="1356"/>
      <c r="GT283" s="1537"/>
      <c r="GU283" s="1356"/>
      <c r="GV283" s="1537"/>
      <c r="GW283" s="1356"/>
      <c r="GX283" s="1537"/>
      <c r="GY283" s="1356"/>
      <c r="GZ283" s="1537">
        <v>54</v>
      </c>
      <c r="HA283" s="1356"/>
      <c r="HB283" s="1537"/>
      <c r="HC283" s="1356"/>
      <c r="HD283" s="1537"/>
      <c r="HE283" s="1356"/>
      <c r="HF283" s="1537">
        <v>36</v>
      </c>
      <c r="HH283" s="1537">
        <v>22</v>
      </c>
      <c r="HI283" s="1356"/>
      <c r="HJ283" s="1537"/>
      <c r="HK283" s="1356"/>
      <c r="HL283" s="1537">
        <v>36</v>
      </c>
      <c r="HM283" s="1356"/>
      <c r="HN283" s="1537"/>
      <c r="HO283" s="1356"/>
      <c r="HP283" s="1537">
        <v>54</v>
      </c>
      <c r="HR283" s="1537"/>
      <c r="HS283" s="1356"/>
      <c r="HT283" s="1537">
        <v>36</v>
      </c>
      <c r="HV283" s="1537"/>
      <c r="HX283" s="1537"/>
      <c r="HZ283" s="1537">
        <v>36</v>
      </c>
      <c r="IB283" s="1537"/>
      <c r="IC283" s="1356"/>
      <c r="ID283" s="1537"/>
      <c r="IF283" s="1537"/>
    </row>
    <row r="284" spans="1:241">
      <c r="A284" s="1149"/>
      <c r="B284" s="1149"/>
      <c r="C284" s="1149"/>
      <c r="D284" s="1149"/>
      <c r="E284" s="1143"/>
      <c r="F284" s="1699"/>
      <c r="G284" s="1356"/>
      <c r="H284" s="1699"/>
      <c r="I284" s="1356"/>
      <c r="J284" s="1699"/>
      <c r="K284" s="1356"/>
      <c r="L284" s="1699"/>
      <c r="M284" s="1356"/>
      <c r="N284" s="1699"/>
      <c r="O284" s="1356"/>
      <c r="P284" s="1699"/>
      <c r="Q284" s="1356"/>
      <c r="R284" s="1699"/>
      <c r="T284" s="1699"/>
      <c r="U284" s="1356"/>
      <c r="V284" s="1699"/>
      <c r="W284" s="1356"/>
      <c r="X284" s="1699"/>
      <c r="Y284" s="1356"/>
      <c r="Z284" s="1699"/>
      <c r="AA284" s="1356"/>
      <c r="AB284" s="1699"/>
      <c r="AC284" s="1356"/>
      <c r="AD284" s="1699"/>
      <c r="AE284" s="1356"/>
      <c r="AF284" s="1699"/>
      <c r="AG284" s="1356"/>
      <c r="AH284" s="1699"/>
      <c r="AI284" s="1356"/>
      <c r="AJ284" s="1699"/>
      <c r="AK284" s="1356"/>
      <c r="AL284" s="1699"/>
      <c r="AM284" s="1356"/>
      <c r="AN284" s="1699"/>
      <c r="AO284" s="1356"/>
      <c r="AP284" s="1699"/>
      <c r="AQ284" s="1356"/>
      <c r="AR284" s="1699"/>
      <c r="AS284" s="1356"/>
      <c r="AT284" s="1699"/>
      <c r="AU284" s="1356"/>
      <c r="AV284" s="1699"/>
      <c r="AW284" s="1356"/>
      <c r="AX284" s="1699"/>
      <c r="AY284" s="1356"/>
      <c r="AZ284" s="1699"/>
      <c r="BA284" s="1356"/>
      <c r="BB284" s="1699"/>
      <c r="BC284" s="1356"/>
      <c r="BD284" s="1699"/>
      <c r="BE284" s="1356"/>
      <c r="BF284" s="1699"/>
      <c r="BG284" s="1356"/>
      <c r="BH284" s="1699"/>
      <c r="BI284" s="1356"/>
      <c r="BJ284" s="1699"/>
      <c r="BK284" s="1356"/>
      <c r="BL284" s="1699"/>
      <c r="BM284" s="1356"/>
      <c r="BN284" s="1699"/>
      <c r="BO284" s="1356"/>
      <c r="BP284" s="1699"/>
      <c r="BQ284" s="1356"/>
      <c r="BR284" s="1699"/>
      <c r="BS284" s="1356"/>
      <c r="BT284" s="1699"/>
      <c r="BU284" s="1356"/>
      <c r="BV284" s="1699"/>
      <c r="BW284" s="1356"/>
      <c r="BX284" s="1699"/>
      <c r="BY284" s="1356"/>
      <c r="BZ284" s="1699"/>
      <c r="CA284" s="1356"/>
      <c r="CB284" s="1699"/>
      <c r="CC284" s="1356"/>
      <c r="CD284" s="1699"/>
      <c r="CE284" s="1356"/>
      <c r="CF284" s="1699"/>
      <c r="CG284" s="1356"/>
      <c r="CH284" s="1699"/>
      <c r="CI284" s="1356"/>
      <c r="CJ284" s="1699"/>
      <c r="CK284" s="1356"/>
      <c r="CL284" s="1699"/>
      <c r="CM284" s="1356"/>
      <c r="CN284" s="1699"/>
      <c r="CO284" s="1356"/>
      <c r="CP284" s="1699"/>
      <c r="CQ284" s="1356"/>
      <c r="CR284" s="1699"/>
      <c r="CS284" s="1356"/>
      <c r="CT284" s="1699"/>
      <c r="CU284" s="1356"/>
      <c r="CV284" s="1699"/>
      <c r="CW284" s="1356"/>
      <c r="CX284" s="1699"/>
      <c r="CY284" s="1356"/>
      <c r="CZ284" s="1699"/>
      <c r="DA284" s="1356"/>
      <c r="DB284" s="1699"/>
      <c r="DC284" s="1356"/>
      <c r="DD284" s="1699"/>
      <c r="DE284" s="1356"/>
      <c r="DF284" s="1699"/>
      <c r="DG284" s="1356"/>
      <c r="DH284" s="1699"/>
      <c r="DI284" s="1356"/>
      <c r="DJ284" s="1699"/>
      <c r="DK284" s="1356"/>
      <c r="DL284" s="1699"/>
      <c r="DM284" s="1356"/>
      <c r="DN284" s="1699"/>
      <c r="DO284" s="1356"/>
      <c r="DP284" s="1699"/>
      <c r="DQ284" s="1356"/>
      <c r="DR284" s="1699"/>
      <c r="DS284" s="1356"/>
      <c r="DT284" s="1699"/>
      <c r="DU284" s="1356"/>
      <c r="DV284" s="1699"/>
      <c r="DW284" s="1356"/>
      <c r="DX284" s="1699"/>
      <c r="DY284" s="1356"/>
      <c r="DZ284" s="1699"/>
      <c r="EA284" s="1356"/>
      <c r="EB284" s="1699"/>
      <c r="EC284" s="1356"/>
      <c r="ED284" s="1699"/>
      <c r="EE284" s="1356"/>
      <c r="EF284" s="1699"/>
      <c r="EG284" s="1356"/>
      <c r="EH284" s="1699"/>
      <c r="EI284" s="1356"/>
      <c r="EJ284" s="1699"/>
      <c r="EK284" s="1356"/>
      <c r="EL284" s="1699"/>
      <c r="EM284" s="1356"/>
      <c r="EN284" s="1699"/>
      <c r="EO284" s="1356"/>
      <c r="EP284" s="1699"/>
      <c r="EQ284" s="1356"/>
      <c r="ER284" s="1699"/>
      <c r="ES284" s="1356"/>
      <c r="ET284" s="1699"/>
      <c r="EU284" s="1356"/>
      <c r="EV284" s="1699"/>
      <c r="EW284" s="1356"/>
      <c r="EX284" s="1699"/>
      <c r="EY284" s="1356"/>
      <c r="EZ284" s="1699"/>
      <c r="FA284" s="1356"/>
      <c r="FB284" s="1699"/>
      <c r="FC284" s="1356"/>
      <c r="FD284" s="1699"/>
      <c r="FE284" s="1356"/>
      <c r="FF284" s="1699"/>
      <c r="FG284" s="1356"/>
      <c r="FH284" s="1699"/>
      <c r="FI284" s="1356"/>
      <c r="FJ284" s="1699"/>
      <c r="FK284" s="1356"/>
      <c r="FL284" s="1699"/>
      <c r="FM284" s="1356"/>
      <c r="FN284" s="1699"/>
      <c r="FO284" s="1356"/>
      <c r="FP284" s="1699"/>
      <c r="FQ284" s="1356"/>
      <c r="FR284" s="1699"/>
      <c r="FS284" s="1356"/>
      <c r="FT284" s="1699"/>
      <c r="FU284" s="1356"/>
      <c r="FV284" s="1699"/>
      <c r="FW284" s="1356"/>
      <c r="FX284" s="1699"/>
      <c r="FY284" s="1356"/>
      <c r="FZ284" s="1699"/>
      <c r="GA284" s="1356"/>
      <c r="GB284" s="1699"/>
      <c r="GC284" s="1356"/>
      <c r="GD284" s="1699"/>
      <c r="GE284" s="1356"/>
      <c r="GF284" s="1699"/>
      <c r="GG284" s="1356"/>
      <c r="GH284" s="1699"/>
      <c r="GI284" s="1356"/>
      <c r="GJ284" s="1699"/>
      <c r="GK284" s="1356"/>
      <c r="GL284" s="1699"/>
      <c r="GM284" s="1356"/>
      <c r="GN284" s="1699"/>
      <c r="GO284" s="1356"/>
      <c r="GP284" s="1699"/>
      <c r="GQ284" s="1356"/>
      <c r="GR284" s="1699"/>
      <c r="GS284" s="1356"/>
      <c r="GT284" s="1699"/>
      <c r="GU284" s="1356"/>
      <c r="GV284" s="1699"/>
      <c r="GW284" s="1356"/>
      <c r="GX284" s="1699"/>
      <c r="GY284" s="1356"/>
      <c r="GZ284" s="1699"/>
      <c r="HA284" s="1356"/>
      <c r="HB284" s="1699"/>
      <c r="HC284" s="1356"/>
      <c r="HD284" s="1699"/>
      <c r="HE284" s="1356"/>
      <c r="HF284" s="2042"/>
      <c r="HH284" s="1699"/>
      <c r="HI284" s="1356"/>
      <c r="HJ284" s="1699"/>
      <c r="HK284" s="1356"/>
      <c r="HL284" s="1699"/>
      <c r="HM284" s="1356"/>
      <c r="HN284" s="1699"/>
      <c r="HO284" s="1356"/>
      <c r="HP284" s="2042"/>
      <c r="HR284" s="1699"/>
      <c r="HS284" s="1356"/>
      <c r="HT284" s="2042"/>
      <c r="HV284" s="2042"/>
      <c r="HX284" s="2042"/>
      <c r="HZ284" s="2042"/>
      <c r="IB284" s="1699"/>
      <c r="IC284" s="1356"/>
      <c r="ID284" s="2042"/>
      <c r="IF284" s="2042"/>
    </row>
    <row r="285" spans="1:241">
      <c r="A285" s="1149"/>
      <c r="B285" s="1149" t="s">
        <v>1266</v>
      </c>
      <c r="C285" s="1149"/>
      <c r="D285" s="1149"/>
      <c r="E285" s="1143"/>
      <c r="F285" s="1537"/>
      <c r="G285" s="1356"/>
      <c r="H285" s="1537"/>
      <c r="I285" s="1356"/>
      <c r="J285" s="1537"/>
      <c r="K285" s="1356"/>
      <c r="L285" s="1537">
        <v>625</v>
      </c>
      <c r="M285" s="1356"/>
      <c r="N285" s="1537"/>
      <c r="O285" s="1356"/>
      <c r="P285" s="1537">
        <v>430</v>
      </c>
      <c r="Q285" s="1356"/>
      <c r="R285" s="1537">
        <v>235</v>
      </c>
      <c r="T285" s="1537"/>
      <c r="U285" s="1356"/>
      <c r="V285" s="1537"/>
      <c r="W285" s="1356"/>
      <c r="X285" s="1537"/>
      <c r="Y285" s="1356"/>
      <c r="Z285" s="1537">
        <v>187</v>
      </c>
      <c r="AA285" s="1356"/>
      <c r="AB285" s="1537">
        <v>165</v>
      </c>
      <c r="AC285" s="1356"/>
      <c r="AD285" s="1537">
        <v>210</v>
      </c>
      <c r="AE285" s="1356"/>
      <c r="AF285" s="1537"/>
      <c r="AG285" s="1356"/>
      <c r="AH285" s="1537"/>
      <c r="AI285" s="1356"/>
      <c r="AJ285" s="1537"/>
      <c r="AK285" s="1356"/>
      <c r="AL285" s="1537"/>
      <c r="AM285" s="1356"/>
      <c r="AN285" s="1537"/>
      <c r="AO285" s="1356"/>
      <c r="AP285" s="1537">
        <v>123</v>
      </c>
      <c r="AQ285" s="1356"/>
      <c r="AR285" s="1537"/>
      <c r="AS285" s="1356"/>
      <c r="AT285" s="1537"/>
      <c r="AU285" s="1356"/>
      <c r="AV285" s="1537"/>
      <c r="AW285" s="1356"/>
      <c r="AX285" s="1537"/>
      <c r="AY285" s="1356"/>
      <c r="AZ285" s="1537"/>
      <c r="BA285" s="1356"/>
      <c r="BB285" s="1537">
        <v>275</v>
      </c>
      <c r="BC285" s="1356"/>
      <c r="BD285" s="1537"/>
      <c r="BE285" s="1356"/>
      <c r="BF285" s="1537"/>
      <c r="BG285" s="1356"/>
      <c r="BH285" s="1537">
        <v>205</v>
      </c>
      <c r="BI285" s="1356"/>
      <c r="BJ285" s="1537">
        <v>375</v>
      </c>
      <c r="BK285" s="1356"/>
      <c r="BL285" s="1537">
        <v>210</v>
      </c>
      <c r="BM285" s="1356"/>
      <c r="BN285" s="1537"/>
      <c r="BO285" s="1356"/>
      <c r="BP285" s="1537"/>
      <c r="BQ285" s="1356"/>
      <c r="BR285" s="1537"/>
      <c r="BS285" s="1356"/>
      <c r="BT285" s="1537"/>
      <c r="BU285" s="1356"/>
      <c r="BV285" s="1537"/>
      <c r="BW285" s="1356"/>
      <c r="BX285" s="1537"/>
      <c r="BY285" s="1356"/>
      <c r="BZ285" s="1537">
        <v>232</v>
      </c>
      <c r="CA285" s="1356"/>
      <c r="CB285" s="1537"/>
      <c r="CC285" s="1356"/>
      <c r="CD285" s="1537">
        <v>225</v>
      </c>
      <c r="CE285" s="1356"/>
      <c r="CF285" s="1537"/>
      <c r="CG285" s="1356"/>
      <c r="CH285" s="1537"/>
      <c r="CI285" s="1356"/>
      <c r="CJ285" s="1537">
        <v>275</v>
      </c>
      <c r="CK285" s="1356"/>
      <c r="CL285" s="1537">
        <v>261</v>
      </c>
      <c r="CM285" s="1356"/>
      <c r="CN285" s="1537">
        <v>201</v>
      </c>
      <c r="CO285" s="1356"/>
      <c r="CP285" s="1537">
        <v>300</v>
      </c>
      <c r="CQ285" s="1356"/>
      <c r="CR285" s="1537"/>
      <c r="CS285" s="1356"/>
      <c r="CT285" s="1537"/>
      <c r="CU285" s="1356"/>
      <c r="CV285" s="1537">
        <v>220</v>
      </c>
      <c r="CW285" s="1356"/>
      <c r="CX285" s="1537">
        <v>250</v>
      </c>
      <c r="CY285" s="1356"/>
      <c r="CZ285" s="1537"/>
      <c r="DA285" s="1356"/>
      <c r="DB285" s="1537"/>
      <c r="DC285" s="1356"/>
      <c r="DD285" s="1537"/>
      <c r="DE285" s="1356"/>
      <c r="DF285" s="1537">
        <v>185</v>
      </c>
      <c r="DG285" s="1356"/>
      <c r="DH285" s="1537">
        <v>250</v>
      </c>
      <c r="DI285" s="1356"/>
      <c r="DJ285" s="1537"/>
      <c r="DK285" s="1356"/>
      <c r="DL285" s="1537">
        <v>222</v>
      </c>
      <c r="DM285" s="1356"/>
      <c r="DN285" s="1537"/>
      <c r="DO285" s="1356"/>
      <c r="DP285" s="1537"/>
      <c r="DQ285" s="1356"/>
      <c r="DR285" s="1537">
        <v>300</v>
      </c>
      <c r="DS285" s="1356"/>
      <c r="DT285" s="1537">
        <v>240</v>
      </c>
      <c r="DU285" s="1356"/>
      <c r="DV285" s="1537"/>
      <c r="DW285" s="1356"/>
      <c r="DX285" s="1537"/>
      <c r="DY285" s="1356"/>
      <c r="DZ285" s="1537">
        <v>483</v>
      </c>
      <c r="EA285" s="1356"/>
      <c r="EB285" s="1537"/>
      <c r="EC285" s="1356"/>
      <c r="ED285" s="1537"/>
      <c r="EE285" s="1356"/>
      <c r="EF285" s="1537"/>
      <c r="EG285" s="1356"/>
      <c r="EH285" s="1537"/>
      <c r="EI285" s="1356"/>
      <c r="EJ285" s="1537"/>
      <c r="EK285" s="1356"/>
      <c r="EL285" s="1537">
        <v>400</v>
      </c>
      <c r="EM285" s="1356"/>
      <c r="EN285" s="1537"/>
      <c r="EO285" s="1356"/>
      <c r="EP285" s="1537"/>
      <c r="EQ285" s="1356"/>
      <c r="ER285" s="1537"/>
      <c r="ES285" s="1356"/>
      <c r="ET285" s="1537">
        <v>244</v>
      </c>
      <c r="EU285" s="1356"/>
      <c r="EV285" s="1537"/>
      <c r="EW285" s="1356"/>
      <c r="EX285" s="1537"/>
      <c r="EY285" s="1356"/>
      <c r="EZ285" s="1537">
        <v>135</v>
      </c>
      <c r="FA285" s="1356"/>
      <c r="FB285" s="1537"/>
      <c r="FC285" s="1356"/>
      <c r="FD285" s="1537">
        <v>190</v>
      </c>
      <c r="FE285" s="1356"/>
      <c r="FF285" s="1537">
        <v>150</v>
      </c>
      <c r="FG285" s="1356"/>
      <c r="FH285" s="1537"/>
      <c r="FI285" s="1356"/>
      <c r="FJ285" s="1537"/>
      <c r="FK285" s="1356"/>
      <c r="FL285" s="1537"/>
      <c r="FM285" s="1356"/>
      <c r="FN285" s="1537"/>
      <c r="FO285" s="1356"/>
      <c r="FP285" s="1537"/>
      <c r="FQ285" s="1356"/>
      <c r="FR285" s="1537">
        <v>200</v>
      </c>
      <c r="FS285" s="1356"/>
      <c r="FT285" s="1537">
        <v>330</v>
      </c>
      <c r="FU285" s="1356"/>
      <c r="FV285" s="1537">
        <v>290</v>
      </c>
      <c r="FW285" s="1356"/>
      <c r="FX285" s="1537"/>
      <c r="FY285" s="1356"/>
      <c r="FZ285" s="1537"/>
      <c r="GA285" s="1356"/>
      <c r="GB285" s="1537"/>
      <c r="GC285" s="1356"/>
      <c r="GD285" s="1537">
        <v>230</v>
      </c>
      <c r="GE285" s="1356"/>
      <c r="GF285" s="1537">
        <v>188</v>
      </c>
      <c r="GG285" s="1356"/>
      <c r="GH285" s="1537"/>
      <c r="GI285" s="1356"/>
      <c r="GJ285" s="1537">
        <v>312</v>
      </c>
      <c r="GK285" s="1356"/>
      <c r="GL285" s="1537"/>
      <c r="GM285" s="1356"/>
      <c r="GN285" s="1537"/>
      <c r="GO285" s="1356"/>
      <c r="GP285" s="1537"/>
      <c r="GQ285" s="1356"/>
      <c r="GR285" s="1537"/>
      <c r="GS285" s="1356"/>
      <c r="GT285" s="1537"/>
      <c r="GU285" s="1356"/>
      <c r="GV285" s="1537"/>
      <c r="GW285" s="1356"/>
      <c r="GX285" s="1537"/>
      <c r="GY285" s="1356"/>
      <c r="GZ285" s="1537">
        <v>466</v>
      </c>
      <c r="HA285" s="1356"/>
      <c r="HB285" s="1537"/>
      <c r="HC285" s="1356"/>
      <c r="HD285" s="1537"/>
      <c r="HE285" s="1356"/>
      <c r="HF285" s="1537">
        <v>270</v>
      </c>
      <c r="HH285" s="1537">
        <v>97</v>
      </c>
      <c r="HI285" s="1356"/>
      <c r="HJ285" s="1537"/>
      <c r="HK285" s="1356"/>
      <c r="HL285" s="1537">
        <v>220</v>
      </c>
      <c r="HM285" s="1356"/>
      <c r="HN285" s="1537"/>
      <c r="HO285" s="1356"/>
      <c r="HP285" s="1537">
        <v>664</v>
      </c>
      <c r="HR285" s="1537"/>
      <c r="HS285" s="1356"/>
      <c r="HT285" s="1537">
        <v>212</v>
      </c>
      <c r="HV285" s="1537"/>
      <c r="HX285" s="1537"/>
      <c r="HZ285" s="1537">
        <v>220</v>
      </c>
      <c r="IB285" s="1537"/>
      <c r="IC285" s="1356"/>
      <c r="ID285" s="1537"/>
      <c r="IF285" s="1537"/>
    </row>
    <row r="286" spans="1:241">
      <c r="A286" s="1149"/>
      <c r="B286" s="1149"/>
      <c r="C286" s="1149"/>
      <c r="D286" s="1149"/>
      <c r="E286" s="1143"/>
      <c r="F286" s="1699"/>
      <c r="G286" s="1356"/>
      <c r="H286" s="1699"/>
      <c r="I286" s="1356"/>
      <c r="J286" s="1699"/>
      <c r="K286" s="1356"/>
      <c r="L286" s="1699"/>
      <c r="M286" s="1356"/>
      <c r="N286" s="1699"/>
      <c r="O286" s="1356"/>
      <c r="P286" s="1699"/>
      <c r="Q286" s="1356"/>
      <c r="R286" s="1699"/>
      <c r="T286" s="1699"/>
      <c r="U286" s="1356"/>
      <c r="V286" s="1699"/>
      <c r="W286" s="1356"/>
      <c r="X286" s="1699"/>
      <c r="Y286" s="1356"/>
      <c r="Z286" s="1699"/>
      <c r="AA286" s="1356"/>
      <c r="AB286" s="1699"/>
      <c r="AC286" s="1356"/>
      <c r="AD286" s="1699"/>
      <c r="AE286" s="1356"/>
      <c r="AF286" s="1699"/>
      <c r="AG286" s="1356"/>
      <c r="AH286" s="1699"/>
      <c r="AI286" s="1356"/>
      <c r="AJ286" s="1699"/>
      <c r="AK286" s="1356"/>
      <c r="AL286" s="1699"/>
      <c r="AM286" s="1356"/>
      <c r="AN286" s="1699"/>
      <c r="AO286" s="1356"/>
      <c r="AP286" s="1699"/>
      <c r="AQ286" s="1356"/>
      <c r="AR286" s="1699"/>
      <c r="AS286" s="1356"/>
      <c r="AT286" s="1699"/>
      <c r="AU286" s="1356"/>
      <c r="AV286" s="1699"/>
      <c r="AW286" s="1356"/>
      <c r="AX286" s="1699"/>
      <c r="AY286" s="1356"/>
      <c r="AZ286" s="1699"/>
      <c r="BA286" s="1356"/>
      <c r="BB286" s="1699"/>
      <c r="BC286" s="1356"/>
      <c r="BD286" s="1699"/>
      <c r="BE286" s="1356"/>
      <c r="BF286" s="1699"/>
      <c r="BG286" s="1356"/>
      <c r="BH286" s="1699"/>
      <c r="BI286" s="1356"/>
      <c r="BJ286" s="1699"/>
      <c r="BK286" s="1356"/>
      <c r="BL286" s="1699"/>
      <c r="BM286" s="1356"/>
      <c r="BN286" s="1699"/>
      <c r="BO286" s="1356"/>
      <c r="BP286" s="1699"/>
      <c r="BQ286" s="1356"/>
      <c r="BR286" s="1699"/>
      <c r="BS286" s="1356"/>
      <c r="BT286" s="1699"/>
      <c r="BU286" s="1356"/>
      <c r="BV286" s="1699"/>
      <c r="BW286" s="1356"/>
      <c r="BX286" s="1699"/>
      <c r="BY286" s="1356"/>
      <c r="BZ286" s="1699"/>
      <c r="CA286" s="1356"/>
      <c r="CB286" s="1699"/>
      <c r="CC286" s="1356"/>
      <c r="CD286" s="1699"/>
      <c r="CE286" s="1356"/>
      <c r="CF286" s="1699"/>
      <c r="CG286" s="1356"/>
      <c r="CH286" s="1699"/>
      <c r="CI286" s="1356"/>
      <c r="CJ286" s="1699"/>
      <c r="CK286" s="1356"/>
      <c r="CL286" s="1699"/>
      <c r="CM286" s="1356"/>
      <c r="CN286" s="1699"/>
      <c r="CO286" s="1356"/>
      <c r="CP286" s="1699"/>
      <c r="CQ286" s="1356"/>
      <c r="CR286" s="1699"/>
      <c r="CS286" s="1356"/>
      <c r="CT286" s="1699"/>
      <c r="CU286" s="1356"/>
      <c r="CV286" s="1699"/>
      <c r="CW286" s="1356"/>
      <c r="CX286" s="1699"/>
      <c r="CY286" s="1356"/>
      <c r="CZ286" s="1699"/>
      <c r="DA286" s="1356"/>
      <c r="DB286" s="1699"/>
      <c r="DC286" s="1356"/>
      <c r="DD286" s="1699"/>
      <c r="DE286" s="1356"/>
      <c r="DF286" s="1699"/>
      <c r="DG286" s="1356"/>
      <c r="DH286" s="1699"/>
      <c r="DI286" s="1356"/>
      <c r="DJ286" s="1699"/>
      <c r="DK286" s="1356"/>
      <c r="DL286" s="1699"/>
      <c r="DM286" s="1356"/>
      <c r="DN286" s="1699"/>
      <c r="DO286" s="1356"/>
      <c r="DP286" s="1699"/>
      <c r="DQ286" s="1356"/>
      <c r="DR286" s="1699"/>
      <c r="DS286" s="1356"/>
      <c r="DT286" s="1699"/>
      <c r="DU286" s="1356"/>
      <c r="DV286" s="1699"/>
      <c r="DW286" s="1356"/>
      <c r="DX286" s="1699"/>
      <c r="DY286" s="1356"/>
      <c r="DZ286" s="1699"/>
      <c r="EA286" s="1356"/>
      <c r="EB286" s="1699"/>
      <c r="EC286" s="1356"/>
      <c r="ED286" s="1699"/>
      <c r="EE286" s="1356"/>
      <c r="EF286" s="1699"/>
      <c r="EG286" s="1356"/>
      <c r="EH286" s="1699"/>
      <c r="EI286" s="1356"/>
      <c r="EJ286" s="1699"/>
      <c r="EK286" s="1356"/>
      <c r="EL286" s="1699"/>
      <c r="EM286" s="1356"/>
      <c r="EN286" s="1699"/>
      <c r="EO286" s="1356"/>
      <c r="EP286" s="1699"/>
      <c r="EQ286" s="1356"/>
      <c r="ER286" s="1699"/>
      <c r="ES286" s="1356"/>
      <c r="ET286" s="1699"/>
      <c r="EU286" s="1356"/>
      <c r="EV286" s="1699"/>
      <c r="EW286" s="1356"/>
      <c r="EX286" s="1699"/>
      <c r="EY286" s="1356"/>
      <c r="EZ286" s="1699"/>
      <c r="FA286" s="1356"/>
      <c r="FB286" s="1699"/>
      <c r="FC286" s="1356"/>
      <c r="FD286" s="1699"/>
      <c r="FE286" s="1356"/>
      <c r="FF286" s="1699"/>
      <c r="FG286" s="1356"/>
      <c r="FH286" s="1699"/>
      <c r="FI286" s="1356"/>
      <c r="FJ286" s="1699"/>
      <c r="FK286" s="1356"/>
      <c r="FL286" s="1699"/>
      <c r="FM286" s="1356"/>
      <c r="FN286" s="1699"/>
      <c r="FO286" s="1356"/>
      <c r="FP286" s="1699"/>
      <c r="FQ286" s="1356"/>
      <c r="FR286" s="1699"/>
      <c r="FS286" s="1356"/>
      <c r="FT286" s="1699"/>
      <c r="FU286" s="1356"/>
      <c r="FV286" s="1699"/>
      <c r="FW286" s="1356"/>
      <c r="FX286" s="1699"/>
      <c r="FY286" s="1356"/>
      <c r="FZ286" s="1699"/>
      <c r="GA286" s="1356"/>
      <c r="GB286" s="1699"/>
      <c r="GC286" s="1356"/>
      <c r="GD286" s="1699"/>
      <c r="GE286" s="1356"/>
      <c r="GF286" s="1699"/>
      <c r="GG286" s="1356"/>
      <c r="GH286" s="1699"/>
      <c r="GI286" s="1356"/>
      <c r="GJ286" s="1699"/>
      <c r="GK286" s="1356"/>
      <c r="GL286" s="1699"/>
      <c r="GM286" s="1356"/>
      <c r="GN286" s="1699"/>
      <c r="GO286" s="1356"/>
      <c r="GP286" s="1699"/>
      <c r="GQ286" s="1356"/>
      <c r="GR286" s="1699"/>
      <c r="GS286" s="1356"/>
      <c r="GT286" s="1699"/>
      <c r="GU286" s="1356"/>
      <c r="GV286" s="1699"/>
      <c r="GW286" s="1356"/>
      <c r="GX286" s="1699"/>
      <c r="GY286" s="1356"/>
      <c r="GZ286" s="1699"/>
      <c r="HA286" s="1356"/>
      <c r="HB286" s="1699"/>
      <c r="HC286" s="1356"/>
      <c r="HD286" s="1699"/>
      <c r="HE286" s="1356"/>
      <c r="HF286" s="2042"/>
      <c r="HH286" s="1699"/>
      <c r="HI286" s="1356"/>
      <c r="HJ286" s="1699"/>
      <c r="HK286" s="1356"/>
      <c r="HL286" s="1699"/>
      <c r="HM286" s="1356"/>
      <c r="HN286" s="1699"/>
      <c r="HO286" s="1356"/>
      <c r="HP286" s="2042"/>
      <c r="HR286" s="1699"/>
      <c r="HS286" s="1356"/>
      <c r="HT286" s="2042"/>
      <c r="HV286" s="2042"/>
      <c r="HX286" s="2042"/>
      <c r="HZ286" s="2042"/>
      <c r="IB286" s="1699"/>
      <c r="IC286" s="1356"/>
      <c r="ID286" s="2042"/>
      <c r="IF286" s="2042"/>
    </row>
    <row r="287" spans="1:241">
      <c r="A287" s="1149"/>
      <c r="B287" s="1149" t="s">
        <v>1264</v>
      </c>
      <c r="C287" s="1149"/>
      <c r="D287" s="1149"/>
      <c r="E287" s="1143"/>
      <c r="F287" s="1537"/>
      <c r="G287" s="1356"/>
      <c r="H287" s="1537"/>
      <c r="I287" s="1356"/>
      <c r="J287" s="1537"/>
      <c r="K287" s="1356"/>
      <c r="L287" s="1537">
        <v>116306</v>
      </c>
      <c r="M287" s="1356"/>
      <c r="N287" s="1537"/>
      <c r="O287" s="1356"/>
      <c r="P287" s="1537">
        <v>116801</v>
      </c>
      <c r="Q287" s="1356"/>
      <c r="R287" s="1537">
        <v>52500</v>
      </c>
      <c r="T287" s="1537"/>
      <c r="U287" s="1356"/>
      <c r="V287" s="1537"/>
      <c r="W287" s="1356"/>
      <c r="X287" s="1537"/>
      <c r="Y287" s="1356"/>
      <c r="Z287" s="1537">
        <v>49934</v>
      </c>
      <c r="AA287" s="1356"/>
      <c r="AB287" s="1537">
        <v>60946</v>
      </c>
      <c r="AC287" s="1356"/>
      <c r="AD287" s="1537">
        <v>39707</v>
      </c>
      <c r="AE287" s="1356"/>
      <c r="AF287" s="1537"/>
      <c r="AG287" s="1356"/>
      <c r="AH287" s="1537"/>
      <c r="AI287" s="1356"/>
      <c r="AJ287" s="1537"/>
      <c r="AK287" s="1356"/>
      <c r="AL287" s="1537"/>
      <c r="AM287" s="1356"/>
      <c r="AN287" s="1537"/>
      <c r="AO287" s="1356"/>
      <c r="AP287" s="1537">
        <v>36851</v>
      </c>
      <c r="AQ287" s="1356"/>
      <c r="AR287" s="1537"/>
      <c r="AS287" s="1356"/>
      <c r="AT287" s="1537"/>
      <c r="AU287" s="1356"/>
      <c r="AV287" s="1537"/>
      <c r="AW287" s="1356"/>
      <c r="AX287" s="1537"/>
      <c r="AY287" s="1356"/>
      <c r="AZ287" s="1537"/>
      <c r="BA287" s="1356"/>
      <c r="BB287" s="1537">
        <v>42506</v>
      </c>
      <c r="BC287" s="1356"/>
      <c r="BD287" s="1537"/>
      <c r="BE287" s="1356"/>
      <c r="BF287" s="1537"/>
      <c r="BG287" s="1356"/>
      <c r="BH287" s="1537">
        <v>60000</v>
      </c>
      <c r="BI287" s="1356"/>
      <c r="BJ287" s="1537">
        <v>54200</v>
      </c>
      <c r="BK287" s="1356"/>
      <c r="BL287" s="1537">
        <v>52148</v>
      </c>
      <c r="BM287" s="1356"/>
      <c r="BN287" s="1537"/>
      <c r="BO287" s="1356"/>
      <c r="BP287" s="1537"/>
      <c r="BQ287" s="1356"/>
      <c r="BR287" s="1537"/>
      <c r="BS287" s="1356"/>
      <c r="BT287" s="1537"/>
      <c r="BU287" s="1356"/>
      <c r="BV287" s="1537"/>
      <c r="BW287" s="1356"/>
      <c r="BX287" s="1537"/>
      <c r="BY287" s="1356"/>
      <c r="BZ287" s="1537">
        <v>68497</v>
      </c>
      <c r="CA287" s="1356"/>
      <c r="CB287" s="1537"/>
      <c r="CC287" s="1356"/>
      <c r="CD287" s="1537">
        <v>47414</v>
      </c>
      <c r="CE287" s="1356"/>
      <c r="CF287" s="1537"/>
      <c r="CG287" s="1356"/>
      <c r="CH287" s="1537"/>
      <c r="CI287" s="1356"/>
      <c r="CJ287" s="1537">
        <v>47000</v>
      </c>
      <c r="CK287" s="1356"/>
      <c r="CL287" s="1537">
        <v>76065</v>
      </c>
      <c r="CM287" s="1356"/>
      <c r="CN287" s="1537">
        <v>58609</v>
      </c>
      <c r="CO287" s="1356"/>
      <c r="CP287" s="1537">
        <v>66723</v>
      </c>
      <c r="CQ287" s="1356"/>
      <c r="CR287" s="1537"/>
      <c r="CS287" s="1356"/>
      <c r="CT287" s="1537"/>
      <c r="CU287" s="1356"/>
      <c r="CV287" s="1537">
        <v>46804</v>
      </c>
      <c r="CW287" s="1356"/>
      <c r="CX287" s="1537">
        <v>48992</v>
      </c>
      <c r="CY287" s="1356"/>
      <c r="CZ287" s="1537"/>
      <c r="DA287" s="1356"/>
      <c r="DB287" s="1537"/>
      <c r="DC287" s="1356"/>
      <c r="DD287" s="1537"/>
      <c r="DE287" s="1356"/>
      <c r="DF287" s="1537">
        <v>59758</v>
      </c>
      <c r="DG287" s="1356"/>
      <c r="DH287" s="1537">
        <v>152962</v>
      </c>
      <c r="DI287" s="1356"/>
      <c r="DJ287" s="1537"/>
      <c r="DK287" s="1356"/>
      <c r="DL287" s="1537">
        <v>49997</v>
      </c>
      <c r="DM287" s="1356"/>
      <c r="DN287" s="1537"/>
      <c r="DO287" s="1356"/>
      <c r="DP287" s="1537"/>
      <c r="DQ287" s="1356"/>
      <c r="DR287" s="1537">
        <v>53897</v>
      </c>
      <c r="DS287" s="1356"/>
      <c r="DT287" s="1537">
        <v>64100</v>
      </c>
      <c r="DU287" s="1356"/>
      <c r="DV287" s="1537"/>
      <c r="DW287" s="1356"/>
      <c r="DX287" s="1537"/>
      <c r="DY287" s="1356"/>
      <c r="DZ287" s="1537">
        <v>105354</v>
      </c>
      <c r="EA287" s="1356"/>
      <c r="EB287" s="1537"/>
      <c r="EC287" s="1356"/>
      <c r="ED287" s="1537"/>
      <c r="EE287" s="1356"/>
      <c r="EF287" s="1537"/>
      <c r="EG287" s="1356"/>
      <c r="EH287" s="1537"/>
      <c r="EI287" s="1356"/>
      <c r="EJ287" s="1537"/>
      <c r="EK287" s="1356"/>
      <c r="EL287" s="1537">
        <v>92754</v>
      </c>
      <c r="EM287" s="1356"/>
      <c r="EN287" s="1537"/>
      <c r="EO287" s="1356"/>
      <c r="EP287" s="1537"/>
      <c r="EQ287" s="1356"/>
      <c r="ER287" s="1537"/>
      <c r="ES287" s="1356"/>
      <c r="ET287" s="1537">
        <v>39732</v>
      </c>
      <c r="EU287" s="1356"/>
      <c r="EV287" s="1537"/>
      <c r="EW287" s="1356"/>
      <c r="EX287" s="1537"/>
      <c r="EY287" s="1356"/>
      <c r="EZ287" s="1537">
        <v>38152</v>
      </c>
      <c r="FA287" s="1356"/>
      <c r="FB287" s="1537"/>
      <c r="FC287" s="1356"/>
      <c r="FD287" s="1537">
        <v>46360</v>
      </c>
      <c r="FE287" s="1356"/>
      <c r="FF287" s="1537">
        <v>78000</v>
      </c>
      <c r="FG287" s="1356"/>
      <c r="FH287" s="1537"/>
      <c r="FI287" s="1356"/>
      <c r="FJ287" s="1537"/>
      <c r="FK287" s="1356"/>
      <c r="FL287" s="1537"/>
      <c r="FM287" s="1356"/>
      <c r="FN287" s="1537"/>
      <c r="FO287" s="1356"/>
      <c r="FP287" s="1537"/>
      <c r="FQ287" s="1356"/>
      <c r="FR287" s="1537">
        <v>50000</v>
      </c>
      <c r="FS287" s="1356"/>
      <c r="FT287" s="1537">
        <v>98000</v>
      </c>
      <c r="FU287" s="1356"/>
      <c r="FV287" s="1537">
        <v>40097</v>
      </c>
      <c r="FW287" s="1356"/>
      <c r="FX287" s="1537"/>
      <c r="FY287" s="1356"/>
      <c r="FZ287" s="1537"/>
      <c r="GA287" s="1356"/>
      <c r="GB287" s="1537"/>
      <c r="GC287" s="1356"/>
      <c r="GD287" s="1537">
        <v>51000</v>
      </c>
      <c r="GE287" s="1356"/>
      <c r="GF287" s="1537">
        <v>50000</v>
      </c>
      <c r="GG287" s="1356"/>
      <c r="GH287" s="1537"/>
      <c r="GI287" s="1356"/>
      <c r="GJ287" s="1537">
        <v>61253</v>
      </c>
      <c r="GK287" s="1356"/>
      <c r="GL287" s="1537"/>
      <c r="GM287" s="1356"/>
      <c r="GN287" s="1537"/>
      <c r="GO287" s="1356"/>
      <c r="GP287" s="1537"/>
      <c r="GQ287" s="1356"/>
      <c r="GR287" s="1537"/>
      <c r="GS287" s="1356"/>
      <c r="GT287" s="1537"/>
      <c r="GU287" s="1356"/>
      <c r="GV287" s="1537"/>
      <c r="GW287" s="1356"/>
      <c r="GX287" s="1537"/>
      <c r="GY287" s="1356"/>
      <c r="GZ287" s="1537">
        <v>75124</v>
      </c>
      <c r="HA287" s="1356"/>
      <c r="HB287" s="1537"/>
      <c r="HC287" s="1356"/>
      <c r="HD287" s="1537"/>
      <c r="HE287" s="1356"/>
      <c r="HF287" s="1537">
        <v>77195</v>
      </c>
      <c r="HH287" s="1537">
        <v>17000</v>
      </c>
      <c r="HI287" s="1356"/>
      <c r="HJ287" s="1537"/>
      <c r="HK287" s="1356"/>
      <c r="HL287" s="1537">
        <v>51453</v>
      </c>
      <c r="HM287" s="1356"/>
      <c r="HN287" s="1537"/>
      <c r="HO287" s="1356"/>
      <c r="HP287" s="1537">
        <v>106000</v>
      </c>
      <c r="HR287" s="1537"/>
      <c r="HS287" s="1356"/>
      <c r="HT287" s="1537">
        <v>51520</v>
      </c>
      <c r="HV287" s="1537"/>
      <c r="HX287" s="1537"/>
      <c r="HZ287" s="1537">
        <v>36000</v>
      </c>
      <c r="IB287" s="1537"/>
      <c r="IC287" s="1356"/>
      <c r="ID287" s="1537"/>
      <c r="IF287" s="1537"/>
    </row>
    <row r="288" spans="1:241">
      <c r="A288" s="1149"/>
      <c r="B288" s="1149"/>
      <c r="C288" s="1149"/>
      <c r="D288" s="1149"/>
      <c r="E288" s="1143"/>
      <c r="F288" s="1699"/>
      <c r="G288" s="1356"/>
      <c r="H288" s="1699"/>
      <c r="I288" s="1356"/>
      <c r="J288" s="1699"/>
      <c r="K288" s="1356"/>
      <c r="L288" s="1699"/>
      <c r="M288" s="1356"/>
      <c r="N288" s="1699"/>
      <c r="O288" s="1356"/>
      <c r="P288" s="1699"/>
      <c r="Q288" s="1356"/>
      <c r="R288" s="1699"/>
      <c r="T288" s="1699"/>
      <c r="U288" s="1356"/>
      <c r="V288" s="1699"/>
      <c r="W288" s="1356"/>
      <c r="X288" s="1699"/>
      <c r="Y288" s="1356"/>
      <c r="Z288" s="1699"/>
      <c r="AA288" s="1356"/>
      <c r="AB288" s="1699"/>
      <c r="AC288" s="1356"/>
      <c r="AD288" s="1699"/>
      <c r="AE288" s="1356"/>
      <c r="AF288" s="1699"/>
      <c r="AG288" s="1356"/>
      <c r="AH288" s="1699"/>
      <c r="AI288" s="1356"/>
      <c r="AJ288" s="1699"/>
      <c r="AK288" s="1356"/>
      <c r="AL288" s="1699"/>
      <c r="AM288" s="1356"/>
      <c r="AN288" s="1699"/>
      <c r="AO288" s="1356"/>
      <c r="AP288" s="1699"/>
      <c r="AQ288" s="1356"/>
      <c r="AR288" s="1699"/>
      <c r="AS288" s="1356"/>
      <c r="AT288" s="1699"/>
      <c r="AU288" s="1356"/>
      <c r="AV288" s="1699"/>
      <c r="AW288" s="1356"/>
      <c r="AX288" s="1699"/>
      <c r="AY288" s="1356"/>
      <c r="AZ288" s="1699"/>
      <c r="BA288" s="1356"/>
      <c r="BB288" s="1699"/>
      <c r="BC288" s="1356"/>
      <c r="BD288" s="1699"/>
      <c r="BE288" s="1356"/>
      <c r="BF288" s="1699"/>
      <c r="BG288" s="1356"/>
      <c r="BH288" s="1699"/>
      <c r="BI288" s="1356"/>
      <c r="BJ288" s="1699"/>
      <c r="BK288" s="1356"/>
      <c r="BL288" s="1699"/>
      <c r="BM288" s="1356"/>
      <c r="BN288" s="1699"/>
      <c r="BO288" s="1356"/>
      <c r="BP288" s="1699"/>
      <c r="BQ288" s="1356"/>
      <c r="BR288" s="1699"/>
      <c r="BS288" s="1356"/>
      <c r="BT288" s="1699"/>
      <c r="BU288" s="1356"/>
      <c r="BV288" s="1699"/>
      <c r="BW288" s="1356"/>
      <c r="BX288" s="1699"/>
      <c r="BY288" s="1356"/>
      <c r="BZ288" s="1699"/>
      <c r="CA288" s="1356"/>
      <c r="CB288" s="1699"/>
      <c r="CC288" s="1356"/>
      <c r="CD288" s="1699"/>
      <c r="CE288" s="1356"/>
      <c r="CF288" s="1699"/>
      <c r="CG288" s="1356"/>
      <c r="CH288" s="1699"/>
      <c r="CI288" s="1356"/>
      <c r="CJ288" s="1699"/>
      <c r="CK288" s="1356"/>
      <c r="CL288" s="1699"/>
      <c r="CM288" s="1356"/>
      <c r="CN288" s="1699"/>
      <c r="CO288" s="1356"/>
      <c r="CP288" s="1699"/>
      <c r="CQ288" s="1356"/>
      <c r="CR288" s="1699"/>
      <c r="CS288" s="1356"/>
      <c r="CT288" s="1699"/>
      <c r="CU288" s="1356"/>
      <c r="CV288" s="1699"/>
      <c r="CW288" s="1356"/>
      <c r="CX288" s="1699"/>
      <c r="CY288" s="1356"/>
      <c r="CZ288" s="1699"/>
      <c r="DA288" s="1356"/>
      <c r="DB288" s="1699"/>
      <c r="DC288" s="1356"/>
      <c r="DD288" s="1699"/>
      <c r="DE288" s="1356"/>
      <c r="DF288" s="1699"/>
      <c r="DG288" s="1356"/>
      <c r="DH288" s="1699"/>
      <c r="DI288" s="1356"/>
      <c r="DJ288" s="1699"/>
      <c r="DK288" s="1356"/>
      <c r="DL288" s="1699"/>
      <c r="DM288" s="1356"/>
      <c r="DN288" s="1699"/>
      <c r="DO288" s="1356"/>
      <c r="DP288" s="1699"/>
      <c r="DQ288" s="1356"/>
      <c r="DR288" s="1699"/>
      <c r="DS288" s="1356"/>
      <c r="DT288" s="1699"/>
      <c r="DU288" s="1356"/>
      <c r="DV288" s="1699"/>
      <c r="DW288" s="1356"/>
      <c r="DX288" s="1699"/>
      <c r="DY288" s="1356"/>
      <c r="DZ288" s="1699"/>
      <c r="EA288" s="1356"/>
      <c r="EB288" s="1699"/>
      <c r="EC288" s="1356"/>
      <c r="ED288" s="1699"/>
      <c r="EE288" s="1356"/>
      <c r="EF288" s="1699"/>
      <c r="EG288" s="1356"/>
      <c r="EH288" s="1699"/>
      <c r="EI288" s="1356"/>
      <c r="EJ288" s="1699"/>
      <c r="EK288" s="1356"/>
      <c r="EL288" s="1699"/>
      <c r="EM288" s="1356"/>
      <c r="EN288" s="1699"/>
      <c r="EO288" s="1356"/>
      <c r="EP288" s="1699"/>
      <c r="EQ288" s="1356"/>
      <c r="ER288" s="1699"/>
      <c r="ES288" s="1356"/>
      <c r="ET288" s="1699"/>
      <c r="EU288" s="1356"/>
      <c r="EV288" s="1699"/>
      <c r="EW288" s="1356"/>
      <c r="EX288" s="1699"/>
      <c r="EY288" s="1356"/>
      <c r="EZ288" s="1699"/>
      <c r="FA288" s="1356"/>
      <c r="FB288" s="1699"/>
      <c r="FC288" s="1356"/>
      <c r="FD288" s="1699"/>
      <c r="FE288" s="1356"/>
      <c r="FF288" s="1699"/>
      <c r="FG288" s="1356"/>
      <c r="FH288" s="1699"/>
      <c r="FI288" s="1356"/>
      <c r="FJ288" s="1699"/>
      <c r="FK288" s="1356"/>
      <c r="FL288" s="1699"/>
      <c r="FM288" s="1356"/>
      <c r="FN288" s="1699"/>
      <c r="FO288" s="1356"/>
      <c r="FP288" s="1699"/>
      <c r="FQ288" s="1356"/>
      <c r="FR288" s="1699"/>
      <c r="FS288" s="1356"/>
      <c r="FT288" s="1699"/>
      <c r="FU288" s="1356"/>
      <c r="FV288" s="1699"/>
      <c r="FW288" s="1356"/>
      <c r="FX288" s="1699"/>
      <c r="FY288" s="1356"/>
      <c r="FZ288" s="1699"/>
      <c r="GA288" s="1356"/>
      <c r="GB288" s="1699"/>
      <c r="GC288" s="1356"/>
      <c r="GD288" s="1699"/>
      <c r="GE288" s="1356"/>
      <c r="GF288" s="1699"/>
      <c r="GG288" s="1356"/>
      <c r="GH288" s="1699"/>
      <c r="GI288" s="1356"/>
      <c r="GJ288" s="1699"/>
      <c r="GK288" s="1356"/>
      <c r="GL288" s="1699"/>
      <c r="GM288" s="1356"/>
      <c r="GN288" s="1699"/>
      <c r="GO288" s="1356"/>
      <c r="GP288" s="1699"/>
      <c r="GQ288" s="1356"/>
      <c r="GR288" s="1699"/>
      <c r="GS288" s="1356"/>
      <c r="GT288" s="1699"/>
      <c r="GU288" s="1356"/>
      <c r="GV288" s="1699"/>
      <c r="GW288" s="1356"/>
      <c r="GX288" s="1699"/>
      <c r="GY288" s="1356"/>
      <c r="GZ288" s="1699"/>
      <c r="HA288" s="1356"/>
      <c r="HB288" s="1699"/>
      <c r="HC288" s="1356"/>
      <c r="HD288" s="1699"/>
      <c r="HE288" s="1356"/>
      <c r="HF288" s="2042"/>
      <c r="HH288" s="1699"/>
      <c r="HI288" s="1356"/>
      <c r="HJ288" s="1699"/>
      <c r="HK288" s="1356"/>
      <c r="HL288" s="1699"/>
      <c r="HM288" s="1356"/>
      <c r="HN288" s="1699"/>
      <c r="HO288" s="1356"/>
      <c r="HP288" s="2042"/>
      <c r="HR288" s="1699"/>
      <c r="HS288" s="1356"/>
      <c r="HT288" s="2042"/>
      <c r="HV288" s="2042"/>
      <c r="HX288" s="2042"/>
      <c r="HZ288" s="2042"/>
      <c r="IB288" s="1699"/>
      <c r="IC288" s="1356"/>
      <c r="ID288" s="2042"/>
      <c r="IF288" s="2042"/>
    </row>
    <row r="289" spans="1:241">
      <c r="A289" s="1149"/>
      <c r="B289" s="1149" t="s">
        <v>1265</v>
      </c>
      <c r="C289" s="1149"/>
      <c r="D289" s="1149"/>
      <c r="E289" s="1143"/>
      <c r="F289" s="1729"/>
      <c r="G289" s="1716" t="e">
        <f t="shared" ref="G289:G294" si="633">F289/F$296</f>
        <v>#DIV/0!</v>
      </c>
      <c r="H289" s="1729"/>
      <c r="I289" s="1716" t="e">
        <f t="shared" ref="I289:I294" si="634">H289/H$296</f>
        <v>#DIV/0!</v>
      </c>
      <c r="J289" s="1729"/>
      <c r="K289" s="1716" t="e">
        <f t="shared" ref="K289:K294" si="635">J289/J$296</f>
        <v>#DIV/0!</v>
      </c>
      <c r="L289" s="1729">
        <v>3728708</v>
      </c>
      <c r="M289" s="1716">
        <f t="shared" ref="M289:M294" si="636">L289/L$296</f>
        <v>0.52768175736739065</v>
      </c>
      <c r="N289" s="1729"/>
      <c r="O289" s="1716" t="e">
        <f t="shared" ref="O289:O294" si="637">N289/N$296</f>
        <v>#DIV/0!</v>
      </c>
      <c r="P289" s="1729">
        <v>5207208</v>
      </c>
      <c r="Q289" s="1716">
        <f t="shared" ref="Q289:Q294" si="638">P289/P$296</f>
        <v>0.5346658477067171</v>
      </c>
      <c r="R289" s="1729">
        <v>2386453</v>
      </c>
      <c r="S289" s="1716">
        <f t="shared" ref="S289:S294" si="639">R289/R$296</f>
        <v>0.51517391374741628</v>
      </c>
      <c r="T289" s="1729"/>
      <c r="U289" s="1716" t="e">
        <f t="shared" ref="U289:U294" si="640">T289/T$296</f>
        <v>#DIV/0!</v>
      </c>
      <c r="V289" s="1729"/>
      <c r="W289" s="1716" t="e">
        <f t="shared" ref="W289:W294" si="641">V289/V$296</f>
        <v>#DIV/0!</v>
      </c>
      <c r="X289" s="1729"/>
      <c r="Y289" s="1716" t="e">
        <f t="shared" ref="Y289:Y294" si="642">X289/X$296</f>
        <v>#DIV/0!</v>
      </c>
      <c r="Z289" s="1791">
        <v>1554328</v>
      </c>
      <c r="AA289" s="1716">
        <f t="shared" ref="AA289:AA294" si="643">Z289/Z$296</f>
        <v>0.42126226254115517</v>
      </c>
      <c r="AB289" s="1729">
        <v>960449</v>
      </c>
      <c r="AC289" s="1716">
        <f t="shared" ref="AC289:AC294" si="644">AB289/AB$296</f>
        <v>0.3700847020708119</v>
      </c>
      <c r="AD289" s="1729">
        <v>1621689</v>
      </c>
      <c r="AE289" s="1716">
        <f t="shared" ref="AE289:AE294" si="645">AD289/AD$296</f>
        <v>0.54766771065441622</v>
      </c>
      <c r="AF289" s="1729"/>
      <c r="AG289" s="1716" t="e">
        <f t="shared" ref="AG289:AG294" si="646">AF289/AF$296</f>
        <v>#DIV/0!</v>
      </c>
      <c r="AH289" s="1729"/>
      <c r="AI289" s="1716" t="e">
        <f t="shared" ref="AI289:AI294" si="647">AH289/AH$296</f>
        <v>#DIV/0!</v>
      </c>
      <c r="AJ289" s="1729"/>
      <c r="AK289" s="1716" t="e">
        <f t="shared" ref="AK289:AK294" si="648">AJ289/AJ$296</f>
        <v>#DIV/0!</v>
      </c>
      <c r="AL289" s="1729"/>
      <c r="AM289" s="1716" t="e">
        <f t="shared" ref="AM289:AM294" si="649">AL289/AL$296</f>
        <v>#DIV/0!</v>
      </c>
      <c r="AN289" s="1729"/>
      <c r="AO289" s="1716" t="e">
        <f t="shared" ref="AO289:AO294" si="650">AN289/AN$296</f>
        <v>#DIV/0!</v>
      </c>
      <c r="AP289" s="1729">
        <v>2337532</v>
      </c>
      <c r="AQ289" s="1716">
        <f t="shared" ref="AQ289:AQ294" si="651">AP289/AP$296</f>
        <v>0.51195023320519606</v>
      </c>
      <c r="AR289" s="1729"/>
      <c r="AS289" s="1716" t="e">
        <f t="shared" ref="AS289:AS294" si="652">AR289/AR$296</f>
        <v>#DIV/0!</v>
      </c>
      <c r="AT289" s="1729"/>
      <c r="AU289" s="1716" t="e">
        <f t="shared" ref="AU289:AU294" si="653">AT289/AT$296</f>
        <v>#DIV/0!</v>
      </c>
      <c r="AV289" s="1729"/>
      <c r="AW289" s="1716" t="e">
        <f t="shared" ref="AW289:AW294" si="654">AV289/AV$296</f>
        <v>#DIV/0!</v>
      </c>
      <c r="AX289" s="1729"/>
      <c r="AY289" s="1716" t="e">
        <f t="shared" ref="AY289:AY294" si="655">AX289/AX$296</f>
        <v>#DIV/0!</v>
      </c>
      <c r="AZ289" s="1729"/>
      <c r="BA289" s="1716" t="e">
        <f t="shared" ref="BA289:BA294" si="656">AZ289/AZ$296</f>
        <v>#DIV/0!</v>
      </c>
      <c r="BB289" s="1729">
        <v>1307790</v>
      </c>
      <c r="BC289" s="1716">
        <f t="shared" ref="BC289:BC294" si="657">BB289/BB$296</f>
        <v>0.44305131141209708</v>
      </c>
      <c r="BD289" s="1791"/>
      <c r="BE289" s="1716" t="e">
        <f t="shared" ref="BE289:BE294" si="658">BD289/BD$296</f>
        <v>#DIV/0!</v>
      </c>
      <c r="BF289" s="1729"/>
      <c r="BG289" s="1716" t="e">
        <f t="shared" ref="BG289:BG294" si="659">BF289/BF$296</f>
        <v>#DIV/0!</v>
      </c>
      <c r="BH289" s="1729">
        <v>1539298</v>
      </c>
      <c r="BI289" s="1716">
        <f t="shared" ref="BI289:BI294" si="660">BH289/BH$296</f>
        <v>0.42556218488161623</v>
      </c>
      <c r="BJ289" s="1729">
        <v>1993432</v>
      </c>
      <c r="BK289" s="1716">
        <f t="shared" ref="BK289:BK294" si="661">BJ289/BJ$296</f>
        <v>0.52755528338108437</v>
      </c>
      <c r="BL289" s="1729">
        <v>1629363</v>
      </c>
      <c r="BM289" s="1716">
        <f t="shared" ref="BM289:BM294" si="662">BL289/BL$296</f>
        <v>0.37665791384476965</v>
      </c>
      <c r="BN289" s="1729"/>
      <c r="BO289" s="1716" t="e">
        <f t="shared" ref="BO289:BO294" si="663">BN289/BN$296</f>
        <v>#DIV/0!</v>
      </c>
      <c r="BP289" s="1729"/>
      <c r="BQ289" s="1716" t="e">
        <f t="shared" ref="BQ289:BQ294" si="664">BP289/BP$296</f>
        <v>#DIV/0!</v>
      </c>
      <c r="BR289" s="1729"/>
      <c r="BS289" s="1716" t="e">
        <f t="shared" ref="BS289:BS294" si="665">BR289/BR$296</f>
        <v>#DIV/0!</v>
      </c>
      <c r="BT289" s="1729"/>
      <c r="BU289" s="1716" t="e">
        <f t="shared" ref="BU289:BU294" si="666">BT289/BT$296</f>
        <v>#DIV/0!</v>
      </c>
      <c r="BV289" s="1729"/>
      <c r="BW289" s="1716" t="e">
        <f t="shared" ref="BW289:BW294" si="667">BV289/BV$296</f>
        <v>#DIV/0!</v>
      </c>
      <c r="BX289" s="1729"/>
      <c r="BY289" s="1716" t="e">
        <f t="shared" ref="BY289:BY294" si="668">BX289/BX$296</f>
        <v>#DIV/0!</v>
      </c>
      <c r="BZ289" s="1729">
        <v>1527138</v>
      </c>
      <c r="CA289" s="1716">
        <f t="shared" ref="CA289:CA294" si="669">BZ289/BZ$296</f>
        <v>0.42631395143363376</v>
      </c>
      <c r="CB289" s="1729"/>
      <c r="CC289" s="1716" t="e">
        <f t="shared" ref="CC289:CC294" si="670">CB289/CB$296</f>
        <v>#DIV/0!</v>
      </c>
      <c r="CD289" s="1729">
        <v>1942496</v>
      </c>
      <c r="CE289" s="1716">
        <f t="shared" ref="CE289:CE294" si="671">CD289/CD$296</f>
        <v>0.46693369479804747</v>
      </c>
      <c r="CF289" s="1729"/>
      <c r="CG289" s="1716" t="e">
        <v>#DIV/0!</v>
      </c>
      <c r="CH289" s="1729"/>
      <c r="CI289" s="1716" t="e">
        <v>#DIV/0!</v>
      </c>
      <c r="CJ289" s="1729">
        <v>1414684</v>
      </c>
      <c r="CK289" s="1716">
        <v>0.44113190732227375</v>
      </c>
      <c r="CL289" s="1729">
        <v>3521789</v>
      </c>
      <c r="CM289" s="1716">
        <v>0.41133500220921854</v>
      </c>
      <c r="CN289" s="1729">
        <v>1551841</v>
      </c>
      <c r="CO289" s="1716">
        <f t="shared" ref="CO289:CO294" si="672">CN289/CN$296</f>
        <v>0.46415306417274482</v>
      </c>
      <c r="CP289" s="1729">
        <v>1667645</v>
      </c>
      <c r="CQ289" s="1716">
        <f t="shared" ref="CQ289:CQ294" si="673">CP289/CP$296</f>
        <v>0.48407818772240624</v>
      </c>
      <c r="CR289" s="1729"/>
      <c r="CS289" s="1716" t="e">
        <v>#DIV/0!</v>
      </c>
      <c r="CT289" s="1729"/>
      <c r="CU289" s="1716" t="e">
        <f t="shared" ref="CU289:CU294" si="674">CT289/CT$296</f>
        <v>#DIV/0!</v>
      </c>
      <c r="CV289" s="1729">
        <v>2435924</v>
      </c>
      <c r="CW289" s="1716">
        <f t="shared" ref="CW289:CY294" si="675">CV289/CV$296</f>
        <v>0.4954247036714638</v>
      </c>
      <c r="CX289" s="1715">
        <v>1870103</v>
      </c>
      <c r="CY289" s="1716">
        <f t="shared" si="675"/>
        <v>0.61321085093894789</v>
      </c>
      <c r="CZ289" s="1729"/>
      <c r="DA289" s="1716" t="e">
        <v>#DIV/0!</v>
      </c>
      <c r="DB289" s="1729"/>
      <c r="DC289" s="1716" t="e">
        <v>#DIV/0!</v>
      </c>
      <c r="DD289" s="1729"/>
      <c r="DE289" s="1716" t="e">
        <v>#DIV/0!</v>
      </c>
      <c r="DF289" s="1729">
        <v>2555894</v>
      </c>
      <c r="DG289" s="1716">
        <v>0.53891639575646888</v>
      </c>
      <c r="DH289" s="1729">
        <v>1362131</v>
      </c>
      <c r="DI289" s="1716">
        <v>0.40359640330040181</v>
      </c>
      <c r="DJ289" s="1729"/>
      <c r="DK289" s="1716" t="e">
        <v>#DIV/0!</v>
      </c>
      <c r="DL289" s="1729">
        <v>1325926</v>
      </c>
      <c r="DM289" s="1716">
        <v>0.48189170860133845</v>
      </c>
      <c r="DN289" s="1729"/>
      <c r="DO289" s="1716" t="e">
        <f t="shared" ref="DO289:DO294" si="676">DN289/DN$296</f>
        <v>#DIV/0!</v>
      </c>
      <c r="DP289" s="1729"/>
      <c r="DQ289" s="1716" t="e">
        <f t="shared" ref="DQ289:DQ294" si="677">DP289/DP$296</f>
        <v>#DIV/0!</v>
      </c>
      <c r="DR289" s="1729">
        <v>1863153</v>
      </c>
      <c r="DS289" s="1716">
        <f t="shared" ref="DS289:DS294" si="678">DR289/DR$296</f>
        <v>0.53445257961914994</v>
      </c>
      <c r="DT289" s="1729">
        <v>1718325</v>
      </c>
      <c r="DU289" s="1716">
        <f t="shared" ref="DU289:DU294" si="679">DT289/DT$296</f>
        <v>0.42592352524606808</v>
      </c>
      <c r="DV289" s="1729"/>
      <c r="DW289" s="1716" t="e">
        <f t="shared" ref="DW289:DW294" si="680">DV289/DV$296</f>
        <v>#DIV/0!</v>
      </c>
      <c r="DX289" s="1729"/>
      <c r="DY289" s="1716" t="e">
        <f t="shared" ref="DY289:DY294" si="681">DX289/DX$296</f>
        <v>#DIV/0!</v>
      </c>
      <c r="DZ289" s="1729">
        <v>2359212</v>
      </c>
      <c r="EA289" s="1716">
        <f t="shared" ref="EA289:EA294" si="682">DZ289/DZ$296</f>
        <v>0.40955654861827445</v>
      </c>
      <c r="EB289" s="1729"/>
      <c r="EC289" s="1716" t="e">
        <f t="shared" ref="EC289:EC294" si="683">EB289/EB$296</f>
        <v>#DIV/0!</v>
      </c>
      <c r="ED289" s="1729"/>
      <c r="EE289" s="1716" t="e">
        <f t="shared" ref="EE289:EE294" si="684">ED289/ED$296</f>
        <v>#DIV/0!</v>
      </c>
      <c r="EF289" s="1729"/>
      <c r="EG289" s="1716" t="e">
        <f t="shared" ref="EG289:EG294" si="685">EF289/EF$296</f>
        <v>#DIV/0!</v>
      </c>
      <c r="EH289" s="1729"/>
      <c r="EI289" s="1716" t="e">
        <f t="shared" ref="EI289:EI294" si="686">EH289/EH$296</f>
        <v>#DIV/0!</v>
      </c>
      <c r="EJ289" s="1729"/>
      <c r="EK289" s="1716" t="e">
        <f t="shared" ref="EK289:EK294" si="687">EJ289/EJ$296</f>
        <v>#DIV/0!</v>
      </c>
      <c r="EL289" s="1729">
        <v>3202230</v>
      </c>
      <c r="EM289" s="1716">
        <f t="shared" ref="EM289:EM294" si="688">EL289/EL$296</f>
        <v>0.4676591369022714</v>
      </c>
      <c r="EN289" s="1729"/>
      <c r="EO289" s="1716" t="e">
        <f t="shared" ref="EO289:EO294" si="689">EN289/EN$296</f>
        <v>#DIV/0!</v>
      </c>
      <c r="EP289" s="1729"/>
      <c r="EQ289" s="1716" t="e">
        <f t="shared" ref="EQ289:EQ294" si="690">EP289/EP$296</f>
        <v>#DIV/0!</v>
      </c>
      <c r="ER289" s="1729"/>
      <c r="ES289" s="1716" t="e">
        <f t="shared" ref="ES289:ES294" si="691">ER289/ER$296</f>
        <v>#DIV/0!</v>
      </c>
      <c r="ET289" s="1729">
        <v>1470815</v>
      </c>
      <c r="EU289" s="1716">
        <f t="shared" ref="EU289:EU294" si="692">ET289/ET$296</f>
        <v>0.45785749284176935</v>
      </c>
      <c r="EV289" s="1729"/>
      <c r="EW289" s="1716" t="e">
        <f t="shared" ref="EW289:EW294" si="693">EV289/EV$296</f>
        <v>#DIV/0!</v>
      </c>
      <c r="EX289" s="1729"/>
      <c r="EY289" s="1716" t="e">
        <f t="shared" ref="EY289:EY294" si="694">EX289/EX$296</f>
        <v>#DIV/0!</v>
      </c>
      <c r="EZ289" s="1729">
        <v>1386207</v>
      </c>
      <c r="FA289" s="1716">
        <f t="shared" ref="FA289:FA294" si="695">EZ289/EZ$296</f>
        <v>0.50059423145884097</v>
      </c>
      <c r="FB289" s="1729"/>
      <c r="FC289" s="1716" t="e">
        <f t="shared" ref="FC289:FC294" si="696">FB289/FB$296</f>
        <v>#DIV/0!</v>
      </c>
      <c r="FD289" s="1729">
        <v>862883</v>
      </c>
      <c r="FE289" s="1716">
        <f t="shared" ref="FE289:FE294" si="697">FD289/FD$296</f>
        <v>0.32142113479652551</v>
      </c>
      <c r="FF289" s="1729">
        <v>1133748</v>
      </c>
      <c r="FG289" s="1716">
        <f t="shared" ref="FG289:FG294" si="698">FF289/FF$296</f>
        <v>0.43977027562735499</v>
      </c>
      <c r="FH289" s="1729"/>
      <c r="FI289" s="1716" t="e">
        <f t="shared" ref="FI289:FI294" si="699">FH289/FH$296</f>
        <v>#DIV/0!</v>
      </c>
      <c r="FJ289" s="1729"/>
      <c r="FK289" s="1716" t="e">
        <f t="shared" ref="FK289:FK294" si="700">FJ289/FJ$296</f>
        <v>#DIV/0!</v>
      </c>
      <c r="FL289" s="1729"/>
      <c r="FM289" s="1716" t="e">
        <f t="shared" ref="FM289:FM294" si="701">FL289/FL$296</f>
        <v>#DIV/0!</v>
      </c>
      <c r="FN289" s="1729"/>
      <c r="FO289" s="1716" t="e">
        <f t="shared" ref="FO289:FO294" si="702">FN289/FN$296</f>
        <v>#DIV/0!</v>
      </c>
      <c r="FP289" s="1729"/>
      <c r="FQ289" s="1716" t="e">
        <f t="shared" ref="FQ289:FQ294" si="703">FP289/FP$296</f>
        <v>#DIV/0!</v>
      </c>
      <c r="FR289" s="1729">
        <v>1354159</v>
      </c>
      <c r="FS289" s="1716">
        <f t="shared" ref="FS289:FS294" si="704">FR289/FR$296</f>
        <v>0.45292234397587017</v>
      </c>
      <c r="FT289" s="1729">
        <v>2194589</v>
      </c>
      <c r="FU289" s="1716">
        <f t="shared" ref="FU289:FU294" si="705">FT289/FT$296</f>
        <v>0.40588861403305976</v>
      </c>
      <c r="FV289" s="1729">
        <v>1677941</v>
      </c>
      <c r="FW289" s="1716">
        <f t="shared" ref="FW289:FW294" si="706">FV289/FV$296</f>
        <v>0.47948952858635346</v>
      </c>
      <c r="FX289" s="1729"/>
      <c r="FY289" s="1716" t="e">
        <f t="shared" ref="FY289:FY294" si="707">FX289/FX$296</f>
        <v>#DIV/0!</v>
      </c>
      <c r="FZ289" s="1729"/>
      <c r="GA289" s="1716" t="e">
        <f t="shared" ref="GA289:GA294" si="708">FZ289/FZ$296</f>
        <v>#DIV/0!</v>
      </c>
      <c r="GB289" s="1729"/>
      <c r="GC289" s="1716" t="e">
        <f t="shared" ref="GC289:GC294" si="709">GB289/GB$296</f>
        <v>#DIV/0!</v>
      </c>
      <c r="GD289" s="1729">
        <v>1655118</v>
      </c>
      <c r="GE289" s="1716">
        <f t="shared" ref="GE289:GE294" si="710">GD289/GD$296</f>
        <v>0.55425037873866301</v>
      </c>
      <c r="GF289" s="1729">
        <v>1803798</v>
      </c>
      <c r="GG289" s="1716">
        <f t="shared" ref="GG289:GG294" si="711">GF289/GF$296</f>
        <v>0.56852556051267589</v>
      </c>
      <c r="GH289" s="1729"/>
      <c r="GI289" s="1716" t="e">
        <f t="shared" ref="GI289:GI294" si="712">GH289/GH$296</f>
        <v>#DIV/0!</v>
      </c>
      <c r="GJ289" s="1729">
        <v>5269408</v>
      </c>
      <c r="GK289" s="1716">
        <f t="shared" ref="GK289:GK294" si="713">GJ289/GJ$296</f>
        <v>0.49779867024643332</v>
      </c>
      <c r="GL289" s="1729"/>
      <c r="GM289" s="1716" t="e">
        <f t="shared" ref="GM289:GM294" si="714">GL289/GL$296</f>
        <v>#DIV/0!</v>
      </c>
      <c r="GN289" s="1729"/>
      <c r="GO289" s="1716" t="e">
        <f t="shared" ref="GO289:GO294" si="715">GN289/GN$296</f>
        <v>#DIV/0!</v>
      </c>
      <c r="GP289" s="1729"/>
      <c r="GQ289" s="1716" t="e">
        <f t="shared" ref="GQ289:GQ292" si="716">GP289/GP$296</f>
        <v>#DIV/0!</v>
      </c>
      <c r="GR289" s="1729"/>
      <c r="GS289" s="1716" t="e">
        <f t="shared" ref="GS289:GS294" si="717">GR289/GR$296</f>
        <v>#DIV/0!</v>
      </c>
      <c r="GT289" s="1729"/>
      <c r="GU289" s="1716" t="e">
        <f t="shared" ref="GU289:GU294" si="718">GT289/GT$296</f>
        <v>#DIV/0!</v>
      </c>
      <c r="GV289" s="1729"/>
      <c r="GW289" s="1716" t="e">
        <f t="shared" ref="GW289:GW294" si="719">GV289/GV$296</f>
        <v>#DIV/0!</v>
      </c>
      <c r="GX289" s="1729"/>
      <c r="GY289" s="1716" t="e">
        <f t="shared" ref="GY289:GY294" si="720">GX289/GX$296</f>
        <v>#DIV/0!</v>
      </c>
      <c r="GZ289" s="1729">
        <v>2246247</v>
      </c>
      <c r="HA289" s="1716">
        <f t="shared" ref="HA289:HA294" si="721">GZ289/GZ$296</f>
        <v>0.41135022308625979</v>
      </c>
      <c r="HB289" s="1729"/>
      <c r="HC289" s="1716" t="e">
        <f t="shared" ref="HC289:HC294" si="722">HB289/HB$296</f>
        <v>#DIV/0!</v>
      </c>
      <c r="HD289" s="1729"/>
      <c r="HE289" s="1716" t="e">
        <f t="shared" ref="HE289:HE294" si="723">HD289/HD$296</f>
        <v>#DIV/0!</v>
      </c>
      <c r="HF289" s="2050">
        <v>2383564</v>
      </c>
      <c r="HG289" s="2033">
        <f t="shared" ref="HG289:HG294" si="724">HF289/HF$296</f>
        <v>0.5115151666022506</v>
      </c>
      <c r="HH289" s="1729">
        <v>1674980</v>
      </c>
      <c r="HI289" s="1716">
        <f t="shared" ref="HI289:HI294" si="725">HH289/HH$296</f>
        <v>0.51928669308084852</v>
      </c>
      <c r="HJ289" s="1729"/>
      <c r="HK289" s="1716" t="e">
        <f t="shared" ref="HK289:HK294" si="726">HJ289/HJ$296</f>
        <v>#DIV/0!</v>
      </c>
      <c r="HL289" s="1729">
        <v>908117</v>
      </c>
      <c r="HM289" s="1716">
        <f t="shared" ref="HM289:HM294" si="727">HL289/HL$296</f>
        <v>0.3852569943983723</v>
      </c>
      <c r="HN289" s="1729"/>
      <c r="HO289" s="1716" t="e">
        <f t="shared" ref="HO289:HO294" si="728">HN289/HN$296</f>
        <v>#DIV/0!</v>
      </c>
      <c r="HP289" s="2050">
        <v>3109026</v>
      </c>
      <c r="HQ289" s="2033">
        <f t="shared" ref="HQ289:HQ294" si="729">HP289/HP$296</f>
        <v>0.47309030379934441</v>
      </c>
      <c r="HR289" s="1729"/>
      <c r="HS289" s="1716" t="e">
        <f t="shared" ref="HS289:HS294" si="730">HR289/HR$296</f>
        <v>#DIV/0!</v>
      </c>
      <c r="HT289" s="2050">
        <v>1621919</v>
      </c>
      <c r="HU289" s="2033">
        <f t="shared" ref="HU289:HU294" si="731">HT289/HT$296</f>
        <v>0.52918959147590261</v>
      </c>
      <c r="HV289" s="2050"/>
      <c r="HW289" s="2033" t="e">
        <f t="shared" ref="HW289:HW294" si="732">HV289/HV$296</f>
        <v>#DIV/0!</v>
      </c>
      <c r="HX289" s="2050"/>
      <c r="HY289" s="2033" t="e">
        <f t="shared" ref="HY289:HY294" si="733">HX289/HX$296</f>
        <v>#DIV/0!</v>
      </c>
      <c r="HZ289" s="2050">
        <f>932186+958640</f>
        <v>1890826</v>
      </c>
      <c r="IA289" s="2033">
        <f t="shared" ref="IA289:IA294" si="734">HZ289/HZ$296</f>
        <v>0.4820650702411261</v>
      </c>
      <c r="IB289" s="1729"/>
      <c r="IC289" s="1716" t="e">
        <f t="shared" ref="IC289:IC294" si="735">IB289/IB$296</f>
        <v>#DIV/0!</v>
      </c>
      <c r="ID289" s="2050"/>
      <c r="IE289" s="2033" t="e">
        <f t="shared" ref="IE289:IE294" si="736">ID289/ID$296</f>
        <v>#DIV/0!</v>
      </c>
      <c r="IF289" s="2050"/>
      <c r="IG289" s="2033" t="e">
        <f t="shared" ref="IG289:IG294" si="737">IF289/IF$296</f>
        <v>#DIV/0!</v>
      </c>
    </row>
    <row r="290" spans="1:241">
      <c r="A290" s="1149"/>
      <c r="B290" s="1149" t="s">
        <v>31</v>
      </c>
      <c r="C290" s="1149"/>
      <c r="D290" s="1149"/>
      <c r="E290" s="1143"/>
      <c r="F290" s="1729"/>
      <c r="G290" s="1716" t="e">
        <f t="shared" si="633"/>
        <v>#DIV/0!</v>
      </c>
      <c r="H290" s="1729"/>
      <c r="I290" s="1716" t="e">
        <f t="shared" si="634"/>
        <v>#DIV/0!</v>
      </c>
      <c r="J290" s="1729"/>
      <c r="K290" s="1716" t="e">
        <f t="shared" si="635"/>
        <v>#DIV/0!</v>
      </c>
      <c r="L290" s="1729">
        <v>1116189</v>
      </c>
      <c r="M290" s="1716">
        <f t="shared" si="636"/>
        <v>0.15796157089108356</v>
      </c>
      <c r="N290" s="1729"/>
      <c r="O290" s="1716" t="e">
        <f t="shared" si="637"/>
        <v>#DIV/0!</v>
      </c>
      <c r="P290" s="1729">
        <v>636685</v>
      </c>
      <c r="Q290" s="1716">
        <f t="shared" si="638"/>
        <v>6.5373560120346869E-2</v>
      </c>
      <c r="R290" s="1729">
        <v>486897</v>
      </c>
      <c r="S290" s="1716">
        <f t="shared" si="639"/>
        <v>0.1051085577976502</v>
      </c>
      <c r="T290" s="1729"/>
      <c r="U290" s="1716" t="e">
        <f t="shared" si="640"/>
        <v>#DIV/0!</v>
      </c>
      <c r="V290" s="1729"/>
      <c r="W290" s="1716" t="e">
        <f t="shared" si="641"/>
        <v>#DIV/0!</v>
      </c>
      <c r="X290" s="1729"/>
      <c r="Y290" s="1716" t="e">
        <f t="shared" si="642"/>
        <v>#DIV/0!</v>
      </c>
      <c r="Z290" s="1791">
        <v>212438</v>
      </c>
      <c r="AA290" s="1716">
        <f t="shared" si="643"/>
        <v>5.7576079521000668E-2</v>
      </c>
      <c r="AB290" s="1729">
        <v>334451</v>
      </c>
      <c r="AC290" s="1716">
        <f t="shared" si="644"/>
        <v>0.12887222402468543</v>
      </c>
      <c r="AD290" s="1729">
        <v>419573</v>
      </c>
      <c r="AE290" s="1716">
        <f t="shared" si="645"/>
        <v>0.14169583956134954</v>
      </c>
      <c r="AF290" s="1729"/>
      <c r="AG290" s="1716" t="e">
        <f t="shared" si="646"/>
        <v>#DIV/0!</v>
      </c>
      <c r="AH290" s="1729"/>
      <c r="AI290" s="1716" t="e">
        <f t="shared" si="647"/>
        <v>#DIV/0!</v>
      </c>
      <c r="AJ290" s="1729"/>
      <c r="AK290" s="1716" t="e">
        <f t="shared" si="648"/>
        <v>#DIV/0!</v>
      </c>
      <c r="AL290" s="1729"/>
      <c r="AM290" s="1716" t="e">
        <f t="shared" si="649"/>
        <v>#DIV/0!</v>
      </c>
      <c r="AN290" s="1729"/>
      <c r="AO290" s="1716" t="e">
        <f t="shared" si="650"/>
        <v>#DIV/0!</v>
      </c>
      <c r="AP290" s="1729">
        <v>407669</v>
      </c>
      <c r="AQ290" s="1716">
        <f t="shared" si="651"/>
        <v>8.9284869520729157E-2</v>
      </c>
      <c r="AR290" s="1729"/>
      <c r="AS290" s="1716" t="e">
        <f t="shared" si="652"/>
        <v>#DIV/0!</v>
      </c>
      <c r="AT290" s="1729"/>
      <c r="AU290" s="1716" t="e">
        <f t="shared" si="653"/>
        <v>#DIV/0!</v>
      </c>
      <c r="AV290" s="1729"/>
      <c r="AW290" s="1716" t="e">
        <f t="shared" si="654"/>
        <v>#DIV/0!</v>
      </c>
      <c r="AX290" s="1729"/>
      <c r="AY290" s="1716" t="e">
        <f t="shared" si="655"/>
        <v>#DIV/0!</v>
      </c>
      <c r="AZ290" s="1729"/>
      <c r="BA290" s="1716" t="e">
        <f t="shared" si="656"/>
        <v>#DIV/0!</v>
      </c>
      <c r="BB290" s="1729">
        <v>386777</v>
      </c>
      <c r="BC290" s="1716">
        <f t="shared" si="657"/>
        <v>0.13103178421156048</v>
      </c>
      <c r="BD290" s="1791"/>
      <c r="BE290" s="1716" t="e">
        <f t="shared" si="658"/>
        <v>#DIV/0!</v>
      </c>
      <c r="BF290" s="1729"/>
      <c r="BG290" s="1716" t="e">
        <f t="shared" si="659"/>
        <v>#DIV/0!</v>
      </c>
      <c r="BH290" s="1729">
        <v>273235</v>
      </c>
      <c r="BI290" s="1716">
        <f t="shared" si="660"/>
        <v>7.5539943263830928E-2</v>
      </c>
      <c r="BJ290" s="1729">
        <v>387877</v>
      </c>
      <c r="BK290" s="1716">
        <f t="shared" si="661"/>
        <v>0.10265038418767476</v>
      </c>
      <c r="BL290" s="1729">
        <v>360380</v>
      </c>
      <c r="BM290" s="1716">
        <f t="shared" si="662"/>
        <v>8.3308617534200852E-2</v>
      </c>
      <c r="BN290" s="1729"/>
      <c r="BO290" s="1716" t="e">
        <f t="shared" si="663"/>
        <v>#DIV/0!</v>
      </c>
      <c r="BP290" s="1729"/>
      <c r="BQ290" s="1716" t="e">
        <f t="shared" si="664"/>
        <v>#DIV/0!</v>
      </c>
      <c r="BR290" s="1729"/>
      <c r="BS290" s="1716" t="e">
        <f t="shared" si="665"/>
        <v>#DIV/0!</v>
      </c>
      <c r="BT290" s="1729"/>
      <c r="BU290" s="1716" t="e">
        <f t="shared" si="666"/>
        <v>#DIV/0!</v>
      </c>
      <c r="BV290" s="1729"/>
      <c r="BW290" s="1716" t="e">
        <f t="shared" si="667"/>
        <v>#DIV/0!</v>
      </c>
      <c r="BX290" s="1729"/>
      <c r="BY290" s="1716" t="e">
        <f t="shared" si="668"/>
        <v>#DIV/0!</v>
      </c>
      <c r="BZ290" s="1729">
        <v>133337</v>
      </c>
      <c r="CA290" s="1716">
        <f t="shared" si="669"/>
        <v>3.7222191669846749E-2</v>
      </c>
      <c r="CB290" s="1729"/>
      <c r="CC290" s="1716" t="e">
        <f t="shared" si="670"/>
        <v>#DIV/0!</v>
      </c>
      <c r="CD290" s="1729">
        <v>187412</v>
      </c>
      <c r="CE290" s="1716">
        <f t="shared" si="671"/>
        <v>4.5049759489590543E-2</v>
      </c>
      <c r="CF290" s="1729"/>
      <c r="CG290" s="1716" t="e">
        <v>#DIV/0!</v>
      </c>
      <c r="CH290" s="1729"/>
      <c r="CI290" s="1716" t="e">
        <v>#DIV/0!</v>
      </c>
      <c r="CJ290" s="1729">
        <v>319034</v>
      </c>
      <c r="CK290" s="1716">
        <v>9.948234158345913E-2</v>
      </c>
      <c r="CL290" s="1729">
        <v>688570</v>
      </c>
      <c r="CM290" s="1716">
        <v>8.0423030020027209E-2</v>
      </c>
      <c r="CN290" s="1729">
        <v>378571</v>
      </c>
      <c r="CO290" s="1716">
        <f t="shared" si="672"/>
        <v>0.11322995697171308</v>
      </c>
      <c r="CP290" s="1729">
        <v>307205</v>
      </c>
      <c r="CQ290" s="1716">
        <f t="shared" si="673"/>
        <v>8.9174398423682383E-2</v>
      </c>
      <c r="CR290" s="1729"/>
      <c r="CS290" s="1716" t="e">
        <v>#DIV/0!</v>
      </c>
      <c r="CT290" s="1729"/>
      <c r="CU290" s="1716" t="e">
        <f t="shared" si="674"/>
        <v>#DIV/0!</v>
      </c>
      <c r="CV290" s="1729">
        <v>616490</v>
      </c>
      <c r="CW290" s="1716">
        <f t="shared" si="675"/>
        <v>0.1253833763148689</v>
      </c>
      <c r="CX290" s="1715">
        <v>270801</v>
      </c>
      <c r="CY290" s="1716">
        <f t="shared" si="675"/>
        <v>8.8796238306188505E-2</v>
      </c>
      <c r="CZ290" s="1729"/>
      <c r="DA290" s="1716" t="e">
        <v>#DIV/0!</v>
      </c>
      <c r="DB290" s="1729"/>
      <c r="DC290" s="1716" t="e">
        <v>#DIV/0!</v>
      </c>
      <c r="DD290" s="1729"/>
      <c r="DE290" s="1716" t="e">
        <v>#DIV/0!</v>
      </c>
      <c r="DF290" s="1729">
        <v>258399</v>
      </c>
      <c r="DG290" s="1716">
        <v>5.4484050491560208E-2</v>
      </c>
      <c r="DH290" s="1729">
        <v>347590</v>
      </c>
      <c r="DI290" s="1716">
        <v>0.10299014839482154</v>
      </c>
      <c r="DJ290" s="1729"/>
      <c r="DK290" s="1716" t="e">
        <v>#DIV/0!</v>
      </c>
      <c r="DL290" s="1729">
        <v>201321</v>
      </c>
      <c r="DM290" s="1716">
        <v>7.3167673510686163E-2</v>
      </c>
      <c r="DN290" s="1729"/>
      <c r="DO290" s="1716" t="e">
        <f t="shared" si="676"/>
        <v>#DIV/0!</v>
      </c>
      <c r="DP290" s="1729"/>
      <c r="DQ290" s="1716" t="e">
        <f t="shared" si="677"/>
        <v>#DIV/0!</v>
      </c>
      <c r="DR290" s="1729">
        <v>288867</v>
      </c>
      <c r="DS290" s="1716">
        <f t="shared" si="678"/>
        <v>8.2862606193289001E-2</v>
      </c>
      <c r="DT290" s="1729">
        <v>292642</v>
      </c>
      <c r="DU290" s="1716">
        <f t="shared" si="679"/>
        <v>7.2537565521691091E-2</v>
      </c>
      <c r="DV290" s="1729"/>
      <c r="DW290" s="1716" t="e">
        <f t="shared" si="680"/>
        <v>#DIV/0!</v>
      </c>
      <c r="DX290" s="1729"/>
      <c r="DY290" s="1716" t="e">
        <f t="shared" si="681"/>
        <v>#DIV/0!</v>
      </c>
      <c r="DZ290" s="1729">
        <v>505376</v>
      </c>
      <c r="EA290" s="1716">
        <f t="shared" si="682"/>
        <v>8.7732704951699589E-2</v>
      </c>
      <c r="EB290" s="1729"/>
      <c r="EC290" s="1716" t="e">
        <f t="shared" si="683"/>
        <v>#DIV/0!</v>
      </c>
      <c r="ED290" s="1729"/>
      <c r="EE290" s="1716" t="e">
        <f t="shared" si="684"/>
        <v>#DIV/0!</v>
      </c>
      <c r="EF290" s="1729"/>
      <c r="EG290" s="1716" t="e">
        <f t="shared" si="685"/>
        <v>#DIV/0!</v>
      </c>
      <c r="EH290" s="1729"/>
      <c r="EI290" s="1716" t="e">
        <f t="shared" si="686"/>
        <v>#DIV/0!</v>
      </c>
      <c r="EJ290" s="1729"/>
      <c r="EK290" s="1716" t="e">
        <f t="shared" si="687"/>
        <v>#DIV/0!</v>
      </c>
      <c r="EL290" s="1729">
        <v>473412</v>
      </c>
      <c r="EM290" s="1716">
        <f t="shared" si="688"/>
        <v>6.9137896815399918E-2</v>
      </c>
      <c r="EN290" s="1729"/>
      <c r="EO290" s="1716" t="e">
        <f t="shared" si="689"/>
        <v>#DIV/0!</v>
      </c>
      <c r="EP290" s="1729"/>
      <c r="EQ290" s="1716" t="e">
        <f t="shared" si="690"/>
        <v>#DIV/0!</v>
      </c>
      <c r="ER290" s="1729"/>
      <c r="ES290" s="1716" t="e">
        <f t="shared" si="691"/>
        <v>#DIV/0!</v>
      </c>
      <c r="ET290" s="1729">
        <v>337376</v>
      </c>
      <c r="EU290" s="1716">
        <f t="shared" si="692"/>
        <v>0.10502349344070108</v>
      </c>
      <c r="EV290" s="1729"/>
      <c r="EW290" s="1716" t="e">
        <f t="shared" si="693"/>
        <v>#DIV/0!</v>
      </c>
      <c r="EX290" s="1729"/>
      <c r="EY290" s="1716" t="e">
        <f t="shared" si="694"/>
        <v>#DIV/0!</v>
      </c>
      <c r="EZ290" s="1729">
        <v>160409</v>
      </c>
      <c r="FA290" s="1716">
        <f t="shared" si="695"/>
        <v>5.7927726576248145E-2</v>
      </c>
      <c r="FB290" s="1729"/>
      <c r="FC290" s="1716" t="e">
        <f t="shared" si="696"/>
        <v>#DIV/0!</v>
      </c>
      <c r="FD290" s="1729">
        <v>159204</v>
      </c>
      <c r="FE290" s="1716">
        <f t="shared" si="697"/>
        <v>5.9302976584480221E-2</v>
      </c>
      <c r="FF290" s="1729">
        <v>149662</v>
      </c>
      <c r="FG290" s="1716">
        <f t="shared" si="698"/>
        <v>5.8052494020665264E-2</v>
      </c>
      <c r="FH290" s="1729"/>
      <c r="FI290" s="1716" t="e">
        <f t="shared" si="699"/>
        <v>#DIV/0!</v>
      </c>
      <c r="FJ290" s="1729"/>
      <c r="FK290" s="1716" t="e">
        <f t="shared" si="700"/>
        <v>#DIV/0!</v>
      </c>
      <c r="FL290" s="1729"/>
      <c r="FM290" s="1716" t="e">
        <f t="shared" si="701"/>
        <v>#DIV/0!</v>
      </c>
      <c r="FN290" s="1729"/>
      <c r="FO290" s="1716" t="e">
        <f t="shared" si="702"/>
        <v>#DIV/0!</v>
      </c>
      <c r="FP290" s="1729"/>
      <c r="FQ290" s="1716" t="e">
        <f t="shared" si="703"/>
        <v>#DIV/0!</v>
      </c>
      <c r="FR290" s="1729">
        <v>259399</v>
      </c>
      <c r="FS290" s="1716">
        <f t="shared" si="704"/>
        <v>8.676056733736344E-2</v>
      </c>
      <c r="FT290" s="1729">
        <v>476426</v>
      </c>
      <c r="FU290" s="1716">
        <f t="shared" si="705"/>
        <v>8.8114853774130156E-2</v>
      </c>
      <c r="FV290" s="1729">
        <v>333931</v>
      </c>
      <c r="FW290" s="1716">
        <f t="shared" si="706"/>
        <v>9.5424343150545571E-2</v>
      </c>
      <c r="FX290" s="1729"/>
      <c r="FY290" s="1716" t="e">
        <f t="shared" si="707"/>
        <v>#DIV/0!</v>
      </c>
      <c r="FZ290" s="1729"/>
      <c r="GA290" s="1716" t="e">
        <f t="shared" si="708"/>
        <v>#DIV/0!</v>
      </c>
      <c r="GB290" s="1729"/>
      <c r="GC290" s="1716" t="e">
        <f t="shared" si="709"/>
        <v>#DIV/0!</v>
      </c>
      <c r="GD290" s="1729">
        <v>186285</v>
      </c>
      <c r="GE290" s="1716">
        <f t="shared" si="710"/>
        <v>6.2381372085453621E-2</v>
      </c>
      <c r="GF290" s="1729">
        <v>245397</v>
      </c>
      <c r="GG290" s="1716">
        <f t="shared" si="711"/>
        <v>7.7344839595746923E-2</v>
      </c>
      <c r="GH290" s="1729"/>
      <c r="GI290" s="1716" t="e">
        <f t="shared" si="712"/>
        <v>#DIV/0!</v>
      </c>
      <c r="GJ290" s="1729">
        <v>705564</v>
      </c>
      <c r="GK290" s="1716">
        <f t="shared" si="713"/>
        <v>6.66543226437874E-2</v>
      </c>
      <c r="GL290" s="1729"/>
      <c r="GM290" s="1716" t="e">
        <f t="shared" si="714"/>
        <v>#DIV/0!</v>
      </c>
      <c r="GN290" s="1729"/>
      <c r="GO290" s="1716" t="e">
        <f t="shared" si="715"/>
        <v>#DIV/0!</v>
      </c>
      <c r="GP290" s="1729"/>
      <c r="GQ290" s="1716" t="e">
        <f t="shared" si="716"/>
        <v>#DIV/0!</v>
      </c>
      <c r="GR290" s="1729"/>
      <c r="GS290" s="1716" t="e">
        <f t="shared" si="717"/>
        <v>#DIV/0!</v>
      </c>
      <c r="GT290" s="1729"/>
      <c r="GU290" s="1716" t="e">
        <f t="shared" si="718"/>
        <v>#DIV/0!</v>
      </c>
      <c r="GV290" s="1729"/>
      <c r="GW290" s="1716" t="e">
        <f t="shared" si="719"/>
        <v>#DIV/0!</v>
      </c>
      <c r="GX290" s="1729"/>
      <c r="GY290" s="1716" t="e">
        <f t="shared" si="720"/>
        <v>#DIV/0!</v>
      </c>
      <c r="GZ290" s="1729">
        <v>456410</v>
      </c>
      <c r="HA290" s="1716">
        <f t="shared" si="721"/>
        <v>8.3581349388023585E-2</v>
      </c>
      <c r="HB290" s="1729"/>
      <c r="HC290" s="1716" t="e">
        <f t="shared" si="722"/>
        <v>#DIV/0!</v>
      </c>
      <c r="HD290" s="1729"/>
      <c r="HE290" s="1716" t="e">
        <f t="shared" si="723"/>
        <v>#DIV/0!</v>
      </c>
      <c r="HF290" s="2050">
        <v>186543</v>
      </c>
      <c r="HG290" s="2033">
        <f t="shared" si="724"/>
        <v>4.0032310323315688E-2</v>
      </c>
      <c r="HH290" s="1729">
        <v>212301</v>
      </c>
      <c r="HI290" s="1716">
        <f t="shared" si="725"/>
        <v>6.5818746628471508E-2</v>
      </c>
      <c r="HJ290" s="1729"/>
      <c r="HK290" s="1716" t="e">
        <f t="shared" si="726"/>
        <v>#DIV/0!</v>
      </c>
      <c r="HL290" s="1729">
        <v>134304</v>
      </c>
      <c r="HM290" s="1716">
        <f t="shared" si="727"/>
        <v>5.6976750105635056E-2</v>
      </c>
      <c r="HN290" s="1729"/>
      <c r="HO290" s="1716" t="e">
        <f t="shared" si="728"/>
        <v>#DIV/0!</v>
      </c>
      <c r="HP290" s="2050">
        <v>308372</v>
      </c>
      <c r="HQ290" s="2033">
        <f t="shared" si="729"/>
        <v>4.6923957266105668E-2</v>
      </c>
      <c r="HR290" s="1729"/>
      <c r="HS290" s="1716" t="e">
        <f t="shared" si="730"/>
        <v>#DIV/0!</v>
      </c>
      <c r="HT290" s="2050">
        <v>286304</v>
      </c>
      <c r="HU290" s="2033">
        <f t="shared" si="731"/>
        <v>9.3413479216851641E-2</v>
      </c>
      <c r="HV290" s="2050"/>
      <c r="HW290" s="2033" t="e">
        <f t="shared" si="732"/>
        <v>#DIV/0!</v>
      </c>
      <c r="HX290" s="2050"/>
      <c r="HY290" s="2033" t="e">
        <f t="shared" si="733"/>
        <v>#DIV/0!</v>
      </c>
      <c r="HZ290" s="2050">
        <f>207087+37525</f>
        <v>244612</v>
      </c>
      <c r="IA290" s="2033">
        <f t="shared" si="734"/>
        <v>6.2363697644215989E-2</v>
      </c>
      <c r="IB290" s="1729"/>
      <c r="IC290" s="1716" t="e">
        <f t="shared" si="735"/>
        <v>#DIV/0!</v>
      </c>
      <c r="ID290" s="2050"/>
      <c r="IE290" s="2033" t="e">
        <f t="shared" si="736"/>
        <v>#DIV/0!</v>
      </c>
      <c r="IF290" s="2050"/>
      <c r="IG290" s="2033" t="e">
        <f t="shared" si="737"/>
        <v>#DIV/0!</v>
      </c>
    </row>
    <row r="291" spans="1:241">
      <c r="A291" s="1149"/>
      <c r="B291" s="1149" t="s">
        <v>37</v>
      </c>
      <c r="C291" s="1149"/>
      <c r="D291" s="1149"/>
      <c r="E291" s="1143"/>
      <c r="F291" s="1729"/>
      <c r="G291" s="1716" t="e">
        <f t="shared" si="633"/>
        <v>#DIV/0!</v>
      </c>
      <c r="H291" s="1729"/>
      <c r="I291" s="1716" t="e">
        <f t="shared" si="634"/>
        <v>#DIV/0!</v>
      </c>
      <c r="J291" s="1729"/>
      <c r="K291" s="1716" t="e">
        <f t="shared" si="635"/>
        <v>#DIV/0!</v>
      </c>
      <c r="L291" s="1729">
        <v>1284583</v>
      </c>
      <c r="M291" s="1716">
        <f t="shared" si="636"/>
        <v>0.18179246401817326</v>
      </c>
      <c r="N291" s="1729"/>
      <c r="O291" s="1716" t="e">
        <f t="shared" si="637"/>
        <v>#DIV/0!</v>
      </c>
      <c r="P291" s="1729">
        <v>2394014</v>
      </c>
      <c r="Q291" s="1716">
        <f t="shared" si="638"/>
        <v>0.24581263600988257</v>
      </c>
      <c r="R291" s="1729">
        <v>1283737</v>
      </c>
      <c r="S291" s="1716">
        <f t="shared" si="639"/>
        <v>0.27712584933051976</v>
      </c>
      <c r="T291" s="1729"/>
      <c r="U291" s="1716" t="e">
        <f t="shared" si="640"/>
        <v>#DIV/0!</v>
      </c>
      <c r="V291" s="1729"/>
      <c r="W291" s="1716" t="e">
        <f t="shared" si="641"/>
        <v>#DIV/0!</v>
      </c>
      <c r="X291" s="1729"/>
      <c r="Y291" s="1716" t="e">
        <f t="shared" si="642"/>
        <v>#DIV/0!</v>
      </c>
      <c r="Z291" s="1791">
        <v>1327084</v>
      </c>
      <c r="AA291" s="1716">
        <f t="shared" si="643"/>
        <v>0.35967338195166426</v>
      </c>
      <c r="AB291" s="1729">
        <v>890239</v>
      </c>
      <c r="AC291" s="1716">
        <f t="shared" si="644"/>
        <v>0.3430310563984319</v>
      </c>
      <c r="AD291" s="1729">
        <v>657992</v>
      </c>
      <c r="AE291" s="1716">
        <f t="shared" si="645"/>
        <v>0.22221336660045213</v>
      </c>
      <c r="AF291" s="1729"/>
      <c r="AG291" s="1716" t="e">
        <f t="shared" si="646"/>
        <v>#DIV/0!</v>
      </c>
      <c r="AH291" s="1729"/>
      <c r="AI291" s="1716" t="e">
        <f t="shared" si="647"/>
        <v>#DIV/0!</v>
      </c>
      <c r="AJ291" s="1729"/>
      <c r="AK291" s="1716" t="e">
        <f t="shared" si="648"/>
        <v>#DIV/0!</v>
      </c>
      <c r="AL291" s="1729"/>
      <c r="AM291" s="1716" t="e">
        <f t="shared" si="649"/>
        <v>#DIV/0!</v>
      </c>
      <c r="AN291" s="1729"/>
      <c r="AO291" s="1716" t="e">
        <f t="shared" si="650"/>
        <v>#DIV/0!</v>
      </c>
      <c r="AP291" s="1729">
        <f>1820735-AP292-AP293-AP294</f>
        <v>1184878</v>
      </c>
      <c r="AQ291" s="1716">
        <f t="shared" si="651"/>
        <v>0.2595038563834447</v>
      </c>
      <c r="AR291" s="1729"/>
      <c r="AS291" s="1716" t="e">
        <f t="shared" si="652"/>
        <v>#DIV/0!</v>
      </c>
      <c r="AT291" s="1729"/>
      <c r="AU291" s="1716" t="e">
        <f t="shared" si="653"/>
        <v>#DIV/0!</v>
      </c>
      <c r="AV291" s="1729"/>
      <c r="AW291" s="1716" t="e">
        <f t="shared" si="654"/>
        <v>#DIV/0!</v>
      </c>
      <c r="AX291" s="1729"/>
      <c r="AY291" s="1716" t="e">
        <f t="shared" si="655"/>
        <v>#DIV/0!</v>
      </c>
      <c r="AZ291" s="1729"/>
      <c r="BA291" s="1716" t="e">
        <f t="shared" si="656"/>
        <v>#DIV/0!</v>
      </c>
      <c r="BB291" s="1729">
        <v>614750</v>
      </c>
      <c r="BC291" s="1716">
        <f t="shared" si="657"/>
        <v>0.20826416602863357</v>
      </c>
      <c r="BD291" s="1791"/>
      <c r="BE291" s="1716" t="e">
        <f t="shared" si="658"/>
        <v>#DIV/0!</v>
      </c>
      <c r="BF291" s="1729"/>
      <c r="BG291" s="1716" t="e">
        <f t="shared" si="659"/>
        <v>#DIV/0!</v>
      </c>
      <c r="BH291" s="1729">
        <v>791548</v>
      </c>
      <c r="BI291" s="1716">
        <f t="shared" si="660"/>
        <v>0.21883540179917962</v>
      </c>
      <c r="BJ291" s="1729">
        <v>1123502</v>
      </c>
      <c r="BK291" s="1716">
        <f t="shared" si="661"/>
        <v>0.29733114346976225</v>
      </c>
      <c r="BL291" s="1729">
        <v>1391596</v>
      </c>
      <c r="BM291" s="1716">
        <f t="shared" si="662"/>
        <v>0.32169359821889054</v>
      </c>
      <c r="BN291" s="1729"/>
      <c r="BO291" s="1716" t="e">
        <f t="shared" si="663"/>
        <v>#DIV/0!</v>
      </c>
      <c r="BP291" s="1729"/>
      <c r="BQ291" s="1716" t="e">
        <f t="shared" si="664"/>
        <v>#DIV/0!</v>
      </c>
      <c r="BR291" s="1729"/>
      <c r="BS291" s="1716" t="e">
        <f t="shared" si="665"/>
        <v>#DIV/0!</v>
      </c>
      <c r="BT291" s="1729"/>
      <c r="BU291" s="1716" t="e">
        <f t="shared" si="666"/>
        <v>#DIV/0!</v>
      </c>
      <c r="BV291" s="1729"/>
      <c r="BW291" s="1716" t="e">
        <f t="shared" si="667"/>
        <v>#DIV/0!</v>
      </c>
      <c r="BX291" s="1729"/>
      <c r="BY291" s="1716" t="e">
        <f t="shared" si="668"/>
        <v>#DIV/0!</v>
      </c>
      <c r="BZ291" s="1729">
        <v>1082658</v>
      </c>
      <c r="CA291" s="1716">
        <f t="shared" si="669"/>
        <v>0.3022334654963959</v>
      </c>
      <c r="CB291" s="1729"/>
      <c r="CC291" s="1716" t="e">
        <f t="shared" si="670"/>
        <v>#DIV/0!</v>
      </c>
      <c r="CD291" s="1729">
        <v>1437696</v>
      </c>
      <c r="CE291" s="1716">
        <f t="shared" si="671"/>
        <v>0.34559077870758736</v>
      </c>
      <c r="CF291" s="1729"/>
      <c r="CG291" s="1716" t="e">
        <v>#DIV/0!</v>
      </c>
      <c r="CH291" s="1729"/>
      <c r="CI291" s="1716" t="e">
        <v>#DIV/0!</v>
      </c>
      <c r="CJ291" s="1729">
        <v>788539</v>
      </c>
      <c r="CK291" s="1716">
        <v>0.24588509735601621</v>
      </c>
      <c r="CL291" s="1729">
        <v>2014941</v>
      </c>
      <c r="CM291" s="1716">
        <v>0.23533941433925912</v>
      </c>
      <c r="CN291" s="1729">
        <f>1231543-CN293-CN294</f>
        <v>1100815</v>
      </c>
      <c r="CO291" s="1716">
        <f t="shared" si="672"/>
        <v>0.32925193711038703</v>
      </c>
      <c r="CP291" s="1729">
        <v>914417</v>
      </c>
      <c r="CQ291" s="1716">
        <f t="shared" si="673"/>
        <v>0.26543378487781244</v>
      </c>
      <c r="CR291" s="1729"/>
      <c r="CS291" s="1716" t="e">
        <v>#DIV/0!</v>
      </c>
      <c r="CT291" s="1729"/>
      <c r="CU291" s="1716" t="e">
        <f t="shared" si="674"/>
        <v>#DIV/0!</v>
      </c>
      <c r="CV291" s="1729">
        <v>1032658</v>
      </c>
      <c r="CW291" s="1716">
        <f t="shared" si="675"/>
        <v>0.21002473133150559</v>
      </c>
      <c r="CX291" s="1715">
        <v>434263</v>
      </c>
      <c r="CY291" s="1716">
        <f t="shared" si="675"/>
        <v>0.14239578448957108</v>
      </c>
      <c r="CZ291" s="1729"/>
      <c r="DA291" s="1716" t="e">
        <v>#DIV/0!</v>
      </c>
      <c r="DB291" s="1729"/>
      <c r="DC291" s="1716" t="e">
        <v>#DIV/0!</v>
      </c>
      <c r="DD291" s="1729"/>
      <c r="DE291" s="1716" t="e">
        <v>#DIV/0!</v>
      </c>
      <c r="DF291" s="1729">
        <v>889928</v>
      </c>
      <c r="DG291" s="1716">
        <v>0.18764345870476742</v>
      </c>
      <c r="DH291" s="1729">
        <v>1130352</v>
      </c>
      <c r="DI291" s="1716">
        <v>0.3349207981195757</v>
      </c>
      <c r="DJ291" s="1729"/>
      <c r="DK291" s="1716" t="e">
        <v>#DIV/0!</v>
      </c>
      <c r="DL291" s="1729">
        <v>730224</v>
      </c>
      <c r="DM291" s="1716">
        <v>0.26539104823474596</v>
      </c>
      <c r="DN291" s="1729"/>
      <c r="DO291" s="1716" t="e">
        <f t="shared" si="676"/>
        <v>#DIV/0!</v>
      </c>
      <c r="DP291" s="1729"/>
      <c r="DQ291" s="1716" t="e">
        <f t="shared" si="677"/>
        <v>#DIV/0!</v>
      </c>
      <c r="DR291" s="1729">
        <v>686478</v>
      </c>
      <c r="DS291" s="1716">
        <f t="shared" si="678"/>
        <v>0.19691884560838255</v>
      </c>
      <c r="DT291" s="1729">
        <v>1184149</v>
      </c>
      <c r="DU291" s="1716">
        <f t="shared" si="679"/>
        <v>0.29351660279435282</v>
      </c>
      <c r="DV291" s="1729"/>
      <c r="DW291" s="1716" t="e">
        <f t="shared" si="680"/>
        <v>#DIV/0!</v>
      </c>
      <c r="DX291" s="1729"/>
      <c r="DY291" s="1716" t="e">
        <f t="shared" si="681"/>
        <v>#DIV/0!</v>
      </c>
      <c r="DZ291" s="1729">
        <v>2077661</v>
      </c>
      <c r="EA291" s="1716">
        <f t="shared" si="682"/>
        <v>0.36067961181902802</v>
      </c>
      <c r="EB291" s="1729"/>
      <c r="EC291" s="1716" t="e">
        <f t="shared" si="683"/>
        <v>#DIV/0!</v>
      </c>
      <c r="ED291" s="1729"/>
      <c r="EE291" s="1716" t="e">
        <f t="shared" si="684"/>
        <v>#DIV/0!</v>
      </c>
      <c r="EF291" s="1729"/>
      <c r="EG291" s="1716" t="e">
        <f t="shared" si="685"/>
        <v>#DIV/0!</v>
      </c>
      <c r="EH291" s="1729"/>
      <c r="EI291" s="1716" t="e">
        <f t="shared" si="686"/>
        <v>#DIV/0!</v>
      </c>
      <c r="EJ291" s="1729"/>
      <c r="EK291" s="1716" t="e">
        <f t="shared" si="687"/>
        <v>#DIV/0!</v>
      </c>
      <c r="EL291" s="1729">
        <v>2358330</v>
      </c>
      <c r="EM291" s="1716">
        <f t="shared" si="688"/>
        <v>0.34441453997081212</v>
      </c>
      <c r="EN291" s="1729"/>
      <c r="EO291" s="1716" t="e">
        <f t="shared" si="689"/>
        <v>#DIV/0!</v>
      </c>
      <c r="EP291" s="1729"/>
      <c r="EQ291" s="1716" t="e">
        <f t="shared" si="690"/>
        <v>#DIV/0!</v>
      </c>
      <c r="ER291" s="1729"/>
      <c r="ES291" s="1716" t="e">
        <f t="shared" si="691"/>
        <v>#DIV/0!</v>
      </c>
      <c r="ET291" s="1729">
        <v>582821</v>
      </c>
      <c r="EU291" s="1716">
        <f t="shared" si="692"/>
        <v>0.1814293176473811</v>
      </c>
      <c r="EV291" s="1729"/>
      <c r="EW291" s="1716" t="e">
        <f t="shared" si="693"/>
        <v>#DIV/0!</v>
      </c>
      <c r="EX291" s="1729"/>
      <c r="EY291" s="1716" t="e">
        <f t="shared" si="694"/>
        <v>#DIV/0!</v>
      </c>
      <c r="EZ291" s="1729">
        <v>676206</v>
      </c>
      <c r="FA291" s="1716">
        <f t="shared" si="695"/>
        <v>0.24419500325554336</v>
      </c>
      <c r="FB291" s="1729"/>
      <c r="FC291" s="1716" t="e">
        <f t="shared" si="696"/>
        <v>#DIV/0!</v>
      </c>
      <c r="FD291" s="1729">
        <v>1337824</v>
      </c>
      <c r="FE291" s="1716">
        <f t="shared" si="697"/>
        <v>0.49833512566364957</v>
      </c>
      <c r="FF291" s="1729">
        <v>687847</v>
      </c>
      <c r="FG291" s="1716">
        <f t="shared" si="698"/>
        <v>0.26680943629399939</v>
      </c>
      <c r="FH291" s="1729"/>
      <c r="FI291" s="1716" t="e">
        <f t="shared" si="699"/>
        <v>#DIV/0!</v>
      </c>
      <c r="FJ291" s="1729"/>
      <c r="FK291" s="1716" t="e">
        <f t="shared" si="700"/>
        <v>#DIV/0!</v>
      </c>
      <c r="FL291" s="1729"/>
      <c r="FM291" s="1716" t="e">
        <f t="shared" si="701"/>
        <v>#DIV/0!</v>
      </c>
      <c r="FN291" s="1729"/>
      <c r="FO291" s="1716" t="e">
        <f t="shared" si="702"/>
        <v>#DIV/0!</v>
      </c>
      <c r="FP291" s="1729"/>
      <c r="FQ291" s="1716" t="e">
        <f t="shared" si="703"/>
        <v>#DIV/0!</v>
      </c>
      <c r="FR291" s="1729">
        <v>723417</v>
      </c>
      <c r="FS291" s="1716">
        <f t="shared" si="704"/>
        <v>0.24195956553993442</v>
      </c>
      <c r="FT291" s="1729">
        <v>1115789</v>
      </c>
      <c r="FU291" s="1716">
        <f t="shared" si="705"/>
        <v>0.20636485955380882</v>
      </c>
      <c r="FV291" s="1729">
        <v>868167</v>
      </c>
      <c r="FW291" s="1716">
        <f t="shared" si="706"/>
        <v>0.24808797542001101</v>
      </c>
      <c r="FX291" s="1729"/>
      <c r="FY291" s="1716" t="e">
        <f t="shared" si="707"/>
        <v>#DIV/0!</v>
      </c>
      <c r="FZ291" s="1729"/>
      <c r="GA291" s="1716" t="e">
        <f t="shared" si="708"/>
        <v>#DIV/0!</v>
      </c>
      <c r="GB291" s="1729"/>
      <c r="GC291" s="1716" t="e">
        <f t="shared" si="709"/>
        <v>#DIV/0!</v>
      </c>
      <c r="GD291" s="1729">
        <v>584248</v>
      </c>
      <c r="GE291" s="1716">
        <f t="shared" si="710"/>
        <v>0.19564748572446578</v>
      </c>
      <c r="GF291" s="1729">
        <v>545403</v>
      </c>
      <c r="GG291" s="1716">
        <f t="shared" si="711"/>
        <v>0.17190148025460442</v>
      </c>
      <c r="GH291" s="1729"/>
      <c r="GI291" s="1716" t="e">
        <f t="shared" si="712"/>
        <v>#DIV/0!</v>
      </c>
      <c r="GJ291" s="1729">
        <v>2441115</v>
      </c>
      <c r="GK291" s="1716">
        <f t="shared" si="713"/>
        <v>0.23061106692034894</v>
      </c>
      <c r="GL291" s="1729"/>
      <c r="GM291" s="1716" t="e">
        <f t="shared" si="714"/>
        <v>#DIV/0!</v>
      </c>
      <c r="GN291" s="1729"/>
      <c r="GO291" s="1716" t="e">
        <f t="shared" si="715"/>
        <v>#DIV/0!</v>
      </c>
      <c r="GP291" s="1729"/>
      <c r="GQ291" s="1716" t="e">
        <f t="shared" si="716"/>
        <v>#DIV/0!</v>
      </c>
      <c r="GR291" s="1729"/>
      <c r="GS291" s="1716" t="e">
        <f t="shared" si="717"/>
        <v>#DIV/0!</v>
      </c>
      <c r="GT291" s="1729"/>
      <c r="GU291" s="1716" t="e">
        <f t="shared" si="718"/>
        <v>#DIV/0!</v>
      </c>
      <c r="GV291" s="1729"/>
      <c r="GW291" s="1716" t="e">
        <f t="shared" si="719"/>
        <v>#DIV/0!</v>
      </c>
      <c r="GX291" s="1729"/>
      <c r="GY291" s="1716" t="e">
        <f t="shared" si="720"/>
        <v>#DIV/0!</v>
      </c>
      <c r="GZ291" s="1729">
        <v>1315983</v>
      </c>
      <c r="HA291" s="1716">
        <f t="shared" si="721"/>
        <v>0.2409930433419501</v>
      </c>
      <c r="HB291" s="1729"/>
      <c r="HC291" s="1716" t="e">
        <f t="shared" si="722"/>
        <v>#DIV/0!</v>
      </c>
      <c r="HD291" s="1729"/>
      <c r="HE291" s="1716" t="e">
        <f t="shared" si="723"/>
        <v>#DIV/0!</v>
      </c>
      <c r="HF291" s="2050">
        <v>1356639</v>
      </c>
      <c r="HG291" s="2033">
        <f t="shared" si="724"/>
        <v>0.2911360568057374</v>
      </c>
      <c r="HH291" s="1729">
        <v>594159</v>
      </c>
      <c r="HI291" s="1716">
        <f t="shared" si="725"/>
        <v>0.18420450529213714</v>
      </c>
      <c r="HJ291" s="1729"/>
      <c r="HK291" s="1716" t="e">
        <f t="shared" si="726"/>
        <v>#DIV/0!</v>
      </c>
      <c r="HL291" s="1729">
        <v>623447</v>
      </c>
      <c r="HM291" s="1716">
        <f t="shared" si="727"/>
        <v>0.26448939661594489</v>
      </c>
      <c r="HN291" s="1729"/>
      <c r="HO291" s="1716" t="e">
        <f t="shared" si="728"/>
        <v>#DIV/0!</v>
      </c>
      <c r="HP291" s="2050">
        <v>1329055</v>
      </c>
      <c r="HQ291" s="2033">
        <f t="shared" si="729"/>
        <v>0.20223794645526855</v>
      </c>
      <c r="HR291" s="1729"/>
      <c r="HS291" s="1716" t="e">
        <f t="shared" si="730"/>
        <v>#DIV/0!</v>
      </c>
      <c r="HT291" s="2050">
        <v>678027</v>
      </c>
      <c r="HU291" s="2033">
        <f t="shared" si="731"/>
        <v>0.22122241069969079</v>
      </c>
      <c r="HV291" s="2050"/>
      <c r="HW291" s="2033" t="e">
        <f t="shared" si="732"/>
        <v>#DIV/0!</v>
      </c>
      <c r="HX291" s="2050"/>
      <c r="HY291" s="2033" t="e">
        <f t="shared" si="733"/>
        <v>#DIV/0!</v>
      </c>
      <c r="HZ291" s="2050">
        <v>1122816</v>
      </c>
      <c r="IA291" s="2033">
        <f t="shared" si="734"/>
        <v>0.2862613344156788</v>
      </c>
      <c r="IB291" s="1729"/>
      <c r="IC291" s="1716" t="e">
        <f t="shared" si="735"/>
        <v>#DIV/0!</v>
      </c>
      <c r="ID291" s="2050"/>
      <c r="IE291" s="2033" t="e">
        <f t="shared" si="736"/>
        <v>#DIV/0!</v>
      </c>
      <c r="IF291" s="2050"/>
      <c r="IG291" s="2033" t="e">
        <f t="shared" si="737"/>
        <v>#DIV/0!</v>
      </c>
    </row>
    <row r="292" spans="1:241">
      <c r="A292" s="1149"/>
      <c r="B292" s="1149" t="s">
        <v>38</v>
      </c>
      <c r="C292" s="1149"/>
      <c r="D292" s="1149"/>
      <c r="E292" s="1143"/>
      <c r="F292" s="1729"/>
      <c r="G292" s="1716" t="e">
        <f t="shared" si="633"/>
        <v>#DIV/0!</v>
      </c>
      <c r="H292" s="1729"/>
      <c r="I292" s="1716" t="e">
        <f t="shared" si="634"/>
        <v>#DIV/0!</v>
      </c>
      <c r="J292" s="1729"/>
      <c r="K292" s="1716" t="e">
        <f t="shared" si="635"/>
        <v>#DIV/0!</v>
      </c>
      <c r="L292" s="1729">
        <v>701589</v>
      </c>
      <c r="M292" s="1716">
        <f t="shared" si="636"/>
        <v>9.9287934713479908E-2</v>
      </c>
      <c r="N292" s="1729"/>
      <c r="O292" s="1716" t="e">
        <f t="shared" si="637"/>
        <v>#DIV/0!</v>
      </c>
      <c r="P292" s="1729">
        <v>371684</v>
      </c>
      <c r="Q292" s="1716">
        <f t="shared" si="638"/>
        <v>3.8163780079271542E-2</v>
      </c>
      <c r="R292" s="1729">
        <v>146812</v>
      </c>
      <c r="S292" s="1716">
        <f t="shared" si="639"/>
        <v>3.1692940370116517E-2</v>
      </c>
      <c r="T292" s="1729"/>
      <c r="U292" s="1716" t="e">
        <f t="shared" si="640"/>
        <v>#DIV/0!</v>
      </c>
      <c r="V292" s="1729"/>
      <c r="W292" s="1716" t="e">
        <f t="shared" si="641"/>
        <v>#DIV/0!</v>
      </c>
      <c r="X292" s="1729"/>
      <c r="Y292" s="1716" t="e">
        <f t="shared" si="642"/>
        <v>#DIV/0!</v>
      </c>
      <c r="Z292" s="1791">
        <v>229293</v>
      </c>
      <c r="AA292" s="1716">
        <f t="shared" si="643"/>
        <v>6.2144211495160029E-2</v>
      </c>
      <c r="AB292" s="1729">
        <v>111200</v>
      </c>
      <c r="AC292" s="1716">
        <f t="shared" si="644"/>
        <v>4.2848104241114605E-2</v>
      </c>
      <c r="AD292" s="1729">
        <v>197356</v>
      </c>
      <c r="AE292" s="1716">
        <f t="shared" si="645"/>
        <v>6.6649961061530885E-2</v>
      </c>
      <c r="AF292" s="1729"/>
      <c r="AG292" s="1716" t="e">
        <f t="shared" si="646"/>
        <v>#DIV/0!</v>
      </c>
      <c r="AH292" s="1729"/>
      <c r="AI292" s="1716" t="e">
        <f t="shared" si="647"/>
        <v>#DIV/0!</v>
      </c>
      <c r="AJ292" s="1729"/>
      <c r="AK292" s="1716" t="e">
        <f t="shared" si="648"/>
        <v>#DIV/0!</v>
      </c>
      <c r="AL292" s="1729"/>
      <c r="AM292" s="1716" t="e">
        <f t="shared" si="649"/>
        <v>#DIV/0!</v>
      </c>
      <c r="AN292" s="1729"/>
      <c r="AO292" s="1716" t="e">
        <f t="shared" si="650"/>
        <v>#DIV/0!</v>
      </c>
      <c r="AP292" s="1729">
        <v>349318</v>
      </c>
      <c r="AQ292" s="1716">
        <f t="shared" si="651"/>
        <v>7.6505233538096018E-2</v>
      </c>
      <c r="AR292" s="1729"/>
      <c r="AS292" s="1716" t="e">
        <f t="shared" si="652"/>
        <v>#DIV/0!</v>
      </c>
      <c r="AT292" s="1729"/>
      <c r="AU292" s="1716" t="e">
        <f t="shared" si="653"/>
        <v>#DIV/0!</v>
      </c>
      <c r="AV292" s="1729"/>
      <c r="AW292" s="1716" t="e">
        <f t="shared" si="654"/>
        <v>#DIV/0!</v>
      </c>
      <c r="AX292" s="1729"/>
      <c r="AY292" s="1716" t="e">
        <f t="shared" si="655"/>
        <v>#DIV/0!</v>
      </c>
      <c r="AZ292" s="1729"/>
      <c r="BA292" s="1716" t="e">
        <f t="shared" si="656"/>
        <v>#DIV/0!</v>
      </c>
      <c r="BB292" s="1729">
        <v>27390</v>
      </c>
      <c r="BC292" s="1716">
        <f t="shared" si="657"/>
        <v>9.2791468198849501E-3</v>
      </c>
      <c r="BD292" s="1791"/>
      <c r="BE292" s="1716" t="e">
        <f t="shared" si="658"/>
        <v>#DIV/0!</v>
      </c>
      <c r="BF292" s="1729"/>
      <c r="BG292" s="1716" t="e">
        <f t="shared" si="659"/>
        <v>#DIV/0!</v>
      </c>
      <c r="BH292" s="1729">
        <v>279415</v>
      </c>
      <c r="BI292" s="1716">
        <f t="shared" si="660"/>
        <v>7.7248497619497203E-2</v>
      </c>
      <c r="BJ292" s="1729">
        <v>161044</v>
      </c>
      <c r="BK292" s="1716">
        <f t="shared" si="661"/>
        <v>4.2619769852607646E-2</v>
      </c>
      <c r="BL292" s="1729">
        <v>345814</v>
      </c>
      <c r="BM292" s="1716">
        <f t="shared" si="662"/>
        <v>7.9941412575537302E-2</v>
      </c>
      <c r="BN292" s="1729"/>
      <c r="BO292" s="1716" t="e">
        <f t="shared" si="663"/>
        <v>#DIV/0!</v>
      </c>
      <c r="BP292" s="1729"/>
      <c r="BQ292" s="1716" t="e">
        <f t="shared" si="664"/>
        <v>#DIV/0!</v>
      </c>
      <c r="BR292" s="1729"/>
      <c r="BS292" s="1716" t="e">
        <f t="shared" si="665"/>
        <v>#DIV/0!</v>
      </c>
      <c r="BT292" s="1729"/>
      <c r="BU292" s="1716" t="e">
        <f t="shared" si="666"/>
        <v>#DIV/0!</v>
      </c>
      <c r="BV292" s="1729"/>
      <c r="BW292" s="1716" t="e">
        <f t="shared" si="667"/>
        <v>#DIV/0!</v>
      </c>
      <c r="BX292" s="1729"/>
      <c r="BY292" s="1716" t="e">
        <f t="shared" si="668"/>
        <v>#DIV/0!</v>
      </c>
      <c r="BZ292" s="1729">
        <v>230869</v>
      </c>
      <c r="CA292" s="1716">
        <f t="shared" si="669"/>
        <v>6.4449103914336225E-2</v>
      </c>
      <c r="CB292" s="1729"/>
      <c r="CC292" s="1716" t="e">
        <f t="shared" si="670"/>
        <v>#DIV/0!</v>
      </c>
      <c r="CD292" s="1729">
        <v>234768</v>
      </c>
      <c r="CE292" s="1716">
        <f t="shared" si="671"/>
        <v>5.6433109597316032E-2</v>
      </c>
      <c r="CF292" s="1729"/>
      <c r="CG292" s="1716" t="e">
        <v>#DIV/0!</v>
      </c>
      <c r="CH292" s="1729"/>
      <c r="CI292" s="1716" t="e">
        <v>#DIV/0!</v>
      </c>
      <c r="CJ292" s="1729">
        <v>332651</v>
      </c>
      <c r="CK292" s="1716">
        <v>0.10372844402188877</v>
      </c>
      <c r="CL292" s="1729">
        <v>401268</v>
      </c>
      <c r="CM292" s="1716">
        <v>4.6866968369339762E-2</v>
      </c>
      <c r="CN292" s="1729">
        <v>181427</v>
      </c>
      <c r="CO292" s="1716">
        <f t="shared" si="672"/>
        <v>5.4264514195506229E-2</v>
      </c>
      <c r="CP292" s="1729">
        <v>189148</v>
      </c>
      <c r="CQ292" s="1716">
        <f t="shared" si="673"/>
        <v>5.4905223264734217E-2</v>
      </c>
      <c r="CR292" s="1729"/>
      <c r="CS292" s="1716" t="e">
        <v>#DIV/0!</v>
      </c>
      <c r="CT292" s="1729"/>
      <c r="CU292" s="1716" t="e">
        <f t="shared" si="674"/>
        <v>#DIV/0!</v>
      </c>
      <c r="CV292" s="1729">
        <v>473656</v>
      </c>
      <c r="CW292" s="1716">
        <f t="shared" si="675"/>
        <v>9.6333417398166296E-2</v>
      </c>
      <c r="CX292" s="1715">
        <v>150183</v>
      </c>
      <c r="CY292" s="1716">
        <f t="shared" si="675"/>
        <v>4.9245333132219994E-2</v>
      </c>
      <c r="CZ292" s="1729"/>
      <c r="DA292" s="1716" t="e">
        <v>#DIV/0!</v>
      </c>
      <c r="DB292" s="1729"/>
      <c r="DC292" s="1716" t="e">
        <v>#DIV/0!</v>
      </c>
      <c r="DD292" s="1729"/>
      <c r="DE292" s="1716" t="e">
        <v>#DIV/0!</v>
      </c>
      <c r="DF292" s="1729">
        <v>347506</v>
      </c>
      <c r="DG292" s="1716">
        <v>7.3272475706640208E-2</v>
      </c>
      <c r="DH292" s="1729">
        <v>125890</v>
      </c>
      <c r="DI292" s="1716">
        <v>3.7300928626899751E-2</v>
      </c>
      <c r="DJ292" s="1729"/>
      <c r="DK292" s="1716" t="e">
        <v>#DIV/0!</v>
      </c>
      <c r="DL292" s="1729">
        <v>298020</v>
      </c>
      <c r="DM292" s="1716">
        <v>0.10831175118171821</v>
      </c>
      <c r="DN292" s="1729"/>
      <c r="DO292" s="1716" t="e">
        <f t="shared" si="676"/>
        <v>#DIV/0!</v>
      </c>
      <c r="DP292" s="1729"/>
      <c r="DQ292" s="1716" t="e">
        <f t="shared" si="677"/>
        <v>#DIV/0!</v>
      </c>
      <c r="DR292" s="1729">
        <v>249533</v>
      </c>
      <c r="DS292" s="1716">
        <f t="shared" si="678"/>
        <v>7.1579497523877711E-2</v>
      </c>
      <c r="DT292" s="1729">
        <v>345595</v>
      </c>
      <c r="DU292" s="1716">
        <f t="shared" si="679"/>
        <v>8.5663096740962799E-2</v>
      </c>
      <c r="DV292" s="1729"/>
      <c r="DW292" s="1716" t="e">
        <f t="shared" si="680"/>
        <v>#DIV/0!</v>
      </c>
      <c r="DX292" s="1729"/>
      <c r="DY292" s="1716" t="e">
        <f t="shared" si="681"/>
        <v>#DIV/0!</v>
      </c>
      <c r="DZ292" s="1729">
        <v>275728</v>
      </c>
      <c r="EA292" s="1716">
        <f t="shared" si="682"/>
        <v>4.7866070551277118E-2</v>
      </c>
      <c r="EB292" s="1729"/>
      <c r="EC292" s="1716" t="e">
        <f t="shared" si="683"/>
        <v>#DIV/0!</v>
      </c>
      <c r="ED292" s="1729"/>
      <c r="EE292" s="1716" t="e">
        <f t="shared" si="684"/>
        <v>#DIV/0!</v>
      </c>
      <c r="EF292" s="1729"/>
      <c r="EG292" s="1716" t="e">
        <f t="shared" si="685"/>
        <v>#DIV/0!</v>
      </c>
      <c r="EH292" s="1729"/>
      <c r="EI292" s="1716" t="e">
        <f t="shared" si="686"/>
        <v>#DIV/0!</v>
      </c>
      <c r="EJ292" s="1729"/>
      <c r="EK292" s="1716" t="e">
        <f t="shared" si="687"/>
        <v>#DIV/0!</v>
      </c>
      <c r="EL292" s="1729">
        <v>407004</v>
      </c>
      <c r="EM292" s="1716">
        <f t="shared" si="688"/>
        <v>5.9439559105926826E-2</v>
      </c>
      <c r="EN292" s="1729"/>
      <c r="EO292" s="1716" t="e">
        <f t="shared" si="689"/>
        <v>#DIV/0!</v>
      </c>
      <c r="EP292" s="1729"/>
      <c r="EQ292" s="1716" t="e">
        <f t="shared" si="690"/>
        <v>#DIV/0!</v>
      </c>
      <c r="ER292" s="1729"/>
      <c r="ES292" s="1716" t="e">
        <f t="shared" si="691"/>
        <v>#DIV/0!</v>
      </c>
      <c r="ET292" s="1729">
        <v>521200</v>
      </c>
      <c r="EU292" s="1716">
        <f t="shared" si="692"/>
        <v>0.16224700269519293</v>
      </c>
      <c r="EV292" s="1729"/>
      <c r="EW292" s="1716" t="e">
        <f t="shared" si="693"/>
        <v>#DIV/0!</v>
      </c>
      <c r="EX292" s="1729"/>
      <c r="EY292" s="1716" t="e">
        <f t="shared" si="694"/>
        <v>#DIV/0!</v>
      </c>
      <c r="EZ292" s="1729">
        <v>235602</v>
      </c>
      <c r="FA292" s="1716">
        <f t="shared" si="695"/>
        <v>8.5081811100481991E-2</v>
      </c>
      <c r="FB292" s="1729"/>
      <c r="FC292" s="1716" t="e">
        <f t="shared" si="696"/>
        <v>#DIV/0!</v>
      </c>
      <c r="FD292" s="1729">
        <v>153436</v>
      </c>
      <c r="FE292" s="1716">
        <f t="shared" si="697"/>
        <v>5.715441518565053E-2</v>
      </c>
      <c r="FF292" s="1729">
        <v>113833</v>
      </c>
      <c r="FG292" s="1716">
        <f t="shared" si="698"/>
        <v>4.4154759069465789E-2</v>
      </c>
      <c r="FH292" s="1729"/>
      <c r="FI292" s="1716" t="e">
        <f t="shared" si="699"/>
        <v>#DIV/0!</v>
      </c>
      <c r="FJ292" s="1729"/>
      <c r="FK292" s="1716" t="e">
        <f t="shared" si="700"/>
        <v>#DIV/0!</v>
      </c>
      <c r="FL292" s="1729"/>
      <c r="FM292" s="1716" t="e">
        <f t="shared" si="701"/>
        <v>#DIV/0!</v>
      </c>
      <c r="FN292" s="1729"/>
      <c r="FO292" s="1716" t="e">
        <f t="shared" si="702"/>
        <v>#DIV/0!</v>
      </c>
      <c r="FP292" s="1729"/>
      <c r="FQ292" s="1716" t="e">
        <f t="shared" si="703"/>
        <v>#DIV/0!</v>
      </c>
      <c r="FR292" s="1729">
        <v>107029</v>
      </c>
      <c r="FS292" s="1716">
        <f t="shared" si="704"/>
        <v>3.5797735386607785E-2</v>
      </c>
      <c r="FT292" s="1729">
        <v>347659</v>
      </c>
      <c r="FU292" s="1716">
        <f t="shared" si="705"/>
        <v>6.4299433591492317E-2</v>
      </c>
      <c r="FV292" s="1729">
        <v>244484</v>
      </c>
      <c r="FW292" s="1716">
        <f t="shared" si="706"/>
        <v>6.9863909343001948E-2</v>
      </c>
      <c r="FX292" s="1729"/>
      <c r="FY292" s="1716" t="e">
        <f t="shared" si="707"/>
        <v>#DIV/0!</v>
      </c>
      <c r="FZ292" s="1729"/>
      <c r="GA292" s="1716" t="e">
        <f t="shared" si="708"/>
        <v>#DIV/0!</v>
      </c>
      <c r="GB292" s="1729"/>
      <c r="GC292" s="1716" t="e">
        <f t="shared" si="709"/>
        <v>#DIV/0!</v>
      </c>
      <c r="GD292" s="1729">
        <v>134306</v>
      </c>
      <c r="GE292" s="1716">
        <f t="shared" si="710"/>
        <v>4.4975132508301444E-2</v>
      </c>
      <c r="GF292" s="1729">
        <v>165076</v>
      </c>
      <c r="GG292" s="1716">
        <f t="shared" si="711"/>
        <v>5.2029066130015934E-2</v>
      </c>
      <c r="GH292" s="1729"/>
      <c r="GI292" s="1716" t="e">
        <f t="shared" si="712"/>
        <v>#DIV/0!</v>
      </c>
      <c r="GJ292" s="1729">
        <v>808223</v>
      </c>
      <c r="GK292" s="1716">
        <f t="shared" si="713"/>
        <v>7.6352473496564141E-2</v>
      </c>
      <c r="GL292" s="1729"/>
      <c r="GM292" s="1716" t="e">
        <f t="shared" si="714"/>
        <v>#DIV/0!</v>
      </c>
      <c r="GN292" s="1729"/>
      <c r="GO292" s="1716" t="e">
        <f t="shared" si="715"/>
        <v>#DIV/0!</v>
      </c>
      <c r="GP292" s="1729"/>
      <c r="GQ292" s="1716" t="e">
        <f t="shared" si="716"/>
        <v>#DIV/0!</v>
      </c>
      <c r="GR292" s="1729"/>
      <c r="GS292" s="1716" t="e">
        <f t="shared" si="717"/>
        <v>#DIV/0!</v>
      </c>
      <c r="GT292" s="1729"/>
      <c r="GU292" s="1716" t="e">
        <f t="shared" si="718"/>
        <v>#DIV/0!</v>
      </c>
      <c r="GV292" s="1729"/>
      <c r="GW292" s="1716" t="e">
        <f t="shared" si="719"/>
        <v>#DIV/0!</v>
      </c>
      <c r="GX292" s="1729"/>
      <c r="GY292" s="1716" t="e">
        <f t="shared" si="720"/>
        <v>#DIV/0!</v>
      </c>
      <c r="GZ292" s="1729">
        <v>451812</v>
      </c>
      <c r="HA292" s="1716">
        <f t="shared" si="721"/>
        <v>8.2739327862451986E-2</v>
      </c>
      <c r="HB292" s="1729"/>
      <c r="HC292" s="1716" t="e">
        <f t="shared" si="722"/>
        <v>#DIV/0!</v>
      </c>
      <c r="HD292" s="1729"/>
      <c r="HE292" s="1716" t="e">
        <f t="shared" si="723"/>
        <v>#DIV/0!</v>
      </c>
      <c r="HF292" s="2050">
        <v>157711</v>
      </c>
      <c r="HG292" s="2033">
        <f t="shared" si="724"/>
        <v>3.3844934912596242E-2</v>
      </c>
      <c r="HH292" s="1729">
        <v>155819</v>
      </c>
      <c r="HI292" s="1716">
        <f t="shared" si="725"/>
        <v>4.8307880230907076E-2</v>
      </c>
      <c r="HJ292" s="1729"/>
      <c r="HK292" s="1716" t="e">
        <f t="shared" si="726"/>
        <v>#DIV/0!</v>
      </c>
      <c r="HL292" s="1729">
        <v>225485</v>
      </c>
      <c r="HM292" s="1716">
        <f t="shared" si="727"/>
        <v>9.5659120335724337E-2</v>
      </c>
      <c r="HN292" s="1729"/>
      <c r="HO292" s="1716" t="e">
        <f t="shared" si="728"/>
        <v>#DIV/0!</v>
      </c>
      <c r="HP292" s="2050">
        <v>298120</v>
      </c>
      <c r="HQ292" s="2033">
        <f t="shared" si="729"/>
        <v>4.5363944003253935E-2</v>
      </c>
      <c r="HR292" s="1729"/>
      <c r="HS292" s="1716" t="e">
        <f t="shared" si="730"/>
        <v>#DIV/0!</v>
      </c>
      <c r="HT292" s="2050">
        <v>321294</v>
      </c>
      <c r="HU292" s="2033">
        <f t="shared" si="731"/>
        <v>0.10482979766786051</v>
      </c>
      <c r="HV292" s="2050"/>
      <c r="HW292" s="2033" t="e">
        <f t="shared" si="732"/>
        <v>#DIV/0!</v>
      </c>
      <c r="HX292" s="2050"/>
      <c r="HY292" s="2033" t="e">
        <f t="shared" si="733"/>
        <v>#DIV/0!</v>
      </c>
      <c r="HZ292" s="2050">
        <v>355026</v>
      </c>
      <c r="IA292" s="2033">
        <f t="shared" si="734"/>
        <v>9.0513687471732482E-2</v>
      </c>
      <c r="IB292" s="1729"/>
      <c r="IC292" s="1716" t="e">
        <f t="shared" si="735"/>
        <v>#DIV/0!</v>
      </c>
      <c r="ID292" s="2050"/>
      <c r="IE292" s="2033" t="e">
        <f t="shared" si="736"/>
        <v>#DIV/0!</v>
      </c>
      <c r="IF292" s="2050"/>
      <c r="IG292" s="2033" t="e">
        <f t="shared" si="737"/>
        <v>#DIV/0!</v>
      </c>
    </row>
    <row r="293" spans="1:241">
      <c r="A293" s="1149"/>
      <c r="B293" s="1149" t="s">
        <v>46</v>
      </c>
      <c r="C293" s="1149"/>
      <c r="D293" s="1149"/>
      <c r="E293" s="1143"/>
      <c r="F293" s="1729"/>
      <c r="G293" s="1716" t="e">
        <f t="shared" si="633"/>
        <v>#DIV/0!</v>
      </c>
      <c r="H293" s="1729"/>
      <c r="I293" s="1716" t="e">
        <f t="shared" si="634"/>
        <v>#DIV/0!</v>
      </c>
      <c r="J293" s="1729"/>
      <c r="K293" s="1716" t="e">
        <f t="shared" si="635"/>
        <v>#DIV/0!</v>
      </c>
      <c r="L293" s="1729">
        <v>0</v>
      </c>
      <c r="M293" s="1716">
        <f t="shared" si="636"/>
        <v>0</v>
      </c>
      <c r="N293" s="1729"/>
      <c r="O293" s="1716" t="e">
        <f t="shared" si="637"/>
        <v>#DIV/0!</v>
      </c>
      <c r="P293" s="1729">
        <v>0</v>
      </c>
      <c r="Q293" s="1716">
        <f t="shared" si="638"/>
        <v>0</v>
      </c>
      <c r="R293" s="1729">
        <v>64723</v>
      </c>
      <c r="S293" s="1716">
        <f t="shared" si="639"/>
        <v>1.3972033482106717E-2</v>
      </c>
      <c r="T293" s="1729"/>
      <c r="U293" s="1716" t="e">
        <f t="shared" si="640"/>
        <v>#DIV/0!</v>
      </c>
      <c r="V293" s="1729"/>
      <c r="W293" s="1716" t="e">
        <f t="shared" si="641"/>
        <v>#DIV/0!</v>
      </c>
      <c r="X293" s="1729"/>
      <c r="Y293" s="1716" t="e">
        <f t="shared" si="642"/>
        <v>#DIV/0!</v>
      </c>
      <c r="Z293" s="1791">
        <v>0</v>
      </c>
      <c r="AA293" s="1716">
        <f t="shared" si="643"/>
        <v>0</v>
      </c>
      <c r="AB293" s="1729">
        <v>46781</v>
      </c>
      <c r="AC293" s="1716">
        <f t="shared" si="644"/>
        <v>1.8025873781507034E-2</v>
      </c>
      <c r="AD293" s="1729">
        <v>5869</v>
      </c>
      <c r="AE293" s="1716">
        <f t="shared" si="645"/>
        <v>1.9820457521946369E-3</v>
      </c>
      <c r="AF293" s="1729"/>
      <c r="AG293" s="1716" t="e">
        <f t="shared" si="646"/>
        <v>#DIV/0!</v>
      </c>
      <c r="AH293" s="1729"/>
      <c r="AI293" s="1716" t="e">
        <f t="shared" si="647"/>
        <v>#DIV/0!</v>
      </c>
      <c r="AJ293" s="1729"/>
      <c r="AK293" s="1716" t="e">
        <f t="shared" si="648"/>
        <v>#DIV/0!</v>
      </c>
      <c r="AL293" s="1729"/>
      <c r="AM293" s="1716" t="e">
        <f t="shared" si="649"/>
        <v>#DIV/0!</v>
      </c>
      <c r="AN293" s="1729"/>
      <c r="AO293" s="1716" t="e">
        <f t="shared" si="650"/>
        <v>#DIV/0!</v>
      </c>
      <c r="AP293" s="1729">
        <v>11072</v>
      </c>
      <c r="AQ293" s="1716">
        <f t="shared" si="651"/>
        <v>2.424913533610633E-3</v>
      </c>
      <c r="AR293" s="1729"/>
      <c r="AS293" s="1716" t="e">
        <f t="shared" si="652"/>
        <v>#DIV/0!</v>
      </c>
      <c r="AT293" s="1729"/>
      <c r="AU293" s="1716" t="e">
        <f t="shared" si="653"/>
        <v>#DIV/0!</v>
      </c>
      <c r="AV293" s="1729"/>
      <c r="AW293" s="1716" t="e">
        <f t="shared" si="654"/>
        <v>#DIV/0!</v>
      </c>
      <c r="AX293" s="1729"/>
      <c r="AY293" s="1716" t="e">
        <f t="shared" si="655"/>
        <v>#DIV/0!</v>
      </c>
      <c r="AZ293" s="1729"/>
      <c r="BA293" s="1716" t="e">
        <f t="shared" si="656"/>
        <v>#DIV/0!</v>
      </c>
      <c r="BB293" s="1729">
        <v>261301</v>
      </c>
      <c r="BC293" s="1716">
        <f t="shared" si="657"/>
        <v>8.8523196173156529E-2</v>
      </c>
      <c r="BD293" s="1791"/>
      <c r="BE293" s="1716" t="e">
        <f t="shared" si="658"/>
        <v>#DIV/0!</v>
      </c>
      <c r="BF293" s="1729"/>
      <c r="BG293" s="1716" t="e">
        <f t="shared" si="659"/>
        <v>#DIV/0!</v>
      </c>
      <c r="BH293" s="1729">
        <v>387215</v>
      </c>
      <c r="BI293" s="1716">
        <f t="shared" si="660"/>
        <v>0.10705143605652384</v>
      </c>
      <c r="BJ293" s="1729">
        <v>3977</v>
      </c>
      <c r="BK293" s="1716">
        <f t="shared" si="661"/>
        <v>1.0525000913031259E-3</v>
      </c>
      <c r="BL293" s="1729">
        <v>0</v>
      </c>
      <c r="BM293" s="1716">
        <f t="shared" si="662"/>
        <v>0</v>
      </c>
      <c r="BN293" s="1729"/>
      <c r="BO293" s="1716" t="e">
        <f t="shared" si="663"/>
        <v>#DIV/0!</v>
      </c>
      <c r="BP293" s="1729"/>
      <c r="BQ293" s="1716" t="e">
        <f t="shared" si="664"/>
        <v>#DIV/0!</v>
      </c>
      <c r="BR293" s="1729"/>
      <c r="BS293" s="1716" t="e">
        <f t="shared" si="665"/>
        <v>#DIV/0!</v>
      </c>
      <c r="BT293" s="1729"/>
      <c r="BU293" s="1716" t="e">
        <f t="shared" si="666"/>
        <v>#DIV/0!</v>
      </c>
      <c r="BV293" s="1729"/>
      <c r="BW293" s="1716" t="e">
        <f t="shared" si="667"/>
        <v>#DIV/0!</v>
      </c>
      <c r="BX293" s="1729"/>
      <c r="BY293" s="1716" t="e">
        <f t="shared" si="668"/>
        <v>#DIV/0!</v>
      </c>
      <c r="BZ293" s="1729"/>
      <c r="CA293" s="1716">
        <f t="shared" si="669"/>
        <v>0</v>
      </c>
      <c r="CB293" s="1729"/>
      <c r="CC293" s="1716" t="e">
        <f t="shared" si="670"/>
        <v>#DIV/0!</v>
      </c>
      <c r="CD293" s="1729">
        <v>0</v>
      </c>
      <c r="CE293" s="1716">
        <f t="shared" si="671"/>
        <v>0</v>
      </c>
      <c r="CF293" s="1729"/>
      <c r="CG293" s="1716" t="e">
        <v>#DIV/0!</v>
      </c>
      <c r="CH293" s="1729"/>
      <c r="CI293" s="1716" t="e">
        <v>#DIV/0!</v>
      </c>
      <c r="CJ293" s="1729">
        <v>75287</v>
      </c>
      <c r="CK293" s="1716">
        <v>2.3476266011753882E-2</v>
      </c>
      <c r="CL293" s="1729">
        <v>90562</v>
      </c>
      <c r="CM293" s="1716">
        <v>1.0577385661114635E-2</v>
      </c>
      <c r="CN293" s="1729">
        <f>1270+1270</f>
        <v>2540</v>
      </c>
      <c r="CO293" s="1716">
        <f t="shared" si="672"/>
        <v>7.5970977890052645E-4</v>
      </c>
      <c r="CP293" s="1729">
        <v>152038</v>
      </c>
      <c r="CQ293" s="1716">
        <f t="shared" si="673"/>
        <v>4.413306159580678E-2</v>
      </c>
      <c r="CR293" s="1729"/>
      <c r="CS293" s="1716" t="e">
        <v>#DIV/0!</v>
      </c>
      <c r="CT293" s="1729"/>
      <c r="CU293" s="1716" t="e">
        <f t="shared" si="674"/>
        <v>#DIV/0!</v>
      </c>
      <c r="CV293" s="1729"/>
      <c r="CW293" s="1716">
        <f t="shared" si="675"/>
        <v>0</v>
      </c>
      <c r="CX293" s="1729"/>
      <c r="CY293" s="1716">
        <f t="shared" si="675"/>
        <v>0</v>
      </c>
      <c r="CZ293" s="1729"/>
      <c r="DA293" s="1716" t="e">
        <v>#DIV/0!</v>
      </c>
      <c r="DB293" s="1729"/>
      <c r="DC293" s="1716" t="e">
        <v>#DIV/0!</v>
      </c>
      <c r="DD293" s="1729"/>
      <c r="DE293" s="1716" t="e">
        <v>#DIV/0!</v>
      </c>
      <c r="DF293" s="1729"/>
      <c r="DG293" s="1716">
        <v>0</v>
      </c>
      <c r="DH293" s="1729">
        <v>0</v>
      </c>
      <c r="DI293" s="1716">
        <v>0</v>
      </c>
      <c r="DJ293" s="1729"/>
      <c r="DK293" s="1716" t="e">
        <v>#DIV/0!</v>
      </c>
      <c r="DL293" s="1729" t="s">
        <v>1311</v>
      </c>
      <c r="DM293" s="1716">
        <v>0</v>
      </c>
      <c r="DN293" s="1729"/>
      <c r="DO293" s="1716" t="e">
        <f t="shared" si="676"/>
        <v>#DIV/0!</v>
      </c>
      <c r="DP293" s="1729"/>
      <c r="DQ293" s="1716" t="e">
        <f t="shared" si="677"/>
        <v>#DIV/0!</v>
      </c>
      <c r="DR293" s="1729">
        <v>195136</v>
      </c>
      <c r="DS293" s="1716">
        <f t="shared" si="678"/>
        <v>5.5975509567149043E-2</v>
      </c>
      <c r="DT293" s="1729"/>
      <c r="DU293" s="1716">
        <f t="shared" si="679"/>
        <v>0</v>
      </c>
      <c r="DV293" s="1729"/>
      <c r="DW293" s="1716" t="e">
        <f t="shared" si="680"/>
        <v>#DIV/0!</v>
      </c>
      <c r="DX293" s="1729"/>
      <c r="DY293" s="1716" t="e">
        <f t="shared" si="681"/>
        <v>#DIV/0!</v>
      </c>
      <c r="DZ293" s="1729">
        <v>371106</v>
      </c>
      <c r="EA293" s="1716">
        <f t="shared" si="682"/>
        <v>6.4423584032097733E-2</v>
      </c>
      <c r="EB293" s="1729"/>
      <c r="EC293" s="1716" t="e">
        <f t="shared" si="683"/>
        <v>#DIV/0!</v>
      </c>
      <c r="ED293" s="1729"/>
      <c r="EE293" s="1716" t="e">
        <f t="shared" si="684"/>
        <v>#DIV/0!</v>
      </c>
      <c r="EF293" s="1729"/>
      <c r="EG293" s="1716" t="e">
        <f t="shared" si="685"/>
        <v>#DIV/0!</v>
      </c>
      <c r="EH293" s="1729"/>
      <c r="EI293" s="1716" t="e">
        <f t="shared" si="686"/>
        <v>#DIV/0!</v>
      </c>
      <c r="EJ293" s="1729"/>
      <c r="EK293" s="1716" t="e">
        <f t="shared" si="687"/>
        <v>#DIV/0!</v>
      </c>
      <c r="EL293" s="1729">
        <v>2712</v>
      </c>
      <c r="EM293" s="1716">
        <f t="shared" si="688"/>
        <v>3.9606511065069029E-4</v>
      </c>
      <c r="EN293" s="1729"/>
      <c r="EO293" s="1716" t="e">
        <f t="shared" si="689"/>
        <v>#DIV/0!</v>
      </c>
      <c r="EP293" s="1729"/>
      <c r="EQ293" s="1716" t="e">
        <f t="shared" si="690"/>
        <v>#DIV/0!</v>
      </c>
      <c r="ER293" s="1729"/>
      <c r="ES293" s="1716" t="e">
        <f t="shared" si="691"/>
        <v>#DIV/0!</v>
      </c>
      <c r="ET293" s="1729"/>
      <c r="EU293" s="1716">
        <f t="shared" si="692"/>
        <v>0</v>
      </c>
      <c r="EV293" s="1729"/>
      <c r="EW293" s="1716" t="e">
        <f t="shared" si="693"/>
        <v>#DIV/0!</v>
      </c>
      <c r="EX293" s="1729"/>
      <c r="EY293" s="1716" t="e">
        <f t="shared" si="694"/>
        <v>#DIV/0!</v>
      </c>
      <c r="EZ293" s="1729">
        <v>185150</v>
      </c>
      <c r="FA293" s="1716">
        <f t="shared" si="695"/>
        <v>6.6862324281008828E-2</v>
      </c>
      <c r="FB293" s="1729"/>
      <c r="FC293" s="1716" t="e">
        <f t="shared" si="696"/>
        <v>#DIV/0!</v>
      </c>
      <c r="FD293" s="1729">
        <v>0</v>
      </c>
      <c r="FE293" s="1716">
        <f t="shared" si="697"/>
        <v>0</v>
      </c>
      <c r="FF293" s="1729">
        <v>0</v>
      </c>
      <c r="FG293" s="1716">
        <f t="shared" si="698"/>
        <v>0</v>
      </c>
      <c r="FH293" s="1729"/>
      <c r="FI293" s="1716" t="e">
        <f t="shared" si="699"/>
        <v>#DIV/0!</v>
      </c>
      <c r="FJ293" s="1729"/>
      <c r="FK293" s="1716" t="e">
        <f t="shared" si="700"/>
        <v>#DIV/0!</v>
      </c>
      <c r="FL293" s="1729"/>
      <c r="FM293" s="1716" t="e">
        <f t="shared" si="701"/>
        <v>#DIV/0!</v>
      </c>
      <c r="FN293" s="1729"/>
      <c r="FO293" s="1716" t="e">
        <f t="shared" si="702"/>
        <v>#DIV/0!</v>
      </c>
      <c r="FP293" s="1729"/>
      <c r="FQ293" s="1716" t="e">
        <f t="shared" si="703"/>
        <v>#DIV/0!</v>
      </c>
      <c r="FR293" s="1729">
        <v>393435</v>
      </c>
      <c r="FS293" s="1716">
        <f t="shared" si="704"/>
        <v>0.13159126985985137</v>
      </c>
      <c r="FT293" s="1729">
        <v>0</v>
      </c>
      <c r="FU293" s="1716">
        <f t="shared" si="705"/>
        <v>0</v>
      </c>
      <c r="FV293" s="1729">
        <v>0</v>
      </c>
      <c r="FW293" s="1716">
        <f t="shared" si="706"/>
        <v>0</v>
      </c>
      <c r="FX293" s="1729"/>
      <c r="FY293" s="1716" t="e">
        <f t="shared" si="707"/>
        <v>#DIV/0!</v>
      </c>
      <c r="FZ293" s="1729"/>
      <c r="GA293" s="1716" t="e">
        <f t="shared" si="708"/>
        <v>#DIV/0!</v>
      </c>
      <c r="GB293" s="1729"/>
      <c r="GC293" s="1716" t="e">
        <f t="shared" si="709"/>
        <v>#DIV/0!</v>
      </c>
      <c r="GD293" s="1729">
        <v>126864</v>
      </c>
      <c r="GE293" s="1716">
        <f t="shared" si="710"/>
        <v>4.2483025408642607E-2</v>
      </c>
      <c r="GF293" s="1729"/>
      <c r="GG293" s="1716">
        <f t="shared" si="711"/>
        <v>0</v>
      </c>
      <c r="GH293" s="1729"/>
      <c r="GI293" s="1716" t="e">
        <f t="shared" si="712"/>
        <v>#DIV/0!</v>
      </c>
      <c r="GJ293" s="1729"/>
      <c r="GK293" s="1716">
        <f t="shared" si="713"/>
        <v>0</v>
      </c>
      <c r="GL293" s="1729"/>
      <c r="GM293" s="1716" t="e">
        <f t="shared" si="714"/>
        <v>#DIV/0!</v>
      </c>
      <c r="GN293" s="1729"/>
      <c r="GO293" s="1716" t="e">
        <f t="shared" si="715"/>
        <v>#DIV/0!</v>
      </c>
      <c r="GP293" s="1729"/>
      <c r="GQ293" s="1716" t="e">
        <f>GP293/GP$296</f>
        <v>#DIV/0!</v>
      </c>
      <c r="GR293" s="1729"/>
      <c r="GS293" s="1716" t="e">
        <f t="shared" si="717"/>
        <v>#DIV/0!</v>
      </c>
      <c r="GT293" s="1729"/>
      <c r="GU293" s="1716" t="e">
        <f t="shared" si="718"/>
        <v>#DIV/0!</v>
      </c>
      <c r="GV293" s="1729"/>
      <c r="GW293" s="1716" t="e">
        <f t="shared" si="719"/>
        <v>#DIV/0!</v>
      </c>
      <c r="GX293" s="1729"/>
      <c r="GY293" s="1716" t="e">
        <f t="shared" si="720"/>
        <v>#DIV/0!</v>
      </c>
      <c r="GZ293" s="1729"/>
      <c r="HA293" s="1716">
        <f t="shared" si="721"/>
        <v>0</v>
      </c>
      <c r="HB293" s="1729"/>
      <c r="HC293" s="1716" t="e">
        <f t="shared" si="722"/>
        <v>#DIV/0!</v>
      </c>
      <c r="HD293" s="1729"/>
      <c r="HE293" s="1716" t="e">
        <f t="shared" si="723"/>
        <v>#DIV/0!</v>
      </c>
      <c r="HF293" s="2050">
        <v>11064</v>
      </c>
      <c r="HG293" s="2033">
        <f t="shared" si="724"/>
        <v>2.3743452255896216E-3</v>
      </c>
      <c r="HH293" s="1729">
        <v>124833</v>
      </c>
      <c r="HI293" s="1716">
        <f t="shared" si="725"/>
        <v>3.8701426737848543E-2</v>
      </c>
      <c r="HJ293" s="1729"/>
      <c r="HK293" s="1716" t="e">
        <f t="shared" si="726"/>
        <v>#DIV/0!</v>
      </c>
      <c r="HL293" s="1729"/>
      <c r="HM293" s="1716">
        <f t="shared" si="727"/>
        <v>0</v>
      </c>
      <c r="HN293" s="1729"/>
      <c r="HO293" s="1716" t="e">
        <f t="shared" si="728"/>
        <v>#DIV/0!</v>
      </c>
      <c r="HP293" s="2050">
        <v>732778</v>
      </c>
      <c r="HQ293" s="2033">
        <f t="shared" si="729"/>
        <v>0.11150442827994234</v>
      </c>
      <c r="HR293" s="1729"/>
      <c r="HS293" s="1716" t="e">
        <f t="shared" si="730"/>
        <v>#DIV/0!</v>
      </c>
      <c r="HT293" s="2050">
        <v>2725</v>
      </c>
      <c r="HU293" s="2033">
        <f t="shared" si="731"/>
        <v>8.8909596396110691E-4</v>
      </c>
      <c r="HV293" s="2050"/>
      <c r="HW293" s="2033" t="e">
        <f t="shared" si="732"/>
        <v>#DIV/0!</v>
      </c>
      <c r="HX293" s="2050"/>
      <c r="HY293" s="2033" t="e">
        <f t="shared" si="733"/>
        <v>#DIV/0!</v>
      </c>
      <c r="HZ293" s="2050">
        <v>138385</v>
      </c>
      <c r="IA293" s="2033">
        <f t="shared" si="734"/>
        <v>3.5281181211448458E-2</v>
      </c>
      <c r="IB293" s="1729"/>
      <c r="IC293" s="1716" t="e">
        <f t="shared" si="735"/>
        <v>#DIV/0!</v>
      </c>
      <c r="ID293" s="2050"/>
      <c r="IE293" s="2033" t="e">
        <f t="shared" si="736"/>
        <v>#DIV/0!</v>
      </c>
      <c r="IF293" s="2050"/>
      <c r="IG293" s="2033" t="e">
        <f t="shared" si="737"/>
        <v>#DIV/0!</v>
      </c>
    </row>
    <row r="294" spans="1:241">
      <c r="A294" s="1149"/>
      <c r="B294" s="1149" t="s">
        <v>39</v>
      </c>
      <c r="C294" s="1149"/>
      <c r="D294" s="1149"/>
      <c r="E294" s="1143"/>
      <c r="F294" s="1730"/>
      <c r="G294" s="1716" t="e">
        <f t="shared" si="633"/>
        <v>#DIV/0!</v>
      </c>
      <c r="H294" s="1730"/>
      <c r="I294" s="1716" t="e">
        <f t="shared" si="634"/>
        <v>#DIV/0!</v>
      </c>
      <c r="J294" s="1730"/>
      <c r="K294" s="1716" t="e">
        <f t="shared" si="635"/>
        <v>#DIV/0!</v>
      </c>
      <c r="L294" s="1730">
        <v>235137</v>
      </c>
      <c r="M294" s="1716">
        <f t="shared" si="636"/>
        <v>3.3276273009872626E-2</v>
      </c>
      <c r="N294" s="1730"/>
      <c r="O294" s="1716" t="e">
        <f t="shared" si="637"/>
        <v>#DIV/0!</v>
      </c>
      <c r="P294" s="1729">
        <v>1129591</v>
      </c>
      <c r="Q294" s="1716">
        <f t="shared" si="638"/>
        <v>0.11598417608378199</v>
      </c>
      <c r="R294" s="1730">
        <v>263703</v>
      </c>
      <c r="S294" s="1716">
        <f t="shared" si="639"/>
        <v>5.6926705272190528E-2</v>
      </c>
      <c r="T294" s="1730"/>
      <c r="U294" s="1716" t="e">
        <f t="shared" si="640"/>
        <v>#DIV/0!</v>
      </c>
      <c r="V294" s="1730"/>
      <c r="W294" s="1716" t="e">
        <f t="shared" si="641"/>
        <v>#DIV/0!</v>
      </c>
      <c r="X294" s="1730"/>
      <c r="Y294" s="1716" t="e">
        <f t="shared" si="642"/>
        <v>#DIV/0!</v>
      </c>
      <c r="Z294" s="1792">
        <v>366549</v>
      </c>
      <c r="AA294" s="1716">
        <f t="shared" si="643"/>
        <v>9.9344064491019846E-2</v>
      </c>
      <c r="AB294" s="1730">
        <f>298875-AB293</f>
        <v>252094</v>
      </c>
      <c r="AC294" s="1716">
        <f t="shared" si="644"/>
        <v>9.7138039483449151E-2</v>
      </c>
      <c r="AD294" s="1730">
        <v>58603</v>
      </c>
      <c r="AE294" s="1716">
        <f t="shared" si="645"/>
        <v>1.9791076370056622E-2</v>
      </c>
      <c r="AF294" s="1730"/>
      <c r="AG294" s="1716" t="e">
        <f t="shared" si="646"/>
        <v>#DIV/0!</v>
      </c>
      <c r="AH294" s="1730"/>
      <c r="AI294" s="1716" t="e">
        <f t="shared" si="647"/>
        <v>#DIV/0!</v>
      </c>
      <c r="AJ294" s="1730"/>
      <c r="AK294" s="1716" t="e">
        <f t="shared" si="648"/>
        <v>#DIV/0!</v>
      </c>
      <c r="AL294" s="1730"/>
      <c r="AM294" s="1716" t="e">
        <f t="shared" si="649"/>
        <v>#DIV/0!</v>
      </c>
      <c r="AN294" s="1730"/>
      <c r="AO294" s="1716" t="e">
        <f t="shared" si="650"/>
        <v>#DIV/0!</v>
      </c>
      <c r="AP294" s="1730">
        <v>275467</v>
      </c>
      <c r="AQ294" s="1716">
        <f t="shared" si="651"/>
        <v>6.0330893818923439E-2</v>
      </c>
      <c r="AR294" s="1730"/>
      <c r="AS294" s="1716" t="e">
        <f t="shared" si="652"/>
        <v>#DIV/0!</v>
      </c>
      <c r="AT294" s="1730"/>
      <c r="AU294" s="1716" t="e">
        <f t="shared" si="653"/>
        <v>#DIV/0!</v>
      </c>
      <c r="AV294" s="1730"/>
      <c r="AW294" s="1716" t="e">
        <f t="shared" si="654"/>
        <v>#DIV/0!</v>
      </c>
      <c r="AX294" s="1730"/>
      <c r="AY294" s="1716" t="e">
        <f t="shared" si="655"/>
        <v>#DIV/0!</v>
      </c>
      <c r="AZ294" s="1730"/>
      <c r="BA294" s="1716" t="e">
        <f t="shared" si="656"/>
        <v>#DIV/0!</v>
      </c>
      <c r="BB294" s="1729">
        <v>353772</v>
      </c>
      <c r="BC294" s="1716">
        <f t="shared" si="657"/>
        <v>0.11985039535466735</v>
      </c>
      <c r="BD294" s="1792"/>
      <c r="BE294" s="1716" t="e">
        <f t="shared" si="658"/>
        <v>#DIV/0!</v>
      </c>
      <c r="BF294" s="1730"/>
      <c r="BG294" s="1716" t="e">
        <f t="shared" si="659"/>
        <v>#DIV/0!</v>
      </c>
      <c r="BH294" s="1730">
        <v>346382</v>
      </c>
      <c r="BI294" s="1716">
        <f t="shared" si="660"/>
        <v>9.5762536379352142E-2</v>
      </c>
      <c r="BJ294" s="1730">
        <v>108790</v>
      </c>
      <c r="BK294" s="1716">
        <f t="shared" si="661"/>
        <v>2.8790919017567779E-2</v>
      </c>
      <c r="BL294" s="1729">
        <v>598690</v>
      </c>
      <c r="BM294" s="1716">
        <f t="shared" si="662"/>
        <v>0.13839845782660165</v>
      </c>
      <c r="BN294" s="1730"/>
      <c r="BO294" s="1716" t="e">
        <f t="shared" si="663"/>
        <v>#DIV/0!</v>
      </c>
      <c r="BP294" s="1730"/>
      <c r="BQ294" s="1716" t="e">
        <f t="shared" si="664"/>
        <v>#DIV/0!</v>
      </c>
      <c r="BR294" s="1730"/>
      <c r="BS294" s="1716" t="e">
        <f t="shared" si="665"/>
        <v>#DIV/0!</v>
      </c>
      <c r="BT294" s="1730"/>
      <c r="BU294" s="1716" t="e">
        <f t="shared" si="666"/>
        <v>#DIV/0!</v>
      </c>
      <c r="BV294" s="1730"/>
      <c r="BW294" s="1716" t="e">
        <f t="shared" si="667"/>
        <v>#DIV/0!</v>
      </c>
      <c r="BX294" s="1730"/>
      <c r="BY294" s="1716" t="e">
        <f t="shared" si="668"/>
        <v>#DIV/0!</v>
      </c>
      <c r="BZ294" s="1730">
        <v>608189</v>
      </c>
      <c r="CA294" s="1716">
        <f t="shared" si="669"/>
        <v>0.16978128748578733</v>
      </c>
      <c r="CB294" s="1730"/>
      <c r="CC294" s="1716" t="e">
        <f t="shared" si="670"/>
        <v>#DIV/0!</v>
      </c>
      <c r="CD294" s="1730">
        <v>357739</v>
      </c>
      <c r="CE294" s="1716">
        <f t="shared" si="671"/>
        <v>8.5992657407458595E-2</v>
      </c>
      <c r="CF294" s="1730"/>
      <c r="CG294" s="1716" t="e">
        <v>#DIV/0!</v>
      </c>
      <c r="CH294" s="1730"/>
      <c r="CI294" s="1716" t="e">
        <v>#DIV/0!</v>
      </c>
      <c r="CJ294" s="1730">
        <v>276746</v>
      </c>
      <c r="CK294" s="1716">
        <v>8.6295943704608219E-2</v>
      </c>
      <c r="CL294" s="1730">
        <v>1844721</v>
      </c>
      <c r="CM294" s="1716">
        <v>0.21545819940104075</v>
      </c>
      <c r="CN294" s="1730">
        <v>128188</v>
      </c>
      <c r="CO294" s="1716">
        <f t="shared" si="672"/>
        <v>3.8340817770748305E-2</v>
      </c>
      <c r="CP294" s="1730">
        <v>214538</v>
      </c>
      <c r="CQ294" s="1716">
        <f t="shared" si="673"/>
        <v>6.2275344115557921E-2</v>
      </c>
      <c r="CR294" s="1730"/>
      <c r="CS294" s="1716" t="e">
        <v>#DIV/0!</v>
      </c>
      <c r="CT294" s="1730"/>
      <c r="CU294" s="1716" t="e">
        <f t="shared" si="674"/>
        <v>#DIV/0!</v>
      </c>
      <c r="CV294" s="1730">
        <v>358112</v>
      </c>
      <c r="CW294" s="1716">
        <f t="shared" si="675"/>
        <v>7.2833771283995416E-2</v>
      </c>
      <c r="CX294" s="1715">
        <v>324340</v>
      </c>
      <c r="CY294" s="1716">
        <f t="shared" si="675"/>
        <v>0.10635179313307254</v>
      </c>
      <c r="CZ294" s="1730"/>
      <c r="DA294" s="1716" t="e">
        <v>#DIV/0!</v>
      </c>
      <c r="DB294" s="1730"/>
      <c r="DC294" s="1716" t="e">
        <v>#DIV/0!</v>
      </c>
      <c r="DD294" s="1730"/>
      <c r="DE294" s="1716" t="e">
        <v>#DIV/0!</v>
      </c>
      <c r="DF294" s="1730">
        <v>690927</v>
      </c>
      <c r="DG294" s="1716">
        <v>0.14568361934056331</v>
      </c>
      <c r="DH294" s="1730">
        <v>409020</v>
      </c>
      <c r="DI294" s="1716">
        <v>0.12119172155830119</v>
      </c>
      <c r="DJ294" s="1730"/>
      <c r="DK294" s="1716" t="e">
        <v>#DIV/0!</v>
      </c>
      <c r="DL294" s="1730">
        <v>196011</v>
      </c>
      <c r="DM294" s="1716">
        <v>7.12378184715112E-2</v>
      </c>
      <c r="DN294" s="1730"/>
      <c r="DO294" s="1716" t="e">
        <f t="shared" si="676"/>
        <v>#DIV/0!</v>
      </c>
      <c r="DP294" s="1730"/>
      <c r="DQ294" s="1716" t="e">
        <f t="shared" si="677"/>
        <v>#DIV/0!</v>
      </c>
      <c r="DR294" s="1730">
        <v>202929</v>
      </c>
      <c r="DS294" s="1716">
        <f t="shared" si="678"/>
        <v>5.8210961488151788E-2</v>
      </c>
      <c r="DT294" s="1730">
        <v>493640</v>
      </c>
      <c r="DU294" s="1716">
        <f t="shared" si="679"/>
        <v>0.12235920969692524</v>
      </c>
      <c r="DV294" s="1730"/>
      <c r="DW294" s="1716" t="e">
        <f t="shared" si="680"/>
        <v>#DIV/0!</v>
      </c>
      <c r="DX294" s="1730"/>
      <c r="DY294" s="1716" t="e">
        <f t="shared" si="681"/>
        <v>#DIV/0!</v>
      </c>
      <c r="DZ294" s="1730">
        <v>171323</v>
      </c>
      <c r="EA294" s="1716">
        <f t="shared" si="682"/>
        <v>2.9741480027623054E-2</v>
      </c>
      <c r="EB294" s="1730"/>
      <c r="EC294" s="1716" t="e">
        <f t="shared" si="683"/>
        <v>#DIV/0!</v>
      </c>
      <c r="ED294" s="1730"/>
      <c r="EE294" s="1716" t="e">
        <f t="shared" si="684"/>
        <v>#DIV/0!</v>
      </c>
      <c r="EF294" s="1730"/>
      <c r="EG294" s="1716" t="e">
        <f t="shared" si="685"/>
        <v>#DIV/0!</v>
      </c>
      <c r="EH294" s="1730"/>
      <c r="EI294" s="1716" t="e">
        <f t="shared" si="686"/>
        <v>#DIV/0!</v>
      </c>
      <c r="EJ294" s="1730"/>
      <c r="EK294" s="1716" t="e">
        <f t="shared" si="687"/>
        <v>#DIV/0!</v>
      </c>
      <c r="EL294" s="1730">
        <f>406383-EL293</f>
        <v>403671</v>
      </c>
      <c r="EM294" s="1716">
        <f t="shared" si="688"/>
        <v>5.8952802094939083E-2</v>
      </c>
      <c r="EN294" s="1730"/>
      <c r="EO294" s="1716" t="e">
        <f t="shared" si="689"/>
        <v>#DIV/0!</v>
      </c>
      <c r="EP294" s="1730"/>
      <c r="EQ294" s="1716" t="e">
        <f t="shared" si="690"/>
        <v>#DIV/0!</v>
      </c>
      <c r="ER294" s="1730"/>
      <c r="ES294" s="1716" t="e">
        <f t="shared" si="691"/>
        <v>#DIV/0!</v>
      </c>
      <c r="ET294" s="1730">
        <v>300174</v>
      </c>
      <c r="EU294" s="1716">
        <f t="shared" si="692"/>
        <v>9.344269337495556E-2</v>
      </c>
      <c r="EV294" s="1730"/>
      <c r="EW294" s="1716" t="e">
        <f t="shared" si="693"/>
        <v>#DIV/0!</v>
      </c>
      <c r="EX294" s="1730"/>
      <c r="EY294" s="1716" t="e">
        <f t="shared" si="694"/>
        <v>#DIV/0!</v>
      </c>
      <c r="EZ294" s="1730">
        <v>125549</v>
      </c>
      <c r="FA294" s="1716">
        <f t="shared" si="695"/>
        <v>4.5338903327876733E-2</v>
      </c>
      <c r="FB294" s="1730"/>
      <c r="FC294" s="1716" t="e">
        <f t="shared" si="696"/>
        <v>#DIV/0!</v>
      </c>
      <c r="FD294" s="1730">
        <v>171240</v>
      </c>
      <c r="FE294" s="1716">
        <f t="shared" si="697"/>
        <v>6.3786347769694191E-2</v>
      </c>
      <c r="FF294" s="1730">
        <v>492956</v>
      </c>
      <c r="FG294" s="1716">
        <f t="shared" si="698"/>
        <v>0.19121303498851455</v>
      </c>
      <c r="FH294" s="1730"/>
      <c r="FI294" s="1716" t="e">
        <f t="shared" si="699"/>
        <v>#DIV/0!</v>
      </c>
      <c r="FJ294" s="1730"/>
      <c r="FK294" s="1716" t="e">
        <f t="shared" si="700"/>
        <v>#DIV/0!</v>
      </c>
      <c r="FL294" s="1730"/>
      <c r="FM294" s="1716" t="e">
        <f t="shared" si="701"/>
        <v>#DIV/0!</v>
      </c>
      <c r="FN294" s="1730"/>
      <c r="FO294" s="1716" t="e">
        <f t="shared" si="702"/>
        <v>#DIV/0!</v>
      </c>
      <c r="FP294" s="1730"/>
      <c r="FQ294" s="1716" t="e">
        <f t="shared" si="703"/>
        <v>#DIV/0!</v>
      </c>
      <c r="FR294" s="1730">
        <v>152387</v>
      </c>
      <c r="FS294" s="1716">
        <f t="shared" si="704"/>
        <v>5.0968517900372795E-2</v>
      </c>
      <c r="FT294" s="1730">
        <v>1272412</v>
      </c>
      <c r="FU294" s="1716">
        <f t="shared" si="705"/>
        <v>0.23533223904750897</v>
      </c>
      <c r="FV294" s="1730">
        <v>374909</v>
      </c>
      <c r="FW294" s="1716">
        <f t="shared" si="706"/>
        <v>0.10713424350008802</v>
      </c>
      <c r="FX294" s="1730"/>
      <c r="FY294" s="1716" t="e">
        <f t="shared" si="707"/>
        <v>#DIV/0!</v>
      </c>
      <c r="FZ294" s="1730"/>
      <c r="GA294" s="1716" t="e">
        <f t="shared" si="708"/>
        <v>#DIV/0!</v>
      </c>
      <c r="GB294" s="1730"/>
      <c r="GC294" s="1716" t="e">
        <f t="shared" si="709"/>
        <v>#DIV/0!</v>
      </c>
      <c r="GD294" s="1730">
        <f>426271-GD293</f>
        <v>299407</v>
      </c>
      <c r="GE294" s="1716">
        <f t="shared" si="710"/>
        <v>0.1002626055344736</v>
      </c>
      <c r="GF294" s="1730">
        <f>303007+110084</f>
        <v>413091</v>
      </c>
      <c r="GG294" s="1716">
        <f t="shared" si="711"/>
        <v>0.13019905350695687</v>
      </c>
      <c r="GH294" s="1730"/>
      <c r="GI294" s="1716" t="e">
        <f t="shared" si="712"/>
        <v>#DIV/0!</v>
      </c>
      <c r="GJ294" s="1730">
        <v>1361110</v>
      </c>
      <c r="GK294" s="1716">
        <f t="shared" si="713"/>
        <v>0.12858346669286622</v>
      </c>
      <c r="GL294" s="1730"/>
      <c r="GM294" s="1716" t="e">
        <f t="shared" si="714"/>
        <v>#DIV/0!</v>
      </c>
      <c r="GN294" s="1730"/>
      <c r="GO294" s="1716" t="e">
        <f t="shared" si="715"/>
        <v>#DIV/0!</v>
      </c>
      <c r="GP294" s="1729"/>
      <c r="GQ294" s="1716" t="e">
        <f>GP294/GP$296</f>
        <v>#DIV/0!</v>
      </c>
      <c r="GR294" s="1730"/>
      <c r="GS294" s="1716" t="e">
        <f t="shared" si="717"/>
        <v>#DIV/0!</v>
      </c>
      <c r="GT294" s="1730"/>
      <c r="GU294" s="1716" t="e">
        <f t="shared" si="718"/>
        <v>#DIV/0!</v>
      </c>
      <c r="GV294" s="1730"/>
      <c r="GW294" s="1716" t="e">
        <f t="shared" si="719"/>
        <v>#DIV/0!</v>
      </c>
      <c r="GX294" s="1730"/>
      <c r="GY294" s="1716" t="e">
        <f t="shared" si="720"/>
        <v>#DIV/0!</v>
      </c>
      <c r="GZ294" s="1730">
        <v>990216</v>
      </c>
      <c r="HA294" s="1716">
        <f t="shared" si="721"/>
        <v>0.18133605632131453</v>
      </c>
      <c r="HB294" s="1730"/>
      <c r="HC294" s="1716" t="e">
        <f t="shared" si="722"/>
        <v>#DIV/0!</v>
      </c>
      <c r="HD294" s="1730"/>
      <c r="HE294" s="1716" t="e">
        <f t="shared" si="723"/>
        <v>#DIV/0!</v>
      </c>
      <c r="HF294" s="2051">
        <v>564290</v>
      </c>
      <c r="HG294" s="2033">
        <f t="shared" si="724"/>
        <v>0.12109718613051045</v>
      </c>
      <c r="HH294" s="1730">
        <v>463448</v>
      </c>
      <c r="HI294" s="1716">
        <f t="shared" si="725"/>
        <v>0.14368074802978725</v>
      </c>
      <c r="HJ294" s="1730"/>
      <c r="HK294" s="1716" t="e">
        <f t="shared" si="726"/>
        <v>#DIV/0!</v>
      </c>
      <c r="HL294" s="1730">
        <f>442749+23070</f>
        <v>465819</v>
      </c>
      <c r="HM294" s="1716">
        <f t="shared" si="727"/>
        <v>0.19761773854432346</v>
      </c>
      <c r="HN294" s="1730"/>
      <c r="HO294" s="1716" t="e">
        <f t="shared" si="728"/>
        <v>#DIV/0!</v>
      </c>
      <c r="HP294" s="2051">
        <f>3154341-HP293-HP292-HP291</f>
        <v>794388</v>
      </c>
      <c r="HQ294" s="2033">
        <f t="shared" si="729"/>
        <v>0.12087942019608508</v>
      </c>
      <c r="HR294" s="1730"/>
      <c r="HS294" s="1716" t="e">
        <f t="shared" si="730"/>
        <v>#DIV/0!</v>
      </c>
      <c r="HT294" s="2051">
        <v>154642</v>
      </c>
      <c r="HU294" s="2033">
        <f t="shared" si="731"/>
        <v>5.0455624975733387E-2</v>
      </c>
      <c r="HV294" s="2051"/>
      <c r="HW294" s="2033" t="e">
        <f t="shared" si="732"/>
        <v>#DIV/0!</v>
      </c>
      <c r="HX294" s="2051"/>
      <c r="HY294" s="2033" t="e">
        <f t="shared" si="733"/>
        <v>#DIV/0!</v>
      </c>
      <c r="HZ294" s="2051">
        <f>1166846-958640-37525</f>
        <v>170681</v>
      </c>
      <c r="IA294" s="2033">
        <f t="shared" si="734"/>
        <v>4.35150290157982E-2</v>
      </c>
      <c r="IB294" s="1730"/>
      <c r="IC294" s="1716" t="e">
        <f t="shared" si="735"/>
        <v>#DIV/0!</v>
      </c>
      <c r="ID294" s="2051"/>
      <c r="IE294" s="2033" t="e">
        <f t="shared" si="736"/>
        <v>#DIV/0!</v>
      </c>
      <c r="IF294" s="2051"/>
      <c r="IG294" s="2033" t="e">
        <f t="shared" si="737"/>
        <v>#DIV/0!</v>
      </c>
    </row>
    <row r="295" spans="1:241">
      <c r="A295" s="1149"/>
      <c r="B295" s="1149"/>
      <c r="C295" s="1149"/>
      <c r="D295" s="1149"/>
      <c r="E295" s="1143"/>
      <c r="F295" s="1717"/>
      <c r="G295" s="1718"/>
      <c r="H295" s="1717"/>
      <c r="I295" s="1718"/>
      <c r="J295" s="1717"/>
      <c r="K295" s="1718"/>
      <c r="L295" s="1717"/>
      <c r="M295" s="1718"/>
      <c r="N295" s="1717"/>
      <c r="O295" s="1718"/>
      <c r="P295" s="1717"/>
      <c r="Q295" s="1718"/>
      <c r="R295" s="1717"/>
      <c r="S295" s="1718"/>
      <c r="T295" s="1717"/>
      <c r="U295" s="1718"/>
      <c r="V295" s="1717"/>
      <c r="W295" s="1718"/>
      <c r="X295" s="1717"/>
      <c r="Y295" s="1718"/>
      <c r="Z295" s="1717"/>
      <c r="AA295" s="1718"/>
      <c r="AB295" s="1717"/>
      <c r="AC295" s="1718"/>
      <c r="AD295" s="1717"/>
      <c r="AE295" s="1718"/>
      <c r="AF295" s="1717"/>
      <c r="AG295" s="1718"/>
      <c r="AH295" s="1717"/>
      <c r="AI295" s="1718"/>
      <c r="AJ295" s="1717"/>
      <c r="AK295" s="1718"/>
      <c r="AL295" s="1717"/>
      <c r="AM295" s="1718"/>
      <c r="AN295" s="1717"/>
      <c r="AO295" s="1718"/>
      <c r="AP295" s="1717"/>
      <c r="AQ295" s="1718"/>
      <c r="AR295" s="1717"/>
      <c r="AS295" s="1718"/>
      <c r="AT295" s="1717"/>
      <c r="AU295" s="1718"/>
      <c r="AV295" s="1717"/>
      <c r="AW295" s="1718"/>
      <c r="AX295" s="1717"/>
      <c r="AY295" s="1718"/>
      <c r="AZ295" s="1717"/>
      <c r="BA295" s="1718"/>
      <c r="BB295" s="1717"/>
      <c r="BC295" s="1718"/>
      <c r="BD295" s="1717"/>
      <c r="BE295" s="1718"/>
      <c r="BF295" s="1717"/>
      <c r="BG295" s="1718"/>
      <c r="BH295" s="1717"/>
      <c r="BI295" s="1718"/>
      <c r="BJ295" s="1717"/>
      <c r="BK295" s="1718"/>
      <c r="BL295" s="1717"/>
      <c r="BM295" s="1718"/>
      <c r="BN295" s="1717"/>
      <c r="BO295" s="1718"/>
      <c r="BP295" s="1717"/>
      <c r="BQ295" s="1718"/>
      <c r="BR295" s="1717"/>
      <c r="BS295" s="1718"/>
      <c r="BT295" s="1717"/>
      <c r="BU295" s="1718"/>
      <c r="BV295" s="1717"/>
      <c r="BW295" s="1718"/>
      <c r="BX295" s="1717"/>
      <c r="BY295" s="1718"/>
      <c r="BZ295" s="1717"/>
      <c r="CA295" s="1718"/>
      <c r="CB295" s="1717"/>
      <c r="CC295" s="1718"/>
      <c r="CD295" s="1717"/>
      <c r="CE295" s="1718"/>
      <c r="CF295" s="1717"/>
      <c r="CG295" s="1718"/>
      <c r="CH295" s="1717"/>
      <c r="CI295" s="1718"/>
      <c r="CJ295" s="1717"/>
      <c r="CK295" s="1718"/>
      <c r="CL295" s="1717"/>
      <c r="CM295" s="1718"/>
      <c r="CN295" s="1717"/>
      <c r="CO295" s="1718"/>
      <c r="CP295" s="1717"/>
      <c r="CQ295" s="1718"/>
      <c r="CR295" s="1717"/>
      <c r="CS295" s="1718"/>
      <c r="CT295" s="1717"/>
      <c r="CU295" s="1718"/>
      <c r="CV295" s="1717"/>
      <c r="CW295" s="1718"/>
      <c r="CX295" s="1717"/>
      <c r="CY295" s="1718"/>
      <c r="CZ295" s="1717"/>
      <c r="DA295" s="1718"/>
      <c r="DB295" s="1717"/>
      <c r="DC295" s="1718"/>
      <c r="DD295" s="1717"/>
      <c r="DE295" s="1718"/>
      <c r="DF295" s="1717"/>
      <c r="DG295" s="1718"/>
      <c r="DH295" s="1717"/>
      <c r="DI295" s="1718"/>
      <c r="DJ295" s="1717"/>
      <c r="DK295" s="1718"/>
      <c r="DL295" s="1717"/>
      <c r="DM295" s="1718"/>
      <c r="DN295" s="1717"/>
      <c r="DO295" s="1718"/>
      <c r="DP295" s="1717"/>
      <c r="DQ295" s="1718"/>
      <c r="DR295" s="1717"/>
      <c r="DS295" s="1718"/>
      <c r="DT295" s="1717"/>
      <c r="DU295" s="1718"/>
      <c r="DV295" s="1717"/>
      <c r="DW295" s="1718"/>
      <c r="DX295" s="1717"/>
      <c r="DY295" s="1718"/>
      <c r="DZ295" s="1717"/>
      <c r="EA295" s="1718"/>
      <c r="EB295" s="1717"/>
      <c r="EC295" s="1718"/>
      <c r="ED295" s="1717"/>
      <c r="EE295" s="1718"/>
      <c r="EF295" s="1717"/>
      <c r="EG295" s="1718"/>
      <c r="EH295" s="1717"/>
      <c r="EI295" s="1718"/>
      <c r="EJ295" s="1717"/>
      <c r="EK295" s="1718"/>
      <c r="EL295" s="1717"/>
      <c r="EM295" s="1718"/>
      <c r="EN295" s="1717"/>
      <c r="EO295" s="1718"/>
      <c r="EP295" s="1717"/>
      <c r="EQ295" s="1718"/>
      <c r="ER295" s="1717"/>
      <c r="ES295" s="1718"/>
      <c r="ET295" s="1717"/>
      <c r="EU295" s="1718"/>
      <c r="EV295" s="1717"/>
      <c r="EW295" s="1718"/>
      <c r="EX295" s="1717"/>
      <c r="EY295" s="1718"/>
      <c r="EZ295" s="1717"/>
      <c r="FA295" s="1718"/>
      <c r="FB295" s="1717"/>
      <c r="FC295" s="1718"/>
      <c r="FD295" s="1717"/>
      <c r="FE295" s="1718"/>
      <c r="FF295" s="1717"/>
      <c r="FG295" s="1718"/>
      <c r="FH295" s="1717"/>
      <c r="FI295" s="1718"/>
      <c r="FJ295" s="1717"/>
      <c r="FK295" s="1718"/>
      <c r="FL295" s="1717"/>
      <c r="FM295" s="1718"/>
      <c r="FN295" s="1717"/>
      <c r="FO295" s="1718"/>
      <c r="FP295" s="1717"/>
      <c r="FQ295" s="1718"/>
      <c r="FR295" s="1717"/>
      <c r="FS295" s="1718"/>
      <c r="FT295" s="1717"/>
      <c r="FU295" s="1718"/>
      <c r="FV295" s="1717"/>
      <c r="FW295" s="1718"/>
      <c r="FX295" s="1717"/>
      <c r="FY295" s="1718"/>
      <c r="FZ295" s="1717"/>
      <c r="GA295" s="1718"/>
      <c r="GB295" s="1717"/>
      <c r="GC295" s="1718"/>
      <c r="GD295" s="1717"/>
      <c r="GE295" s="1718"/>
      <c r="GF295" s="1717"/>
      <c r="GG295" s="1718"/>
      <c r="GH295" s="1717"/>
      <c r="GI295" s="1718"/>
      <c r="GJ295" s="1717"/>
      <c r="GK295" s="1718"/>
      <c r="GL295" s="1717"/>
      <c r="GM295" s="1718"/>
      <c r="GN295" s="1717"/>
      <c r="GO295" s="1718"/>
      <c r="GP295" s="1717"/>
      <c r="GQ295" s="1718"/>
      <c r="GR295" s="1717"/>
      <c r="GS295" s="1718"/>
      <c r="GT295" s="1717"/>
      <c r="GU295" s="1718"/>
      <c r="GV295" s="1717"/>
      <c r="GW295" s="1718"/>
      <c r="GX295" s="1717"/>
      <c r="GY295" s="1718"/>
      <c r="GZ295" s="1717"/>
      <c r="HA295" s="1718"/>
      <c r="HB295" s="1717"/>
      <c r="HC295" s="1718"/>
      <c r="HD295" s="1717"/>
      <c r="HE295" s="1718"/>
      <c r="HF295" s="2034"/>
      <c r="HG295" s="2035"/>
      <c r="HH295" s="1717"/>
      <c r="HI295" s="1718"/>
      <c r="HJ295" s="1717"/>
      <c r="HK295" s="1718"/>
      <c r="HL295" s="1717"/>
      <c r="HM295" s="1718"/>
      <c r="HN295" s="1717"/>
      <c r="HO295" s="1718"/>
      <c r="HP295" s="2034"/>
      <c r="HQ295" s="2035"/>
      <c r="HR295" s="1717"/>
      <c r="HS295" s="1718"/>
      <c r="HT295" s="2034"/>
      <c r="HU295" s="2035"/>
      <c r="HV295" s="2034"/>
      <c r="HW295" s="2035"/>
      <c r="HX295" s="2034"/>
      <c r="HY295" s="2035"/>
      <c r="HZ295" s="2034"/>
      <c r="IA295" s="2035"/>
      <c r="IB295" s="1717"/>
      <c r="IC295" s="1718"/>
      <c r="ID295" s="2034"/>
      <c r="IE295" s="2035"/>
      <c r="IF295" s="2034"/>
      <c r="IG295" s="2035"/>
    </row>
    <row r="296" spans="1:241" ht="16.2" thickBot="1">
      <c r="A296" s="1149"/>
      <c r="B296" s="1149"/>
      <c r="C296" s="1149"/>
      <c r="D296" s="1149"/>
      <c r="E296" s="1143"/>
      <c r="F296" s="1731">
        <f>SUM(F289:F294)</f>
        <v>0</v>
      </c>
      <c r="G296" s="1716" t="e">
        <f>F296/F$296</f>
        <v>#DIV/0!</v>
      </c>
      <c r="H296" s="1731">
        <f>SUM(H289:H294)</f>
        <v>0</v>
      </c>
      <c r="I296" s="1716" t="e">
        <f>H296/H$296</f>
        <v>#DIV/0!</v>
      </c>
      <c r="J296" s="1731">
        <f>SUM(J289:J294)</f>
        <v>0</v>
      </c>
      <c r="K296" s="1716" t="e">
        <f>J296/J$296</f>
        <v>#DIV/0!</v>
      </c>
      <c r="L296" s="1731">
        <f>SUM(L289:L294)</f>
        <v>7066206</v>
      </c>
      <c r="M296" s="1716">
        <f>L296/L$296</f>
        <v>1</v>
      </c>
      <c r="N296" s="1731">
        <f>SUM(N289:N294)</f>
        <v>0</v>
      </c>
      <c r="O296" s="1716" t="e">
        <f>N296/N$296</f>
        <v>#DIV/0!</v>
      </c>
      <c r="P296" s="1731">
        <f>SUM(P289:P294)</f>
        <v>9739182</v>
      </c>
      <c r="Q296" s="1716">
        <f>P296/P$296</f>
        <v>1</v>
      </c>
      <c r="R296" s="1731">
        <f>SUM(R289:R294)</f>
        <v>4632325</v>
      </c>
      <c r="S296" s="1716">
        <f>R296/R$296</f>
        <v>1</v>
      </c>
      <c r="T296" s="1731">
        <f>SUM(T289:T294)</f>
        <v>0</v>
      </c>
      <c r="U296" s="1716" t="e">
        <f>T296/T$296</f>
        <v>#DIV/0!</v>
      </c>
      <c r="V296" s="1731">
        <f>SUM(V289:V294)</f>
        <v>0</v>
      </c>
      <c r="W296" s="1716" t="e">
        <f>V296/V$296</f>
        <v>#DIV/0!</v>
      </c>
      <c r="X296" s="1731">
        <f>SUM(X289:X294)</f>
        <v>0</v>
      </c>
      <c r="Y296" s="1716" t="e">
        <f>X296/X$296</f>
        <v>#DIV/0!</v>
      </c>
      <c r="Z296" s="1731">
        <f>SUM(Z289:Z294)</f>
        <v>3689692</v>
      </c>
      <c r="AA296" s="1716">
        <f>Z296/Z$296</f>
        <v>1</v>
      </c>
      <c r="AB296" s="1731">
        <f>SUM(AB289:AB294)</f>
        <v>2595214</v>
      </c>
      <c r="AC296" s="1716">
        <f>AB296/AB$296</f>
        <v>1</v>
      </c>
      <c r="AD296" s="1731">
        <f>SUM(AD289:AD294)</f>
        <v>2961082</v>
      </c>
      <c r="AE296" s="1716">
        <f>AD296/AD$296</f>
        <v>1</v>
      </c>
      <c r="AF296" s="1731">
        <f>SUM(AF289:AF294)</f>
        <v>0</v>
      </c>
      <c r="AG296" s="1716" t="e">
        <f>AF296/AF$296</f>
        <v>#DIV/0!</v>
      </c>
      <c r="AH296" s="1731">
        <f>SUM(AH289:AH294)</f>
        <v>0</v>
      </c>
      <c r="AI296" s="1716" t="e">
        <f>AH296/AH$296</f>
        <v>#DIV/0!</v>
      </c>
      <c r="AJ296" s="1731">
        <f>SUM(AJ289:AJ294)</f>
        <v>0</v>
      </c>
      <c r="AK296" s="1716" t="e">
        <f>AJ296/AJ$296</f>
        <v>#DIV/0!</v>
      </c>
      <c r="AL296" s="1731">
        <f>SUM(AL289:AL294)</f>
        <v>0</v>
      </c>
      <c r="AM296" s="1716" t="e">
        <f>AL296/AL$296</f>
        <v>#DIV/0!</v>
      </c>
      <c r="AN296" s="1731">
        <f>SUM(AN289:AN294)</f>
        <v>0</v>
      </c>
      <c r="AO296" s="1716" t="e">
        <f>AN296/AN$296</f>
        <v>#DIV/0!</v>
      </c>
      <c r="AP296" s="1731">
        <f>SUM(AP289:AP294)</f>
        <v>4565936</v>
      </c>
      <c r="AQ296" s="1716">
        <f>AP296/AP$296</f>
        <v>1</v>
      </c>
      <c r="AR296" s="1731">
        <f>SUM(AR289:AR294)</f>
        <v>0</v>
      </c>
      <c r="AS296" s="1716" t="e">
        <f>AR296/AR$296</f>
        <v>#DIV/0!</v>
      </c>
      <c r="AT296" s="1731">
        <f>SUM(AT289:AT294)</f>
        <v>0</v>
      </c>
      <c r="AU296" s="1716" t="e">
        <f>AT296/AT$296</f>
        <v>#DIV/0!</v>
      </c>
      <c r="AV296" s="1731">
        <f>SUM(AV289:AV294)</f>
        <v>0</v>
      </c>
      <c r="AW296" s="1716" t="e">
        <f>AV296/AV$296</f>
        <v>#DIV/0!</v>
      </c>
      <c r="AX296" s="1731">
        <f>SUM(AX289:AX294)</f>
        <v>0</v>
      </c>
      <c r="AY296" s="1716" t="e">
        <f>AX296/AX$296</f>
        <v>#DIV/0!</v>
      </c>
      <c r="AZ296" s="1731">
        <f>SUM(AZ289:AZ294)</f>
        <v>0</v>
      </c>
      <c r="BA296" s="1716" t="e">
        <f>AZ296/AZ$296</f>
        <v>#DIV/0!</v>
      </c>
      <c r="BB296" s="1731">
        <f>SUM(BB289:BB294)</f>
        <v>2951780</v>
      </c>
      <c r="BC296" s="1716">
        <f>BB296/BB$296</f>
        <v>1</v>
      </c>
      <c r="BD296" s="1731">
        <f>SUM(BD289:BD294)</f>
        <v>0</v>
      </c>
      <c r="BE296" s="1716" t="e">
        <f>BD296/BD$296</f>
        <v>#DIV/0!</v>
      </c>
      <c r="BF296" s="1731">
        <f>SUM(BF289:BF294)</f>
        <v>0</v>
      </c>
      <c r="BG296" s="1716" t="e">
        <f>BF296/BF$296</f>
        <v>#DIV/0!</v>
      </c>
      <c r="BH296" s="1731">
        <f>SUM(BH289:BH294)</f>
        <v>3617093</v>
      </c>
      <c r="BI296" s="1716">
        <f>BH296/BH$296</f>
        <v>1</v>
      </c>
      <c r="BJ296" s="1731">
        <f>SUM(BJ289:BJ294)</f>
        <v>3778622</v>
      </c>
      <c r="BK296" s="1716">
        <f>BJ296/BJ$296</f>
        <v>1</v>
      </c>
      <c r="BL296" s="1731">
        <f>SUM(BL289:BL294)</f>
        <v>4325843</v>
      </c>
      <c r="BM296" s="1716">
        <f>BL296/BL$296</f>
        <v>1</v>
      </c>
      <c r="BN296" s="1731">
        <f>SUM(BN289:BN294)</f>
        <v>0</v>
      </c>
      <c r="BO296" s="1716" t="e">
        <f>BN296/BN$296</f>
        <v>#DIV/0!</v>
      </c>
      <c r="BP296" s="1731">
        <f>SUM(BP289:BP294)</f>
        <v>0</v>
      </c>
      <c r="BQ296" s="1716" t="e">
        <f>BP296/BP$296</f>
        <v>#DIV/0!</v>
      </c>
      <c r="BR296" s="1731">
        <f>SUM(BR289:BR294)</f>
        <v>0</v>
      </c>
      <c r="BS296" s="1716" t="e">
        <f>BR296/BR$296</f>
        <v>#DIV/0!</v>
      </c>
      <c r="BT296" s="1731">
        <f>SUM(BT289:BT294)</f>
        <v>0</v>
      </c>
      <c r="BU296" s="1716" t="e">
        <f>BT296/BT$296</f>
        <v>#DIV/0!</v>
      </c>
      <c r="BV296" s="1731">
        <f>SUM(BV289:BV294)</f>
        <v>0</v>
      </c>
      <c r="BW296" s="1716" t="e">
        <f>BV296/BV$296</f>
        <v>#DIV/0!</v>
      </c>
      <c r="BX296" s="1731">
        <f>SUM(BX289:BX294)</f>
        <v>0</v>
      </c>
      <c r="BY296" s="1716" t="e">
        <f>BX296/BX$296</f>
        <v>#DIV/0!</v>
      </c>
      <c r="BZ296" s="1731">
        <f>SUM(BZ289:BZ294)</f>
        <v>3582191</v>
      </c>
      <c r="CA296" s="1716">
        <f>BZ296/BZ$296</f>
        <v>1</v>
      </c>
      <c r="CB296" s="1731">
        <f>SUM(CB289:CB294)</f>
        <v>0</v>
      </c>
      <c r="CC296" s="1716" t="e">
        <f>CB296/CB$296</f>
        <v>#DIV/0!</v>
      </c>
      <c r="CD296" s="1731">
        <f>SUM(CD289:CD294)</f>
        <v>4160111</v>
      </c>
      <c r="CE296" s="1716">
        <f>CD296/CD$296</f>
        <v>1</v>
      </c>
      <c r="CF296" s="1731">
        <v>0</v>
      </c>
      <c r="CG296" s="1716" t="e">
        <v>#DIV/0!</v>
      </c>
      <c r="CH296" s="1731">
        <v>0</v>
      </c>
      <c r="CI296" s="1716" t="e">
        <v>#DIV/0!</v>
      </c>
      <c r="CJ296" s="1731">
        <v>3206941</v>
      </c>
      <c r="CK296" s="1716">
        <v>1</v>
      </c>
      <c r="CL296" s="1731">
        <v>8561851</v>
      </c>
      <c r="CM296" s="1716">
        <v>1</v>
      </c>
      <c r="CN296" s="1731">
        <f>SUM(CN289:CN294)</f>
        <v>3343382</v>
      </c>
      <c r="CO296" s="1716">
        <f>CN296/CN$296</f>
        <v>1</v>
      </c>
      <c r="CP296" s="1731">
        <f>SUM(CP289:CP294)</f>
        <v>3444991</v>
      </c>
      <c r="CQ296" s="1716">
        <f>CP296/CP$296</f>
        <v>1</v>
      </c>
      <c r="CR296" s="1731">
        <v>0</v>
      </c>
      <c r="CS296" s="1716" t="e">
        <v>#DIV/0!</v>
      </c>
      <c r="CT296" s="1731">
        <f>SUM(CT289:CT294)</f>
        <v>0</v>
      </c>
      <c r="CU296" s="1716" t="e">
        <f>CT296/CT$296</f>
        <v>#DIV/0!</v>
      </c>
      <c r="CV296" s="1731">
        <f>SUM(CV289:CV294)</f>
        <v>4916840</v>
      </c>
      <c r="CW296" s="1716">
        <f>CV296/CV$296</f>
        <v>1</v>
      </c>
      <c r="CX296" s="1731">
        <f>SUM(CX289:CX294)</f>
        <v>3049690</v>
      </c>
      <c r="CY296" s="1716">
        <f>CX296/CX$296</f>
        <v>1</v>
      </c>
      <c r="CZ296" s="1731">
        <v>0</v>
      </c>
      <c r="DA296" s="1716" t="e">
        <v>#DIV/0!</v>
      </c>
      <c r="DB296" s="1731">
        <v>0</v>
      </c>
      <c r="DC296" s="1716" t="e">
        <v>#DIV/0!</v>
      </c>
      <c r="DD296" s="1731">
        <v>0</v>
      </c>
      <c r="DE296" s="1716" t="e">
        <v>#DIV/0!</v>
      </c>
      <c r="DF296" s="1731">
        <v>4742654</v>
      </c>
      <c r="DG296" s="1716">
        <v>1</v>
      </c>
      <c r="DH296" s="1731">
        <v>3374983</v>
      </c>
      <c r="DI296" s="1716">
        <v>1</v>
      </c>
      <c r="DJ296" s="1731">
        <v>0</v>
      </c>
      <c r="DK296" s="1716" t="e">
        <v>#DIV/0!</v>
      </c>
      <c r="DL296" s="1731">
        <v>2751502</v>
      </c>
      <c r="DM296" s="1716">
        <v>1</v>
      </c>
      <c r="DN296" s="1731">
        <f>SUM(DN289:DN294)</f>
        <v>0</v>
      </c>
      <c r="DO296" s="1716" t="e">
        <f>DN296/DN$296</f>
        <v>#DIV/0!</v>
      </c>
      <c r="DP296" s="1731">
        <f>SUM(DP289:DP294)</f>
        <v>0</v>
      </c>
      <c r="DQ296" s="1716" t="e">
        <f>DP296/DP$296</f>
        <v>#DIV/0!</v>
      </c>
      <c r="DR296" s="1731">
        <f>SUM(DR289:DR294)</f>
        <v>3486096</v>
      </c>
      <c r="DS296" s="1716">
        <f>DR296/DR$296</f>
        <v>1</v>
      </c>
      <c r="DT296" s="1731">
        <f>SUM(DT289:DT294)</f>
        <v>4034351</v>
      </c>
      <c r="DU296" s="1716">
        <f>DT296/DT$296</f>
        <v>1</v>
      </c>
      <c r="DV296" s="1731">
        <f>SUM(DV289:DV294)</f>
        <v>0</v>
      </c>
      <c r="DW296" s="1716" t="e">
        <f>DV296/DV$296</f>
        <v>#DIV/0!</v>
      </c>
      <c r="DX296" s="1731">
        <f>SUM(DX289:DX294)</f>
        <v>0</v>
      </c>
      <c r="DY296" s="1716" t="e">
        <f>DX296/DX$296</f>
        <v>#DIV/0!</v>
      </c>
      <c r="DZ296" s="1731">
        <f>SUM(DZ289:DZ294)</f>
        <v>5760406</v>
      </c>
      <c r="EA296" s="1716">
        <f>DZ296/DZ$296</f>
        <v>1</v>
      </c>
      <c r="EB296" s="1731">
        <f>SUM(EB289:EB294)</f>
        <v>0</v>
      </c>
      <c r="EC296" s="1716" t="e">
        <f>EB296/EB$296</f>
        <v>#DIV/0!</v>
      </c>
      <c r="ED296" s="1731">
        <f>SUM(ED289:ED294)</f>
        <v>0</v>
      </c>
      <c r="EE296" s="1716" t="e">
        <f>ED296/ED$296</f>
        <v>#DIV/0!</v>
      </c>
      <c r="EF296" s="1731">
        <f>SUM(EF289:EF294)</f>
        <v>0</v>
      </c>
      <c r="EG296" s="1716" t="e">
        <f>EF296/EF$296</f>
        <v>#DIV/0!</v>
      </c>
      <c r="EH296" s="1731">
        <f>SUM(EH289:EH294)</f>
        <v>0</v>
      </c>
      <c r="EI296" s="1716" t="e">
        <f>EH296/EH$296</f>
        <v>#DIV/0!</v>
      </c>
      <c r="EJ296" s="1731">
        <f>SUM(EJ289:EJ294)</f>
        <v>0</v>
      </c>
      <c r="EK296" s="1716" t="e">
        <f>EJ296/EJ$296</f>
        <v>#DIV/0!</v>
      </c>
      <c r="EL296" s="1731">
        <f>SUM(EL289:EL294)</f>
        <v>6847359</v>
      </c>
      <c r="EM296" s="1716">
        <f>EL296/EL$296</f>
        <v>1</v>
      </c>
      <c r="EN296" s="1731">
        <f>SUM(EN289:EN294)</f>
        <v>0</v>
      </c>
      <c r="EO296" s="1716" t="e">
        <f>EN296/EN$296</f>
        <v>#DIV/0!</v>
      </c>
      <c r="EP296" s="1731">
        <f>SUM(EP289:EP294)</f>
        <v>0</v>
      </c>
      <c r="EQ296" s="1716" t="e">
        <f>EP296/EP$296</f>
        <v>#DIV/0!</v>
      </c>
      <c r="ER296" s="1731">
        <f>SUM(ER289:ER294)</f>
        <v>0</v>
      </c>
      <c r="ES296" s="1716" t="e">
        <f>ER296/ER$296</f>
        <v>#DIV/0!</v>
      </c>
      <c r="ET296" s="1731">
        <f>SUM(ET289:ET294)</f>
        <v>3212386</v>
      </c>
      <c r="EU296" s="1716">
        <f>ET296/ET$296</f>
        <v>1</v>
      </c>
      <c r="EV296" s="1731">
        <f>SUM(EV289:EV294)</f>
        <v>0</v>
      </c>
      <c r="EW296" s="1716" t="e">
        <f>EV296/EV$296</f>
        <v>#DIV/0!</v>
      </c>
      <c r="EX296" s="1731">
        <f>SUM(EX289:EX294)</f>
        <v>0</v>
      </c>
      <c r="EY296" s="1716" t="e">
        <f>EX296/EX$296</f>
        <v>#DIV/0!</v>
      </c>
      <c r="EZ296" s="1731">
        <f>SUM(EZ289:EZ294)</f>
        <v>2769123</v>
      </c>
      <c r="FA296" s="1716">
        <f>EZ296/EZ$296</f>
        <v>1</v>
      </c>
      <c r="FB296" s="1731">
        <f>SUM(FB289:FB294)</f>
        <v>0</v>
      </c>
      <c r="FC296" s="1716" t="e">
        <f>FB296/FB$296</f>
        <v>#DIV/0!</v>
      </c>
      <c r="FD296" s="1731">
        <f>SUM(FD289:FD294)</f>
        <v>2684587</v>
      </c>
      <c r="FE296" s="1716">
        <f>FD296/FD$296</f>
        <v>1</v>
      </c>
      <c r="FF296" s="1731">
        <f>SUM(FF289:FF294)</f>
        <v>2578046</v>
      </c>
      <c r="FG296" s="1716">
        <f>FF296/FF$296</f>
        <v>1</v>
      </c>
      <c r="FH296" s="1731">
        <f>SUM(FH289:FH294)</f>
        <v>0</v>
      </c>
      <c r="FI296" s="1716" t="e">
        <f>FH296/FH$296</f>
        <v>#DIV/0!</v>
      </c>
      <c r="FJ296" s="1731">
        <f>SUM(FJ289:FJ294)</f>
        <v>0</v>
      </c>
      <c r="FK296" s="1716" t="e">
        <f>FJ296/FJ$296</f>
        <v>#DIV/0!</v>
      </c>
      <c r="FL296" s="1731">
        <f>SUM(FL289:FL294)</f>
        <v>0</v>
      </c>
      <c r="FM296" s="1716" t="e">
        <f>FL296/FL$296</f>
        <v>#DIV/0!</v>
      </c>
      <c r="FN296" s="1731">
        <f>SUM(FN289:FN294)</f>
        <v>0</v>
      </c>
      <c r="FO296" s="1716" t="e">
        <f>FN296/FN$296</f>
        <v>#DIV/0!</v>
      </c>
      <c r="FP296" s="1731">
        <f>SUM(FP289:FP294)</f>
        <v>0</v>
      </c>
      <c r="FQ296" s="1716" t="e">
        <f>FP296/FP$296</f>
        <v>#DIV/0!</v>
      </c>
      <c r="FR296" s="1731">
        <f>SUM(FR289:FR294)</f>
        <v>2989826</v>
      </c>
      <c r="FS296" s="1716">
        <f>FR296/FR$296</f>
        <v>1</v>
      </c>
      <c r="FT296" s="1731">
        <f>SUM(FT289:FT294)</f>
        <v>5406875</v>
      </c>
      <c r="FU296" s="1716">
        <f>FT296/FT$296</f>
        <v>1</v>
      </c>
      <c r="FV296" s="1731">
        <f>SUM(FV289:FV294)</f>
        <v>3499432</v>
      </c>
      <c r="FW296" s="1716">
        <f>FV296/FV$296</f>
        <v>1</v>
      </c>
      <c r="FX296" s="1731">
        <f>SUM(FX289:FX294)</f>
        <v>0</v>
      </c>
      <c r="FY296" s="1716" t="e">
        <f>FX296/FX$296</f>
        <v>#DIV/0!</v>
      </c>
      <c r="FZ296" s="1731">
        <f>SUM(FZ289:FZ294)</f>
        <v>0</v>
      </c>
      <c r="GA296" s="1716" t="e">
        <f>FZ296/FZ$296</f>
        <v>#DIV/0!</v>
      </c>
      <c r="GB296" s="1731">
        <f>SUM(GB289:GB294)</f>
        <v>0</v>
      </c>
      <c r="GC296" s="1716" t="e">
        <f>GB296/GB$296</f>
        <v>#DIV/0!</v>
      </c>
      <c r="GD296" s="1731">
        <f>SUM(GD289:GD294)</f>
        <v>2986228</v>
      </c>
      <c r="GE296" s="1716">
        <f>GD296/GD$296</f>
        <v>1</v>
      </c>
      <c r="GF296" s="1731">
        <f>SUM(GF289:GF294)</f>
        <v>3172765</v>
      </c>
      <c r="GG296" s="1716">
        <f>GF296/GF$296</f>
        <v>1</v>
      </c>
      <c r="GH296" s="1731">
        <f>SUM(GH289:GH294)</f>
        <v>0</v>
      </c>
      <c r="GI296" s="1716" t="e">
        <f>GH296/GH$296</f>
        <v>#DIV/0!</v>
      </c>
      <c r="GJ296" s="1731">
        <f>SUM(GJ289:GJ294)</f>
        <v>10585420</v>
      </c>
      <c r="GK296" s="1716">
        <f>GJ296/GJ$296</f>
        <v>1</v>
      </c>
      <c r="GL296" s="1731">
        <f>SUM(GL289:GL294)</f>
        <v>0</v>
      </c>
      <c r="GM296" s="1716" t="e">
        <f>GL296/GL$296</f>
        <v>#DIV/0!</v>
      </c>
      <c r="GN296" s="1731">
        <f>SUM(GN289:GN294)</f>
        <v>0</v>
      </c>
      <c r="GO296" s="1716" t="e">
        <f>GN296/GN$296</f>
        <v>#DIV/0!</v>
      </c>
      <c r="GP296" s="1731">
        <f>SUM(GP289:GP294)</f>
        <v>0</v>
      </c>
      <c r="GQ296" s="1716" t="e">
        <f>GP296/GP$296</f>
        <v>#DIV/0!</v>
      </c>
      <c r="GR296" s="1731">
        <f>SUM(GR289:GR294)</f>
        <v>0</v>
      </c>
      <c r="GS296" s="1716" t="e">
        <f>GR296/GR$296</f>
        <v>#DIV/0!</v>
      </c>
      <c r="GT296" s="1731">
        <f>SUM(GT289:GT294)</f>
        <v>0</v>
      </c>
      <c r="GU296" s="1716" t="e">
        <f>GT296/GT$296</f>
        <v>#DIV/0!</v>
      </c>
      <c r="GV296" s="1731">
        <f>SUM(GV289:GV294)</f>
        <v>0</v>
      </c>
      <c r="GW296" s="1716" t="e">
        <f>GV296/GV$296</f>
        <v>#DIV/0!</v>
      </c>
      <c r="GX296" s="1731">
        <f>SUM(GX289:GX294)</f>
        <v>0</v>
      </c>
      <c r="GY296" s="1716" t="e">
        <f>GX296/GX$296</f>
        <v>#DIV/0!</v>
      </c>
      <c r="GZ296" s="1731">
        <f>SUM(GZ289:GZ294)</f>
        <v>5460668</v>
      </c>
      <c r="HA296" s="1716">
        <f>GZ296/GZ$296</f>
        <v>1</v>
      </c>
      <c r="HB296" s="1731">
        <f>SUM(HB289:HB294)</f>
        <v>0</v>
      </c>
      <c r="HC296" s="1716" t="e">
        <f>HB296/HB$296</f>
        <v>#DIV/0!</v>
      </c>
      <c r="HD296" s="1731">
        <f>SUM(HD289:HD294)</f>
        <v>0</v>
      </c>
      <c r="HE296" s="1716" t="e">
        <f>HD296/HD$296</f>
        <v>#DIV/0!</v>
      </c>
      <c r="HF296" s="2052">
        <f>SUM(HF289:HF294)</f>
        <v>4659811</v>
      </c>
      <c r="HG296" s="2033">
        <f>HF296/HF$296</f>
        <v>1</v>
      </c>
      <c r="HH296" s="1731">
        <f>SUM(HH289:HH294)</f>
        <v>3225540</v>
      </c>
      <c r="HI296" s="1716">
        <f>HH296/HH$296</f>
        <v>1</v>
      </c>
      <c r="HJ296" s="1731">
        <f>SUM(HJ289:HJ294)</f>
        <v>0</v>
      </c>
      <c r="HK296" s="1716" t="e">
        <f>HJ296/HJ$296</f>
        <v>#DIV/0!</v>
      </c>
      <c r="HL296" s="1731">
        <f>SUM(HL289:HL294)</f>
        <v>2357172</v>
      </c>
      <c r="HM296" s="1716">
        <f>HL296/HL$296</f>
        <v>1</v>
      </c>
      <c r="HN296" s="1731">
        <f>SUM(HN289:HN294)</f>
        <v>0</v>
      </c>
      <c r="HO296" s="1716" t="e">
        <f>HN296/HN$296</f>
        <v>#DIV/0!</v>
      </c>
      <c r="HP296" s="2052">
        <f>SUM(HP289:HP294)</f>
        <v>6571739</v>
      </c>
      <c r="HQ296" s="2033">
        <f>HP296/HP$296</f>
        <v>1</v>
      </c>
      <c r="HR296" s="1731">
        <f>SUM(HR289:HR294)</f>
        <v>0</v>
      </c>
      <c r="HS296" s="1716" t="e">
        <f>HR296/HR$296</f>
        <v>#DIV/0!</v>
      </c>
      <c r="HT296" s="2052">
        <f>SUM(HT289:HT294)</f>
        <v>3064911</v>
      </c>
      <c r="HU296" s="2033">
        <f>HT296/HT$296</f>
        <v>1</v>
      </c>
      <c r="HV296" s="2052">
        <f>SUM(HV289:HV294)</f>
        <v>0</v>
      </c>
      <c r="HW296" s="2033" t="e">
        <f>HV296/HV$296</f>
        <v>#DIV/0!</v>
      </c>
      <c r="HX296" s="2052">
        <f>SUM(HX289:HX294)</f>
        <v>0</v>
      </c>
      <c r="HY296" s="2033" t="e">
        <f>HX296/HX$296</f>
        <v>#DIV/0!</v>
      </c>
      <c r="HZ296" s="2052">
        <f>SUM(HZ289:HZ294)</f>
        <v>3922346</v>
      </c>
      <c r="IA296" s="2033">
        <f>HZ296/HZ$296</f>
        <v>1</v>
      </c>
      <c r="IB296" s="1731">
        <f>SUM(IB289:IB294)</f>
        <v>0</v>
      </c>
      <c r="IC296" s="1716" t="e">
        <f>IB296/IB$296</f>
        <v>#DIV/0!</v>
      </c>
      <c r="ID296" s="2052">
        <f>SUM(ID289:ID294)</f>
        <v>0</v>
      </c>
      <c r="IE296" s="2033" t="e">
        <f>ID296/ID$296</f>
        <v>#DIV/0!</v>
      </c>
      <c r="IF296" s="2052">
        <f>SUM(IF289:IF294)</f>
        <v>0</v>
      </c>
      <c r="IG296" s="2033" t="e">
        <f>IF296/IF$296</f>
        <v>#DIV/0!</v>
      </c>
    </row>
    <row r="297" spans="1:241" ht="16.2" thickTop="1">
      <c r="A297" s="1149"/>
      <c r="B297" s="1149"/>
      <c r="C297" s="1149"/>
      <c r="D297" s="1149"/>
      <c r="E297" s="1143"/>
      <c r="F297" s="1406"/>
      <c r="G297" s="1356"/>
      <c r="H297" s="1406"/>
      <c r="I297" s="1356"/>
      <c r="J297" s="1406"/>
      <c r="K297" s="1356"/>
      <c r="L297" s="1406"/>
      <c r="M297" s="1356"/>
      <c r="N297" s="1406"/>
      <c r="O297" s="1356"/>
      <c r="P297" s="1406"/>
      <c r="Q297" s="1356"/>
      <c r="T297" s="1406"/>
      <c r="U297" s="1356"/>
      <c r="V297" s="1406"/>
      <c r="W297" s="1356"/>
      <c r="X297" s="1406"/>
      <c r="Y297" s="1356"/>
      <c r="Z297" s="1406"/>
      <c r="AA297" s="1356"/>
      <c r="AB297" s="1406"/>
      <c r="AC297" s="1356"/>
      <c r="AD297" s="1406"/>
      <c r="AE297" s="1356"/>
      <c r="AF297" s="1406"/>
      <c r="AG297" s="1356"/>
      <c r="AH297" s="1406"/>
      <c r="AI297" s="1356"/>
      <c r="AJ297" s="1406"/>
      <c r="AK297" s="1356"/>
      <c r="AL297" s="1406"/>
      <c r="AM297" s="1356"/>
      <c r="AN297" s="1406"/>
      <c r="AO297" s="1356"/>
      <c r="AP297" s="1406"/>
      <c r="AQ297" s="1356"/>
      <c r="AR297" s="1406"/>
      <c r="AS297" s="1356"/>
      <c r="AT297" s="1406"/>
      <c r="AU297" s="1356"/>
      <c r="AV297" s="1406"/>
      <c r="AW297" s="1356"/>
      <c r="AX297" s="1406"/>
      <c r="AY297" s="1356"/>
      <c r="AZ297" s="1406"/>
      <c r="BA297" s="1356"/>
      <c r="BB297" s="1406"/>
      <c r="BC297" s="1356"/>
      <c r="BD297" s="1406"/>
      <c r="BE297" s="1356"/>
      <c r="BF297" s="1406"/>
      <c r="BG297" s="1356"/>
      <c r="BH297" s="1406"/>
      <c r="BI297" s="1356"/>
      <c r="BJ297" s="1406"/>
      <c r="BK297" s="1356"/>
      <c r="BL297" s="1406"/>
      <c r="BM297" s="1356"/>
      <c r="BN297" s="1406"/>
      <c r="BO297" s="1356"/>
      <c r="BP297" s="1406"/>
      <c r="BQ297" s="1356"/>
      <c r="BR297" s="1406"/>
      <c r="BS297" s="1356"/>
      <c r="BT297" s="1406"/>
      <c r="BU297" s="1356"/>
      <c r="BV297" s="1406"/>
      <c r="BW297" s="1356"/>
      <c r="BX297" s="1406"/>
      <c r="BY297" s="1356"/>
      <c r="BZ297" s="1406"/>
      <c r="CA297" s="1356"/>
      <c r="CB297" s="1406"/>
      <c r="CC297" s="1356"/>
      <c r="CD297" s="1406"/>
      <c r="CE297" s="1356"/>
      <c r="CF297" s="1406"/>
      <c r="CG297" s="1356"/>
      <c r="CH297" s="1406"/>
      <c r="CI297" s="1356"/>
      <c r="CJ297" s="1406"/>
      <c r="CK297" s="1356"/>
      <c r="CL297" s="1406"/>
      <c r="CM297" s="1356"/>
      <c r="CN297" s="1406"/>
      <c r="CO297" s="1356"/>
      <c r="CP297" s="1406"/>
      <c r="CQ297" s="1356"/>
      <c r="CR297" s="1406"/>
      <c r="CS297" s="1356"/>
      <c r="CT297" s="1406"/>
      <c r="CU297" s="1356"/>
      <c r="CV297" s="1406"/>
      <c r="CW297" s="1356"/>
      <c r="CX297" s="1406"/>
      <c r="CY297" s="1356"/>
      <c r="CZ297" s="1406"/>
      <c r="DA297" s="1356"/>
      <c r="DB297" s="1406"/>
      <c r="DC297" s="1356"/>
      <c r="DD297" s="1406"/>
      <c r="DE297" s="1356"/>
      <c r="DF297" s="1406"/>
      <c r="DG297" s="1356"/>
      <c r="DH297" s="1406"/>
      <c r="DI297" s="1356"/>
      <c r="DJ297" s="1406"/>
      <c r="DK297" s="1356"/>
      <c r="DL297" s="1406"/>
      <c r="DM297" s="1356"/>
      <c r="DN297" s="1406"/>
      <c r="DO297" s="1356"/>
      <c r="DP297" s="1406"/>
      <c r="DQ297" s="1356"/>
      <c r="DR297" s="1406"/>
      <c r="DS297" s="1356"/>
      <c r="DT297" s="1406"/>
      <c r="DU297" s="1356"/>
      <c r="DV297" s="1406"/>
      <c r="DW297" s="1356"/>
      <c r="DX297" s="1406"/>
      <c r="DY297" s="1356"/>
      <c r="DZ297" s="1406"/>
      <c r="EA297" s="1356"/>
      <c r="EB297" s="1406"/>
      <c r="EC297" s="1356"/>
      <c r="ED297" s="1406"/>
      <c r="EE297" s="1356"/>
      <c r="EF297" s="1406"/>
      <c r="EG297" s="1356"/>
      <c r="EH297" s="1406"/>
      <c r="EI297" s="1356"/>
      <c r="EJ297" s="1406"/>
      <c r="EK297" s="1356"/>
      <c r="EL297" s="1406"/>
      <c r="EM297" s="1356"/>
      <c r="EN297" s="1406"/>
      <c r="EO297" s="1356"/>
      <c r="EP297" s="1406"/>
      <c r="EQ297" s="1356"/>
      <c r="ER297" s="1406"/>
      <c r="ES297" s="1356"/>
      <c r="ET297" s="1406"/>
      <c r="EU297" s="1356"/>
      <c r="EV297" s="1406"/>
      <c r="EW297" s="1356"/>
      <c r="EX297" s="1406"/>
      <c r="EY297" s="1356"/>
      <c r="EZ297" s="1406"/>
      <c r="FA297" s="1356"/>
      <c r="FB297" s="1406"/>
      <c r="FC297" s="1356"/>
      <c r="FD297" s="1406"/>
      <c r="FE297" s="1356"/>
      <c r="FF297" s="1406"/>
      <c r="FG297" s="1356"/>
      <c r="FH297" s="1406"/>
      <c r="FI297" s="1356"/>
      <c r="FJ297" s="1406"/>
      <c r="FK297" s="1356"/>
      <c r="FL297" s="1406"/>
      <c r="FM297" s="1356"/>
      <c r="FN297" s="1406"/>
      <c r="FO297" s="1356"/>
      <c r="FP297" s="1406"/>
      <c r="FQ297" s="1356"/>
      <c r="FR297" s="1406"/>
      <c r="FS297" s="1356"/>
      <c r="FT297" s="1406"/>
      <c r="FU297" s="1356"/>
      <c r="FV297" s="1406"/>
      <c r="FW297" s="1356"/>
      <c r="FX297" s="1406"/>
      <c r="FY297" s="1356"/>
      <c r="FZ297" s="1406"/>
      <c r="GA297" s="1356"/>
      <c r="GB297" s="1406"/>
      <c r="GC297" s="1356"/>
      <c r="GD297" s="1406"/>
      <c r="GE297" s="1356"/>
      <c r="GF297" s="1406"/>
      <c r="GG297" s="1356"/>
      <c r="GH297" s="1406"/>
      <c r="GI297" s="1356"/>
      <c r="GJ297" s="1406"/>
      <c r="GK297" s="1356"/>
      <c r="GL297" s="1406"/>
      <c r="GM297" s="1356"/>
      <c r="GN297" s="1406"/>
      <c r="GO297" s="1356"/>
      <c r="GP297" s="1406"/>
      <c r="GQ297" s="1356"/>
      <c r="GR297" s="1406"/>
      <c r="GS297" s="1356"/>
      <c r="GT297" s="1406"/>
      <c r="GU297" s="1356"/>
      <c r="GV297" s="1406"/>
      <c r="GW297" s="1356"/>
      <c r="GX297" s="1406"/>
      <c r="GY297" s="1356"/>
      <c r="GZ297" s="1406"/>
      <c r="HA297" s="1356"/>
      <c r="HB297" s="1406"/>
      <c r="HC297" s="1356"/>
      <c r="HD297" s="1406"/>
      <c r="HE297" s="1356"/>
      <c r="HH297" s="1406"/>
      <c r="HI297" s="1356"/>
      <c r="HJ297" s="1406"/>
      <c r="HK297" s="1356"/>
      <c r="HL297" s="1406"/>
      <c r="HM297" s="1356"/>
      <c r="HN297" s="1406"/>
      <c r="HO297" s="1356"/>
      <c r="HR297" s="1406"/>
      <c r="HS297" s="1356"/>
      <c r="IB297" s="1406"/>
      <c r="IC297" s="1356"/>
    </row>
    <row r="298" spans="1:241">
      <c r="A298" s="1149"/>
      <c r="B298" s="1149"/>
      <c r="C298" s="1149" t="s">
        <v>77</v>
      </c>
      <c r="D298" s="1149"/>
      <c r="E298" s="1143"/>
      <c r="F298" s="1732" t="e">
        <f>F296/F283</f>
        <v>#DIV/0!</v>
      </c>
      <c r="G298" s="1356"/>
      <c r="H298" s="1732" t="e">
        <f>H296/H283</f>
        <v>#DIV/0!</v>
      </c>
      <c r="I298" s="1356"/>
      <c r="J298" s="1732" t="e">
        <f>J296/J283</f>
        <v>#DIV/0!</v>
      </c>
      <c r="K298" s="1356"/>
      <c r="L298" s="1732">
        <f>L296/L283</f>
        <v>98141.75</v>
      </c>
      <c r="M298" s="1356"/>
      <c r="N298" s="1732" t="e">
        <f>N296/N283</f>
        <v>#DIV/0!</v>
      </c>
      <c r="O298" s="1356"/>
      <c r="P298" s="1732">
        <f>P296/P283</f>
        <v>108213.13333333333</v>
      </c>
      <c r="Q298" s="1356"/>
      <c r="R298" s="1732">
        <f>R296/R283</f>
        <v>128675.69444444444</v>
      </c>
      <c r="T298" s="1732" t="e">
        <f>T296/T283</f>
        <v>#DIV/0!</v>
      </c>
      <c r="U298" s="1356"/>
      <c r="V298" s="1732" t="e">
        <f>V296/V283</f>
        <v>#DIV/0!</v>
      </c>
      <c r="W298" s="1356"/>
      <c r="X298" s="1732" t="e">
        <f>X296/X283</f>
        <v>#DIV/0!</v>
      </c>
      <c r="Y298" s="1356"/>
      <c r="Z298" s="1732">
        <f>Z296/Z283</f>
        <v>102491.44444444444</v>
      </c>
      <c r="AA298" s="1356"/>
      <c r="AB298" s="1732">
        <f>AB296/AB283</f>
        <v>96119.037037037036</v>
      </c>
      <c r="AC298" s="1356"/>
      <c r="AD298" s="1732">
        <f>AD296/AD283</f>
        <v>82252.277777777781</v>
      </c>
      <c r="AE298" s="1356"/>
      <c r="AF298" s="1732" t="e">
        <f>AF296/AF283</f>
        <v>#DIV/0!</v>
      </c>
      <c r="AG298" s="1356"/>
      <c r="AH298" s="1732" t="e">
        <f>AH296/AH283</f>
        <v>#DIV/0!</v>
      </c>
      <c r="AI298" s="1356"/>
      <c r="AJ298" s="1732" t="e">
        <f>AJ296/AJ283</f>
        <v>#DIV/0!</v>
      </c>
      <c r="AK298" s="1356"/>
      <c r="AL298" s="1732" t="e">
        <f>AL296/AL283</f>
        <v>#DIV/0!</v>
      </c>
      <c r="AM298" s="1356"/>
      <c r="AN298" s="1732" t="e">
        <f>AN296/AN283</f>
        <v>#DIV/0!</v>
      </c>
      <c r="AO298" s="1356"/>
      <c r="AP298" s="1732">
        <f>AP296/AP283</f>
        <v>126831.55555555556</v>
      </c>
      <c r="AQ298" s="1356"/>
      <c r="AR298" s="1732" t="e">
        <f>AR296/AR283</f>
        <v>#DIV/0!</v>
      </c>
      <c r="AS298" s="1356"/>
      <c r="AT298" s="1732" t="e">
        <f>AT296/AT283</f>
        <v>#DIV/0!</v>
      </c>
      <c r="AU298" s="1356"/>
      <c r="AV298" s="1732" t="e">
        <f>AV296/AV283</f>
        <v>#DIV/0!</v>
      </c>
      <c r="AW298" s="1356"/>
      <c r="AX298" s="1732" t="e">
        <f>AX296/AX283</f>
        <v>#DIV/0!</v>
      </c>
      <c r="AY298" s="1356"/>
      <c r="AZ298" s="1732" t="e">
        <f>AZ296/AZ283</f>
        <v>#DIV/0!</v>
      </c>
      <c r="BA298" s="1356"/>
      <c r="BB298" s="1732">
        <f>BB296/BB283</f>
        <v>81993.888888888891</v>
      </c>
      <c r="BC298" s="1356"/>
      <c r="BD298" s="1732" t="e">
        <f>BD296/BD283</f>
        <v>#DIV/0!</v>
      </c>
      <c r="BE298" s="1356"/>
      <c r="BF298" s="1732" t="e">
        <f>BF296/BF283</f>
        <v>#DIV/0!</v>
      </c>
      <c r="BG298" s="1356"/>
      <c r="BH298" s="1732">
        <f>BH296/BH283</f>
        <v>100474.80555555556</v>
      </c>
      <c r="BI298" s="1356"/>
      <c r="BJ298" s="1732">
        <f>BJ296/BJ283</f>
        <v>104961.72222222222</v>
      </c>
      <c r="BK298" s="1356"/>
      <c r="BL298" s="1732">
        <f>BL296/BL283</f>
        <v>120162.30555555556</v>
      </c>
      <c r="BM298" s="1356"/>
      <c r="BN298" s="1732" t="e">
        <f>BN296/BN283</f>
        <v>#DIV/0!</v>
      </c>
      <c r="BO298" s="1356"/>
      <c r="BP298" s="1732" t="e">
        <f>BP296/BP283</f>
        <v>#DIV/0!</v>
      </c>
      <c r="BQ298" s="1356"/>
      <c r="BR298" s="1732" t="e">
        <f>BR296/BR283</f>
        <v>#DIV/0!</v>
      </c>
      <c r="BS298" s="1356"/>
      <c r="BT298" s="1732" t="e">
        <f>BT296/BT283</f>
        <v>#DIV/0!</v>
      </c>
      <c r="BU298" s="1356"/>
      <c r="BV298" s="1732" t="e">
        <f>BV296/BV283</f>
        <v>#DIV/0!</v>
      </c>
      <c r="BW298" s="1356"/>
      <c r="BX298" s="1732" t="e">
        <f>BX296/BX283</f>
        <v>#DIV/0!</v>
      </c>
      <c r="BY298" s="1356"/>
      <c r="BZ298" s="1732">
        <f>BZ296/BZ283</f>
        <v>99505.305555555562</v>
      </c>
      <c r="CA298" s="1356"/>
      <c r="CB298" s="1732" t="e">
        <f>CB296/CB283</f>
        <v>#DIV/0!</v>
      </c>
      <c r="CC298" s="1356"/>
      <c r="CD298" s="1732">
        <f>CD296/CD283</f>
        <v>115558.63888888889</v>
      </c>
      <c r="CE298" s="1356"/>
      <c r="CF298" s="1732" t="e">
        <v>#DIV/0!</v>
      </c>
      <c r="CG298" s="1356"/>
      <c r="CH298" s="1732" t="e">
        <v>#DIV/0!</v>
      </c>
      <c r="CI298" s="1356"/>
      <c r="CJ298" s="1732">
        <v>89081.694444444438</v>
      </c>
      <c r="CK298" s="1356"/>
      <c r="CL298" s="1732">
        <v>158552.79629629629</v>
      </c>
      <c r="CM298" s="1356"/>
      <c r="CN298" s="1732">
        <f>CN296/CN283</f>
        <v>92871.722222222219</v>
      </c>
      <c r="CO298" s="1356"/>
      <c r="CP298" s="1732">
        <f>CP296/CP283</f>
        <v>95694.194444444438</v>
      </c>
      <c r="CQ298" s="1356"/>
      <c r="CR298" s="1732" t="e">
        <v>#DIV/0!</v>
      </c>
      <c r="CS298" s="1356"/>
      <c r="CT298" s="1732" t="e">
        <f>CT296/CT283</f>
        <v>#DIV/0!</v>
      </c>
      <c r="CU298" s="1356"/>
      <c r="CV298" s="1732">
        <f>CV296/CV283</f>
        <v>136578.88888888888</v>
      </c>
      <c r="CW298" s="1356"/>
      <c r="CX298" s="1732">
        <f>CX296/CX283</f>
        <v>112951.48148148147</v>
      </c>
      <c r="CY298" s="1356"/>
      <c r="CZ298" s="1732" t="e">
        <v>#DIV/0!</v>
      </c>
      <c r="DA298" s="1356"/>
      <c r="DB298" s="1732" t="e">
        <v>#DIV/0!</v>
      </c>
      <c r="DC298" s="1356"/>
      <c r="DD298" s="1732" t="e">
        <v>#DIV/0!</v>
      </c>
      <c r="DE298" s="1356"/>
      <c r="DF298" s="1732">
        <v>131740.38888888888</v>
      </c>
      <c r="DG298" s="1356"/>
      <c r="DH298" s="1732">
        <v>62499.685185185182</v>
      </c>
      <c r="DI298" s="1356"/>
      <c r="DJ298" s="1732" t="e">
        <v>#DIV/0!</v>
      </c>
      <c r="DK298" s="1356"/>
      <c r="DL298" s="1732">
        <v>101907.48148148147</v>
      </c>
      <c r="DM298" s="1356"/>
      <c r="DN298" s="1732" t="e">
        <f>DN296/DN283</f>
        <v>#DIV/0!</v>
      </c>
      <c r="DO298" s="1356"/>
      <c r="DP298" s="1732" t="e">
        <f>DP296/DP283</f>
        <v>#DIV/0!</v>
      </c>
      <c r="DQ298" s="1356"/>
      <c r="DR298" s="1732">
        <f>DR296/DR283</f>
        <v>96836</v>
      </c>
      <c r="DS298" s="1356"/>
      <c r="DT298" s="1732">
        <f>DT296/DT283</f>
        <v>112065.30555555556</v>
      </c>
      <c r="DU298" s="1356"/>
      <c r="DV298" s="1732" t="e">
        <f>DV296/DV283</f>
        <v>#DIV/0!</v>
      </c>
      <c r="DW298" s="1356"/>
      <c r="DX298" s="1732" t="e">
        <f>DX296/DX283</f>
        <v>#DIV/0!</v>
      </c>
      <c r="DY298" s="1356"/>
      <c r="DZ298" s="1732">
        <f>DZ296/DZ283</f>
        <v>106674.18518518518</v>
      </c>
      <c r="EA298" s="1356"/>
      <c r="EB298" s="1732" t="e">
        <f>EB296/EB283</f>
        <v>#DIV/0!</v>
      </c>
      <c r="EC298" s="1356"/>
      <c r="ED298" s="1732" t="e">
        <f>ED296/ED283</f>
        <v>#DIV/0!</v>
      </c>
      <c r="EE298" s="1356"/>
      <c r="EF298" s="1732" t="e">
        <f>EF296/EF283</f>
        <v>#DIV/0!</v>
      </c>
      <c r="EG298" s="1356"/>
      <c r="EH298" s="1732" t="e">
        <f>EH296/EH283</f>
        <v>#DIV/0!</v>
      </c>
      <c r="EI298" s="1356"/>
      <c r="EJ298" s="1732" t="e">
        <f>EJ296/EJ283</f>
        <v>#DIV/0!</v>
      </c>
      <c r="EK298" s="1356"/>
      <c r="EL298" s="1732">
        <f>EL296/EL283</f>
        <v>126802.94444444444</v>
      </c>
      <c r="EM298" s="1356"/>
      <c r="EN298" s="1732" t="e">
        <f>EN296/EN283</f>
        <v>#DIV/0!</v>
      </c>
      <c r="EO298" s="1356"/>
      <c r="EP298" s="1732" t="e">
        <f>EP296/EP283</f>
        <v>#DIV/0!</v>
      </c>
      <c r="EQ298" s="1356"/>
      <c r="ER298" s="1732" t="e">
        <f>ER296/ER283</f>
        <v>#DIV/0!</v>
      </c>
      <c r="ES298" s="1356"/>
      <c r="ET298" s="1732">
        <f>ET296/ET283</f>
        <v>118977.25925925926</v>
      </c>
      <c r="EU298" s="1356"/>
      <c r="EV298" s="1732" t="e">
        <f>EV296/EV283</f>
        <v>#DIV/0!</v>
      </c>
      <c r="EW298" s="1356"/>
      <c r="EX298" s="1732" t="e">
        <f>EX296/EX283</f>
        <v>#DIV/0!</v>
      </c>
      <c r="EY298" s="1356"/>
      <c r="EZ298" s="1732">
        <f>EZ296/EZ283</f>
        <v>102560.11111111111</v>
      </c>
      <c r="FA298" s="1356"/>
      <c r="FB298" s="1732" t="e">
        <f>FB296/FB283</f>
        <v>#DIV/0!</v>
      </c>
      <c r="FC298" s="1356"/>
      <c r="FD298" s="1732">
        <f>FD296/FD283</f>
        <v>74571.861111111109</v>
      </c>
      <c r="FE298" s="1356"/>
      <c r="FF298" s="1732">
        <f>FF296/FF283</f>
        <v>95483.185185185182</v>
      </c>
      <c r="FG298" s="1356"/>
      <c r="FH298" s="1732" t="e">
        <f>FH296/FH283</f>
        <v>#DIV/0!</v>
      </c>
      <c r="FI298" s="1356"/>
      <c r="FJ298" s="1732" t="e">
        <f>FJ296/FJ283</f>
        <v>#DIV/0!</v>
      </c>
      <c r="FK298" s="1356"/>
      <c r="FL298" s="1732" t="e">
        <f>FL296/FL283</f>
        <v>#DIV/0!</v>
      </c>
      <c r="FM298" s="1356"/>
      <c r="FN298" s="1732" t="e">
        <f>FN296/FN283</f>
        <v>#DIV/0!</v>
      </c>
      <c r="FO298" s="1356"/>
      <c r="FP298" s="1732" t="e">
        <f>FP296/FP283</f>
        <v>#DIV/0!</v>
      </c>
      <c r="FQ298" s="1356"/>
      <c r="FR298" s="1732">
        <f>FR296/FR283</f>
        <v>110734.29629629629</v>
      </c>
      <c r="FS298" s="1356"/>
      <c r="FT298" s="1732">
        <f>FT296/FT283</f>
        <v>100127.31481481482</v>
      </c>
      <c r="FU298" s="1356"/>
      <c r="FV298" s="1732">
        <f>FV296/FV283</f>
        <v>97206.444444444438</v>
      </c>
      <c r="FW298" s="1356"/>
      <c r="FX298" s="1732" t="e">
        <f>FX296/FX283</f>
        <v>#DIV/0!</v>
      </c>
      <c r="FY298" s="1356"/>
      <c r="FZ298" s="1732" t="e">
        <f>FZ296/FZ283</f>
        <v>#DIV/0!</v>
      </c>
      <c r="GA298" s="1356"/>
      <c r="GB298" s="1732" t="e">
        <f>GB296/GB283</f>
        <v>#DIV/0!</v>
      </c>
      <c r="GC298" s="1356"/>
      <c r="GD298" s="1732">
        <f>GD296/GD283</f>
        <v>82950.777777777781</v>
      </c>
      <c r="GE298" s="1356"/>
      <c r="GF298" s="1732">
        <f>GF296/GF283</f>
        <v>88132.361111111109</v>
      </c>
      <c r="GG298" s="1356"/>
      <c r="GH298" s="1732" t="e">
        <f>GH296/GH283</f>
        <v>#DIV/0!</v>
      </c>
      <c r="GI298" s="1356"/>
      <c r="GJ298" s="1732">
        <f>GJ296/GJ283</f>
        <v>196026.29629629629</v>
      </c>
      <c r="GK298" s="1356"/>
      <c r="GL298" s="1732" t="e">
        <f>GL296/GL283</f>
        <v>#DIV/0!</v>
      </c>
      <c r="GM298" s="1356"/>
      <c r="GN298" s="1732" t="e">
        <f>GN296/GN283</f>
        <v>#DIV/0!</v>
      </c>
      <c r="GO298" s="1356"/>
      <c r="GP298" s="1732" t="e">
        <f>GP296/GP283</f>
        <v>#DIV/0!</v>
      </c>
      <c r="GQ298" s="1356"/>
      <c r="GR298" s="1732" t="e">
        <f>GR296/GR283</f>
        <v>#DIV/0!</v>
      </c>
      <c r="GS298" s="1356"/>
      <c r="GT298" s="1732" t="e">
        <f>GT296/GT283</f>
        <v>#DIV/0!</v>
      </c>
      <c r="GU298" s="1356"/>
      <c r="GV298" s="1732" t="e">
        <f>GV296/GV283</f>
        <v>#DIV/0!</v>
      </c>
      <c r="GW298" s="1356"/>
      <c r="GX298" s="1732" t="e">
        <f>GX296/GX283</f>
        <v>#DIV/0!</v>
      </c>
      <c r="GY298" s="1356"/>
      <c r="GZ298" s="1732">
        <f>GZ296/GZ283</f>
        <v>101123.48148148147</v>
      </c>
      <c r="HA298" s="1356"/>
      <c r="HB298" s="1732" t="e">
        <f>HB296/HB283</f>
        <v>#DIV/0!</v>
      </c>
      <c r="HC298" s="1356"/>
      <c r="HD298" s="1732" t="e">
        <f>HD296/HD283</f>
        <v>#DIV/0!</v>
      </c>
      <c r="HE298" s="1356"/>
      <c r="HF298" s="2053">
        <f>HF296/HF283</f>
        <v>129439.19444444444</v>
      </c>
      <c r="HH298" s="1732">
        <f>HH296/HH283</f>
        <v>146615.45454545456</v>
      </c>
      <c r="HI298" s="1356"/>
      <c r="HJ298" s="1732" t="e">
        <f>HJ296/HJ283</f>
        <v>#DIV/0!</v>
      </c>
      <c r="HK298" s="1356"/>
      <c r="HL298" s="1732">
        <f>HL296/HL283</f>
        <v>65477</v>
      </c>
      <c r="HM298" s="1356"/>
      <c r="HN298" s="1732" t="e">
        <f>HN296/HN283</f>
        <v>#DIV/0!</v>
      </c>
      <c r="HO298" s="1356"/>
      <c r="HP298" s="2053">
        <f>HP296/HP283</f>
        <v>121698.87037037036</v>
      </c>
      <c r="HR298" s="1732" t="e">
        <f>HR296/HR283</f>
        <v>#DIV/0!</v>
      </c>
      <c r="HS298" s="1356"/>
      <c r="HT298" s="2053">
        <f>HT296/HT283</f>
        <v>85136.416666666672</v>
      </c>
      <c r="HV298" s="2053" t="e">
        <f>HV296/HV283</f>
        <v>#DIV/0!</v>
      </c>
      <c r="HX298" s="2053" t="e">
        <f>HX296/HX283</f>
        <v>#DIV/0!</v>
      </c>
      <c r="HZ298" s="2053">
        <f>HZ296/HZ283</f>
        <v>108954.05555555556</v>
      </c>
      <c r="IB298" s="1732" t="e">
        <f>IB296/IB283</f>
        <v>#DIV/0!</v>
      </c>
      <c r="IC298" s="1356"/>
      <c r="ID298" s="2053" t="e">
        <f>ID296/ID283</f>
        <v>#DIV/0!</v>
      </c>
      <c r="IF298" s="2053" t="e">
        <f>IF296/IF283</f>
        <v>#DIV/0!</v>
      </c>
    </row>
    <row r="299" spans="1:241">
      <c r="A299" s="1149"/>
      <c r="B299" s="1149"/>
      <c r="C299" s="1149"/>
      <c r="D299" s="1149"/>
      <c r="E299" s="1143"/>
      <c r="F299" s="1406"/>
      <c r="G299" s="1356"/>
      <c r="H299" s="1406"/>
      <c r="I299" s="1356"/>
      <c r="J299" s="1406"/>
      <c r="K299" s="1356"/>
      <c r="L299" s="1406"/>
      <c r="M299" s="1356"/>
      <c r="N299" s="1406"/>
      <c r="O299" s="1356"/>
      <c r="P299" s="1406"/>
      <c r="Q299" s="1356"/>
      <c r="T299" s="1406"/>
      <c r="U299" s="1356"/>
      <c r="V299" s="1406"/>
      <c r="W299" s="1356"/>
      <c r="X299" s="1406"/>
      <c r="Y299" s="1356"/>
      <c r="Z299" s="1406"/>
      <c r="AA299" s="1356"/>
      <c r="AB299" s="1406"/>
      <c r="AC299" s="1356"/>
      <c r="AD299" s="1406"/>
      <c r="AE299" s="1356"/>
      <c r="AF299" s="1406"/>
      <c r="AG299" s="1356"/>
      <c r="AH299" s="1406"/>
      <c r="AI299" s="1356"/>
      <c r="AJ299" s="1406"/>
      <c r="AK299" s="1356"/>
      <c r="AL299" s="1406"/>
      <c r="AM299" s="1356"/>
      <c r="AN299" s="1406"/>
      <c r="AO299" s="1356"/>
      <c r="AP299" s="1406"/>
      <c r="AQ299" s="1356"/>
      <c r="AR299" s="1406"/>
      <c r="AS299" s="1356"/>
      <c r="AT299" s="1406"/>
      <c r="AU299" s="1356"/>
      <c r="AV299" s="1406"/>
      <c r="AW299" s="1356"/>
      <c r="AX299" s="1406"/>
      <c r="AY299" s="1356"/>
      <c r="AZ299" s="1406"/>
      <c r="BA299" s="1356"/>
      <c r="BB299" s="1406"/>
      <c r="BC299" s="1356"/>
      <c r="BD299" s="1406"/>
      <c r="BE299" s="1356"/>
      <c r="BF299" s="1406"/>
      <c r="BG299" s="1356"/>
      <c r="BH299" s="1406"/>
      <c r="BI299" s="1356"/>
      <c r="BJ299" s="1406"/>
      <c r="BK299" s="1356"/>
      <c r="BL299" s="1406"/>
      <c r="BM299" s="1356"/>
      <c r="BN299" s="1406"/>
      <c r="BO299" s="1356"/>
      <c r="BP299" s="1406"/>
      <c r="BQ299" s="1356"/>
      <c r="BR299" s="1406"/>
      <c r="BS299" s="1356"/>
      <c r="BT299" s="1406"/>
      <c r="BU299" s="1356"/>
      <c r="BV299" s="1406"/>
      <c r="BW299" s="1356"/>
      <c r="BX299" s="1406"/>
      <c r="BY299" s="1356"/>
      <c r="BZ299" s="1406"/>
      <c r="CA299" s="1356"/>
      <c r="CB299" s="1406"/>
      <c r="CC299" s="1356"/>
      <c r="CD299" s="1406"/>
      <c r="CE299" s="1356"/>
      <c r="CF299" s="1406"/>
      <c r="CG299" s="1356"/>
      <c r="CH299" s="1406"/>
      <c r="CI299" s="1356"/>
      <c r="CJ299" s="1406"/>
      <c r="CK299" s="1356"/>
      <c r="CL299" s="1406"/>
      <c r="CM299" s="1356"/>
      <c r="CN299" s="1406"/>
      <c r="CO299" s="1356"/>
      <c r="CP299" s="1406"/>
      <c r="CQ299" s="1356"/>
      <c r="CR299" s="1406"/>
      <c r="CS299" s="1356"/>
      <c r="CT299" s="1406"/>
      <c r="CU299" s="1356"/>
      <c r="CV299" s="1406"/>
      <c r="CW299" s="1356"/>
      <c r="CX299" s="1406"/>
      <c r="CY299" s="1356"/>
      <c r="CZ299" s="1406"/>
      <c r="DA299" s="1356"/>
      <c r="DB299" s="1406"/>
      <c r="DC299" s="1356"/>
      <c r="DD299" s="1406"/>
      <c r="DE299" s="1356"/>
      <c r="DF299" s="1406"/>
      <c r="DG299" s="1356"/>
      <c r="DH299" s="1406"/>
      <c r="DI299" s="1356"/>
      <c r="DJ299" s="1406"/>
      <c r="DK299" s="1356"/>
      <c r="DL299" s="1406"/>
      <c r="DM299" s="1356"/>
      <c r="DN299" s="1406"/>
      <c r="DO299" s="1356"/>
      <c r="DP299" s="1406"/>
      <c r="DQ299" s="1356"/>
      <c r="DR299" s="1406"/>
      <c r="DS299" s="1356"/>
      <c r="DT299" s="1406"/>
      <c r="DU299" s="1356"/>
      <c r="DV299" s="1406"/>
      <c r="DW299" s="1356"/>
      <c r="DX299" s="1406"/>
      <c r="DY299" s="1356"/>
      <c r="DZ299" s="1406"/>
      <c r="EA299" s="1356"/>
      <c r="EB299" s="1406"/>
      <c r="EC299" s="1356"/>
      <c r="ED299" s="1406"/>
      <c r="EE299" s="1356"/>
      <c r="EF299" s="1406"/>
      <c r="EG299" s="1356"/>
      <c r="EH299" s="1406"/>
      <c r="EI299" s="1356"/>
      <c r="EJ299" s="1406"/>
      <c r="EK299" s="1356"/>
      <c r="EL299" s="1406"/>
      <c r="EM299" s="1356"/>
      <c r="EN299" s="1406"/>
      <c r="EO299" s="1356"/>
      <c r="EP299" s="1406"/>
      <c r="EQ299" s="1356"/>
      <c r="ER299" s="1406"/>
      <c r="ES299" s="1356"/>
      <c r="ET299" s="1406"/>
      <c r="EU299" s="1356"/>
      <c r="EV299" s="1406"/>
      <c r="EW299" s="1356"/>
      <c r="EX299" s="1406"/>
      <c r="EY299" s="1356"/>
      <c r="EZ299" s="1406"/>
      <c r="FA299" s="1356"/>
      <c r="FB299" s="1406"/>
      <c r="FC299" s="1356"/>
      <c r="FD299" s="1406"/>
      <c r="FE299" s="1356"/>
      <c r="FF299" s="1406"/>
      <c r="FG299" s="1356"/>
      <c r="FH299" s="1406"/>
      <c r="FI299" s="1356"/>
      <c r="FJ299" s="1406"/>
      <c r="FK299" s="1356"/>
      <c r="FL299" s="1406"/>
      <c r="FM299" s="1356"/>
      <c r="FN299" s="1406"/>
      <c r="FO299" s="1356"/>
      <c r="FP299" s="1406"/>
      <c r="FQ299" s="1356"/>
      <c r="FR299" s="1406"/>
      <c r="FS299" s="1356"/>
      <c r="FT299" s="1406"/>
      <c r="FU299" s="1356"/>
      <c r="FV299" s="1406"/>
      <c r="FW299" s="1356"/>
      <c r="FX299" s="1406"/>
      <c r="FY299" s="1356"/>
      <c r="FZ299" s="1406"/>
      <c r="GA299" s="1356"/>
      <c r="GB299" s="1406"/>
      <c r="GC299" s="1356"/>
      <c r="GD299" s="1406"/>
      <c r="GE299" s="1356"/>
      <c r="GF299" s="1406"/>
      <c r="GG299" s="1356"/>
      <c r="GH299" s="1406"/>
      <c r="GI299" s="1356"/>
      <c r="GJ299" s="1406"/>
      <c r="GK299" s="1356"/>
      <c r="GL299" s="1406"/>
      <c r="GM299" s="1356"/>
      <c r="GN299" s="1406"/>
      <c r="GO299" s="1356"/>
      <c r="GP299" s="1406"/>
      <c r="GQ299" s="1356"/>
      <c r="GR299" s="1406"/>
      <c r="GS299" s="1356"/>
      <c r="GT299" s="1406"/>
      <c r="GU299" s="1356"/>
      <c r="GV299" s="1406"/>
      <c r="GW299" s="1356"/>
      <c r="GX299" s="1406"/>
      <c r="GY299" s="1356"/>
      <c r="GZ299" s="1406"/>
      <c r="HA299" s="1356"/>
      <c r="HB299" s="1406"/>
      <c r="HC299" s="1356"/>
      <c r="HD299" s="1406"/>
      <c r="HE299" s="1356"/>
      <c r="HH299" s="1406"/>
      <c r="HI299" s="1356"/>
      <c r="HJ299" s="1406"/>
      <c r="HK299" s="1356"/>
      <c r="HL299" s="1406"/>
      <c r="HM299" s="1356"/>
      <c r="HN299" s="1406"/>
      <c r="HO299" s="1356"/>
      <c r="HR299" s="1406"/>
      <c r="HS299" s="1356"/>
      <c r="IB299" s="1406"/>
      <c r="IC299" s="1356"/>
    </row>
    <row r="300" spans="1:241">
      <c r="A300" s="1149"/>
      <c r="B300" s="1149"/>
      <c r="C300" s="1149" t="s">
        <v>78</v>
      </c>
      <c r="D300" s="1149"/>
      <c r="E300" s="1143"/>
      <c r="F300" s="1732" t="e">
        <f>F296/F285</f>
        <v>#DIV/0!</v>
      </c>
      <c r="G300" s="1356"/>
      <c r="H300" s="1732" t="e">
        <f>H296/H285</f>
        <v>#DIV/0!</v>
      </c>
      <c r="I300" s="1356"/>
      <c r="J300" s="1732" t="e">
        <f>J296/J285</f>
        <v>#DIV/0!</v>
      </c>
      <c r="K300" s="1356"/>
      <c r="L300" s="1732">
        <f>L296/L285</f>
        <v>11305.929599999999</v>
      </c>
      <c r="M300" s="1356"/>
      <c r="N300" s="1732" t="e">
        <f>N296/N285</f>
        <v>#DIV/0!</v>
      </c>
      <c r="O300" s="1356"/>
      <c r="P300" s="1732">
        <f>P296/P285</f>
        <v>22649.26046511628</v>
      </c>
      <c r="Q300" s="1356"/>
      <c r="R300" s="1732">
        <f>R296/R285</f>
        <v>19712.021276595744</v>
      </c>
      <c r="T300" s="1732" t="e">
        <f>T296/T285</f>
        <v>#DIV/0!</v>
      </c>
      <c r="U300" s="1356"/>
      <c r="V300" s="1732" t="e">
        <f>V296/V285</f>
        <v>#DIV/0!</v>
      </c>
      <c r="W300" s="1356"/>
      <c r="X300" s="1732" t="e">
        <f>X296/X285</f>
        <v>#DIV/0!</v>
      </c>
      <c r="Y300" s="1356"/>
      <c r="Z300" s="1732">
        <f>Z296/Z285</f>
        <v>19730.973262032086</v>
      </c>
      <c r="AA300" s="1356"/>
      <c r="AB300" s="1732">
        <f>AB296/AB285</f>
        <v>15728.569696969696</v>
      </c>
      <c r="AC300" s="1356"/>
      <c r="AD300" s="1732">
        <f>AD296/AD285</f>
        <v>14100.390476190476</v>
      </c>
      <c r="AE300" s="1356"/>
      <c r="AF300" s="1732" t="e">
        <f>AF296/AF285</f>
        <v>#DIV/0!</v>
      </c>
      <c r="AG300" s="1356"/>
      <c r="AH300" s="1732" t="e">
        <f>AH296/AH285</f>
        <v>#DIV/0!</v>
      </c>
      <c r="AI300" s="1356"/>
      <c r="AJ300" s="1732" t="e">
        <f>AJ296/AJ285</f>
        <v>#DIV/0!</v>
      </c>
      <c r="AK300" s="1356"/>
      <c r="AL300" s="1732" t="e">
        <f>AL296/AL285</f>
        <v>#DIV/0!</v>
      </c>
      <c r="AM300" s="1356"/>
      <c r="AN300" s="1732" t="e">
        <f>AN296/AN285</f>
        <v>#DIV/0!</v>
      </c>
      <c r="AO300" s="1356"/>
      <c r="AP300" s="1732">
        <f>AP296/AP285</f>
        <v>37121.430894308942</v>
      </c>
      <c r="AQ300" s="1356"/>
      <c r="AR300" s="1732" t="e">
        <f>AR296/AR285</f>
        <v>#DIV/0!</v>
      </c>
      <c r="AS300" s="1356"/>
      <c r="AT300" s="1732" t="e">
        <f>AT296/AT285</f>
        <v>#DIV/0!</v>
      </c>
      <c r="AU300" s="1356"/>
      <c r="AV300" s="1732" t="e">
        <f>AV296/AV285</f>
        <v>#DIV/0!</v>
      </c>
      <c r="AW300" s="1356"/>
      <c r="AX300" s="1732" t="e">
        <f>AX296/AX285</f>
        <v>#DIV/0!</v>
      </c>
      <c r="AY300" s="1356"/>
      <c r="AZ300" s="1732" t="e">
        <f>AZ296/AZ285</f>
        <v>#DIV/0!</v>
      </c>
      <c r="BA300" s="1356"/>
      <c r="BB300" s="1732">
        <f>BB296/BB285</f>
        <v>10733.745454545455</v>
      </c>
      <c r="BC300" s="1356"/>
      <c r="BD300" s="1732" t="e">
        <f>BD296/BD285</f>
        <v>#DIV/0!</v>
      </c>
      <c r="BE300" s="1356"/>
      <c r="BF300" s="1732" t="e">
        <f>BF296/BF285</f>
        <v>#DIV/0!</v>
      </c>
      <c r="BG300" s="1356"/>
      <c r="BH300" s="1732">
        <f>BH296/BH285</f>
        <v>17644.356097560976</v>
      </c>
      <c r="BI300" s="1356"/>
      <c r="BJ300" s="1732">
        <f>BJ296/BJ285</f>
        <v>10076.325333333334</v>
      </c>
      <c r="BK300" s="1356"/>
      <c r="BL300" s="1732">
        <f>BL296/BL285</f>
        <v>20599.252380952381</v>
      </c>
      <c r="BM300" s="1356"/>
      <c r="BN300" s="1732" t="e">
        <f>BN296/BN285</f>
        <v>#DIV/0!</v>
      </c>
      <c r="BO300" s="1356"/>
      <c r="BP300" s="1732" t="e">
        <f>BP296/BP285</f>
        <v>#DIV/0!</v>
      </c>
      <c r="BQ300" s="1356"/>
      <c r="BR300" s="1732" t="e">
        <f>BR296/BR285</f>
        <v>#DIV/0!</v>
      </c>
      <c r="BS300" s="1356"/>
      <c r="BT300" s="1732" t="e">
        <f>BT296/BT285</f>
        <v>#DIV/0!</v>
      </c>
      <c r="BU300" s="1356"/>
      <c r="BV300" s="1732" t="e">
        <f>BV296/BV285</f>
        <v>#DIV/0!</v>
      </c>
      <c r="BW300" s="1356"/>
      <c r="BX300" s="1732" t="e">
        <f>BX296/BX285</f>
        <v>#DIV/0!</v>
      </c>
      <c r="BY300" s="1356"/>
      <c r="BZ300" s="1732">
        <f>BZ296/BZ285</f>
        <v>15440.478448275862</v>
      </c>
      <c r="CA300" s="1356"/>
      <c r="CB300" s="1732" t="e">
        <f>CB296/CB285</f>
        <v>#DIV/0!</v>
      </c>
      <c r="CC300" s="1356"/>
      <c r="CD300" s="1732">
        <f>CD296/CD285</f>
        <v>18489.382222222222</v>
      </c>
      <c r="CE300" s="1356"/>
      <c r="CF300" s="1732" t="e">
        <v>#DIV/0!</v>
      </c>
      <c r="CG300" s="1356"/>
      <c r="CH300" s="1732" t="e">
        <v>#DIV/0!</v>
      </c>
      <c r="CI300" s="1356"/>
      <c r="CJ300" s="1732">
        <v>11661.603636363636</v>
      </c>
      <c r="CK300" s="1356"/>
      <c r="CL300" s="1732">
        <v>32804.026819923369</v>
      </c>
      <c r="CM300" s="1356"/>
      <c r="CN300" s="1732">
        <f>CN296/CN285</f>
        <v>16633.741293532337</v>
      </c>
      <c r="CO300" s="1356"/>
      <c r="CP300" s="1732">
        <f>CP296/CP285</f>
        <v>11483.303333333333</v>
      </c>
      <c r="CQ300" s="1356"/>
      <c r="CR300" s="1732" t="e">
        <v>#DIV/0!</v>
      </c>
      <c r="CS300" s="1356"/>
      <c r="CT300" s="1732" t="e">
        <f>CT296/CT285</f>
        <v>#DIV/0!</v>
      </c>
      <c r="CU300" s="1356"/>
      <c r="CV300" s="1732">
        <f>CV296/CV285</f>
        <v>22349.272727272728</v>
      </c>
      <c r="CW300" s="1356"/>
      <c r="CX300" s="1732">
        <f>CX296/CX285</f>
        <v>12198.76</v>
      </c>
      <c r="CY300" s="1356"/>
      <c r="CZ300" s="1732" t="e">
        <v>#DIV/0!</v>
      </c>
      <c r="DA300" s="1356"/>
      <c r="DB300" s="1732" t="e">
        <v>#DIV/0!</v>
      </c>
      <c r="DC300" s="1356"/>
      <c r="DD300" s="1732" t="e">
        <v>#DIV/0!</v>
      </c>
      <c r="DE300" s="1356"/>
      <c r="DF300" s="1732">
        <v>25635.967567567568</v>
      </c>
      <c r="DG300" s="1356"/>
      <c r="DH300" s="1732">
        <v>13499.932000000001</v>
      </c>
      <c r="DI300" s="1356"/>
      <c r="DJ300" s="1732" t="e">
        <v>#DIV/0!</v>
      </c>
      <c r="DK300" s="1356"/>
      <c r="DL300" s="1732">
        <v>12394.153153153153</v>
      </c>
      <c r="DM300" s="1356"/>
      <c r="DN300" s="1732" t="e">
        <f>DN296/DN285</f>
        <v>#DIV/0!</v>
      </c>
      <c r="DO300" s="1356"/>
      <c r="DP300" s="1732" t="e">
        <f>DP296/DP285</f>
        <v>#DIV/0!</v>
      </c>
      <c r="DQ300" s="1356"/>
      <c r="DR300" s="1732">
        <f>DR296/DR285</f>
        <v>11620.32</v>
      </c>
      <c r="DS300" s="1356"/>
      <c r="DT300" s="1732">
        <f>DT296/DT285</f>
        <v>16809.795833333334</v>
      </c>
      <c r="DU300" s="1356"/>
      <c r="DV300" s="1732" t="e">
        <f>DV296/DV285</f>
        <v>#DIV/0!</v>
      </c>
      <c r="DW300" s="1356"/>
      <c r="DX300" s="1732" t="e">
        <f>DX296/DX285</f>
        <v>#DIV/0!</v>
      </c>
      <c r="DY300" s="1356"/>
      <c r="DZ300" s="1732">
        <f>DZ296/DZ285</f>
        <v>11926.306418219461</v>
      </c>
      <c r="EA300" s="1356"/>
      <c r="EB300" s="1732" t="e">
        <f>EB296/EB285</f>
        <v>#DIV/0!</v>
      </c>
      <c r="EC300" s="1356"/>
      <c r="ED300" s="1732" t="e">
        <f>ED296/ED285</f>
        <v>#DIV/0!</v>
      </c>
      <c r="EE300" s="1356"/>
      <c r="EF300" s="1732" t="e">
        <f>EF296/EF285</f>
        <v>#DIV/0!</v>
      </c>
      <c r="EG300" s="1356"/>
      <c r="EH300" s="1732" t="e">
        <f>EH296/EH285</f>
        <v>#DIV/0!</v>
      </c>
      <c r="EI300" s="1356"/>
      <c r="EJ300" s="1732" t="e">
        <f>EJ296/EJ285</f>
        <v>#DIV/0!</v>
      </c>
      <c r="EK300" s="1356"/>
      <c r="EL300" s="1732">
        <f>EL296/EL285</f>
        <v>17118.397499999999</v>
      </c>
      <c r="EM300" s="1356"/>
      <c r="EN300" s="1732" t="e">
        <f>EN296/EN285</f>
        <v>#DIV/0!</v>
      </c>
      <c r="EO300" s="1356"/>
      <c r="EP300" s="1732" t="e">
        <f>EP296/EP285</f>
        <v>#DIV/0!</v>
      </c>
      <c r="EQ300" s="1356"/>
      <c r="ER300" s="1732" t="e">
        <f>ER296/ER285</f>
        <v>#DIV/0!</v>
      </c>
      <c r="ES300" s="1356"/>
      <c r="ET300" s="1732">
        <f>ET296/ET285</f>
        <v>13165.516393442624</v>
      </c>
      <c r="EU300" s="1356"/>
      <c r="EV300" s="1732" t="e">
        <f>EV296/EV285</f>
        <v>#DIV/0!</v>
      </c>
      <c r="EW300" s="1356"/>
      <c r="EX300" s="1732" t="e">
        <f>EX296/EX285</f>
        <v>#DIV/0!</v>
      </c>
      <c r="EY300" s="1356"/>
      <c r="EZ300" s="1732">
        <f>EZ296/EZ285</f>
        <v>20512.022222222222</v>
      </c>
      <c r="FA300" s="1356"/>
      <c r="FB300" s="1732" t="e">
        <f>FB296/FB285</f>
        <v>#DIV/0!</v>
      </c>
      <c r="FC300" s="1356"/>
      <c r="FD300" s="1732">
        <f>FD296/FD285</f>
        <v>14129.405263157894</v>
      </c>
      <c r="FE300" s="1356"/>
      <c r="FF300" s="1732">
        <f>FF296/FF285</f>
        <v>17186.973333333332</v>
      </c>
      <c r="FG300" s="1356"/>
      <c r="FH300" s="1732" t="e">
        <f>FH296/FH285</f>
        <v>#DIV/0!</v>
      </c>
      <c r="FI300" s="1356"/>
      <c r="FJ300" s="1732" t="e">
        <f>FJ296/FJ285</f>
        <v>#DIV/0!</v>
      </c>
      <c r="FK300" s="1356"/>
      <c r="FL300" s="1732" t="e">
        <f>FL296/FL285</f>
        <v>#DIV/0!</v>
      </c>
      <c r="FM300" s="1356"/>
      <c r="FN300" s="1732" t="e">
        <f>FN296/FN285</f>
        <v>#DIV/0!</v>
      </c>
      <c r="FO300" s="1356"/>
      <c r="FP300" s="1732" t="e">
        <f>FP296/FP285</f>
        <v>#DIV/0!</v>
      </c>
      <c r="FQ300" s="1356"/>
      <c r="FR300" s="1732">
        <f>FR296/FR285</f>
        <v>14949.13</v>
      </c>
      <c r="FS300" s="1356"/>
      <c r="FT300" s="1732">
        <f>FT296/FT285</f>
        <v>16384.469696969696</v>
      </c>
      <c r="FU300" s="1356"/>
      <c r="FV300" s="1732">
        <f>FV296/FV285</f>
        <v>12067.006896551724</v>
      </c>
      <c r="FW300" s="1356"/>
      <c r="FX300" s="1732" t="e">
        <f>FX296/FX285</f>
        <v>#DIV/0!</v>
      </c>
      <c r="FY300" s="1356"/>
      <c r="FZ300" s="1732" t="e">
        <f>FZ296/FZ285</f>
        <v>#DIV/0!</v>
      </c>
      <c r="GA300" s="1356"/>
      <c r="GB300" s="1732" t="e">
        <f>GB296/GB285</f>
        <v>#DIV/0!</v>
      </c>
      <c r="GC300" s="1356"/>
      <c r="GD300" s="1732">
        <f>GD296/GD285</f>
        <v>12983.6</v>
      </c>
      <c r="GE300" s="1356"/>
      <c r="GF300" s="1732">
        <f>GF296/GF285</f>
        <v>16876.409574468085</v>
      </c>
      <c r="GG300" s="1356"/>
      <c r="GH300" s="1732" t="e">
        <f>GH296/GH285</f>
        <v>#DIV/0!</v>
      </c>
      <c r="GI300" s="1356"/>
      <c r="GJ300" s="1732">
        <f>GJ296/GJ285</f>
        <v>33927.628205128203</v>
      </c>
      <c r="GK300" s="1356"/>
      <c r="GL300" s="1732" t="e">
        <f>GL296/GL285</f>
        <v>#DIV/0!</v>
      </c>
      <c r="GM300" s="1356"/>
      <c r="GN300" s="1732" t="e">
        <f>GN296/GN285</f>
        <v>#DIV/0!</v>
      </c>
      <c r="GO300" s="1356"/>
      <c r="GP300" s="1732" t="e">
        <f>GP296/GP285</f>
        <v>#DIV/0!</v>
      </c>
      <c r="GQ300" s="1356"/>
      <c r="GR300" s="1732" t="e">
        <f>GR296/GR285</f>
        <v>#DIV/0!</v>
      </c>
      <c r="GS300" s="1356"/>
      <c r="GT300" s="1732" t="e">
        <f>GT296/GT285</f>
        <v>#DIV/0!</v>
      </c>
      <c r="GU300" s="1356"/>
      <c r="GV300" s="1732" t="e">
        <f>GV296/GV285</f>
        <v>#DIV/0!</v>
      </c>
      <c r="GW300" s="1356"/>
      <c r="GX300" s="1732" t="e">
        <f>GX296/GX285</f>
        <v>#DIV/0!</v>
      </c>
      <c r="GY300" s="1356"/>
      <c r="GZ300" s="1732">
        <f>GZ296/GZ285</f>
        <v>11718.171673819743</v>
      </c>
      <c r="HA300" s="1356"/>
      <c r="HB300" s="1732" t="e">
        <f>HB296/HB285</f>
        <v>#DIV/0!</v>
      </c>
      <c r="HC300" s="1356"/>
      <c r="HD300" s="1732" t="e">
        <f>HD296/HD285</f>
        <v>#DIV/0!</v>
      </c>
      <c r="HE300" s="1356"/>
      <c r="HF300" s="2053">
        <f>HF296/HF285</f>
        <v>17258.559259259258</v>
      </c>
      <c r="HH300" s="1732">
        <f>HH296/HH285</f>
        <v>33252.989690721646</v>
      </c>
      <c r="HI300" s="1356"/>
      <c r="HJ300" s="1732" t="e">
        <f>HJ296/HJ285</f>
        <v>#DIV/0!</v>
      </c>
      <c r="HK300" s="1356"/>
      <c r="HL300" s="1732">
        <f>HL296/HL285</f>
        <v>10714.418181818182</v>
      </c>
      <c r="HM300" s="1356"/>
      <c r="HN300" s="1732" t="e">
        <f>HN296/HN285</f>
        <v>#DIV/0!</v>
      </c>
      <c r="HO300" s="1356"/>
      <c r="HP300" s="2053">
        <f>HP296/HP285</f>
        <v>9897.1972891566256</v>
      </c>
      <c r="HR300" s="1732" t="e">
        <f>HR296/HR285</f>
        <v>#DIV/0!</v>
      </c>
      <c r="HS300" s="1356"/>
      <c r="HT300" s="2053">
        <f>HT296/HT285</f>
        <v>14457.127358490567</v>
      </c>
      <c r="HV300" s="2053" t="e">
        <f>HV296/HV285</f>
        <v>#DIV/0!</v>
      </c>
      <c r="HX300" s="2053" t="e">
        <f>HX296/HX285</f>
        <v>#DIV/0!</v>
      </c>
      <c r="HZ300" s="2053">
        <f>HZ296/HZ285</f>
        <v>17828.845454545455</v>
      </c>
      <c r="IB300" s="1732" t="e">
        <f>IB296/IB285</f>
        <v>#DIV/0!</v>
      </c>
      <c r="IC300" s="1356"/>
      <c r="ID300" s="2053" t="e">
        <f>ID296/ID285</f>
        <v>#DIV/0!</v>
      </c>
      <c r="IF300" s="2053" t="e">
        <f>IF296/IF285</f>
        <v>#DIV/0!</v>
      </c>
    </row>
    <row r="301" spans="1:241" ht="16.2" thickBot="1">
      <c r="A301" s="1149"/>
      <c r="B301" s="1149"/>
      <c r="C301" s="1149"/>
      <c r="D301" s="1149"/>
      <c r="E301" s="1143"/>
      <c r="F301" s="1406"/>
      <c r="G301" s="1356"/>
      <c r="H301" s="1406"/>
      <c r="I301" s="1356"/>
      <c r="J301" s="1406"/>
      <c r="K301" s="1356"/>
      <c r="L301" s="1406"/>
      <c r="M301" s="1356"/>
      <c r="N301" s="1406"/>
      <c r="O301" s="1356"/>
      <c r="P301" s="1406"/>
      <c r="Q301" s="1356"/>
      <c r="T301" s="1406"/>
      <c r="U301" s="1356"/>
      <c r="V301" s="1406"/>
      <c r="W301" s="1356"/>
      <c r="X301" s="1406"/>
      <c r="Y301" s="1356"/>
      <c r="Z301" s="1406"/>
      <c r="AA301" s="1356"/>
      <c r="AB301" s="1406"/>
      <c r="AC301" s="1356"/>
      <c r="AD301" s="1406"/>
      <c r="AE301" s="1356"/>
      <c r="AF301" s="1406"/>
      <c r="AG301" s="1356"/>
      <c r="AH301" s="1406"/>
      <c r="AI301" s="1356"/>
      <c r="AJ301" s="1406"/>
      <c r="AK301" s="1356"/>
      <c r="AL301" s="1406"/>
      <c r="AM301" s="1356"/>
      <c r="AN301" s="1406"/>
      <c r="AO301" s="1356"/>
      <c r="AP301" s="1406"/>
      <c r="AQ301" s="1356"/>
      <c r="AR301" s="1406"/>
      <c r="AS301" s="1356"/>
      <c r="AT301" s="1406"/>
      <c r="AU301" s="1356"/>
      <c r="AV301" s="1406"/>
      <c r="AW301" s="1356"/>
      <c r="AX301" s="1406"/>
      <c r="AY301" s="1356"/>
      <c r="AZ301" s="1406"/>
      <c r="BA301" s="1356"/>
      <c r="BB301" s="1406"/>
      <c r="BC301" s="1356"/>
      <c r="BD301" s="1406"/>
      <c r="BE301" s="1356"/>
      <c r="BF301" s="1406"/>
      <c r="BG301" s="1356"/>
      <c r="BH301" s="1406"/>
      <c r="BI301" s="1356"/>
      <c r="BJ301" s="1406"/>
      <c r="BK301" s="1356"/>
      <c r="BL301" s="1406"/>
      <c r="BM301" s="1356"/>
      <c r="BN301" s="1406"/>
      <c r="BO301" s="1356"/>
      <c r="BP301" s="1406"/>
      <c r="BQ301" s="1356"/>
      <c r="BR301" s="1406"/>
      <c r="BS301" s="1356"/>
      <c r="BT301" s="1406"/>
      <c r="BU301" s="1356"/>
      <c r="BV301" s="1406"/>
      <c r="BW301" s="1356"/>
      <c r="BX301" s="1406"/>
      <c r="BY301" s="1356"/>
      <c r="BZ301" s="1406"/>
      <c r="CA301" s="1356"/>
      <c r="CB301" s="1406"/>
      <c r="CC301" s="1356"/>
      <c r="CD301" s="1406"/>
      <c r="CE301" s="1356"/>
      <c r="CF301" s="1406"/>
      <c r="CG301" s="1356"/>
      <c r="CH301" s="1406"/>
      <c r="CI301" s="1356"/>
      <c r="CJ301" s="1406"/>
      <c r="CK301" s="1356"/>
      <c r="CL301" s="1406"/>
      <c r="CM301" s="1356"/>
      <c r="CN301" s="1406"/>
      <c r="CO301" s="1356"/>
      <c r="CP301" s="1406"/>
      <c r="CQ301" s="1356"/>
      <c r="CR301" s="1406"/>
      <c r="CS301" s="1356"/>
      <c r="CT301" s="1406"/>
      <c r="CU301" s="1356"/>
      <c r="CV301" s="1406"/>
      <c r="CW301" s="1356"/>
      <c r="CX301" s="1406"/>
      <c r="CY301" s="1356"/>
      <c r="CZ301" s="1406"/>
      <c r="DA301" s="1356"/>
      <c r="DB301" s="1406"/>
      <c r="DC301" s="1356"/>
      <c r="DD301" s="1406"/>
      <c r="DE301" s="1356"/>
      <c r="DF301" s="1406"/>
      <c r="DG301" s="1356"/>
      <c r="DH301" s="1406"/>
      <c r="DI301" s="1356"/>
      <c r="DJ301" s="1406"/>
      <c r="DK301" s="1356"/>
      <c r="DL301" s="1406"/>
      <c r="DM301" s="1356"/>
      <c r="DN301" s="1406"/>
      <c r="DO301" s="1356"/>
      <c r="DP301" s="1406"/>
      <c r="DQ301" s="1356"/>
      <c r="DR301" s="1406"/>
      <c r="DS301" s="1356"/>
      <c r="DT301" s="1406"/>
      <c r="DU301" s="1356"/>
      <c r="DV301" s="1406"/>
      <c r="DW301" s="1356"/>
      <c r="DX301" s="1406"/>
      <c r="DY301" s="1356"/>
      <c r="DZ301" s="1406"/>
      <c r="EA301" s="1356"/>
      <c r="EB301" s="1406"/>
      <c r="EC301" s="1356"/>
      <c r="ED301" s="1406"/>
      <c r="EE301" s="1356"/>
      <c r="EF301" s="1406"/>
      <c r="EG301" s="1356"/>
      <c r="EH301" s="1406"/>
      <c r="EI301" s="1356"/>
      <c r="EJ301" s="1406"/>
      <c r="EK301" s="1356"/>
      <c r="EL301" s="1406"/>
      <c r="EM301" s="1356"/>
      <c r="EN301" s="1406"/>
      <c r="EO301" s="1356"/>
      <c r="EP301" s="1406"/>
      <c r="EQ301" s="1356"/>
      <c r="ER301" s="1406"/>
      <c r="ES301" s="1356"/>
      <c r="ET301" s="1406"/>
      <c r="EU301" s="1356"/>
      <c r="EV301" s="1406"/>
      <c r="EW301" s="1356"/>
      <c r="EX301" s="1406"/>
      <c r="EY301" s="1356"/>
      <c r="EZ301" s="1406"/>
      <c r="FA301" s="1356"/>
      <c r="FB301" s="1406"/>
      <c r="FC301" s="1356"/>
      <c r="FD301" s="1406"/>
      <c r="FE301" s="1356"/>
      <c r="FF301" s="1406"/>
      <c r="FG301" s="1356"/>
      <c r="FH301" s="1406"/>
      <c r="FI301" s="1356"/>
      <c r="FJ301" s="1406"/>
      <c r="FK301" s="1356"/>
      <c r="FL301" s="1406"/>
      <c r="FM301" s="1356"/>
      <c r="FN301" s="1406"/>
      <c r="FO301" s="1356"/>
      <c r="FP301" s="1406"/>
      <c r="FQ301" s="1356"/>
      <c r="FR301" s="1406"/>
      <c r="FS301" s="1356"/>
      <c r="FT301" s="1406"/>
      <c r="FU301" s="1356"/>
      <c r="FV301" s="1406"/>
      <c r="FW301" s="1356"/>
      <c r="FX301" s="1406"/>
      <c r="FY301" s="1356"/>
      <c r="FZ301" s="1406"/>
      <c r="GA301" s="1356"/>
      <c r="GB301" s="1406"/>
      <c r="GC301" s="1356"/>
      <c r="GD301" s="1406"/>
      <c r="GE301" s="1356"/>
      <c r="GF301" s="1406"/>
      <c r="GG301" s="1356"/>
      <c r="GH301" s="1406"/>
      <c r="GI301" s="1356"/>
      <c r="GJ301" s="1406"/>
      <c r="GK301" s="1356"/>
      <c r="GL301" s="1406"/>
      <c r="GM301" s="1356"/>
      <c r="GN301" s="1406"/>
      <c r="GO301" s="1356"/>
      <c r="GP301" s="1406"/>
      <c r="GQ301" s="1356"/>
      <c r="GR301" s="1406"/>
      <c r="GS301" s="1356"/>
      <c r="GT301" s="1406"/>
      <c r="GU301" s="1356"/>
      <c r="GV301" s="1406"/>
      <c r="GW301" s="1356"/>
      <c r="GX301" s="1406"/>
      <c r="GY301" s="1356"/>
      <c r="GZ301" s="1406"/>
      <c r="HA301" s="1356"/>
      <c r="HB301" s="1406"/>
      <c r="HC301" s="1356"/>
      <c r="HD301" s="1406"/>
      <c r="HE301" s="1356"/>
      <c r="HF301" s="1406"/>
      <c r="HG301" s="1356"/>
      <c r="HH301" s="1406"/>
      <c r="HI301" s="1356"/>
      <c r="HJ301" s="1406"/>
      <c r="HK301" s="1356"/>
      <c r="HL301" s="1406"/>
      <c r="HM301" s="1356"/>
      <c r="HN301" s="1406"/>
      <c r="HO301" s="1356"/>
      <c r="HR301" s="1406"/>
      <c r="HS301" s="1356"/>
      <c r="IB301" s="1406"/>
      <c r="IC301" s="1356"/>
    </row>
    <row r="302" spans="1:241" ht="21.6" thickBot="1">
      <c r="A302" s="1163"/>
      <c r="B302" s="1147" t="s">
        <v>710</v>
      </c>
      <c r="C302" s="1148"/>
      <c r="D302" s="1148"/>
      <c r="E302" s="1148"/>
      <c r="F302" s="1932"/>
      <c r="G302" s="1356"/>
      <c r="H302" s="1424"/>
      <c r="I302" s="1356"/>
      <c r="J302" s="1424"/>
      <c r="K302" s="1356"/>
      <c r="L302" s="1424"/>
      <c r="M302" s="1356"/>
      <c r="N302" s="1424"/>
      <c r="O302" s="1356"/>
      <c r="P302" s="1424"/>
      <c r="Q302" s="1356"/>
      <c r="R302" s="1424"/>
      <c r="T302" s="1424"/>
      <c r="U302" s="1356"/>
      <c r="V302" s="1424"/>
      <c r="W302" s="1356"/>
      <c r="X302" s="1424"/>
      <c r="Y302" s="1356"/>
      <c r="Z302" s="1424"/>
      <c r="AA302" s="1356"/>
      <c r="AB302" s="1424"/>
      <c r="AC302" s="1356"/>
      <c r="AD302" s="1424"/>
      <c r="AE302" s="1356"/>
      <c r="AF302" s="1424"/>
      <c r="AG302" s="1356"/>
      <c r="AH302" s="1424"/>
      <c r="AI302" s="1356"/>
      <c r="AJ302" s="1424"/>
      <c r="AK302" s="1356"/>
      <c r="AL302" s="1424"/>
      <c r="AM302" s="1356"/>
      <c r="AN302" s="1424"/>
      <c r="AO302" s="1356"/>
      <c r="AP302" s="1424"/>
      <c r="AQ302" s="1356"/>
      <c r="AR302" s="1424"/>
      <c r="AS302" s="1356"/>
      <c r="AT302" s="1424"/>
      <c r="AU302" s="1356"/>
      <c r="AV302" s="1424"/>
      <c r="AW302" s="1356"/>
      <c r="AX302" s="1424"/>
      <c r="AY302" s="1356"/>
      <c r="AZ302" s="1424"/>
      <c r="BA302" s="1356"/>
      <c r="BB302" s="1424"/>
      <c r="BC302" s="1356"/>
      <c r="BD302" s="1424"/>
      <c r="BE302" s="1356"/>
      <c r="BF302" s="1424"/>
      <c r="BG302" s="1356"/>
      <c r="BH302" s="1424"/>
      <c r="BI302" s="1356"/>
      <c r="BJ302" s="1424"/>
      <c r="BK302" s="1356"/>
      <c r="BL302" s="1424"/>
      <c r="BM302" s="1356"/>
      <c r="BN302" s="1424"/>
      <c r="BO302" s="1356"/>
      <c r="BP302" s="1424"/>
      <c r="BQ302" s="1356"/>
      <c r="BR302" s="1424"/>
      <c r="BS302" s="1356"/>
      <c r="BT302" s="1424"/>
      <c r="BU302" s="1356"/>
      <c r="BV302" s="1424"/>
      <c r="BW302" s="1356"/>
      <c r="BX302" s="1424"/>
      <c r="BY302" s="1356"/>
      <c r="BZ302" s="1424"/>
      <c r="CA302" s="1356"/>
      <c r="CB302" s="1424"/>
      <c r="CC302" s="1356"/>
      <c r="CD302" s="1424"/>
      <c r="CE302" s="1356"/>
      <c r="CF302" s="1424"/>
      <c r="CG302" s="1356"/>
      <c r="CH302" s="1424"/>
      <c r="CI302" s="1356"/>
      <c r="CJ302" s="1424"/>
      <c r="CK302" s="1356"/>
      <c r="CL302" s="1424"/>
      <c r="CM302" s="1356"/>
      <c r="CN302" s="1424"/>
      <c r="CO302" s="1356"/>
      <c r="CP302" s="1424"/>
      <c r="CQ302" s="1356"/>
      <c r="CR302" s="1424"/>
      <c r="CS302" s="1356"/>
      <c r="CT302" s="1424"/>
      <c r="CU302" s="1356"/>
      <c r="CV302" s="1424"/>
      <c r="CW302" s="1356"/>
      <c r="CX302" s="1424"/>
      <c r="CY302" s="1356"/>
      <c r="CZ302" s="1424"/>
      <c r="DA302" s="1356"/>
      <c r="DB302" s="1424"/>
      <c r="DC302" s="1356"/>
      <c r="DD302" s="1424"/>
      <c r="DE302" s="1356"/>
      <c r="DF302" s="1424"/>
      <c r="DG302" s="1356"/>
      <c r="DH302" s="1424"/>
      <c r="DI302" s="1356"/>
      <c r="DJ302" s="1424"/>
      <c r="DK302" s="1356"/>
      <c r="DL302" s="1424"/>
      <c r="DM302" s="1356"/>
      <c r="DN302" s="1424"/>
      <c r="DO302" s="1356"/>
      <c r="DP302" s="1424"/>
      <c r="DQ302" s="1356"/>
      <c r="DR302" s="1424"/>
      <c r="DS302" s="1356"/>
      <c r="DT302" s="1424"/>
      <c r="DU302" s="1356"/>
      <c r="DV302" s="1424"/>
      <c r="DW302" s="1356"/>
      <c r="DX302" s="1424"/>
      <c r="DY302" s="1356"/>
      <c r="DZ302" s="1424"/>
      <c r="EA302" s="1356"/>
      <c r="EB302" s="1424"/>
      <c r="EC302" s="1356"/>
      <c r="ED302" s="1424"/>
      <c r="EE302" s="1356"/>
      <c r="EF302" s="1424"/>
      <c r="EG302" s="1356"/>
      <c r="EH302" s="1424"/>
      <c r="EI302" s="1356"/>
      <c r="EJ302" s="1424"/>
      <c r="EK302" s="1356"/>
      <c r="EL302" s="1424"/>
      <c r="EM302" s="1356"/>
      <c r="EN302" s="1424"/>
      <c r="EO302" s="1356"/>
      <c r="EP302" s="1424"/>
      <c r="EQ302" s="1356"/>
      <c r="ER302" s="1424"/>
      <c r="ES302" s="1356"/>
      <c r="ET302" s="1424"/>
      <c r="EU302" s="1356"/>
      <c r="EV302" s="1424"/>
      <c r="EW302" s="1356"/>
      <c r="EX302" s="1424"/>
      <c r="EY302" s="1356"/>
      <c r="EZ302" s="1424"/>
      <c r="FA302" s="1356"/>
      <c r="FB302" s="1424"/>
      <c r="FC302" s="1356"/>
      <c r="FD302" s="1424"/>
      <c r="FE302" s="1356"/>
      <c r="FF302" s="1424"/>
      <c r="FG302" s="1356"/>
      <c r="FH302" s="1424"/>
      <c r="FI302" s="1356"/>
      <c r="FJ302" s="1424"/>
      <c r="FK302" s="1356"/>
      <c r="FL302" s="1424"/>
      <c r="FM302" s="1356"/>
      <c r="FN302" s="1424"/>
      <c r="FO302" s="1356"/>
      <c r="FP302" s="1424"/>
      <c r="FQ302" s="1356"/>
      <c r="FR302" s="1424"/>
      <c r="FS302" s="1356"/>
      <c r="FT302" s="1424"/>
      <c r="FU302" s="1356"/>
      <c r="FV302" s="1424"/>
      <c r="FW302" s="1356"/>
      <c r="FX302" s="1424"/>
      <c r="FY302" s="1356"/>
      <c r="FZ302" s="1424"/>
      <c r="GA302" s="1356"/>
      <c r="GB302" s="1424"/>
      <c r="GC302" s="1356"/>
      <c r="GD302" s="1424"/>
      <c r="GE302" s="1356"/>
      <c r="GF302" s="1424"/>
      <c r="GG302" s="1356"/>
      <c r="GH302" s="1424"/>
      <c r="GI302" s="1356"/>
      <c r="GJ302" s="1424"/>
      <c r="GK302" s="1356"/>
      <c r="GL302" s="1424"/>
      <c r="GM302" s="1356"/>
      <c r="GN302" s="1424"/>
      <c r="GO302" s="1356"/>
      <c r="GP302" s="1424"/>
      <c r="GQ302" s="1356"/>
      <c r="GR302" s="1424"/>
      <c r="GS302" s="1356"/>
      <c r="GT302" s="1424"/>
      <c r="GU302" s="1356"/>
      <c r="GV302" s="1424"/>
      <c r="GW302" s="1356"/>
      <c r="GX302" s="1424"/>
      <c r="GY302" s="1356"/>
      <c r="GZ302" s="1424"/>
      <c r="HA302" s="1356"/>
      <c r="HB302" s="1424"/>
      <c r="HC302" s="1356"/>
      <c r="HD302" s="1424"/>
      <c r="HE302" s="1356"/>
      <c r="HF302" s="1424"/>
      <c r="HG302" s="1356"/>
      <c r="HH302" s="1424"/>
      <c r="HI302" s="1356"/>
      <c r="HJ302" s="1424"/>
      <c r="HK302" s="1356"/>
      <c r="HL302" s="1424"/>
      <c r="HM302" s="1356"/>
      <c r="HN302" s="1424"/>
      <c r="HO302" s="1356"/>
      <c r="HP302" s="1424"/>
      <c r="HQ302" s="1356"/>
      <c r="HR302" s="1424"/>
      <c r="HS302" s="1356"/>
      <c r="HT302" s="1424"/>
      <c r="HU302" s="2008"/>
      <c r="HV302" s="1424"/>
      <c r="HW302" s="2008"/>
      <c r="HX302" s="1424"/>
      <c r="HY302" s="2008"/>
      <c r="HZ302" s="1424"/>
      <c r="IA302" s="2008"/>
      <c r="IB302" s="1424"/>
      <c r="IC302" s="1356"/>
      <c r="ID302" s="1424"/>
      <c r="IE302" s="2008"/>
      <c r="IF302" s="1005"/>
      <c r="IG302" s="2008"/>
    </row>
    <row r="303" spans="1:241">
      <c r="A303" s="1149"/>
      <c r="B303" s="1149"/>
      <c r="C303" s="1149"/>
      <c r="D303" s="1164"/>
      <c r="E303" s="1143"/>
      <c r="F303" s="1406"/>
      <c r="G303" s="1356"/>
      <c r="H303" s="1406"/>
      <c r="I303" s="1356"/>
      <c r="J303" s="1406"/>
      <c r="K303" s="1356"/>
      <c r="L303" s="1406"/>
      <c r="M303" s="1356"/>
      <c r="N303" s="1406"/>
      <c r="O303" s="1356"/>
      <c r="P303" s="1406"/>
      <c r="Q303" s="1356"/>
      <c r="T303" s="1406"/>
      <c r="U303" s="1356"/>
      <c r="V303" s="1406"/>
      <c r="W303" s="1356"/>
      <c r="X303" s="1406"/>
      <c r="Y303" s="1356"/>
      <c r="Z303" s="1406"/>
      <c r="AA303" s="1356"/>
      <c r="AB303" s="1406"/>
      <c r="AC303" s="1356"/>
      <c r="AD303" s="1406"/>
      <c r="AE303" s="1356"/>
      <c r="AF303" s="1406"/>
      <c r="AG303" s="1356"/>
      <c r="AH303" s="1406"/>
      <c r="AI303" s="1356"/>
      <c r="AJ303" s="1406"/>
      <c r="AK303" s="1356"/>
      <c r="AL303" s="1406"/>
      <c r="AM303" s="1356"/>
      <c r="AN303" s="1406"/>
      <c r="AO303" s="1356"/>
      <c r="AP303" s="1406"/>
      <c r="AQ303" s="1356"/>
      <c r="AR303" s="1406"/>
      <c r="AS303" s="1356"/>
      <c r="AT303" s="1406"/>
      <c r="AU303" s="1356"/>
      <c r="AV303" s="1406"/>
      <c r="AW303" s="1356"/>
      <c r="AX303" s="1406"/>
      <c r="AY303" s="1356"/>
      <c r="AZ303" s="1406"/>
      <c r="BA303" s="1356"/>
      <c r="BB303" s="1406"/>
      <c r="BC303" s="1356"/>
      <c r="BD303" s="1406"/>
      <c r="BE303" s="1356"/>
      <c r="BF303" s="1406"/>
      <c r="BG303" s="1356"/>
      <c r="BH303" s="1406"/>
      <c r="BI303" s="1356"/>
      <c r="BJ303" s="1406"/>
      <c r="BK303" s="1356"/>
      <c r="BL303" s="1406"/>
      <c r="BM303" s="1356"/>
      <c r="BN303" s="1406"/>
      <c r="BO303" s="1356"/>
      <c r="BP303" s="1406"/>
      <c r="BQ303" s="1356"/>
      <c r="BR303" s="1406"/>
      <c r="BS303" s="1356"/>
      <c r="BT303" s="1406"/>
      <c r="BU303" s="1356"/>
      <c r="BV303" s="1406"/>
      <c r="BW303" s="1356"/>
      <c r="BX303" s="1406"/>
      <c r="BY303" s="1356"/>
      <c r="BZ303" s="1406"/>
      <c r="CA303" s="1356"/>
      <c r="CB303" s="1406"/>
      <c r="CC303" s="1356"/>
      <c r="CD303" s="1406"/>
      <c r="CE303" s="1356"/>
      <c r="CF303" s="1406"/>
      <c r="CG303" s="1356"/>
      <c r="CH303" s="1406"/>
      <c r="CI303" s="1356"/>
      <c r="CJ303" s="1406"/>
      <c r="CK303" s="1356"/>
      <c r="CL303" s="1406"/>
      <c r="CM303" s="1356"/>
      <c r="CN303" s="1406"/>
      <c r="CO303" s="1356"/>
      <c r="CP303" s="1406"/>
      <c r="CQ303" s="1356"/>
      <c r="CR303" s="1406"/>
      <c r="CS303" s="1356"/>
      <c r="CT303" s="1406"/>
      <c r="CU303" s="1356"/>
      <c r="CV303" s="1406"/>
      <c r="CW303" s="1356"/>
      <c r="CX303" s="1406"/>
      <c r="CY303" s="1356"/>
      <c r="CZ303" s="1406"/>
      <c r="DA303" s="1356"/>
      <c r="DB303" s="1406"/>
      <c r="DC303" s="1356"/>
      <c r="DD303" s="1406"/>
      <c r="DE303" s="1356"/>
      <c r="DF303" s="1406"/>
      <c r="DG303" s="1356"/>
      <c r="DH303" s="1406"/>
      <c r="DI303" s="1356"/>
      <c r="DJ303" s="1406"/>
      <c r="DK303" s="1356"/>
      <c r="DL303" s="1406"/>
      <c r="DM303" s="1356"/>
      <c r="DN303" s="1406"/>
      <c r="DO303" s="1356"/>
      <c r="DP303" s="1406"/>
      <c r="DQ303" s="1356"/>
      <c r="DR303" s="1406"/>
      <c r="DS303" s="1356"/>
      <c r="DT303" s="1406"/>
      <c r="DU303" s="1356"/>
      <c r="DV303" s="1406"/>
      <c r="DW303" s="1356"/>
      <c r="DX303" s="1406"/>
      <c r="DY303" s="1356"/>
      <c r="DZ303" s="1406"/>
      <c r="EA303" s="1356"/>
      <c r="EB303" s="1406"/>
      <c r="EC303" s="1356"/>
      <c r="ED303" s="1406"/>
      <c r="EE303" s="1356"/>
      <c r="EF303" s="1406"/>
      <c r="EG303" s="1356"/>
      <c r="EH303" s="1406"/>
      <c r="EI303" s="1356"/>
      <c r="EJ303" s="1406"/>
      <c r="EK303" s="1356"/>
      <c r="EL303" s="1406"/>
      <c r="EM303" s="1356"/>
      <c r="EN303" s="1406"/>
      <c r="EO303" s="1356"/>
      <c r="EP303" s="1406"/>
      <c r="EQ303" s="1356"/>
      <c r="ER303" s="1406"/>
      <c r="ES303" s="1356"/>
      <c r="ET303" s="1406"/>
      <c r="EU303" s="1356"/>
      <c r="EV303" s="1406"/>
      <c r="EW303" s="1356"/>
      <c r="EX303" s="1406"/>
      <c r="EY303" s="1356"/>
      <c r="EZ303" s="1406"/>
      <c r="FA303" s="1356"/>
      <c r="FB303" s="1406"/>
      <c r="FC303" s="1356"/>
      <c r="FD303" s="1406"/>
      <c r="FE303" s="1356"/>
      <c r="FF303" s="1406"/>
      <c r="FG303" s="1356"/>
      <c r="FH303" s="1406"/>
      <c r="FI303" s="1356"/>
      <c r="FJ303" s="1406"/>
      <c r="FK303" s="1356"/>
      <c r="FL303" s="1406"/>
      <c r="FM303" s="1356"/>
      <c r="FN303" s="1406"/>
      <c r="FO303" s="1356"/>
      <c r="FP303" s="1406"/>
      <c r="FQ303" s="1356"/>
      <c r="FR303" s="1406"/>
      <c r="FS303" s="1356"/>
      <c r="FT303" s="1406"/>
      <c r="FU303" s="1356"/>
      <c r="FV303" s="1406"/>
      <c r="FW303" s="1356"/>
      <c r="FX303" s="1406"/>
      <c r="FY303" s="1356"/>
      <c r="FZ303" s="1406"/>
      <c r="GA303" s="1356"/>
      <c r="GB303" s="1406"/>
      <c r="GC303" s="1356"/>
      <c r="GD303" s="1406"/>
      <c r="GE303" s="1356"/>
      <c r="GF303" s="1406"/>
      <c r="GG303" s="1356"/>
      <c r="GH303" s="1406"/>
      <c r="GI303" s="1356"/>
      <c r="GJ303" s="1406"/>
      <c r="GK303" s="1356"/>
      <c r="GL303" s="1406"/>
      <c r="GM303" s="1356"/>
      <c r="GN303" s="1406"/>
      <c r="GO303" s="1356"/>
      <c r="GP303" s="1406"/>
      <c r="GQ303" s="1356"/>
      <c r="GR303" s="1406"/>
      <c r="GS303" s="1356"/>
      <c r="GT303" s="1406"/>
      <c r="GU303" s="1356"/>
      <c r="GV303" s="1406"/>
      <c r="GW303" s="1356"/>
      <c r="GX303" s="1406"/>
      <c r="GY303" s="1356"/>
      <c r="GZ303" s="1406"/>
      <c r="HA303" s="1356"/>
      <c r="HB303" s="1406"/>
      <c r="HC303" s="1356"/>
      <c r="HD303" s="1406"/>
      <c r="HE303" s="1356"/>
      <c r="HF303" s="1406"/>
      <c r="HG303" s="1356"/>
      <c r="HH303" s="1406"/>
      <c r="HI303" s="1356"/>
      <c r="HJ303" s="1406"/>
      <c r="HK303" s="1356"/>
      <c r="HL303" s="1406"/>
      <c r="HM303" s="1356"/>
      <c r="HN303" s="1406"/>
      <c r="HO303" s="1356"/>
      <c r="HP303" s="1406"/>
      <c r="HQ303" s="1356"/>
      <c r="HR303" s="1406"/>
      <c r="HS303" s="1356"/>
      <c r="IB303" s="1406"/>
      <c r="IC303" s="1356"/>
    </row>
    <row r="304" spans="1:241">
      <c r="A304" s="1139"/>
      <c r="B304" s="1139"/>
      <c r="C304" s="1139"/>
      <c r="D304" s="1139"/>
      <c r="E304" s="1144"/>
      <c r="F304" s="1406"/>
      <c r="G304" s="1356"/>
      <c r="H304" s="1406"/>
      <c r="I304" s="1356"/>
      <c r="J304" s="1406"/>
      <c r="K304" s="1356"/>
      <c r="L304" s="1406"/>
      <c r="M304" s="1356"/>
      <c r="N304" s="1406"/>
      <c r="O304" s="1356"/>
      <c r="P304" s="1406"/>
      <c r="Q304" s="1356"/>
      <c r="T304" s="1406"/>
      <c r="U304" s="1356"/>
      <c r="V304" s="1406"/>
      <c r="W304" s="1356"/>
      <c r="X304" s="1406"/>
      <c r="Y304" s="1356"/>
      <c r="Z304" s="1406"/>
      <c r="AA304" s="1356"/>
      <c r="AB304" s="1406"/>
      <c r="AC304" s="1356"/>
      <c r="AD304" s="1406"/>
      <c r="AE304" s="1356"/>
      <c r="AF304" s="1406"/>
      <c r="AG304" s="1356"/>
      <c r="AH304" s="1406"/>
      <c r="AI304" s="1356"/>
      <c r="AJ304" s="1406"/>
      <c r="AK304" s="1356"/>
      <c r="AL304" s="1406"/>
      <c r="AM304" s="1356"/>
      <c r="AN304" s="1406"/>
      <c r="AO304" s="1356"/>
      <c r="AP304" s="1406"/>
      <c r="AQ304" s="1356"/>
      <c r="AR304" s="1406"/>
      <c r="AS304" s="1356"/>
      <c r="AT304" s="1406"/>
      <c r="AU304" s="1356"/>
      <c r="AV304" s="1406"/>
      <c r="AW304" s="1356"/>
      <c r="AX304" s="1406"/>
      <c r="AY304" s="1356"/>
      <c r="AZ304" s="1406"/>
      <c r="BA304" s="1356"/>
      <c r="BB304" s="1406"/>
      <c r="BC304" s="1356"/>
      <c r="BD304" s="1406"/>
      <c r="BE304" s="1356"/>
      <c r="BF304" s="1406"/>
      <c r="BG304" s="1356"/>
      <c r="BH304" s="1406"/>
      <c r="BI304" s="1356"/>
      <c r="BJ304" s="1406"/>
      <c r="BK304" s="1356"/>
      <c r="BL304" s="1406"/>
      <c r="BM304" s="1356"/>
      <c r="BN304" s="1406"/>
      <c r="BO304" s="1356"/>
      <c r="BP304" s="1406"/>
      <c r="BQ304" s="1356"/>
      <c r="BR304" s="1406"/>
      <c r="BS304" s="1356"/>
      <c r="BT304" s="1406"/>
      <c r="BU304" s="1356"/>
      <c r="BV304" s="1406"/>
      <c r="BW304" s="1356"/>
      <c r="BX304" s="1406"/>
      <c r="BY304" s="1356"/>
      <c r="BZ304" s="1406"/>
      <c r="CA304" s="1356"/>
      <c r="CB304" s="1406"/>
      <c r="CC304" s="1356"/>
      <c r="CD304" s="1406"/>
      <c r="CE304" s="1356"/>
      <c r="CF304" s="1406"/>
      <c r="CG304" s="1356"/>
      <c r="CH304" s="1406"/>
      <c r="CI304" s="1356"/>
      <c r="CJ304" s="1406"/>
      <c r="CK304" s="1356"/>
      <c r="CL304" s="1406"/>
      <c r="CM304" s="1356"/>
      <c r="CN304" s="1406"/>
      <c r="CO304" s="1356"/>
      <c r="CP304" s="1406"/>
      <c r="CQ304" s="1356"/>
      <c r="CR304" s="1406"/>
      <c r="CS304" s="1356"/>
      <c r="CT304" s="1406"/>
      <c r="CU304" s="1356"/>
      <c r="CV304" s="1406"/>
      <c r="CW304" s="1356"/>
      <c r="CX304" s="1406"/>
      <c r="CY304" s="1356"/>
      <c r="CZ304" s="1406"/>
      <c r="DA304" s="1356"/>
      <c r="DB304" s="1406"/>
      <c r="DC304" s="1356"/>
      <c r="DD304" s="1406"/>
      <c r="DE304" s="1356"/>
      <c r="DF304" s="1406"/>
      <c r="DG304" s="1356"/>
      <c r="DH304" s="1406"/>
      <c r="DI304" s="1356"/>
      <c r="DJ304" s="1406"/>
      <c r="DK304" s="1356"/>
      <c r="DL304" s="1406"/>
      <c r="DM304" s="1356"/>
      <c r="DN304" s="1406"/>
      <c r="DO304" s="1356"/>
      <c r="DP304" s="1406"/>
      <c r="DQ304" s="1356"/>
      <c r="DR304" s="1406"/>
      <c r="DS304" s="1356"/>
      <c r="DT304" s="1406"/>
      <c r="DU304" s="1356"/>
      <c r="DV304" s="1406"/>
      <c r="DW304" s="1356"/>
      <c r="DX304" s="1406"/>
      <c r="DY304" s="1356"/>
      <c r="DZ304" s="1406"/>
      <c r="EA304" s="1356"/>
      <c r="EB304" s="1406"/>
      <c r="EC304" s="1356"/>
      <c r="ED304" s="1406"/>
      <c r="EE304" s="1356"/>
      <c r="EF304" s="1406"/>
      <c r="EG304" s="1356"/>
      <c r="EH304" s="1406"/>
      <c r="EI304" s="1356"/>
      <c r="EJ304" s="1406"/>
      <c r="EK304" s="1356"/>
      <c r="EL304" s="1406"/>
      <c r="EM304" s="1356"/>
      <c r="EN304" s="1406"/>
      <c r="EO304" s="1356"/>
      <c r="EP304" s="1406"/>
      <c r="EQ304" s="1356"/>
      <c r="ER304" s="1406"/>
      <c r="ES304" s="1356"/>
      <c r="ET304" s="1406"/>
      <c r="EU304" s="1356"/>
      <c r="EV304" s="1406"/>
      <c r="EW304" s="1356"/>
      <c r="EX304" s="1406"/>
      <c r="EY304" s="1356"/>
      <c r="EZ304" s="1406"/>
      <c r="FA304" s="1356"/>
      <c r="FB304" s="1406"/>
      <c r="FC304" s="1356"/>
      <c r="FD304" s="1406"/>
      <c r="FE304" s="1356"/>
      <c r="FF304" s="1406"/>
      <c r="FG304" s="1356"/>
      <c r="FH304" s="1406"/>
      <c r="FI304" s="1356"/>
      <c r="FJ304" s="1406"/>
      <c r="FK304" s="1356"/>
      <c r="FL304" s="1406"/>
      <c r="FM304" s="1356"/>
      <c r="FN304" s="1406"/>
      <c r="FO304" s="1356"/>
      <c r="FP304" s="1406"/>
      <c r="FQ304" s="1356"/>
      <c r="FR304" s="1406"/>
      <c r="FS304" s="1356"/>
      <c r="FT304" s="1406"/>
      <c r="FU304" s="1356"/>
      <c r="FV304" s="1406"/>
      <c r="FW304" s="1356"/>
      <c r="FX304" s="1406"/>
      <c r="FY304" s="1356"/>
      <c r="FZ304" s="1406"/>
      <c r="GA304" s="1356"/>
      <c r="GB304" s="1406"/>
      <c r="GC304" s="1356"/>
      <c r="GD304" s="1406"/>
      <c r="GE304" s="1356"/>
      <c r="GF304" s="1406"/>
      <c r="GG304" s="1356"/>
      <c r="GH304" s="1406"/>
      <c r="GI304" s="1356"/>
      <c r="GJ304" s="1406"/>
      <c r="GK304" s="1356"/>
      <c r="GL304" s="1406"/>
      <c r="GM304" s="1356"/>
      <c r="GN304" s="1406"/>
      <c r="GO304" s="1356"/>
      <c r="GP304" s="1406"/>
      <c r="GQ304" s="1356"/>
      <c r="GR304" s="1406"/>
      <c r="GS304" s="1356"/>
      <c r="GT304" s="1406"/>
      <c r="GU304" s="1356"/>
      <c r="GV304" s="1406"/>
      <c r="GW304" s="1356"/>
      <c r="GX304" s="1406"/>
      <c r="GY304" s="1356"/>
      <c r="GZ304" s="1406"/>
      <c r="HA304" s="1356"/>
      <c r="HB304" s="1406"/>
      <c r="HC304" s="1356"/>
      <c r="HD304" s="1406"/>
      <c r="HE304" s="1356"/>
      <c r="HF304" s="1406"/>
      <c r="HG304" s="1356"/>
      <c r="HH304" s="1406"/>
      <c r="HI304" s="1356"/>
      <c r="HJ304" s="1406"/>
      <c r="HK304" s="1356"/>
      <c r="HL304" s="1406"/>
      <c r="HM304" s="1356"/>
      <c r="HN304" s="1406"/>
      <c r="HO304" s="1356"/>
      <c r="HP304" s="1406"/>
      <c r="HQ304" s="1356"/>
      <c r="HR304" s="1406"/>
      <c r="HS304" s="1356"/>
      <c r="IB304" s="1406"/>
      <c r="IC304" s="1356"/>
    </row>
    <row r="305" spans="1:237">
      <c r="A305" s="1139"/>
      <c r="B305" s="1139"/>
      <c r="C305" s="1139"/>
      <c r="D305" s="1139"/>
      <c r="E305" s="1144"/>
      <c r="F305" s="1406"/>
      <c r="G305" s="1356"/>
      <c r="H305" s="1406"/>
      <c r="I305" s="1356"/>
      <c r="J305" s="1406"/>
      <c r="K305" s="1356"/>
      <c r="L305" s="1406"/>
      <c r="M305" s="1356"/>
      <c r="N305" s="1406"/>
      <c r="O305" s="1356"/>
      <c r="P305" s="1406"/>
      <c r="Q305" s="1356"/>
      <c r="T305" s="1406"/>
      <c r="U305" s="1356"/>
      <c r="V305" s="1406"/>
      <c r="W305" s="1356"/>
      <c r="X305" s="1406"/>
      <c r="Y305" s="1356"/>
      <c r="Z305" s="1406"/>
      <c r="AA305" s="1356"/>
      <c r="AB305" s="1406"/>
      <c r="AC305" s="1356"/>
      <c r="AD305" s="1406"/>
      <c r="AE305" s="1356"/>
      <c r="AF305" s="1406"/>
      <c r="AG305" s="1356"/>
      <c r="AH305" s="1406"/>
      <c r="AI305" s="1356"/>
      <c r="AJ305" s="1406"/>
      <c r="AK305" s="1356"/>
      <c r="AL305" s="1406"/>
      <c r="AM305" s="1356"/>
      <c r="AN305" s="1406"/>
      <c r="AO305" s="1356"/>
      <c r="AP305" s="1406"/>
      <c r="AQ305" s="1356"/>
      <c r="AR305" s="1406"/>
      <c r="AS305" s="1356"/>
      <c r="AT305" s="1406"/>
      <c r="AU305" s="1356"/>
      <c r="AV305" s="1406"/>
      <c r="AW305" s="1356"/>
      <c r="AX305" s="1406"/>
      <c r="AY305" s="1356"/>
      <c r="AZ305" s="1406"/>
      <c r="BA305" s="1356"/>
      <c r="BB305" s="1406"/>
      <c r="BC305" s="1356"/>
      <c r="BD305" s="1406"/>
      <c r="BE305" s="1356"/>
      <c r="BF305" s="1406"/>
      <c r="BG305" s="1356"/>
      <c r="BH305" s="1406"/>
      <c r="BI305" s="1356"/>
      <c r="BJ305" s="1406"/>
      <c r="BK305" s="1356"/>
      <c r="BL305" s="1406"/>
      <c r="BM305" s="1356"/>
      <c r="BN305" s="1406"/>
      <c r="BO305" s="1356"/>
      <c r="BP305" s="1406"/>
      <c r="BQ305" s="1356"/>
      <c r="BR305" s="1406"/>
      <c r="BS305" s="1356"/>
      <c r="BT305" s="1406"/>
      <c r="BU305" s="1356"/>
      <c r="BV305" s="1406"/>
      <c r="BW305" s="1356"/>
      <c r="BX305" s="1406"/>
      <c r="BY305" s="1356"/>
      <c r="BZ305" s="1406"/>
      <c r="CA305" s="1356"/>
      <c r="CB305" s="1406"/>
      <c r="CC305" s="1356"/>
      <c r="CD305" s="1406"/>
      <c r="CE305" s="1356"/>
      <c r="CF305" s="1406"/>
      <c r="CG305" s="1356"/>
      <c r="CH305" s="1406"/>
      <c r="CI305" s="1356"/>
      <c r="CJ305" s="1406"/>
      <c r="CK305" s="1356"/>
      <c r="CL305" s="1406"/>
      <c r="CM305" s="1356"/>
      <c r="CN305" s="1406"/>
      <c r="CO305" s="1356"/>
      <c r="CP305" s="1406"/>
      <c r="CQ305" s="1356"/>
      <c r="CR305" s="1406"/>
      <c r="CS305" s="1356"/>
      <c r="CT305" s="1406"/>
      <c r="CU305" s="1356"/>
      <c r="CV305" s="1406"/>
      <c r="CW305" s="1356"/>
      <c r="CX305" s="1406"/>
      <c r="CY305" s="1356"/>
      <c r="CZ305" s="1406"/>
      <c r="DA305" s="1356"/>
      <c r="DB305" s="1406"/>
      <c r="DC305" s="1356"/>
      <c r="DD305" s="1406"/>
      <c r="DE305" s="1356"/>
      <c r="DF305" s="1406"/>
      <c r="DG305" s="1356"/>
      <c r="DH305" s="1406"/>
      <c r="DI305" s="1356"/>
      <c r="DJ305" s="1406"/>
      <c r="DK305" s="1356"/>
      <c r="DL305" s="1406"/>
      <c r="DM305" s="1356"/>
      <c r="DN305" s="1406"/>
      <c r="DO305" s="1356"/>
      <c r="DP305" s="1406"/>
      <c r="DQ305" s="1356"/>
      <c r="DR305" s="1406"/>
      <c r="DS305" s="1356"/>
      <c r="DT305" s="1406"/>
      <c r="DU305" s="1356"/>
      <c r="DV305" s="1406"/>
      <c r="DW305" s="1356"/>
      <c r="DX305" s="1406"/>
      <c r="DY305" s="1356"/>
      <c r="DZ305" s="1406"/>
      <c r="EA305" s="1356"/>
      <c r="EB305" s="1406"/>
      <c r="EC305" s="1356"/>
      <c r="ED305" s="1406"/>
      <c r="EE305" s="1356"/>
      <c r="EF305" s="1406"/>
      <c r="EG305" s="1356"/>
      <c r="EH305" s="1406"/>
      <c r="EI305" s="1356"/>
      <c r="EJ305" s="1406"/>
      <c r="EK305" s="1356"/>
      <c r="EL305" s="1406"/>
      <c r="EM305" s="1356"/>
      <c r="EN305" s="1406"/>
      <c r="EO305" s="1356"/>
      <c r="EP305" s="1406"/>
      <c r="EQ305" s="1356"/>
      <c r="ER305" s="1406"/>
      <c r="ES305" s="1356"/>
      <c r="ET305" s="1406"/>
      <c r="EU305" s="1356"/>
      <c r="EV305" s="1406"/>
      <c r="EW305" s="1356"/>
      <c r="EX305" s="1406"/>
      <c r="EY305" s="1356"/>
      <c r="EZ305" s="1406"/>
      <c r="FA305" s="1356"/>
      <c r="FB305" s="1406"/>
      <c r="FC305" s="1356"/>
      <c r="FD305" s="1406"/>
      <c r="FE305" s="1356"/>
      <c r="FF305" s="1406"/>
      <c r="FG305" s="1356"/>
      <c r="FH305" s="1406"/>
      <c r="FI305" s="1356"/>
      <c r="FJ305" s="1406"/>
      <c r="FK305" s="1356"/>
      <c r="FL305" s="1406"/>
      <c r="FM305" s="1356"/>
      <c r="FN305" s="1406"/>
      <c r="FO305" s="1356"/>
      <c r="FP305" s="1406"/>
      <c r="FQ305" s="1356"/>
      <c r="FR305" s="1406"/>
      <c r="FS305" s="1356"/>
      <c r="FT305" s="1406"/>
      <c r="FU305" s="1356"/>
      <c r="FV305" s="1406"/>
      <c r="FW305" s="1356"/>
      <c r="FX305" s="1406"/>
      <c r="FY305" s="1356"/>
      <c r="FZ305" s="1406"/>
      <c r="GA305" s="1356"/>
      <c r="GB305" s="1406"/>
      <c r="GC305" s="1356"/>
      <c r="GD305" s="1406"/>
      <c r="GE305" s="1356"/>
      <c r="GF305" s="1406"/>
      <c r="GG305" s="1356"/>
      <c r="GH305" s="1406"/>
      <c r="GI305" s="1356"/>
      <c r="GJ305" s="1406"/>
      <c r="GK305" s="1356"/>
      <c r="GL305" s="1406"/>
      <c r="GM305" s="1356"/>
      <c r="GN305" s="1406"/>
      <c r="GO305" s="1356"/>
      <c r="GP305" s="1406"/>
      <c r="GQ305" s="1356"/>
      <c r="GR305" s="1406"/>
      <c r="GS305" s="1356"/>
      <c r="GT305" s="1406"/>
      <c r="GU305" s="1356"/>
      <c r="GV305" s="1406"/>
      <c r="GW305" s="1356"/>
      <c r="GX305" s="1406"/>
      <c r="GY305" s="1356"/>
      <c r="GZ305" s="1406"/>
      <c r="HA305" s="1356"/>
      <c r="HB305" s="1406"/>
      <c r="HC305" s="1356"/>
      <c r="HD305" s="1406"/>
      <c r="HE305" s="1356"/>
      <c r="HF305" s="1406"/>
      <c r="HG305" s="1356"/>
      <c r="HH305" s="1406"/>
      <c r="HI305" s="1356"/>
      <c r="HJ305" s="1406"/>
      <c r="HK305" s="1356"/>
      <c r="HL305" s="1406"/>
      <c r="HM305" s="1356"/>
      <c r="HN305" s="1406"/>
      <c r="HO305" s="1356"/>
      <c r="HP305" s="1406"/>
      <c r="HQ305" s="1356"/>
      <c r="HR305" s="1406"/>
      <c r="HS305" s="1356"/>
      <c r="IB305" s="1406"/>
      <c r="IC305" s="1356"/>
    </row>
    <row r="306" spans="1:237">
      <c r="A306" s="1139"/>
      <c r="B306" s="1139"/>
      <c r="C306" s="1139"/>
      <c r="D306" s="1139"/>
      <c r="E306" s="1144"/>
      <c r="F306" s="1406"/>
      <c r="G306" s="1356"/>
      <c r="H306" s="1406"/>
      <c r="I306" s="1356"/>
      <c r="J306" s="1406"/>
      <c r="K306" s="1356"/>
      <c r="L306" s="1406"/>
      <c r="M306" s="1356"/>
      <c r="N306" s="1406"/>
      <c r="O306" s="1356"/>
      <c r="P306" s="1406"/>
      <c r="Q306" s="1356"/>
      <c r="T306" s="1406"/>
      <c r="U306" s="1356"/>
      <c r="V306" s="1406"/>
      <c r="W306" s="1356"/>
      <c r="X306" s="1406"/>
      <c r="Y306" s="1356"/>
      <c r="Z306" s="1406"/>
      <c r="AA306" s="1356"/>
      <c r="AB306" s="1406"/>
      <c r="AC306" s="1356"/>
      <c r="AD306" s="1406"/>
      <c r="AE306" s="1356"/>
      <c r="AF306" s="1406"/>
      <c r="AG306" s="1356"/>
      <c r="AH306" s="1406"/>
      <c r="AI306" s="1356"/>
      <c r="AJ306" s="1406"/>
      <c r="AK306" s="1356"/>
      <c r="AL306" s="1406"/>
      <c r="AM306" s="1356"/>
      <c r="AN306" s="1406"/>
      <c r="AO306" s="1356"/>
      <c r="AP306" s="1406"/>
      <c r="AQ306" s="1356"/>
      <c r="AR306" s="1406"/>
      <c r="AS306" s="1356"/>
      <c r="AT306" s="1406"/>
      <c r="AU306" s="1356"/>
      <c r="AV306" s="1406"/>
      <c r="AW306" s="1356"/>
      <c r="AX306" s="1406"/>
      <c r="AY306" s="1356"/>
      <c r="AZ306" s="1406"/>
      <c r="BA306" s="1356"/>
      <c r="BB306" s="1406"/>
      <c r="BC306" s="1356"/>
      <c r="BD306" s="1406"/>
      <c r="BE306" s="1356"/>
      <c r="BF306" s="1406"/>
      <c r="BG306" s="1356"/>
      <c r="BH306" s="1406"/>
      <c r="BI306" s="1356"/>
      <c r="BJ306" s="1406"/>
      <c r="BK306" s="1356"/>
      <c r="BL306" s="1406"/>
      <c r="BM306" s="1356"/>
      <c r="BN306" s="1406"/>
      <c r="BO306" s="1356"/>
      <c r="BP306" s="1406"/>
      <c r="BQ306" s="1356"/>
      <c r="BR306" s="1406"/>
      <c r="BS306" s="1356"/>
      <c r="BT306" s="1406"/>
      <c r="BU306" s="1356"/>
      <c r="BV306" s="1406"/>
      <c r="BW306" s="1356"/>
      <c r="BX306" s="1406"/>
      <c r="BY306" s="1356"/>
      <c r="BZ306" s="1406"/>
      <c r="CA306" s="1356"/>
      <c r="CB306" s="1406"/>
      <c r="CC306" s="1356"/>
      <c r="CD306" s="1406"/>
      <c r="CE306" s="1356"/>
      <c r="CF306" s="1406"/>
      <c r="CG306" s="1356"/>
      <c r="CH306" s="1406"/>
      <c r="CI306" s="1356"/>
      <c r="CJ306" s="1406"/>
      <c r="CK306" s="1356"/>
      <c r="CL306" s="1406"/>
      <c r="CM306" s="1356"/>
      <c r="CN306" s="1406"/>
      <c r="CO306" s="1356"/>
      <c r="CP306" s="1406"/>
      <c r="CQ306" s="1356"/>
      <c r="CR306" s="1406"/>
      <c r="CS306" s="1356"/>
      <c r="CT306" s="1406"/>
      <c r="CU306" s="1356"/>
      <c r="CV306" s="1406"/>
      <c r="CW306" s="1356"/>
      <c r="CX306" s="1406"/>
      <c r="CY306" s="1356"/>
      <c r="CZ306" s="1406"/>
      <c r="DA306" s="1356"/>
      <c r="DB306" s="1406"/>
      <c r="DC306" s="1356"/>
      <c r="DD306" s="1406"/>
      <c r="DE306" s="1356"/>
      <c r="DF306" s="1406"/>
      <c r="DG306" s="1356"/>
      <c r="DH306" s="1406"/>
      <c r="DI306" s="1356"/>
      <c r="DJ306" s="1406"/>
      <c r="DK306" s="1356"/>
      <c r="DL306" s="1406"/>
      <c r="DM306" s="1356"/>
      <c r="DN306" s="1406"/>
      <c r="DO306" s="1356"/>
      <c r="DP306" s="1406"/>
      <c r="DQ306" s="1356"/>
      <c r="DR306" s="1406"/>
      <c r="DS306" s="1356"/>
      <c r="DT306" s="1406"/>
      <c r="DU306" s="1356"/>
      <c r="DV306" s="1406"/>
      <c r="DW306" s="1356"/>
      <c r="DX306" s="1406"/>
      <c r="DY306" s="1356"/>
      <c r="DZ306" s="1406"/>
      <c r="EA306" s="1356"/>
      <c r="EB306" s="1406"/>
      <c r="EC306" s="1356"/>
      <c r="ED306" s="1406"/>
      <c r="EE306" s="1356"/>
      <c r="EF306" s="1406"/>
      <c r="EG306" s="1356"/>
      <c r="EH306" s="1406"/>
      <c r="EI306" s="1356"/>
      <c r="EJ306" s="1406"/>
      <c r="EK306" s="1356"/>
      <c r="EL306" s="1406"/>
      <c r="EM306" s="1356"/>
      <c r="EN306" s="1406"/>
      <c r="EO306" s="1356"/>
      <c r="EP306" s="1406"/>
      <c r="EQ306" s="1356"/>
      <c r="ER306" s="1406"/>
      <c r="ES306" s="1356"/>
      <c r="ET306" s="1406"/>
      <c r="EU306" s="1356"/>
      <c r="EV306" s="1406"/>
      <c r="EW306" s="1356"/>
      <c r="EX306" s="1406"/>
      <c r="EY306" s="1356"/>
      <c r="EZ306" s="1406"/>
      <c r="FA306" s="1356"/>
      <c r="FB306" s="1406"/>
      <c r="FC306" s="1356"/>
      <c r="FD306" s="1406"/>
      <c r="FE306" s="1356"/>
      <c r="FF306" s="1406"/>
      <c r="FG306" s="1356"/>
      <c r="FH306" s="1406"/>
      <c r="FI306" s="1356"/>
      <c r="FJ306" s="1406"/>
      <c r="FK306" s="1356"/>
      <c r="FL306" s="1406"/>
      <c r="FM306" s="1356"/>
      <c r="FN306" s="1406"/>
      <c r="FO306" s="1356"/>
      <c r="FP306" s="1406"/>
      <c r="FQ306" s="1356"/>
      <c r="FR306" s="1406"/>
      <c r="FS306" s="1356"/>
      <c r="FT306" s="1406"/>
      <c r="FU306" s="1356"/>
      <c r="FV306" s="1406"/>
      <c r="FW306" s="1356"/>
      <c r="FX306" s="1406"/>
      <c r="FY306" s="1356"/>
      <c r="FZ306" s="1406"/>
      <c r="GA306" s="1356"/>
      <c r="GB306" s="1406"/>
      <c r="GC306" s="1356"/>
      <c r="GD306" s="1406"/>
      <c r="GE306" s="1356"/>
      <c r="GF306" s="1406"/>
      <c r="GG306" s="1356"/>
      <c r="GH306" s="1406"/>
      <c r="GI306" s="1356"/>
      <c r="GJ306" s="1406"/>
      <c r="GK306" s="1356"/>
      <c r="GL306" s="1406"/>
      <c r="GM306" s="1356"/>
      <c r="GN306" s="1406"/>
      <c r="GO306" s="1356"/>
      <c r="GP306" s="1406"/>
      <c r="GQ306" s="1356"/>
      <c r="GR306" s="1406"/>
      <c r="GS306" s="1356"/>
      <c r="GT306" s="1406"/>
      <c r="GU306" s="1356"/>
      <c r="GV306" s="1406"/>
      <c r="GW306" s="1356"/>
      <c r="GX306" s="1406"/>
      <c r="GY306" s="1356"/>
      <c r="GZ306" s="1406"/>
      <c r="HA306" s="1356"/>
      <c r="HB306" s="1406"/>
      <c r="HC306" s="1356"/>
      <c r="HD306" s="1406"/>
      <c r="HE306" s="1356"/>
      <c r="HF306" s="1406"/>
      <c r="HG306" s="1356"/>
      <c r="HH306" s="1406"/>
      <c r="HI306" s="1356"/>
      <c r="HJ306" s="1406"/>
      <c r="HK306" s="1356"/>
      <c r="HL306" s="1406"/>
      <c r="HM306" s="1356"/>
      <c r="HN306" s="1406"/>
      <c r="HO306" s="1356"/>
      <c r="HP306" s="1406"/>
      <c r="HQ306" s="1356"/>
      <c r="HR306" s="1406"/>
      <c r="HS306" s="1356"/>
      <c r="IB306" s="1406"/>
      <c r="IC306" s="1356"/>
    </row>
    <row r="307" spans="1:237">
      <c r="A307" s="1139"/>
      <c r="B307" s="1139"/>
      <c r="C307" s="1139"/>
      <c r="D307" s="1139"/>
      <c r="E307" s="1144"/>
      <c r="F307" s="1406"/>
      <c r="G307" s="1356"/>
      <c r="H307" s="1406"/>
      <c r="I307" s="1356"/>
      <c r="J307" s="1406"/>
      <c r="K307" s="1356"/>
      <c r="L307" s="1406"/>
      <c r="M307" s="1356"/>
      <c r="N307" s="1406"/>
      <c r="O307" s="1356"/>
      <c r="P307" s="1406"/>
      <c r="Q307" s="1356"/>
      <c r="T307" s="1406"/>
      <c r="U307" s="1356"/>
      <c r="V307" s="1406"/>
      <c r="W307" s="1356"/>
      <c r="X307" s="1406"/>
      <c r="Y307" s="1356"/>
      <c r="Z307" s="1406"/>
      <c r="AA307" s="1356"/>
      <c r="AB307" s="1406"/>
      <c r="AC307" s="1356"/>
      <c r="AD307" s="1406"/>
      <c r="AE307" s="1356"/>
      <c r="AF307" s="1406"/>
      <c r="AG307" s="1356"/>
      <c r="AH307" s="1406"/>
      <c r="AI307" s="1356"/>
      <c r="AJ307" s="1406"/>
      <c r="AK307" s="1356"/>
      <c r="AL307" s="1406"/>
      <c r="AM307" s="1356"/>
      <c r="AN307" s="1406"/>
      <c r="AO307" s="1356"/>
      <c r="AP307" s="1406"/>
      <c r="AQ307" s="1356"/>
      <c r="AR307" s="1406"/>
      <c r="AS307" s="1356"/>
      <c r="AT307" s="1406"/>
      <c r="AU307" s="1356"/>
      <c r="AV307" s="1406"/>
      <c r="AW307" s="1356"/>
      <c r="AX307" s="1406"/>
      <c r="AY307" s="1356"/>
      <c r="AZ307" s="1406"/>
      <c r="BA307" s="1356"/>
      <c r="BB307" s="1406"/>
      <c r="BC307" s="1356"/>
      <c r="BD307" s="1406"/>
      <c r="BE307" s="1356"/>
      <c r="BF307" s="1406"/>
      <c r="BG307" s="1356"/>
      <c r="BH307" s="1406"/>
      <c r="BI307" s="1356"/>
      <c r="BJ307" s="1406"/>
      <c r="BK307" s="1356"/>
      <c r="BL307" s="1406"/>
      <c r="BM307" s="1356"/>
      <c r="BN307" s="1406"/>
      <c r="BO307" s="1356"/>
      <c r="BP307" s="1406"/>
      <c r="BQ307" s="1356"/>
      <c r="BR307" s="1406"/>
      <c r="BS307" s="1356"/>
      <c r="BT307" s="1406"/>
      <c r="BU307" s="1356"/>
      <c r="BV307" s="1406"/>
      <c r="BW307" s="1356"/>
      <c r="BX307" s="1406"/>
      <c r="BY307" s="1356"/>
      <c r="BZ307" s="1406"/>
      <c r="CA307" s="1356"/>
      <c r="CB307" s="1406"/>
      <c r="CC307" s="1356"/>
      <c r="CD307" s="1406"/>
      <c r="CE307" s="1356"/>
      <c r="CF307" s="1406"/>
      <c r="CG307" s="1356"/>
      <c r="CH307" s="1406"/>
      <c r="CI307" s="1356"/>
      <c r="CJ307" s="1406"/>
      <c r="CK307" s="1356"/>
      <c r="CL307" s="1406"/>
      <c r="CM307" s="1356"/>
      <c r="CN307" s="1406"/>
      <c r="CO307" s="1356"/>
      <c r="CP307" s="1406"/>
      <c r="CQ307" s="1356"/>
      <c r="CR307" s="1406"/>
      <c r="CS307" s="1356"/>
      <c r="CT307" s="1406"/>
      <c r="CU307" s="1356"/>
      <c r="CV307" s="1406"/>
      <c r="CW307" s="1356"/>
      <c r="CX307" s="1406"/>
      <c r="CY307" s="1356"/>
      <c r="CZ307" s="1406"/>
      <c r="DA307" s="1356"/>
      <c r="DB307" s="1406"/>
      <c r="DC307" s="1356"/>
      <c r="DD307" s="1406"/>
      <c r="DE307" s="1356"/>
      <c r="DF307" s="1406"/>
      <c r="DG307" s="1356"/>
      <c r="DH307" s="1406"/>
      <c r="DI307" s="1356"/>
      <c r="DJ307" s="1406"/>
      <c r="DK307" s="1356"/>
      <c r="DL307" s="1406"/>
      <c r="DM307" s="1356"/>
      <c r="DN307" s="1406"/>
      <c r="DO307" s="1356"/>
      <c r="DP307" s="1406"/>
      <c r="DQ307" s="1356"/>
      <c r="DR307" s="1406"/>
      <c r="DS307" s="1356"/>
      <c r="DT307" s="1406"/>
      <c r="DU307" s="1356"/>
      <c r="DV307" s="1406"/>
      <c r="DW307" s="1356"/>
      <c r="DX307" s="1406"/>
      <c r="DY307" s="1356"/>
      <c r="DZ307" s="1406"/>
      <c r="EA307" s="1356"/>
      <c r="EB307" s="1406"/>
      <c r="EC307" s="1356"/>
      <c r="ED307" s="1406"/>
      <c r="EE307" s="1356"/>
      <c r="EF307" s="1406"/>
      <c r="EG307" s="1356"/>
      <c r="EH307" s="1406"/>
      <c r="EI307" s="1356"/>
      <c r="EJ307" s="1406"/>
      <c r="EK307" s="1356"/>
      <c r="EL307" s="1406"/>
      <c r="EM307" s="1356"/>
      <c r="EN307" s="1406"/>
      <c r="EO307" s="1356"/>
      <c r="EP307" s="1406"/>
      <c r="EQ307" s="1356"/>
      <c r="ER307" s="1406"/>
      <c r="ES307" s="1356"/>
      <c r="ET307" s="1406"/>
      <c r="EU307" s="1356"/>
      <c r="EV307" s="1406"/>
      <c r="EW307" s="1356"/>
      <c r="EX307" s="1406"/>
      <c r="EY307" s="1356"/>
      <c r="EZ307" s="1406"/>
      <c r="FA307" s="1356"/>
      <c r="FB307" s="1406"/>
      <c r="FC307" s="1356"/>
      <c r="FD307" s="1406"/>
      <c r="FE307" s="1356"/>
      <c r="FF307" s="1406"/>
      <c r="FG307" s="1356"/>
      <c r="FH307" s="1406"/>
      <c r="FI307" s="1356"/>
      <c r="FJ307" s="1406"/>
      <c r="FK307" s="1356"/>
      <c r="FL307" s="1406"/>
      <c r="FM307" s="1356"/>
      <c r="FN307" s="1406"/>
      <c r="FO307" s="1356"/>
      <c r="FP307" s="1406"/>
      <c r="FQ307" s="1356"/>
      <c r="FR307" s="1406"/>
      <c r="FS307" s="1356"/>
      <c r="FT307" s="1406"/>
      <c r="FU307" s="1356"/>
      <c r="FV307" s="1406"/>
      <c r="FW307" s="1356"/>
      <c r="FX307" s="1406"/>
      <c r="FY307" s="1356"/>
      <c r="FZ307" s="1406"/>
      <c r="GA307" s="1356"/>
      <c r="GB307" s="1406"/>
      <c r="GC307" s="1356"/>
      <c r="GD307" s="1406"/>
      <c r="GE307" s="1356"/>
      <c r="GF307" s="1406"/>
      <c r="GG307" s="1356"/>
      <c r="GH307" s="1406"/>
      <c r="GI307" s="1356"/>
      <c r="GJ307" s="1406"/>
      <c r="GK307" s="1356"/>
      <c r="GL307" s="1406"/>
      <c r="GM307" s="1356"/>
      <c r="GN307" s="1406"/>
      <c r="GO307" s="1356"/>
      <c r="GP307" s="1406"/>
      <c r="GQ307" s="1356"/>
      <c r="GR307" s="1406"/>
      <c r="GS307" s="1356"/>
      <c r="GT307" s="1406"/>
      <c r="GU307" s="1356"/>
      <c r="GV307" s="1406"/>
      <c r="GW307" s="1356"/>
      <c r="GX307" s="1406"/>
      <c r="GY307" s="1356"/>
      <c r="GZ307" s="1406"/>
      <c r="HA307" s="1356"/>
      <c r="HB307" s="1406"/>
      <c r="HC307" s="1356"/>
      <c r="HD307" s="1406"/>
      <c r="HE307" s="1356"/>
      <c r="HF307" s="1406"/>
      <c r="HG307" s="1356"/>
      <c r="HH307" s="1406"/>
      <c r="HI307" s="1356"/>
      <c r="HJ307" s="1406"/>
      <c r="HK307" s="1356"/>
      <c r="HL307" s="1406"/>
      <c r="HM307" s="1356"/>
      <c r="HN307" s="1406"/>
      <c r="HO307" s="1356"/>
      <c r="HP307" s="1406"/>
      <c r="HQ307" s="1356"/>
      <c r="HR307" s="1406"/>
      <c r="HS307" s="1356"/>
      <c r="IB307" s="1406"/>
      <c r="IC307" s="1356"/>
    </row>
    <row r="308" spans="1:237">
      <c r="A308" s="1139"/>
      <c r="B308" s="1139"/>
      <c r="C308" s="1139"/>
      <c r="D308" s="1139"/>
      <c r="E308" s="1144"/>
      <c r="F308" s="1406"/>
      <c r="G308" s="1356"/>
      <c r="H308" s="1406"/>
      <c r="I308" s="1356"/>
      <c r="J308" s="1406"/>
      <c r="K308" s="1356"/>
      <c r="L308" s="1406"/>
      <c r="M308" s="1356"/>
      <c r="N308" s="1406"/>
      <c r="O308" s="1356"/>
      <c r="P308" s="1406"/>
      <c r="Q308" s="1356"/>
      <c r="T308" s="1406"/>
      <c r="U308" s="1356"/>
      <c r="V308" s="1406"/>
      <c r="W308" s="1356"/>
      <c r="X308" s="1406"/>
      <c r="Y308" s="1356"/>
      <c r="Z308" s="1406"/>
      <c r="AA308" s="1356"/>
      <c r="AB308" s="1406"/>
      <c r="AC308" s="1356"/>
      <c r="AD308" s="1406"/>
      <c r="AE308" s="1356"/>
      <c r="AF308" s="1406"/>
      <c r="AG308" s="1356"/>
      <c r="AH308" s="1406"/>
      <c r="AI308" s="1356"/>
      <c r="AJ308" s="1406"/>
      <c r="AK308" s="1356"/>
      <c r="AL308" s="1406"/>
      <c r="AM308" s="1356"/>
      <c r="AN308" s="1406"/>
      <c r="AO308" s="1356"/>
      <c r="AP308" s="1406"/>
      <c r="AQ308" s="1356"/>
      <c r="AR308" s="1406"/>
      <c r="AS308" s="1356"/>
      <c r="AT308" s="1406"/>
      <c r="AU308" s="1356"/>
      <c r="AV308" s="1406"/>
      <c r="AW308" s="1356"/>
      <c r="AX308" s="1406"/>
      <c r="AY308" s="1356"/>
      <c r="AZ308" s="1406"/>
      <c r="BA308" s="1356"/>
      <c r="BB308" s="1406"/>
      <c r="BC308" s="1356"/>
      <c r="BD308" s="1406"/>
      <c r="BE308" s="1356"/>
      <c r="BF308" s="1406"/>
      <c r="BG308" s="1356"/>
      <c r="BH308" s="1406"/>
      <c r="BI308" s="1356"/>
      <c r="BJ308" s="1406"/>
      <c r="BK308" s="1356"/>
      <c r="BL308" s="1406"/>
      <c r="BM308" s="1356"/>
      <c r="BN308" s="1406"/>
      <c r="BO308" s="1356"/>
      <c r="BP308" s="1406"/>
      <c r="BQ308" s="1356"/>
      <c r="BR308" s="1406"/>
      <c r="BS308" s="1356"/>
      <c r="BT308" s="1406"/>
      <c r="BU308" s="1356"/>
      <c r="BV308" s="1406"/>
      <c r="BW308" s="1356"/>
      <c r="BX308" s="1406"/>
      <c r="BY308" s="1356"/>
      <c r="BZ308" s="1406"/>
      <c r="CA308" s="1356"/>
      <c r="CB308" s="1406"/>
      <c r="CC308" s="1356"/>
      <c r="CD308" s="1406"/>
      <c r="CE308" s="1356"/>
      <c r="CF308" s="1406"/>
      <c r="CG308" s="1356"/>
      <c r="CH308" s="1406"/>
      <c r="CI308" s="1356"/>
      <c r="CJ308" s="1406"/>
      <c r="CK308" s="1356"/>
      <c r="CL308" s="1406"/>
      <c r="CM308" s="1356"/>
      <c r="CN308" s="1406"/>
      <c r="CO308" s="1356"/>
      <c r="CP308" s="1406"/>
      <c r="CQ308" s="1356"/>
      <c r="CR308" s="1406"/>
      <c r="CS308" s="1356"/>
      <c r="CT308" s="1406"/>
      <c r="CU308" s="1356"/>
      <c r="CV308" s="1406"/>
      <c r="CW308" s="1356"/>
      <c r="CX308" s="1406"/>
      <c r="CY308" s="1356"/>
      <c r="CZ308" s="1406"/>
      <c r="DA308" s="1356"/>
      <c r="DB308" s="1406"/>
      <c r="DC308" s="1356"/>
      <c r="DD308" s="1406"/>
      <c r="DE308" s="1356"/>
      <c r="DF308" s="1406"/>
      <c r="DG308" s="1356"/>
      <c r="DH308" s="1406"/>
      <c r="DI308" s="1356"/>
      <c r="DJ308" s="1406"/>
      <c r="DK308" s="1356"/>
      <c r="DL308" s="1406"/>
      <c r="DM308" s="1356"/>
      <c r="DN308" s="1406"/>
      <c r="DO308" s="1356"/>
      <c r="DP308" s="1406"/>
      <c r="DQ308" s="1356"/>
      <c r="DR308" s="1406"/>
      <c r="DS308" s="1356"/>
      <c r="DT308" s="1406"/>
      <c r="DU308" s="1356"/>
      <c r="DV308" s="1406"/>
      <c r="DW308" s="1356"/>
      <c r="DX308" s="1406"/>
      <c r="DY308" s="1356"/>
      <c r="DZ308" s="1406"/>
      <c r="EA308" s="1356"/>
      <c r="EB308" s="1406"/>
      <c r="EC308" s="1356"/>
      <c r="ED308" s="1406"/>
      <c r="EE308" s="1356"/>
      <c r="EF308" s="1406"/>
      <c r="EG308" s="1356"/>
      <c r="EH308" s="1406"/>
      <c r="EI308" s="1356"/>
      <c r="EJ308" s="1406"/>
      <c r="EK308" s="1356"/>
      <c r="EL308" s="1406"/>
      <c r="EM308" s="1356"/>
      <c r="EN308" s="1406"/>
      <c r="EO308" s="1356"/>
      <c r="EP308" s="1406"/>
      <c r="EQ308" s="1356"/>
      <c r="ER308" s="1406"/>
      <c r="ES308" s="1356"/>
      <c r="ET308" s="1406"/>
      <c r="EU308" s="1356"/>
      <c r="EV308" s="1406"/>
      <c r="EW308" s="1356"/>
      <c r="EX308" s="1406"/>
      <c r="EY308" s="1356"/>
      <c r="EZ308" s="1406"/>
      <c r="FA308" s="1356"/>
      <c r="FB308" s="1406"/>
      <c r="FC308" s="1356"/>
      <c r="FD308" s="1406"/>
      <c r="FE308" s="1356"/>
      <c r="FF308" s="1406"/>
      <c r="FG308" s="1356"/>
      <c r="FH308" s="1406"/>
      <c r="FI308" s="1356"/>
      <c r="FJ308" s="1406"/>
      <c r="FK308" s="1356"/>
      <c r="FL308" s="1406"/>
      <c r="FM308" s="1356"/>
      <c r="FN308" s="1406"/>
      <c r="FO308" s="1356"/>
      <c r="FP308" s="1406"/>
      <c r="FQ308" s="1356"/>
      <c r="FR308" s="1406"/>
      <c r="FS308" s="1356"/>
      <c r="FT308" s="1406"/>
      <c r="FU308" s="1356"/>
      <c r="FV308" s="1406"/>
      <c r="FW308" s="1356"/>
      <c r="FX308" s="1406"/>
      <c r="FY308" s="1356"/>
      <c r="FZ308" s="1406"/>
      <c r="GA308" s="1356"/>
      <c r="GB308" s="1406"/>
      <c r="GC308" s="1356"/>
      <c r="GD308" s="1406"/>
      <c r="GE308" s="1356"/>
      <c r="GF308" s="1406"/>
      <c r="GG308" s="1356"/>
      <c r="GH308" s="1406"/>
      <c r="GI308" s="1356"/>
      <c r="GJ308" s="1406"/>
      <c r="GK308" s="1356"/>
      <c r="GL308" s="1406"/>
      <c r="GM308" s="1356"/>
      <c r="GN308" s="1406"/>
      <c r="GO308" s="1356"/>
      <c r="GP308" s="1406"/>
      <c r="GQ308" s="1356"/>
      <c r="GR308" s="1406"/>
      <c r="GS308" s="1356"/>
      <c r="GT308" s="1406"/>
      <c r="GU308" s="1356"/>
      <c r="GV308" s="1406"/>
      <c r="GW308" s="1356"/>
      <c r="GX308" s="1406"/>
      <c r="GY308" s="1356"/>
      <c r="GZ308" s="1406"/>
      <c r="HA308" s="1356"/>
      <c r="HB308" s="1406"/>
      <c r="HC308" s="1356"/>
      <c r="HD308" s="1406"/>
      <c r="HE308" s="1356"/>
      <c r="HF308" s="1406"/>
      <c r="HG308" s="1356"/>
      <c r="HH308" s="1406"/>
      <c r="HI308" s="1356"/>
      <c r="HJ308" s="1406"/>
      <c r="HK308" s="1356"/>
      <c r="HL308" s="1406"/>
      <c r="HM308" s="1356"/>
      <c r="HN308" s="1406"/>
      <c r="HO308" s="1356"/>
      <c r="HP308" s="1406"/>
      <c r="HQ308" s="1356"/>
      <c r="HR308" s="1406"/>
      <c r="HS308" s="1356"/>
      <c r="IB308" s="1406"/>
      <c r="IC308" s="1356"/>
    </row>
    <row r="309" spans="1:237">
      <c r="A309" s="1139"/>
      <c r="B309" s="1139"/>
      <c r="C309" s="1139"/>
      <c r="D309" s="1139"/>
      <c r="E309" s="1144"/>
    </row>
    <row r="310" spans="1:237">
      <c r="A310" s="1139"/>
      <c r="B310" s="1139"/>
      <c r="C310" s="1139"/>
      <c r="D310" s="1139"/>
      <c r="E310" s="1144"/>
    </row>
    <row r="311" spans="1:237">
      <c r="A311" s="1139"/>
      <c r="B311" s="1139"/>
      <c r="C311" s="1139"/>
      <c r="D311" s="1139"/>
      <c r="E311" s="1144"/>
    </row>
    <row r="312" spans="1:237">
      <c r="A312" s="1139"/>
      <c r="B312" s="1139"/>
      <c r="C312" s="1139"/>
      <c r="D312" s="1139"/>
      <c r="E312" s="1144"/>
    </row>
    <row r="313" spans="1:237">
      <c r="A313" s="1139"/>
      <c r="B313" s="1139"/>
      <c r="C313" s="1139"/>
      <c r="D313" s="1139"/>
      <c r="E313" s="1144"/>
    </row>
    <row r="314" spans="1:237">
      <c r="A314" s="1139"/>
      <c r="B314" s="1139"/>
      <c r="C314" s="1139"/>
      <c r="D314" s="1139"/>
      <c r="E314" s="1144"/>
    </row>
    <row r="315" spans="1:237">
      <c r="A315" s="1139"/>
      <c r="B315" s="1139"/>
      <c r="C315" s="1139"/>
      <c r="D315" s="1139"/>
      <c r="E315" s="1144"/>
    </row>
    <row r="316" spans="1:237">
      <c r="A316" s="1139"/>
      <c r="B316" s="1139"/>
      <c r="C316" s="1139"/>
      <c r="D316" s="1139"/>
      <c r="E316" s="1144"/>
    </row>
  </sheetData>
  <phoneticPr fontId="0" type="noConversion"/>
  <dataValidations count="8">
    <dataValidation type="whole" allowBlank="1" showInputMessage="1" showErrorMessage="1" sqref="F217 H217 J217 L217 N217 P217 R217 T217 V217 X217 Z217 AB217 DT217 AF217 AH217 AJ217 AL217 AN217 AP217 AR217 AT217 AV217 AX217 AZ217 BB217 BD217 BF217 BH217 BJ217 BL217 BN217 BP217 BR217 BT217 BV217 BX217 BZ217 CB217 HX217 CF217 CH217 CJ217 CL217 CN217 CP217 CR217 CT217 CV217 CX217 CZ217 DB217 DD217 DF217 DH217 DJ217 DL217 DN217 DP217 DR217 EB217 DV217 DX217 DZ217 HF217 ED217 EF217 EH217 EJ217 EL217 EN217 EP217 ER217 ET217 EV217 EX217 EZ217 GB217 FD217 FF217 FH217 FJ217 AD217 FN217 FP217 FR217 FT217 FV217 FX217 FZ217 FB217 GD217 GF217 GH217 GJ217 GL217 GN217 GP217 GR217 GT217 GV217 GX217 GZ217 HB217 HD217 ID217 FL217 HJ217 HL217 HN217 CD217 HR217 HH217 IF217 HZ217 HV217 IB217 HP217 HT217" xr:uid="{00000000-0002-0000-0200-000000000000}">
      <formula1>0</formula1>
      <formula2>2</formula2>
    </dataValidation>
    <dataValidation type="whole" allowBlank="1" showInputMessage="1" showErrorMessage="1" errorTitle="CHANGE AMOUNT" error="AMOUNT MUST BE +IVE" sqref="F220 H220 J220 L220 N220 P220 R220 T220 V220 X220 Z220 AB220 DT220 AF220 AH220 AJ220 AL220 AN220 AP220 AR220 AT220 AV220 AX220 AZ220 BB220 BD220 BF220 BH220 BJ220 BL220 BN220 BP220 BR220 BT220 BV220 BX220 BZ220 CB220 HX220 CF220 CH220 CJ220 CL220 CN220 CP220 CR220 CT220 CV220 CX220 CZ220 DB220 DD220 DF220 DH220 DJ220 DL220 DN220 DP220 DR220 EB220 DV220 DX220 DZ220 HF220 ED220 EF220 EH220 EJ220 EL220 EN220 EP220 ER220 ET220 EV220 EX220 EZ220 GB220 FD220 FF220 FH220 FJ220 AD220 FN220 FP220 FR220 FT220 FV220 FX220 FZ220 FB220 GD220 GF220 GH220 GJ220 GL220 GN220 GP220 GR220 GT220 GV220 GX220 GZ220 HB220 HD220 ID220 FL220 HJ220 HL220 HN220 CD220 HR220 HH220 IF220 HZ220 HV220 IB220 HP220 HT220" xr:uid="{00000000-0002-0000-0200-000001000000}">
      <formula1>0</formula1>
      <formula2>100000000000000000</formula2>
    </dataValidation>
    <dataValidation type="whole" operator="notEqual" allowBlank="1" showInputMessage="1" showErrorMessage="1" errorTitle="MULTIPLE HOLES SECTION" error="Enter information for 18 holes in the section above" sqref="F283 H283 J283 L283 N283 P283 R283 T283 V283 X283 Z283 AB283 DT283 AF283 AH283 AJ283 AL283 AN283 AP283 AR283 AT283 AV283 AX283 AZ283 BB283 BD283 BF283 BH283 BJ283 BL283 BN283 BP283 BR283 BT283 BV283 BX283 BZ283 CB283 HX283 CF283 CH283 CJ283 CL283 CN283 CP283 CR283 CT283 CV283 CX283 CZ283 DB283 DD283 DF283 DH283 DJ283 DL283 DN283 DP283 DR283 EB283 DV283 DX283 DZ283 HF283 ED283 EF283 EH283 EJ283 EL283 EN283 EP283 ER283 ET283 EV283 EX283 EZ283 GB283 FD283 FF283 FH283 FJ283 AD283 FN283 FP283 FR283 FT283 FV283 FX283 FZ283 FB283 GD283 GF283 GH283 GJ283 GL283 GN283 GP283 GR283 GT283 GV283 GX283 GZ283 HB283 HD283 ID283 FL283 HJ283 HL283 HN283 CD283 HR283 HH283 IF283 HZ283 HV283 IB283 HP283 HT283" xr:uid="{00000000-0002-0000-0200-000002000000}">
      <formula1>18</formula1>
    </dataValidation>
    <dataValidation allowBlank="1" showInputMessage="1" showErrorMessage="1" sqref="F85 H85 J85 L85 N85 P85 R85 T85 V85 X85 Z85 AB85 DT85 AF85 AH85 AJ85 AL85 AN85 AP85 AR85 AT85 AV85 AX85 AZ85 BB85 BD85 BF85 BH85 BJ85 BL85 BN85 BP85 BR85 BT85 BV85 BX85 BZ85 CB85 HX85 CF85 CH85 CJ85 CL85 CN85 CP85 CR85 CT85 CV85 CX85 CZ85 DB85 DD85 DF85 DH85 DJ85 DL85 DN85 DP85 DR85 EB85 DV85 DX85 DZ85 HF85 ED85 EF85 EH85 EJ85 EL85 EN85 EP85 ER85 ET85 EV85 EX85 EZ85 GB85 FD85 FF85 FH85 FJ85 AD85 FN85 FP85 FR85 FT85 FV85 FX85 FZ85 FB85 GD85 GF85 GH85 GJ85 GL85 GN85 GP85 GR85 GT85 GV85 GX85 GZ85 HB85 HD85 ID85 FL85 HJ85 HL85 HN85 CD85 HR85 HH85 IF85 HZ85 HV85 IB85 HP85 HT85" xr:uid="{00000000-0002-0000-0200-000003000000}"/>
    <dataValidation type="whole" operator="equal" allowBlank="1" showInputMessage="1" showErrorMessage="1" sqref="F250:F251 H250:H251 J250:J251 L250:L251 N250:N251 P250:P251 R250:R251 T250:T251 V250:V251 X250:X251 Z250:Z251 AB250:AB251 CX250:CX251 AF250:AF251 AH250:AH251 AJ250:AJ251 AL250:AL251 AN250:AN251 AP250:AP251 AR250:AR251 AT250:AT251 AV250:AV251 AX250:AX251 AZ250:AZ251 BB250:BB251 BD250:BD251 BF250:BF251 BH250:BH251 BJ250:BJ251 BL250:BL251 BN250:BN251 BP250:BP251 BR250:BR251 BT250:BT251 BV250:BV251 BX250:BX251 BZ250:BZ251 CB250:CB251 HX250:HX251 CF250:CF251 CH250:CH251 CJ250:CJ251 CL250:CL251 CN250:CN251 CP250:CP251 CR250:CR251 CT250:CT251 CV250:CV251 DT250:DT251 CZ250:CZ251 DB250:DB251 DD250:DD251 DF250:DF251 DH250:DH251 DJ250:DJ251 DL250:DL251 DN250:DN251 DP250:DP251 DR250:DR251 EB250:EB251 DV250:DV251 DX250:DX251 DZ250:DZ251 HF250:HF251 ED250:ED251 EF250:EF251 EH250:EH251 EJ250:EJ251 EL250:EL251 EN250:EN251 EP250:EP251 ER250:ER251 ET250:ET251 EV250:EV251 EX250:EX251 EZ250:EZ251 GB250:GB251 FD250:FD251 FF250:FF251 FH250:FH251 FJ250:FJ251 AD250:AD251 FN250:FN251 FP250:FP251 FR250:FR251 FT250:FT251 FV250:FV251 FX250:FX251 FZ250:FZ251 FB250:FB251 GD250:GD251 GF250:GF251 GH250:GH251 GJ250:GJ251 GL250:GL251 GN250:GN251 GP250:GP251 GR250:GR251 GT250:GT251 GV250:GV251 GX250:GX251 GZ250:GZ251 HB250:HB251 HD250:HD251 ID250:ID251 FL250:FL251 HJ250:HJ251 HL250:HL251 HN250:HN251 CD250:CD251 HR250:HR251 HH250:HH251 IF250:IF251 HZ250:HZ251 HV250:HV251 IB250:IB251 HP250:HP251 HT250:HT251" xr:uid="{00000000-0002-0000-0200-000004000000}">
      <formula1>1</formula1>
    </dataValidation>
    <dataValidation type="list" showInputMessage="1" showErrorMessage="1" sqref="F5 H5 J5 L5 N5 P5 R5 T5 V5 X5 Z5 AB5 DT5 AF5 AH5 AJ5 AL5 AN5 AP5 AR5 AT5 AV5 AX5 AZ5 BB5 BD5 BF5 BH5 BJ5 BL5 BN5 BP5 BR5 BT5 BV5 BX5 BZ5 CB5 HX5 CF5 CH5 CJ5 CL5 CN5 CP5 CR5 CT5 CV5 CX5 CZ5 DB5 DD5 DF5 DH5 DJ5 DL5 DN5 DP5 DR5 EB5 DV5 DX5 DZ5 HF5 ED5 EF5 EH5 EJ5 EL5 EN5 EP5 ER5 ET5 EV5 EX5 EZ5 GB5 FD5 FF5 FH5 FJ5 AD5 FN5 FP5 FR5 FT5 FV5 FX5 FZ5 FB5 GD5 GF5 GH5 GJ5 GL5 GN5 GP5 GR5 GT5 GV5 GX5 GZ5 HB5 HD5 ID5 FL5 HJ5 HL5 HN5 CD5 HR5 HH5 IF5 HZ5 HV5 IB5 HP5 HT5" xr:uid="{00000000-0002-0000-0200-000005000000}">
      <formula1>"AREA, Boca, East, North&amp;Central, West, West Cira, Yacht"</formula1>
    </dataValidation>
    <dataValidation type="whole" allowBlank="1" showInputMessage="1" showErrorMessage="1" errorTitle="18 HOLES ONLY SECTION" error="If not 18 holes enter in section below" sqref="F262 H262 J262 L262 N262 P262 R262 T262 V262 X262 Z262 AB262 DT262 AF262 AH262 AJ262 AL262 AN262 AP262 AR262 AT262 AV262 AX262 AZ262 BB262 BD262 BF262 BH262 BJ262 BL262 BN262 BP262 BR262 BT262 BV262 BX262 BZ262 CB262 HX262 CF262 CH262 CJ262 CL262 CN262 CP262 CR262 CT262 CV262 CX262 CZ262 DB262 DD262 DF262 DH262 DJ262 DL262 DN262 DP262 DR262 EB262 DV262 DX262 DZ262 HF262 ED262 EF262 EH262 EJ262 EL262 EN262 EP262 ER262 ET262 EV262 EX262 EZ262 GB262 FD262 FF262 FH262 FJ262 AD262 FN262 FP262 FR262 FT262 FV262 FX262 FZ262 FB262 GD262 GF262 GH262 GJ262 GL262 GN262 GP262 GR262 GT262 GV262 GX262 GZ262 HB262 HD262 ID262 FL262 HJ262 HL262 HN262 CD262 HR262 HH262 IF262 HZ262 HV262 IB262 HP262 HT262" xr:uid="{00000000-0002-0000-0200-000006000000}">
      <formula1>18</formula1>
      <formula2>18</formula2>
    </dataValidation>
    <dataValidation type="whole" allowBlank="1" showInputMessage="1" showErrorMessage="1" sqref="F253 F12 F255 F199 F196 F185 F66 F106 F95 F202 F205 F58 F62 F10 F189 F87:F93 H253 H12 H255 H199 H196 H185 H66 H106 H95 H202 H205 H58 H62 H10 H189 H87:H93 J253 J12 J255 J199 J196 J185 J66 J106 J95 J202 J205 J58 J62 J10 J189 J87:J93 L253 L12 L255 L199 L196 L185 L66 L106 L95 L202 L205 L58 L62 L10 L189 L87:L93 N253 N12 N255 N199 N196 N185 N66 N106 N95 N202 N205 N58 N62 N10 N189 N87:N93 P253 P12 P255 P199 P196 P185 P66 P106 P95 P202 P205 P58 P62 P10 P189 P87:P93 R253 R12 R255 R199 R196 R185 R66 R106 R95 R202 R205 R58 R62 R10 R189 R87:R93 T253 T12 T255 T199 T196 T185 T66 T106 T95 T202 T205 T58 T62 T10 T189 T87:T93 V253 V12 V255 V199 V196 V185 V66 V106 V95 V202 V205 V58 V62 V10 V189 V87:V93 X253 X12 X255 X199 X196 X185 X66 X106 X95 X202 X205 X58 X62 X10 X189 X87:X93 Z253 Z12 Z255 Z199 Z196 Z185 Z66 Z106 Z95 Z202 Z205 Z58 Z62 Z10 Z189 Z87:Z93 AB253 AB12 AB255 AB199 AB196 AB185 AB66 AB106 AB95 AB202 AB205 AB58 AB62 AB10 AB189 AB87:AB93 DT253 DT12 DT255 DT199 DT196 DT185 DT66 DT106 DT95 DT87:DT93 DT205 DT58 DT62 DT10 CX202 CX205 AF253 AF12 AF255 AF199 AF196 AF185 AF66 AF106 AF95 AF202 AF205 AF58 AF62 AF10 AF189 AF87:AF93 AH253 AH12 AH255 AH199 AH196 AH185 AH66 AH106 AH95 AH202 AH205 AH58 AH62 AH10 AH189 AH87:AH93 AJ253 AJ12 AJ255 AJ199 AJ196 AJ185 AJ66 AJ106 AJ95 AJ202 AJ205 AJ58 AJ62 AJ10 AJ189 AJ87:AJ93 AL253 AL12 AL255 AL199 AL196 AL185 AL66 AL106 AL95 AL202 AL205 AL58 AL62 AL10 AL189 AL87:AL93 AN253 AN12 AN255 AN199 AN196 AN185 AN66 AN106 AN95 AN202 AN205 AN58 AN62 AN10 AN189 AN87:AN93 AP253 AP12 AP255 AP199 AP196 AP185 AP66 AP106 AP95 AP202 AP205 AP58 AP62 AP10 AP189 AP87:AP93 AR253 AR12 AR255 AR199 AR196 AR185 AR66 AR106 AR95 AR202 AR205 AR58 AR62 AR10 AR189 AR87:AR93 AT253 AT12 AT255 AT199 AT196 AT185 AT66 AT106 AT95 AT202 AT205 AT58 AT62 AT10 AT189 AT87:AT93 AV253 AV12 AV255 AV199 AV196 AV185 AV66 AV106 AV95 AV202 AV205 AV58 AV62 AV10 AV189 AV87:AV93 AX253 AX12 AX255 AX199 AX196 AX185 AX66 AX106 AX95 AX202 AX205 AX58 AX62 AX10 AX189 AX87:AX93 AZ253 AZ12 AZ255 AZ199 AZ196 AZ185 AZ66 AZ106 AZ95 AZ202 AZ205 AZ58 AZ62 AZ10 AZ189 AZ87:AZ93 BB253 BB12 BB255 BB199 BB196 BB185 BB66 BB106 BB95 BB202 BB205 BB58 BB62 BB10 BB189 BB87:BB93 BD253 BD12 BD255 BD199 BD196 BD185 BD66 BD106 BD95 BD202 BD205 BD58 BD62 BD10 BD189 BD87:BD93 BF253 BF12 BF255 BF199 BF196 BF185 BF66 BF106 BF95 BF202 BF205 BF58 BF62 BF10 BF189 BF87:BF93 BH253 BH12 BH255 BH199 BH196 BH185 BH66 BH106 BH95 BH202 BH205 BH58 BH62 BH10 BH189 BH87:BH93 BJ253 BJ12 BJ255 BJ199 BJ196 BJ185 BJ66 BJ106 BJ95 BJ202 BJ205 BJ58 BJ62 BJ10 BJ189 BJ87:BJ93 BL253 BL12 BL255 BL199 BL196 BL185 BL66 BL106 BL95 BL202 BL205 BL58 BL62 BL10 BL189 BL87:BL93 BN253 BN12 BN255 BN199 BN196 BN185 BN66 BN106 BN95 BN202 BN205 BN58 BN62 BN10 BN189 BN87:BN93 BP253 BP12 BP255 BP199 BP196 BP185 BP66 BP106 BP95 BP202 BP205 BP58 BP62 BP10 BP189 BP87:BP93 BR253 BR12 BR255 BR199 BR196 BR185 BR66 BR106 BR95 BR202 BR205 BR58 BR62 BR10 BR189 BR87:BR93 BT253 BT12 BT255 BT199 BT196 BT185 BT66 BT106 BT95 BT202 BT205 BT58 BT62 BT10 BT189 BT87:BT93 BV253 BV12 BV255 BV199 BV196 BV185 BV66 BV106 BV95 BV202 BV205 BV58 BV62 BV10 BV189 BV87:BV93 BX253 BX12 BX255 BX199 BX196 BX185 BX66 BX106 BX95 BX202 BX205 BX58 BX62 BX10 BX189 BX87:BX93 BZ253 BZ12 BZ255 BZ199 BZ196 BZ185 BZ66 BZ106 BZ95 BZ202 BZ205 BZ58 BZ62 BZ10 BZ189 BZ87:BZ93 CB253 CB12 CB255 CB199 CB196 CB185 CB66 CB106 CB95 CB202 CB205 CB58 CB62 CB10 CB189 CB87:CB93 HX253 HX12 HX255 HX199 HX196 HX185 HX66 HX106 HX95 HX202 HX205 HX58 HX62 HX10 HX189 HX87:HX93 CF253 CF12 CF255 CF199 CF196 CF185 CF66 CF106 CF95 CF202 CF205 CF58 CF62 CF10 CF189 CF87:CF93 CH253 CH12 CH255 CH199 CH196 CH185 CH66 CH106 CH95 CH202 CH205 CH58 CH62 CH10 CH189 CH87:CH93 CJ253 CJ12 CJ255 CJ199 CJ196 CJ185 CJ66 CJ106 CJ95 CJ202 CJ205 CJ58 CJ62 CJ10 CJ189 CJ87:CJ93 CL253 CL12 CL255 CL199 CL196 CL185 CL66 CL106 CL95 CL202 CL205 CL58 CL62 CL10 CL189 CL87:CL93 CN253 CN12 CN255 CN199 CN196 CN185 CN66 CN106 CN95 CN202 CN205 CN58 CN62 CN10 CN189 CN87:CN93 CP253 CP12 CP255 CP199 CP196 CP185 CP66 CP106 CP95 CP202 CP205 CP58 CP62 CP10 CP189 CP87:CP93 CR253 CR12 CR255 CR199 CR196 CR185 CR66 CR106 CR95 CR202 CR205 CR58 CR62 CR10 CR189 CR87:CR93 CT253 CT12 CT255 CT199 CT196 CT185 CT66 CT106 CT95 CT202 CT205 CT58 CT62 CT10 CT189 CT87:CT93 CV253 CV12 CV255 CV199 CV196 CV185 CV66 CV106 CV95 CV202 CV205 CV58 CV62 CV10 CV189 CV87:CV93 CX253 CX12 CX255 CX199 DT202 CX185 CX66 CX106 CX95 DT189 CX196 CX58 CX62 CX10 CX189 CX87:CX93 CZ253 CZ12 CZ255 CZ199 CZ196 CZ185 CZ66 CZ106 CZ95 CZ202 CZ205 CZ58 CZ62 CZ10 CZ189 CZ87:CZ93 DB253 DB12 DB255 DB199 DB196 DB185 DB66 DB106 DB95 DB202 DB205 DB58 DB62 DB10 DB189 DB87:DB93 DD253 DD12 DD255 DD199 DD196 DD185 DD66 DD106 DD95 DD202 DD205 DD58 DD62 DD10 DD189 DD87:DD93 DF253 DF12 DF255 DF199 DF196 DF185 DF66 DF106 DF95 DF202 DF205 DF58 DF62 DF10 DF189 DF87:DF93 DH253 DH12 DH255 DH199 DH196 DH185 DH66 DH106 DH95 DH202 DH205 DH58 DH62 DH10 DH189 DH87:DH93 DJ253 DJ12 DJ255 DJ199 DJ196 DJ185 DJ66 DJ106 DJ95 DJ202 DJ205 DJ58 DJ62 DJ10 DJ189 DJ87:DJ93 DL253 DL12 DL255 DL199 DL196 DL185 DL66 DL106 DL95 DL202 DL205 DL58 DL62 DL10 DL189 DL87:DL93 DN253 DN12 DN255 DN199 DN196 DN185 DN66 DN106 DN95 DN202 DN205 DN58 DN62 DN10 DN189 DN87:DN93 DP253 DP12 DP255 DP199 DP196 DP185 DP66 DP106 DP95 DP202 DP205 DP58 DP62 DP10 DP189 DP87:DP93 DR253 DR12 DR255 DR199 DR196 DR185 DR66 DR106 DR95 DR202 DR205 DR58 DR62 DR10 DR189 DR87:DR93 EB253 EB12 EB255 EB199 EB196 EB185 EB66 EB106 EB95 EB202 EB205 EB58 EB62 EB10 EB189 EB87:EB93 DV253 DV12 DV255 DV199 DV196 DV185 DV66 DV106 DV95 DV202 DV205 DV58 DV62 DV10 DV189 DV87:DV93 DX253 DX12 DX255 DX199 DX196 DX185 DX66 DX106 DX95 DX202 DX205 DX58 DX62 DX10 DX189 DX87:DX93 DZ253 DZ12 DZ255 DZ199 DZ196 DZ185 DZ66 DZ106 DZ95 DZ202 DZ205 DZ58 DZ62 DZ10 DZ189 DZ87:DZ93 HF253 HF12 HF255 HF199 HF196 HF185 HF66 HF106 HF95 HF202 HF205 HF58 HF62 HF10 HF189 HF87:HF93 ED253 ED12 ED255 ED199 ED196 ED185 ED66 ED106 ED95 ED202 ED205 ED58 ED62 ED10 ED189 ED87:ED93 EF253 EF12 EF255 EF199 EF196 EF185 EF66 EF106 EF95 EF202 EF205 EF58 EF62 EF10 EF189 EF87:EF93 EH253 EH12 EH255 EH199 EH196 EH185 EH66 EH106 EH95 EH202 EH205 EH58 EH62 EH10 EH189 EH87:EH93 EJ253 EJ12 EJ255 EJ199 EJ196 EJ185 EJ66 EJ106 EJ95 EJ202 EJ205 EJ58 EJ62 EJ10 EJ189 EJ87:EJ93 EL253 EL12 EL255 EL199 EL196 EL185 EL66 EL106 EL95 EL202 EL205 EL58 EL62 EL10 EL189 EL87:EL93 EN253 EN12 EN255 EN199 EN196 EN185 EN66 EN106 EN95 EN202 EN205 EN58 EN62 EN10 EN189 EN87:EN93 EP253 EP12 EP255 EP199 EP196 EP185 EP66 EP106 EP95 EP202 EP205 EP58 EP62 EP10 EP189 EP87:EP93 ER253 ER12 ER255 ER199 ER196 ER185 ER66 ER106 ER95 ER202 ER205 ER58 ER62 ER10 ER189 ER87:ER93 ET253 ET12 ET255 ET199 ET196 ET185 ET66 ET106 ET95 ET202 ET205 ET58 ET62 ET10 ET189 ET87:ET93 EV253 EV12 EV255 EV199 EV196 EV185 EV66 EV106 EV95 EV202 EV205 EV58 EV62 EV10 EV189 EV87:EV93 EX253 EX12 EX255 EX199 EX196 EX185 EX66 EX106 EX95 EX202 EX205 EX58 EX62 EX10 EX189 EX87:EX93 EZ253 EZ12 EZ255 EZ199 EZ196 EZ185 EZ66 EZ106 EZ95 EZ202 EZ205 EZ58 EZ62 EZ10 EZ189 EZ87:EZ93 GB253 GB12 GB255 GB199 GB196 GB185 GB66 GB106 GB95 GB202 GB205 GB58 GB62 GB10 GB189 GB87:GB93 FD253 FD12 FD255 FD199 FD196 FD185 FD66 FD106 FD95 FD202 FD205 FD58 FD62 FD10 FD189 FD87:FD93 FF253 FF12 FF255 FF199 FF196 FF185 FF66 FF106 FF95 FF202 FF205 FF58 FF62 FF10 FF189 FF87:FF93 FH253 FH12 FH255 FH199 FH196 FH185 FH66 FH106 FH95 FH202 FH205 FH58 FH62 FH10 FH189 FH87:FH93 FJ253 FJ12 FJ255 FJ199 FJ196 FJ185 FJ66 FJ106 FJ95 FJ202 FJ205 FJ58 FJ62 FJ10 FJ189 FJ87:FJ93 AD253 AD12 AD255 AD199 AD196 AD185 AD66 AD106 AD95 AD202 AD205 AD58 AD62 AD10 AD189 AD87:AD93 FN253 FN12 FN255 FN199 FN196 FN185 FN66 FN106 FN95 FN202 FN205 FN58 FN62 FN10 FN189 FN87:FN93 FP253 FP12 FP255 FP199 FP196 FP185 FP66 FP106 FP95 FP202 FP205 FP58 FP62 FP10 FP189 FP87:FP93 FR253 FR12 FR255 FR199 FR196 FR185 FR66 FR106 FR95 FR202 FR205 FR58 FR62 FR10 FR189 FR87:FR93 FT253 FT12 FT255 FT199 FT196 FT185 FT66 FT106 FT95 FT202 FT205 FT58 FT62 FT10 FT189 FT87:FT93 FV253 FV12 FV255 FV199 FV196 FV185 FV66 FV106 FV95 FV202 FV205 FV58 FV62 FV10 FV189 FV87:FV93 FX253 FX12 FX255 FX199 FX196 FX185 FX66 FX106 FX95 FX202 FX205 FX58 FX62 FX10 FX189 FX87:FX93 FZ253 FZ12 FZ255 FZ199 FZ196 FZ185 FZ66 FZ106 FZ95 FZ202 FZ205 FZ58 FZ62 FZ10 FZ189 FZ87:FZ93 FB253 FB12 FB255 FB199 FB196 FB185 FB66 FB106 FB95 FB202 FB205 FB58 FB62 FB10 FB189 FB87:FB93 GD253 GD12 GD255 GD199 GD196 GD185 GD66 GD106 GD95 GD202 GD205 GD58 GD62 GD10 GD189 GD87:GD93 GF253 GF12 GF255 GF199 GF196 GF185 GF66 GF106 GF95 GF202 GF205 GF58 GF62 GF10 GF189 GF87:GF93 GH253 GH12 GH255 GH199 GH196 GH185 GH66 GH106 GH95 GH202 GH205 GH58 GH62 GH10 GH189 GH87:GH93 GJ253 GJ12 GJ255 GJ199 GJ196 GJ185 GJ66 GJ106 GJ95 GJ202 GJ205 GJ58 GJ62 GJ10 GJ189 GJ87:GJ93 GL253 GL12 GL255 GL199 GL196 GL185 GL66 GL106 GL95 GL202 GL205 GL58 GL62 GL10 GL189 GL87:GL93 GN253 GN12 GN255 GN199 GN196 GN185 GN66 GN106 GN95 GN202 GN205 GN58 GN62 GN10 GN189 GN87:GN93 GP253 GP12 GP255 GP199 GP196 GP185 GP66 GP106 GP95 GP202 GP205 GP58 GP62 GP10 GP189 GP87:GP93 GR253 GR12 GR255 GR199 GR196 GR185 GR66 GR106 GR95 GR202 GR205 GR58 GR62 GR10 GR189 GR87:GR93 GT253 GT12 GT255 GT199 GT196 GT185 GT66 GT106 GT95 GT202 GT205 GT58 GT62 GT10 GT189 GT87:GT93 GV253 GV12 GV255 GV199 GV196 GV185 GV66 GV106 GV95 GV202 GV205 GV58 GV62 GV10 GV189 GV87:GV93 GX253 GX12 GX255 GX199 GX196 GX185 GX66 GX106 GX95 GX202 GX205 GX58 GX62 GX10 GX189 GX87:GX93 GZ253 GZ12 GZ255 GZ199 GZ196 GZ185 GZ66 GZ106 GZ95 GZ202 GZ205 GZ58 GZ62 GZ10 GZ189 GZ87:GZ93 HB253 HB12 HB255 HB199 HB196 HB185 HB66 HB106 HB95 HB202 HB205 HB58 HB62 HB10 HB189 HB87:HB93 HD253 HD12 HD255 HD199 HD196 HD185 HD66 HD106 HD95 HD202 HD205 HD58 HD62 HD10 HD189 HD87:HD93 ID253 ID12 ID255 ID199 ID196 ID185 ID66 ID106 ID95 ID202 ID205 ID58 ID62 ID10 ID189 ID87:ID93 FL253 FL12 FL255 FL199 FL87:FL93 FL185 FL66 FL106 FL95 FL202 FL205 FL58 FL62 FL10 FL189 FL196 HJ253 HJ12 HJ255 HJ199 HJ196 HJ185 HJ66 HJ106 HJ95 HJ202 HJ205 HJ58 HJ62 HJ10 HJ189 HJ87:HJ93 HL253 HL12 HL255 HL199 HL196 HL185 HL66 HL106 HL95 HL202 HL205 HL58 HL62 HL10 HL189 HL87:HL93 HN253 HN12 HN255 HN199 HN196 HN185 HN66 HN106 HN95 HN202 HN205 HN58 HN62 HN10 HN189 HN87:HN93 CD189 CD199 CD185 CD196 CD58 CD95 CD87:CD93 CD202 CD205 CD12 CD10 CD106 CD62 CD66 CD253 CD255 HR253 HR12 HR255 HR199 HR196 HR185 HR66 HR106 HR95 HR202 HR205 HR58 HR62 HR10 HR189 HR87:HR93 HH253 HH12 HH255 HH199 HH196 HH185 HH66 HH106 HH95 HH202 HH205 HH58 HH62 HH10 HH189 HH87:HH93 IF253 IF12 IF255 IF199 IF196 IF185 IF66 IF106 IF95 IF202 IF205 IF58 IF62 IF10 IF189 IF87:IF93 HZ253 HZ12 HZ255 HZ199 HZ196 HZ185 HZ66 HZ106 HZ95 HZ202 HZ205 HZ58 HZ62 HZ10 HZ189 HZ87:HZ93 HV253 HV12 HV255 HV199 HV196 HV185 HV66 HV106 HV95 HV202 HV205 HV58 HV62 HV10 HV189 HV87:HV93 IB253 IB12 IB255 IB199 IB196 IB185 IB66 IB106 IB95 IB202 IB205 IB58 IB62 IB10 IB189 IB87:IB93 HP253 HP12 HP255 HP199 HP196 HP185 HP66 HP106 HP95 HP202 HP205 HP58 HP62 HP10 HP189 HP87:HP93 HT253 HT12 HT255 HT199 HT196 HT185 HT66 HT106 HT95 HT202 HT205 HT58 HT62 HT10 HT189 HT87:HT93" xr:uid="{00000000-0002-0000-0200-000007000000}">
      <formula1>0</formula1>
      <formula2>1</formula2>
    </dataValidation>
  </dataValidations>
  <pageMargins left="0.55118110236220474" right="0.23622047244094491" top="0.51181102362204722" bottom="0.39370078740157483" header="0.51181102362204722" footer="0.11811023622047245"/>
  <pageSetup scale="10" fitToHeight="6" orientation="portrait" horizontalDpi="300" verticalDpi="300" r:id="rId1"/>
  <headerFooter alignWithMargins="0">
    <oddFooter>&amp;C&amp;"Arial MT,Bold"&amp;14TT New Trends Template v5 - effective Jan 1, 2011</oddFooter>
  </headerFooter>
  <customProperties>
    <customPr name="OrphanNamesChecke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2"/>
  <dimension ref="A1:P122"/>
  <sheetViews>
    <sheetView workbookViewId="0">
      <selection activeCell="M29" sqref="M29"/>
    </sheetView>
  </sheetViews>
  <sheetFormatPr defaultRowHeight="15"/>
  <sheetData>
    <row r="1" spans="1:10">
      <c r="A1" s="279">
        <v>43921</v>
      </c>
      <c r="B1">
        <f t="shared" ref="B1:B32" si="0">MONTH(A1)</f>
        <v>3</v>
      </c>
      <c r="J1" t="s">
        <v>1452</v>
      </c>
    </row>
    <row r="2" spans="1:10">
      <c r="A2" s="279">
        <v>43921</v>
      </c>
      <c r="B2">
        <f t="shared" si="0"/>
        <v>3</v>
      </c>
      <c r="J2" s="279">
        <v>43982</v>
      </c>
    </row>
    <row r="3" spans="1:10">
      <c r="A3" s="279">
        <v>43921</v>
      </c>
      <c r="B3">
        <f t="shared" si="0"/>
        <v>3</v>
      </c>
      <c r="J3" s="279">
        <v>44104</v>
      </c>
    </row>
    <row r="4" spans="1:10">
      <c r="A4" s="279">
        <v>43951</v>
      </c>
      <c r="B4">
        <f t="shared" si="0"/>
        <v>4</v>
      </c>
      <c r="E4" t="s">
        <v>1839</v>
      </c>
      <c r="F4" t="s">
        <v>1840</v>
      </c>
      <c r="J4" s="279">
        <v>44196</v>
      </c>
    </row>
    <row r="5" spans="1:10">
      <c r="A5" s="279">
        <v>43951</v>
      </c>
      <c r="B5">
        <f t="shared" si="0"/>
        <v>4</v>
      </c>
      <c r="E5">
        <v>3</v>
      </c>
      <c r="F5">
        <f>COUNTIF($B$1:$B$122,E5)</f>
        <v>3</v>
      </c>
      <c r="G5" s="1766">
        <f>F5/$F$15</f>
        <v>2.564102564102564E-2</v>
      </c>
      <c r="J5" s="279">
        <v>44196</v>
      </c>
    </row>
    <row r="6" spans="1:10">
      <c r="A6" s="279">
        <v>43951</v>
      </c>
      <c r="B6">
        <f t="shared" si="0"/>
        <v>4</v>
      </c>
      <c r="E6">
        <v>4</v>
      </c>
      <c r="F6">
        <f t="shared" ref="F6:F13" si="1">COUNTIF($B$1:$B$122,E6)</f>
        <v>9</v>
      </c>
      <c r="G6" s="1766">
        <f t="shared" ref="G6:G14" si="2">F6/$F$15</f>
        <v>7.6923076923076927E-2</v>
      </c>
      <c r="J6" s="279">
        <v>44196</v>
      </c>
    </row>
    <row r="7" spans="1:10">
      <c r="A7" s="279">
        <v>43951</v>
      </c>
      <c r="B7">
        <f t="shared" si="0"/>
        <v>4</v>
      </c>
      <c r="E7">
        <v>5</v>
      </c>
      <c r="F7">
        <f>COUNTIF($B$1:$B$122,E7)-1</f>
        <v>6</v>
      </c>
      <c r="G7" s="1766">
        <f t="shared" si="2"/>
        <v>5.128205128205128E-2</v>
      </c>
    </row>
    <row r="8" spans="1:10">
      <c r="A8" s="279">
        <v>43951</v>
      </c>
      <c r="B8">
        <f t="shared" si="0"/>
        <v>4</v>
      </c>
      <c r="E8">
        <v>6</v>
      </c>
      <c r="F8">
        <f t="shared" si="1"/>
        <v>12</v>
      </c>
      <c r="G8" s="1766">
        <f t="shared" si="2"/>
        <v>0.10256410256410256</v>
      </c>
    </row>
    <row r="9" spans="1:10">
      <c r="A9" s="279">
        <v>43951</v>
      </c>
      <c r="B9">
        <f t="shared" si="0"/>
        <v>4</v>
      </c>
      <c r="E9">
        <v>7</v>
      </c>
      <c r="F9">
        <f t="shared" si="1"/>
        <v>2</v>
      </c>
      <c r="G9" s="1766">
        <f t="shared" si="2"/>
        <v>1.7094017094017096E-2</v>
      </c>
    </row>
    <row r="10" spans="1:10">
      <c r="A10" s="279">
        <v>43951</v>
      </c>
      <c r="B10">
        <f t="shared" si="0"/>
        <v>4</v>
      </c>
      <c r="E10">
        <v>8</v>
      </c>
      <c r="F10">
        <f t="shared" si="1"/>
        <v>3</v>
      </c>
      <c r="G10" s="1766">
        <f t="shared" si="2"/>
        <v>2.564102564102564E-2</v>
      </c>
    </row>
    <row r="11" spans="1:10">
      <c r="A11" s="279">
        <v>43951</v>
      </c>
      <c r="B11">
        <f t="shared" si="0"/>
        <v>4</v>
      </c>
      <c r="E11">
        <v>9</v>
      </c>
      <c r="F11">
        <f>COUNTIF($B$1:$B$122,E11)-1</f>
        <v>25</v>
      </c>
      <c r="G11" s="1766">
        <f t="shared" si="2"/>
        <v>0.21367521367521367</v>
      </c>
    </row>
    <row r="12" spans="1:10">
      <c r="A12" s="279">
        <v>43951</v>
      </c>
      <c r="B12">
        <f t="shared" si="0"/>
        <v>4</v>
      </c>
      <c r="E12">
        <v>10</v>
      </c>
      <c r="F12">
        <f t="shared" si="1"/>
        <v>17</v>
      </c>
      <c r="G12" s="1766">
        <f t="shared" si="2"/>
        <v>0.14529914529914531</v>
      </c>
    </row>
    <row r="13" spans="1:10">
      <c r="A13" s="279">
        <v>43982</v>
      </c>
      <c r="B13">
        <f t="shared" si="0"/>
        <v>5</v>
      </c>
      <c r="E13">
        <v>11</v>
      </c>
      <c r="F13">
        <f t="shared" si="1"/>
        <v>2</v>
      </c>
      <c r="G13" s="1766">
        <f t="shared" si="2"/>
        <v>1.7094017094017096E-2</v>
      </c>
    </row>
    <row r="14" spans="1:10">
      <c r="A14" s="279">
        <v>43982</v>
      </c>
      <c r="B14">
        <f t="shared" si="0"/>
        <v>5</v>
      </c>
      <c r="E14">
        <v>12</v>
      </c>
      <c r="F14">
        <f>COUNTIF($B$1:$B$122,E14)-3</f>
        <v>38</v>
      </c>
      <c r="G14" s="1766">
        <f t="shared" si="2"/>
        <v>0.3247863247863248</v>
      </c>
    </row>
    <row r="15" spans="1:10">
      <c r="A15" s="279">
        <v>43982</v>
      </c>
      <c r="B15">
        <f t="shared" si="0"/>
        <v>5</v>
      </c>
      <c r="F15">
        <f>SUM(F5:F14)</f>
        <v>117</v>
      </c>
    </row>
    <row r="16" spans="1:10">
      <c r="A16" s="279">
        <v>43982</v>
      </c>
      <c r="B16">
        <f t="shared" si="0"/>
        <v>5</v>
      </c>
    </row>
    <row r="17" spans="1:2">
      <c r="A17" s="279">
        <v>43982</v>
      </c>
      <c r="B17">
        <f t="shared" si="0"/>
        <v>5</v>
      </c>
    </row>
    <row r="18" spans="1:2">
      <c r="A18" s="279">
        <v>43982</v>
      </c>
      <c r="B18">
        <f t="shared" si="0"/>
        <v>5</v>
      </c>
    </row>
    <row r="19" spans="1:2">
      <c r="A19" s="279">
        <v>43982</v>
      </c>
      <c r="B19">
        <f t="shared" si="0"/>
        <v>5</v>
      </c>
    </row>
    <row r="20" spans="1:2">
      <c r="A20" s="279">
        <v>43646</v>
      </c>
      <c r="B20">
        <f t="shared" si="0"/>
        <v>6</v>
      </c>
    </row>
    <row r="21" spans="1:2">
      <c r="A21" s="279">
        <v>44012</v>
      </c>
      <c r="B21">
        <f t="shared" si="0"/>
        <v>6</v>
      </c>
    </row>
    <row r="22" spans="1:2">
      <c r="A22" s="279">
        <v>44012</v>
      </c>
      <c r="B22">
        <f t="shared" si="0"/>
        <v>6</v>
      </c>
    </row>
    <row r="23" spans="1:2">
      <c r="A23" s="279">
        <v>44012</v>
      </c>
      <c r="B23">
        <f t="shared" si="0"/>
        <v>6</v>
      </c>
    </row>
    <row r="24" spans="1:2">
      <c r="A24" s="279">
        <v>44012</v>
      </c>
      <c r="B24">
        <f t="shared" si="0"/>
        <v>6</v>
      </c>
    </row>
    <row r="25" spans="1:2">
      <c r="A25" s="279">
        <v>44012</v>
      </c>
      <c r="B25">
        <f t="shared" si="0"/>
        <v>6</v>
      </c>
    </row>
    <row r="26" spans="1:2">
      <c r="A26" s="279">
        <v>44012</v>
      </c>
      <c r="B26">
        <f t="shared" si="0"/>
        <v>6</v>
      </c>
    </row>
    <row r="27" spans="1:2">
      <c r="A27" s="279">
        <v>44012</v>
      </c>
      <c r="B27">
        <f t="shared" si="0"/>
        <v>6</v>
      </c>
    </row>
    <row r="28" spans="1:2">
      <c r="A28" s="279">
        <v>44012</v>
      </c>
      <c r="B28">
        <f t="shared" si="0"/>
        <v>6</v>
      </c>
    </row>
    <row r="29" spans="1:2">
      <c r="A29" s="279">
        <v>44012</v>
      </c>
      <c r="B29">
        <f t="shared" si="0"/>
        <v>6</v>
      </c>
    </row>
    <row r="30" spans="1:2">
      <c r="A30" s="279">
        <v>44012</v>
      </c>
      <c r="B30">
        <f t="shared" si="0"/>
        <v>6</v>
      </c>
    </row>
    <row r="31" spans="1:2">
      <c r="A31" s="279">
        <v>44012</v>
      </c>
      <c r="B31">
        <f t="shared" si="0"/>
        <v>6</v>
      </c>
    </row>
    <row r="32" spans="1:2">
      <c r="A32" s="279">
        <v>44043</v>
      </c>
      <c r="B32">
        <f t="shared" si="0"/>
        <v>7</v>
      </c>
    </row>
    <row r="33" spans="1:16">
      <c r="A33" s="279">
        <v>44043</v>
      </c>
      <c r="B33">
        <f t="shared" ref="B33:B64" si="3">MONTH(A33)</f>
        <v>7</v>
      </c>
    </row>
    <row r="34" spans="1:16">
      <c r="A34" s="279">
        <v>44074</v>
      </c>
      <c r="B34">
        <f t="shared" si="3"/>
        <v>8</v>
      </c>
      <c r="E34" s="1253" t="s">
        <v>1358</v>
      </c>
      <c r="F34" s="1249"/>
      <c r="G34" s="1254" t="e">
        <f>'IN ROWS'!#REF!</f>
        <v>#REF!</v>
      </c>
      <c r="H34" s="1255" t="e">
        <f>'IN ROWS'!#REF!</f>
        <v>#REF!</v>
      </c>
      <c r="I34" s="1254" t="e">
        <f>'IN ROWS'!#REF!</f>
        <v>#REF!</v>
      </c>
      <c r="J34" s="1254" t="e">
        <f>'IN ROWS'!#REF!</f>
        <v>#REF!</v>
      </c>
      <c r="K34" s="1254" t="e">
        <f>'IN ROWS'!#REF!</f>
        <v>#REF!</v>
      </c>
      <c r="L34" s="1254" t="e">
        <f>'IN ROWS'!#REF!</f>
        <v>#REF!</v>
      </c>
      <c r="M34" s="1254" t="e">
        <f>'IN ROWS'!#REF!</f>
        <v>#REF!</v>
      </c>
      <c r="N34" s="1254" t="e">
        <f>'IN ROWS'!#REF!</f>
        <v>#REF!</v>
      </c>
      <c r="O34" s="1249"/>
      <c r="P34" s="1257" t="e">
        <f>E34&amp;" -"&amp;" "&amp;TEXT(H34,"(0%)")</f>
        <v>#REF!</v>
      </c>
    </row>
    <row r="35" spans="1:16">
      <c r="A35" s="279">
        <v>44074</v>
      </c>
      <c r="B35">
        <f t="shared" si="3"/>
        <v>8</v>
      </c>
    </row>
    <row r="36" spans="1:16">
      <c r="A36" s="279">
        <v>44074</v>
      </c>
      <c r="B36">
        <f t="shared" si="3"/>
        <v>8</v>
      </c>
    </row>
    <row r="37" spans="1:16">
      <c r="A37" s="279">
        <v>44104</v>
      </c>
      <c r="B37">
        <f t="shared" si="3"/>
        <v>9</v>
      </c>
    </row>
    <row r="38" spans="1:16">
      <c r="A38" s="279">
        <v>44104</v>
      </c>
      <c r="B38">
        <f t="shared" si="3"/>
        <v>9</v>
      </c>
    </row>
    <row r="39" spans="1:16">
      <c r="A39" s="279">
        <v>44104</v>
      </c>
      <c r="B39">
        <f t="shared" si="3"/>
        <v>9</v>
      </c>
    </row>
    <row r="40" spans="1:16">
      <c r="A40" s="279">
        <v>44104</v>
      </c>
      <c r="B40">
        <f t="shared" si="3"/>
        <v>9</v>
      </c>
    </row>
    <row r="41" spans="1:16">
      <c r="A41" s="279">
        <v>44104</v>
      </c>
      <c r="B41">
        <f t="shared" si="3"/>
        <v>9</v>
      </c>
    </row>
    <row r="42" spans="1:16">
      <c r="A42" s="279">
        <v>44104</v>
      </c>
      <c r="B42">
        <f t="shared" si="3"/>
        <v>9</v>
      </c>
    </row>
    <row r="43" spans="1:16">
      <c r="A43" s="279">
        <v>44104</v>
      </c>
      <c r="B43">
        <f t="shared" si="3"/>
        <v>9</v>
      </c>
    </row>
    <row r="44" spans="1:16">
      <c r="A44" s="279">
        <v>44104</v>
      </c>
      <c r="B44">
        <f t="shared" si="3"/>
        <v>9</v>
      </c>
    </row>
    <row r="45" spans="1:16">
      <c r="A45" s="279">
        <v>44104</v>
      </c>
      <c r="B45">
        <f t="shared" si="3"/>
        <v>9</v>
      </c>
    </row>
    <row r="46" spans="1:16">
      <c r="A46" s="279">
        <v>44104</v>
      </c>
      <c r="B46">
        <f t="shared" si="3"/>
        <v>9</v>
      </c>
    </row>
    <row r="47" spans="1:16">
      <c r="A47" s="279">
        <v>44104</v>
      </c>
      <c r="B47">
        <f t="shared" si="3"/>
        <v>9</v>
      </c>
    </row>
    <row r="48" spans="1:16">
      <c r="A48" s="279">
        <v>44104</v>
      </c>
      <c r="B48">
        <f t="shared" si="3"/>
        <v>9</v>
      </c>
    </row>
    <row r="49" spans="1:2">
      <c r="A49" s="279">
        <v>44104</v>
      </c>
      <c r="B49">
        <f t="shared" si="3"/>
        <v>9</v>
      </c>
    </row>
    <row r="50" spans="1:2">
      <c r="A50" s="279">
        <v>44104</v>
      </c>
      <c r="B50">
        <f t="shared" si="3"/>
        <v>9</v>
      </c>
    </row>
    <row r="51" spans="1:2">
      <c r="A51" s="279">
        <v>44104</v>
      </c>
      <c r="B51">
        <f t="shared" si="3"/>
        <v>9</v>
      </c>
    </row>
    <row r="52" spans="1:2">
      <c r="A52" s="279">
        <v>44104</v>
      </c>
      <c r="B52">
        <f t="shared" si="3"/>
        <v>9</v>
      </c>
    </row>
    <row r="53" spans="1:2">
      <c r="A53" s="279">
        <v>44104</v>
      </c>
      <c r="B53">
        <f t="shared" si="3"/>
        <v>9</v>
      </c>
    </row>
    <row r="54" spans="1:2">
      <c r="A54" s="279">
        <v>44104</v>
      </c>
      <c r="B54">
        <f t="shared" si="3"/>
        <v>9</v>
      </c>
    </row>
    <row r="55" spans="1:2">
      <c r="A55" s="279">
        <v>44104</v>
      </c>
      <c r="B55">
        <f t="shared" si="3"/>
        <v>9</v>
      </c>
    </row>
    <row r="56" spans="1:2">
      <c r="A56" s="279">
        <v>44104</v>
      </c>
      <c r="B56">
        <f t="shared" si="3"/>
        <v>9</v>
      </c>
    </row>
    <row r="57" spans="1:2">
      <c r="A57" s="279">
        <v>44104</v>
      </c>
      <c r="B57">
        <f t="shared" si="3"/>
        <v>9</v>
      </c>
    </row>
    <row r="58" spans="1:2">
      <c r="A58" s="279">
        <v>44104</v>
      </c>
      <c r="B58">
        <f t="shared" si="3"/>
        <v>9</v>
      </c>
    </row>
    <row r="59" spans="1:2">
      <c r="A59" s="279">
        <v>44104</v>
      </c>
      <c r="B59">
        <f t="shared" si="3"/>
        <v>9</v>
      </c>
    </row>
    <row r="60" spans="1:2">
      <c r="A60" s="279">
        <v>44104</v>
      </c>
      <c r="B60">
        <f t="shared" si="3"/>
        <v>9</v>
      </c>
    </row>
    <row r="61" spans="1:2">
      <c r="A61" s="279">
        <v>44104</v>
      </c>
      <c r="B61">
        <f t="shared" si="3"/>
        <v>9</v>
      </c>
    </row>
    <row r="62" spans="1:2">
      <c r="A62" s="279">
        <v>44104</v>
      </c>
      <c r="B62">
        <f t="shared" si="3"/>
        <v>9</v>
      </c>
    </row>
    <row r="63" spans="1:2">
      <c r="A63" s="279">
        <v>44135</v>
      </c>
      <c r="B63">
        <f t="shared" si="3"/>
        <v>10</v>
      </c>
    </row>
    <row r="64" spans="1:2">
      <c r="A64" s="279">
        <v>44135</v>
      </c>
      <c r="B64">
        <f t="shared" si="3"/>
        <v>10</v>
      </c>
    </row>
    <row r="65" spans="1:2">
      <c r="A65" s="279">
        <v>44135</v>
      </c>
      <c r="B65">
        <f t="shared" ref="B65:B96" si="4">MONTH(A65)</f>
        <v>10</v>
      </c>
    </row>
    <row r="66" spans="1:2">
      <c r="A66" s="279">
        <v>44135</v>
      </c>
      <c r="B66">
        <f t="shared" si="4"/>
        <v>10</v>
      </c>
    </row>
    <row r="67" spans="1:2">
      <c r="A67" s="279">
        <v>44135</v>
      </c>
      <c r="B67">
        <f t="shared" si="4"/>
        <v>10</v>
      </c>
    </row>
    <row r="68" spans="1:2">
      <c r="A68" s="279">
        <v>44135</v>
      </c>
      <c r="B68">
        <f t="shared" si="4"/>
        <v>10</v>
      </c>
    </row>
    <row r="69" spans="1:2">
      <c r="A69" s="279">
        <v>44135</v>
      </c>
      <c r="B69">
        <f t="shared" si="4"/>
        <v>10</v>
      </c>
    </row>
    <row r="70" spans="1:2">
      <c r="A70" s="279">
        <v>44135</v>
      </c>
      <c r="B70">
        <f t="shared" si="4"/>
        <v>10</v>
      </c>
    </row>
    <row r="71" spans="1:2">
      <c r="A71" s="279">
        <v>44135</v>
      </c>
      <c r="B71">
        <f t="shared" si="4"/>
        <v>10</v>
      </c>
    </row>
    <row r="72" spans="1:2">
      <c r="A72" s="279">
        <v>44135</v>
      </c>
      <c r="B72">
        <f t="shared" si="4"/>
        <v>10</v>
      </c>
    </row>
    <row r="73" spans="1:2">
      <c r="A73" s="279">
        <v>44135</v>
      </c>
      <c r="B73">
        <f t="shared" si="4"/>
        <v>10</v>
      </c>
    </row>
    <row r="74" spans="1:2">
      <c r="A74" s="279">
        <v>44135</v>
      </c>
      <c r="B74">
        <f t="shared" si="4"/>
        <v>10</v>
      </c>
    </row>
    <row r="75" spans="1:2">
      <c r="A75" s="279">
        <v>44135</v>
      </c>
      <c r="B75">
        <f t="shared" si="4"/>
        <v>10</v>
      </c>
    </row>
    <row r="76" spans="1:2">
      <c r="A76" s="279">
        <v>44135</v>
      </c>
      <c r="B76">
        <f t="shared" si="4"/>
        <v>10</v>
      </c>
    </row>
    <row r="77" spans="1:2">
      <c r="A77" s="279">
        <v>44135</v>
      </c>
      <c r="B77">
        <f t="shared" si="4"/>
        <v>10</v>
      </c>
    </row>
    <row r="78" spans="1:2">
      <c r="A78" s="279">
        <v>44135</v>
      </c>
      <c r="B78">
        <f t="shared" si="4"/>
        <v>10</v>
      </c>
    </row>
    <row r="79" spans="1:2">
      <c r="A79" s="279">
        <v>44135</v>
      </c>
      <c r="B79">
        <f t="shared" si="4"/>
        <v>10</v>
      </c>
    </row>
    <row r="80" spans="1:2">
      <c r="A80" s="279">
        <v>44165</v>
      </c>
      <c r="B80">
        <f t="shared" si="4"/>
        <v>11</v>
      </c>
    </row>
    <row r="81" spans="1:2">
      <c r="A81" s="1410">
        <v>44165</v>
      </c>
      <c r="B81">
        <f t="shared" si="4"/>
        <v>11</v>
      </c>
    </row>
    <row r="82" spans="1:2">
      <c r="A82" s="279">
        <v>44196</v>
      </c>
      <c r="B82">
        <f t="shared" si="4"/>
        <v>12</v>
      </c>
    </row>
    <row r="83" spans="1:2">
      <c r="A83" s="279">
        <v>44196</v>
      </c>
      <c r="B83">
        <f t="shared" si="4"/>
        <v>12</v>
      </c>
    </row>
    <row r="84" spans="1:2">
      <c r="A84" s="279">
        <v>44196</v>
      </c>
      <c r="B84">
        <f t="shared" si="4"/>
        <v>12</v>
      </c>
    </row>
    <row r="85" spans="1:2">
      <c r="A85" s="279">
        <v>44196</v>
      </c>
      <c r="B85">
        <f t="shared" si="4"/>
        <v>12</v>
      </c>
    </row>
    <row r="86" spans="1:2">
      <c r="A86" s="279">
        <v>44196</v>
      </c>
      <c r="B86">
        <f t="shared" si="4"/>
        <v>12</v>
      </c>
    </row>
    <row r="87" spans="1:2">
      <c r="A87" s="279">
        <v>44196</v>
      </c>
      <c r="B87">
        <f t="shared" si="4"/>
        <v>12</v>
      </c>
    </row>
    <row r="88" spans="1:2">
      <c r="A88" s="279">
        <v>44196</v>
      </c>
      <c r="B88">
        <f t="shared" si="4"/>
        <v>12</v>
      </c>
    </row>
    <row r="89" spans="1:2">
      <c r="A89" s="279">
        <v>44196</v>
      </c>
      <c r="B89">
        <f t="shared" si="4"/>
        <v>12</v>
      </c>
    </row>
    <row r="90" spans="1:2">
      <c r="A90" s="279">
        <v>44196</v>
      </c>
      <c r="B90">
        <f t="shared" si="4"/>
        <v>12</v>
      </c>
    </row>
    <row r="91" spans="1:2">
      <c r="A91" s="279">
        <v>44196</v>
      </c>
      <c r="B91">
        <f t="shared" si="4"/>
        <v>12</v>
      </c>
    </row>
    <row r="92" spans="1:2">
      <c r="A92" s="279">
        <v>44196</v>
      </c>
      <c r="B92">
        <f t="shared" si="4"/>
        <v>12</v>
      </c>
    </row>
    <row r="93" spans="1:2">
      <c r="A93" s="279">
        <v>44196</v>
      </c>
      <c r="B93">
        <f t="shared" si="4"/>
        <v>12</v>
      </c>
    </row>
    <row r="94" spans="1:2">
      <c r="A94" s="279">
        <v>44196</v>
      </c>
      <c r="B94">
        <f t="shared" si="4"/>
        <v>12</v>
      </c>
    </row>
    <row r="95" spans="1:2">
      <c r="A95" s="279">
        <v>44196</v>
      </c>
      <c r="B95">
        <f t="shared" si="4"/>
        <v>12</v>
      </c>
    </row>
    <row r="96" spans="1:2">
      <c r="A96" s="279">
        <v>44196</v>
      </c>
      <c r="B96">
        <f t="shared" si="4"/>
        <v>12</v>
      </c>
    </row>
    <row r="97" spans="1:2">
      <c r="A97" s="279">
        <v>44196</v>
      </c>
      <c r="B97">
        <f t="shared" ref="B97:B122" si="5">MONTH(A97)</f>
        <v>12</v>
      </c>
    </row>
    <row r="98" spans="1:2">
      <c r="A98" s="279">
        <v>44196</v>
      </c>
      <c r="B98">
        <f t="shared" si="5"/>
        <v>12</v>
      </c>
    </row>
    <row r="99" spans="1:2">
      <c r="A99" s="279">
        <v>44196</v>
      </c>
      <c r="B99">
        <f t="shared" si="5"/>
        <v>12</v>
      </c>
    </row>
    <row r="100" spans="1:2">
      <c r="A100" s="279">
        <v>44196</v>
      </c>
      <c r="B100">
        <f t="shared" si="5"/>
        <v>12</v>
      </c>
    </row>
    <row r="101" spans="1:2">
      <c r="A101" s="279">
        <v>44196</v>
      </c>
      <c r="B101">
        <f t="shared" si="5"/>
        <v>12</v>
      </c>
    </row>
    <row r="102" spans="1:2">
      <c r="A102" s="279">
        <v>44196</v>
      </c>
      <c r="B102">
        <f t="shared" si="5"/>
        <v>12</v>
      </c>
    </row>
    <row r="103" spans="1:2">
      <c r="A103" s="279">
        <v>44196</v>
      </c>
      <c r="B103">
        <f t="shared" si="5"/>
        <v>12</v>
      </c>
    </row>
    <row r="104" spans="1:2">
      <c r="A104" s="279">
        <v>44196</v>
      </c>
      <c r="B104">
        <f t="shared" si="5"/>
        <v>12</v>
      </c>
    </row>
    <row r="105" spans="1:2">
      <c r="A105" s="279">
        <v>44196</v>
      </c>
      <c r="B105">
        <f t="shared" si="5"/>
        <v>12</v>
      </c>
    </row>
    <row r="106" spans="1:2">
      <c r="A106" s="279">
        <v>44196</v>
      </c>
      <c r="B106">
        <f t="shared" si="5"/>
        <v>12</v>
      </c>
    </row>
    <row r="107" spans="1:2">
      <c r="A107" s="279">
        <v>44196</v>
      </c>
      <c r="B107">
        <f t="shared" si="5"/>
        <v>12</v>
      </c>
    </row>
    <row r="108" spans="1:2">
      <c r="A108" s="279">
        <v>44196</v>
      </c>
      <c r="B108">
        <f t="shared" si="5"/>
        <v>12</v>
      </c>
    </row>
    <row r="109" spans="1:2">
      <c r="A109" s="279">
        <v>44196</v>
      </c>
      <c r="B109">
        <f t="shared" si="5"/>
        <v>12</v>
      </c>
    </row>
    <row r="110" spans="1:2">
      <c r="A110" s="279">
        <v>44196</v>
      </c>
      <c r="B110">
        <f t="shared" si="5"/>
        <v>12</v>
      </c>
    </row>
    <row r="111" spans="1:2">
      <c r="A111" s="279">
        <v>44196</v>
      </c>
      <c r="B111">
        <f t="shared" si="5"/>
        <v>12</v>
      </c>
    </row>
    <row r="112" spans="1:2">
      <c r="A112" s="279">
        <v>44196</v>
      </c>
      <c r="B112">
        <f t="shared" si="5"/>
        <v>12</v>
      </c>
    </row>
    <row r="113" spans="1:2">
      <c r="A113" s="279">
        <v>44196</v>
      </c>
      <c r="B113">
        <f t="shared" si="5"/>
        <v>12</v>
      </c>
    </row>
    <row r="114" spans="1:2">
      <c r="A114" s="279">
        <v>44196</v>
      </c>
      <c r="B114">
        <f t="shared" si="5"/>
        <v>12</v>
      </c>
    </row>
    <row r="115" spans="1:2">
      <c r="A115" s="279">
        <v>44196</v>
      </c>
      <c r="B115">
        <f t="shared" si="5"/>
        <v>12</v>
      </c>
    </row>
    <row r="116" spans="1:2">
      <c r="A116" s="279">
        <v>44196</v>
      </c>
      <c r="B116">
        <f t="shared" si="5"/>
        <v>12</v>
      </c>
    </row>
    <row r="117" spans="1:2">
      <c r="A117" s="279">
        <v>44196</v>
      </c>
      <c r="B117">
        <f t="shared" si="5"/>
        <v>12</v>
      </c>
    </row>
    <row r="118" spans="1:2">
      <c r="A118" s="279">
        <v>44196</v>
      </c>
      <c r="B118">
        <f t="shared" si="5"/>
        <v>12</v>
      </c>
    </row>
    <row r="119" spans="1:2">
      <c r="A119" s="279">
        <v>44196</v>
      </c>
      <c r="B119">
        <f t="shared" si="5"/>
        <v>12</v>
      </c>
    </row>
    <row r="120" spans="1:2">
      <c r="A120" s="279">
        <v>44196</v>
      </c>
      <c r="B120">
        <f t="shared" si="5"/>
        <v>12</v>
      </c>
    </row>
    <row r="121" spans="1:2">
      <c r="A121" s="279">
        <v>44196</v>
      </c>
      <c r="B121">
        <f t="shared" si="5"/>
        <v>12</v>
      </c>
    </row>
    <row r="122" spans="1:2">
      <c r="A122" s="279">
        <v>44196</v>
      </c>
      <c r="B122">
        <f t="shared" si="5"/>
        <v>12</v>
      </c>
    </row>
  </sheetData>
  <sortState xmlns:xlrd2="http://schemas.microsoft.com/office/spreadsheetml/2017/richdata2" ref="J2:J6">
    <sortCondition ref="J2:J6"/>
  </sortState>
  <pageMargins left="0.7" right="0.7" top="0.75" bottom="0.75" header="0.3" footer="0.3"/>
  <customProperties>
    <customPr name="OrphanNamesChecked" r:id="rId1"/>
  </customPropertie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FF00"/>
    <pageSetUpPr fitToPage="1"/>
  </sheetPr>
  <dimension ref="A1:PO232"/>
  <sheetViews>
    <sheetView showGridLines="0" tabSelected="1" zoomScale="70" zoomScaleNormal="70" workbookViewId="0">
      <pane xSplit="5" ySplit="6" topLeftCell="AA7" activePane="bottomRight" state="frozen"/>
      <selection activeCell="B145" sqref="B145"/>
      <selection pane="topRight" activeCell="B145" sqref="B145"/>
      <selection pane="bottomLeft" activeCell="B145" sqref="B145"/>
      <selection pane="bottomRight" activeCell="JY2" sqref="JY2"/>
    </sheetView>
  </sheetViews>
  <sheetFormatPr defaultColWidth="9.1796875" defaultRowHeight="15" outlineLevelRow="2" outlineLevelCol="1"/>
  <cols>
    <col min="1" max="1" width="30.54296875" style="272" customWidth="1"/>
    <col min="2" max="2" width="31.1796875" style="101" customWidth="1"/>
    <col min="3" max="3" width="19.453125" style="272" customWidth="1"/>
    <col min="4" max="4" width="11.81640625" style="101" bestFit="1" customWidth="1"/>
    <col min="5" max="5" width="11.453125" style="101" bestFit="1" customWidth="1" collapsed="1"/>
    <col min="6" max="7" width="9.1796875" style="101" customWidth="1" outlineLevel="1"/>
    <col min="8" max="10" width="9.1796875" style="103" customWidth="1" outlineLevel="1"/>
    <col min="11" max="11" width="12.1796875" style="413" customWidth="1" outlineLevel="1"/>
    <col min="12" max="12" width="9.1796875" style="101" customWidth="1" outlineLevel="1"/>
    <col min="13" max="14" width="9.1796875" style="106" customWidth="1" outlineLevel="1"/>
    <col min="15" max="15" width="10.453125" style="106" customWidth="1" outlineLevel="1"/>
    <col min="16" max="16" width="10.81640625" style="106" customWidth="1" outlineLevel="1"/>
    <col min="17" max="17" width="11.453125" style="106" customWidth="1" outlineLevel="1"/>
    <col min="18" max="18" width="11.6328125" style="106" customWidth="1" outlineLevel="1"/>
    <col min="19" max="19" width="11.1796875" style="106" customWidth="1" outlineLevel="1"/>
    <col min="20" max="20" width="10.453125" style="106" customWidth="1" outlineLevel="1"/>
    <col min="21" max="21" width="11.36328125" style="106" customWidth="1" outlineLevel="1"/>
    <col min="22" max="22" width="10.453125" style="106" customWidth="1" outlineLevel="1"/>
    <col min="23" max="23" width="9.81640625" style="106" customWidth="1" outlineLevel="1"/>
    <col min="24" max="24" width="11" style="106" customWidth="1" outlineLevel="1"/>
    <col min="25" max="26" width="9.1796875" style="106" customWidth="1" outlineLevel="1"/>
    <col min="27" max="28" width="10" style="106" customWidth="1" outlineLevel="1"/>
    <col min="29" max="34" width="9.1796875" style="101" customWidth="1" outlineLevel="1"/>
    <col min="35" max="38" width="9.1796875" style="106" customWidth="1" outlineLevel="1"/>
    <col min="39" max="39" width="10.1796875" style="106" customWidth="1" outlineLevel="1"/>
    <col min="40" max="40" width="10.90625" style="106" customWidth="1" outlineLevel="1"/>
    <col min="41" max="42" width="9.1796875" style="106" customWidth="1" outlineLevel="1"/>
    <col min="43" max="43" width="11.1796875" style="106" customWidth="1" outlineLevel="1"/>
    <col min="44" max="44" width="11.90625" style="106" customWidth="1" outlineLevel="1"/>
    <col min="45" max="48" width="9.1796875" style="397" customWidth="1" outlineLevel="1"/>
    <col min="49" max="50" width="9.1796875" style="101" customWidth="1" outlineLevel="1"/>
    <col min="51" max="51" width="11.453125" style="101" customWidth="1" outlineLevel="1"/>
    <col min="52" max="57" width="9.1796875" style="101" customWidth="1" outlineLevel="1"/>
    <col min="58" max="59" width="15.1796875" style="106" customWidth="1" outlineLevel="1"/>
    <col min="60" max="60" width="12.90625" style="106" customWidth="1" outlineLevel="1"/>
    <col min="61" max="61" width="14" style="106" customWidth="1" outlineLevel="1"/>
    <col min="62" max="62" width="13.36328125" style="106" customWidth="1" outlineLevel="1"/>
    <col min="63" max="63" width="12.6328125" style="106" customWidth="1" outlineLevel="1"/>
    <col min="64" max="64" width="10.54296875" style="101" customWidth="1" outlineLevel="1"/>
    <col min="65" max="65" width="9.1796875" style="101" customWidth="1" outlineLevel="1"/>
    <col min="66" max="66" width="16.453125" style="106" customWidth="1" outlineLevel="1"/>
    <col min="67" max="67" width="13.6328125" style="101" customWidth="1" outlineLevel="1"/>
    <col min="68" max="68" width="17.453125" style="101" customWidth="1" outlineLevel="1"/>
    <col min="69" max="69" width="14.6328125" style="101" customWidth="1" outlineLevel="1"/>
    <col min="70" max="71" width="9.1796875" style="101" customWidth="1" outlineLevel="1"/>
    <col min="72" max="72" width="13.1796875" style="101" customWidth="1" outlineLevel="1"/>
    <col min="73" max="73" width="14.453125" style="101" customWidth="1" outlineLevel="1"/>
    <col min="74" max="74" width="9.1796875" style="101" customWidth="1" outlineLevel="1"/>
    <col min="75" max="77" width="12.1796875" style="413" customWidth="1" outlineLevel="1"/>
    <col min="78" max="78" width="12.08984375" style="103" customWidth="1" outlineLevel="1"/>
    <col min="79" max="79" width="12.6328125" style="106" customWidth="1" outlineLevel="1"/>
    <col min="80" max="80" width="13.1796875" style="106" customWidth="1" outlineLevel="1"/>
    <col min="81" max="81" width="14.08984375" style="106" customWidth="1" outlineLevel="1"/>
    <col min="82" max="82" width="14.1796875" style="106" customWidth="1" outlineLevel="1"/>
    <col min="83" max="83" width="13" style="106" customWidth="1" outlineLevel="1"/>
    <col min="84" max="84" width="12.08984375" style="106" customWidth="1" outlineLevel="1"/>
    <col min="85" max="85" width="12.1796875" style="106" customWidth="1" outlineLevel="1"/>
    <col min="86" max="86" width="12.90625" style="106" customWidth="1" outlineLevel="1"/>
    <col min="87" max="87" width="12.6328125" style="106" customWidth="1" outlineLevel="1"/>
    <col min="88" max="88" width="14.453125" style="106" customWidth="1" outlineLevel="1"/>
    <col min="89" max="99" width="8.81640625" style="101" customWidth="1" outlineLevel="1"/>
    <col min="100" max="100" width="13.81640625" style="106" customWidth="1" outlineLevel="1"/>
    <col min="101" max="101" width="12.6328125" style="106" customWidth="1" outlineLevel="1"/>
    <col min="102" max="102" width="11.1796875" style="106" customWidth="1" outlineLevel="1"/>
    <col min="103" max="103" width="13.81640625" style="106" customWidth="1" outlineLevel="1"/>
    <col min="104" max="104" width="11.81640625" style="106" customWidth="1" outlineLevel="1"/>
    <col min="105" max="105" width="11.1796875" style="106" customWidth="1" outlineLevel="1"/>
    <col min="106" max="106" width="13.08984375" style="106" customWidth="1" outlineLevel="1"/>
    <col min="107" max="113" width="9.1796875" style="398" customWidth="1" outlineLevel="1"/>
    <col min="114" max="114" width="12" style="106" customWidth="1" outlineLevel="1"/>
    <col min="115" max="134" width="10.453125" style="106" customWidth="1" outlineLevel="1"/>
    <col min="135" max="135" width="10.453125" style="101" customWidth="1" outlineLevel="1"/>
    <col min="136" max="136" width="10.453125" style="106" customWidth="1" outlineLevel="1"/>
    <col min="137" max="137" width="11.453125" style="106" customWidth="1" outlineLevel="1"/>
    <col min="138" max="139" width="10.453125" style="106" customWidth="1" outlineLevel="1"/>
    <col min="140" max="140" width="10.453125" style="417" customWidth="1" outlineLevel="1"/>
    <col min="141" max="141" width="10.453125" style="101" customWidth="1" outlineLevel="1"/>
    <col min="142" max="142" width="10.453125" style="106" customWidth="1" outlineLevel="1"/>
    <col min="143" max="145" width="10.453125" style="101" customWidth="1" outlineLevel="1"/>
    <col min="146" max="146" width="10.453125" style="106" customWidth="1" outlineLevel="1"/>
    <col min="147" max="147" width="10.453125" style="101" customWidth="1" outlineLevel="1"/>
    <col min="148" max="148" width="11.6328125" style="101" customWidth="1" outlineLevel="1"/>
    <col min="149" max="150" width="10.453125" style="417" customWidth="1" outlineLevel="1"/>
    <col min="151" max="151" width="10.453125" style="418" customWidth="1" outlineLevel="1"/>
    <col min="152" max="152" width="12" style="106" customWidth="1" outlineLevel="1"/>
    <col min="153" max="154" width="10.453125" style="101" customWidth="1" outlineLevel="1"/>
    <col min="155" max="155" width="14.08984375" style="101" customWidth="1" outlineLevel="1"/>
    <col min="156" max="156" width="12.1796875" style="101" customWidth="1" outlineLevel="1"/>
    <col min="157" max="163" width="12" style="101" customWidth="1" outlineLevel="1"/>
    <col min="164" max="172" width="9.1796875" style="101" customWidth="1" outlineLevel="1"/>
    <col min="173" max="173" width="12.1796875" style="101" customWidth="1" outlineLevel="1"/>
    <col min="174" max="174" width="11.54296875" style="408" customWidth="1" outlineLevel="1"/>
    <col min="175" max="180" width="13.90625" style="101" customWidth="1" outlineLevel="1"/>
    <col min="181" max="181" width="13.36328125" style="408" customWidth="1" outlineLevel="1"/>
    <col min="182" max="195" width="9.1796875" style="101" customWidth="1" outlineLevel="1"/>
    <col min="196" max="198" width="9.90625" style="103" customWidth="1" outlineLevel="1"/>
    <col min="199" max="199" width="12.54296875" style="103" customWidth="1" outlineLevel="1"/>
    <col min="200" max="200" width="12.90625" style="103" customWidth="1" outlineLevel="1"/>
    <col min="201" max="201" width="12.36328125" style="103" customWidth="1" outlineLevel="1"/>
    <col min="202" max="202" width="11.54296875" style="103" customWidth="1" outlineLevel="1"/>
    <col min="203" max="203" width="11.36328125" style="103" customWidth="1" outlineLevel="1"/>
    <col min="204" max="204" width="12.36328125" style="103" customWidth="1" outlineLevel="1"/>
    <col min="205" max="205" width="12.6328125" style="103" customWidth="1" outlineLevel="1"/>
    <col min="206" max="206" width="11.54296875" style="103" customWidth="1" outlineLevel="1"/>
    <col min="207" max="207" width="9.90625" style="103" customWidth="1" outlineLevel="1"/>
    <col min="208" max="214" width="9.1796875" style="101" customWidth="1" outlineLevel="1"/>
    <col min="215" max="216" width="9.90625" style="106" customWidth="1" outlineLevel="1"/>
    <col min="217" max="217" width="11.36328125" style="106" customWidth="1" outlineLevel="1"/>
    <col min="218" max="223" width="13.453125" style="106" customWidth="1" outlineLevel="1"/>
    <col min="224" max="224" width="13.81640625" style="106" customWidth="1" outlineLevel="1"/>
    <col min="225" max="225" width="10.90625" style="106" customWidth="1" outlineLevel="1"/>
    <col min="226" max="226" width="13.1796875" style="106" customWidth="1" outlineLevel="1"/>
    <col min="227" max="233" width="9.1796875" style="101" customWidth="1" outlineLevel="1"/>
    <col min="234" max="238" width="11" style="413" customWidth="1" outlineLevel="1"/>
    <col min="239" max="239" width="11.54296875" style="413" customWidth="1" outlineLevel="1"/>
    <col min="240" max="244" width="11.6328125" style="413" customWidth="1" outlineLevel="1"/>
    <col min="245" max="245" width="7.08984375" style="413" customWidth="1" outlineLevel="1"/>
    <col min="246" max="246" width="10.54296875" style="413" customWidth="1" outlineLevel="1"/>
    <col min="247" max="248" width="9.1796875" style="413" customWidth="1" outlineLevel="1"/>
    <col min="249" max="250" width="9.1796875" style="753" customWidth="1" outlineLevel="1"/>
    <col min="251" max="251" width="9.1796875" style="420" customWidth="1" outlineLevel="1"/>
    <col min="252" max="252" width="12.1796875" style="420" customWidth="1" outlineLevel="1"/>
    <col min="253" max="253" width="11" style="420" customWidth="1" outlineLevel="1"/>
    <col min="254" max="254" width="12.1796875" style="420" customWidth="1" outlineLevel="1"/>
    <col min="255" max="255" width="11.81640625" style="420" customWidth="1" outlineLevel="1"/>
    <col min="256" max="256" width="11.1796875" style="420" customWidth="1" outlineLevel="1"/>
    <col min="257" max="257" width="11.81640625" style="420" customWidth="1" outlineLevel="1"/>
    <col min="258" max="258" width="10.54296875" style="413" customWidth="1" outlineLevel="1"/>
    <col min="259" max="259" width="10.453125" style="413" customWidth="1" outlineLevel="1"/>
    <col min="260" max="260" width="10.1796875" style="413" customWidth="1" outlineLevel="1"/>
    <col min="261" max="262" width="9.1796875" style="413" customWidth="1" outlineLevel="1"/>
    <col min="263" max="263" width="11.1796875" style="413" customWidth="1" outlineLevel="1"/>
    <col min="264" max="265" width="12.54296875" style="413" customWidth="1" outlineLevel="1"/>
    <col min="266" max="266" width="11.08984375" style="413" customWidth="1" outlineLevel="1"/>
    <col min="267" max="267" width="12.54296875" style="413" customWidth="1" outlineLevel="1"/>
    <col min="268" max="269" width="9.1796875" style="413" customWidth="1" outlineLevel="1"/>
    <col min="270" max="270" width="10.90625" style="413" customWidth="1" outlineLevel="1"/>
    <col min="271" max="272" width="9.1796875" style="413" customWidth="1" outlineLevel="1"/>
    <col min="273" max="273" width="10.453125" style="413" customWidth="1" outlineLevel="1"/>
    <col min="274" max="276" width="9.1796875" style="413" customWidth="1" outlineLevel="1"/>
    <col min="277" max="277" width="10" style="413" customWidth="1" outlineLevel="1"/>
    <col min="278" max="278" width="9.1796875" style="413" customWidth="1" outlineLevel="1"/>
    <col min="279" max="279" width="11" style="413" customWidth="1" outlineLevel="1"/>
    <col min="280" max="280" width="13.36328125" style="413" customWidth="1" outlineLevel="1"/>
    <col min="281" max="281" width="13.1796875" style="413" customWidth="1" outlineLevel="1"/>
    <col min="282" max="282" width="13.36328125" style="413" customWidth="1" outlineLevel="1"/>
    <col min="283" max="283" width="11.6328125" style="413" customWidth="1" outlineLevel="1"/>
    <col min="284" max="284" width="12.6328125" style="413" customWidth="1" outlineLevel="1"/>
    <col min="285" max="285" width="9.1796875" style="420" customWidth="1" outlineLevel="1"/>
    <col min="286" max="286" width="9.36328125" style="101" customWidth="1"/>
    <col min="287" max="290" width="9.1796875" style="421" customWidth="1" outlineLevel="1"/>
    <col min="291" max="291" width="10.1796875" style="282" customWidth="1" outlineLevel="1"/>
    <col min="292" max="294" width="9.1796875" style="282" customWidth="1" outlineLevel="1"/>
    <col min="295" max="295" width="9.1796875" style="420" customWidth="1" outlineLevel="1"/>
    <col min="296" max="296" width="9.1796875" style="282" customWidth="1" outlineLevel="1"/>
    <col min="297" max="297" width="11.6328125" style="282" customWidth="1" outlineLevel="1"/>
    <col min="298" max="298" width="9.1796875" style="282" customWidth="1" outlineLevel="1"/>
    <col min="299" max="299" width="11.08984375" style="282" customWidth="1" outlineLevel="1"/>
    <col min="300" max="300" width="9.1796875" style="282" customWidth="1" outlineLevel="1"/>
    <col min="301" max="301" width="12.08984375" style="282" customWidth="1" outlineLevel="1"/>
    <col min="302" max="304" width="12.54296875" style="282" customWidth="1" outlineLevel="1"/>
    <col min="305" max="305" width="11" style="282" customWidth="1" outlineLevel="1"/>
    <col min="306" max="306" width="10.453125" style="282" customWidth="1" outlineLevel="1"/>
    <col min="307" max="307" width="11.453125" style="282" customWidth="1" outlineLevel="1"/>
    <col min="308" max="308" width="12.36328125" style="282" customWidth="1" outlineLevel="1"/>
    <col min="309" max="309" width="10.453125" style="282" customWidth="1" outlineLevel="1"/>
    <col min="310" max="310" width="9.1796875" style="282" customWidth="1" outlineLevel="1"/>
    <col min="311" max="311" width="11" style="282" customWidth="1" outlineLevel="1"/>
    <col min="312" max="312" width="6.6328125" style="282" customWidth="1" outlineLevel="1"/>
    <col min="313" max="313" width="9.1796875" style="282" customWidth="1" outlineLevel="1"/>
    <col min="314" max="314" width="9.1796875" style="282" hidden="1" customWidth="1" outlineLevel="1"/>
    <col min="315" max="315" width="9.1796875" style="282" customWidth="1" outlineLevel="1"/>
    <col min="316" max="316" width="9.1796875" style="282" hidden="1" customWidth="1" outlineLevel="1"/>
    <col min="317" max="317" width="9.1796875" style="282" customWidth="1" outlineLevel="1"/>
    <col min="318" max="318" width="9.1796875" style="282" hidden="1" customWidth="1" outlineLevel="1"/>
    <col min="319" max="319" width="11" style="282" customWidth="1" outlineLevel="1"/>
    <col min="320" max="320" width="10.1796875" style="282" customWidth="1" outlineLevel="1"/>
    <col min="321" max="322" width="9.1796875" style="282" customWidth="1" outlineLevel="1"/>
    <col min="323" max="323" width="9.1796875" style="282" hidden="1" customWidth="1" outlineLevel="1"/>
    <col min="324" max="329" width="9.1796875" style="282" customWidth="1" outlineLevel="1"/>
    <col min="330" max="330" width="13" style="282" customWidth="1" outlineLevel="1"/>
    <col min="331" max="331" width="11.453125" style="282" customWidth="1" outlineLevel="1"/>
    <col min="332" max="346" width="9.1796875" style="421" customWidth="1" outlineLevel="1"/>
    <col min="347" max="347" width="11.453125" style="421" customWidth="1" outlineLevel="1"/>
    <col min="348" max="350" width="9.1796875" style="421" customWidth="1" outlineLevel="1"/>
    <col min="351" max="354" width="9.1796875" style="1233" customWidth="1" outlineLevel="1"/>
    <col min="355" max="356" width="10.6328125" style="421" customWidth="1" outlineLevel="1"/>
    <col min="357" max="357" width="9.1796875" style="282" customWidth="1" outlineLevel="1"/>
    <col min="358" max="358" width="13" style="282" customWidth="1" outlineLevel="1"/>
    <col min="359" max="360" width="11.453125" style="282" customWidth="1" outlineLevel="1"/>
    <col min="361" max="362" width="9.1796875" style="282" customWidth="1" outlineLevel="1"/>
    <col min="363" max="363" width="10" style="282" customWidth="1" outlineLevel="1"/>
    <col min="364" max="365" width="9.1796875" style="282" customWidth="1" outlineLevel="1"/>
    <col min="366" max="366" width="9.1796875" style="282" customWidth="1" outlineLevel="1" collapsed="1"/>
    <col min="367" max="368" width="9.1796875" style="282" customWidth="1" outlineLevel="1"/>
    <col min="369" max="369" width="12.1796875" style="282" customWidth="1" outlineLevel="1"/>
    <col min="370" max="371" width="9.1796875" style="282" customWidth="1" outlineLevel="1"/>
    <col min="372" max="372" width="14" style="282" customWidth="1" outlineLevel="1"/>
    <col min="373" max="374" width="9.1796875" style="282" customWidth="1" outlineLevel="1"/>
    <col min="375" max="375" width="13.36328125" style="282" customWidth="1" outlineLevel="1"/>
    <col min="376" max="377" width="9.1796875" style="282" customWidth="1" outlineLevel="1"/>
    <col min="378" max="378" width="9.90625" style="282" customWidth="1" outlineLevel="1"/>
    <col min="379" max="379" width="10.6328125" style="282" customWidth="1" outlineLevel="1"/>
    <col min="380" max="380" width="11.1796875" style="282" customWidth="1" outlineLevel="1"/>
    <col min="381" max="387" width="9.1796875" style="282" customWidth="1" outlineLevel="1"/>
    <col min="388" max="388" width="9.1796875" style="282" customWidth="1" outlineLevel="1" collapsed="1"/>
    <col min="389" max="395" width="9.1796875" style="282" customWidth="1" outlineLevel="1"/>
    <col min="396" max="396" width="9.81640625" style="282" customWidth="1" outlineLevel="1"/>
    <col min="397" max="397" width="9.1796875" style="282" customWidth="1" outlineLevel="1"/>
    <col min="398" max="398" width="12" style="282" customWidth="1" outlineLevel="1"/>
    <col min="399" max="405" width="9.1796875" style="282" customWidth="1" outlineLevel="1"/>
    <col min="406" max="406" width="9.1796875" style="282"/>
    <col min="407" max="16384" width="9.1796875" style="101"/>
  </cols>
  <sheetData>
    <row r="1" spans="1:429" s="18" customFormat="1" ht="21" customHeight="1" thickBot="1">
      <c r="A1" s="12" t="s">
        <v>1</v>
      </c>
      <c r="B1" s="12"/>
      <c r="C1" s="12"/>
      <c r="D1" s="12"/>
      <c r="E1" s="1528" t="s">
        <v>543</v>
      </c>
      <c r="F1" s="12"/>
      <c r="G1" s="12"/>
      <c r="H1" s="21" t="s">
        <v>62</v>
      </c>
      <c r="I1" s="21"/>
      <c r="J1" s="21"/>
      <c r="K1" s="1170" t="s">
        <v>933</v>
      </c>
      <c r="L1" s="1074"/>
      <c r="M1" s="1075"/>
      <c r="N1" s="1075"/>
      <c r="O1" s="1075"/>
      <c r="P1" s="1075"/>
      <c r="Q1" s="22" t="s">
        <v>63</v>
      </c>
      <c r="R1" s="22"/>
      <c r="S1" s="22"/>
      <c r="T1" s="22"/>
      <c r="U1" s="22"/>
      <c r="V1" s="22"/>
      <c r="W1" s="22"/>
      <c r="X1" s="22"/>
      <c r="Y1" s="22"/>
      <c r="Z1" s="22"/>
      <c r="AA1" s="22"/>
      <c r="AB1" s="22"/>
      <c r="AC1" s="13"/>
      <c r="AD1" s="13"/>
      <c r="AE1" s="13"/>
      <c r="AF1" s="13"/>
      <c r="AG1" s="13"/>
      <c r="AH1" s="13"/>
      <c r="AI1" s="22"/>
      <c r="AJ1" s="22"/>
      <c r="AK1" s="22"/>
      <c r="AL1" s="22"/>
      <c r="AM1" s="22"/>
      <c r="AN1" s="22"/>
      <c r="AO1" s="22"/>
      <c r="AP1" s="22"/>
      <c r="AQ1" s="22"/>
      <c r="AR1" s="22"/>
      <c r="AT1" s="395"/>
      <c r="AU1" s="395"/>
      <c r="AV1" s="395"/>
      <c r="AW1" s="14"/>
      <c r="AX1" s="395" t="s">
        <v>64</v>
      </c>
      <c r="AY1" s="14"/>
      <c r="AZ1" s="14"/>
      <c r="BA1" s="14"/>
      <c r="BB1" s="14"/>
      <c r="BC1" s="14"/>
      <c r="BD1" s="14"/>
      <c r="BE1" s="14"/>
      <c r="BF1" s="23"/>
      <c r="BG1" s="23"/>
      <c r="BH1" s="23"/>
      <c r="BI1" s="23"/>
      <c r="BJ1" s="23"/>
      <c r="BK1" s="23"/>
      <c r="BL1" s="14"/>
      <c r="BM1" s="14"/>
      <c r="BN1" s="23"/>
      <c r="BO1" s="14"/>
      <c r="BP1" s="14"/>
      <c r="BQ1" s="14"/>
      <c r="BR1" s="14"/>
      <c r="BS1" s="14"/>
      <c r="BT1" s="14"/>
      <c r="BU1" s="14"/>
      <c r="BV1" s="14"/>
      <c r="BW1" s="816" t="s">
        <v>935</v>
      </c>
      <c r="BX1" s="566"/>
      <c r="BY1" s="566"/>
      <c r="BZ1" s="25" t="s">
        <v>65</v>
      </c>
      <c r="CA1" s="24"/>
      <c r="CB1" s="24"/>
      <c r="CC1" s="24"/>
      <c r="CD1" s="24"/>
      <c r="CE1" s="24"/>
      <c r="CF1" s="24"/>
      <c r="CG1" s="24"/>
      <c r="CH1" s="24"/>
      <c r="CI1" s="24"/>
      <c r="CJ1" s="24"/>
      <c r="CK1" s="15"/>
      <c r="CL1" s="15"/>
      <c r="CM1" s="15"/>
      <c r="CN1" s="15"/>
      <c r="CO1" s="15"/>
      <c r="CP1" s="15"/>
      <c r="CQ1" s="15"/>
      <c r="CR1" s="15"/>
      <c r="CS1" s="15"/>
      <c r="CT1" s="15"/>
      <c r="CU1" s="52"/>
      <c r="CV1" s="24"/>
      <c r="CW1" s="24"/>
      <c r="CX1" s="24"/>
      <c r="CY1" s="24"/>
      <c r="CZ1" s="24"/>
      <c r="DA1" s="24"/>
      <c r="DB1" s="24"/>
      <c r="DC1" s="82"/>
      <c r="DD1" s="82"/>
      <c r="DE1" s="82"/>
      <c r="DF1" s="82"/>
      <c r="DG1" s="82"/>
      <c r="DH1" s="82"/>
      <c r="DI1" s="82"/>
      <c r="DJ1" s="24"/>
      <c r="DK1" s="816" t="s">
        <v>66</v>
      </c>
      <c r="DL1" s="816"/>
      <c r="DM1" s="816"/>
      <c r="DN1" s="816"/>
      <c r="DO1" s="816"/>
      <c r="DP1" s="816"/>
      <c r="DQ1" s="816"/>
      <c r="DR1" s="816"/>
      <c r="DS1" s="816"/>
      <c r="DT1" s="816"/>
      <c r="DU1" s="816"/>
      <c r="DV1" s="816"/>
      <c r="DW1" s="816"/>
      <c r="DX1" s="816"/>
      <c r="DY1" s="816"/>
      <c r="DZ1" s="816"/>
      <c r="EA1" s="816"/>
      <c r="EB1" s="816"/>
      <c r="EC1" s="816"/>
      <c r="ED1" s="44"/>
      <c r="EE1" s="44"/>
      <c r="EF1" s="44"/>
      <c r="EG1" s="44"/>
      <c r="EH1" s="44"/>
      <c r="EI1" s="44"/>
      <c r="EJ1" s="817"/>
      <c r="EK1" s="16" t="s">
        <v>67</v>
      </c>
      <c r="EL1" s="26"/>
      <c r="EM1" s="16"/>
      <c r="EN1" s="16"/>
      <c r="EO1" s="16"/>
      <c r="EP1" s="26"/>
      <c r="EQ1" s="16"/>
      <c r="ER1" s="16"/>
      <c r="ES1" s="817" t="s">
        <v>936</v>
      </c>
      <c r="ET1" s="817"/>
      <c r="EU1" s="65"/>
      <c r="EV1" s="26"/>
      <c r="EW1" s="16"/>
      <c r="EX1" s="1241"/>
      <c r="EY1" s="16"/>
      <c r="EZ1" s="16"/>
      <c r="FA1" s="16"/>
      <c r="FB1" s="16"/>
      <c r="FC1" s="16"/>
      <c r="FD1" s="19"/>
      <c r="FE1" s="16"/>
      <c r="FF1" s="16"/>
      <c r="FG1" s="16"/>
      <c r="FH1" s="16"/>
      <c r="FI1" s="16"/>
      <c r="FJ1" s="16"/>
      <c r="FK1" s="16"/>
      <c r="FL1" s="16"/>
      <c r="FM1" s="16"/>
      <c r="FN1" s="16"/>
      <c r="FO1" s="16"/>
      <c r="FP1" s="16"/>
      <c r="FQ1" s="16"/>
      <c r="FR1" s="67"/>
      <c r="FS1" s="16"/>
      <c r="FT1" s="16"/>
      <c r="FU1" s="16"/>
      <c r="FV1" s="16"/>
      <c r="FW1" s="16"/>
      <c r="FX1" s="16"/>
      <c r="FY1" s="67"/>
      <c r="FZ1" s="16"/>
      <c r="GA1" s="16"/>
      <c r="GB1" s="16"/>
      <c r="GC1" s="16"/>
      <c r="GD1" s="16"/>
      <c r="GE1" s="16"/>
      <c r="GF1" s="16"/>
      <c r="GG1" s="16"/>
      <c r="GH1" s="16"/>
      <c r="GI1" s="16"/>
      <c r="GJ1" s="16"/>
      <c r="GK1" s="16"/>
      <c r="GL1" s="16"/>
      <c r="GM1" s="16"/>
      <c r="GN1" s="27" t="s">
        <v>68</v>
      </c>
      <c r="GO1" s="27"/>
      <c r="GP1" s="27"/>
      <c r="GQ1" s="27"/>
      <c r="GR1" s="27"/>
      <c r="GS1" s="27"/>
      <c r="GT1" s="27"/>
      <c r="GU1" s="27"/>
      <c r="GV1" s="27"/>
      <c r="GW1" s="27"/>
      <c r="GX1" s="27"/>
      <c r="GY1" s="27"/>
      <c r="GZ1" s="17"/>
      <c r="HA1" s="17"/>
      <c r="HB1" s="17"/>
      <c r="HC1" s="17"/>
      <c r="HD1" s="17"/>
      <c r="HE1" s="17"/>
      <c r="HF1" s="17"/>
      <c r="HG1" s="28"/>
      <c r="HH1" s="28"/>
      <c r="HI1" s="28"/>
      <c r="HJ1" s="28"/>
      <c r="HK1" s="28"/>
      <c r="HL1" s="28"/>
      <c r="HM1" s="28"/>
      <c r="HN1" s="28"/>
      <c r="HO1" s="28"/>
      <c r="HP1" s="28"/>
      <c r="HQ1" s="28"/>
      <c r="HR1" s="29"/>
      <c r="HS1" s="17"/>
      <c r="HT1" s="17"/>
      <c r="HU1" s="17"/>
      <c r="HV1" s="17"/>
      <c r="HW1" s="17"/>
      <c r="HX1" s="17"/>
      <c r="HY1" s="17"/>
      <c r="HZ1" s="63" t="s">
        <v>435</v>
      </c>
      <c r="IA1" s="54" t="s">
        <v>404</v>
      </c>
      <c r="IB1" s="54"/>
      <c r="IC1" s="54"/>
      <c r="ID1" s="54"/>
      <c r="IE1" s="54"/>
      <c r="IF1" s="54"/>
      <c r="IG1" s="54" t="s">
        <v>497</v>
      </c>
      <c r="IH1" s="54"/>
      <c r="II1" s="54"/>
      <c r="IJ1" s="54"/>
      <c r="IK1" s="54" t="s">
        <v>436</v>
      </c>
      <c r="IL1" s="54"/>
      <c r="IM1" s="54"/>
      <c r="IN1" s="54"/>
      <c r="IO1" s="747"/>
      <c r="IP1" s="817"/>
      <c r="IQ1" s="566" t="s">
        <v>653</v>
      </c>
      <c r="IR1" s="399" t="s">
        <v>476</v>
      </c>
      <c r="IS1" s="400"/>
      <c r="IT1" s="400"/>
      <c r="IU1" s="400"/>
      <c r="IV1" s="400"/>
      <c r="IW1" s="400"/>
      <c r="IX1" s="400"/>
      <c r="IY1" s="400"/>
      <c r="IZ1" s="400"/>
      <c r="JA1" s="400"/>
      <c r="JB1" s="400"/>
      <c r="JC1" s="401"/>
      <c r="JD1" s="54" t="s">
        <v>437</v>
      </c>
      <c r="JE1" s="54"/>
      <c r="JF1" s="54"/>
      <c r="JG1" s="54"/>
      <c r="JH1" s="54"/>
      <c r="JI1" s="54"/>
      <c r="JJ1" s="54"/>
      <c r="JK1" s="379"/>
      <c r="JL1" s="379"/>
      <c r="JM1" s="379"/>
      <c r="JN1" s="379"/>
      <c r="JO1" s="379"/>
      <c r="JP1" s="379"/>
      <c r="JQ1" s="379"/>
      <c r="JR1" s="54" t="s">
        <v>438</v>
      </c>
      <c r="JS1" s="54"/>
      <c r="JT1" s="54"/>
      <c r="JU1" s="54"/>
      <c r="JV1" s="54"/>
      <c r="JW1" s="54"/>
      <c r="JX1" s="54"/>
      <c r="JY1" s="566" t="s">
        <v>653</v>
      </c>
      <c r="JZ1" s="54"/>
      <c r="KA1" s="54"/>
      <c r="KB1" s="54"/>
      <c r="KC1" s="54"/>
      <c r="KD1" s="54"/>
      <c r="KE1" s="54"/>
      <c r="KF1" s="54"/>
      <c r="KG1" s="54"/>
      <c r="KH1" s="54"/>
      <c r="KI1" s="566" t="s">
        <v>653</v>
      </c>
      <c r="KJ1" s="2123" t="s">
        <v>476</v>
      </c>
      <c r="KK1" s="2124"/>
      <c r="KL1" s="2124"/>
      <c r="KM1" s="2124"/>
      <c r="KN1" s="2124"/>
      <c r="KO1" s="2124"/>
      <c r="KP1" s="2124"/>
      <c r="KQ1" s="2124"/>
      <c r="KR1" s="2124"/>
      <c r="KS1" s="2124"/>
      <c r="KT1" s="2124"/>
      <c r="KU1" s="2124"/>
      <c r="KV1" s="2125"/>
      <c r="KW1" s="772" t="s">
        <v>874</v>
      </c>
      <c r="KX1" s="64" t="s">
        <v>495</v>
      </c>
      <c r="KY1" s="53" t="s">
        <v>496</v>
      </c>
      <c r="KZ1" s="83"/>
      <c r="LA1" s="83"/>
      <c r="LB1" s="83"/>
      <c r="LC1" s="53"/>
      <c r="LD1" s="53"/>
      <c r="LE1" s="53"/>
      <c r="LF1" s="53"/>
      <c r="LG1" s="53"/>
      <c r="LH1" s="53"/>
      <c r="LI1" s="53"/>
      <c r="LJ1" s="53"/>
      <c r="LK1" s="53"/>
      <c r="LL1" s="53"/>
      <c r="LM1" s="53"/>
      <c r="LN1" s="53" t="s">
        <v>497</v>
      </c>
      <c r="LO1" s="53"/>
      <c r="LP1" s="53"/>
      <c r="LQ1" s="83"/>
      <c r="LR1" s="83"/>
      <c r="LS1" s="83"/>
      <c r="LT1" s="53" t="s">
        <v>498</v>
      </c>
      <c r="LU1" s="53"/>
      <c r="LV1" s="53"/>
      <c r="LW1" s="53"/>
      <c r="LX1" s="53"/>
      <c r="LY1" s="53"/>
      <c r="LZ1" s="53"/>
      <c r="MA1" s="53"/>
      <c r="MB1" s="53"/>
      <c r="MC1" s="53"/>
      <c r="MD1" s="53"/>
      <c r="ME1" s="53"/>
      <c r="MF1" s="53"/>
      <c r="MG1" s="53"/>
      <c r="MH1" s="53"/>
      <c r="MI1" s="53"/>
      <c r="MJ1" s="53"/>
      <c r="MK1" s="53"/>
      <c r="ML1" s="53"/>
      <c r="MM1" s="1230"/>
      <c r="MN1" s="1230"/>
      <c r="MO1" s="1230"/>
      <c r="MP1" s="1230"/>
      <c r="MQ1" s="83" t="s">
        <v>499</v>
      </c>
      <c r="MR1" s="83"/>
      <c r="MS1" s="83"/>
      <c r="MT1" s="83"/>
      <c r="MU1" s="83"/>
      <c r="MV1" s="83"/>
      <c r="MW1" s="83"/>
      <c r="MX1" s="83"/>
      <c r="MY1" s="83"/>
      <c r="MZ1" s="83"/>
      <c r="NA1" s="83"/>
      <c r="NB1" s="83"/>
      <c r="NC1" s="83"/>
      <c r="ND1" s="83"/>
      <c r="NE1" s="83"/>
      <c r="NF1" s="83"/>
      <c r="NG1" s="83"/>
      <c r="NH1" s="83"/>
      <c r="NI1" s="83"/>
      <c r="NJ1" s="83"/>
      <c r="NK1" s="83"/>
      <c r="NL1" s="83"/>
      <c r="NM1" s="53"/>
      <c r="NN1" s="53" t="s">
        <v>502</v>
      </c>
      <c r="NO1" s="53"/>
      <c r="NP1" s="53"/>
      <c r="NQ1" s="53"/>
      <c r="NR1" s="53"/>
      <c r="NS1" s="53"/>
      <c r="NT1" s="53"/>
      <c r="NU1" s="53"/>
      <c r="NV1" s="53"/>
      <c r="NW1" s="53"/>
      <c r="NX1" s="53"/>
      <c r="NY1" s="53"/>
      <c r="NZ1" s="53"/>
      <c r="OA1" s="53"/>
      <c r="OB1" s="53"/>
      <c r="OC1" s="53"/>
      <c r="OD1" s="53"/>
      <c r="OE1" s="53"/>
      <c r="OF1" s="53"/>
      <c r="OG1" s="53"/>
      <c r="OH1" s="53"/>
      <c r="OI1" s="53"/>
      <c r="OJ1" s="53"/>
      <c r="OK1" s="53"/>
      <c r="OL1" s="53"/>
      <c r="OM1" s="53"/>
      <c r="ON1" s="53"/>
      <c r="OO1" s="53"/>
      <c r="OP1" s="53"/>
      <c r="OQ1" s="53"/>
      <c r="OR1" s="53" t="s">
        <v>1292</v>
      </c>
      <c r="OS1" s="53"/>
      <c r="OT1" s="53"/>
      <c r="OU1" s="53" t="s">
        <v>512</v>
      </c>
      <c r="OV1" s="53"/>
      <c r="OW1" s="53"/>
      <c r="OX1" s="53"/>
      <c r="OY1" s="53"/>
      <c r="OZ1" s="53"/>
      <c r="PA1" s="53"/>
      <c r="PB1" s="53"/>
      <c r="PC1" s="53"/>
      <c r="PD1" s="53"/>
      <c r="PE1" s="53"/>
      <c r="PF1" s="53"/>
      <c r="PG1" s="53"/>
      <c r="PH1" s="53"/>
      <c r="PI1" s="53"/>
      <c r="PJ1" s="53"/>
      <c r="PK1" s="53"/>
      <c r="PL1" s="53"/>
      <c r="PM1" s="53"/>
    </row>
    <row r="2" spans="1:429" s="1329" customFormat="1" ht="112.5" customHeight="1">
      <c r="A2" s="2054" t="s">
        <v>954</v>
      </c>
      <c r="B2" s="1289" t="s">
        <v>257</v>
      </c>
      <c r="C2" s="1289"/>
      <c r="D2" s="1290" t="s">
        <v>540</v>
      </c>
      <c r="E2" s="1529" t="s">
        <v>544</v>
      </c>
      <c r="F2" s="1290" t="s">
        <v>99</v>
      </c>
      <c r="G2" s="1290" t="s">
        <v>100</v>
      </c>
      <c r="H2" s="1291" t="s">
        <v>81</v>
      </c>
      <c r="I2" s="1291" t="s">
        <v>71</v>
      </c>
      <c r="J2" s="1291" t="s">
        <v>4</v>
      </c>
      <c r="K2" s="1343" t="s">
        <v>934</v>
      </c>
      <c r="L2" s="1341" t="s">
        <v>101</v>
      </c>
      <c r="M2" s="1342" t="s">
        <v>102</v>
      </c>
      <c r="N2" s="1342" t="s">
        <v>103</v>
      </c>
      <c r="O2" s="1342" t="s">
        <v>104</v>
      </c>
      <c r="P2" s="1342" t="s">
        <v>105</v>
      </c>
      <c r="Q2" s="1292" t="s">
        <v>106</v>
      </c>
      <c r="R2" s="1292" t="s">
        <v>107</v>
      </c>
      <c r="S2" s="1292" t="s">
        <v>108</v>
      </c>
      <c r="T2" s="1318" t="s">
        <v>109</v>
      </c>
      <c r="U2" s="1318" t="s">
        <v>110</v>
      </c>
      <c r="V2" s="1318" t="s">
        <v>111</v>
      </c>
      <c r="W2" s="1292" t="s">
        <v>120</v>
      </c>
      <c r="X2" s="1292" t="s">
        <v>121</v>
      </c>
      <c r="Y2" s="1318" t="s">
        <v>122</v>
      </c>
      <c r="Z2" s="1318" t="s">
        <v>123</v>
      </c>
      <c r="AA2" s="1292" t="s">
        <v>115</v>
      </c>
      <c r="AB2" s="1292" t="s">
        <v>114</v>
      </c>
      <c r="AC2" s="1318" t="s">
        <v>113</v>
      </c>
      <c r="AD2" s="1318" t="s">
        <v>112</v>
      </c>
      <c r="AE2" s="1293" t="s">
        <v>116</v>
      </c>
      <c r="AF2" s="1293" t="s">
        <v>124</v>
      </c>
      <c r="AG2" s="1318" t="s">
        <v>125</v>
      </c>
      <c r="AH2" s="1293" t="s">
        <v>117</v>
      </c>
      <c r="AI2" s="1292" t="s">
        <v>127</v>
      </c>
      <c r="AJ2" s="1318" t="s">
        <v>126</v>
      </c>
      <c r="AK2" s="1353" t="s">
        <v>1296</v>
      </c>
      <c r="AL2" s="1353" t="s">
        <v>1167</v>
      </c>
      <c r="AM2" s="1292" t="s">
        <v>118</v>
      </c>
      <c r="AN2" s="1318" t="s">
        <v>119</v>
      </c>
      <c r="AO2" s="1292" t="s">
        <v>128</v>
      </c>
      <c r="AP2" s="1292" t="s">
        <v>61</v>
      </c>
      <c r="AQ2" s="1292" t="s">
        <v>129</v>
      </c>
      <c r="AR2" s="1292" t="s">
        <v>130</v>
      </c>
      <c r="AS2" s="1344" t="s">
        <v>53</v>
      </c>
      <c r="AT2" s="1344" t="s">
        <v>54</v>
      </c>
      <c r="AU2" s="1344" t="s">
        <v>55</v>
      </c>
      <c r="AV2" s="1344" t="s">
        <v>56</v>
      </c>
      <c r="AW2" s="1319" t="s">
        <v>131</v>
      </c>
      <c r="AX2" s="1345" t="s">
        <v>1174</v>
      </c>
      <c r="AY2" s="1345" t="s">
        <v>1168</v>
      </c>
      <c r="AZ2" s="1345" t="s">
        <v>1169</v>
      </c>
      <c r="BA2" s="1345" t="s">
        <v>1170</v>
      </c>
      <c r="BB2" s="1345" t="s">
        <v>1171</v>
      </c>
      <c r="BC2" s="1345" t="s">
        <v>1172</v>
      </c>
      <c r="BD2" s="1345" t="s">
        <v>1173</v>
      </c>
      <c r="BE2" s="1295" t="s">
        <v>132</v>
      </c>
      <c r="BF2" s="1295" t="s">
        <v>133</v>
      </c>
      <c r="BG2" s="1295" t="s">
        <v>896</v>
      </c>
      <c r="BH2" s="1295" t="s">
        <v>897</v>
      </c>
      <c r="BI2" s="1345" t="s">
        <v>1175</v>
      </c>
      <c r="BJ2" s="1295" t="s">
        <v>134</v>
      </c>
      <c r="BK2" s="1295" t="s">
        <v>135</v>
      </c>
      <c r="BL2" s="1294" t="s">
        <v>136</v>
      </c>
      <c r="BM2" s="1294" t="s">
        <v>137</v>
      </c>
      <c r="BN2" s="1295" t="s">
        <v>140</v>
      </c>
      <c r="BO2" s="1319" t="s">
        <v>138</v>
      </c>
      <c r="BP2" s="1345" t="s">
        <v>1176</v>
      </c>
      <c r="BQ2" s="1345" t="s">
        <v>1177</v>
      </c>
      <c r="BR2" s="1345" t="s">
        <v>1178</v>
      </c>
      <c r="BS2" s="1296" t="s">
        <v>139</v>
      </c>
      <c r="BT2" s="1345" t="s">
        <v>1231</v>
      </c>
      <c r="BU2" s="1345" t="s">
        <v>1179</v>
      </c>
      <c r="BV2" s="1345" t="s">
        <v>1267</v>
      </c>
      <c r="BW2" s="1345" t="s">
        <v>1234</v>
      </c>
      <c r="BX2" s="1345" t="s">
        <v>1268</v>
      </c>
      <c r="BY2" s="1345" t="s">
        <v>1269</v>
      </c>
      <c r="BZ2" s="1297" t="s">
        <v>7</v>
      </c>
      <c r="CA2" s="1298" t="s">
        <v>8</v>
      </c>
      <c r="CB2" s="1298" t="s">
        <v>9</v>
      </c>
      <c r="CC2" s="1299" t="s">
        <v>141</v>
      </c>
      <c r="CD2" s="1298" t="s">
        <v>45</v>
      </c>
      <c r="CE2" s="1298" t="s">
        <v>142</v>
      </c>
      <c r="CF2" s="1298" t="s">
        <v>143</v>
      </c>
      <c r="CG2" s="1298" t="s">
        <v>144</v>
      </c>
      <c r="CH2" s="1298" t="s">
        <v>12</v>
      </c>
      <c r="CI2" s="1298" t="s">
        <v>145</v>
      </c>
      <c r="CJ2" s="1298" t="s">
        <v>58</v>
      </c>
      <c r="CK2" s="1311" t="s">
        <v>184</v>
      </c>
      <c r="CL2" s="1311" t="s">
        <v>185</v>
      </c>
      <c r="CM2" s="1311" t="s">
        <v>186</v>
      </c>
      <c r="CN2" s="1311" t="s">
        <v>187</v>
      </c>
      <c r="CO2" s="1311" t="s">
        <v>188</v>
      </c>
      <c r="CP2" s="1311" t="s">
        <v>189</v>
      </c>
      <c r="CQ2" s="1311" t="s">
        <v>190</v>
      </c>
      <c r="CR2" s="1311" t="s">
        <v>191</v>
      </c>
      <c r="CS2" s="1311" t="s">
        <v>192</v>
      </c>
      <c r="CT2" s="1311" t="s">
        <v>193</v>
      </c>
      <c r="CU2" s="1311" t="s">
        <v>194</v>
      </c>
      <c r="CV2" s="1298" t="s">
        <v>16</v>
      </c>
      <c r="CW2" s="1298" t="s">
        <v>17</v>
      </c>
      <c r="CX2" s="1298" t="s">
        <v>18</v>
      </c>
      <c r="CY2" s="1298" t="s">
        <v>19</v>
      </c>
      <c r="CZ2" s="1298" t="s">
        <v>41</v>
      </c>
      <c r="DA2" s="1298" t="s">
        <v>20</v>
      </c>
      <c r="DB2" s="1298" t="s">
        <v>59</v>
      </c>
      <c r="DC2" s="1312" t="s">
        <v>195</v>
      </c>
      <c r="DD2" s="1312" t="s">
        <v>196</v>
      </c>
      <c r="DE2" s="1312" t="s">
        <v>197</v>
      </c>
      <c r="DF2" s="1312" t="s">
        <v>198</v>
      </c>
      <c r="DG2" s="1312" t="s">
        <v>199</v>
      </c>
      <c r="DH2" s="1312" t="s">
        <v>200</v>
      </c>
      <c r="DI2" s="1312" t="s">
        <v>201</v>
      </c>
      <c r="DJ2" s="1298" t="s">
        <v>146</v>
      </c>
      <c r="DK2" s="1300" t="s">
        <v>1270</v>
      </c>
      <c r="DL2" s="1300" t="s">
        <v>1271</v>
      </c>
      <c r="DM2" s="1300" t="s">
        <v>1272</v>
      </c>
      <c r="DN2" s="1301" t="s">
        <v>1273</v>
      </c>
      <c r="DO2" s="1300" t="s">
        <v>1274</v>
      </c>
      <c r="DP2" s="1300" t="s">
        <v>1275</v>
      </c>
      <c r="DQ2" s="1300" t="s">
        <v>1276</v>
      </c>
      <c r="DR2" s="1300" t="s">
        <v>1277</v>
      </c>
      <c r="DS2" s="1300" t="s">
        <v>1278</v>
      </c>
      <c r="DT2" s="1300" t="s">
        <v>1279</v>
      </c>
      <c r="DU2" s="1300" t="s">
        <v>1280</v>
      </c>
      <c r="DV2" s="1300" t="s">
        <v>1281</v>
      </c>
      <c r="DW2" s="1300" t="s">
        <v>1282</v>
      </c>
      <c r="DX2" s="1300" t="s">
        <v>1283</v>
      </c>
      <c r="DY2" s="1300" t="s">
        <v>1284</v>
      </c>
      <c r="DZ2" s="1300" t="s">
        <v>1285</v>
      </c>
      <c r="EA2" s="1300" t="s">
        <v>1286</v>
      </c>
      <c r="EB2" s="1300" t="s">
        <v>1287</v>
      </c>
      <c r="EC2" s="1300" t="s">
        <v>1288</v>
      </c>
      <c r="ED2" s="1300" t="s">
        <v>166</v>
      </c>
      <c r="EE2" s="1300" t="s">
        <v>167</v>
      </c>
      <c r="EF2" s="1300" t="s">
        <v>168</v>
      </c>
      <c r="EG2" s="1354" t="s">
        <v>1180</v>
      </c>
      <c r="EH2" s="1354" t="s">
        <v>1181</v>
      </c>
      <c r="EI2" s="1354" t="s">
        <v>1182</v>
      </c>
      <c r="EJ2" s="1300" t="s">
        <v>1246</v>
      </c>
      <c r="EK2" s="1290" t="s">
        <v>169</v>
      </c>
      <c r="EL2" s="1302" t="s">
        <v>170</v>
      </c>
      <c r="EM2" s="1290" t="s">
        <v>171</v>
      </c>
      <c r="EN2" s="1290" t="s">
        <v>172</v>
      </c>
      <c r="EO2" s="1339" t="s">
        <v>183</v>
      </c>
      <c r="EP2" s="1302" t="s">
        <v>173</v>
      </c>
      <c r="EQ2" s="1290" t="s">
        <v>174</v>
      </c>
      <c r="ER2" s="1346" t="s">
        <v>1183</v>
      </c>
      <c r="ES2" s="1346" t="s">
        <v>1252</v>
      </c>
      <c r="ET2" s="1346" t="s">
        <v>1253</v>
      </c>
      <c r="EU2" s="1346" t="s">
        <v>1382</v>
      </c>
      <c r="EV2" s="1302" t="s">
        <v>175</v>
      </c>
      <c r="EW2" s="1290" t="s">
        <v>176</v>
      </c>
      <c r="EX2" s="1346" t="s">
        <v>1353</v>
      </c>
      <c r="EY2" s="1290" t="s">
        <v>177</v>
      </c>
      <c r="EZ2" s="1290" t="s">
        <v>22</v>
      </c>
      <c r="FA2" s="1290" t="s">
        <v>23</v>
      </c>
      <c r="FB2" s="1290" t="s">
        <v>12</v>
      </c>
      <c r="FC2" s="1290" t="s">
        <v>24</v>
      </c>
      <c r="FD2" s="1290" t="s">
        <v>25</v>
      </c>
      <c r="FE2" s="1290" t="s">
        <v>178</v>
      </c>
      <c r="FF2" s="1290" t="s">
        <v>508</v>
      </c>
      <c r="FG2" s="1290" t="s">
        <v>509</v>
      </c>
      <c r="FH2" s="1313" t="s">
        <v>202</v>
      </c>
      <c r="FI2" s="1313" t="s">
        <v>203</v>
      </c>
      <c r="FJ2" s="1313" t="s">
        <v>204</v>
      </c>
      <c r="FK2" s="1313" t="s">
        <v>192</v>
      </c>
      <c r="FL2" s="1313" t="s">
        <v>205</v>
      </c>
      <c r="FM2" s="1313" t="s">
        <v>206</v>
      </c>
      <c r="FN2" s="1313" t="s">
        <v>207</v>
      </c>
      <c r="FO2" s="1313" t="s">
        <v>208</v>
      </c>
      <c r="FP2" s="1313" t="s">
        <v>209</v>
      </c>
      <c r="FQ2" s="1290" t="s">
        <v>561</v>
      </c>
      <c r="FR2" s="1310" t="s">
        <v>562</v>
      </c>
      <c r="FS2" s="1290" t="s">
        <v>31</v>
      </c>
      <c r="FT2" s="1290" t="s">
        <v>32</v>
      </c>
      <c r="FU2" s="1290" t="s">
        <v>48</v>
      </c>
      <c r="FV2" s="1290" t="s">
        <v>70</v>
      </c>
      <c r="FW2" s="1290" t="s">
        <v>42</v>
      </c>
      <c r="FX2" s="1290" t="s">
        <v>33</v>
      </c>
      <c r="FY2" s="1310" t="s">
        <v>34</v>
      </c>
      <c r="FZ2" s="1290" t="s">
        <v>210</v>
      </c>
      <c r="GA2" s="1290" t="s">
        <v>211</v>
      </c>
      <c r="GB2" s="1290" t="s">
        <v>212</v>
      </c>
      <c r="GC2" s="1290" t="s">
        <v>213</v>
      </c>
      <c r="GD2" s="1290" t="s">
        <v>214</v>
      </c>
      <c r="GE2" s="1290" t="s">
        <v>215</v>
      </c>
      <c r="GF2" s="1290" t="s">
        <v>216</v>
      </c>
      <c r="GG2" s="1290" t="s">
        <v>217</v>
      </c>
      <c r="GH2" s="1290" t="s">
        <v>218</v>
      </c>
      <c r="GI2" s="1290" t="s">
        <v>35</v>
      </c>
      <c r="GJ2" s="1290" t="s">
        <v>180</v>
      </c>
      <c r="GK2" s="1290" t="s">
        <v>181</v>
      </c>
      <c r="GL2" s="1290" t="s">
        <v>179</v>
      </c>
      <c r="GM2" s="1290" t="s">
        <v>182</v>
      </c>
      <c r="GN2" s="1314" t="s">
        <v>237</v>
      </c>
      <c r="GO2" s="1644" t="s">
        <v>219</v>
      </c>
      <c r="GP2" s="1314" t="s">
        <v>220</v>
      </c>
      <c r="GQ2" s="1314" t="s">
        <v>221</v>
      </c>
      <c r="GR2" s="1314" t="s">
        <v>222</v>
      </c>
      <c r="GS2" s="1314" t="s">
        <v>223</v>
      </c>
      <c r="GT2" s="1314" t="s">
        <v>224</v>
      </c>
      <c r="GU2" s="1314" t="s">
        <v>225</v>
      </c>
      <c r="GV2" s="1314" t="s">
        <v>226</v>
      </c>
      <c r="GW2" s="1314" t="s">
        <v>227</v>
      </c>
      <c r="GX2" s="1314" t="s">
        <v>228</v>
      </c>
      <c r="GY2" s="1644" t="s">
        <v>229</v>
      </c>
      <c r="GZ2" s="1315" t="s">
        <v>230</v>
      </c>
      <c r="HA2" s="1315" t="s">
        <v>231</v>
      </c>
      <c r="HB2" s="1315" t="s">
        <v>232</v>
      </c>
      <c r="HC2" s="1315" t="s">
        <v>233</v>
      </c>
      <c r="HD2" s="1315" t="s">
        <v>234</v>
      </c>
      <c r="HE2" s="1315" t="s">
        <v>235</v>
      </c>
      <c r="HF2" s="1315" t="s">
        <v>236</v>
      </c>
      <c r="HG2" s="1316" t="s">
        <v>238</v>
      </c>
      <c r="HH2" s="1316" t="s">
        <v>239</v>
      </c>
      <c r="HI2" s="1316" t="s">
        <v>240</v>
      </c>
      <c r="HJ2" s="1316" t="s">
        <v>241</v>
      </c>
      <c r="HK2" s="1316" t="s">
        <v>242</v>
      </c>
      <c r="HL2" s="1316" t="s">
        <v>243</v>
      </c>
      <c r="HM2" s="1316" t="s">
        <v>244</v>
      </c>
      <c r="HN2" s="1316" t="s">
        <v>245</v>
      </c>
      <c r="HO2" s="1316" t="s">
        <v>246</v>
      </c>
      <c r="HP2" s="1316" t="s">
        <v>247</v>
      </c>
      <c r="HQ2" s="1316" t="s">
        <v>248</v>
      </c>
      <c r="HR2" s="1316" t="s">
        <v>249</v>
      </c>
      <c r="HS2" s="1315" t="s">
        <v>250</v>
      </c>
      <c r="HT2" s="1315" t="s">
        <v>251</v>
      </c>
      <c r="HU2" s="1315" t="s">
        <v>252</v>
      </c>
      <c r="HV2" s="1315" t="s">
        <v>253</v>
      </c>
      <c r="HW2" s="1315" t="s">
        <v>254</v>
      </c>
      <c r="HX2" s="1315" t="s">
        <v>255</v>
      </c>
      <c r="HY2" s="1315" t="s">
        <v>256</v>
      </c>
      <c r="HZ2" s="1308" t="s">
        <v>439</v>
      </c>
      <c r="IA2" s="1304" t="s">
        <v>405</v>
      </c>
      <c r="IB2" s="1304" t="s">
        <v>406</v>
      </c>
      <c r="IC2" s="1304" t="s">
        <v>457</v>
      </c>
      <c r="ID2" s="1304" t="s">
        <v>458</v>
      </c>
      <c r="IE2" s="1304" t="s">
        <v>563</v>
      </c>
      <c r="IF2" s="1304" t="s">
        <v>564</v>
      </c>
      <c r="IG2" s="1355" t="s">
        <v>1378</v>
      </c>
      <c r="IH2" s="1355" t="s">
        <v>1393</v>
      </c>
      <c r="II2" s="1357" t="s">
        <v>1388</v>
      </c>
      <c r="IJ2" s="1357" t="s">
        <v>1389</v>
      </c>
      <c r="IK2" s="1305" t="s">
        <v>473</v>
      </c>
      <c r="IL2" s="1305" t="s">
        <v>390</v>
      </c>
      <c r="IM2" s="1305" t="s">
        <v>475</v>
      </c>
      <c r="IN2" s="1305" t="s">
        <v>474</v>
      </c>
      <c r="IO2" s="1335" t="s">
        <v>427</v>
      </c>
      <c r="IP2" s="1338" t="s">
        <v>427</v>
      </c>
      <c r="IQ2" s="1333" t="s">
        <v>645</v>
      </c>
      <c r="IR2" s="1330" t="s">
        <v>525</v>
      </c>
      <c r="IS2" s="1330" t="s">
        <v>526</v>
      </c>
      <c r="IT2" s="1330" t="s">
        <v>527</v>
      </c>
      <c r="IU2" s="1330" t="s">
        <v>528</v>
      </c>
      <c r="IV2" s="1330" t="s">
        <v>529</v>
      </c>
      <c r="IW2" s="1330" t="s">
        <v>530</v>
      </c>
      <c r="IX2" s="1330" t="s">
        <v>531</v>
      </c>
      <c r="IY2" s="1330" t="s">
        <v>532</v>
      </c>
      <c r="IZ2" s="1330" t="s">
        <v>533</v>
      </c>
      <c r="JA2" s="1330" t="s">
        <v>534</v>
      </c>
      <c r="JB2" s="1330" t="s">
        <v>535</v>
      </c>
      <c r="JC2" s="1330" t="s">
        <v>536</v>
      </c>
      <c r="JD2" s="1317" t="s">
        <v>470</v>
      </c>
      <c r="JE2" s="1317" t="s">
        <v>311</v>
      </c>
      <c r="JF2" s="1317" t="s">
        <v>471</v>
      </c>
      <c r="JG2" s="1317" t="s">
        <v>472</v>
      </c>
      <c r="JH2" s="1317" t="s">
        <v>411</v>
      </c>
      <c r="JI2" s="1317" t="s">
        <v>446</v>
      </c>
      <c r="JJ2" s="1317" t="s">
        <v>447</v>
      </c>
      <c r="JK2" s="1332" t="s">
        <v>601</v>
      </c>
      <c r="JL2" s="1332" t="s">
        <v>602</v>
      </c>
      <c r="JM2" s="1332" t="s">
        <v>603</v>
      </c>
      <c r="JN2" s="1332" t="s">
        <v>604</v>
      </c>
      <c r="JO2" s="1332" t="s">
        <v>605</v>
      </c>
      <c r="JP2" s="1332" t="s">
        <v>606</v>
      </c>
      <c r="JQ2" s="1332" t="s">
        <v>607</v>
      </c>
      <c r="JR2" s="1306" t="s">
        <v>392</v>
      </c>
      <c r="JS2" s="1306" t="s">
        <v>393</v>
      </c>
      <c r="JT2" s="1306" t="s">
        <v>394</v>
      </c>
      <c r="JU2" s="1306" t="s">
        <v>395</v>
      </c>
      <c r="JV2" s="1306" t="s">
        <v>396</v>
      </c>
      <c r="JW2" s="1306" t="s">
        <v>397</v>
      </c>
      <c r="JX2" s="1306" t="s">
        <v>441</v>
      </c>
      <c r="JY2" s="1334" t="s">
        <v>731</v>
      </c>
      <c r="JZ2" s="1306" t="s">
        <v>398</v>
      </c>
      <c r="KA2" s="1306" t="s">
        <v>399</v>
      </c>
      <c r="KB2" s="1306" t="s">
        <v>400</v>
      </c>
      <c r="KC2" s="1306" t="s">
        <v>401</v>
      </c>
      <c r="KD2" s="1306" t="s">
        <v>402</v>
      </c>
      <c r="KE2" s="1306" t="s">
        <v>403</v>
      </c>
      <c r="KF2" s="1306" t="s">
        <v>409</v>
      </c>
      <c r="KG2" s="1306" t="s">
        <v>410</v>
      </c>
      <c r="KH2" s="1306" t="s">
        <v>442</v>
      </c>
      <c r="KI2" s="1334" t="s">
        <v>730</v>
      </c>
      <c r="KJ2" s="1307" t="s">
        <v>477</v>
      </c>
      <c r="KK2" s="1307" t="s">
        <v>478</v>
      </c>
      <c r="KL2" s="1307" t="s">
        <v>479</v>
      </c>
      <c r="KM2" s="1307" t="s">
        <v>480</v>
      </c>
      <c r="KN2" s="1307" t="s">
        <v>481</v>
      </c>
      <c r="KO2" s="1307" t="s">
        <v>482</v>
      </c>
      <c r="KP2" s="1307" t="s">
        <v>483</v>
      </c>
      <c r="KQ2" s="1307" t="s">
        <v>484</v>
      </c>
      <c r="KR2" s="1307" t="s">
        <v>485</v>
      </c>
      <c r="KS2" s="1307" t="s">
        <v>486</v>
      </c>
      <c r="KT2" s="1307" t="s">
        <v>983</v>
      </c>
      <c r="KU2" s="1307" t="s">
        <v>984</v>
      </c>
      <c r="KV2" s="1307" t="s">
        <v>876</v>
      </c>
      <c r="KW2" s="1336" t="s">
        <v>875</v>
      </c>
      <c r="KX2" s="1309" t="s">
        <v>545</v>
      </c>
      <c r="KY2" s="1318" t="s">
        <v>487</v>
      </c>
      <c r="KZ2" s="1318"/>
      <c r="LA2" s="1318" t="s">
        <v>489</v>
      </c>
      <c r="LB2" s="1318"/>
      <c r="LC2" s="1318" t="s">
        <v>488</v>
      </c>
      <c r="LD2" s="1318"/>
      <c r="LE2" s="1318" t="s">
        <v>490</v>
      </c>
      <c r="LF2" s="1318"/>
      <c r="LG2" s="1318" t="s">
        <v>491</v>
      </c>
      <c r="LH2" s="1318" t="s">
        <v>494</v>
      </c>
      <c r="LI2" s="1318" t="s">
        <v>492</v>
      </c>
      <c r="LJ2" s="1318" t="s">
        <v>493</v>
      </c>
      <c r="LK2" s="1318"/>
      <c r="LL2" s="1318" t="s">
        <v>542</v>
      </c>
      <c r="LM2" s="1318" t="s">
        <v>1295</v>
      </c>
      <c r="LN2" s="1319" t="s">
        <v>1349</v>
      </c>
      <c r="LO2" s="1319" t="s">
        <v>898</v>
      </c>
      <c r="LP2" s="1319" t="s">
        <v>136</v>
      </c>
      <c r="LQ2" s="1352" t="s">
        <v>1234</v>
      </c>
      <c r="LR2" s="1352" t="s">
        <v>1268</v>
      </c>
      <c r="LS2" s="1352" t="s">
        <v>1269</v>
      </c>
      <c r="LT2" s="1320" t="s">
        <v>184</v>
      </c>
      <c r="LU2" s="1320" t="s">
        <v>185</v>
      </c>
      <c r="LV2" s="1320" t="s">
        <v>186</v>
      </c>
      <c r="LW2" s="1320" t="s">
        <v>187</v>
      </c>
      <c r="LX2" s="1320" t="s">
        <v>188</v>
      </c>
      <c r="LY2" s="1320" t="s">
        <v>189</v>
      </c>
      <c r="LZ2" s="1320" t="s">
        <v>190</v>
      </c>
      <c r="MA2" s="1320" t="s">
        <v>191</v>
      </c>
      <c r="MB2" s="1320" t="s">
        <v>192</v>
      </c>
      <c r="MC2" s="1320" t="s">
        <v>193</v>
      </c>
      <c r="MD2" s="1320" t="s">
        <v>194</v>
      </c>
      <c r="ME2" s="1320" t="s">
        <v>195</v>
      </c>
      <c r="MF2" s="1320" t="s">
        <v>196</v>
      </c>
      <c r="MG2" s="1320" t="s">
        <v>197</v>
      </c>
      <c r="MH2" s="1320" t="s">
        <v>198</v>
      </c>
      <c r="MI2" s="1320" t="s">
        <v>199</v>
      </c>
      <c r="MJ2" s="1320" t="s">
        <v>200</v>
      </c>
      <c r="MK2" s="1320" t="s">
        <v>201</v>
      </c>
      <c r="ML2" s="1320" t="s">
        <v>146</v>
      </c>
      <c r="MM2" s="1320" t="s">
        <v>1294</v>
      </c>
      <c r="MN2" s="1320" t="s">
        <v>1347</v>
      </c>
      <c r="MO2" s="1320" t="s">
        <v>1348</v>
      </c>
      <c r="MP2" s="1320" t="s">
        <v>1350</v>
      </c>
      <c r="MQ2" s="1351" t="s">
        <v>1041</v>
      </c>
      <c r="MR2" s="1321" t="s">
        <v>147</v>
      </c>
      <c r="MS2" s="1321" t="s">
        <v>148</v>
      </c>
      <c r="MT2" s="1321" t="s">
        <v>149</v>
      </c>
      <c r="MU2" s="1322" t="s">
        <v>150</v>
      </c>
      <c r="MV2" s="1321" t="s">
        <v>151</v>
      </c>
      <c r="MW2" s="1321" t="s">
        <v>152</v>
      </c>
      <c r="MX2" s="1321" t="s">
        <v>153</v>
      </c>
      <c r="MY2" s="1321" t="s">
        <v>154</v>
      </c>
      <c r="MZ2" s="1321" t="s">
        <v>155</v>
      </c>
      <c r="NA2" s="1321" t="s">
        <v>156</v>
      </c>
      <c r="NB2" s="1321" t="s">
        <v>157</v>
      </c>
      <c r="NC2" s="1321" t="s">
        <v>500</v>
      </c>
      <c r="ND2" s="1321" t="s">
        <v>158</v>
      </c>
      <c r="NE2" s="1321" t="s">
        <v>159</v>
      </c>
      <c r="NF2" s="1321" t="s">
        <v>160</v>
      </c>
      <c r="NG2" s="1321" t="s">
        <v>161</v>
      </c>
      <c r="NH2" s="1321" t="s">
        <v>162</v>
      </c>
      <c r="NI2" s="1321" t="s">
        <v>163</v>
      </c>
      <c r="NJ2" s="1321" t="s">
        <v>164</v>
      </c>
      <c r="NK2" s="1321" t="s">
        <v>560</v>
      </c>
      <c r="NL2" s="1321" t="s">
        <v>165</v>
      </c>
      <c r="NM2" s="1321" t="s">
        <v>501</v>
      </c>
      <c r="NN2" s="1323" t="s">
        <v>513</v>
      </c>
      <c r="NO2" s="1323" t="s">
        <v>50</v>
      </c>
      <c r="NP2" s="1323" t="s">
        <v>51</v>
      </c>
      <c r="NQ2" s="1323" t="s">
        <v>503</v>
      </c>
      <c r="NR2" s="1323" t="s">
        <v>504</v>
      </c>
      <c r="NS2" s="1323" t="s">
        <v>505</v>
      </c>
      <c r="NT2" s="1323" t="s">
        <v>506</v>
      </c>
      <c r="NU2" s="1323" t="s">
        <v>507</v>
      </c>
      <c r="NV2" s="1324" t="s">
        <v>202</v>
      </c>
      <c r="NW2" s="1324" t="s">
        <v>203</v>
      </c>
      <c r="NX2" s="1324" t="s">
        <v>204</v>
      </c>
      <c r="NY2" s="1324" t="s">
        <v>192</v>
      </c>
      <c r="NZ2" s="1324" t="s">
        <v>205</v>
      </c>
      <c r="OA2" s="1324" t="s">
        <v>206</v>
      </c>
      <c r="OB2" s="1324" t="s">
        <v>207</v>
      </c>
      <c r="OC2" s="1324" t="s">
        <v>208</v>
      </c>
      <c r="OD2" s="1324" t="s">
        <v>209</v>
      </c>
      <c r="OE2" s="1324" t="s">
        <v>511</v>
      </c>
      <c r="OF2" s="1324" t="s">
        <v>510</v>
      </c>
      <c r="OG2" s="1325" t="s">
        <v>210</v>
      </c>
      <c r="OH2" s="1325" t="s">
        <v>211</v>
      </c>
      <c r="OI2" s="1325" t="s">
        <v>212</v>
      </c>
      <c r="OJ2" s="1325" t="s">
        <v>213</v>
      </c>
      <c r="OK2" s="1325" t="s">
        <v>214</v>
      </c>
      <c r="OL2" s="1325" t="s">
        <v>215</v>
      </c>
      <c r="OM2" s="1325" t="s">
        <v>216</v>
      </c>
      <c r="ON2" s="1325" t="s">
        <v>217</v>
      </c>
      <c r="OO2" s="1325" t="s">
        <v>218</v>
      </c>
      <c r="OP2" s="1325" t="s">
        <v>555</v>
      </c>
      <c r="OQ2" s="1325" t="s">
        <v>556</v>
      </c>
      <c r="OR2" s="1325" t="s">
        <v>1293</v>
      </c>
      <c r="OS2" s="1326" t="s">
        <v>1351</v>
      </c>
      <c r="OT2" s="1326" t="s">
        <v>1352</v>
      </c>
      <c r="OU2" s="1326" t="s">
        <v>228</v>
      </c>
      <c r="OV2" s="1326" t="s">
        <v>229</v>
      </c>
      <c r="OW2" s="1327" t="s">
        <v>230</v>
      </c>
      <c r="OX2" s="1327" t="s">
        <v>231</v>
      </c>
      <c r="OY2" s="1327" t="s">
        <v>232</v>
      </c>
      <c r="OZ2" s="1327" t="s">
        <v>233</v>
      </c>
      <c r="PA2" s="1327" t="s">
        <v>234</v>
      </c>
      <c r="PB2" s="1327" t="s">
        <v>235</v>
      </c>
      <c r="PC2" s="1327" t="s">
        <v>236</v>
      </c>
      <c r="PD2" s="1328" t="s">
        <v>248</v>
      </c>
      <c r="PE2" s="1328" t="s">
        <v>249</v>
      </c>
      <c r="PF2" s="1327" t="s">
        <v>250</v>
      </c>
      <c r="PG2" s="1327" t="s">
        <v>251</v>
      </c>
      <c r="PH2" s="1327" t="s">
        <v>252</v>
      </c>
      <c r="PI2" s="1327" t="s">
        <v>253</v>
      </c>
      <c r="PJ2" s="1327" t="s">
        <v>254</v>
      </c>
      <c r="PK2" s="1327" t="s">
        <v>255</v>
      </c>
      <c r="PL2" s="1327" t="s">
        <v>256</v>
      </c>
      <c r="PM2" s="1303"/>
    </row>
    <row r="3" spans="1:429" s="625" customFormat="1" ht="16.5" customHeight="1" outlineLevel="1">
      <c r="A3" s="2055" t="s">
        <v>1339</v>
      </c>
      <c r="B3" s="1229" t="s">
        <v>1344</v>
      </c>
      <c r="C3" s="634" t="s">
        <v>670</v>
      </c>
      <c r="D3" s="635"/>
      <c r="E3" s="1530"/>
      <c r="F3" s="635">
        <f t="shared" ref="F3:K3" si="0">MAX(F57:F209)</f>
        <v>1</v>
      </c>
      <c r="G3" s="635">
        <f t="shared" si="0"/>
        <v>1</v>
      </c>
      <c r="H3" s="635">
        <f t="shared" si="0"/>
        <v>3452</v>
      </c>
      <c r="I3" s="635">
        <f t="shared" si="0"/>
        <v>2572</v>
      </c>
      <c r="J3" s="635">
        <f t="shared" si="0"/>
        <v>3452</v>
      </c>
      <c r="K3" s="635">
        <f t="shared" si="0"/>
        <v>3452</v>
      </c>
      <c r="L3" s="1078"/>
      <c r="M3" s="1078"/>
      <c r="N3" s="1078"/>
      <c r="O3" s="1078"/>
      <c r="P3" s="1078"/>
      <c r="Q3" s="635">
        <f>MAX(Q57:Q209)</f>
        <v>85500</v>
      </c>
      <c r="R3" s="635">
        <f>MAX(R57:R209)</f>
        <v>400000</v>
      </c>
      <c r="S3" s="635">
        <f>MAX(S57:S209)</f>
        <v>401000</v>
      </c>
      <c r="T3" s="1065"/>
      <c r="U3" s="1065"/>
      <c r="V3" s="1065"/>
      <c r="W3" s="635">
        <f>MAX(W57:W209)</f>
        <v>33120</v>
      </c>
      <c r="X3" s="635">
        <f>MAX(X57:X209)</f>
        <v>29689</v>
      </c>
      <c r="Y3" s="1065"/>
      <c r="Z3" s="1065"/>
      <c r="AA3" s="635">
        <f>MAX(AA57:AA209)</f>
        <v>6407</v>
      </c>
      <c r="AB3" s="635">
        <f>MAX(AB57:AB209)</f>
        <v>0.6</v>
      </c>
      <c r="AC3" s="1065"/>
      <c r="AD3" s="1101"/>
      <c r="AE3" s="635">
        <f>MAX(AE57:AE209)</f>
        <v>1</v>
      </c>
      <c r="AF3" s="635">
        <f>MAX(AF57:AF209)</f>
        <v>9410</v>
      </c>
      <c r="AG3" s="1065"/>
      <c r="AH3" s="635">
        <f t="shared" ref="AH3:AR3" si="1">MAX(AH57:AH209)</f>
        <v>1</v>
      </c>
      <c r="AI3" s="637">
        <f t="shared" si="1"/>
        <v>3338</v>
      </c>
      <c r="AJ3" s="637">
        <f t="shared" si="1"/>
        <v>0</v>
      </c>
      <c r="AK3" s="635">
        <f t="shared" si="1"/>
        <v>1</v>
      </c>
      <c r="AL3" s="635">
        <f t="shared" si="1"/>
        <v>7980</v>
      </c>
      <c r="AM3" s="637">
        <f t="shared" si="1"/>
        <v>37441</v>
      </c>
      <c r="AN3" s="1117">
        <f t="shared" si="1"/>
        <v>0</v>
      </c>
      <c r="AO3" s="637">
        <f t="shared" si="1"/>
        <v>2600</v>
      </c>
      <c r="AP3" s="637">
        <f t="shared" si="1"/>
        <v>4325</v>
      </c>
      <c r="AQ3" s="637">
        <f t="shared" si="1"/>
        <v>41541</v>
      </c>
      <c r="AR3" s="637">
        <f t="shared" si="1"/>
        <v>0</v>
      </c>
      <c r="AS3" s="1121"/>
      <c r="AT3" s="1121"/>
      <c r="AU3" s="1121"/>
      <c r="AV3" s="1121"/>
      <c r="AW3" s="1121"/>
      <c r="AX3" s="635">
        <f t="shared" ref="AX3:BN3" si="2">MAX(AX57:AX209)</f>
        <v>1</v>
      </c>
      <c r="AY3" s="635">
        <f t="shared" si="2"/>
        <v>1</v>
      </c>
      <c r="AZ3" s="635">
        <f t="shared" si="2"/>
        <v>1</v>
      </c>
      <c r="BA3" s="635">
        <f t="shared" si="2"/>
        <v>1</v>
      </c>
      <c r="BB3" s="635">
        <f t="shared" si="2"/>
        <v>1</v>
      </c>
      <c r="BC3" s="635">
        <f t="shared" si="2"/>
        <v>1</v>
      </c>
      <c r="BD3" s="635">
        <f t="shared" si="2"/>
        <v>1</v>
      </c>
      <c r="BE3" s="635">
        <f t="shared" si="2"/>
        <v>1</v>
      </c>
      <c r="BF3" s="635">
        <f t="shared" si="2"/>
        <v>62000000</v>
      </c>
      <c r="BG3" s="635">
        <f t="shared" si="2"/>
        <v>10809256</v>
      </c>
      <c r="BH3" s="635">
        <f t="shared" si="2"/>
        <v>66993666</v>
      </c>
      <c r="BI3" s="635">
        <f t="shared" si="2"/>
        <v>136656508</v>
      </c>
      <c r="BJ3" s="635">
        <f t="shared" si="2"/>
        <v>42090725</v>
      </c>
      <c r="BK3" s="635">
        <f t="shared" si="2"/>
        <v>9352002</v>
      </c>
      <c r="BL3" s="638">
        <f t="shared" si="2"/>
        <v>17.736115142357008</v>
      </c>
      <c r="BM3" s="635">
        <f t="shared" si="2"/>
        <v>1</v>
      </c>
      <c r="BN3" s="635">
        <f t="shared" si="2"/>
        <v>30186285</v>
      </c>
      <c r="BO3" s="1065"/>
      <c r="BP3" s="635">
        <f t="shared" ref="BP3:CU3" si="3">MAX(BP57:BP209)</f>
        <v>42850887</v>
      </c>
      <c r="BQ3" s="635">
        <f t="shared" si="3"/>
        <v>77585439</v>
      </c>
      <c r="BR3" s="635">
        <f t="shared" si="3"/>
        <v>4.2505337667914587</v>
      </c>
      <c r="BS3" s="635">
        <f t="shared" si="3"/>
        <v>1</v>
      </c>
      <c r="BT3" s="635">
        <f t="shared" si="3"/>
        <v>88659850</v>
      </c>
      <c r="BU3" s="635">
        <f t="shared" si="3"/>
        <v>121694036</v>
      </c>
      <c r="BV3" s="635">
        <f t="shared" si="3"/>
        <v>2.0521781809752753</v>
      </c>
      <c r="BW3" s="639">
        <f t="shared" si="3"/>
        <v>75036.543849350826</v>
      </c>
      <c r="BX3" s="639">
        <f t="shared" si="3"/>
        <v>62425.123042254912</v>
      </c>
      <c r="BY3" s="639">
        <f t="shared" si="3"/>
        <v>138393.30105142671</v>
      </c>
      <c r="BZ3" s="635">
        <f t="shared" si="3"/>
        <v>5171392</v>
      </c>
      <c r="CA3" s="635">
        <f t="shared" si="3"/>
        <v>2269117</v>
      </c>
      <c r="CB3" s="635">
        <f t="shared" si="3"/>
        <v>2284522</v>
      </c>
      <c r="CC3" s="635">
        <f t="shared" si="3"/>
        <v>3009624</v>
      </c>
      <c r="CD3" s="635">
        <f t="shared" si="3"/>
        <v>52387725</v>
      </c>
      <c r="CE3" s="635">
        <f t="shared" si="3"/>
        <v>2950538</v>
      </c>
      <c r="CF3" s="635">
        <f t="shared" si="3"/>
        <v>1007500</v>
      </c>
      <c r="CG3" s="635">
        <f t="shared" si="3"/>
        <v>9239745</v>
      </c>
      <c r="CH3" s="635">
        <f t="shared" si="3"/>
        <v>3545141</v>
      </c>
      <c r="CI3" s="635">
        <f t="shared" si="3"/>
        <v>8943522</v>
      </c>
      <c r="CJ3" s="639">
        <f t="shared" si="3"/>
        <v>71273646</v>
      </c>
      <c r="CK3" s="640">
        <f t="shared" si="3"/>
        <v>0.30487000090700678</v>
      </c>
      <c r="CL3" s="640">
        <f t="shared" si="3"/>
        <v>9.4349682099736057E-2</v>
      </c>
      <c r="CM3" s="640">
        <f t="shared" si="3"/>
        <v>0.12809973396725502</v>
      </c>
      <c r="CN3" s="640">
        <f t="shared" si="3"/>
        <v>0.21224542225266463</v>
      </c>
      <c r="CO3" s="640">
        <f t="shared" si="3"/>
        <v>0.80367300858002733</v>
      </c>
      <c r="CP3" s="640">
        <f t="shared" si="3"/>
        <v>0.12117007225273006</v>
      </c>
      <c r="CQ3" s="640">
        <f t="shared" si="3"/>
        <v>9.3751139902197328E-2</v>
      </c>
      <c r="CR3" s="640">
        <f t="shared" si="3"/>
        <v>0.30325774077114692</v>
      </c>
      <c r="CS3" s="640">
        <f t="shared" si="3"/>
        <v>0.17005473544901825</v>
      </c>
      <c r="CT3" s="640">
        <f t="shared" si="3"/>
        <v>0.35427206054636629</v>
      </c>
      <c r="CU3" s="640">
        <f t="shared" si="3"/>
        <v>1</v>
      </c>
      <c r="CV3" s="635">
        <f t="shared" ref="CV3:EA3" si="4">MAX(CV57:CV209)</f>
        <v>34293066</v>
      </c>
      <c r="CW3" s="635">
        <f t="shared" si="4"/>
        <v>7481767</v>
      </c>
      <c r="CX3" s="635">
        <f t="shared" si="4"/>
        <v>1593977</v>
      </c>
      <c r="CY3" s="635">
        <f t="shared" si="4"/>
        <v>21646919</v>
      </c>
      <c r="CZ3" s="635">
        <f t="shared" si="4"/>
        <v>1490565</v>
      </c>
      <c r="DA3" s="635">
        <f t="shared" si="4"/>
        <v>1660579</v>
      </c>
      <c r="DB3" s="635">
        <f t="shared" si="4"/>
        <v>67895270</v>
      </c>
      <c r="DC3" s="640">
        <f t="shared" si="4"/>
        <v>0.60400090326560174</v>
      </c>
      <c r="DD3" s="640">
        <f t="shared" si="4"/>
        <v>0.18972833354740212</v>
      </c>
      <c r="DE3" s="640">
        <f t="shared" si="4"/>
        <v>7.4518794043034728E-2</v>
      </c>
      <c r="DF3" s="640">
        <f t="shared" si="4"/>
        <v>0.5478950240446363</v>
      </c>
      <c r="DG3" s="640">
        <f t="shared" si="4"/>
        <v>4.5764302435152858E-2</v>
      </c>
      <c r="DH3" s="640">
        <f t="shared" si="4"/>
        <v>7.8363135706498679E-2</v>
      </c>
      <c r="DI3" s="640">
        <f t="shared" si="4"/>
        <v>1</v>
      </c>
      <c r="DJ3" s="641">
        <f t="shared" si="4"/>
        <v>4378864</v>
      </c>
      <c r="DK3" s="637">
        <f t="shared" si="4"/>
        <v>5498.5954934038355</v>
      </c>
      <c r="DL3" s="637">
        <f t="shared" si="4"/>
        <v>1670.949767712468</v>
      </c>
      <c r="DM3" s="637">
        <f t="shared" si="4"/>
        <v>3889.2470666682229</v>
      </c>
      <c r="DN3" s="637">
        <f t="shared" si="4"/>
        <v>4149.9061062190904</v>
      </c>
      <c r="DO3" s="637">
        <f t="shared" si="4"/>
        <v>29689</v>
      </c>
      <c r="DP3" s="637">
        <f t="shared" si="4"/>
        <v>3304.9567325437929</v>
      </c>
      <c r="DQ3" s="637">
        <f t="shared" si="4"/>
        <v>2002.6818866419965</v>
      </c>
      <c r="DR3" s="637">
        <f t="shared" si="4"/>
        <v>7378.2373260079712</v>
      </c>
      <c r="DS3" s="637">
        <f t="shared" si="4"/>
        <v>3928.3316310122254</v>
      </c>
      <c r="DT3" s="637">
        <f t="shared" si="4"/>
        <v>19159.324729546475</v>
      </c>
      <c r="DU3" s="637">
        <f t="shared" si="4"/>
        <v>54080.823364954427</v>
      </c>
      <c r="DV3" s="637">
        <f t="shared" si="4"/>
        <v>27786.560949283219</v>
      </c>
      <c r="DW3" s="637">
        <f t="shared" si="4"/>
        <v>6411.9495434464279</v>
      </c>
      <c r="DX3" s="637">
        <f t="shared" si="4"/>
        <v>2475.922139479298</v>
      </c>
      <c r="DY3" s="637">
        <f t="shared" si="4"/>
        <v>21524.029242924695</v>
      </c>
      <c r="DZ3" s="637">
        <f t="shared" si="4"/>
        <v>1620.0191396817634</v>
      </c>
      <c r="EA3" s="637">
        <f t="shared" si="4"/>
        <v>3313.9348413103594</v>
      </c>
      <c r="EB3" s="637">
        <f t="shared" ref="EB3:FG3" si="5">MAX(EB57:EB209)</f>
        <v>55752.413833509963</v>
      </c>
      <c r="EC3" s="637">
        <f t="shared" si="5"/>
        <v>4580.1850182155804</v>
      </c>
      <c r="ED3" s="635">
        <f t="shared" si="5"/>
        <v>660</v>
      </c>
      <c r="EE3" s="635">
        <f t="shared" si="5"/>
        <v>1</v>
      </c>
      <c r="EF3" s="635">
        <f t="shared" si="5"/>
        <v>375</v>
      </c>
      <c r="EG3" s="635">
        <f t="shared" si="5"/>
        <v>3116235</v>
      </c>
      <c r="EH3" s="635">
        <f t="shared" si="5"/>
        <v>1</v>
      </c>
      <c r="EI3" s="636">
        <f t="shared" si="5"/>
        <v>0.5</v>
      </c>
      <c r="EJ3" s="642">
        <f t="shared" si="5"/>
        <v>36.336842105263159</v>
      </c>
      <c r="EK3" s="635">
        <f t="shared" si="5"/>
        <v>1</v>
      </c>
      <c r="EL3" s="635">
        <f t="shared" si="5"/>
        <v>2600</v>
      </c>
      <c r="EM3" s="635">
        <f t="shared" si="5"/>
        <v>1</v>
      </c>
      <c r="EN3" s="636">
        <f t="shared" si="5"/>
        <v>0.23</v>
      </c>
      <c r="EO3" s="635">
        <f t="shared" si="5"/>
        <v>1</v>
      </c>
      <c r="EP3" s="635">
        <f t="shared" si="5"/>
        <v>360.41666666666669</v>
      </c>
      <c r="EQ3" s="635">
        <f t="shared" si="5"/>
        <v>1</v>
      </c>
      <c r="ER3" s="635">
        <f t="shared" si="5"/>
        <v>1</v>
      </c>
      <c r="ES3" s="637">
        <f t="shared" si="5"/>
        <v>10099.786510370832</v>
      </c>
      <c r="ET3" s="643">
        <f t="shared" si="5"/>
        <v>51.883452486629295</v>
      </c>
      <c r="EU3" s="635">
        <f t="shared" si="5"/>
        <v>8</v>
      </c>
      <c r="EV3" s="635">
        <f t="shared" si="5"/>
        <v>392297</v>
      </c>
      <c r="EW3" s="635">
        <f t="shared" si="5"/>
        <v>59364</v>
      </c>
      <c r="EX3" s="635">
        <f t="shared" si="5"/>
        <v>2</v>
      </c>
      <c r="EY3" s="635">
        <f t="shared" si="5"/>
        <v>9239745</v>
      </c>
      <c r="EZ3" s="635">
        <f t="shared" si="5"/>
        <v>6912554</v>
      </c>
      <c r="FA3" s="644">
        <f t="shared" si="5"/>
        <v>3837166</v>
      </c>
      <c r="FB3" s="635">
        <f t="shared" si="5"/>
        <v>3545141</v>
      </c>
      <c r="FC3" s="635">
        <f t="shared" si="5"/>
        <v>1579177</v>
      </c>
      <c r="FD3" s="644">
        <f t="shared" si="5"/>
        <v>2482556</v>
      </c>
      <c r="FE3" s="644">
        <f t="shared" si="5"/>
        <v>12047675</v>
      </c>
      <c r="FF3" s="644">
        <f t="shared" si="5"/>
        <v>7481767</v>
      </c>
      <c r="FG3" s="644">
        <f t="shared" si="5"/>
        <v>5953895</v>
      </c>
      <c r="FH3" s="645" t="e">
        <f t="shared" ref="FH3:FQ3" si="6">MAX(FH57:FH209)</f>
        <v>#DIV/0!</v>
      </c>
      <c r="FI3" s="645" t="e">
        <f t="shared" si="6"/>
        <v>#DIV/0!</v>
      </c>
      <c r="FJ3" s="645" t="e">
        <f t="shared" si="6"/>
        <v>#DIV/0!</v>
      </c>
      <c r="FK3" s="645" t="e">
        <f t="shared" si="6"/>
        <v>#DIV/0!</v>
      </c>
      <c r="FL3" s="645" t="e">
        <f t="shared" si="6"/>
        <v>#DIV/0!</v>
      </c>
      <c r="FM3" s="645" t="e">
        <f t="shared" si="6"/>
        <v>#DIV/0!</v>
      </c>
      <c r="FN3" s="645" t="e">
        <f t="shared" si="6"/>
        <v>#DIV/0!</v>
      </c>
      <c r="FO3" s="645" t="e">
        <f t="shared" si="6"/>
        <v>#DIV/0!</v>
      </c>
      <c r="FP3" s="645" t="e">
        <f t="shared" si="6"/>
        <v>#DIV/0!</v>
      </c>
      <c r="FQ3" s="635">
        <f t="shared" si="6"/>
        <v>11312399</v>
      </c>
      <c r="FR3" s="646">
        <f>MIN(FR57:FR209)</f>
        <v>-1366864.6</v>
      </c>
      <c r="FS3" s="635">
        <f t="shared" ref="FS3:GX3" si="7">MAX(FS57:FS209)</f>
        <v>2855906</v>
      </c>
      <c r="FT3" s="635">
        <f t="shared" si="7"/>
        <v>887335</v>
      </c>
      <c r="FU3" s="635">
        <f t="shared" si="7"/>
        <v>294993</v>
      </c>
      <c r="FV3" s="635">
        <f t="shared" si="7"/>
        <v>185189</v>
      </c>
      <c r="FW3" s="635">
        <f t="shared" si="7"/>
        <v>4912857</v>
      </c>
      <c r="FX3" s="635">
        <f t="shared" si="7"/>
        <v>17468815</v>
      </c>
      <c r="FY3" s="646">
        <f t="shared" si="7"/>
        <v>44536.799999999814</v>
      </c>
      <c r="FZ3" s="645">
        <f t="shared" si="7"/>
        <v>1.7078008454951688</v>
      </c>
      <c r="GA3" s="645">
        <f t="shared" si="7"/>
        <v>0</v>
      </c>
      <c r="GB3" s="645">
        <f t="shared" si="7"/>
        <v>0.33060232472311685</v>
      </c>
      <c r="GC3" s="645">
        <f t="shared" si="7"/>
        <v>8.5776098160339556E-2</v>
      </c>
      <c r="GD3" s="645">
        <f t="shared" si="7"/>
        <v>5.7284232562565422E-2</v>
      </c>
      <c r="GE3" s="645">
        <f t="shared" si="7"/>
        <v>6.8319957465684686E-2</v>
      </c>
      <c r="GF3" s="645">
        <f t="shared" si="7"/>
        <v>0.63637656610121673</v>
      </c>
      <c r="GG3" s="645">
        <f t="shared" si="7"/>
        <v>2.1167461124775038</v>
      </c>
      <c r="GH3" s="645">
        <f t="shared" si="7"/>
        <v>7.6082524207990148E-3</v>
      </c>
      <c r="GI3" s="647">
        <f t="shared" si="7"/>
        <v>6.9586179462865045</v>
      </c>
      <c r="GJ3" s="635">
        <f t="shared" si="7"/>
        <v>1</v>
      </c>
      <c r="GK3" s="636">
        <f t="shared" si="7"/>
        <v>0.22</v>
      </c>
      <c r="GL3" s="635">
        <f t="shared" si="7"/>
        <v>1</v>
      </c>
      <c r="GM3" s="636">
        <f t="shared" si="7"/>
        <v>0.3</v>
      </c>
      <c r="GN3" s="635">
        <f t="shared" si="7"/>
        <v>18</v>
      </c>
      <c r="GO3" s="635">
        <f t="shared" si="7"/>
        <v>211</v>
      </c>
      <c r="GP3" s="635">
        <f t="shared" si="7"/>
        <v>57527</v>
      </c>
      <c r="GQ3" s="635">
        <f t="shared" si="7"/>
        <v>1627027</v>
      </c>
      <c r="GR3" s="635">
        <f t="shared" si="7"/>
        <v>379549</v>
      </c>
      <c r="GS3" s="635">
        <f t="shared" si="7"/>
        <v>1333876</v>
      </c>
      <c r="GT3" s="635">
        <f t="shared" si="7"/>
        <v>544472</v>
      </c>
      <c r="GU3" s="635">
        <f t="shared" si="7"/>
        <v>397109</v>
      </c>
      <c r="GV3" s="635">
        <f t="shared" si="7"/>
        <v>1171910</v>
      </c>
      <c r="GW3" s="635">
        <f t="shared" si="7"/>
        <v>4180170</v>
      </c>
      <c r="GX3" s="639">
        <f t="shared" si="7"/>
        <v>232231.66666666666</v>
      </c>
      <c r="GY3" s="639">
        <f t="shared" ref="GY3:HY3" si="8">MAX(GY57:GY209)</f>
        <v>36239.914285714287</v>
      </c>
      <c r="GZ3" s="645">
        <f t="shared" si="8"/>
        <v>0.60747340434468822</v>
      </c>
      <c r="HA3" s="645">
        <f t="shared" si="8"/>
        <v>0.15099789086062504</v>
      </c>
      <c r="HB3" s="645">
        <f t="shared" si="8"/>
        <v>0.37757543581882003</v>
      </c>
      <c r="HC3" s="645">
        <f t="shared" si="8"/>
        <v>0.25702209134690279</v>
      </c>
      <c r="HD3" s="645">
        <f t="shared" si="8"/>
        <v>0.14471459328504521</v>
      </c>
      <c r="HE3" s="645">
        <f t="shared" si="8"/>
        <v>0.28034984223129683</v>
      </c>
      <c r="HF3" s="645">
        <f t="shared" si="8"/>
        <v>1</v>
      </c>
      <c r="HG3" s="639">
        <f t="shared" si="8"/>
        <v>90</v>
      </c>
      <c r="HH3" s="639">
        <f t="shared" si="8"/>
        <v>664</v>
      </c>
      <c r="HI3" s="639">
        <f t="shared" si="8"/>
        <v>152962</v>
      </c>
      <c r="HJ3" s="639">
        <f t="shared" si="8"/>
        <v>5269408</v>
      </c>
      <c r="HK3" s="639">
        <f t="shared" si="8"/>
        <v>1116189</v>
      </c>
      <c r="HL3" s="639">
        <f t="shared" si="8"/>
        <v>2441115</v>
      </c>
      <c r="HM3" s="639">
        <f t="shared" si="8"/>
        <v>808223</v>
      </c>
      <c r="HN3" s="639">
        <f t="shared" si="8"/>
        <v>732778</v>
      </c>
      <c r="HO3" s="639">
        <f t="shared" si="8"/>
        <v>1844721</v>
      </c>
      <c r="HP3" s="639">
        <f t="shared" si="8"/>
        <v>10585420</v>
      </c>
      <c r="HQ3" s="639">
        <f t="shared" si="8"/>
        <v>196026.29629629629</v>
      </c>
      <c r="HR3" s="639">
        <f t="shared" si="8"/>
        <v>37121.430894308942</v>
      </c>
      <c r="HS3" s="645">
        <f t="shared" si="8"/>
        <v>0.61321085093894789</v>
      </c>
      <c r="HT3" s="645">
        <f t="shared" si="8"/>
        <v>0.15796157089108356</v>
      </c>
      <c r="HU3" s="645">
        <f t="shared" si="8"/>
        <v>0.49833512566364957</v>
      </c>
      <c r="HV3" s="645">
        <f t="shared" si="8"/>
        <v>0.16224700269519293</v>
      </c>
      <c r="HW3" s="645">
        <f t="shared" si="8"/>
        <v>0.13159126985985137</v>
      </c>
      <c r="HX3" s="645">
        <f t="shared" si="8"/>
        <v>0.23533223904750897</v>
      </c>
      <c r="HY3" s="645">
        <f t="shared" si="8"/>
        <v>1</v>
      </c>
      <c r="HZ3" s="626"/>
      <c r="IA3" s="631"/>
      <c r="IB3" s="631"/>
      <c r="IO3" s="749"/>
      <c r="IQ3" s="629"/>
      <c r="IR3" s="630"/>
      <c r="IS3" s="630"/>
      <c r="IT3" s="630"/>
      <c r="IU3" s="630"/>
      <c r="IV3" s="630"/>
      <c r="IW3" s="630"/>
      <c r="IX3" s="629"/>
      <c r="IY3" s="629"/>
      <c r="IZ3" s="629"/>
      <c r="JA3" s="629"/>
      <c r="JB3" s="629"/>
      <c r="JC3" s="629"/>
      <c r="JD3" s="632"/>
      <c r="JE3" s="632"/>
      <c r="JF3" s="632"/>
      <c r="JG3" s="632"/>
      <c r="JJ3" s="627"/>
      <c r="JK3" s="633"/>
      <c r="JL3" s="633"/>
      <c r="JM3" s="633"/>
      <c r="JN3" s="633"/>
      <c r="JO3" s="633"/>
      <c r="JP3" s="633"/>
      <c r="JQ3" s="633"/>
      <c r="JR3" s="628"/>
      <c r="JS3" s="628"/>
      <c r="JT3" s="628"/>
      <c r="JU3" s="628"/>
      <c r="JV3" s="628"/>
      <c r="JW3" s="628"/>
      <c r="JX3" s="628"/>
      <c r="JY3" s="629"/>
      <c r="JZ3" s="628"/>
      <c r="KA3" s="628"/>
      <c r="KB3" s="628"/>
      <c r="KC3" s="628"/>
      <c r="KD3" s="628"/>
      <c r="KE3" s="628"/>
      <c r="KF3" s="628"/>
      <c r="KG3" s="628"/>
      <c r="KH3" s="628"/>
      <c r="KI3" s="629"/>
      <c r="KJ3" s="628"/>
      <c r="KK3" s="628"/>
      <c r="KL3" s="628"/>
      <c r="KM3" s="628"/>
      <c r="KN3" s="628"/>
      <c r="KO3" s="628"/>
      <c r="KP3" s="628"/>
      <c r="KQ3" s="628"/>
      <c r="KR3" s="628"/>
      <c r="KS3" s="628"/>
      <c r="KT3" s="628"/>
      <c r="KU3" s="628"/>
      <c r="KV3" s="628"/>
      <c r="KW3" s="628"/>
      <c r="KX3" s="626"/>
      <c r="LC3" s="629"/>
      <c r="LD3" s="629"/>
      <c r="LN3" s="629"/>
      <c r="LO3" s="629"/>
      <c r="LP3" s="629"/>
      <c r="LT3" s="629"/>
      <c r="LU3" s="629"/>
      <c r="LV3" s="629"/>
      <c r="LW3" s="629"/>
      <c r="LX3" s="629"/>
      <c r="LY3" s="629"/>
      <c r="LZ3" s="629"/>
      <c r="MA3" s="629"/>
      <c r="MB3" s="629"/>
      <c r="MC3" s="629"/>
      <c r="MD3" s="629"/>
      <c r="ME3" s="629"/>
      <c r="MF3" s="629"/>
      <c r="MG3" s="629"/>
      <c r="MH3" s="629"/>
      <c r="MI3" s="629"/>
      <c r="MJ3" s="629"/>
      <c r="MK3" s="629"/>
      <c r="MM3" s="1231"/>
      <c r="MN3" s="1231"/>
      <c r="MO3" s="1231"/>
      <c r="MP3" s="1231"/>
      <c r="NV3" s="629"/>
      <c r="NW3" s="629"/>
      <c r="NX3" s="629"/>
      <c r="NY3" s="629"/>
      <c r="NZ3" s="629"/>
      <c r="OA3" s="629"/>
      <c r="OB3" s="629"/>
      <c r="OC3" s="629"/>
      <c r="OD3" s="629"/>
      <c r="OG3" s="629"/>
      <c r="OH3" s="629"/>
      <c r="OI3" s="629"/>
      <c r="OJ3" s="629"/>
      <c r="OK3" s="629"/>
      <c r="OL3" s="629"/>
      <c r="OM3" s="629"/>
      <c r="ON3" s="629"/>
      <c r="OO3" s="629"/>
      <c r="OP3" s="629"/>
      <c r="OQ3" s="629"/>
      <c r="OR3" s="629"/>
      <c r="OS3" s="629"/>
      <c r="OT3" s="629"/>
      <c r="OW3" s="629"/>
      <c r="OX3" s="629"/>
      <c r="OY3" s="629"/>
      <c r="OZ3" s="629"/>
      <c r="PA3" s="629"/>
      <c r="PB3" s="629"/>
      <c r="PC3" s="629"/>
      <c r="PF3" s="629"/>
      <c r="PG3" s="629"/>
      <c r="PH3" s="629"/>
      <c r="PI3" s="629"/>
      <c r="PJ3" s="629"/>
      <c r="PK3" s="629"/>
      <c r="PL3" s="629"/>
    </row>
    <row r="4" spans="1:429" ht="16.5" customHeight="1" outlineLevel="1">
      <c r="A4" s="2056" t="s">
        <v>664</v>
      </c>
      <c r="B4" s="101" t="s">
        <v>443</v>
      </c>
      <c r="C4" s="272" t="s">
        <v>386</v>
      </c>
      <c r="D4" s="101">
        <f>D13+D19+D25+D31+D37+D43</f>
        <v>119</v>
      </c>
      <c r="E4" s="1530"/>
      <c r="F4" s="101">
        <f>F13+F19+F25+F31+F37+F43</f>
        <v>84</v>
      </c>
      <c r="G4" s="101">
        <f t="shared" ref="G4:AH4" si="9">G13+G19+G25+G31+G37+G43</f>
        <v>61</v>
      </c>
      <c r="H4" s="101">
        <f>H13+H19+H25+H31+H37+H43</f>
        <v>66365</v>
      </c>
      <c r="I4" s="101">
        <f t="shared" si="9"/>
        <v>34276</v>
      </c>
      <c r="J4" s="101">
        <f t="shared" si="9"/>
        <v>100641</v>
      </c>
      <c r="K4" s="820">
        <f>K13+K19+K25+K31+K37+K43</f>
        <v>86198.459346032396</v>
      </c>
      <c r="L4" s="1079"/>
      <c r="M4" s="1079"/>
      <c r="N4" s="1079"/>
      <c r="O4" s="1079"/>
      <c r="P4" s="1079"/>
      <c r="Q4" s="101">
        <f>Q13+Q19+Q25+Q31+Q37+Q43</f>
        <v>960802</v>
      </c>
      <c r="R4" s="101">
        <f t="shared" si="9"/>
        <v>11123514</v>
      </c>
      <c r="S4" s="101">
        <f>S13+S19+S25+S31+S37+S43</f>
        <v>12084316</v>
      </c>
      <c r="T4" s="282"/>
      <c r="U4" s="282"/>
      <c r="V4" s="282"/>
      <c r="W4" s="101">
        <f t="shared" si="9"/>
        <v>1831814.26</v>
      </c>
      <c r="X4" s="101">
        <f t="shared" si="9"/>
        <v>1644729</v>
      </c>
      <c r="Y4" s="282"/>
      <c r="Z4" s="282"/>
      <c r="AA4" s="101">
        <f t="shared" si="9"/>
        <v>187085.26</v>
      </c>
      <c r="AB4" s="101">
        <f t="shared" si="9"/>
        <v>13.818618521041182</v>
      </c>
      <c r="AC4" s="282"/>
      <c r="AD4" s="1102"/>
      <c r="AE4" s="101">
        <f t="shared" si="9"/>
        <v>86</v>
      </c>
      <c r="AF4" s="101">
        <f t="shared" si="9"/>
        <v>172290.57</v>
      </c>
      <c r="AG4" s="282"/>
      <c r="AH4" s="101">
        <f t="shared" si="9"/>
        <v>5</v>
      </c>
      <c r="AI4" s="106">
        <f>AI13+AI19+AI25+AI31+AI37+AI43</f>
        <v>8293</v>
      </c>
      <c r="AJ4" s="1072"/>
      <c r="AK4" s="101">
        <f t="shared" ref="AK4" si="10">AK13+AK19+AK25+AK31+AK37+AK43</f>
        <v>62</v>
      </c>
      <c r="AL4" s="101">
        <f>AL13+AL19+AL25+AL31+AL37+AL43</f>
        <v>151695.47999999998</v>
      </c>
      <c r="AM4" s="1396">
        <f>X4+AF4+AI4+AL4</f>
        <v>1977008.05</v>
      </c>
      <c r="AN4" s="1072">
        <f>Z4+AG4+AJ4</f>
        <v>0</v>
      </c>
      <c r="AO4" s="403">
        <f>EL4</f>
        <v>73164</v>
      </c>
      <c r="AP4" s="403">
        <f>ROUND(EP4*12,-2)</f>
        <v>40100</v>
      </c>
      <c r="AQ4" s="403">
        <f>+AM4+AO4+AP4</f>
        <v>2090272.05</v>
      </c>
      <c r="AR4" s="9">
        <f>Z4+AG4+AJ4</f>
        <v>0</v>
      </c>
      <c r="AS4" s="1122"/>
      <c r="AT4" s="1122"/>
      <c r="AU4" s="1122"/>
      <c r="AV4" s="1122"/>
      <c r="AW4" s="282"/>
      <c r="AX4" s="101">
        <f t="shared" ref="AX4:BD4" si="11">AX13+AX19+AX25+AX31+AX37+AX43</f>
        <v>56</v>
      </c>
      <c r="AY4" s="101">
        <f t="shared" si="11"/>
        <v>27</v>
      </c>
      <c r="AZ4" s="101">
        <f t="shared" si="11"/>
        <v>23</v>
      </c>
      <c r="BA4" s="101">
        <f t="shared" si="11"/>
        <v>9</v>
      </c>
      <c r="BB4" s="101">
        <f t="shared" si="11"/>
        <v>2</v>
      </c>
      <c r="BC4" s="101">
        <f t="shared" si="11"/>
        <v>10</v>
      </c>
      <c r="BD4" s="101">
        <f t="shared" si="11"/>
        <v>10</v>
      </c>
      <c r="BE4" s="101">
        <f t="shared" ref="BE4:BK4" si="12">BE13+BE19+BE25+BE31+BE37+BE43</f>
        <v>65</v>
      </c>
      <c r="BF4" s="101">
        <f t="shared" si="12"/>
        <v>545478470</v>
      </c>
      <c r="BG4" s="101">
        <f>BG13+BG19+BG25+BG31+BG37+BG43</f>
        <v>192620866</v>
      </c>
      <c r="BH4" s="101">
        <f t="shared" si="12"/>
        <v>738099336</v>
      </c>
      <c r="BI4" s="1264">
        <f t="shared" ref="BI4" si="13">BI13+BI19+BI25+BI31+BI37+BI43</f>
        <v>3285545021</v>
      </c>
      <c r="BJ4" s="101">
        <f t="shared" si="12"/>
        <v>444477754</v>
      </c>
      <c r="BK4" s="101">
        <f t="shared" si="12"/>
        <v>259416063</v>
      </c>
      <c r="BL4" s="404">
        <f>ROUND(BJ4/BK4,2)</f>
        <v>1.71</v>
      </c>
      <c r="BM4" s="101">
        <f>BM13+BM19+BM25+BM31+BM37+BM43</f>
        <v>99</v>
      </c>
      <c r="BN4" s="101">
        <f t="shared" ref="BN4:CI4" si="14">BN13+BN19+BN25+BN31+BN37+BN43</f>
        <v>629108076</v>
      </c>
      <c r="BO4" s="282"/>
      <c r="BP4" s="101">
        <f t="shared" ref="BP4:BQ4" si="15">BP13+BP19+BP25+BP31+BP37+BP43</f>
        <v>909815863</v>
      </c>
      <c r="BQ4" s="101">
        <f t="shared" si="15"/>
        <v>851711627</v>
      </c>
      <c r="BR4" s="1215">
        <f>BR13+BR19+BR25+BR31+BR37+BR43</f>
        <v>153.13316341204057</v>
      </c>
      <c r="BS4" s="101">
        <f>BS13+BS19+BS25+BS31+BS37+BS43</f>
        <v>65</v>
      </c>
      <c r="BT4" s="101">
        <f t="shared" ref="BT4:BU4" si="16">BT13+BT19+BT25+BT31+BT37+BT43</f>
        <v>1504996061</v>
      </c>
      <c r="BU4" s="101">
        <f t="shared" si="16"/>
        <v>3307026705</v>
      </c>
      <c r="BV4" s="1215">
        <f>BV13+BV19+BV25+BV31+BV37+BV43</f>
        <v>60.387093246770164</v>
      </c>
      <c r="BW4" s="821">
        <f>IF(BN4=0,0,+IF(K4=0,0,ROUND(BN4/K4,-1)))</f>
        <v>7300</v>
      </c>
      <c r="BX4" s="821">
        <f>IF(BJ4=0,0,+IF(K4=0,0,ROUND(BJ4/K4,-1)))</f>
        <v>5160</v>
      </c>
      <c r="BY4" s="821">
        <f>IF(BH4=0,0,+IF(K4=0,0,ROUND(BH4/K4,-1)))</f>
        <v>8560</v>
      </c>
      <c r="BZ4" s="101">
        <f t="shared" si="14"/>
        <v>160804744</v>
      </c>
      <c r="CA4" s="101">
        <f t="shared" si="14"/>
        <v>20859803</v>
      </c>
      <c r="CB4" s="101">
        <f t="shared" si="14"/>
        <v>62941377</v>
      </c>
      <c r="CC4" s="101">
        <f t="shared" si="14"/>
        <v>63461505</v>
      </c>
      <c r="CD4" s="101">
        <f t="shared" si="14"/>
        <v>1124344942</v>
      </c>
      <c r="CE4" s="101">
        <f t="shared" si="14"/>
        <v>7061509</v>
      </c>
      <c r="CF4" s="101">
        <f t="shared" si="14"/>
        <v>1131000</v>
      </c>
      <c r="CG4" s="101">
        <f t="shared" si="14"/>
        <v>258399167</v>
      </c>
      <c r="CH4" s="101">
        <f t="shared" si="14"/>
        <v>107890576</v>
      </c>
      <c r="CI4" s="101">
        <f t="shared" si="14"/>
        <v>68051096</v>
      </c>
      <c r="CJ4" s="292">
        <f>SUM(BZ4:CI4)</f>
        <v>1874945719</v>
      </c>
      <c r="CK4" s="406">
        <f t="shared" ref="CK4:CU4" si="17">ROUND(BZ4/$CJ4,3)</f>
        <v>8.5999999999999993E-2</v>
      </c>
      <c r="CL4" s="406">
        <f t="shared" si="17"/>
        <v>1.0999999999999999E-2</v>
      </c>
      <c r="CM4" s="406">
        <f t="shared" si="17"/>
        <v>3.4000000000000002E-2</v>
      </c>
      <c r="CN4" s="406">
        <f t="shared" si="17"/>
        <v>3.4000000000000002E-2</v>
      </c>
      <c r="CO4" s="406">
        <f t="shared" si="17"/>
        <v>0.6</v>
      </c>
      <c r="CP4" s="406">
        <f t="shared" si="17"/>
        <v>4.0000000000000001E-3</v>
      </c>
      <c r="CQ4" s="406">
        <f t="shared" si="17"/>
        <v>1E-3</v>
      </c>
      <c r="CR4" s="406">
        <f t="shared" si="17"/>
        <v>0.13800000000000001</v>
      </c>
      <c r="CS4" s="406">
        <f t="shared" si="17"/>
        <v>5.8000000000000003E-2</v>
      </c>
      <c r="CT4" s="406">
        <f t="shared" si="17"/>
        <v>3.5999999999999997E-2</v>
      </c>
      <c r="CU4" s="406">
        <f t="shared" si="17"/>
        <v>1</v>
      </c>
      <c r="CV4" s="101">
        <f t="shared" ref="CV4:DB4" si="18">CV13+CV19+CV25+CV31+CV37+CV43</f>
        <v>958369527</v>
      </c>
      <c r="CW4" s="101">
        <f t="shared" si="18"/>
        <v>177721053</v>
      </c>
      <c r="CX4" s="101">
        <f t="shared" si="18"/>
        <v>45890162</v>
      </c>
      <c r="CY4" s="101">
        <f t="shared" si="18"/>
        <v>610292768</v>
      </c>
      <c r="CZ4" s="101">
        <f>CZ13+CZ19+CZ25+CZ31+CZ37+CZ43</f>
        <v>25529372</v>
      </c>
      <c r="DA4" s="101">
        <f t="shared" si="18"/>
        <v>53406074</v>
      </c>
      <c r="DB4" s="101">
        <f t="shared" si="18"/>
        <v>1871208956</v>
      </c>
      <c r="DC4" s="407">
        <f t="shared" ref="DC4:DI4" si="19">ROUND(CV4/$DB4,3)</f>
        <v>0.51200000000000001</v>
      </c>
      <c r="DD4" s="407">
        <f t="shared" si="19"/>
        <v>9.5000000000000001E-2</v>
      </c>
      <c r="DE4" s="407">
        <f t="shared" si="19"/>
        <v>2.5000000000000001E-2</v>
      </c>
      <c r="DF4" s="407">
        <f t="shared" si="19"/>
        <v>0.32600000000000001</v>
      </c>
      <c r="DG4" s="407">
        <f t="shared" si="19"/>
        <v>1.4E-2</v>
      </c>
      <c r="DH4" s="407">
        <f t="shared" si="19"/>
        <v>2.9000000000000001E-2</v>
      </c>
      <c r="DI4" s="407">
        <f t="shared" si="19"/>
        <v>1</v>
      </c>
      <c r="DJ4" s="301">
        <f>CJ4-DB4</f>
        <v>3736763</v>
      </c>
      <c r="DK4" s="822">
        <f t="shared" ref="DK4:DT4" si="20">IF(BZ4=0,0,+IF($K4=0,0,ROUND(BZ4/$K4,0)))</f>
        <v>1866</v>
      </c>
      <c r="DL4" s="822">
        <f t="shared" si="20"/>
        <v>242</v>
      </c>
      <c r="DM4" s="822">
        <f t="shared" si="20"/>
        <v>730</v>
      </c>
      <c r="DN4" s="822">
        <f t="shared" si="20"/>
        <v>736</v>
      </c>
      <c r="DO4" s="822">
        <f t="shared" si="20"/>
        <v>13044</v>
      </c>
      <c r="DP4" s="822">
        <f t="shared" si="20"/>
        <v>82</v>
      </c>
      <c r="DQ4" s="822">
        <f t="shared" si="20"/>
        <v>13</v>
      </c>
      <c r="DR4" s="822">
        <f t="shared" si="20"/>
        <v>2998</v>
      </c>
      <c r="DS4" s="822">
        <f t="shared" si="20"/>
        <v>1252</v>
      </c>
      <c r="DT4" s="822">
        <f t="shared" si="20"/>
        <v>789</v>
      </c>
      <c r="DU4" s="822">
        <f>SUM(DK4:DT4)</f>
        <v>21752</v>
      </c>
      <c r="DV4" s="822">
        <f t="shared" ref="DV4:EA4" si="21">IF(CV4=0,0,+IF($K4=0,0,ROUND(CV4/$K4,0)))</f>
        <v>11118</v>
      </c>
      <c r="DW4" s="822">
        <f t="shared" si="21"/>
        <v>2062</v>
      </c>
      <c r="DX4" s="822">
        <f t="shared" si="21"/>
        <v>532</v>
      </c>
      <c r="DY4" s="822">
        <f t="shared" si="21"/>
        <v>7080</v>
      </c>
      <c r="DZ4" s="822">
        <f t="shared" si="21"/>
        <v>296</v>
      </c>
      <c r="EA4" s="822">
        <f t="shared" si="21"/>
        <v>620</v>
      </c>
      <c r="EB4" s="822">
        <f>SUM(DV4:EA4)</f>
        <v>21708</v>
      </c>
      <c r="EC4" s="824">
        <f>DU4-EB4</f>
        <v>44</v>
      </c>
      <c r="ED4" s="101">
        <f t="shared" ref="ED4:EZ4" si="22">ED13+ED19+ED25+ED31+ED37+ED43</f>
        <v>18300</v>
      </c>
      <c r="EE4" s="101">
        <f t="shared" si="22"/>
        <v>72</v>
      </c>
      <c r="EF4" s="101">
        <f t="shared" si="22"/>
        <v>3166</v>
      </c>
      <c r="EG4" s="101">
        <f t="shared" ref="EG4" si="23">EG13+EG19+EG25+EG31+EG37+EG43</f>
        <v>25839521.77</v>
      </c>
      <c r="EH4" s="101">
        <f t="shared" ref="EH4:EI4" si="24">EH13+EH19+EH25+EH31+EH37+EH43</f>
        <v>106</v>
      </c>
      <c r="EI4" s="394">
        <f t="shared" si="24"/>
        <v>9.3560000000000016</v>
      </c>
      <c r="EJ4" s="823">
        <f>IF(K4=0,0,+IF(ED4=0,0,ROUND(K4/ED4,1)))</f>
        <v>4.7</v>
      </c>
      <c r="EK4" s="101">
        <f t="shared" si="22"/>
        <v>64</v>
      </c>
      <c r="EL4" s="101">
        <f t="shared" si="22"/>
        <v>73164</v>
      </c>
      <c r="EM4" s="101">
        <f t="shared" si="22"/>
        <v>63</v>
      </c>
      <c r="EN4" s="394">
        <f t="shared" si="22"/>
        <v>12.540000000000001</v>
      </c>
      <c r="EO4" s="101">
        <f t="shared" si="22"/>
        <v>32</v>
      </c>
      <c r="EP4" s="101">
        <f t="shared" si="22"/>
        <v>3339.4333333333338</v>
      </c>
      <c r="EQ4" s="101">
        <f t="shared" si="22"/>
        <v>14</v>
      </c>
      <c r="ER4" s="101">
        <f t="shared" ref="ER4" si="25">ER13+ER19+ER25+ER31+ER37+ER43</f>
        <v>24</v>
      </c>
      <c r="ES4" s="822">
        <f>IF(FE4=0,0,+IF(K4=0,0,ROUND(FE4/K4,-2)))</f>
        <v>4200</v>
      </c>
      <c r="ET4" s="824">
        <f>IF(FY4=0,0,+IF(K4=0,0,ROUND(FY4/K4,-1)))</f>
        <v>-2520</v>
      </c>
      <c r="EU4" s="101">
        <f>EU13+EU19+EU25+EU31+EU37+EU43</f>
        <v>39</v>
      </c>
      <c r="EV4" s="101">
        <f t="shared" si="22"/>
        <v>9645015</v>
      </c>
      <c r="EW4" s="101">
        <f t="shared" si="22"/>
        <v>952491</v>
      </c>
      <c r="EX4" s="101">
        <f>EX13+EX19+EX25+EX31+EX37+EX43</f>
        <v>45</v>
      </c>
      <c r="EY4" s="101">
        <f t="shared" si="22"/>
        <v>258399167</v>
      </c>
      <c r="EZ4" s="101">
        <f t="shared" si="22"/>
        <v>138054743</v>
      </c>
      <c r="FA4" s="3">
        <f>EY4-EZ4</f>
        <v>120344424</v>
      </c>
      <c r="FB4" s="101">
        <f>FB13+FB19+FB25+FB31+FB37+FB43</f>
        <v>107890576</v>
      </c>
      <c r="FC4" s="101">
        <f>FC13+FC19+FC25+FC31+FC37+FC43</f>
        <v>39666310</v>
      </c>
      <c r="FD4" s="3">
        <f>FB4-FC4</f>
        <v>68224266</v>
      </c>
      <c r="FE4" s="3">
        <f>EY4+FB4</f>
        <v>366289743</v>
      </c>
      <c r="FF4" s="3">
        <f>EZ4+FC4</f>
        <v>177721053</v>
      </c>
      <c r="FG4" s="3">
        <f>FE4-FF4</f>
        <v>188568690</v>
      </c>
      <c r="FH4" s="20">
        <f>ROUND(EY4/$EY4,2)</f>
        <v>1</v>
      </c>
      <c r="FI4" s="20">
        <f>ROUND(EZ4/$EY4,3)</f>
        <v>0.53400000000000003</v>
      </c>
      <c r="FJ4" s="20">
        <f>ROUND(FA4/$EY4,3)</f>
        <v>0.46600000000000003</v>
      </c>
      <c r="FK4" s="20">
        <f>ROUND(FB4/$FB4,2)</f>
        <v>1</v>
      </c>
      <c r="FL4" s="20">
        <f>ROUND(FC4/$FB4,3)</f>
        <v>0.36799999999999999</v>
      </c>
      <c r="FM4" s="20">
        <f>ROUND(FD4/$FB4,3)</f>
        <v>0.63200000000000001</v>
      </c>
      <c r="FN4" s="20">
        <f>ROUND(FE4/$FE4,2)</f>
        <v>1</v>
      </c>
      <c r="FO4" s="20">
        <f>ROUND(FF4/$FE4,3)</f>
        <v>0.48499999999999999</v>
      </c>
      <c r="FP4" s="20">
        <f>ROUND(FG4/$FE4,3)</f>
        <v>0.51500000000000001</v>
      </c>
      <c r="FQ4" s="101">
        <f t="shared" ref="FQ4:FW4" si="26">FQ13+FQ19+FQ25+FQ31+FQ37+FQ43</f>
        <v>285762198.39999998</v>
      </c>
      <c r="FR4" s="408">
        <f t="shared" si="26"/>
        <v>-19631129.200000003</v>
      </c>
      <c r="FS4" s="101">
        <f t="shared" si="26"/>
        <v>55265561</v>
      </c>
      <c r="FT4" s="101">
        <f t="shared" si="26"/>
        <v>7892806</v>
      </c>
      <c r="FU4" s="101">
        <f t="shared" si="26"/>
        <v>5145086</v>
      </c>
      <c r="FV4" s="101">
        <f t="shared" si="26"/>
        <v>3870631</v>
      </c>
      <c r="FW4" s="101">
        <f t="shared" si="26"/>
        <v>67545165</v>
      </c>
      <c r="FX4" s="409">
        <f>SUM(FQ4:FW4)</f>
        <v>405850318.19999999</v>
      </c>
      <c r="FY4" s="410">
        <f>ROUND(FG4-FX4,-2)</f>
        <v>-217281600</v>
      </c>
      <c r="FZ4" s="20">
        <f t="shared" ref="FZ4:GH4" si="27">ROUND(FQ4/$FE4,3)</f>
        <v>0.78</v>
      </c>
      <c r="GA4" s="20">
        <f t="shared" si="27"/>
        <v>-5.3999999999999999E-2</v>
      </c>
      <c r="GB4" s="20">
        <f t="shared" si="27"/>
        <v>0.151</v>
      </c>
      <c r="GC4" s="20">
        <f t="shared" si="27"/>
        <v>2.1999999999999999E-2</v>
      </c>
      <c r="GD4" s="20">
        <f t="shared" si="27"/>
        <v>1.4E-2</v>
      </c>
      <c r="GE4" s="20">
        <f t="shared" si="27"/>
        <v>1.0999999999999999E-2</v>
      </c>
      <c r="GF4" s="20">
        <f t="shared" si="27"/>
        <v>0.184</v>
      </c>
      <c r="GG4" s="20">
        <f t="shared" si="27"/>
        <v>1.1080000000000001</v>
      </c>
      <c r="GH4" s="20">
        <f t="shared" si="27"/>
        <v>-0.59299999999999997</v>
      </c>
      <c r="GI4" s="411">
        <f>EY4/FB4</f>
        <v>2.3950114697691482</v>
      </c>
      <c r="GJ4" s="101">
        <f t="shared" ref="GJ4:GV4" si="28">GJ13+GJ19+GJ25+GJ31+GJ37+GJ43</f>
        <v>94</v>
      </c>
      <c r="GK4" s="394">
        <f t="shared" si="28"/>
        <v>6.8980000000000015</v>
      </c>
      <c r="GL4" s="101">
        <f t="shared" si="28"/>
        <v>75</v>
      </c>
      <c r="GM4" s="394">
        <f t="shared" si="28"/>
        <v>4.955000000000001</v>
      </c>
      <c r="GN4" s="101">
        <f>GN13+GN19+GN25+GN31+GN37+GN43</f>
        <v>1098</v>
      </c>
      <c r="GO4" s="101">
        <f>GO13+GO19+GO25+GO31+GO37+GO43</f>
        <v>6809.18</v>
      </c>
      <c r="GP4" s="101">
        <f>GP13+GP19+GP25+GP31+GP37+GP43</f>
        <v>1954575</v>
      </c>
      <c r="GQ4" s="101">
        <f t="shared" si="28"/>
        <v>60230938</v>
      </c>
      <c r="GR4" s="101">
        <f t="shared" si="28"/>
        <v>11784255</v>
      </c>
      <c r="GS4" s="101">
        <f t="shared" si="28"/>
        <v>32698357</v>
      </c>
      <c r="GT4" s="101">
        <f t="shared" si="28"/>
        <v>9307326</v>
      </c>
      <c r="GU4" s="101">
        <f t="shared" si="28"/>
        <v>3048549</v>
      </c>
      <c r="GV4" s="101">
        <f t="shared" si="28"/>
        <v>12900878.800000001</v>
      </c>
      <c r="GW4" s="412">
        <f>SUM(GQ4:GV4)</f>
        <v>129970303.8</v>
      </c>
      <c r="GX4" s="7">
        <f>IF(GW4=0,0,ROUND(GW4/GN4,-2))</f>
        <v>118400</v>
      </c>
      <c r="GY4" s="49">
        <f>IF(GW4=0,0,ROUND(GW4/GO4,-2))</f>
        <v>19100</v>
      </c>
      <c r="GZ4" s="20">
        <f t="shared" ref="GZ4:HE4" si="29">ROUND(GQ4/$GW4,3)</f>
        <v>0.46300000000000002</v>
      </c>
      <c r="HA4" s="20">
        <f t="shared" si="29"/>
        <v>9.0999999999999998E-2</v>
      </c>
      <c r="HB4" s="20">
        <f t="shared" si="29"/>
        <v>0.252</v>
      </c>
      <c r="HC4" s="20">
        <f t="shared" si="29"/>
        <v>7.1999999999999995E-2</v>
      </c>
      <c r="HD4" s="20">
        <f t="shared" si="29"/>
        <v>2.3E-2</v>
      </c>
      <c r="HE4" s="20">
        <f t="shared" si="29"/>
        <v>9.9000000000000005E-2</v>
      </c>
      <c r="HF4" s="20">
        <f>SUM(GZ4:HE4)</f>
        <v>1</v>
      </c>
      <c r="HG4" s="101">
        <f t="shared" ref="HG4:HP4" si="30">HG13+HG19+HG25+HG31+HG37+HG43</f>
        <v>1705</v>
      </c>
      <c r="HH4" s="101">
        <f t="shared" si="30"/>
        <v>11905</v>
      </c>
      <c r="HI4" s="101">
        <f t="shared" si="30"/>
        <v>2687711</v>
      </c>
      <c r="HJ4" s="101">
        <f t="shared" si="30"/>
        <v>87228086</v>
      </c>
      <c r="HK4" s="101">
        <f t="shared" si="30"/>
        <v>15133697</v>
      </c>
      <c r="HL4" s="101">
        <f t="shared" si="30"/>
        <v>47389995</v>
      </c>
      <c r="HM4" s="101">
        <f t="shared" si="30"/>
        <v>11960276</v>
      </c>
      <c r="HN4" s="101">
        <f t="shared" si="30"/>
        <v>3385553</v>
      </c>
      <c r="HO4" s="101">
        <f t="shared" si="30"/>
        <v>19235591</v>
      </c>
      <c r="HP4" s="101">
        <f t="shared" si="30"/>
        <v>184333198</v>
      </c>
      <c r="HQ4" s="7">
        <f>ROUND(HP4/$HG4,-2)</f>
        <v>108100</v>
      </c>
      <c r="HR4" s="49">
        <f>IF(HP4=0,0,ROUND(HP4/HH4,-1))</f>
        <v>15480</v>
      </c>
      <c r="HS4" s="20">
        <f t="shared" ref="HS4:HX4" si="31">ROUND(HJ4/$HP4,3)</f>
        <v>0.47299999999999998</v>
      </c>
      <c r="HT4" s="20">
        <f t="shared" si="31"/>
        <v>8.2000000000000003E-2</v>
      </c>
      <c r="HU4" s="20">
        <f t="shared" si="31"/>
        <v>0.25700000000000001</v>
      </c>
      <c r="HV4" s="20">
        <f t="shared" si="31"/>
        <v>6.5000000000000002E-2</v>
      </c>
      <c r="HW4" s="20">
        <f t="shared" si="31"/>
        <v>1.7999999999999999E-2</v>
      </c>
      <c r="HX4" s="20">
        <f t="shared" si="31"/>
        <v>0.104</v>
      </c>
      <c r="HY4" s="20">
        <f>SUM(HS4:HX4)</f>
        <v>0.999</v>
      </c>
      <c r="HZ4" s="51"/>
      <c r="IA4" s="297">
        <f>ROUND(Q4/S4,2)</f>
        <v>0.08</v>
      </c>
      <c r="IB4" s="297"/>
      <c r="IC4" s="413">
        <f t="shared" ref="IC4:IE5" si="32">IC13+IC19+IC25+IC31+IC37+IC43</f>
        <v>113</v>
      </c>
      <c r="IE4" s="413">
        <f t="shared" si="32"/>
        <v>2</v>
      </c>
      <c r="IG4" s="284">
        <f>IF(BI4=0,0,+IF(K4=0,0,BI4/K4))</f>
        <v>38116.052722132896</v>
      </c>
      <c r="IH4" s="284">
        <f>IF(BU4=0,0,+IF(K4=0,0,BU4/K4))</f>
        <v>38365.264647299271</v>
      </c>
      <c r="II4" s="1215">
        <f t="shared" ref="II4:IJ4" si="33">II13+II19+II25+II31+II37+II43</f>
        <v>111.56812189633924</v>
      </c>
      <c r="IJ4" s="1215">
        <f t="shared" si="33"/>
        <v>41.565041515701331</v>
      </c>
      <c r="IK4" s="413">
        <f t="shared" ref="IK4:IN5" si="34">IK13+IK19+IK25+IK31+IK37+IK43</f>
        <v>37</v>
      </c>
      <c r="IL4" s="413">
        <f t="shared" si="34"/>
        <v>14</v>
      </c>
      <c r="IM4" s="413">
        <f t="shared" si="34"/>
        <v>42</v>
      </c>
      <c r="IN4" s="413">
        <f t="shared" si="34"/>
        <v>0</v>
      </c>
      <c r="IO4" s="750">
        <f>ROUND(FY4/$J4,-1)</f>
        <v>-2160</v>
      </c>
      <c r="IP4" s="851">
        <f>IF(K4=0,0,ROUND(FY4/K4,-1))</f>
        <v>-2520</v>
      </c>
      <c r="IQ4" s="20">
        <f>IF(FY4=0,0,+IF(CD4=0,0,FY4/CD4))</f>
        <v>-0.19325172541221786</v>
      </c>
      <c r="IR4" s="415">
        <f>EY4</f>
        <v>258399167</v>
      </c>
      <c r="IS4" s="415">
        <f>FB4</f>
        <v>107890576</v>
      </c>
      <c r="IT4" s="415">
        <f>FQ4</f>
        <v>285762198.39999998</v>
      </c>
      <c r="IU4" s="415">
        <f>FS4+FT4</f>
        <v>63158367</v>
      </c>
      <c r="IV4" s="415">
        <f>FF4</f>
        <v>177721053</v>
      </c>
      <c r="IW4" s="415">
        <f>SUM(FU4:FW4)+FR4</f>
        <v>56929752.799999997</v>
      </c>
      <c r="IX4" s="303">
        <f t="shared" ref="IX4:JC4" si="35">IF(IR4=0,0,ROUND(IR4/(SUM($IR4:$IS4)),3))</f>
        <v>0.70499999999999996</v>
      </c>
      <c r="IY4" s="303">
        <f t="shared" si="35"/>
        <v>0.29499999999999998</v>
      </c>
      <c r="IZ4" s="303">
        <f t="shared" si="35"/>
        <v>0.78</v>
      </c>
      <c r="JA4" s="303">
        <f t="shared" si="35"/>
        <v>0.17199999999999999</v>
      </c>
      <c r="JB4" s="303">
        <f>IF(IV4=0,0,ROUND(IV4/(SUM($IR4:$IS4)),3))</f>
        <v>0.48499999999999999</v>
      </c>
      <c r="JC4" s="303">
        <f t="shared" si="35"/>
        <v>0.155</v>
      </c>
      <c r="JD4" s="294">
        <f>CD4+CE4+CF4</f>
        <v>1132537451</v>
      </c>
      <c r="JE4" s="294">
        <f>BZ4+CA4+CB4+CC4</f>
        <v>308067429</v>
      </c>
      <c r="JF4" s="294">
        <f>JD4+JE4+CG4+CH4+CI4-CJ4</f>
        <v>0</v>
      </c>
      <c r="JG4" s="294">
        <f>CZ4+DA4</f>
        <v>78935446</v>
      </c>
      <c r="JH4" s="294">
        <f>JH13+JH19+JH25+JH31+JH37+JH43</f>
        <v>61</v>
      </c>
      <c r="JI4" s="414">
        <f t="shared" ref="JH4:JJ5" si="36">JI13+JI19+JI25+JI31+JI37+JI43</f>
        <v>90</v>
      </c>
      <c r="JJ4" s="300">
        <f t="shared" si="36"/>
        <v>67.120715885276695</v>
      </c>
      <c r="JK4" s="300">
        <f t="shared" ref="JK4:JQ4" si="37">JK13+JK19+JK25+JK31+JK37+JK43</f>
        <v>61.134560090601461</v>
      </c>
      <c r="JL4" s="300">
        <f t="shared" si="37"/>
        <v>11.087133185256393</v>
      </c>
      <c r="JM4" s="300">
        <f t="shared" si="37"/>
        <v>2.786655821105072</v>
      </c>
      <c r="JN4" s="300">
        <f t="shared" si="37"/>
        <v>38.771834450770982</v>
      </c>
      <c r="JO4" s="300">
        <f t="shared" si="37"/>
        <v>1.6638219456468926</v>
      </c>
      <c r="JP4" s="300">
        <f t="shared" si="37"/>
        <v>3.6786131429918756</v>
      </c>
      <c r="JQ4" s="300">
        <f t="shared" si="37"/>
        <v>119.12261863637268</v>
      </c>
      <c r="JR4" s="292">
        <f t="shared" ref="JR4:JW4" si="38">ROUND(GQ4/$GN4,-2)</f>
        <v>54900</v>
      </c>
      <c r="JS4" s="292">
        <f t="shared" si="38"/>
        <v>10700</v>
      </c>
      <c r="JT4" s="292">
        <f t="shared" si="38"/>
        <v>29800</v>
      </c>
      <c r="JU4" s="292">
        <f t="shared" si="38"/>
        <v>8500</v>
      </c>
      <c r="JV4" s="292">
        <f t="shared" si="38"/>
        <v>2800</v>
      </c>
      <c r="JW4" s="292">
        <f t="shared" si="38"/>
        <v>11700</v>
      </c>
      <c r="JX4" s="292">
        <f>GW4/GP4</f>
        <v>66.495429338858827</v>
      </c>
      <c r="JY4" s="398">
        <f>JY13+JY19+JY25+JY31+JY37+JY43</f>
        <v>13.437576051209817</v>
      </c>
      <c r="JZ4" s="292">
        <f t="shared" ref="JZ4:KE4" si="39">ROUND(HJ4/$HG4,-2)</f>
        <v>51200</v>
      </c>
      <c r="KA4" s="292">
        <f t="shared" si="39"/>
        <v>8900</v>
      </c>
      <c r="KB4" s="292">
        <f t="shared" si="39"/>
        <v>27800</v>
      </c>
      <c r="KC4" s="292">
        <f t="shared" si="39"/>
        <v>7000</v>
      </c>
      <c r="KD4" s="292">
        <f t="shared" si="39"/>
        <v>2000</v>
      </c>
      <c r="KE4" s="292">
        <f t="shared" si="39"/>
        <v>11300</v>
      </c>
      <c r="KF4" s="292">
        <f>ROUND(HI4/HG4*18,-2)</f>
        <v>28400</v>
      </c>
      <c r="KG4" s="292">
        <f>ROUND(HH4/HG4*36,0)</f>
        <v>251</v>
      </c>
      <c r="KH4" s="292">
        <f>ROUND(HP4/HI4,0)</f>
        <v>69</v>
      </c>
      <c r="KI4" s="398">
        <f>KI13+KI19+KI25+KI31+KI37+KI43</f>
        <v>9.0610479444176981</v>
      </c>
      <c r="KJ4" s="61">
        <f t="shared" ref="KJ4:KW5" si="40">KJ13+KJ19+KJ25+KJ31+KJ37+KJ43</f>
        <v>2803</v>
      </c>
      <c r="KK4" s="61">
        <f>KK13+KK19+KK25+KK31+KK37+KK43</f>
        <v>4642286</v>
      </c>
      <c r="KL4" s="61">
        <f t="shared" si="40"/>
        <v>18714.18</v>
      </c>
      <c r="KM4" s="61">
        <f t="shared" si="40"/>
        <v>11756018.47858892</v>
      </c>
      <c r="KN4" s="61">
        <f t="shared" si="40"/>
        <v>8336.7388184948213</v>
      </c>
      <c r="KO4" s="61">
        <f t="shared" si="40"/>
        <v>1942110.4881760448</v>
      </c>
      <c r="KP4" s="61">
        <f t="shared" si="40"/>
        <v>147459024</v>
      </c>
      <c r="KQ4" s="61">
        <f t="shared" si="40"/>
        <v>26917952</v>
      </c>
      <c r="KR4" s="61">
        <f t="shared" si="40"/>
        <v>80088352</v>
      </c>
      <c r="KS4" s="61">
        <f t="shared" si="40"/>
        <v>21267602</v>
      </c>
      <c r="KT4" s="61">
        <f t="shared" si="40"/>
        <v>6434102</v>
      </c>
      <c r="KU4" s="61">
        <f>KU13+KU19+KU25+KU31+KU37+KU43</f>
        <v>32136469.800000001</v>
      </c>
      <c r="KV4" s="61">
        <f>KV13+KV19+KV25+KV31+KV37+KV43</f>
        <v>22.498623995627511</v>
      </c>
      <c r="KW4" s="398">
        <f>KW13+KW19+KW25+KW31+KW37+KW43</f>
        <v>-33.838004715618062</v>
      </c>
      <c r="KX4" s="51"/>
      <c r="LC4" s="286"/>
      <c r="LD4" s="286"/>
      <c r="LN4" s="286"/>
      <c r="LO4" s="286"/>
      <c r="LP4" s="286"/>
      <c r="LT4" s="286"/>
      <c r="LU4" s="286"/>
      <c r="LV4" s="286"/>
      <c r="LW4" s="286"/>
      <c r="LX4" s="286"/>
      <c r="LY4" s="286"/>
      <c r="LZ4" s="286"/>
      <c r="MA4" s="286"/>
      <c r="MB4" s="286"/>
      <c r="MC4" s="286"/>
      <c r="MD4" s="286"/>
      <c r="ME4" s="286"/>
      <c r="MF4" s="286"/>
      <c r="MG4" s="286"/>
      <c r="MH4" s="286"/>
      <c r="MI4" s="286"/>
      <c r="MJ4" s="286"/>
      <c r="MK4" s="286"/>
      <c r="ML4" s="282"/>
      <c r="MM4" s="1232"/>
      <c r="MN4" s="1232"/>
      <c r="MO4" s="1232"/>
      <c r="MP4" s="1232"/>
      <c r="MQ4" s="282"/>
      <c r="MR4" s="282"/>
      <c r="NV4" s="286"/>
      <c r="NW4" s="286"/>
      <c r="NX4" s="286"/>
      <c r="NY4" s="286"/>
      <c r="NZ4" s="286"/>
      <c r="OA4" s="286"/>
      <c r="OB4" s="286"/>
      <c r="OC4" s="286"/>
      <c r="OD4" s="286"/>
      <c r="OG4" s="286"/>
      <c r="OH4" s="286"/>
      <c r="OI4" s="286"/>
      <c r="OJ4" s="286"/>
      <c r="OK4" s="286"/>
      <c r="OL4" s="286"/>
      <c r="OM4" s="286"/>
      <c r="ON4" s="286"/>
      <c r="OO4" s="286"/>
      <c r="OP4" s="286"/>
      <c r="OQ4" s="286"/>
      <c r="OR4" s="286"/>
      <c r="OS4" s="286"/>
      <c r="OT4" s="286"/>
      <c r="OU4" s="282"/>
      <c r="OV4" s="282"/>
      <c r="OW4" s="286"/>
      <c r="OX4" s="286"/>
      <c r="OY4" s="286"/>
      <c r="OZ4" s="286"/>
      <c r="PA4" s="286"/>
      <c r="PB4" s="286"/>
      <c r="PC4" s="286"/>
      <c r="PD4" s="282"/>
      <c r="PE4" s="282"/>
      <c r="PF4" s="286"/>
      <c r="PG4" s="286"/>
      <c r="PH4" s="286"/>
      <c r="PI4" s="286"/>
      <c r="PJ4" s="286"/>
      <c r="PK4" s="286"/>
      <c r="PL4" s="286"/>
      <c r="PM4" s="282"/>
    </row>
    <row r="5" spans="1:429" ht="16.5" customHeight="1" outlineLevel="1">
      <c r="A5" s="2056" t="s">
        <v>586</v>
      </c>
      <c r="C5" s="272" t="s">
        <v>391</v>
      </c>
      <c r="E5" s="1530"/>
      <c r="F5" s="101">
        <f t="shared" ref="F5:J5" si="41">F14+F20+F26+F32+F38+F44</f>
        <v>119</v>
      </c>
      <c r="G5" s="101">
        <f t="shared" si="41"/>
        <v>119</v>
      </c>
      <c r="H5" s="101">
        <f t="shared" si="41"/>
        <v>119</v>
      </c>
      <c r="I5" s="101">
        <f t="shared" si="41"/>
        <v>104</v>
      </c>
      <c r="J5" s="101">
        <f t="shared" si="41"/>
        <v>119</v>
      </c>
      <c r="K5" s="820">
        <f>K14+K20+K26+K32+K38+K44</f>
        <v>119</v>
      </c>
      <c r="L5" s="1079"/>
      <c r="M5" s="1079"/>
      <c r="N5" s="1079"/>
      <c r="O5" s="1079"/>
      <c r="P5" s="1079"/>
      <c r="Q5" s="9">
        <f>$S5</f>
        <v>115</v>
      </c>
      <c r="R5" s="9">
        <f>$S5</f>
        <v>115</v>
      </c>
      <c r="S5" s="101">
        <f>S14+S20+S26+S32+S38+S44</f>
        <v>115</v>
      </c>
      <c r="T5" s="1072"/>
      <c r="U5" s="1072"/>
      <c r="V5" s="282"/>
      <c r="W5" s="101">
        <f t="shared" ref="W5:AI5" si="42">W14+W20+W26+W32+W38+W44</f>
        <v>116</v>
      </c>
      <c r="X5" s="101">
        <f t="shared" si="42"/>
        <v>116</v>
      </c>
      <c r="Y5" s="282"/>
      <c r="Z5" s="282"/>
      <c r="AA5" s="101">
        <f t="shared" si="42"/>
        <v>115</v>
      </c>
      <c r="AB5" s="101">
        <f t="shared" si="42"/>
        <v>115</v>
      </c>
      <c r="AC5" s="282"/>
      <c r="AD5" s="282"/>
      <c r="AE5" s="101">
        <f t="shared" si="42"/>
        <v>119</v>
      </c>
      <c r="AF5" s="101">
        <f t="shared" si="42"/>
        <v>86</v>
      </c>
      <c r="AG5" s="282"/>
      <c r="AH5" s="101">
        <f t="shared" si="42"/>
        <v>119</v>
      </c>
      <c r="AI5" s="106">
        <f t="shared" si="42"/>
        <v>5</v>
      </c>
      <c r="AJ5" s="1072"/>
      <c r="AK5" s="101">
        <f t="shared" ref="AK5:AL5" si="43">AK14+AK20+AK26+AK32+AK38+AK44</f>
        <v>119</v>
      </c>
      <c r="AL5" s="101">
        <f t="shared" si="43"/>
        <v>62</v>
      </c>
      <c r="AM5" s="403"/>
      <c r="AN5" s="1072"/>
      <c r="AO5" s="403"/>
      <c r="AP5" s="403"/>
      <c r="AQ5" s="403"/>
      <c r="AS5" s="282"/>
      <c r="AT5" s="282"/>
      <c r="AU5" s="282"/>
      <c r="AV5" s="282"/>
      <c r="AW5" s="282"/>
      <c r="AX5" s="101">
        <f t="shared" ref="AX5:BD5" si="44">AX14+AX20+AX26+AX32+AX38+AX44</f>
        <v>119</v>
      </c>
      <c r="AY5" s="101">
        <f t="shared" si="44"/>
        <v>119</v>
      </c>
      <c r="AZ5" s="101">
        <f t="shared" si="44"/>
        <v>119</v>
      </c>
      <c r="BA5" s="101">
        <f t="shared" si="44"/>
        <v>119</v>
      </c>
      <c r="BB5" s="101">
        <f t="shared" si="44"/>
        <v>119</v>
      </c>
      <c r="BC5" s="101">
        <f t="shared" si="44"/>
        <v>119</v>
      </c>
      <c r="BD5" s="101">
        <f t="shared" si="44"/>
        <v>119</v>
      </c>
      <c r="BE5" s="101">
        <f t="shared" ref="BE5:BK5" si="45">BE14+BE20+BE26+BE32+BE38+BE44</f>
        <v>119</v>
      </c>
      <c r="BF5" s="101">
        <f t="shared" si="45"/>
        <v>66</v>
      </c>
      <c r="BG5" s="101">
        <f>BG14+BG20+BG26+BG32+BG38+BG44</f>
        <v>109</v>
      </c>
      <c r="BH5" s="101">
        <f t="shared" si="45"/>
        <v>113</v>
      </c>
      <c r="BI5" s="1264">
        <f t="shared" ref="BI5" si="46">BI14+BI20+BI26+BI32+BI38+BI44</f>
        <v>119</v>
      </c>
      <c r="BJ5" s="101">
        <f t="shared" si="45"/>
        <v>119</v>
      </c>
      <c r="BK5" s="101">
        <f t="shared" si="45"/>
        <v>118</v>
      </c>
      <c r="BL5" s="405"/>
      <c r="BM5" s="101">
        <f>BM14+BM20+BM26+BM32+BM38+BM44</f>
        <v>119</v>
      </c>
      <c r="BN5" s="101">
        <f>BN14+BN20+BN26+BN32+BN38+BN44</f>
        <v>99</v>
      </c>
      <c r="BO5" s="282"/>
      <c r="BP5" s="101">
        <f t="shared" ref="BP5:BR5" si="47">BP14+BP20+BP26+BP32+BP38+BP44</f>
        <v>119</v>
      </c>
      <c r="BQ5" s="101">
        <f t="shared" si="47"/>
        <v>119</v>
      </c>
      <c r="BR5" s="101">
        <f t="shared" si="47"/>
        <v>119</v>
      </c>
      <c r="BS5" s="101">
        <f>BS14+BS20+BS26+BS32+BS38+BS44</f>
        <v>119</v>
      </c>
      <c r="BT5" s="101">
        <f t="shared" ref="BT5:BU5" si="48">BT14+BT20+BT26+BT32+BT38+BT44</f>
        <v>119</v>
      </c>
      <c r="BU5" s="101">
        <f t="shared" si="48"/>
        <v>119</v>
      </c>
      <c r="BV5" s="101">
        <f>BV14+BV20+BV26+BV32+BV38+BV44</f>
        <v>119</v>
      </c>
      <c r="BW5" s="820"/>
      <c r="BX5" s="820"/>
      <c r="BY5" s="820"/>
      <c r="BZ5" s="405">
        <f t="shared" ref="BZ5:CH5" si="49">$CJ5</f>
        <v>119</v>
      </c>
      <c r="CA5" s="405">
        <f t="shared" si="49"/>
        <v>119</v>
      </c>
      <c r="CB5" s="405">
        <f t="shared" si="49"/>
        <v>119</v>
      </c>
      <c r="CC5" s="405">
        <f t="shared" si="49"/>
        <v>119</v>
      </c>
      <c r="CD5" s="405">
        <f t="shared" si="49"/>
        <v>119</v>
      </c>
      <c r="CE5" s="405">
        <f t="shared" si="49"/>
        <v>119</v>
      </c>
      <c r="CF5" s="405">
        <f t="shared" si="49"/>
        <v>119</v>
      </c>
      <c r="CG5" s="405">
        <f t="shared" si="49"/>
        <v>119</v>
      </c>
      <c r="CH5" s="405">
        <f t="shared" si="49"/>
        <v>119</v>
      </c>
      <c r="CI5" s="405">
        <f>$CJ5</f>
        <v>119</v>
      </c>
      <c r="CJ5" s="101">
        <f>CJ14+CJ20+CJ26+CJ32+CJ38+CJ44</f>
        <v>119</v>
      </c>
      <c r="CK5" s="416"/>
      <c r="CL5" s="416"/>
      <c r="CM5" s="416"/>
      <c r="CN5" s="416"/>
      <c r="CO5" s="416"/>
      <c r="CP5" s="416"/>
      <c r="CQ5" s="416"/>
      <c r="CR5" s="416"/>
      <c r="CS5" s="416"/>
      <c r="CT5" s="416"/>
      <c r="CU5" s="416"/>
      <c r="CV5" s="405">
        <f t="shared" ref="CV5:DB5" si="50">$CJ5</f>
        <v>119</v>
      </c>
      <c r="CW5" s="405">
        <f t="shared" si="50"/>
        <v>119</v>
      </c>
      <c r="CX5" s="405">
        <f t="shared" si="50"/>
        <v>119</v>
      </c>
      <c r="CY5" s="405">
        <f t="shared" si="50"/>
        <v>119</v>
      </c>
      <c r="CZ5" s="405">
        <f t="shared" si="50"/>
        <v>119</v>
      </c>
      <c r="DA5" s="405">
        <f t="shared" si="50"/>
        <v>119</v>
      </c>
      <c r="DB5" s="405">
        <f t="shared" si="50"/>
        <v>119</v>
      </c>
      <c r="DC5" s="406"/>
      <c r="DD5" s="406"/>
      <c r="DE5" s="406"/>
      <c r="DF5" s="406"/>
      <c r="DG5" s="406"/>
      <c r="DH5" s="406"/>
      <c r="DI5" s="406"/>
      <c r="DK5" s="822"/>
      <c r="DL5" s="822"/>
      <c r="DM5" s="822"/>
      <c r="DN5" s="822"/>
      <c r="DO5" s="822"/>
      <c r="DP5" s="822"/>
      <c r="DQ5" s="822"/>
      <c r="DR5" s="822"/>
      <c r="DS5" s="822"/>
      <c r="DT5" s="822"/>
      <c r="DU5" s="822"/>
      <c r="DV5" s="822"/>
      <c r="DW5" s="822"/>
      <c r="DX5" s="822"/>
      <c r="DY5" s="822"/>
      <c r="DZ5" s="822"/>
      <c r="EA5" s="822"/>
      <c r="EB5" s="822"/>
      <c r="EC5" s="824"/>
      <c r="ED5" s="101">
        <f>ED14+ED20+ED26+ED32+ED38+ED44</f>
        <v>119</v>
      </c>
      <c r="EE5" s="101">
        <f t="shared" ref="EE5:EQ5" si="51">EE14+EE20+EE26+EE32+EE38+EE44</f>
        <v>119</v>
      </c>
      <c r="EF5" s="101">
        <f t="shared" si="51"/>
        <v>72</v>
      </c>
      <c r="EG5" s="101">
        <f t="shared" ref="EG5" si="52">EG14+EG20+EG26+EG32+EG38+EG44</f>
        <v>69</v>
      </c>
      <c r="EH5" s="101">
        <f t="shared" ref="EH5:EI5" si="53">EH14+EH20+EH26+EH32+EH38+EH44</f>
        <v>119</v>
      </c>
      <c r="EI5" s="101">
        <f t="shared" si="53"/>
        <v>105</v>
      </c>
      <c r="EJ5" s="823"/>
      <c r="EK5" s="101">
        <f t="shared" si="51"/>
        <v>119</v>
      </c>
      <c r="EL5" s="101">
        <f t="shared" si="51"/>
        <v>64</v>
      </c>
      <c r="EM5" s="101">
        <f t="shared" si="51"/>
        <v>119</v>
      </c>
      <c r="EN5" s="101">
        <f t="shared" si="51"/>
        <v>63</v>
      </c>
      <c r="EO5" s="101">
        <f t="shared" si="51"/>
        <v>119</v>
      </c>
      <c r="EP5" s="101">
        <f t="shared" si="51"/>
        <v>32</v>
      </c>
      <c r="EQ5" s="101">
        <f t="shared" si="51"/>
        <v>119</v>
      </c>
      <c r="ER5" s="101">
        <f t="shared" ref="ER5" si="54">ER14+ER20+ER26+ER32+ER38+ER44</f>
        <v>119</v>
      </c>
      <c r="ES5" s="823"/>
      <c r="ET5" s="825"/>
      <c r="EU5" s="101">
        <f t="shared" ref="EU5:EU6" si="55">EU14+EU20+EU26+EU32+EU38+EU44</f>
        <v>55</v>
      </c>
      <c r="EV5" s="101">
        <f>EV14+EV20+EV26+EV32+EV38+EV44</f>
        <v>112</v>
      </c>
      <c r="EW5" s="101">
        <f>EW14+EW20+EW26+EW32+EW38+EW44</f>
        <v>100</v>
      </c>
      <c r="EX5" s="101">
        <f t="shared" ref="EX5:EX6" si="56">EX14+EX20+EX26+EX32+EX38+EX44</f>
        <v>64</v>
      </c>
      <c r="EY5" s="101">
        <f>EY14+EY20+EY26+EY32+EY38+EY44</f>
        <v>118</v>
      </c>
      <c r="EZ5" s="6">
        <f>$EY5</f>
        <v>118</v>
      </c>
      <c r="FA5" s="6"/>
      <c r="FB5" s="6">
        <f>$EY5</f>
        <v>118</v>
      </c>
      <c r="FC5" s="6">
        <f>$EY5</f>
        <v>118</v>
      </c>
      <c r="FD5" s="102"/>
      <c r="FE5" s="102"/>
      <c r="FF5" s="102"/>
      <c r="FG5" s="102"/>
      <c r="FH5" s="105"/>
      <c r="FI5" s="105"/>
      <c r="FJ5" s="105"/>
      <c r="FK5" s="105"/>
      <c r="FL5" s="105"/>
      <c r="FM5" s="105"/>
      <c r="FN5" s="105"/>
      <c r="FO5" s="105"/>
      <c r="FP5" s="105"/>
      <c r="FQ5" s="6">
        <f t="shared" ref="FQ5:FW5" si="57">$EY5</f>
        <v>118</v>
      </c>
      <c r="FR5" s="77">
        <f t="shared" si="57"/>
        <v>118</v>
      </c>
      <c r="FS5" s="6">
        <f t="shared" si="57"/>
        <v>118</v>
      </c>
      <c r="FT5" s="6">
        <f t="shared" si="57"/>
        <v>118</v>
      </c>
      <c r="FU5" s="6">
        <f t="shared" si="57"/>
        <v>118</v>
      </c>
      <c r="FV5" s="6">
        <f t="shared" si="57"/>
        <v>118</v>
      </c>
      <c r="FW5" s="6">
        <f t="shared" si="57"/>
        <v>118</v>
      </c>
      <c r="FX5" s="409"/>
      <c r="FY5" s="410"/>
      <c r="FZ5" s="105"/>
      <c r="GA5" s="105"/>
      <c r="GB5" s="105"/>
      <c r="GC5" s="105"/>
      <c r="GD5" s="105"/>
      <c r="GE5" s="105"/>
      <c r="GF5" s="105"/>
      <c r="GG5" s="105"/>
      <c r="GH5" s="105"/>
      <c r="GI5" s="419"/>
      <c r="GJ5" s="101">
        <f>GJ14+GJ20+GJ26+GJ32+GJ38+GJ44</f>
        <v>119</v>
      </c>
      <c r="GK5" s="101">
        <f>GK14+GK20+GK26+GK32+GK38+GK44</f>
        <v>94</v>
      </c>
      <c r="GL5" s="101">
        <f>GL14+GL20+GL26+GL32+GL38+GL44</f>
        <v>119</v>
      </c>
      <c r="GM5" s="101">
        <f>GM14+GM20+GM26+GM32+GM38+GM44</f>
        <v>75</v>
      </c>
      <c r="GN5" s="7">
        <f t="shared" ref="GN5:GV5" si="58">$GW5</f>
        <v>61</v>
      </c>
      <c r="GO5" s="7">
        <f t="shared" si="58"/>
        <v>61</v>
      </c>
      <c r="GP5" s="7">
        <f t="shared" si="58"/>
        <v>61</v>
      </c>
      <c r="GQ5" s="7">
        <f t="shared" si="58"/>
        <v>61</v>
      </c>
      <c r="GR5" s="7">
        <f t="shared" si="58"/>
        <v>61</v>
      </c>
      <c r="GS5" s="7">
        <f t="shared" si="58"/>
        <v>61</v>
      </c>
      <c r="GT5" s="7">
        <f t="shared" si="58"/>
        <v>61</v>
      </c>
      <c r="GU5" s="7">
        <f t="shared" si="58"/>
        <v>61</v>
      </c>
      <c r="GV5" s="7">
        <f t="shared" si="58"/>
        <v>61</v>
      </c>
      <c r="GW5" s="101">
        <f>GW14+GW20+GW26+GW32+GW38+GW44</f>
        <v>61</v>
      </c>
      <c r="GY5" s="104"/>
      <c r="GZ5" s="105"/>
      <c r="HA5" s="105"/>
      <c r="HB5" s="105"/>
      <c r="HC5" s="105"/>
      <c r="HD5" s="105"/>
      <c r="HE5" s="105"/>
      <c r="HF5" s="105"/>
      <c r="HG5" s="9">
        <f t="shared" ref="HG5:HO5" si="59">$HP5</f>
        <v>43</v>
      </c>
      <c r="HH5" s="9">
        <f t="shared" si="59"/>
        <v>43</v>
      </c>
      <c r="HI5" s="9">
        <f t="shared" si="59"/>
        <v>43</v>
      </c>
      <c r="HJ5" s="9">
        <f t="shared" si="59"/>
        <v>43</v>
      </c>
      <c r="HK5" s="9">
        <f t="shared" si="59"/>
        <v>43</v>
      </c>
      <c r="HL5" s="9">
        <f t="shared" si="59"/>
        <v>43</v>
      </c>
      <c r="HM5" s="9">
        <f t="shared" si="59"/>
        <v>43</v>
      </c>
      <c r="HN5" s="9">
        <f t="shared" si="59"/>
        <v>43</v>
      </c>
      <c r="HO5" s="9">
        <f t="shared" si="59"/>
        <v>43</v>
      </c>
      <c r="HP5" s="101">
        <f>HP14+HP20+HP26+HP32+HP38+HP44</f>
        <v>43</v>
      </c>
      <c r="HR5" s="107"/>
      <c r="HS5" s="105"/>
      <c r="HT5" s="105"/>
      <c r="HU5" s="105"/>
      <c r="HV5" s="105"/>
      <c r="HW5" s="105"/>
      <c r="HX5" s="105"/>
      <c r="HY5" s="105"/>
      <c r="HZ5" s="51"/>
      <c r="IA5" s="414"/>
      <c r="IB5" s="414"/>
      <c r="IC5" s="413">
        <f t="shared" si="32"/>
        <v>119</v>
      </c>
      <c r="IE5" s="413">
        <f t="shared" si="32"/>
        <v>119</v>
      </c>
      <c r="IG5" s="820"/>
      <c r="IH5" s="820"/>
      <c r="II5" s="101">
        <f t="shared" ref="II5:IJ5" si="60">II14+II20+II26+II32+II38+II44</f>
        <v>65</v>
      </c>
      <c r="IJ5" s="101">
        <f t="shared" si="60"/>
        <v>54</v>
      </c>
      <c r="IK5" s="413">
        <f t="shared" si="34"/>
        <v>119</v>
      </c>
      <c r="IL5" s="413">
        <f t="shared" si="34"/>
        <v>119</v>
      </c>
      <c r="IM5" s="413">
        <f t="shared" si="34"/>
        <v>119</v>
      </c>
      <c r="IN5" s="413">
        <f t="shared" si="34"/>
        <v>119</v>
      </c>
      <c r="IO5" s="853"/>
      <c r="IP5" s="851"/>
      <c r="IQ5" s="854"/>
      <c r="IR5" s="414"/>
      <c r="IS5" s="414"/>
      <c r="IT5" s="414"/>
      <c r="IU5" s="414"/>
      <c r="IV5" s="414"/>
      <c r="IW5" s="414"/>
      <c r="IX5" s="416"/>
      <c r="IY5" s="416"/>
      <c r="IZ5" s="416"/>
      <c r="JA5" s="416"/>
      <c r="JB5" s="416"/>
      <c r="JC5" s="416"/>
      <c r="JD5" s="414"/>
      <c r="JE5" s="414"/>
      <c r="JF5" s="414"/>
      <c r="JG5" s="414"/>
      <c r="JH5" s="414">
        <f t="shared" si="36"/>
        <v>119</v>
      </c>
      <c r="JI5" s="414">
        <f t="shared" si="36"/>
        <v>119</v>
      </c>
      <c r="JJ5" s="414">
        <f t="shared" si="36"/>
        <v>90</v>
      </c>
      <c r="JK5" s="414">
        <f t="shared" ref="JK5:JQ5" si="61">JK14+JK20+JK26+JK32+JK38+JK44</f>
        <v>119</v>
      </c>
      <c r="JL5" s="414">
        <f t="shared" si="61"/>
        <v>118</v>
      </c>
      <c r="JM5" s="414">
        <f t="shared" si="61"/>
        <v>91</v>
      </c>
      <c r="JN5" s="414">
        <f t="shared" si="61"/>
        <v>119</v>
      </c>
      <c r="JO5" s="414">
        <f>JO14+JO20+JO26+JO32+JO38+JO44</f>
        <v>103</v>
      </c>
      <c r="JP5" s="414">
        <f t="shared" si="61"/>
        <v>119</v>
      </c>
      <c r="JQ5" s="414">
        <f t="shared" si="61"/>
        <v>119</v>
      </c>
      <c r="JR5" s="414"/>
      <c r="JS5" s="414"/>
      <c r="JT5" s="414"/>
      <c r="JU5" s="414"/>
      <c r="JV5" s="414"/>
      <c r="JW5" s="414"/>
      <c r="JX5" s="414"/>
      <c r="JY5" s="103">
        <f>JY14+JY20+JY26+JY32+JY38+JY44</f>
        <v>61</v>
      </c>
      <c r="JZ5" s="414"/>
      <c r="KA5" s="414"/>
      <c r="KB5" s="414"/>
      <c r="KC5" s="414"/>
      <c r="KD5" s="414"/>
      <c r="KE5" s="414"/>
      <c r="KF5" s="414"/>
      <c r="KG5" s="414"/>
      <c r="KH5" s="414"/>
      <c r="KI5" s="103">
        <f>KI14+KI20+KI26+KI32+KI38+KI44</f>
        <v>43</v>
      </c>
      <c r="KJ5" s="61">
        <f t="shared" si="40"/>
        <v>104</v>
      </c>
      <c r="KK5" s="61">
        <f t="shared" si="40"/>
        <v>104</v>
      </c>
      <c r="KL5" s="61">
        <f t="shared" si="40"/>
        <v>104</v>
      </c>
      <c r="KM5" s="61">
        <f t="shared" si="40"/>
        <v>104</v>
      </c>
      <c r="KN5" s="61">
        <f t="shared" si="40"/>
        <v>104</v>
      </c>
      <c r="KO5" s="61">
        <f t="shared" si="40"/>
        <v>104</v>
      </c>
      <c r="KP5" s="61">
        <f t="shared" si="40"/>
        <v>104</v>
      </c>
      <c r="KQ5" s="61">
        <f t="shared" si="40"/>
        <v>104</v>
      </c>
      <c r="KR5" s="61">
        <f t="shared" si="40"/>
        <v>104</v>
      </c>
      <c r="KS5" s="61">
        <f t="shared" si="40"/>
        <v>104</v>
      </c>
      <c r="KT5" s="61">
        <f t="shared" si="40"/>
        <v>49</v>
      </c>
      <c r="KU5" s="61">
        <f>KU14+KU20+KU26+KU32+KU38+KU44</f>
        <v>104</v>
      </c>
      <c r="KV5" s="61">
        <f>KV14+KV20+KV26+KV32+KV38+KV44</f>
        <v>104</v>
      </c>
      <c r="KW5" s="61">
        <f t="shared" si="40"/>
        <v>104</v>
      </c>
      <c r="KX5" s="108"/>
      <c r="KY5" s="421"/>
      <c r="KZ5" s="421"/>
      <c r="LA5" s="421"/>
      <c r="LB5" s="421"/>
      <c r="LQ5" s="421"/>
      <c r="LR5" s="83"/>
      <c r="LS5" s="421"/>
      <c r="LT5" s="282"/>
      <c r="LU5" s="282"/>
      <c r="LV5" s="282"/>
      <c r="LW5" s="282"/>
      <c r="LX5" s="282"/>
      <c r="LY5" s="282"/>
      <c r="LZ5" s="282"/>
      <c r="MA5" s="282"/>
      <c r="MB5" s="282"/>
      <c r="MC5" s="282"/>
      <c r="MD5" s="282"/>
      <c r="ME5" s="282"/>
      <c r="MF5" s="282"/>
      <c r="MG5" s="282"/>
      <c r="MH5" s="282"/>
      <c r="MI5" s="282"/>
      <c r="MJ5" s="282"/>
      <c r="MK5" s="282"/>
      <c r="ML5" s="282"/>
      <c r="MM5" s="1232"/>
      <c r="MN5" s="1232"/>
      <c r="MO5" s="1232"/>
      <c r="MP5" s="1232"/>
      <c r="MS5" s="421"/>
      <c r="MT5" s="83"/>
      <c r="MU5" s="421"/>
      <c r="MV5" s="421"/>
      <c r="MW5" s="421"/>
      <c r="MX5" s="421"/>
      <c r="MY5" s="421"/>
      <c r="MZ5" s="421"/>
      <c r="NA5" s="421"/>
      <c r="NB5" s="421"/>
      <c r="NC5" s="421"/>
      <c r="ND5" s="421"/>
      <c r="NE5" s="421"/>
      <c r="NF5" s="421"/>
      <c r="NG5" s="421"/>
      <c r="NH5" s="421"/>
      <c r="NI5" s="421"/>
      <c r="NJ5" s="421"/>
      <c r="NK5" s="421"/>
      <c r="NL5" s="421"/>
      <c r="OQ5" s="282"/>
      <c r="OR5" s="282"/>
      <c r="OS5" s="282"/>
      <c r="OT5" s="282"/>
      <c r="OU5" s="282"/>
      <c r="OV5" s="282"/>
      <c r="OW5" s="282"/>
      <c r="OX5" s="282"/>
      <c r="OY5" s="282"/>
      <c r="OZ5" s="282"/>
      <c r="PA5" s="282"/>
      <c r="PB5" s="282"/>
      <c r="PC5" s="282"/>
      <c r="PD5" s="282"/>
      <c r="PE5" s="282"/>
      <c r="PF5" s="282"/>
      <c r="PG5" s="282"/>
      <c r="PH5" s="282"/>
      <c r="PI5" s="282"/>
      <c r="PJ5" s="282"/>
      <c r="PK5" s="282"/>
      <c r="PL5" s="282"/>
      <c r="PM5" s="282"/>
    </row>
    <row r="6" spans="1:429" ht="21.75" customHeight="1" outlineLevel="1" thickBot="1">
      <c r="A6" s="2056" t="s">
        <v>587</v>
      </c>
      <c r="B6" s="422"/>
      <c r="C6" s="608" t="s">
        <v>383</v>
      </c>
      <c r="D6" s="422"/>
      <c r="E6" s="1530"/>
      <c r="F6" s="423">
        <f>ROUND(F4/F5,2)</f>
        <v>0.71</v>
      </c>
      <c r="G6" s="423">
        <f>ROUND(G4/G5,2)</f>
        <v>0.51</v>
      </c>
      <c r="H6" s="109">
        <f>ROUND(H4/H5,-1)</f>
        <v>560</v>
      </c>
      <c r="I6" s="109">
        <f>ROUND(I4/I5,-1)</f>
        <v>330</v>
      </c>
      <c r="J6" s="109">
        <f>ROUND(J4/J5,-1)</f>
        <v>850</v>
      </c>
      <c r="K6" s="826">
        <f>ROUND(K4/K5,-1)</f>
        <v>720</v>
      </c>
      <c r="L6" s="1080"/>
      <c r="M6" s="1081"/>
      <c r="N6" s="1082"/>
      <c r="O6" s="1081"/>
      <c r="P6" s="1081"/>
      <c r="Q6" s="424">
        <f>ROUND(Q4/Q5,-2)</f>
        <v>8400</v>
      </c>
      <c r="R6" s="424">
        <f>ROUND(R4/R5,-2)</f>
        <v>96700</v>
      </c>
      <c r="S6" s="424">
        <f>ROUND(S4/S5,-2)</f>
        <v>105100</v>
      </c>
      <c r="T6" s="1067"/>
      <c r="U6" s="1067"/>
      <c r="V6" s="1067"/>
      <c r="W6" s="424">
        <f t="shared" ref="W6:X6" si="62">ROUND(W4/W5,-2)</f>
        <v>15800</v>
      </c>
      <c r="X6" s="424">
        <f t="shared" si="62"/>
        <v>14200</v>
      </c>
      <c r="Y6" s="1067"/>
      <c r="Z6" s="1067"/>
      <c r="AA6" s="109">
        <f>ROUND(AA4/AA5,-1)</f>
        <v>1630</v>
      </c>
      <c r="AB6" s="109">
        <f>ROUND(AB4/AB5,2)</f>
        <v>0.12</v>
      </c>
      <c r="AC6" s="1104"/>
      <c r="AD6" s="1103"/>
      <c r="AE6" s="423">
        <f>ROUND(AE4/AE5,2)</f>
        <v>0.72</v>
      </c>
      <c r="AF6" s="109">
        <f>ROUND(AF4/AF5,-1)</f>
        <v>2000</v>
      </c>
      <c r="AG6" s="1104"/>
      <c r="AH6" s="423">
        <f>ROUND(AH4/AH5,2)</f>
        <v>0.04</v>
      </c>
      <c r="AI6" s="109">
        <f>ROUND(AI4/AI5,-1)</f>
        <v>1660</v>
      </c>
      <c r="AJ6" s="1104"/>
      <c r="AK6" s="423">
        <f>ROUND(AK4/AK5,2)</f>
        <v>0.52</v>
      </c>
      <c r="AL6" s="109">
        <f>ROUND(AL4/AL5,-1)</f>
        <v>2450</v>
      </c>
      <c r="AM6" s="293">
        <f>X6+AF6+AI6+AL6</f>
        <v>20310</v>
      </c>
      <c r="AN6" s="1067">
        <f>Z6+AG6+AJ6</f>
        <v>0</v>
      </c>
      <c r="AO6" s="293">
        <f>EL6</f>
        <v>1100</v>
      </c>
      <c r="AP6" s="426">
        <f>ROUND(EP6*12,-2)</f>
        <v>1200</v>
      </c>
      <c r="AQ6" s="426">
        <f>+AM6+AO6+AP6</f>
        <v>22610</v>
      </c>
      <c r="AR6" s="427">
        <f>ROUND(Z6+AG6+AJ6,-2)</f>
        <v>0</v>
      </c>
      <c r="AS6" s="1123"/>
      <c r="AT6" s="1123"/>
      <c r="AU6" s="1123"/>
      <c r="AV6" s="1123"/>
      <c r="AW6" s="1066"/>
      <c r="AX6" s="423">
        <f>ROUND(AX4/AX5,2)</f>
        <v>0.47</v>
      </c>
      <c r="AY6" s="423">
        <f>ROUND(AY4/AY5,2)</f>
        <v>0.23</v>
      </c>
      <c r="AZ6" s="423">
        <f>ROUND(AZ4/AZ5,2)</f>
        <v>0.19</v>
      </c>
      <c r="BA6" s="423">
        <f>ROUND(BA4/BA5,2)</f>
        <v>0.08</v>
      </c>
      <c r="BB6" s="423">
        <f t="shared" ref="BB6:BC6" si="63">ROUND(BB4/BB5,2)</f>
        <v>0.02</v>
      </c>
      <c r="BC6" s="423">
        <f t="shared" si="63"/>
        <v>0.08</v>
      </c>
      <c r="BD6" s="423">
        <f>ROUND(BD4/BD5,2)</f>
        <v>0.08</v>
      </c>
      <c r="BE6" s="423">
        <f t="shared" ref="BE6" si="64">ROUND(BE4/BE5,2)</f>
        <v>0.55000000000000004</v>
      </c>
      <c r="BF6" s="109">
        <f t="shared" ref="BF6:BK6" si="65">ROUND(BF4/BF5,-2)</f>
        <v>8264800</v>
      </c>
      <c r="BG6" s="109">
        <f t="shared" si="65"/>
        <v>1767200</v>
      </c>
      <c r="BH6" s="109">
        <f t="shared" si="65"/>
        <v>6531900</v>
      </c>
      <c r="BI6" s="1265">
        <f t="shared" si="65"/>
        <v>27609600</v>
      </c>
      <c r="BJ6" s="109">
        <f t="shared" si="65"/>
        <v>3735100</v>
      </c>
      <c r="BK6" s="109">
        <f t="shared" si="65"/>
        <v>2198400</v>
      </c>
      <c r="BL6" s="428">
        <f>ROUND(BJ6/BK6,2)</f>
        <v>1.7</v>
      </c>
      <c r="BM6" s="423">
        <f>ROUND(BM4/BM5,2)</f>
        <v>0.83</v>
      </c>
      <c r="BN6" s="109">
        <f>ROUND(BN4/BN5,-2)</f>
        <v>6354600</v>
      </c>
      <c r="BO6" s="1066"/>
      <c r="BP6" s="109">
        <f t="shared" ref="BP6:BQ6" si="66">ROUND(BP4/BP5,-2)</f>
        <v>7645500</v>
      </c>
      <c r="BQ6" s="109">
        <f t="shared" si="66"/>
        <v>7157200</v>
      </c>
      <c r="BR6" s="1218">
        <f>ROUND(BR4/BR5,1)</f>
        <v>1.3</v>
      </c>
      <c r="BS6" s="423">
        <f>ROUND(BS4/BS5,2)</f>
        <v>0.55000000000000004</v>
      </c>
      <c r="BT6" s="109">
        <f t="shared" ref="BT6:BU6" si="67">ROUND(BT4/BT5,-2)</f>
        <v>12647000</v>
      </c>
      <c r="BU6" s="109">
        <f t="shared" si="67"/>
        <v>27790100</v>
      </c>
      <c r="BV6" s="1218">
        <f>ROUND(BV4/BV5,1)</f>
        <v>0.5</v>
      </c>
      <c r="BW6" s="826">
        <f>IF(BN6=0,0,+IF(K6=0,0,ROUND(BN6/K6,-1)))</f>
        <v>8830</v>
      </c>
      <c r="BX6" s="826">
        <f>IF(BJ6=0,0,+IF(K6=0,0,ROUND(BJ6/K6,-1)))</f>
        <v>5190</v>
      </c>
      <c r="BY6" s="826">
        <f>IF(BH6=0,0,+IF(K6=0,0,ROUND(BH6/K6,-1)))</f>
        <v>9070</v>
      </c>
      <c r="BZ6" s="109">
        <f t="shared" ref="BZ6:CI6" si="68">ROUND(BZ4/BZ5,-3)</f>
        <v>1351000</v>
      </c>
      <c r="CA6" s="109">
        <f t="shared" si="68"/>
        <v>175000</v>
      </c>
      <c r="CB6" s="109">
        <f t="shared" si="68"/>
        <v>529000</v>
      </c>
      <c r="CC6" s="109">
        <f t="shared" si="68"/>
        <v>533000</v>
      </c>
      <c r="CD6" s="109">
        <f t="shared" si="68"/>
        <v>9448000</v>
      </c>
      <c r="CE6" s="109">
        <f t="shared" si="68"/>
        <v>59000</v>
      </c>
      <c r="CF6" s="109">
        <f t="shared" si="68"/>
        <v>10000</v>
      </c>
      <c r="CG6" s="109">
        <f t="shared" si="68"/>
        <v>2171000</v>
      </c>
      <c r="CH6" s="109">
        <f t="shared" si="68"/>
        <v>907000</v>
      </c>
      <c r="CI6" s="109">
        <f t="shared" si="68"/>
        <v>572000</v>
      </c>
      <c r="CJ6" s="293">
        <f>SUM(BZ6:CI6)</f>
        <v>15755000</v>
      </c>
      <c r="CK6" s="429">
        <f t="shared" ref="CK6:CU7" si="69">ROUND(BZ6/$CJ6,3)</f>
        <v>8.5999999999999993E-2</v>
      </c>
      <c r="CL6" s="429">
        <f t="shared" si="69"/>
        <v>1.0999999999999999E-2</v>
      </c>
      <c r="CM6" s="429">
        <f t="shared" si="69"/>
        <v>3.4000000000000002E-2</v>
      </c>
      <c r="CN6" s="429">
        <f t="shared" si="69"/>
        <v>3.4000000000000002E-2</v>
      </c>
      <c r="CO6" s="429">
        <f t="shared" si="69"/>
        <v>0.6</v>
      </c>
      <c r="CP6" s="429">
        <f t="shared" si="69"/>
        <v>4.0000000000000001E-3</v>
      </c>
      <c r="CQ6" s="429">
        <f t="shared" si="69"/>
        <v>1E-3</v>
      </c>
      <c r="CR6" s="429">
        <f t="shared" si="69"/>
        <v>0.13800000000000001</v>
      </c>
      <c r="CS6" s="429">
        <f t="shared" si="69"/>
        <v>5.8000000000000003E-2</v>
      </c>
      <c r="CT6" s="429">
        <f t="shared" si="69"/>
        <v>3.5999999999999997E-2</v>
      </c>
      <c r="CU6" s="429">
        <f t="shared" si="69"/>
        <v>1</v>
      </c>
      <c r="CV6" s="109">
        <f t="shared" ref="CV6:DB6" si="70">ROUND(CV4/CV5,-3)</f>
        <v>8054000</v>
      </c>
      <c r="CW6" s="109">
        <f t="shared" si="70"/>
        <v>1493000</v>
      </c>
      <c r="CX6" s="109">
        <f t="shared" si="70"/>
        <v>386000</v>
      </c>
      <c r="CY6" s="109">
        <f t="shared" si="70"/>
        <v>5129000</v>
      </c>
      <c r="CZ6" s="109">
        <f>ROUND(CZ4/CZ5,-3)</f>
        <v>215000</v>
      </c>
      <c r="DA6" s="109">
        <f t="shared" si="70"/>
        <v>449000</v>
      </c>
      <c r="DB6" s="109">
        <f t="shared" si="70"/>
        <v>15724000</v>
      </c>
      <c r="DC6" s="429">
        <f t="shared" ref="DC6:DI7" si="71">ROUND(CV6/$DB6,3)</f>
        <v>0.51200000000000001</v>
      </c>
      <c r="DD6" s="429">
        <f t="shared" si="71"/>
        <v>9.5000000000000001E-2</v>
      </c>
      <c r="DE6" s="429">
        <f t="shared" si="71"/>
        <v>2.5000000000000001E-2</v>
      </c>
      <c r="DF6" s="429">
        <f t="shared" si="71"/>
        <v>0.32600000000000001</v>
      </c>
      <c r="DG6" s="429">
        <f t="shared" si="71"/>
        <v>1.4E-2</v>
      </c>
      <c r="DH6" s="429">
        <f t="shared" si="71"/>
        <v>2.9000000000000001E-2</v>
      </c>
      <c r="DI6" s="429">
        <f t="shared" si="71"/>
        <v>1</v>
      </c>
      <c r="DJ6" s="302">
        <f>CJ6-DB6</f>
        <v>31000</v>
      </c>
      <c r="DK6" s="827">
        <f t="shared" ref="DK6:DT6" si="72">IF(BZ6=0,0,+IF($K6=0,0,ROUND(BZ6/$K6,-1)))</f>
        <v>1880</v>
      </c>
      <c r="DL6" s="827">
        <f t="shared" si="72"/>
        <v>240</v>
      </c>
      <c r="DM6" s="827">
        <f t="shared" si="72"/>
        <v>730</v>
      </c>
      <c r="DN6" s="827">
        <f t="shared" si="72"/>
        <v>740</v>
      </c>
      <c r="DO6" s="827">
        <f t="shared" si="72"/>
        <v>13120</v>
      </c>
      <c r="DP6" s="827">
        <f t="shared" si="72"/>
        <v>80</v>
      </c>
      <c r="DQ6" s="827">
        <f t="shared" si="72"/>
        <v>10</v>
      </c>
      <c r="DR6" s="827">
        <f t="shared" si="72"/>
        <v>3020</v>
      </c>
      <c r="DS6" s="827">
        <f t="shared" si="72"/>
        <v>1260</v>
      </c>
      <c r="DT6" s="827">
        <f t="shared" si="72"/>
        <v>790</v>
      </c>
      <c r="DU6" s="827">
        <f>SUM(DK6:DT6)</f>
        <v>21870</v>
      </c>
      <c r="DV6" s="827">
        <f t="shared" ref="DV6:EA6" si="73">IF(CV6=0,0,+IF($K6=0,0,ROUND(CV6/$K6,-1)))</f>
        <v>11190</v>
      </c>
      <c r="DW6" s="827">
        <f t="shared" si="73"/>
        <v>2070</v>
      </c>
      <c r="DX6" s="827">
        <f t="shared" si="73"/>
        <v>540</v>
      </c>
      <c r="DY6" s="827">
        <f t="shared" si="73"/>
        <v>7120</v>
      </c>
      <c r="DZ6" s="827">
        <f t="shared" si="73"/>
        <v>300</v>
      </c>
      <c r="EA6" s="827">
        <f t="shared" si="73"/>
        <v>620</v>
      </c>
      <c r="EB6" s="827">
        <f>SUM(DV6:EA6)</f>
        <v>21840</v>
      </c>
      <c r="EC6" s="829">
        <f>DU6-EB6</f>
        <v>30</v>
      </c>
      <c r="ED6" s="109">
        <f>ROUND(ED4/ED5,0)</f>
        <v>154</v>
      </c>
      <c r="EE6" s="423">
        <f>ROUND(EE4/EE5,2)</f>
        <v>0.61</v>
      </c>
      <c r="EF6" s="109">
        <f>ROUND(EF4/EF5,0)</f>
        <v>44</v>
      </c>
      <c r="EG6" s="109">
        <f>ROUND(EG4/EG5,0)</f>
        <v>374486</v>
      </c>
      <c r="EH6" s="423">
        <f>ROUND(EH4/EH5,2)</f>
        <v>0.89</v>
      </c>
      <c r="EI6" s="423">
        <f>ROUND(EI4/EI5,2)</f>
        <v>0.09</v>
      </c>
      <c r="EJ6" s="828">
        <f>IF(K6=0,0,+IF(ED6=0,0,ROUND(K6/ED6,1)))</f>
        <v>4.7</v>
      </c>
      <c r="EK6" s="423">
        <f>ROUND(EK4/EK5,2)</f>
        <v>0.54</v>
      </c>
      <c r="EL6" s="424">
        <f>ROUND(EL4/EL5,-2)</f>
        <v>1100</v>
      </c>
      <c r="EM6" s="423">
        <f>ROUND(EM4/EM5,2)</f>
        <v>0.53</v>
      </c>
      <c r="EN6" s="425">
        <f>ROUND(EN4/EN5,2)</f>
        <v>0.2</v>
      </c>
      <c r="EO6" s="423">
        <f>ROUND(EO4/EO5,2)</f>
        <v>0.27</v>
      </c>
      <c r="EP6" s="109">
        <f>ROUND(EP4/EP5,-1)</f>
        <v>100</v>
      </c>
      <c r="EQ6" s="423">
        <f>ROUND(EQ4/EQ5,2)</f>
        <v>0.12</v>
      </c>
      <c r="ER6" s="423">
        <f>ROUND(ER4/ER5,2)</f>
        <v>0.2</v>
      </c>
      <c r="ES6" s="827">
        <f>IF(FE6=0,0,+IF(K6=0,0,ROUND(FE6/K6,-2)))</f>
        <v>4300</v>
      </c>
      <c r="ET6" s="829">
        <f>IF(FY6=0,0,+IF(K6=0,0,ROUND(FY6/K6,-1)))</f>
        <v>-2560</v>
      </c>
      <c r="EU6" s="109">
        <f t="shared" si="55"/>
        <v>24</v>
      </c>
      <c r="EV6" s="109">
        <f t="shared" ref="EV6:EZ6" si="74">ROUND(EV4/EV5,-2)</f>
        <v>86100</v>
      </c>
      <c r="EW6" s="109">
        <f t="shared" si="74"/>
        <v>9500</v>
      </c>
      <c r="EX6" s="109">
        <f t="shared" si="56"/>
        <v>10</v>
      </c>
      <c r="EY6" s="110">
        <f t="shared" si="74"/>
        <v>2189800</v>
      </c>
      <c r="EZ6" s="110">
        <f t="shared" si="74"/>
        <v>1170000</v>
      </c>
      <c r="FA6" s="4">
        <f>EY6-EZ6</f>
        <v>1019800</v>
      </c>
      <c r="FB6" s="110">
        <f>ROUND(FB4/FB5,-2)</f>
        <v>914300</v>
      </c>
      <c r="FC6" s="110">
        <f>ROUND(FC4/FC5,-2)</f>
        <v>336200</v>
      </c>
      <c r="FD6" s="4">
        <f>FB6-FC6</f>
        <v>578100</v>
      </c>
      <c r="FE6" s="4">
        <f>EY6+FB6</f>
        <v>3104100</v>
      </c>
      <c r="FF6" s="4">
        <f>EZ6+FC6</f>
        <v>1506200</v>
      </c>
      <c r="FG6" s="4">
        <f>FE6-FF6</f>
        <v>1597900</v>
      </c>
      <c r="FH6" s="299">
        <f>ROUND(EY6/$EY6,3)</f>
        <v>1</v>
      </c>
      <c r="FI6" s="299">
        <f>ROUND(EZ6/$EY6,3)</f>
        <v>0.53400000000000003</v>
      </c>
      <c r="FJ6" s="299">
        <f>ROUND(FA6/$EY6,3)</f>
        <v>0.46600000000000003</v>
      </c>
      <c r="FK6" s="299">
        <f>ROUND(FB6/$FB6,3)</f>
        <v>1</v>
      </c>
      <c r="FL6" s="299">
        <f>ROUND(FC6/$FB6,3)</f>
        <v>0.36799999999999999</v>
      </c>
      <c r="FM6" s="299">
        <f>ROUND(FD6/$FB6,3)</f>
        <v>0.63200000000000001</v>
      </c>
      <c r="FN6" s="299">
        <f>ROUND(FE6/$FE6,3)</f>
        <v>1</v>
      </c>
      <c r="FO6" s="299">
        <f>ROUND(FF6/$FE6,3)</f>
        <v>0.48499999999999999</v>
      </c>
      <c r="FP6" s="299">
        <f>ROUND(FG6/$FE6,3)</f>
        <v>0.51500000000000001</v>
      </c>
      <c r="FQ6" s="110">
        <f t="shared" ref="FQ6:FW6" si="75">ROUND(FQ4/FQ5,-2)</f>
        <v>2421700</v>
      </c>
      <c r="FR6" s="111">
        <f t="shared" si="75"/>
        <v>-166400</v>
      </c>
      <c r="FS6" s="110">
        <f t="shared" si="75"/>
        <v>468400</v>
      </c>
      <c r="FT6" s="110">
        <f t="shared" si="75"/>
        <v>66900</v>
      </c>
      <c r="FU6" s="110">
        <f t="shared" si="75"/>
        <v>43600</v>
      </c>
      <c r="FV6" s="110">
        <f t="shared" si="75"/>
        <v>32800</v>
      </c>
      <c r="FW6" s="110">
        <f t="shared" si="75"/>
        <v>572400</v>
      </c>
      <c r="FX6" s="4">
        <f>SUM(FQ6:FW6)</f>
        <v>3439400</v>
      </c>
      <c r="FY6" s="69">
        <f>ROUND(FG6-FX6,-2)</f>
        <v>-1841500</v>
      </c>
      <c r="FZ6" s="299">
        <f t="shared" ref="FZ6:GH7" si="76">ROUND(FQ6/$FE6,3)</f>
        <v>0.78</v>
      </c>
      <c r="GA6" s="299">
        <f t="shared" si="76"/>
        <v>-5.3999999999999999E-2</v>
      </c>
      <c r="GB6" s="299">
        <f t="shared" si="76"/>
        <v>0.151</v>
      </c>
      <c r="GC6" s="299">
        <f t="shared" si="76"/>
        <v>2.1999999999999999E-2</v>
      </c>
      <c r="GD6" s="299">
        <f t="shared" si="76"/>
        <v>1.4E-2</v>
      </c>
      <c r="GE6" s="299">
        <f t="shared" si="76"/>
        <v>1.0999999999999999E-2</v>
      </c>
      <c r="GF6" s="299">
        <f t="shared" si="76"/>
        <v>0.184</v>
      </c>
      <c r="GG6" s="299">
        <f t="shared" si="76"/>
        <v>1.1080000000000001</v>
      </c>
      <c r="GH6" s="299">
        <f t="shared" si="76"/>
        <v>-0.59299999999999997</v>
      </c>
      <c r="GI6" s="430">
        <f>EY6/FB6</f>
        <v>2.3950563272448866</v>
      </c>
      <c r="GJ6" s="423">
        <f>ROUND(GJ4/GJ5,2)</f>
        <v>0.79</v>
      </c>
      <c r="GK6" s="425">
        <f>ROUND(GK4/GK5,2)</f>
        <v>7.0000000000000007E-2</v>
      </c>
      <c r="GL6" s="423">
        <f>ROUND(GL4/GL5,2)</f>
        <v>0.63</v>
      </c>
      <c r="GM6" s="425">
        <f>ROUND(GM4/GM5,2)</f>
        <v>7.0000000000000007E-2</v>
      </c>
      <c r="GN6" s="109">
        <f>ROUND(GN4/GN5,0)</f>
        <v>18</v>
      </c>
      <c r="GO6" s="109">
        <f>ROUND(GO4/GO5,0)</f>
        <v>112</v>
      </c>
      <c r="GP6" s="109">
        <f t="shared" ref="GP6:GV6" si="77">ROUND(GP4/GP5,-2)</f>
        <v>32000</v>
      </c>
      <c r="GQ6" s="109">
        <f t="shared" si="77"/>
        <v>987400</v>
      </c>
      <c r="GR6" s="109">
        <f t="shared" si="77"/>
        <v>193200</v>
      </c>
      <c r="GS6" s="109">
        <f t="shared" si="77"/>
        <v>536000</v>
      </c>
      <c r="GT6" s="109">
        <f t="shared" si="77"/>
        <v>152600</v>
      </c>
      <c r="GU6" s="109">
        <f t="shared" si="77"/>
        <v>50000</v>
      </c>
      <c r="GV6" s="109">
        <f t="shared" si="77"/>
        <v>211500</v>
      </c>
      <c r="GW6" s="431">
        <f>SUM(GQ6:GV6)</f>
        <v>2130700</v>
      </c>
      <c r="GX6" s="2">
        <f>IF(GW6=0,0,ROUND(GW6/GN6,-2))</f>
        <v>118400</v>
      </c>
      <c r="GY6" s="50">
        <f>IF(GW6=0,0,ROUND(GW6/GO6,-2))</f>
        <v>19000</v>
      </c>
      <c r="GZ6" s="11">
        <f t="shared" ref="GZ6:HE7" si="78">ROUND(GQ6/$GW6,3)</f>
        <v>0.46300000000000002</v>
      </c>
      <c r="HA6" s="11">
        <f t="shared" si="78"/>
        <v>9.0999999999999998E-2</v>
      </c>
      <c r="HB6" s="11">
        <f t="shared" si="78"/>
        <v>0.252</v>
      </c>
      <c r="HC6" s="11">
        <f>ROUND(GT6/$GW6,3)</f>
        <v>7.1999999999999995E-2</v>
      </c>
      <c r="HD6" s="11">
        <f t="shared" si="78"/>
        <v>2.3E-2</v>
      </c>
      <c r="HE6" s="11">
        <f t="shared" si="78"/>
        <v>9.9000000000000005E-2</v>
      </c>
      <c r="HF6" s="11">
        <f>SUM(GZ6:HE6)</f>
        <v>1</v>
      </c>
      <c r="HG6" s="109">
        <f>ROUND(HG4/HG5,0)</f>
        <v>40</v>
      </c>
      <c r="HH6" s="109">
        <f>ROUND(HH4/HH5,0)</f>
        <v>277</v>
      </c>
      <c r="HI6" s="109">
        <f t="shared" ref="HI6:HP6" si="79">ROUND(HI4/HI5,-2)</f>
        <v>62500</v>
      </c>
      <c r="HJ6" s="109">
        <f t="shared" si="79"/>
        <v>2028600</v>
      </c>
      <c r="HK6" s="109">
        <f t="shared" si="79"/>
        <v>351900</v>
      </c>
      <c r="HL6" s="109">
        <f t="shared" si="79"/>
        <v>1102100</v>
      </c>
      <c r="HM6" s="109">
        <f t="shared" si="79"/>
        <v>278100</v>
      </c>
      <c r="HN6" s="109">
        <f t="shared" si="79"/>
        <v>78700</v>
      </c>
      <c r="HO6" s="109">
        <f t="shared" si="79"/>
        <v>447300</v>
      </c>
      <c r="HP6" s="109">
        <f t="shared" si="79"/>
        <v>4286800</v>
      </c>
      <c r="HQ6" s="2">
        <f>ROUND(HP6/HG6,-2)</f>
        <v>107200</v>
      </c>
      <c r="HR6" s="50">
        <f>IF(HP6=0,0,ROUND(HP6/HH6,-1))</f>
        <v>15480</v>
      </c>
      <c r="HS6" s="11">
        <f t="shared" ref="HS6:HX7" si="80">ROUND(HJ6/$HP6,3)</f>
        <v>0.47299999999999998</v>
      </c>
      <c r="HT6" s="11">
        <f t="shared" si="80"/>
        <v>8.2000000000000003E-2</v>
      </c>
      <c r="HU6" s="11">
        <f t="shared" si="80"/>
        <v>0.25700000000000001</v>
      </c>
      <c r="HV6" s="11">
        <f t="shared" si="80"/>
        <v>6.5000000000000002E-2</v>
      </c>
      <c r="HW6" s="11">
        <f t="shared" si="80"/>
        <v>1.7999999999999999E-2</v>
      </c>
      <c r="HX6" s="11">
        <f t="shared" si="80"/>
        <v>0.104</v>
      </c>
      <c r="HY6" s="11">
        <f>SUM(HS6:HX6)</f>
        <v>0.999</v>
      </c>
      <c r="HZ6" s="51"/>
      <c r="IA6" s="298">
        <f>ROUND(Q6/S6,2)</f>
        <v>0.08</v>
      </c>
      <c r="IB6" s="298"/>
      <c r="IC6" s="432">
        <f>ROUND(IC4/IC5,2)</f>
        <v>0.95</v>
      </c>
      <c r="ID6" s="432"/>
      <c r="IE6" s="432">
        <f>ROUND(IE4/IE5,2)</f>
        <v>0.02</v>
      </c>
      <c r="IF6" s="432"/>
      <c r="IG6" s="62">
        <f>ROUND(IF(BI6=0,0,+IF(K6=0,0,BI6/K6)),-1)</f>
        <v>38350</v>
      </c>
      <c r="IH6" s="62">
        <f>ROUND(IF(BU6=0,0,+IF(K6=0,0,BU6/K6)),-1)</f>
        <v>38600</v>
      </c>
      <c r="II6" s="1218">
        <f>ROUND(II4/II5,1)</f>
        <v>1.7</v>
      </c>
      <c r="IJ6" s="1218">
        <f>ROUND(IJ4/IJ5,1)</f>
        <v>0.8</v>
      </c>
      <c r="IK6" s="432">
        <f>ROUND(IK4/IK5,2)</f>
        <v>0.31</v>
      </c>
      <c r="IL6" s="432">
        <f>ROUND(IL4/IL5,2)</f>
        <v>0.12</v>
      </c>
      <c r="IM6" s="432">
        <f>ROUND(IM4/IM5,2)</f>
        <v>0.35</v>
      </c>
      <c r="IN6" s="432">
        <f>ROUND(IN4/IN5,2)</f>
        <v>0</v>
      </c>
      <c r="IO6" s="855">
        <f>ROUND(FY6/$J6,-1)</f>
        <v>-2170</v>
      </c>
      <c r="IP6" s="1187">
        <f>IF(K6=0,0,ROUND(FY6/K6,-1))</f>
        <v>-2560</v>
      </c>
      <c r="IQ6" s="856">
        <f>IF(FY6=0,0,+IF(CD6=0,0,FY6/CD6))</f>
        <v>-0.19490897544453853</v>
      </c>
      <c r="IR6" s="433">
        <f>EY6</f>
        <v>2189800</v>
      </c>
      <c r="IS6" s="433">
        <f>FB6</f>
        <v>914300</v>
      </c>
      <c r="IT6" s="433">
        <f>FQ6</f>
        <v>2421700</v>
      </c>
      <c r="IU6" s="433">
        <f>FS6+FT6</f>
        <v>535300</v>
      </c>
      <c r="IV6" s="433">
        <f>FF6</f>
        <v>1506200</v>
      </c>
      <c r="IW6" s="433">
        <f>SUM(FU6:FW6)+FR6</f>
        <v>482400</v>
      </c>
      <c r="IX6" s="299">
        <f t="shared" ref="IX6:JC6" si="81">IF(IR6=0,0,ROUND(IR6/(SUM($IR6:$IS6)),3))</f>
        <v>0.70499999999999996</v>
      </c>
      <c r="IY6" s="299">
        <f t="shared" si="81"/>
        <v>0.29499999999999998</v>
      </c>
      <c r="IZ6" s="299">
        <f t="shared" si="81"/>
        <v>0.78</v>
      </c>
      <c r="JA6" s="299">
        <f t="shared" si="81"/>
        <v>0.17199999999999999</v>
      </c>
      <c r="JB6" s="299">
        <f t="shared" si="81"/>
        <v>0.48499999999999999</v>
      </c>
      <c r="JC6" s="299">
        <f t="shared" si="81"/>
        <v>0.155</v>
      </c>
      <c r="JD6" s="295">
        <f>CD6+CE6+CF6</f>
        <v>9517000</v>
      </c>
      <c r="JE6" s="295">
        <f>BZ6+CA6+CB6+CC6</f>
        <v>2588000</v>
      </c>
      <c r="JF6" s="295">
        <f>JD6+JE6+CG6+CH6+CI6-CJ6</f>
        <v>0</v>
      </c>
      <c r="JG6" s="295">
        <f>CZ6+DA6</f>
        <v>664000</v>
      </c>
      <c r="JH6" s="298">
        <f t="shared" ref="JH6:JQ6" si="82">ROUND(JH4/JH5,2)</f>
        <v>0.51</v>
      </c>
      <c r="JI6" s="298">
        <f t="shared" si="82"/>
        <v>0.76</v>
      </c>
      <c r="JJ6" s="298">
        <f t="shared" si="82"/>
        <v>0.75</v>
      </c>
      <c r="JK6" s="298">
        <f t="shared" si="82"/>
        <v>0.51</v>
      </c>
      <c r="JL6" s="298">
        <f t="shared" si="82"/>
        <v>0.09</v>
      </c>
      <c r="JM6" s="298">
        <f t="shared" si="82"/>
        <v>0.03</v>
      </c>
      <c r="JN6" s="298">
        <f t="shared" si="82"/>
        <v>0.33</v>
      </c>
      <c r="JO6" s="298">
        <f t="shared" si="82"/>
        <v>0.02</v>
      </c>
      <c r="JP6" s="298">
        <f t="shared" si="82"/>
        <v>0.03</v>
      </c>
      <c r="JQ6" s="298">
        <f t="shared" si="82"/>
        <v>1</v>
      </c>
      <c r="JR6" s="293">
        <f t="shared" ref="JR6:JW7" si="83">ROUND(GQ6/$GN6,-2)</f>
        <v>54900</v>
      </c>
      <c r="JS6" s="293">
        <f t="shared" si="83"/>
        <v>10700</v>
      </c>
      <c r="JT6" s="293">
        <f t="shared" si="83"/>
        <v>29800</v>
      </c>
      <c r="JU6" s="293">
        <f t="shared" si="83"/>
        <v>8500</v>
      </c>
      <c r="JV6" s="293">
        <f t="shared" si="83"/>
        <v>2800</v>
      </c>
      <c r="JW6" s="293">
        <f t="shared" si="83"/>
        <v>11800</v>
      </c>
      <c r="JX6" s="293">
        <f>GW6/GP6</f>
        <v>66.584374999999994</v>
      </c>
      <c r="JY6" s="768">
        <f>ROUND(JY4/JY5,2)</f>
        <v>0.22</v>
      </c>
      <c r="JZ6" s="293">
        <f t="shared" ref="JZ6:KE7" si="84">ROUND(HJ6/$HG6,-2)</f>
        <v>50700</v>
      </c>
      <c r="KA6" s="293">
        <f t="shared" si="84"/>
        <v>8800</v>
      </c>
      <c r="KB6" s="293">
        <f t="shared" si="84"/>
        <v>27600</v>
      </c>
      <c r="KC6" s="293">
        <f t="shared" si="84"/>
        <v>7000</v>
      </c>
      <c r="KD6" s="293">
        <f t="shared" si="84"/>
        <v>2000</v>
      </c>
      <c r="KE6" s="293">
        <f t="shared" si="84"/>
        <v>11200</v>
      </c>
      <c r="KF6" s="293">
        <f>ROUND(HI6/HG6*18,-2)</f>
        <v>28100</v>
      </c>
      <c r="KG6" s="293">
        <f>ROUND(HH6/HG6*36,0)</f>
        <v>249</v>
      </c>
      <c r="KH6" s="293">
        <f>ROUND(HP6/HI6,0)</f>
        <v>69</v>
      </c>
      <c r="KI6" s="768">
        <f>ROUND(KI4/KI5,2)</f>
        <v>0.21</v>
      </c>
      <c r="KJ6" s="62">
        <f>ROUND(KJ4/KJ5,0)</f>
        <v>27</v>
      </c>
      <c r="KK6" s="62">
        <f>ROUND(KK4/KK5,-2)</f>
        <v>44600</v>
      </c>
      <c r="KL6" s="62">
        <f>ROUND(KL4/KL5,-1)</f>
        <v>180</v>
      </c>
      <c r="KM6" s="62">
        <f>ROUND(KM4/KM5,-2)</f>
        <v>113000</v>
      </c>
      <c r="KN6" s="62">
        <f>ROUND(KN4/KN5,0)</f>
        <v>80</v>
      </c>
      <c r="KO6" s="62">
        <f t="shared" ref="KO6:KT6" si="85">ROUND(KO4/KO5,-2)</f>
        <v>18700</v>
      </c>
      <c r="KP6" s="62">
        <f t="shared" si="85"/>
        <v>1417900</v>
      </c>
      <c r="KQ6" s="62">
        <f t="shared" si="85"/>
        <v>258800</v>
      </c>
      <c r="KR6" s="62">
        <f t="shared" si="85"/>
        <v>770100</v>
      </c>
      <c r="KS6" s="62">
        <f t="shared" si="85"/>
        <v>204500</v>
      </c>
      <c r="KT6" s="62">
        <f t="shared" si="85"/>
        <v>131300</v>
      </c>
      <c r="KU6" s="62">
        <f>ROUND(KU4/KU5,-2)</f>
        <v>309000</v>
      </c>
      <c r="KV6" s="775">
        <f>ROUND(KV4/KV5,3)</f>
        <v>0.216</v>
      </c>
      <c r="KW6" s="768">
        <f>ROUND(KW4/KW5,3)</f>
        <v>-0.32500000000000001</v>
      </c>
      <c r="KX6" s="108"/>
      <c r="LC6" s="286"/>
      <c r="LD6" s="286"/>
      <c r="LN6" s="286"/>
      <c r="LO6" s="286"/>
      <c r="LP6" s="286"/>
      <c r="LT6" s="286"/>
      <c r="LU6" s="286"/>
      <c r="LV6" s="286"/>
      <c r="LW6" s="286"/>
      <c r="LX6" s="286"/>
      <c r="LY6" s="286"/>
      <c r="LZ6" s="286"/>
      <c r="MA6" s="286"/>
      <c r="MB6" s="286"/>
      <c r="MC6" s="286"/>
      <c r="MD6" s="286"/>
      <c r="ME6" s="286"/>
      <c r="MF6" s="286"/>
      <c r="MG6" s="286"/>
      <c r="MH6" s="286"/>
      <c r="MI6" s="286"/>
      <c r="MJ6" s="286"/>
      <c r="MK6" s="286"/>
      <c r="ML6" s="282"/>
      <c r="MM6" s="1232"/>
      <c r="MN6" s="1232"/>
      <c r="MO6" s="1232"/>
      <c r="MP6" s="1232"/>
      <c r="MQ6" s="282"/>
      <c r="MR6" s="282"/>
      <c r="NV6" s="286"/>
      <c r="NW6" s="286"/>
      <c r="NX6" s="286"/>
      <c r="NY6" s="286"/>
      <c r="NZ6" s="286"/>
      <c r="OA6" s="286"/>
      <c r="OB6" s="286"/>
      <c r="OC6" s="286"/>
      <c r="OD6" s="286"/>
      <c r="OG6" s="286"/>
      <c r="OH6" s="286"/>
      <c r="OI6" s="286"/>
      <c r="OJ6" s="286"/>
      <c r="OK6" s="286"/>
      <c r="OL6" s="286"/>
      <c r="OM6" s="286"/>
      <c r="ON6" s="286"/>
      <c r="OO6" s="286"/>
      <c r="OP6" s="434"/>
      <c r="OQ6" s="434"/>
      <c r="OR6" s="434"/>
      <c r="OS6" s="434"/>
      <c r="OT6" s="434"/>
      <c r="OU6" s="282"/>
      <c r="OV6" s="282"/>
      <c r="OW6" s="286"/>
      <c r="OX6" s="286"/>
      <c r="OY6" s="286"/>
      <c r="OZ6" s="286"/>
      <c r="PA6" s="286"/>
      <c r="PB6" s="286"/>
      <c r="PC6" s="286"/>
      <c r="PD6" s="282"/>
      <c r="PE6" s="282"/>
      <c r="PF6" s="286"/>
      <c r="PG6" s="286"/>
      <c r="PH6" s="286"/>
      <c r="PI6" s="286"/>
      <c r="PJ6" s="286"/>
      <c r="PK6" s="286"/>
      <c r="PL6" s="286"/>
      <c r="PM6" s="282"/>
    </row>
    <row r="7" spans="1:429" ht="16.5" customHeight="1" outlineLevel="1">
      <c r="A7" s="2056" t="s">
        <v>469</v>
      </c>
      <c r="B7" s="101" t="s">
        <v>385</v>
      </c>
      <c r="C7" s="272" t="s">
        <v>386</v>
      </c>
      <c r="D7" s="101">
        <f>D13+D19+D25+D31+D37</f>
        <v>107</v>
      </c>
      <c r="E7" s="1530"/>
      <c r="F7" s="101">
        <f t="shared" ref="F7:J7" si="86">F13+F19+F25+F31+F37</f>
        <v>72</v>
      </c>
      <c r="G7" s="101">
        <f t="shared" si="86"/>
        <v>61</v>
      </c>
      <c r="H7" s="101">
        <f t="shared" si="86"/>
        <v>59549</v>
      </c>
      <c r="I7" s="101">
        <f t="shared" si="86"/>
        <v>31905</v>
      </c>
      <c r="J7" s="101">
        <f t="shared" si="86"/>
        <v>91454</v>
      </c>
      <c r="K7" s="820">
        <f>K13+K19+K25+K31+K37</f>
        <v>77914.009459041146</v>
      </c>
      <c r="L7" s="1079"/>
      <c r="M7" s="1079"/>
      <c r="N7" s="1079"/>
      <c r="O7" s="1079"/>
      <c r="P7" s="1079"/>
      <c r="Q7" s="101">
        <f>Q13+Q19+Q25+Q37</f>
        <v>845702</v>
      </c>
      <c r="R7" s="101">
        <f t="shared" ref="R7:AB7" si="87">R13+R19+R25+R37</f>
        <v>10122398</v>
      </c>
      <c r="S7" s="101">
        <f t="shared" si="87"/>
        <v>10968100</v>
      </c>
      <c r="T7" s="282"/>
      <c r="U7" s="282"/>
      <c r="V7" s="282"/>
      <c r="W7" s="101">
        <f>W13+W19+W25+W37</f>
        <v>1601550.75</v>
      </c>
      <c r="X7" s="101">
        <f t="shared" si="87"/>
        <v>1443075</v>
      </c>
      <c r="Y7" s="282"/>
      <c r="Z7" s="282"/>
      <c r="AA7" s="101">
        <f t="shared" si="87"/>
        <v>158475.75</v>
      </c>
      <c r="AB7" s="101">
        <f t="shared" si="87"/>
        <v>9.4899548194302152</v>
      </c>
      <c r="AC7" s="282"/>
      <c r="AD7" s="1102"/>
      <c r="AE7" s="101">
        <f t="shared" ref="AE7:AI7" si="88">AE13+AE19+AE25+AE37</f>
        <v>63</v>
      </c>
      <c r="AF7" s="101">
        <f t="shared" si="88"/>
        <v>142990.52000000002</v>
      </c>
      <c r="AG7" s="282"/>
      <c r="AH7" s="101">
        <f t="shared" si="88"/>
        <v>3</v>
      </c>
      <c r="AI7" s="101">
        <f t="shared" si="88"/>
        <v>5738</v>
      </c>
      <c r="AJ7" s="282"/>
      <c r="AK7" s="101">
        <f t="shared" ref="AK7:AL7" si="89">AK13+AK19+AK25+AK37</f>
        <v>48</v>
      </c>
      <c r="AL7" s="101">
        <f t="shared" si="89"/>
        <v>130943</v>
      </c>
      <c r="AM7" s="403">
        <f>X7+AF7+AI7+AL7</f>
        <v>1722746.52</v>
      </c>
      <c r="AN7" s="1072">
        <f>Z7+AG7+AJ7</f>
        <v>0</v>
      </c>
      <c r="AO7" s="403">
        <f>EL7</f>
        <v>67209</v>
      </c>
      <c r="AP7" s="403">
        <f>ROUND(EP7*12,-2)</f>
        <v>34300</v>
      </c>
      <c r="AQ7" s="403">
        <f>+AM7+AO7+AP7</f>
        <v>1824255.52</v>
      </c>
      <c r="AR7" s="403">
        <f>Z7+AG7+AJ7</f>
        <v>0</v>
      </c>
      <c r="AS7" s="1102"/>
      <c r="AT7" s="1122"/>
      <c r="AU7" s="1122"/>
      <c r="AV7" s="1122"/>
      <c r="AW7" s="421"/>
      <c r="AX7" s="101">
        <f t="shared" ref="AX7:BD7" si="90">AX13+AX19+AX25+AX31+AX37</f>
        <v>52</v>
      </c>
      <c r="AY7" s="101">
        <f t="shared" si="90"/>
        <v>25</v>
      </c>
      <c r="AZ7" s="101">
        <f t="shared" si="90"/>
        <v>23</v>
      </c>
      <c r="BA7" s="101">
        <f t="shared" si="90"/>
        <v>9</v>
      </c>
      <c r="BB7" s="101">
        <f t="shared" si="90"/>
        <v>1</v>
      </c>
      <c r="BC7" s="101">
        <f t="shared" si="90"/>
        <v>10</v>
      </c>
      <c r="BD7" s="101">
        <f t="shared" si="90"/>
        <v>9</v>
      </c>
      <c r="BE7" s="101">
        <f t="shared" ref="BE7:BK7" si="91">BE13+BE19+BE25+BE31+BE37</f>
        <v>59</v>
      </c>
      <c r="BF7" s="101">
        <f t="shared" si="91"/>
        <v>516088470</v>
      </c>
      <c r="BG7" s="101">
        <f>BG13+BG19+BG25+BG31+BG37</f>
        <v>186615089</v>
      </c>
      <c r="BH7" s="101">
        <f t="shared" si="91"/>
        <v>702703559</v>
      </c>
      <c r="BI7" s="1264">
        <f t="shared" ref="BI7" si="92">BI13+BI19+BI25+BI31+BI37</f>
        <v>3057982004</v>
      </c>
      <c r="BJ7" s="101">
        <f t="shared" si="91"/>
        <v>422274457</v>
      </c>
      <c r="BK7" s="101">
        <f t="shared" si="91"/>
        <v>244398776</v>
      </c>
      <c r="BL7" s="435">
        <f>ROUND(BJ7/BK7,2)</f>
        <v>1.73</v>
      </c>
      <c r="BM7" s="101">
        <f t="shared" ref="BM7:CI7" si="93">BM13+BM19+BM25+BM31+BM37</f>
        <v>88</v>
      </c>
      <c r="BN7" s="101">
        <f t="shared" si="93"/>
        <v>554733677</v>
      </c>
      <c r="BO7" s="282"/>
      <c r="BP7" s="101">
        <f t="shared" ref="BP7:BS7" si="94">BP13+BP19+BP25+BP31+BP37</f>
        <v>848817571</v>
      </c>
      <c r="BQ7" s="101">
        <f t="shared" si="94"/>
        <v>803992655</v>
      </c>
      <c r="BR7" s="1215">
        <f t="shared" si="94"/>
        <v>135.21445756986824</v>
      </c>
      <c r="BS7" s="101">
        <f t="shared" si="94"/>
        <v>56</v>
      </c>
      <c r="BT7" s="101">
        <f t="shared" ref="BT7:BV7" si="95">BT13+BT19+BT25+BT31+BT37</f>
        <v>1382471686</v>
      </c>
      <c r="BU7" s="101">
        <f t="shared" si="95"/>
        <v>3120871728</v>
      </c>
      <c r="BV7" s="1215">
        <f t="shared" si="95"/>
        <v>50.971108614083001</v>
      </c>
      <c r="BW7" s="821">
        <f>IF(BN7=0,0,+IF(K7=0,0,ROUND(BN7/K7,-1)))</f>
        <v>7120</v>
      </c>
      <c r="BX7" s="821">
        <f>IF(BJ7=0,0,+IF(K7=0,0,ROUND(BJ7/K7,-1)))</f>
        <v>5420</v>
      </c>
      <c r="BY7" s="821">
        <f>IF(BH7=0,0,+IF(K7=0,0,ROUND(BH7/K7,-1)))</f>
        <v>9020</v>
      </c>
      <c r="BZ7" s="106">
        <f t="shared" si="93"/>
        <v>159292936</v>
      </c>
      <c r="CA7" s="106">
        <f t="shared" si="93"/>
        <v>18849094</v>
      </c>
      <c r="CB7" s="106">
        <f t="shared" si="93"/>
        <v>62341613</v>
      </c>
      <c r="CC7" s="106">
        <f t="shared" si="93"/>
        <v>49745465</v>
      </c>
      <c r="CD7" s="106">
        <f t="shared" si="93"/>
        <v>1073325591</v>
      </c>
      <c r="CE7" s="106">
        <f t="shared" si="93"/>
        <v>4851770</v>
      </c>
      <c r="CF7" s="106">
        <f t="shared" si="93"/>
        <v>1131000</v>
      </c>
      <c r="CG7" s="106">
        <f t="shared" si="93"/>
        <v>231877767</v>
      </c>
      <c r="CH7" s="106">
        <f t="shared" si="93"/>
        <v>93982137</v>
      </c>
      <c r="CI7" s="106">
        <f t="shared" si="93"/>
        <v>65172551</v>
      </c>
      <c r="CJ7" s="292">
        <f>SUM(BZ7:CI7)</f>
        <v>1760569924</v>
      </c>
      <c r="CK7" s="406">
        <f t="shared" si="69"/>
        <v>0.09</v>
      </c>
      <c r="CL7" s="406">
        <f t="shared" si="69"/>
        <v>1.0999999999999999E-2</v>
      </c>
      <c r="CM7" s="406">
        <f t="shared" si="69"/>
        <v>3.5000000000000003E-2</v>
      </c>
      <c r="CN7" s="406">
        <f t="shared" si="69"/>
        <v>2.8000000000000001E-2</v>
      </c>
      <c r="CO7" s="406">
        <f t="shared" si="69"/>
        <v>0.61</v>
      </c>
      <c r="CP7" s="406">
        <f t="shared" si="69"/>
        <v>3.0000000000000001E-3</v>
      </c>
      <c r="CQ7" s="406">
        <f t="shared" si="69"/>
        <v>1E-3</v>
      </c>
      <c r="CR7" s="406">
        <f t="shared" si="69"/>
        <v>0.13200000000000001</v>
      </c>
      <c r="CS7" s="406">
        <f t="shared" si="69"/>
        <v>5.2999999999999999E-2</v>
      </c>
      <c r="CT7" s="406">
        <f t="shared" si="69"/>
        <v>3.6999999999999998E-2</v>
      </c>
      <c r="CU7" s="406">
        <f t="shared" si="69"/>
        <v>1</v>
      </c>
      <c r="CV7" s="106">
        <f t="shared" ref="CV7:DB7" si="96">CV13+CV19+CV25+CV31+CV37</f>
        <v>901970749</v>
      </c>
      <c r="CW7" s="106">
        <f t="shared" si="96"/>
        <v>160606720</v>
      </c>
      <c r="CX7" s="106">
        <f t="shared" si="96"/>
        <v>45482374</v>
      </c>
      <c r="CY7" s="106">
        <f t="shared" si="96"/>
        <v>576653414</v>
      </c>
      <c r="CZ7" s="106">
        <f>CZ13+CZ19+CZ25+CZ37</f>
        <v>23014836</v>
      </c>
      <c r="DA7" s="106">
        <f t="shared" si="96"/>
        <v>48025486</v>
      </c>
      <c r="DB7" s="106">
        <f t="shared" si="96"/>
        <v>1755934672</v>
      </c>
      <c r="DC7" s="406">
        <f t="shared" si="71"/>
        <v>0.51400000000000001</v>
      </c>
      <c r="DD7" s="406">
        <f t="shared" si="71"/>
        <v>9.0999999999999998E-2</v>
      </c>
      <c r="DE7" s="406">
        <f t="shared" si="71"/>
        <v>2.5999999999999999E-2</v>
      </c>
      <c r="DF7" s="406">
        <f t="shared" si="71"/>
        <v>0.32800000000000001</v>
      </c>
      <c r="DG7" s="406">
        <f t="shared" si="71"/>
        <v>1.2999999999999999E-2</v>
      </c>
      <c r="DH7" s="406">
        <f t="shared" si="71"/>
        <v>2.7E-2</v>
      </c>
      <c r="DI7" s="406">
        <f t="shared" si="71"/>
        <v>1</v>
      </c>
      <c r="DJ7" s="301">
        <f>CJ7-DB7</f>
        <v>4635252</v>
      </c>
      <c r="DK7" s="822">
        <f t="shared" ref="DK7:DT7" si="97">IF(BZ7=0,0,+IF($K7=0,0,ROUND(BZ7/$K7,0)))</f>
        <v>2044</v>
      </c>
      <c r="DL7" s="822">
        <f t="shared" si="97"/>
        <v>242</v>
      </c>
      <c r="DM7" s="822">
        <f t="shared" si="97"/>
        <v>800</v>
      </c>
      <c r="DN7" s="822">
        <f t="shared" si="97"/>
        <v>638</v>
      </c>
      <c r="DO7" s="822">
        <f t="shared" si="97"/>
        <v>13776</v>
      </c>
      <c r="DP7" s="822">
        <f t="shared" si="97"/>
        <v>62</v>
      </c>
      <c r="DQ7" s="822">
        <f t="shared" si="97"/>
        <v>15</v>
      </c>
      <c r="DR7" s="822">
        <f t="shared" si="97"/>
        <v>2976</v>
      </c>
      <c r="DS7" s="822">
        <f t="shared" si="97"/>
        <v>1206</v>
      </c>
      <c r="DT7" s="822">
        <f t="shared" si="97"/>
        <v>836</v>
      </c>
      <c r="DU7" s="822">
        <f>SUM(DK7:DT7)</f>
        <v>22595</v>
      </c>
      <c r="DV7" s="822">
        <f t="shared" ref="DV7:EA7" si="98">IF(CV7=0,0,+IF($K7=0,0,ROUND(CV7/$K7,0)))</f>
        <v>11576</v>
      </c>
      <c r="DW7" s="822">
        <f t="shared" si="98"/>
        <v>2061</v>
      </c>
      <c r="DX7" s="822">
        <f t="shared" si="98"/>
        <v>584</v>
      </c>
      <c r="DY7" s="822">
        <f t="shared" si="98"/>
        <v>7401</v>
      </c>
      <c r="DZ7" s="822">
        <f t="shared" si="98"/>
        <v>295</v>
      </c>
      <c r="EA7" s="822">
        <f t="shared" si="98"/>
        <v>616</v>
      </c>
      <c r="EB7" s="822">
        <f>SUM(DV7:EA7)</f>
        <v>22533</v>
      </c>
      <c r="EC7" s="824">
        <f>DU7-EB7</f>
        <v>62</v>
      </c>
      <c r="ED7" s="106">
        <f t="shared" ref="ED7:EZ7" si="99">ED13+ED19+ED25+ED31+ED37</f>
        <v>17342</v>
      </c>
      <c r="EE7" s="106">
        <f t="shared" si="99"/>
        <v>69</v>
      </c>
      <c r="EF7" s="106">
        <f t="shared" si="99"/>
        <v>3074</v>
      </c>
      <c r="EG7" s="106">
        <f t="shared" ref="EG7" si="100">EG13+EG19+EG25+EG31+EG37</f>
        <v>24822521.77</v>
      </c>
      <c r="EH7" s="106">
        <f t="shared" ref="EH7:EI7" si="101">EH13+EH19+EH25+EH31+EH37</f>
        <v>97</v>
      </c>
      <c r="EI7" s="394">
        <f t="shared" si="101"/>
        <v>8.4170000000000016</v>
      </c>
      <c r="EJ7" s="823">
        <f>IF(K7=0,0,+IF(ED7=0,0,ROUND(K7/ED7,1)))</f>
        <v>4.5</v>
      </c>
      <c r="EK7" s="106">
        <f t="shared" si="99"/>
        <v>57</v>
      </c>
      <c r="EL7" s="106">
        <f t="shared" si="99"/>
        <v>67209</v>
      </c>
      <c r="EM7" s="106">
        <f t="shared" si="99"/>
        <v>57</v>
      </c>
      <c r="EN7" s="394">
        <f t="shared" si="99"/>
        <v>11.3</v>
      </c>
      <c r="EO7" s="106">
        <f t="shared" si="99"/>
        <v>27</v>
      </c>
      <c r="EP7" s="106">
        <f>EP13+EP19+EP25+EP31+EP37</f>
        <v>2861.5166666666673</v>
      </c>
      <c r="EQ7" s="106">
        <f t="shared" si="99"/>
        <v>12</v>
      </c>
      <c r="ER7" s="106">
        <f t="shared" ref="ER7" si="102">ER13+ER19+ER25+ER31+ER37</f>
        <v>23</v>
      </c>
      <c r="ES7" s="822">
        <f>IF(FE7=0,0,+IF(K7=0,0,ROUND(FE7/K7,-2)))</f>
        <v>4200</v>
      </c>
      <c r="ET7" s="824">
        <f>IF(FY7=0,0,+IF(K7=0,0,ROUND(FY7/K7,-1)))</f>
        <v>-2650</v>
      </c>
      <c r="EU7" s="106">
        <f>EU13+EU19+EU25+EU31+EU37</f>
        <v>37</v>
      </c>
      <c r="EV7" s="106">
        <f t="shared" si="99"/>
        <v>8893718</v>
      </c>
      <c r="EW7" s="106">
        <f t="shared" si="99"/>
        <v>787850</v>
      </c>
      <c r="EX7" s="106">
        <f>EX13+EX19+EX25+EX31+EX37</f>
        <v>40</v>
      </c>
      <c r="EY7" s="106">
        <f t="shared" si="99"/>
        <v>231877767</v>
      </c>
      <c r="EZ7" s="106">
        <f t="shared" si="99"/>
        <v>125684727</v>
      </c>
      <c r="FA7" s="3">
        <f>EY7-EZ7</f>
        <v>106193040</v>
      </c>
      <c r="FB7" s="106">
        <f>FB13+FB19+FB25+FB31+FB37</f>
        <v>93982137</v>
      </c>
      <c r="FC7" s="106">
        <f>FC13+FC19+FC25+FC31+FC37</f>
        <v>34921993</v>
      </c>
      <c r="FD7" s="3">
        <f>FB7-FC7</f>
        <v>59060144</v>
      </c>
      <c r="FE7" s="3">
        <f>EY7+FB7</f>
        <v>325859904</v>
      </c>
      <c r="FF7" s="3">
        <f>EZ7+FC7</f>
        <v>160606720</v>
      </c>
      <c r="FG7" s="3">
        <f>FE7-FF7</f>
        <v>165253184</v>
      </c>
      <c r="FH7" s="303">
        <f>ROUND(EY7/$EY7,2)</f>
        <v>1</v>
      </c>
      <c r="FI7" s="303">
        <f>ROUND(EZ7/$EY7,3)</f>
        <v>0.54200000000000004</v>
      </c>
      <c r="FJ7" s="303">
        <f>ROUND(FA7/$EY7,3)</f>
        <v>0.45800000000000002</v>
      </c>
      <c r="FK7" s="303">
        <f>ROUND(FB7/$FB7,2)</f>
        <v>1</v>
      </c>
      <c r="FL7" s="303">
        <f>ROUND(FC7/$FB7,3)</f>
        <v>0.372</v>
      </c>
      <c r="FM7" s="303">
        <f>ROUND(FD7/$FB7,3)</f>
        <v>0.628</v>
      </c>
      <c r="FN7" s="303">
        <f>ROUND(FE7/$FE7,2)</f>
        <v>1</v>
      </c>
      <c r="FO7" s="303">
        <f>ROUND(FF7/$FE7,3)</f>
        <v>0.49299999999999999</v>
      </c>
      <c r="FP7" s="303">
        <f>ROUND(FG7/$FE7,3)</f>
        <v>0.50700000000000001</v>
      </c>
      <c r="FQ7" s="106">
        <f t="shared" ref="FQ7:FW7" si="103">FQ13+FQ19+FQ25+FQ31+FQ37</f>
        <v>258154723.40000001</v>
      </c>
      <c r="FR7" s="408">
        <f t="shared" si="103"/>
        <v>-15848544.400000002</v>
      </c>
      <c r="FS7" s="106">
        <f t="shared" si="103"/>
        <v>50372033</v>
      </c>
      <c r="FT7" s="106">
        <f t="shared" si="103"/>
        <v>7324699</v>
      </c>
      <c r="FU7" s="106">
        <f t="shared" si="103"/>
        <v>4757900</v>
      </c>
      <c r="FV7" s="106">
        <f t="shared" si="103"/>
        <v>3379423</v>
      </c>
      <c r="FW7" s="106">
        <f t="shared" si="103"/>
        <v>63415583</v>
      </c>
      <c r="FX7" s="409">
        <f>SUM(FQ7:FW7)</f>
        <v>371555817</v>
      </c>
      <c r="FY7" s="410">
        <f>ROUND(FG7-FX7,-2)</f>
        <v>-206302600</v>
      </c>
      <c r="FZ7" s="303">
        <f t="shared" si="76"/>
        <v>0.79200000000000004</v>
      </c>
      <c r="GA7" s="303">
        <f t="shared" si="76"/>
        <v>-4.9000000000000002E-2</v>
      </c>
      <c r="GB7" s="303">
        <f t="shared" si="76"/>
        <v>0.155</v>
      </c>
      <c r="GC7" s="303">
        <f t="shared" si="76"/>
        <v>2.1999999999999999E-2</v>
      </c>
      <c r="GD7" s="303">
        <f t="shared" si="76"/>
        <v>1.4999999999999999E-2</v>
      </c>
      <c r="GE7" s="303">
        <f t="shared" si="76"/>
        <v>0.01</v>
      </c>
      <c r="GF7" s="303">
        <f t="shared" si="76"/>
        <v>0.19500000000000001</v>
      </c>
      <c r="GG7" s="303">
        <f t="shared" si="76"/>
        <v>1.1399999999999999</v>
      </c>
      <c r="GH7" s="303">
        <f t="shared" si="76"/>
        <v>-0.63300000000000001</v>
      </c>
      <c r="GI7" s="411">
        <f>EY7/FB7</f>
        <v>2.4672536122476125</v>
      </c>
      <c r="GJ7" s="106">
        <f t="shared" ref="GJ7:GV7" si="104">GJ13+GJ19+GJ25+GJ31+GJ37</f>
        <v>84</v>
      </c>
      <c r="GK7" s="394">
        <f t="shared" si="104"/>
        <v>6.1580000000000013</v>
      </c>
      <c r="GL7" s="106">
        <f t="shared" si="104"/>
        <v>68</v>
      </c>
      <c r="GM7" s="394">
        <f t="shared" si="104"/>
        <v>4.3750000000000009</v>
      </c>
      <c r="GN7" s="106">
        <f t="shared" si="104"/>
        <v>1098</v>
      </c>
      <c r="GO7" s="106">
        <f t="shared" si="104"/>
        <v>6809.18</v>
      </c>
      <c r="GP7" s="106">
        <f t="shared" si="104"/>
        <v>1954575</v>
      </c>
      <c r="GQ7" s="106">
        <f t="shared" si="104"/>
        <v>60230938</v>
      </c>
      <c r="GR7" s="106">
        <f t="shared" si="104"/>
        <v>11784255</v>
      </c>
      <c r="GS7" s="106">
        <f t="shared" si="104"/>
        <v>32698357</v>
      </c>
      <c r="GT7" s="106">
        <f t="shared" si="104"/>
        <v>9307326</v>
      </c>
      <c r="GU7" s="106">
        <f t="shared" si="104"/>
        <v>3048549</v>
      </c>
      <c r="GV7" s="106">
        <f t="shared" si="104"/>
        <v>12900878.800000001</v>
      </c>
      <c r="GW7" s="412">
        <f>SUM(GQ7:GV7)</f>
        <v>129970303.8</v>
      </c>
      <c r="GX7" s="7">
        <f>IF(GW7=0,0,ROUND(GW7/GN7,-2))</f>
        <v>118400</v>
      </c>
      <c r="GY7" s="49">
        <f>IF(GW7=0,0,ROUND(GW7/GO7,-2))</f>
        <v>19100</v>
      </c>
      <c r="GZ7" s="20">
        <f t="shared" si="78"/>
        <v>0.46300000000000002</v>
      </c>
      <c r="HA7" s="20">
        <f t="shared" si="78"/>
        <v>9.0999999999999998E-2</v>
      </c>
      <c r="HB7" s="20">
        <f t="shared" si="78"/>
        <v>0.252</v>
      </c>
      <c r="HC7" s="20">
        <f t="shared" si="78"/>
        <v>7.1999999999999995E-2</v>
      </c>
      <c r="HD7" s="20">
        <f t="shared" si="78"/>
        <v>2.3E-2</v>
      </c>
      <c r="HE7" s="20">
        <f t="shared" si="78"/>
        <v>9.9000000000000005E-2</v>
      </c>
      <c r="HF7" s="20">
        <f>SUM(GZ7:HE7)</f>
        <v>1</v>
      </c>
      <c r="HG7" s="106">
        <f t="shared" ref="HG7:HP7" si="105">HG13+HG19+HG25+HG31+HG37</f>
        <v>1705</v>
      </c>
      <c r="HH7" s="106">
        <f t="shared" si="105"/>
        <v>11905</v>
      </c>
      <c r="HI7" s="106">
        <f t="shared" si="105"/>
        <v>2687711</v>
      </c>
      <c r="HJ7" s="106">
        <f t="shared" si="105"/>
        <v>87228086</v>
      </c>
      <c r="HK7" s="106">
        <f t="shared" si="105"/>
        <v>15133697</v>
      </c>
      <c r="HL7" s="106">
        <f t="shared" si="105"/>
        <v>47389995</v>
      </c>
      <c r="HM7" s="106">
        <f t="shared" si="105"/>
        <v>11960276</v>
      </c>
      <c r="HN7" s="106">
        <f t="shared" si="105"/>
        <v>3385553</v>
      </c>
      <c r="HO7" s="106">
        <f t="shared" si="105"/>
        <v>19235591</v>
      </c>
      <c r="HP7" s="106">
        <f t="shared" si="105"/>
        <v>184333198</v>
      </c>
      <c r="HQ7" s="7">
        <f>ROUND(HP7/$HG7,-2)</f>
        <v>108100</v>
      </c>
      <c r="HR7" s="49">
        <f>IF(HP7=0,0,ROUND(HP7/HH7,-1))</f>
        <v>15480</v>
      </c>
      <c r="HS7" s="20">
        <f t="shared" si="80"/>
        <v>0.47299999999999998</v>
      </c>
      <c r="HT7" s="20">
        <f t="shared" si="80"/>
        <v>8.2000000000000003E-2</v>
      </c>
      <c r="HU7" s="20">
        <f t="shared" si="80"/>
        <v>0.25700000000000001</v>
      </c>
      <c r="HV7" s="20">
        <f t="shared" si="80"/>
        <v>6.5000000000000002E-2</v>
      </c>
      <c r="HW7" s="20">
        <f t="shared" si="80"/>
        <v>1.7999999999999999E-2</v>
      </c>
      <c r="HX7" s="20">
        <f t="shared" si="80"/>
        <v>0.104</v>
      </c>
      <c r="HY7" s="20">
        <f>SUM(HS7:HX7)</f>
        <v>0.999</v>
      </c>
      <c r="HZ7" s="51"/>
      <c r="IA7" s="297">
        <f>ROUND(Q7/S7,2)</f>
        <v>0.08</v>
      </c>
      <c r="IB7" s="297"/>
      <c r="IC7" s="436">
        <f t="shared" ref="IC7:IE8" si="106">IC13+IC19+IC25+IC31+IC37</f>
        <v>101</v>
      </c>
      <c r="ID7" s="436"/>
      <c r="IE7" s="436">
        <f t="shared" si="106"/>
        <v>2</v>
      </c>
      <c r="IF7" s="436"/>
      <c r="IG7" s="284">
        <f>IF(BI7=0,0,+IF(K7=0,0,BI7/K7))</f>
        <v>39248.166346869366</v>
      </c>
      <c r="IH7" s="284">
        <f>IF(BU7=0,0,+IF(K7=0,0,BU7/K7))</f>
        <v>40055.334716674035</v>
      </c>
      <c r="II7" s="1215">
        <f t="shared" ref="II7:IJ7" si="107">II13+II19+II25+II31+II37</f>
        <v>95.927124100291692</v>
      </c>
      <c r="IJ7" s="1215">
        <f t="shared" si="107"/>
        <v>39.287333469576545</v>
      </c>
      <c r="IK7" s="436">
        <f t="shared" ref="IK7:IN8" si="108">IK13+IK19+IK25+IK31+IK37</f>
        <v>35</v>
      </c>
      <c r="IL7" s="436">
        <f t="shared" si="108"/>
        <v>12</v>
      </c>
      <c r="IM7" s="436">
        <f t="shared" si="108"/>
        <v>37</v>
      </c>
      <c r="IN7" s="436">
        <f t="shared" si="108"/>
        <v>0</v>
      </c>
      <c r="IO7" s="853">
        <f>ROUND(FY7/$J7,-1)</f>
        <v>-2260</v>
      </c>
      <c r="IP7" s="851">
        <f>IF(K7=0,0,ROUND(FY7/K7,-1))</f>
        <v>-2650</v>
      </c>
      <c r="IQ7" s="857">
        <f>IF(FY7=0,0,+IF(CD7=0,0,FY7/CD7))</f>
        <v>-0.19220877777431097</v>
      </c>
      <c r="IR7" s="415">
        <f>EY7</f>
        <v>231877767</v>
      </c>
      <c r="IS7" s="415">
        <f>FB7</f>
        <v>93982137</v>
      </c>
      <c r="IT7" s="415">
        <f>FQ7</f>
        <v>258154723.40000001</v>
      </c>
      <c r="IU7" s="415">
        <f>FS7+FT7</f>
        <v>57696732</v>
      </c>
      <c r="IV7" s="415">
        <f>FF7</f>
        <v>160606720</v>
      </c>
      <c r="IW7" s="415">
        <f>SUM(FU7:FW7)+FR7</f>
        <v>55704361.599999994</v>
      </c>
      <c r="IX7" s="303">
        <f t="shared" ref="IX7:JC7" si="109">IF(IR7=0,0,ROUND(IR7/(SUM($IR7:$IS7)),3))</f>
        <v>0.71199999999999997</v>
      </c>
      <c r="IY7" s="303">
        <f t="shared" si="109"/>
        <v>0.28799999999999998</v>
      </c>
      <c r="IZ7" s="303">
        <f t="shared" si="109"/>
        <v>0.79200000000000004</v>
      </c>
      <c r="JA7" s="303">
        <f t="shared" si="109"/>
        <v>0.17699999999999999</v>
      </c>
      <c r="JB7" s="303">
        <f t="shared" si="109"/>
        <v>0.49299999999999999</v>
      </c>
      <c r="JC7" s="303">
        <f t="shared" si="109"/>
        <v>0.17100000000000001</v>
      </c>
      <c r="JD7" s="294">
        <f>CD7+CE7+CF7</f>
        <v>1079308361</v>
      </c>
      <c r="JE7" s="294">
        <f>BZ7+CA7+CB7+CC7</f>
        <v>290229108</v>
      </c>
      <c r="JF7" s="294">
        <f>JD7+JE7+CG7+CH7+CI7-CJ7</f>
        <v>0</v>
      </c>
      <c r="JG7" s="294">
        <f>CZ7+DA7</f>
        <v>71040322</v>
      </c>
      <c r="JH7" s="403">
        <f>JH13+JH19+JH25+JH31+JH37</f>
        <v>56</v>
      </c>
      <c r="JI7" s="403">
        <f>JI13+JI19+JI25+JI31+JI37</f>
        <v>90</v>
      </c>
      <c r="JJ7" s="300">
        <f t="shared" ref="JH7:JJ8" si="110">JJ13+JJ19+JJ25+JJ31+JJ37</f>
        <v>67.120715885276695</v>
      </c>
      <c r="JK7" s="300">
        <f t="shared" ref="JK7:JQ7" si="111">JK13+JK19+JK25+JK31+JK37</f>
        <v>55.151044702478508</v>
      </c>
      <c r="JL7" s="300">
        <f t="shared" si="111"/>
        <v>9.2964832800638622</v>
      </c>
      <c r="JM7" s="300">
        <f t="shared" si="111"/>
        <v>2.7648621898853269</v>
      </c>
      <c r="JN7" s="300">
        <f t="shared" si="111"/>
        <v>35.269041581572708</v>
      </c>
      <c r="JO7" s="300">
        <f t="shared" si="111"/>
        <v>1.4199221641030748</v>
      </c>
      <c r="JP7" s="300">
        <f t="shared" si="111"/>
        <v>3.0974180003076848</v>
      </c>
      <c r="JQ7" s="300">
        <f t="shared" si="111"/>
        <v>106.99877191841117</v>
      </c>
      <c r="JR7" s="292">
        <f t="shared" si="83"/>
        <v>54900</v>
      </c>
      <c r="JS7" s="292">
        <f t="shared" si="83"/>
        <v>10700</v>
      </c>
      <c r="JT7" s="292">
        <f t="shared" si="83"/>
        <v>29800</v>
      </c>
      <c r="JU7" s="292">
        <f t="shared" si="83"/>
        <v>8500</v>
      </c>
      <c r="JV7" s="292">
        <f t="shared" si="83"/>
        <v>2800</v>
      </c>
      <c r="JW7" s="292">
        <f t="shared" si="83"/>
        <v>11700</v>
      </c>
      <c r="JX7" s="292">
        <f>GW7/GP7</f>
        <v>66.495429338858827</v>
      </c>
      <c r="JY7" s="398">
        <f>JY13+JY19+JY25+JY31+JY37</f>
        <v>13.437576051209817</v>
      </c>
      <c r="JZ7" s="292">
        <f t="shared" si="84"/>
        <v>51200</v>
      </c>
      <c r="KA7" s="292">
        <f t="shared" si="84"/>
        <v>8900</v>
      </c>
      <c r="KB7" s="292">
        <f t="shared" si="84"/>
        <v>27800</v>
      </c>
      <c r="KC7" s="292">
        <f t="shared" si="84"/>
        <v>7000</v>
      </c>
      <c r="KD7" s="292">
        <f t="shared" si="84"/>
        <v>2000</v>
      </c>
      <c r="KE7" s="292">
        <f t="shared" si="84"/>
        <v>11300</v>
      </c>
      <c r="KF7" s="292">
        <f>ROUND(HI7/HG7*18,-2)</f>
        <v>28400</v>
      </c>
      <c r="KG7" s="292">
        <f>ROUND(HH7/HG7*36,0)</f>
        <v>251</v>
      </c>
      <c r="KH7" s="292">
        <f>ROUND(HP7/HI7,0)</f>
        <v>69</v>
      </c>
      <c r="KI7" s="398">
        <f>KI13+KI19+KI25+KI31+KI37</f>
        <v>9.0610479444176981</v>
      </c>
      <c r="KJ7" s="61">
        <f>KJ13+KJ19+KJ25+KJ31+KJ37</f>
        <v>2803</v>
      </c>
      <c r="KK7" s="61">
        <f t="shared" ref="KJ7:KW8" si="112">KK13+KK19+KK25+KK31+KK37</f>
        <v>4642286</v>
      </c>
      <c r="KL7" s="61">
        <f t="shared" si="112"/>
        <v>18714.18</v>
      </c>
      <c r="KM7" s="61">
        <f t="shared" si="112"/>
        <v>11756018.47858892</v>
      </c>
      <c r="KN7" s="61">
        <f t="shared" si="112"/>
        <v>8336.7388184948213</v>
      </c>
      <c r="KO7" s="61">
        <f t="shared" si="112"/>
        <v>1942110.4881760448</v>
      </c>
      <c r="KP7" s="61">
        <f t="shared" si="112"/>
        <v>147459024</v>
      </c>
      <c r="KQ7" s="61">
        <f t="shared" si="112"/>
        <v>26917952</v>
      </c>
      <c r="KR7" s="61">
        <f t="shared" si="112"/>
        <v>80088352</v>
      </c>
      <c r="KS7" s="61">
        <f t="shared" si="112"/>
        <v>21267602</v>
      </c>
      <c r="KT7" s="61">
        <f t="shared" si="112"/>
        <v>6434102</v>
      </c>
      <c r="KU7" s="61">
        <f>KU13+KU19+KU25+KU31+KU37</f>
        <v>32136469.800000001</v>
      </c>
      <c r="KV7" s="61">
        <f>KV13+KV19+KV25+KV31+KV37</f>
        <v>22.498623995627511</v>
      </c>
      <c r="KW7" s="285">
        <f>KW13+KW19+KW25+KW31+KW37</f>
        <v>-33.838004715618062</v>
      </c>
      <c r="KX7" s="108"/>
      <c r="KY7" s="421"/>
      <c r="KZ7" s="421"/>
      <c r="LA7" s="421"/>
      <c r="LB7" s="421"/>
      <c r="LQ7" s="421"/>
      <c r="LR7" s="83"/>
      <c r="LS7" s="421"/>
      <c r="LT7" s="282"/>
      <c r="LU7" s="282"/>
      <c r="LV7" s="282"/>
      <c r="LW7" s="282"/>
      <c r="LX7" s="282"/>
      <c r="LY7" s="282"/>
      <c r="LZ7" s="282"/>
      <c r="MA7" s="282"/>
      <c r="MB7" s="282"/>
      <c r="MC7" s="282"/>
      <c r="MD7" s="282"/>
      <c r="ME7" s="282"/>
      <c r="MF7" s="282"/>
      <c r="MG7" s="282"/>
      <c r="MH7" s="282"/>
      <c r="MI7" s="282"/>
      <c r="MJ7" s="282"/>
      <c r="MK7" s="282"/>
      <c r="ML7" s="282"/>
      <c r="MM7" s="1232"/>
      <c r="MN7" s="1232"/>
      <c r="MO7" s="1232"/>
      <c r="MP7" s="1232"/>
      <c r="MS7" s="421"/>
      <c r="MT7" s="83"/>
      <c r="MU7" s="421"/>
      <c r="MV7" s="421"/>
      <c r="MW7" s="421"/>
      <c r="MX7" s="421"/>
      <c r="MY7" s="421"/>
      <c r="MZ7" s="421"/>
      <c r="NA7" s="421"/>
      <c r="NB7" s="421"/>
      <c r="NC7" s="421"/>
      <c r="ND7" s="421"/>
      <c r="NE7" s="421"/>
      <c r="NF7" s="421"/>
      <c r="NG7" s="421"/>
      <c r="NH7" s="421"/>
      <c r="NI7" s="421"/>
      <c r="NJ7" s="421"/>
      <c r="NK7" s="421"/>
      <c r="NL7" s="421"/>
      <c r="OQ7" s="282"/>
      <c r="OR7" s="282"/>
      <c r="OS7" s="282"/>
      <c r="OT7" s="282"/>
      <c r="OU7" s="282"/>
      <c r="OV7" s="282"/>
      <c r="OW7" s="282"/>
      <c r="OX7" s="282"/>
      <c r="OY7" s="282"/>
      <c r="OZ7" s="282"/>
      <c r="PA7" s="282"/>
      <c r="PB7" s="282"/>
      <c r="PC7" s="282"/>
      <c r="PD7" s="282"/>
      <c r="PE7" s="282"/>
      <c r="PF7" s="282"/>
      <c r="PG7" s="282"/>
      <c r="PH7" s="282"/>
      <c r="PI7" s="282"/>
      <c r="PJ7" s="282"/>
      <c r="PK7" s="282"/>
      <c r="PL7" s="282"/>
      <c r="PM7" s="282"/>
    </row>
    <row r="8" spans="1:429" ht="24" customHeight="1" outlineLevel="1">
      <c r="B8" s="101" t="s">
        <v>444</v>
      </c>
      <c r="C8" s="272" t="s">
        <v>391</v>
      </c>
      <c r="E8" s="1530"/>
      <c r="F8" s="101">
        <f t="shared" ref="F8:J8" si="113">F14+F20+F26+F32+F38</f>
        <v>107</v>
      </c>
      <c r="G8" s="101">
        <f t="shared" si="113"/>
        <v>107</v>
      </c>
      <c r="H8" s="101">
        <f t="shared" si="113"/>
        <v>107</v>
      </c>
      <c r="I8" s="101">
        <f t="shared" si="113"/>
        <v>92</v>
      </c>
      <c r="J8" s="101">
        <f t="shared" si="113"/>
        <v>107</v>
      </c>
      <c r="K8" s="820">
        <f>K14+K20+K26+K32+K38</f>
        <v>107</v>
      </c>
      <c r="L8" s="1079"/>
      <c r="M8" s="1079"/>
      <c r="N8" s="1079"/>
      <c r="O8" s="1079"/>
      <c r="P8" s="1079"/>
      <c r="Q8" s="9">
        <f>$S8</f>
        <v>85</v>
      </c>
      <c r="R8" s="9">
        <f>$S8</f>
        <v>85</v>
      </c>
      <c r="S8" s="101">
        <f>S14+S20+S26+S38</f>
        <v>85</v>
      </c>
      <c r="T8" s="1072"/>
      <c r="U8" s="1072"/>
      <c r="V8" s="282"/>
      <c r="W8" s="101">
        <f t="shared" ref="W8:AI8" si="114">W14+W20+W26+W38</f>
        <v>86</v>
      </c>
      <c r="X8" s="101">
        <f>X14+X20+X26+X38</f>
        <v>86</v>
      </c>
      <c r="Y8" s="282"/>
      <c r="Z8" s="282"/>
      <c r="AA8" s="101">
        <f t="shared" si="114"/>
        <v>85</v>
      </c>
      <c r="AB8" s="101">
        <f t="shared" si="114"/>
        <v>85</v>
      </c>
      <c r="AC8" s="282"/>
      <c r="AD8" s="282"/>
      <c r="AE8" s="101">
        <f t="shared" si="114"/>
        <v>89</v>
      </c>
      <c r="AF8" s="101">
        <f t="shared" si="114"/>
        <v>63</v>
      </c>
      <c r="AG8" s="282"/>
      <c r="AH8" s="101">
        <f t="shared" si="114"/>
        <v>89</v>
      </c>
      <c r="AI8" s="101">
        <f t="shared" si="114"/>
        <v>3</v>
      </c>
      <c r="AJ8" s="282"/>
      <c r="AK8" s="101">
        <f t="shared" ref="AK8:AL8" si="115">AK14+AK20+AK26+AK38</f>
        <v>89</v>
      </c>
      <c r="AL8" s="101">
        <f t="shared" si="115"/>
        <v>48</v>
      </c>
      <c r="AM8" s="403"/>
      <c r="AN8" s="1072"/>
      <c r="AO8" s="403"/>
      <c r="AP8" s="403"/>
      <c r="AQ8" s="403"/>
      <c r="AR8" s="403"/>
      <c r="AS8" s="282"/>
      <c r="AT8" s="282"/>
      <c r="AU8" s="282"/>
      <c r="AV8" s="282"/>
      <c r="AW8" s="282"/>
      <c r="AX8" s="101">
        <f>AX14+AX20+AX26+AX38+AX32</f>
        <v>107</v>
      </c>
      <c r="AY8" s="101">
        <f>AY14+AY20+AY26+AY38+AY32</f>
        <v>107</v>
      </c>
      <c r="AZ8" s="101">
        <f t="shared" ref="AZ8:BD8" si="116">AZ14+AZ20+AZ26+AZ38+AZ32</f>
        <v>107</v>
      </c>
      <c r="BA8" s="101">
        <f t="shared" si="116"/>
        <v>107</v>
      </c>
      <c r="BB8" s="101">
        <f t="shared" si="116"/>
        <v>107</v>
      </c>
      <c r="BC8" s="101">
        <f t="shared" si="116"/>
        <v>107</v>
      </c>
      <c r="BD8" s="101">
        <f t="shared" si="116"/>
        <v>107</v>
      </c>
      <c r="BE8" s="101">
        <f>BE14+BE20+BE26+BE32+BE38</f>
        <v>107</v>
      </c>
      <c r="BF8" s="101">
        <f t="shared" ref="BF8:BK8" si="117">BF14+BF20+BF26+BF32+BF38</f>
        <v>59</v>
      </c>
      <c r="BG8" s="101">
        <f>BG14+BG20+BG26+BG32+BG38</f>
        <v>98</v>
      </c>
      <c r="BH8" s="101">
        <f t="shared" si="117"/>
        <v>101</v>
      </c>
      <c r="BI8" s="1264">
        <f t="shared" ref="BI8" si="118">BI14+BI20+BI26+BI32+BI38</f>
        <v>107</v>
      </c>
      <c r="BJ8" s="101">
        <f t="shared" si="117"/>
        <v>107</v>
      </c>
      <c r="BK8" s="101">
        <f t="shared" si="117"/>
        <v>106</v>
      </c>
      <c r="BL8" s="292"/>
      <c r="BM8" s="101">
        <f>BM14+BM20+BM26+BM32+BM38</f>
        <v>107</v>
      </c>
      <c r="BN8" s="101">
        <f>BN14+BN20+BN26+BN32+BN38</f>
        <v>88</v>
      </c>
      <c r="BO8" s="282"/>
      <c r="BP8" s="101">
        <f t="shared" ref="BP8:BR8" si="119">BP14+BP20+BP26+BP32+BP38</f>
        <v>107</v>
      </c>
      <c r="BQ8" s="101">
        <f t="shared" si="119"/>
        <v>107</v>
      </c>
      <c r="BR8" s="101">
        <f t="shared" si="119"/>
        <v>107</v>
      </c>
      <c r="BS8" s="101">
        <f>BS14+BS20+BS26+BS32+BS38</f>
        <v>107</v>
      </c>
      <c r="BT8" s="101">
        <f t="shared" ref="BT8:BV8" si="120">BT14+BT20+BT26+BT32+BT38</f>
        <v>107</v>
      </c>
      <c r="BU8" s="101">
        <f t="shared" si="120"/>
        <v>107</v>
      </c>
      <c r="BV8" s="101">
        <f t="shared" si="120"/>
        <v>107</v>
      </c>
      <c r="BW8" s="820"/>
      <c r="BX8" s="820"/>
      <c r="BY8" s="820"/>
      <c r="BZ8" s="405">
        <f t="shared" ref="BZ8:CI8" si="121">$CJ8</f>
        <v>107</v>
      </c>
      <c r="CA8" s="405">
        <f t="shared" si="121"/>
        <v>107</v>
      </c>
      <c r="CB8" s="405">
        <f t="shared" si="121"/>
        <v>107</v>
      </c>
      <c r="CC8" s="405">
        <f t="shared" si="121"/>
        <v>107</v>
      </c>
      <c r="CD8" s="405">
        <f t="shared" si="121"/>
        <v>107</v>
      </c>
      <c r="CE8" s="405">
        <f t="shared" si="121"/>
        <v>107</v>
      </c>
      <c r="CF8" s="405">
        <f t="shared" si="121"/>
        <v>107</v>
      </c>
      <c r="CG8" s="405">
        <f t="shared" si="121"/>
        <v>107</v>
      </c>
      <c r="CH8" s="405">
        <f t="shared" si="121"/>
        <v>107</v>
      </c>
      <c r="CI8" s="405">
        <f t="shared" si="121"/>
        <v>107</v>
      </c>
      <c r="CJ8" s="106">
        <f>CJ14+CJ20+CJ26+CJ32+CJ38</f>
        <v>107</v>
      </c>
      <c r="CK8" s="563">
        <f>CJ8-EY8</f>
        <v>1</v>
      </c>
      <c r="CL8" s="1795" t="s">
        <v>636</v>
      </c>
      <c r="CM8" s="437"/>
      <c r="CN8" s="437"/>
      <c r="CO8" s="437"/>
      <c r="CP8" s="437"/>
      <c r="CQ8" s="437"/>
      <c r="CR8" s="437"/>
      <c r="CS8" s="437"/>
      <c r="CT8" s="437"/>
      <c r="CU8" s="564"/>
      <c r="CV8" s="405">
        <f t="shared" ref="CV8:DB8" si="122">$CJ8</f>
        <v>107</v>
      </c>
      <c r="CW8" s="405">
        <f t="shared" si="122"/>
        <v>107</v>
      </c>
      <c r="CX8" s="405">
        <f t="shared" si="122"/>
        <v>107</v>
      </c>
      <c r="CY8" s="405">
        <f>$CJ8</f>
        <v>107</v>
      </c>
      <c r="CZ8" s="405">
        <f>$CJ8</f>
        <v>107</v>
      </c>
      <c r="DA8" s="405">
        <f t="shared" si="122"/>
        <v>107</v>
      </c>
      <c r="DB8" s="405">
        <f t="shared" si="122"/>
        <v>107</v>
      </c>
      <c r="DC8" s="406"/>
      <c r="DD8" s="406"/>
      <c r="DE8" s="406"/>
      <c r="DF8" s="406"/>
      <c r="DG8" s="406"/>
      <c r="DH8" s="406"/>
      <c r="DI8" s="406"/>
      <c r="DK8" s="822"/>
      <c r="DL8" s="822"/>
      <c r="DM8" s="822"/>
      <c r="DN8" s="822"/>
      <c r="DO8" s="822"/>
      <c r="DP8" s="822"/>
      <c r="DQ8" s="822"/>
      <c r="DR8" s="822"/>
      <c r="DS8" s="822"/>
      <c r="DT8" s="822"/>
      <c r="DU8" s="822"/>
      <c r="DV8" s="822"/>
      <c r="DW8" s="822"/>
      <c r="DX8" s="822"/>
      <c r="DY8" s="822"/>
      <c r="DZ8" s="822"/>
      <c r="EA8" s="822"/>
      <c r="EB8" s="822"/>
      <c r="EC8" s="824"/>
      <c r="ED8" s="106">
        <f t="shared" ref="ED8:EQ8" si="123">ED14+ED20+ED26+ED32+ED38</f>
        <v>107</v>
      </c>
      <c r="EE8" s="106">
        <f t="shared" si="123"/>
        <v>107</v>
      </c>
      <c r="EF8" s="106">
        <f t="shared" si="123"/>
        <v>69</v>
      </c>
      <c r="EG8" s="106">
        <f t="shared" ref="EG8" si="124">EG14+EG20+EG26+EG32+EG38</f>
        <v>66</v>
      </c>
      <c r="EH8" s="106">
        <f t="shared" ref="EH8:EI8" si="125">EH14+EH20+EH26+EH32+EH38</f>
        <v>107</v>
      </c>
      <c r="EI8" s="106">
        <f t="shared" si="125"/>
        <v>96</v>
      </c>
      <c r="EJ8" s="823"/>
      <c r="EK8" s="106">
        <f t="shared" si="123"/>
        <v>107</v>
      </c>
      <c r="EL8" s="106">
        <f t="shared" si="123"/>
        <v>57</v>
      </c>
      <c r="EM8" s="106">
        <f t="shared" si="123"/>
        <v>107</v>
      </c>
      <c r="EN8" s="106">
        <f t="shared" si="123"/>
        <v>57</v>
      </c>
      <c r="EO8" s="106">
        <f t="shared" si="123"/>
        <v>107</v>
      </c>
      <c r="EP8" s="106">
        <f t="shared" si="123"/>
        <v>27</v>
      </c>
      <c r="EQ8" s="106">
        <f t="shared" si="123"/>
        <v>107</v>
      </c>
      <c r="ER8" s="106">
        <f t="shared" ref="ER8" si="126">ER14+ER20+ER26+ER32+ER38</f>
        <v>107</v>
      </c>
      <c r="ES8" s="822"/>
      <c r="ET8" s="825"/>
      <c r="EU8" s="106">
        <f>EU14+EU20+EU26+EU32+EU38</f>
        <v>46</v>
      </c>
      <c r="EV8" s="106">
        <f>EV14+EV20+EV26+EV32+EV38</f>
        <v>100</v>
      </c>
      <c r="EW8" s="106">
        <f>EW14+EW20+EW26+EW32+EW38</f>
        <v>88</v>
      </c>
      <c r="EX8" s="106">
        <f>EX14+EX20+EX26+EX32+EX38</f>
        <v>57</v>
      </c>
      <c r="EY8" s="106">
        <f>EY14+EY20+EY26+EY32+EY38</f>
        <v>106</v>
      </c>
      <c r="EZ8" s="6">
        <f>$EY8</f>
        <v>106</v>
      </c>
      <c r="FA8" s="6"/>
      <c r="FB8" s="6">
        <f>$EY8</f>
        <v>106</v>
      </c>
      <c r="FC8" s="6">
        <f>$EY8</f>
        <v>106</v>
      </c>
      <c r="FD8" s="102"/>
      <c r="FE8" s="102"/>
      <c r="FF8" s="102"/>
      <c r="FG8" s="102"/>
      <c r="FH8" s="416"/>
      <c r="FI8" s="416"/>
      <c r="FJ8" s="416"/>
      <c r="FK8" s="416"/>
      <c r="FL8" s="416"/>
      <c r="FM8" s="416"/>
      <c r="FN8" s="416"/>
      <c r="FO8" s="416"/>
      <c r="FP8" s="416"/>
      <c r="FQ8" s="6">
        <f t="shared" ref="FQ8:FW8" si="127">$EY8</f>
        <v>106</v>
      </c>
      <c r="FR8" s="77">
        <f t="shared" si="127"/>
        <v>106</v>
      </c>
      <c r="FS8" s="6">
        <f t="shared" si="127"/>
        <v>106</v>
      </c>
      <c r="FT8" s="6">
        <f t="shared" si="127"/>
        <v>106</v>
      </c>
      <c r="FU8" s="6">
        <f t="shared" si="127"/>
        <v>106</v>
      </c>
      <c r="FV8" s="6">
        <f t="shared" si="127"/>
        <v>106</v>
      </c>
      <c r="FW8" s="6">
        <f t="shared" si="127"/>
        <v>106</v>
      </c>
      <c r="FX8" s="409"/>
      <c r="FY8" s="410"/>
      <c r="FZ8" s="416"/>
      <c r="GA8" s="416"/>
      <c r="GB8" s="416"/>
      <c r="GC8" s="416"/>
      <c r="GD8" s="416"/>
      <c r="GE8" s="416"/>
      <c r="GF8" s="416"/>
      <c r="GG8" s="416"/>
      <c r="GH8" s="416"/>
      <c r="GI8" s="419"/>
      <c r="GJ8" s="106">
        <f>GJ14+GJ20+GJ26+GJ32+GJ38</f>
        <v>107</v>
      </c>
      <c r="GK8" s="106">
        <f>GK14+GK20+GK26+GK32+GK38</f>
        <v>84</v>
      </c>
      <c r="GL8" s="106">
        <f>GL14+GL20+GL26+GL32+GL38</f>
        <v>107</v>
      </c>
      <c r="GM8" s="106">
        <f>GM14+GM20+GM26+GM32+GM38</f>
        <v>68</v>
      </c>
      <c r="GN8" s="7">
        <f>$GW8</f>
        <v>61</v>
      </c>
      <c r="GO8" s="7">
        <f t="shared" ref="GO8:GV8" si="128">$GW8</f>
        <v>61</v>
      </c>
      <c r="GP8" s="7">
        <f t="shared" si="128"/>
        <v>61</v>
      </c>
      <c r="GQ8" s="7">
        <f t="shared" si="128"/>
        <v>61</v>
      </c>
      <c r="GR8" s="7">
        <f t="shared" si="128"/>
        <v>61</v>
      </c>
      <c r="GS8" s="7">
        <f t="shared" si="128"/>
        <v>61</v>
      </c>
      <c r="GT8" s="7">
        <f t="shared" si="128"/>
        <v>61</v>
      </c>
      <c r="GU8" s="7">
        <f t="shared" si="128"/>
        <v>61</v>
      </c>
      <c r="GV8" s="7">
        <f t="shared" si="128"/>
        <v>61</v>
      </c>
      <c r="GW8" s="106">
        <f>GW14+GW20+GW26+GW32+GW38</f>
        <v>61</v>
      </c>
      <c r="GY8" s="104"/>
      <c r="GZ8" s="105"/>
      <c r="HA8" s="105"/>
      <c r="HB8" s="105"/>
      <c r="HC8" s="105"/>
      <c r="HD8" s="105"/>
      <c r="HE8" s="105"/>
      <c r="HF8" s="105"/>
      <c r="HG8" s="9">
        <f t="shared" ref="HG8:HO8" si="129">$HP8</f>
        <v>43</v>
      </c>
      <c r="HH8" s="9">
        <f t="shared" si="129"/>
        <v>43</v>
      </c>
      <c r="HI8" s="9">
        <f t="shared" si="129"/>
        <v>43</v>
      </c>
      <c r="HJ8" s="9">
        <f t="shared" si="129"/>
        <v>43</v>
      </c>
      <c r="HK8" s="9">
        <f t="shared" si="129"/>
        <v>43</v>
      </c>
      <c r="HL8" s="9">
        <f t="shared" si="129"/>
        <v>43</v>
      </c>
      <c r="HM8" s="9">
        <f t="shared" si="129"/>
        <v>43</v>
      </c>
      <c r="HN8" s="9">
        <f t="shared" si="129"/>
        <v>43</v>
      </c>
      <c r="HO8" s="9">
        <f t="shared" si="129"/>
        <v>43</v>
      </c>
      <c r="HP8" s="106">
        <f>HP14+HP20+HP26+HP32+HP38</f>
        <v>43</v>
      </c>
      <c r="HR8" s="107"/>
      <c r="HS8" s="105"/>
      <c r="HT8" s="105"/>
      <c r="HU8" s="105"/>
      <c r="HV8" s="105"/>
      <c r="HW8" s="105"/>
      <c r="HX8" s="105"/>
      <c r="HY8" s="105"/>
      <c r="HZ8" s="51"/>
      <c r="IA8" s="403"/>
      <c r="IB8" s="403"/>
      <c r="IC8" s="436">
        <f>IC14+IC20+IC26+IC32+IC38</f>
        <v>107</v>
      </c>
      <c r="ID8" s="436"/>
      <c r="IE8" s="436">
        <f t="shared" si="106"/>
        <v>107</v>
      </c>
      <c r="IF8" s="436"/>
      <c r="IG8" s="820"/>
      <c r="IH8" s="820"/>
      <c r="II8" s="101">
        <f t="shared" ref="II8:IJ8" si="130">II14+II20+II26+II32+II38</f>
        <v>56</v>
      </c>
      <c r="IJ8" s="101">
        <f t="shared" si="130"/>
        <v>51</v>
      </c>
      <c r="IK8" s="436">
        <f t="shared" si="108"/>
        <v>107</v>
      </c>
      <c r="IL8" s="436">
        <f t="shared" si="108"/>
        <v>107</v>
      </c>
      <c r="IM8" s="436">
        <f t="shared" si="108"/>
        <v>107</v>
      </c>
      <c r="IN8" s="436">
        <f t="shared" si="108"/>
        <v>107</v>
      </c>
      <c r="IO8" s="853"/>
      <c r="IP8" s="851"/>
      <c r="IQ8" s="854"/>
      <c r="IR8" s="414"/>
      <c r="IS8" s="414"/>
      <c r="IT8" s="414"/>
      <c r="IU8" s="414"/>
      <c r="IV8" s="414"/>
      <c r="IW8" s="414"/>
      <c r="IX8" s="416"/>
      <c r="IY8" s="416"/>
      <c r="IZ8" s="416"/>
      <c r="JA8" s="416"/>
      <c r="JB8" s="416"/>
      <c r="JC8" s="416"/>
      <c r="JD8" s="414"/>
      <c r="JE8" s="414"/>
      <c r="JF8" s="414"/>
      <c r="JG8" s="414"/>
      <c r="JH8" s="403">
        <f t="shared" si="110"/>
        <v>107</v>
      </c>
      <c r="JI8" s="403">
        <f t="shared" si="110"/>
        <v>107</v>
      </c>
      <c r="JJ8" s="403">
        <f t="shared" si="110"/>
        <v>90</v>
      </c>
      <c r="JK8" s="403">
        <f t="shared" ref="JK8:JQ8" si="131">JK14+JK20+JK26+JK32+JK38</f>
        <v>107</v>
      </c>
      <c r="JL8" s="403">
        <f t="shared" si="131"/>
        <v>106</v>
      </c>
      <c r="JM8" s="403">
        <f t="shared" si="131"/>
        <v>90</v>
      </c>
      <c r="JN8" s="403">
        <f t="shared" si="131"/>
        <v>107</v>
      </c>
      <c r="JO8" s="403">
        <f>JO14+JO20+JO26+JO32+JO38</f>
        <v>91</v>
      </c>
      <c r="JP8" s="403">
        <f t="shared" si="131"/>
        <v>107</v>
      </c>
      <c r="JQ8" s="403">
        <f t="shared" si="131"/>
        <v>107</v>
      </c>
      <c r="JR8" s="414"/>
      <c r="JS8" s="414"/>
      <c r="JT8" s="414"/>
      <c r="JU8" s="414"/>
      <c r="JV8" s="414"/>
      <c r="JW8" s="414"/>
      <c r="JX8" s="414"/>
      <c r="JY8" s="393">
        <f>JY14+JY20+JY26+JY32+JY38</f>
        <v>61</v>
      </c>
      <c r="JZ8" s="414"/>
      <c r="KA8" s="414"/>
      <c r="KB8" s="414"/>
      <c r="KC8" s="414"/>
      <c r="KD8" s="414"/>
      <c r="KE8" s="414"/>
      <c r="KF8" s="414"/>
      <c r="KG8" s="414"/>
      <c r="KH8" s="414"/>
      <c r="KI8" s="393">
        <f>KI14+KI20+KI26+KI32+KI38</f>
        <v>43</v>
      </c>
      <c r="KJ8" s="61">
        <f t="shared" si="112"/>
        <v>104</v>
      </c>
      <c r="KK8" s="61">
        <f t="shared" si="112"/>
        <v>104</v>
      </c>
      <c r="KL8" s="61">
        <f t="shared" si="112"/>
        <v>104</v>
      </c>
      <c r="KM8" s="61">
        <f t="shared" si="112"/>
        <v>104</v>
      </c>
      <c r="KN8" s="61">
        <f t="shared" si="112"/>
        <v>104</v>
      </c>
      <c r="KO8" s="61">
        <f t="shared" si="112"/>
        <v>104</v>
      </c>
      <c r="KP8" s="61">
        <f t="shared" si="112"/>
        <v>104</v>
      </c>
      <c r="KQ8" s="61">
        <f t="shared" si="112"/>
        <v>104</v>
      </c>
      <c r="KR8" s="61">
        <f t="shared" si="112"/>
        <v>104</v>
      </c>
      <c r="KS8" s="61">
        <f t="shared" si="112"/>
        <v>104</v>
      </c>
      <c r="KT8" s="61">
        <f t="shared" si="112"/>
        <v>49</v>
      </c>
      <c r="KU8" s="61">
        <f>KU14+KU20+KU26+KU32+KU38</f>
        <v>104</v>
      </c>
      <c r="KV8" s="61">
        <f>KV14+KV20+KV26+KV32+KV38</f>
        <v>104</v>
      </c>
      <c r="KW8" s="61">
        <f t="shared" si="112"/>
        <v>104</v>
      </c>
      <c r="KX8" s="108"/>
      <c r="KY8" s="421"/>
      <c r="KZ8" s="421"/>
      <c r="LA8" s="421"/>
      <c r="LB8" s="421"/>
      <c r="LQ8" s="421"/>
      <c r="LR8" s="83"/>
      <c r="LS8" s="421"/>
      <c r="LT8" s="282"/>
      <c r="LU8" s="282"/>
      <c r="LV8" s="282"/>
      <c r="LW8" s="282"/>
      <c r="LX8" s="282"/>
      <c r="LY8" s="282"/>
      <c r="LZ8" s="282"/>
      <c r="MA8" s="282"/>
      <c r="MB8" s="282"/>
      <c r="MC8" s="282"/>
      <c r="MD8" s="282"/>
      <c r="ME8" s="282"/>
      <c r="MF8" s="282"/>
      <c r="MG8" s="282"/>
      <c r="MH8" s="282"/>
      <c r="MI8" s="282"/>
      <c r="MJ8" s="282"/>
      <c r="MK8" s="282"/>
      <c r="ML8" s="282"/>
      <c r="MM8" s="1232"/>
      <c r="MN8" s="1232"/>
      <c r="MO8" s="1232"/>
      <c r="MP8" s="1232"/>
      <c r="MS8" s="421"/>
      <c r="MT8" s="83"/>
      <c r="MU8" s="421"/>
      <c r="MV8" s="421"/>
      <c r="MW8" s="421"/>
      <c r="MX8" s="421"/>
      <c r="MY8" s="421"/>
      <c r="MZ8" s="421"/>
      <c r="NA8" s="421"/>
      <c r="NB8" s="421"/>
      <c r="NC8" s="421"/>
      <c r="ND8" s="421"/>
      <c r="NE8" s="421"/>
      <c r="NF8" s="421"/>
      <c r="NG8" s="421"/>
      <c r="NH8" s="421"/>
      <c r="NI8" s="421"/>
      <c r="NJ8" s="421"/>
      <c r="NK8" s="421"/>
      <c r="NL8" s="421"/>
      <c r="OQ8" s="282"/>
      <c r="OR8" s="282"/>
      <c r="OS8" s="282"/>
      <c r="OT8" s="282"/>
      <c r="OU8" s="282"/>
      <c r="OV8" s="282"/>
      <c r="OW8" s="282"/>
      <c r="OX8" s="282"/>
      <c r="OY8" s="282"/>
      <c r="OZ8" s="282"/>
      <c r="PA8" s="282"/>
      <c r="PB8" s="282"/>
      <c r="PC8" s="282"/>
      <c r="PD8" s="282"/>
      <c r="PE8" s="282"/>
      <c r="PF8" s="282"/>
      <c r="PG8" s="282"/>
      <c r="PH8" s="282"/>
      <c r="PI8" s="282"/>
      <c r="PJ8" s="282"/>
      <c r="PK8" s="282"/>
      <c r="PL8" s="282"/>
      <c r="PM8" s="282"/>
    </row>
    <row r="9" spans="1:429" ht="15.6" outlineLevel="1">
      <c r="A9" s="2057"/>
      <c r="B9" s="897"/>
      <c r="C9" s="898" t="s">
        <v>383</v>
      </c>
      <c r="D9" s="897"/>
      <c r="E9" s="1531"/>
      <c r="F9" s="899">
        <f>ROUND(F7/F8,2)</f>
        <v>0.67</v>
      </c>
      <c r="G9" s="899">
        <f>ROUND(G7/G8,2)</f>
        <v>0.56999999999999995</v>
      </c>
      <c r="H9" s="900">
        <f>ROUND(H7/H8,-1)</f>
        <v>560</v>
      </c>
      <c r="I9" s="900">
        <f>ROUND(I7/I8,-1)</f>
        <v>350</v>
      </c>
      <c r="J9" s="900">
        <f>ROUND(J7/J8,-1)</f>
        <v>850</v>
      </c>
      <c r="K9" s="916">
        <f>ROUND(K7/K8,-1)</f>
        <v>730</v>
      </c>
      <c r="L9" s="1083"/>
      <c r="M9" s="1084"/>
      <c r="N9" s="1085"/>
      <c r="O9" s="1084"/>
      <c r="P9" s="1084"/>
      <c r="Q9" s="901">
        <f t="shared" ref="Q9:X9" si="132">ROUND(Q7/Q8,-2)</f>
        <v>9900</v>
      </c>
      <c r="R9" s="901">
        <f t="shared" si="132"/>
        <v>119100</v>
      </c>
      <c r="S9" s="901">
        <f t="shared" si="132"/>
        <v>129000</v>
      </c>
      <c r="T9" s="1069"/>
      <c r="U9" s="1069"/>
      <c r="V9" s="1069"/>
      <c r="W9" s="901">
        <f t="shared" si="132"/>
        <v>18600</v>
      </c>
      <c r="X9" s="901">
        <f t="shared" si="132"/>
        <v>16800</v>
      </c>
      <c r="Y9" s="1069"/>
      <c r="Z9" s="1069"/>
      <c r="AA9" s="901">
        <f>ROUND(AA7/AA8,-1)</f>
        <v>1860</v>
      </c>
      <c r="AB9" s="901">
        <f>ROUND(AB7/AB8,2)</f>
        <v>0.11</v>
      </c>
      <c r="AC9" s="1053"/>
      <c r="AD9" s="1068"/>
      <c r="AE9" s="899">
        <f>ROUND(AE7/AE8,2)</f>
        <v>0.71</v>
      </c>
      <c r="AF9" s="900">
        <f>ROUND(AF7/AF8,-2)</f>
        <v>2300</v>
      </c>
      <c r="AG9" s="1116"/>
      <c r="AH9" s="899">
        <f>ROUND(AH7/AH8,2)</f>
        <v>0.03</v>
      </c>
      <c r="AI9" s="901">
        <f>ROUND(AI7/AI8,-1)</f>
        <v>1910</v>
      </c>
      <c r="AJ9" s="1069"/>
      <c r="AK9" s="899">
        <f>ROUND(AK7/AK8,2)</f>
        <v>0.54</v>
      </c>
      <c r="AL9" s="900">
        <f>ROUND(AL7/AL8,-1)</f>
        <v>2730</v>
      </c>
      <c r="AM9" s="902">
        <f>X9+AF9+AI9+AL9</f>
        <v>23740</v>
      </c>
      <c r="AN9" s="1069">
        <f>Z9+AG9+AJ9</f>
        <v>0</v>
      </c>
      <c r="AO9" s="902">
        <f>FL_fb_min_amt</f>
        <v>1200</v>
      </c>
      <c r="AP9" s="902">
        <f>ROUND(EP9*12,-2)</f>
        <v>1300</v>
      </c>
      <c r="AQ9" s="902">
        <f>+AM9+AO9+AP9</f>
        <v>26240</v>
      </c>
      <c r="AR9" s="903">
        <f>ROUND(Z9+AG9+AJ9,-2)</f>
        <v>0</v>
      </c>
      <c r="AS9" s="1124"/>
      <c r="AT9" s="1124"/>
      <c r="AU9" s="1124"/>
      <c r="AV9" s="1124"/>
      <c r="AW9" s="1068"/>
      <c r="AX9" s="899">
        <f>ROUND(AX7/AX8,2)</f>
        <v>0.49</v>
      </c>
      <c r="AY9" s="899">
        <f>ROUND(AY7/AY8,2)</f>
        <v>0.23</v>
      </c>
      <c r="AZ9" s="899">
        <f>ROUND(AZ7/AZ8,2)</f>
        <v>0.21</v>
      </c>
      <c r="BA9" s="899">
        <f>ROUND(BA7/BA8,2)</f>
        <v>0.08</v>
      </c>
      <c r="BB9" s="899">
        <f t="shared" ref="BB9:BC9" si="133">ROUND(BB7/BB8,2)</f>
        <v>0.01</v>
      </c>
      <c r="BC9" s="899">
        <f t="shared" si="133"/>
        <v>0.09</v>
      </c>
      <c r="BD9" s="899">
        <f>ROUND(BD7/BD8,2)</f>
        <v>0.08</v>
      </c>
      <c r="BE9" s="899">
        <f t="shared" ref="BE9" si="134">ROUND(BE7/BE8,2)</f>
        <v>0.55000000000000004</v>
      </c>
      <c r="BF9" s="900">
        <f t="shared" ref="BF9:BK9" si="135">ROUND(BF7/BF8,-2)</f>
        <v>8747300</v>
      </c>
      <c r="BG9" s="901">
        <f t="shared" si="135"/>
        <v>1904200</v>
      </c>
      <c r="BH9" s="901">
        <f t="shared" si="135"/>
        <v>6957500</v>
      </c>
      <c r="BI9" s="1266">
        <f t="shared" si="135"/>
        <v>28579300</v>
      </c>
      <c r="BJ9" s="901">
        <f t="shared" si="135"/>
        <v>3946500</v>
      </c>
      <c r="BK9" s="901">
        <f t="shared" si="135"/>
        <v>2305600</v>
      </c>
      <c r="BL9" s="904">
        <f>ROUND(BJ9/BK9,2)</f>
        <v>1.71</v>
      </c>
      <c r="BM9" s="899">
        <f>ROUND(BM7/BM8,2)</f>
        <v>0.82</v>
      </c>
      <c r="BN9" s="901">
        <f>ROUND(BN7/BN8,-2)</f>
        <v>6303800</v>
      </c>
      <c r="BO9" s="1135"/>
      <c r="BP9" s="901">
        <f t="shared" ref="BP9:BQ9" si="136">ROUND(BP7/BP8,-2)</f>
        <v>7932900</v>
      </c>
      <c r="BQ9" s="901">
        <f t="shared" si="136"/>
        <v>7514000</v>
      </c>
      <c r="BR9" s="1219">
        <f>ROUND(BR7/BR8,1)</f>
        <v>1.3</v>
      </c>
      <c r="BS9" s="899">
        <f>ROUND(BS7/BS8,2)</f>
        <v>0.52</v>
      </c>
      <c r="BT9" s="901">
        <f t="shared" ref="BT9:BU9" si="137">ROUND(BT7/BT8,-2)</f>
        <v>12920300</v>
      </c>
      <c r="BU9" s="901">
        <f t="shared" si="137"/>
        <v>29167000</v>
      </c>
      <c r="BV9" s="1219">
        <f>ROUND(BV7/BV8,1)</f>
        <v>0.5</v>
      </c>
      <c r="BW9" s="916">
        <f>IF(BN9=0,0,+IF(K9=0,0,ROUND(BN9/K9,-1)))</f>
        <v>8640</v>
      </c>
      <c r="BX9" s="916">
        <f>IF(BJ9=0,0,+IF(K9=0,0,ROUND(BJ9/K9,-1)))</f>
        <v>5410</v>
      </c>
      <c r="BY9" s="916">
        <f>IF(BH9=0,0,+IF(K9=0,0,ROUND(BH9/K9,-1)))</f>
        <v>9530</v>
      </c>
      <c r="BZ9" s="900">
        <f t="shared" ref="BZ9:CH9" si="138">ROUND(BZ7/BZ8,-3)</f>
        <v>1489000</v>
      </c>
      <c r="CA9" s="900">
        <f t="shared" si="138"/>
        <v>176000</v>
      </c>
      <c r="CB9" s="900">
        <f t="shared" si="138"/>
        <v>583000</v>
      </c>
      <c r="CC9" s="900">
        <f t="shared" si="138"/>
        <v>465000</v>
      </c>
      <c r="CD9" s="900">
        <f t="shared" si="138"/>
        <v>10031000</v>
      </c>
      <c r="CE9" s="900">
        <f t="shared" si="138"/>
        <v>45000</v>
      </c>
      <c r="CF9" s="900">
        <f t="shared" si="138"/>
        <v>11000</v>
      </c>
      <c r="CG9" s="900">
        <f t="shared" si="138"/>
        <v>2167000</v>
      </c>
      <c r="CH9" s="900">
        <f t="shared" si="138"/>
        <v>878000</v>
      </c>
      <c r="CI9" s="900">
        <f>ROUND(CI7/CI8,-3)</f>
        <v>609000</v>
      </c>
      <c r="CJ9" s="905">
        <f>SUM(BZ9:CI9)</f>
        <v>16454000</v>
      </c>
      <c r="CK9" s="906">
        <f>ROUND(BZ9/$CJ9,3)</f>
        <v>0.09</v>
      </c>
      <c r="CL9" s="906">
        <f t="shared" ref="CL9:CU9" si="139">ROUND(CA9/$CJ9,3)</f>
        <v>1.0999999999999999E-2</v>
      </c>
      <c r="CM9" s="906">
        <f t="shared" si="139"/>
        <v>3.5000000000000003E-2</v>
      </c>
      <c r="CN9" s="906">
        <f t="shared" si="139"/>
        <v>2.8000000000000001E-2</v>
      </c>
      <c r="CO9" s="906">
        <f>ROUND(CD9/$CJ9,3)</f>
        <v>0.61</v>
      </c>
      <c r="CP9" s="906">
        <f t="shared" si="139"/>
        <v>3.0000000000000001E-3</v>
      </c>
      <c r="CQ9" s="906">
        <f t="shared" si="139"/>
        <v>1E-3</v>
      </c>
      <c r="CR9" s="906">
        <f t="shared" si="139"/>
        <v>0.13200000000000001</v>
      </c>
      <c r="CS9" s="906">
        <f t="shared" si="139"/>
        <v>5.2999999999999999E-2</v>
      </c>
      <c r="CT9" s="906">
        <f t="shared" si="139"/>
        <v>3.6999999999999998E-2</v>
      </c>
      <c r="CU9" s="906">
        <f t="shared" si="139"/>
        <v>1</v>
      </c>
      <c r="CV9" s="900">
        <f>ROUND(CV7/CV8,-3)</f>
        <v>8430000</v>
      </c>
      <c r="CW9" s="900">
        <f t="shared" ref="CW9:DB9" si="140">ROUND(CW7/CW8,-3)</f>
        <v>1501000</v>
      </c>
      <c r="CX9" s="900">
        <f t="shared" si="140"/>
        <v>425000</v>
      </c>
      <c r="CY9" s="900">
        <f t="shared" si="140"/>
        <v>5389000</v>
      </c>
      <c r="CZ9" s="900">
        <f t="shared" si="140"/>
        <v>215000</v>
      </c>
      <c r="DA9" s="900">
        <f t="shared" si="140"/>
        <v>449000</v>
      </c>
      <c r="DB9" s="900">
        <f t="shared" si="140"/>
        <v>16411000</v>
      </c>
      <c r="DC9" s="906">
        <f t="shared" ref="DC9:DH9" si="141">ROUND(CV9/$DB9,3)</f>
        <v>0.51400000000000001</v>
      </c>
      <c r="DD9" s="906">
        <f t="shared" si="141"/>
        <v>9.0999999999999998E-2</v>
      </c>
      <c r="DE9" s="906">
        <f t="shared" si="141"/>
        <v>2.5999999999999999E-2</v>
      </c>
      <c r="DF9" s="906">
        <f t="shared" si="141"/>
        <v>0.32800000000000001</v>
      </c>
      <c r="DG9" s="906">
        <f t="shared" si="141"/>
        <v>1.2999999999999999E-2</v>
      </c>
      <c r="DH9" s="906">
        <f t="shared" si="141"/>
        <v>2.7E-2</v>
      </c>
      <c r="DI9" s="906">
        <f>ROUND(DB9/$DB9,3)</f>
        <v>1</v>
      </c>
      <c r="DJ9" s="907">
        <f>CJ9-DB9</f>
        <v>43000</v>
      </c>
      <c r="DK9" s="917">
        <f t="shared" ref="DK9:DT9" si="142">IF(BZ9=0,0,+IF($K9=0,0,ROUND(BZ9/$K9,-1)))</f>
        <v>2040</v>
      </c>
      <c r="DL9" s="917">
        <f t="shared" si="142"/>
        <v>240</v>
      </c>
      <c r="DM9" s="917">
        <f t="shared" si="142"/>
        <v>800</v>
      </c>
      <c r="DN9" s="917">
        <f t="shared" si="142"/>
        <v>640</v>
      </c>
      <c r="DO9" s="917">
        <f t="shared" si="142"/>
        <v>13740</v>
      </c>
      <c r="DP9" s="917">
        <f t="shared" si="142"/>
        <v>60</v>
      </c>
      <c r="DQ9" s="917">
        <f t="shared" si="142"/>
        <v>20</v>
      </c>
      <c r="DR9" s="917">
        <f t="shared" si="142"/>
        <v>2970</v>
      </c>
      <c r="DS9" s="917">
        <f t="shared" si="142"/>
        <v>1200</v>
      </c>
      <c r="DT9" s="917">
        <f t="shared" si="142"/>
        <v>830</v>
      </c>
      <c r="DU9" s="917">
        <f>SUM(DK9:DT9)</f>
        <v>22540</v>
      </c>
      <c r="DV9" s="917">
        <f t="shared" ref="DV9:EA9" si="143">IF(CV9=0,0,+IF($K9=0,0,ROUND(CV9/$K9,-1)))</f>
        <v>11550</v>
      </c>
      <c r="DW9" s="917">
        <f t="shared" si="143"/>
        <v>2060</v>
      </c>
      <c r="DX9" s="917">
        <f t="shared" si="143"/>
        <v>580</v>
      </c>
      <c r="DY9" s="917">
        <f t="shared" si="143"/>
        <v>7380</v>
      </c>
      <c r="DZ9" s="917">
        <f t="shared" si="143"/>
        <v>290</v>
      </c>
      <c r="EA9" s="917">
        <f t="shared" si="143"/>
        <v>620</v>
      </c>
      <c r="EB9" s="917">
        <f>SUM(DV9:EA9)</f>
        <v>22480</v>
      </c>
      <c r="EC9" s="919">
        <f>DU9-EB9</f>
        <v>60</v>
      </c>
      <c r="ED9" s="901">
        <f>ROUND(ED7/ED8,0)</f>
        <v>162</v>
      </c>
      <c r="EE9" s="899">
        <f>ROUND(EE7/EE8,2)</f>
        <v>0.64</v>
      </c>
      <c r="EF9" s="901">
        <f>ROUND(EF7/EF8,0)</f>
        <v>45</v>
      </c>
      <c r="EG9" s="901">
        <f>ROUND(EG7/EG8,-1)</f>
        <v>376100</v>
      </c>
      <c r="EH9" s="899">
        <f>ROUND(EH7/EH8,2)</f>
        <v>0.91</v>
      </c>
      <c r="EI9" s="899">
        <f>ROUND(EI7/EI8,2)</f>
        <v>0.09</v>
      </c>
      <c r="EJ9" s="918">
        <f>IF(K9=0,0,+IF(ED9=0,0,ROUND(K9/ED9,1)))</f>
        <v>4.5</v>
      </c>
      <c r="EK9" s="899">
        <f>ROUND(EK7/EK8,2)</f>
        <v>0.53</v>
      </c>
      <c r="EL9" s="901">
        <f>ROUND(EL7/EL8,-2)</f>
        <v>1200</v>
      </c>
      <c r="EM9" s="899">
        <f>ROUND(EM7/EM8,2)</f>
        <v>0.53</v>
      </c>
      <c r="EN9" s="897">
        <f>ROUND(EN7/EN8,2)</f>
        <v>0.2</v>
      </c>
      <c r="EO9" s="899">
        <f>ROUND(EO7/EO8,2)</f>
        <v>0.25</v>
      </c>
      <c r="EP9" s="901">
        <f>ROUND(EP7/EP8,-1)</f>
        <v>110</v>
      </c>
      <c r="EQ9" s="899">
        <f>ROUND(EQ7/EQ8,2)</f>
        <v>0.11</v>
      </c>
      <c r="ER9" s="899">
        <f>ROUND(ER7/ER8,2)</f>
        <v>0.21</v>
      </c>
      <c r="ES9" s="917">
        <f>IF(FE9=0,0,+IF(K9=0,0,ROUND(FE9/K9,-2)))</f>
        <v>4200</v>
      </c>
      <c r="ET9" s="919">
        <f>IF(FY9=0,0,+IF(K9=0,0,ROUND(FY9/K9,-1)))</f>
        <v>-2670</v>
      </c>
      <c r="EU9" s="900">
        <f>EU15+EU21+EU27+EU33+EU39</f>
        <v>23</v>
      </c>
      <c r="EV9" s="900">
        <f t="shared" ref="EV9:FC9" si="144">ROUND(EV7/EV8,-2)</f>
        <v>88900</v>
      </c>
      <c r="EW9" s="900">
        <f t="shared" si="144"/>
        <v>9000</v>
      </c>
      <c r="EX9" s="900">
        <f>EX15+EX21+EX27+EX33+EX39</f>
        <v>10</v>
      </c>
      <c r="EY9" s="908">
        <f t="shared" si="144"/>
        <v>2187500</v>
      </c>
      <c r="EZ9" s="908">
        <f t="shared" si="144"/>
        <v>1185700</v>
      </c>
      <c r="FA9" s="909">
        <f>EY9-EZ9</f>
        <v>1001800</v>
      </c>
      <c r="FB9" s="908">
        <f>ROUND(FB7/FB8,-2)</f>
        <v>886600</v>
      </c>
      <c r="FC9" s="908">
        <f t="shared" si="144"/>
        <v>329500</v>
      </c>
      <c r="FD9" s="909">
        <f>FB9-FC9</f>
        <v>557100</v>
      </c>
      <c r="FE9" s="909">
        <f>EY9+FB9</f>
        <v>3074100</v>
      </c>
      <c r="FF9" s="909">
        <f>EZ9+FC9</f>
        <v>1515200</v>
      </c>
      <c r="FG9" s="909">
        <f>FE9-FF9</f>
        <v>1558900</v>
      </c>
      <c r="FH9" s="906">
        <f>ROUND(EY9/$EY9,3)</f>
        <v>1</v>
      </c>
      <c r="FI9" s="906">
        <f>ROUND(EZ9/$EY9,3)</f>
        <v>0.54200000000000004</v>
      </c>
      <c r="FJ9" s="906">
        <f>ROUND(FA9/$EY9,3)</f>
        <v>0.45800000000000002</v>
      </c>
      <c r="FK9" s="906">
        <f>ROUND(FB9/$FB9,3)</f>
        <v>1</v>
      </c>
      <c r="FL9" s="906">
        <f>ROUND(FC9/$FB9,3)</f>
        <v>0.372</v>
      </c>
      <c r="FM9" s="906">
        <f>ROUND(FD9/$FB9,3)</f>
        <v>0.628</v>
      </c>
      <c r="FN9" s="906">
        <f>ROUND(FE9/$FE9,3)</f>
        <v>1</v>
      </c>
      <c r="FO9" s="906">
        <f>ROUND(FF9/$FE9,3)</f>
        <v>0.49299999999999999</v>
      </c>
      <c r="FP9" s="906">
        <f>ROUND(FG9/$FE9,3)</f>
        <v>0.50700000000000001</v>
      </c>
      <c r="FQ9" s="908">
        <f t="shared" ref="FQ9:FV9" si="145">ROUND(FQ7/FQ8,-2)</f>
        <v>2435400</v>
      </c>
      <c r="FR9" s="893">
        <f t="shared" si="145"/>
        <v>-149500</v>
      </c>
      <c r="FS9" s="908">
        <f t="shared" si="145"/>
        <v>475200</v>
      </c>
      <c r="FT9" s="908">
        <f t="shared" si="145"/>
        <v>69100</v>
      </c>
      <c r="FU9" s="908">
        <f t="shared" si="145"/>
        <v>44900</v>
      </c>
      <c r="FV9" s="908">
        <f t="shared" si="145"/>
        <v>31900</v>
      </c>
      <c r="FW9" s="908">
        <f>ROUND(FW7/FW8,-2)</f>
        <v>598300</v>
      </c>
      <c r="FX9" s="909">
        <f>ROUND(SUM(FQ9:FW9),-2)</f>
        <v>3505300</v>
      </c>
      <c r="FY9" s="910">
        <f>ROUND(FG9-FX9,-2)</f>
        <v>-1946400</v>
      </c>
      <c r="FZ9" s="906">
        <f>ROUND(FQ9/$FE9,3)</f>
        <v>0.79200000000000004</v>
      </c>
      <c r="GA9" s="906">
        <f t="shared" ref="GA9:GH9" si="146">ROUND(FR9/$FE9,3)</f>
        <v>-4.9000000000000002E-2</v>
      </c>
      <c r="GB9" s="906">
        <f t="shared" si="146"/>
        <v>0.155</v>
      </c>
      <c r="GC9" s="906">
        <f t="shared" si="146"/>
        <v>2.1999999999999999E-2</v>
      </c>
      <c r="GD9" s="906">
        <f t="shared" si="146"/>
        <v>1.4999999999999999E-2</v>
      </c>
      <c r="GE9" s="906">
        <f t="shared" si="146"/>
        <v>0.01</v>
      </c>
      <c r="GF9" s="906">
        <f t="shared" si="146"/>
        <v>0.19500000000000001</v>
      </c>
      <c r="GG9" s="906">
        <f>ROUND(FX9/$FE9,3)</f>
        <v>1.1399999999999999</v>
      </c>
      <c r="GH9" s="906">
        <f t="shared" si="146"/>
        <v>-0.63300000000000001</v>
      </c>
      <c r="GI9" s="911">
        <f>ROUND(EY9/FB9,2)</f>
        <v>2.4700000000000002</v>
      </c>
      <c r="GJ9" s="899">
        <f>ROUND(GJ7/GJ8,2)</f>
        <v>0.79</v>
      </c>
      <c r="GK9" s="895">
        <f>ROUND(GK7/GK8,2)</f>
        <v>7.0000000000000007E-2</v>
      </c>
      <c r="GL9" s="899">
        <f>ROUND(GL7/GL8,2)</f>
        <v>0.64</v>
      </c>
      <c r="GM9" s="895">
        <f>ROUND(GM7/GM8,2)</f>
        <v>0.06</v>
      </c>
      <c r="GN9" s="900">
        <f>ROUND(GN7/GN8,0)</f>
        <v>18</v>
      </c>
      <c r="GO9" s="900">
        <f>ROUND(GO7/GO8,0)</f>
        <v>112</v>
      </c>
      <c r="GP9" s="900">
        <f t="shared" ref="GP9:GU9" si="147">ROUND(GP7/GP8,-2)</f>
        <v>32000</v>
      </c>
      <c r="GQ9" s="900">
        <f t="shared" si="147"/>
        <v>987400</v>
      </c>
      <c r="GR9" s="900">
        <f t="shared" si="147"/>
        <v>193200</v>
      </c>
      <c r="GS9" s="900">
        <f t="shared" si="147"/>
        <v>536000</v>
      </c>
      <c r="GT9" s="900">
        <f t="shared" si="147"/>
        <v>152600</v>
      </c>
      <c r="GU9" s="900">
        <f t="shared" si="147"/>
        <v>50000</v>
      </c>
      <c r="GV9" s="900">
        <f>ROUND(GV7/GV8,-2)</f>
        <v>211500</v>
      </c>
      <c r="GW9" s="912">
        <f>SUM(GQ9:GV9)</f>
        <v>2130700</v>
      </c>
      <c r="GX9" s="913">
        <f>IF(GW9=0,0,ROUND(GW9/GN9,-2))</f>
        <v>118400</v>
      </c>
      <c r="GY9" s="914">
        <f>IF(GW9=0,0,ROUND(GW9/GO9,-2))</f>
        <v>19000</v>
      </c>
      <c r="GZ9" s="915">
        <f t="shared" ref="GZ9:HE9" si="148">ROUND(GQ9/$GW9,3)</f>
        <v>0.46300000000000002</v>
      </c>
      <c r="HA9" s="915">
        <f t="shared" si="148"/>
        <v>9.0999999999999998E-2</v>
      </c>
      <c r="HB9" s="915">
        <f t="shared" si="148"/>
        <v>0.252</v>
      </c>
      <c r="HC9" s="915">
        <f>ROUND(GT9/$GW9,3)</f>
        <v>7.1999999999999995E-2</v>
      </c>
      <c r="HD9" s="915">
        <f t="shared" si="148"/>
        <v>2.3E-2</v>
      </c>
      <c r="HE9" s="915">
        <f t="shared" si="148"/>
        <v>9.9000000000000005E-2</v>
      </c>
      <c r="HF9" s="915">
        <f>SUM(GZ9:HE9)</f>
        <v>1</v>
      </c>
      <c r="HG9" s="900">
        <f>ROUND(HG7/HG8,0)</f>
        <v>40</v>
      </c>
      <c r="HH9" s="900">
        <f>ROUND(HH7/HH8,0)</f>
        <v>277</v>
      </c>
      <c r="HI9" s="900">
        <f t="shared" ref="HI9:HP9" si="149">ROUND(HI7/HI8,-2)</f>
        <v>62500</v>
      </c>
      <c r="HJ9" s="900">
        <f t="shared" si="149"/>
        <v>2028600</v>
      </c>
      <c r="HK9" s="900">
        <f t="shared" si="149"/>
        <v>351900</v>
      </c>
      <c r="HL9" s="900">
        <f t="shared" si="149"/>
        <v>1102100</v>
      </c>
      <c r="HM9" s="900">
        <f t="shared" si="149"/>
        <v>278100</v>
      </c>
      <c r="HN9" s="900">
        <f t="shared" si="149"/>
        <v>78700</v>
      </c>
      <c r="HO9" s="900">
        <f t="shared" si="149"/>
        <v>447300</v>
      </c>
      <c r="HP9" s="900">
        <f t="shared" si="149"/>
        <v>4286800</v>
      </c>
      <c r="HQ9" s="913">
        <f>ROUND(HP9/HG9,-2)</f>
        <v>107200</v>
      </c>
      <c r="HR9" s="914">
        <f>IF(HP9=0,0,ROUND(HP9/HH9,-1))</f>
        <v>15480</v>
      </c>
      <c r="HS9" s="915">
        <f t="shared" ref="HS9:HX9" si="150">ROUND(HJ9/$HP9,3)</f>
        <v>0.47299999999999998</v>
      </c>
      <c r="HT9" s="915">
        <f t="shared" si="150"/>
        <v>8.2000000000000003E-2</v>
      </c>
      <c r="HU9" s="915">
        <f t="shared" si="150"/>
        <v>0.25700000000000001</v>
      </c>
      <c r="HV9" s="915">
        <f t="shared" si="150"/>
        <v>6.5000000000000002E-2</v>
      </c>
      <c r="HW9" s="915">
        <f t="shared" si="150"/>
        <v>1.7999999999999999E-2</v>
      </c>
      <c r="HX9" s="915">
        <f t="shared" si="150"/>
        <v>0.104</v>
      </c>
      <c r="HY9" s="915">
        <f>SUM(HS9:HX9)</f>
        <v>0.999</v>
      </c>
      <c r="HZ9" s="51"/>
      <c r="IA9" s="906">
        <f>ROUND(Q9/S9,2)</f>
        <v>0.08</v>
      </c>
      <c r="IB9" s="906"/>
      <c r="IC9" s="892">
        <f>ROUND(IC7/IC8,2)</f>
        <v>0.94</v>
      </c>
      <c r="ID9" s="892"/>
      <c r="IE9" s="892">
        <f>ROUND(IE7/IE8,2)</f>
        <v>0.02</v>
      </c>
      <c r="IF9" s="892"/>
      <c r="IG9" s="894">
        <f>ROUND(IF(BI9=0,0,+IF(K9=0,0,BI9/K9)),-1)</f>
        <v>39150</v>
      </c>
      <c r="IH9" s="894">
        <f>ROUND(IF(BU9=0,0,+IF(K9=0,0,BU9/K9)),-1)</f>
        <v>39950</v>
      </c>
      <c r="II9" s="1219">
        <f>ROUND(II7/II8,1)</f>
        <v>1.7</v>
      </c>
      <c r="IJ9" s="1219">
        <f>ROUND(IJ7/IJ8,1)</f>
        <v>0.8</v>
      </c>
      <c r="IK9" s="892">
        <f>ROUND(IK7/IK8,2)</f>
        <v>0.33</v>
      </c>
      <c r="IL9" s="892">
        <f>ROUND(IL7/IL8,2)</f>
        <v>0.11</v>
      </c>
      <c r="IM9" s="892">
        <f>ROUND(IM7/IM8,2)</f>
        <v>0.35</v>
      </c>
      <c r="IN9" s="892">
        <f>ROUND(IN7/IN8,2)</f>
        <v>0</v>
      </c>
      <c r="IO9" s="920">
        <f>ROUND(FY9/$J9,-1)</f>
        <v>-2290</v>
      </c>
      <c r="IP9" s="1188">
        <f>IF(K9=0,0,ROUND(FY9/K9,-1))</f>
        <v>-2670</v>
      </c>
      <c r="IQ9" s="921">
        <f>IF(FY9=0,0,+IF(CD9=0,0,FY9/CD9))</f>
        <v>-0.19403848070979962</v>
      </c>
      <c r="IR9" s="922">
        <f>EY9</f>
        <v>2187500</v>
      </c>
      <c r="IS9" s="922">
        <f>FB9</f>
        <v>886600</v>
      </c>
      <c r="IT9" s="922">
        <f>FQ9</f>
        <v>2435400</v>
      </c>
      <c r="IU9" s="922">
        <f>FS9+FT9</f>
        <v>544300</v>
      </c>
      <c r="IV9" s="922">
        <f>FF9</f>
        <v>1515200</v>
      </c>
      <c r="IW9" s="922">
        <f>SUM(FU9:FW9)+FR9</f>
        <v>525600</v>
      </c>
      <c r="IX9" s="906">
        <f t="shared" ref="IX9:JC9" si="151">IF(IR9=0,0,ROUND(IR9/(SUM($IR9:$IS9)),3))</f>
        <v>0.71199999999999997</v>
      </c>
      <c r="IY9" s="906">
        <f t="shared" si="151"/>
        <v>0.28799999999999998</v>
      </c>
      <c r="IZ9" s="906">
        <f t="shared" si="151"/>
        <v>0.79200000000000004</v>
      </c>
      <c r="JA9" s="906">
        <f t="shared" si="151"/>
        <v>0.17699999999999999</v>
      </c>
      <c r="JB9" s="906">
        <f t="shared" si="151"/>
        <v>0.49299999999999999</v>
      </c>
      <c r="JC9" s="906">
        <f t="shared" si="151"/>
        <v>0.17100000000000001</v>
      </c>
      <c r="JD9" s="923">
        <f>CD9+CE9+CF9</f>
        <v>10087000</v>
      </c>
      <c r="JE9" s="923">
        <f>BZ9+CA9+CB9+CC9</f>
        <v>2713000</v>
      </c>
      <c r="JF9" s="923">
        <f>JD9+JE9+CG9+CH9+CI9-CJ9</f>
        <v>0</v>
      </c>
      <c r="JG9" s="923">
        <f>CZ9+DA9</f>
        <v>664000</v>
      </c>
      <c r="JH9" s="924">
        <f t="shared" ref="JH9:JQ9" si="152">ROUND(JH7/JH8,2)</f>
        <v>0.52</v>
      </c>
      <c r="JI9" s="924">
        <f t="shared" si="152"/>
        <v>0.84</v>
      </c>
      <c r="JJ9" s="924">
        <f t="shared" si="152"/>
        <v>0.75</v>
      </c>
      <c r="JK9" s="924">
        <f t="shared" si="152"/>
        <v>0.52</v>
      </c>
      <c r="JL9" s="924">
        <f t="shared" si="152"/>
        <v>0.09</v>
      </c>
      <c r="JM9" s="924">
        <f t="shared" si="152"/>
        <v>0.03</v>
      </c>
      <c r="JN9" s="924">
        <f t="shared" si="152"/>
        <v>0.33</v>
      </c>
      <c r="JO9" s="924">
        <f t="shared" si="152"/>
        <v>0.02</v>
      </c>
      <c r="JP9" s="924">
        <f t="shared" si="152"/>
        <v>0.03</v>
      </c>
      <c r="JQ9" s="924">
        <f t="shared" si="152"/>
        <v>1</v>
      </c>
      <c r="JR9" s="905">
        <f t="shared" ref="JR9:JW9" si="153">ROUND(GQ9/$GN9,-2)</f>
        <v>54900</v>
      </c>
      <c r="JS9" s="905">
        <f t="shared" si="153"/>
        <v>10700</v>
      </c>
      <c r="JT9" s="905">
        <f t="shared" si="153"/>
        <v>29800</v>
      </c>
      <c r="JU9" s="905">
        <f t="shared" si="153"/>
        <v>8500</v>
      </c>
      <c r="JV9" s="905">
        <f t="shared" si="153"/>
        <v>2800</v>
      </c>
      <c r="JW9" s="905">
        <f t="shared" si="153"/>
        <v>11800</v>
      </c>
      <c r="JX9" s="905">
        <f>GW9/GP9</f>
        <v>66.584374999999994</v>
      </c>
      <c r="JY9" s="925">
        <f>ROUND(JY7/JY8,2)</f>
        <v>0.22</v>
      </c>
      <c r="JZ9" s="905">
        <f t="shared" ref="JZ9:KE9" si="154">ROUND(HJ9/$HG9,-2)</f>
        <v>50700</v>
      </c>
      <c r="KA9" s="905">
        <f t="shared" si="154"/>
        <v>8800</v>
      </c>
      <c r="KB9" s="905">
        <f t="shared" si="154"/>
        <v>27600</v>
      </c>
      <c r="KC9" s="905">
        <f t="shared" si="154"/>
        <v>7000</v>
      </c>
      <c r="KD9" s="905">
        <f t="shared" si="154"/>
        <v>2000</v>
      </c>
      <c r="KE9" s="905">
        <f t="shared" si="154"/>
        <v>11200</v>
      </c>
      <c r="KF9" s="905">
        <f>ROUND(HI9/HG9*18,-2)</f>
        <v>28100</v>
      </c>
      <c r="KG9" s="905">
        <f>ROUND(HH9/HG9*36,0)</f>
        <v>249</v>
      </c>
      <c r="KH9" s="905">
        <f>ROUND(HP9/HI9,0)</f>
        <v>69</v>
      </c>
      <c r="KI9" s="925">
        <f>ROUND(KI7/KI8,2)</f>
        <v>0.21</v>
      </c>
      <c r="KJ9" s="894">
        <f>ROUND(KJ7/KJ8,0)</f>
        <v>27</v>
      </c>
      <c r="KK9" s="894">
        <f>ROUND(KK7/KK8,-2)</f>
        <v>44600</v>
      </c>
      <c r="KL9" s="894">
        <f>ROUND(KL7/KL8,-1)</f>
        <v>180</v>
      </c>
      <c r="KM9" s="894">
        <f>ROUND(KM7/KM8,-2)</f>
        <v>113000</v>
      </c>
      <c r="KN9" s="894">
        <f>ROUND(KN7/KN8,0)</f>
        <v>80</v>
      </c>
      <c r="KO9" s="894">
        <f t="shared" ref="KO9:KT9" si="155">ROUND(KO7/KO8,-2)</f>
        <v>18700</v>
      </c>
      <c r="KP9" s="894">
        <f t="shared" si="155"/>
        <v>1417900</v>
      </c>
      <c r="KQ9" s="894">
        <f t="shared" si="155"/>
        <v>258800</v>
      </c>
      <c r="KR9" s="894">
        <f t="shared" si="155"/>
        <v>770100</v>
      </c>
      <c r="KS9" s="894">
        <f t="shared" si="155"/>
        <v>204500</v>
      </c>
      <c r="KT9" s="894">
        <f t="shared" si="155"/>
        <v>131300</v>
      </c>
      <c r="KU9" s="894">
        <f>ROUND(KU7/KU8,-2)</f>
        <v>309000</v>
      </c>
      <c r="KV9" s="896">
        <f>ROUND(KV7/KV8,3)</f>
        <v>0.216</v>
      </c>
      <c r="KW9" s="926">
        <f>ROUND(KW7/KW8,3)</f>
        <v>-0.32500000000000001</v>
      </c>
      <c r="KX9" s="108"/>
      <c r="KY9" s="421"/>
      <c r="KZ9" s="421"/>
      <c r="LA9" s="421"/>
      <c r="LB9" s="421"/>
      <c r="LQ9" s="421"/>
      <c r="LR9" s="421"/>
      <c r="LS9" s="421"/>
      <c r="LT9" s="282"/>
      <c r="LU9" s="282"/>
      <c r="LV9" s="282"/>
      <c r="LW9" s="282"/>
      <c r="LX9" s="282"/>
      <c r="LY9" s="282"/>
      <c r="LZ9" s="282"/>
      <c r="MA9" s="282"/>
      <c r="MB9" s="282"/>
      <c r="MC9" s="282"/>
      <c r="MD9" s="282"/>
      <c r="ME9" s="282"/>
      <c r="MF9" s="282"/>
      <c r="MG9" s="282"/>
      <c r="MH9" s="282"/>
      <c r="MI9" s="282"/>
      <c r="MJ9" s="282"/>
      <c r="MK9" s="282"/>
      <c r="ML9" s="282"/>
      <c r="MM9" s="1232"/>
      <c r="MN9" s="1232"/>
      <c r="MO9" s="1232"/>
      <c r="MP9" s="1232"/>
      <c r="MS9" s="421"/>
      <c r="MT9" s="421"/>
      <c r="MU9" s="421"/>
      <c r="MV9" s="421"/>
      <c r="MW9" s="421"/>
      <c r="MX9" s="421"/>
      <c r="MY9" s="421"/>
      <c r="MZ9" s="421"/>
      <c r="NA9" s="421"/>
      <c r="NB9" s="421"/>
      <c r="NC9" s="421"/>
      <c r="ND9" s="421"/>
      <c r="NE9" s="421"/>
      <c r="NF9" s="421"/>
      <c r="NG9" s="421"/>
      <c r="NH9" s="421"/>
      <c r="NI9" s="421"/>
      <c r="NJ9" s="421"/>
      <c r="NK9" s="421"/>
      <c r="NL9" s="421"/>
      <c r="OQ9" s="282"/>
      <c r="OR9" s="282"/>
      <c r="OS9" s="282"/>
      <c r="OT9" s="282"/>
      <c r="OU9" s="282"/>
      <c r="OV9" s="282"/>
      <c r="OW9" s="282"/>
      <c r="OX9" s="282"/>
      <c r="OY9" s="282"/>
      <c r="OZ9" s="282"/>
      <c r="PA9" s="282"/>
      <c r="PB9" s="282"/>
      <c r="PC9" s="282"/>
      <c r="PD9" s="282"/>
      <c r="PE9" s="282"/>
      <c r="PF9" s="282"/>
      <c r="PG9" s="282"/>
      <c r="PH9" s="282"/>
      <c r="PI9" s="282"/>
      <c r="PJ9" s="282"/>
      <c r="PK9" s="282"/>
      <c r="PL9" s="282"/>
      <c r="PM9" s="282"/>
    </row>
    <row r="10" spans="1:429" ht="15.6" hidden="1" outlineLevel="2">
      <c r="A10" s="2057"/>
      <c r="B10" s="571" t="s">
        <v>647</v>
      </c>
      <c r="C10" s="606">
        <v>0.25</v>
      </c>
      <c r="D10" s="571"/>
      <c r="E10" s="1530"/>
      <c r="F10" s="572"/>
      <c r="G10" s="572"/>
      <c r="H10" s="104"/>
      <c r="I10" s="104"/>
      <c r="J10" s="104">
        <f t="array" ref="J10">PERCENTILE(IF((($B$57:$B$95&lt;&gt;"Yacht &amp; Beach")*(J$57:J$95&lt;&gt;0)),J$57:J$95),$C10)</f>
        <v>465</v>
      </c>
      <c r="K10" s="831"/>
      <c r="L10" s="1086"/>
      <c r="M10" s="1086"/>
      <c r="N10" s="1086"/>
      <c r="O10" s="1086"/>
      <c r="P10" s="1086"/>
      <c r="Q10" s="104"/>
      <c r="R10" s="104"/>
      <c r="S10" s="104">
        <f t="array" ref="S10">PERCENTILE(IF((($B$57:$B$95&lt;&gt;"Yacht &amp; Beach")*(S$57:S$95&lt;&gt;0)),S$57:S$95),$C10)</f>
        <v>42500</v>
      </c>
      <c r="T10" s="1070"/>
      <c r="U10" s="1070"/>
      <c r="V10" s="1070"/>
      <c r="W10" s="104">
        <f t="array" ref="W10">PERCENTILE(IF((($B$57:$B$95&lt;&gt;"Yacht &amp; Beach")*(W$57:W$95&lt;&gt;0)),W$57:W$95),$C10)</f>
        <v>11312</v>
      </c>
      <c r="X10" s="104"/>
      <c r="Y10" s="1070"/>
      <c r="Z10" s="1070"/>
      <c r="AA10" s="104"/>
      <c r="AB10" s="104"/>
      <c r="AC10" s="1070"/>
      <c r="AD10" s="1105"/>
      <c r="AE10" s="104"/>
      <c r="AF10" s="104"/>
      <c r="AG10" s="1070"/>
      <c r="AH10" s="573"/>
      <c r="AI10" s="104"/>
      <c r="AJ10" s="1070"/>
      <c r="AK10" s="573"/>
      <c r="AL10" s="104"/>
      <c r="AM10" s="104"/>
      <c r="AN10" s="1070"/>
      <c r="AO10" s="104"/>
      <c r="AP10" s="104"/>
      <c r="AQ10" s="104">
        <f t="array" ref="AQ10">PERCENTILE(IF((($B$57:$B$95&lt;&gt;"Yacht &amp; Beach")*(AQ$57:AQ$95&lt;&gt;0)),AQ$57:AQ$95),$C10)</f>
        <v>14040</v>
      </c>
      <c r="AR10" s="104" t="e">
        <f t="array" ref="AR10">PERCENTILE(IF((($B$57:$B$95&lt;&gt;"Yacht &amp; Beach")*(AR$57:AR$95&lt;&gt;0)),AR$57:AR$95),$C10)</f>
        <v>#NUM!</v>
      </c>
      <c r="AS10" s="1105"/>
      <c r="AT10" s="1105"/>
      <c r="AU10" s="1105"/>
      <c r="AV10" s="1105"/>
      <c r="AW10" s="1105"/>
      <c r="AX10" s="573"/>
      <c r="AY10" s="573"/>
      <c r="AZ10" s="573"/>
      <c r="BA10" s="573"/>
      <c r="BB10" s="573"/>
      <c r="BC10" s="573"/>
      <c r="BD10" s="573"/>
      <c r="BE10" s="572"/>
      <c r="BF10" s="104"/>
      <c r="BG10" s="104"/>
      <c r="BH10" s="104"/>
      <c r="BI10" s="1267"/>
      <c r="BJ10" s="104"/>
      <c r="BK10" s="104"/>
      <c r="BL10" s="572"/>
      <c r="BM10" s="572"/>
      <c r="BN10" s="104"/>
      <c r="BO10" s="1105"/>
      <c r="BP10" s="104"/>
      <c r="BQ10" s="104"/>
      <c r="BR10" s="104"/>
      <c r="BS10" s="572"/>
      <c r="BT10" s="104"/>
      <c r="BU10" s="104"/>
      <c r="BV10" s="104"/>
      <c r="BW10" s="831">
        <f t="array" ref="BW10">PERCENTILE(IF((($B$57:$B$95&lt;&gt;"Yacht &amp; Beach")*(BW$57:BW$95&lt;&gt;0)),BW$57:BW$95),$C10)</f>
        <v>1584.073044568469</v>
      </c>
      <c r="BX10" s="831"/>
      <c r="BY10" s="831"/>
      <c r="BZ10" s="104"/>
      <c r="CA10" s="104"/>
      <c r="CB10" s="104"/>
      <c r="CC10" s="104"/>
      <c r="CD10" s="104"/>
      <c r="CE10" s="104"/>
      <c r="CF10" s="104"/>
      <c r="CG10" s="104"/>
      <c r="CH10" s="104"/>
      <c r="CI10" s="104"/>
      <c r="CJ10" s="104">
        <f t="array" ref="CJ10">PERCENTILE(IF((($B$57:$B$95&lt;&gt;"Yacht &amp; Beach")*(CJ$57:CJ$95&lt;&gt;0)),CJ$57:CJ$95),$C10)</f>
        <v>8541107</v>
      </c>
      <c r="CK10" s="575"/>
      <c r="CL10" s="575"/>
      <c r="CM10" s="575"/>
      <c r="CN10" s="575"/>
      <c r="CO10" s="575"/>
      <c r="CP10" s="575"/>
      <c r="CQ10" s="575"/>
      <c r="CR10" s="575"/>
      <c r="CS10" s="575"/>
      <c r="CT10" s="575"/>
      <c r="CU10" s="575"/>
      <c r="CV10" s="104"/>
      <c r="CW10" s="104"/>
      <c r="CX10" s="104"/>
      <c r="CY10" s="104"/>
      <c r="CZ10" s="104"/>
      <c r="DA10" s="104"/>
      <c r="DB10" s="104"/>
      <c r="DC10" s="575"/>
      <c r="DD10" s="575"/>
      <c r="DE10" s="575"/>
      <c r="DF10" s="575"/>
      <c r="DG10" s="575"/>
      <c r="DH10" s="575"/>
      <c r="DI10" s="575"/>
      <c r="DJ10" s="290"/>
      <c r="DK10" s="832"/>
      <c r="DL10" s="832"/>
      <c r="DM10" s="832"/>
      <c r="DN10" s="832"/>
      <c r="DO10" s="832"/>
      <c r="DP10" s="832"/>
      <c r="DQ10" s="832"/>
      <c r="DR10" s="832"/>
      <c r="DS10" s="832"/>
      <c r="DT10" s="832"/>
      <c r="DU10" s="832"/>
      <c r="DV10" s="832"/>
      <c r="DW10" s="832"/>
      <c r="DX10" s="832"/>
      <c r="DY10" s="832"/>
      <c r="DZ10" s="832"/>
      <c r="EA10" s="832"/>
      <c r="EB10" s="832"/>
      <c r="EC10" s="2103"/>
      <c r="ED10" s="574"/>
      <c r="EE10" s="572"/>
      <c r="EF10" s="104"/>
      <c r="EG10" s="104"/>
      <c r="EH10" s="572"/>
      <c r="EI10" s="572"/>
      <c r="EJ10" s="833"/>
      <c r="EK10" s="573"/>
      <c r="EL10" s="104"/>
      <c r="EM10" s="572"/>
      <c r="EN10" s="572"/>
      <c r="EO10" s="573"/>
      <c r="EP10" s="574"/>
      <c r="EQ10" s="572"/>
      <c r="ER10" s="572"/>
      <c r="ES10" s="834"/>
      <c r="ET10" s="835"/>
      <c r="EU10" s="104"/>
      <c r="EV10" s="104"/>
      <c r="EW10" s="104"/>
      <c r="EX10" s="104"/>
      <c r="EY10" s="104"/>
      <c r="EZ10" s="104"/>
      <c r="FA10" s="104"/>
      <c r="FB10" s="104"/>
      <c r="FC10" s="104"/>
      <c r="FD10" s="577"/>
      <c r="FE10" s="104">
        <f t="array" ref="FE10">PERCENTILE(IF((($B$57:$B$95&lt;&gt;"Yacht &amp; Beach")*(FE$57:FE$95&lt;&gt;0)),FE$57:FE$95),$C10)</f>
        <v>1537208</v>
      </c>
      <c r="FF10" s="577"/>
      <c r="FG10" s="577"/>
      <c r="FH10" s="578"/>
      <c r="FI10" s="578"/>
      <c r="FJ10" s="578"/>
      <c r="FK10" s="578"/>
      <c r="FL10" s="578"/>
      <c r="FM10" s="578"/>
      <c r="FN10" s="578"/>
      <c r="FO10" s="578"/>
      <c r="FP10" s="578"/>
      <c r="FQ10" s="104"/>
      <c r="FR10" s="104"/>
      <c r="FS10" s="104"/>
      <c r="FT10" s="104"/>
      <c r="FU10" s="104"/>
      <c r="FV10" s="104"/>
      <c r="FW10" s="104"/>
      <c r="FX10" s="579"/>
      <c r="FY10" s="742">
        <f t="array" ref="FY10">PERCENTILE(IF((($B$57:$B$95&lt;&gt;"Yacht &amp; Beach")*(FY$57:FY$95&lt;&gt;0)),FY$57:FY$95),$C10)</f>
        <v>-2563644</v>
      </c>
      <c r="FZ10" s="580"/>
      <c r="GA10" s="580"/>
      <c r="GB10" s="580"/>
      <c r="GC10" s="580"/>
      <c r="GD10" s="580"/>
      <c r="GE10" s="580"/>
      <c r="GF10" s="580"/>
      <c r="GG10" s="580"/>
      <c r="GH10" s="575">
        <f t="array" ref="GH10">PERCENTILE(IF((($B$57:$B$95&lt;&gt;"Yacht &amp; Beach")*(GH$57:GH$95&lt;&gt;0)),GH$57:GH$95),$C10)</f>
        <v>-1.0988900378804556</v>
      </c>
      <c r="GI10" s="617">
        <f t="array" ref="GI10">PERCENTILE(IF((($B$57:$B$95&lt;&gt;"Yacht &amp; Beach")*(GI$57:GI$95&lt;&gt;0)),GI$57:GI$95),$C10)</f>
        <v>1.7474953517713072</v>
      </c>
      <c r="GJ10" s="572"/>
      <c r="GK10" s="572"/>
      <c r="GL10" s="572"/>
      <c r="GM10" s="572"/>
      <c r="GN10" s="104"/>
      <c r="GO10" s="574"/>
      <c r="GP10" s="574"/>
      <c r="GQ10" s="104"/>
      <c r="GR10" s="104"/>
      <c r="GS10" s="104"/>
      <c r="GT10" s="104"/>
      <c r="GU10" s="104"/>
      <c r="GV10" s="104"/>
      <c r="GW10" s="104"/>
      <c r="GX10" s="104">
        <f t="array" ref="GX10">PERCENTILE(IF((($B$57:$B$95&lt;&gt;"Yacht &amp; Beach")*(GX$57:GX$95&lt;&gt;0)),GX$57:GX$95),$C10)</f>
        <v>110782.04166666667</v>
      </c>
      <c r="GY10" s="574"/>
      <c r="GZ10" s="575"/>
      <c r="HA10" s="575"/>
      <c r="HB10" s="575"/>
      <c r="HC10" s="575"/>
      <c r="HD10" s="575"/>
      <c r="HE10" s="575"/>
      <c r="HF10" s="575"/>
      <c r="HG10" s="104"/>
      <c r="HH10" s="104"/>
      <c r="HI10" s="104"/>
      <c r="HJ10" s="104"/>
      <c r="HK10" s="104"/>
      <c r="HL10" s="104"/>
      <c r="HM10" s="104"/>
      <c r="HN10" s="104"/>
      <c r="HO10" s="104"/>
      <c r="HP10" s="104"/>
      <c r="HQ10" s="104">
        <f t="array" ref="HQ10">PERCENTILE(IF((($B$57:$B$95&lt;&gt;"Yacht &amp; Beach")*(HQ$57:HQ$95&lt;&gt;0)),HQ$57:HQ$95),$C10)</f>
        <v>96298.277777777781</v>
      </c>
      <c r="HR10" s="574"/>
      <c r="HS10" s="575"/>
      <c r="HT10" s="575"/>
      <c r="HU10" s="575"/>
      <c r="HV10" s="575"/>
      <c r="HW10" s="575"/>
      <c r="HX10" s="575"/>
      <c r="HY10" s="575"/>
      <c r="HZ10" s="51"/>
      <c r="IA10" s="581"/>
      <c r="IB10" s="581"/>
      <c r="IC10" s="582"/>
      <c r="ID10" s="582"/>
      <c r="IE10" s="583"/>
      <c r="IF10" s="583"/>
      <c r="IG10" s="831"/>
      <c r="IH10" s="831"/>
      <c r="II10" s="104"/>
      <c r="IJ10" s="104"/>
      <c r="IK10" s="583"/>
      <c r="IL10" s="582"/>
      <c r="IM10" s="583"/>
      <c r="IN10" s="583"/>
      <c r="IO10" s="858">
        <f t="array" ref="IO10">PERCENTILE(IF((($B$57:$B$95&lt;&gt;"Yacht &amp; Beach")*(IO$57:IO$95&lt;&gt;0)),IO$57:IO$95),$C10)</f>
        <v>-4315.6801968019681</v>
      </c>
      <c r="IP10" s="851">
        <f t="array" ref="IP10">PERCENTILE(IF((($B$57:$B$95&lt;&gt;"Yacht &amp; Beach")*(IP$57:IP$95&lt;&gt;0)),IP$57:IP$95),$C10)</f>
        <v>-4542.4386271203066</v>
      </c>
      <c r="IQ10" s="859">
        <f t="array" ref="IQ10">PERCENTILE(IF((($B$57:$B$95&lt;&gt;"Yacht &amp; Beach")*(IQ$57:IQ$95&lt;&gt;0)),IQ$57:IQ$95),$C10)</f>
        <v>-0.25600968289568027</v>
      </c>
      <c r="IR10" s="290"/>
      <c r="IS10" s="290"/>
      <c r="IT10" s="290"/>
      <c r="IU10" s="290"/>
      <c r="IV10" s="290"/>
      <c r="IW10" s="290"/>
      <c r="IX10" s="575"/>
      <c r="IY10" s="575"/>
      <c r="IZ10" s="575"/>
      <c r="JA10" s="575"/>
      <c r="JB10" s="575"/>
      <c r="JC10" s="575"/>
      <c r="JD10" s="290"/>
      <c r="JE10" s="290"/>
      <c r="JF10" s="584"/>
      <c r="JG10" s="290"/>
      <c r="JH10" s="675"/>
      <c r="JI10" s="675"/>
      <c r="JJ10" s="675"/>
      <c r="JK10" s="675"/>
      <c r="JL10" s="675"/>
      <c r="JM10" s="675"/>
      <c r="JN10" s="675"/>
      <c r="JO10" s="675"/>
      <c r="JP10" s="675"/>
      <c r="JQ10" s="675"/>
      <c r="JR10" s="290"/>
      <c r="JS10" s="290"/>
      <c r="JT10" s="290"/>
      <c r="JU10" s="290"/>
      <c r="JV10" s="290"/>
      <c r="JW10" s="290"/>
      <c r="JX10" s="585"/>
      <c r="JY10" s="575">
        <f t="array" ref="JY10">PERCENTILE(IF((($B$57:$B$95&lt;&gt;"Yacht &amp; Beach")*(JY$57:JY$95&lt;&gt;0)),JY$57:JY$95),$C10)</f>
        <v>0.15182502599814218</v>
      </c>
      <c r="JZ10" s="290"/>
      <c r="KA10" s="290"/>
      <c r="KB10" s="290"/>
      <c r="KC10" s="290"/>
      <c r="KD10" s="290"/>
      <c r="KE10" s="290"/>
      <c r="KF10" s="585"/>
      <c r="KG10" s="585"/>
      <c r="KH10" s="585"/>
      <c r="KI10" s="575">
        <f t="array" ref="KI10">PERCENTILE(IF((($B$57:$B$95&lt;&gt;"Yacht &amp; Beach")*(KI$57:KI$95&lt;&gt;0)),KI$57:KI$95),$C10)</f>
        <v>0.12495504860177603</v>
      </c>
      <c r="KJ10" s="586"/>
      <c r="KK10" s="587"/>
      <c r="KL10" s="587"/>
      <c r="KM10" s="587"/>
      <c r="KN10" s="586"/>
      <c r="KO10" s="587"/>
      <c r="KP10" s="587"/>
      <c r="KQ10" s="587"/>
      <c r="KR10" s="587"/>
      <c r="KS10" s="587"/>
      <c r="KT10" s="587"/>
      <c r="KU10" s="587"/>
      <c r="KV10" s="587"/>
      <c r="KW10" s="587"/>
      <c r="KX10" s="108"/>
      <c r="KY10" s="421"/>
      <c r="KZ10" s="421"/>
      <c r="LA10" s="421"/>
      <c r="LB10" s="421"/>
      <c r="LQ10" s="421"/>
      <c r="LR10" s="421"/>
      <c r="LS10" s="421"/>
      <c r="LT10" s="282"/>
      <c r="LU10" s="282"/>
      <c r="LV10" s="282"/>
      <c r="LW10" s="282"/>
      <c r="LX10" s="282"/>
      <c r="LY10" s="282"/>
      <c r="LZ10" s="282"/>
      <c r="MA10" s="282"/>
      <c r="MB10" s="282"/>
      <c r="MC10" s="282"/>
      <c r="MD10" s="282"/>
      <c r="ME10" s="282"/>
      <c r="MF10" s="282"/>
      <c r="MG10" s="282"/>
      <c r="MH10" s="282"/>
      <c r="MI10" s="282"/>
      <c r="MJ10" s="282"/>
      <c r="MK10" s="282"/>
      <c r="ML10" s="282"/>
      <c r="MM10" s="1232"/>
      <c r="MN10" s="1232"/>
      <c r="MO10" s="1232"/>
      <c r="MP10" s="1232"/>
      <c r="MS10" s="421"/>
      <c r="MT10" s="421"/>
      <c r="MU10" s="421"/>
      <c r="MV10" s="421"/>
      <c r="MW10" s="421"/>
      <c r="MX10" s="421"/>
      <c r="MY10" s="421"/>
      <c r="MZ10" s="421"/>
      <c r="NA10" s="421"/>
      <c r="NB10" s="421"/>
      <c r="NC10" s="421"/>
      <c r="ND10" s="421"/>
      <c r="NE10" s="421"/>
      <c r="NF10" s="421"/>
      <c r="NG10" s="421"/>
      <c r="NH10" s="421"/>
      <c r="NI10" s="421"/>
      <c r="NJ10" s="421"/>
      <c r="NK10" s="421"/>
      <c r="NL10" s="421"/>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row>
    <row r="11" spans="1:429" ht="20.399999999999999" hidden="1" outlineLevel="2">
      <c r="A11" s="2057"/>
      <c r="B11" s="571"/>
      <c r="C11" s="606">
        <v>0.5</v>
      </c>
      <c r="D11" s="571"/>
      <c r="E11" s="1530"/>
      <c r="F11" s="572"/>
      <c r="G11" s="572"/>
      <c r="H11" s="104"/>
      <c r="I11" s="104"/>
      <c r="J11" s="104">
        <f t="array" ref="J11">PERCENTILE(IF((($B$57:$B$95&lt;&gt;"Yacht &amp; Beach")*(J$57:J$95&lt;&gt;0)),J$57:J$95),$C11)</f>
        <v>701</v>
      </c>
      <c r="K11" s="831"/>
      <c r="L11" s="1086"/>
      <c r="M11" s="1086"/>
      <c r="N11" s="1086"/>
      <c r="O11" s="1086"/>
      <c r="P11" s="1086"/>
      <c r="Q11" s="104"/>
      <c r="R11" s="104"/>
      <c r="S11" s="104">
        <f t="array" ref="S11">PERCENTILE(IF((($B$57:$B$95&lt;&gt;"Yacht &amp; Beach")*(S$57:S$95&lt;&gt;0)),S$57:S$95),$C11)</f>
        <v>90000</v>
      </c>
      <c r="T11" s="1070"/>
      <c r="U11" s="1070"/>
      <c r="V11" s="1070"/>
      <c r="W11" s="104">
        <f t="array" ref="W11">PERCENTILE(IF((($B$57:$B$95&lt;&gt;"Yacht &amp; Beach")*(W$57:W$95&lt;&gt;0)),W$57:W$95),$C11)</f>
        <v>17360</v>
      </c>
      <c r="X11" s="104"/>
      <c r="Y11" s="1070"/>
      <c r="Z11" s="1070"/>
      <c r="AA11" s="104"/>
      <c r="AB11" s="104"/>
      <c r="AC11" s="1070"/>
      <c r="AD11" s="1105"/>
      <c r="AE11" s="104"/>
      <c r="AF11" s="104"/>
      <c r="AG11" s="1070"/>
      <c r="AH11" s="573"/>
      <c r="AI11" s="104"/>
      <c r="AJ11" s="1070"/>
      <c r="AK11" s="573"/>
      <c r="AL11" s="104"/>
      <c r="AM11" s="104"/>
      <c r="AN11" s="1070"/>
      <c r="AO11" s="104"/>
      <c r="AP11" s="104"/>
      <c r="AQ11" s="104">
        <f t="array" ref="AQ11">PERCENTILE(IF((($B$57:$B$95&lt;&gt;"Yacht &amp; Beach")*(AQ$57:AQ$95&lt;&gt;0)),AQ$57:AQ$95),$C11)</f>
        <v>19010</v>
      </c>
      <c r="AR11" s="104" t="e">
        <f t="array" ref="AR11">PERCENTILE(IF((($B$57:$B$95&lt;&gt;"Yacht &amp; Beach")*(AR$57:AR$95&lt;&gt;0)),AR$57:AR$95),$C11)</f>
        <v>#NUM!</v>
      </c>
      <c r="AS11" s="1105"/>
      <c r="AT11" s="1105"/>
      <c r="AU11" s="1105"/>
      <c r="AV11" s="1105"/>
      <c r="AW11" s="1105"/>
      <c r="AX11" s="573"/>
      <c r="AY11" s="573"/>
      <c r="AZ11" s="573"/>
      <c r="BA11" s="573"/>
      <c r="BB11" s="573"/>
      <c r="BC11" s="573"/>
      <c r="BD11" s="573"/>
      <c r="BE11" s="572"/>
      <c r="BF11" s="104"/>
      <c r="BG11" s="104"/>
      <c r="BH11" s="104"/>
      <c r="BI11" s="1267"/>
      <c r="BJ11" s="104"/>
      <c r="BK11" s="104"/>
      <c r="BL11" s="572"/>
      <c r="BM11" s="572"/>
      <c r="BN11" s="104"/>
      <c r="BO11" s="1105"/>
      <c r="BP11" s="104"/>
      <c r="BQ11" s="104"/>
      <c r="BR11" s="104"/>
      <c r="BS11" s="572"/>
      <c r="BT11" s="104"/>
      <c r="BU11" s="104"/>
      <c r="BV11" s="104"/>
      <c r="BW11" s="831">
        <f t="array" ref="BW11">PERCENTILE(IF((($B$57:$B$95&lt;&gt;"Yacht &amp; Beach")*(BW$57:BW$95&lt;&gt;0)),BW$57:BW$95),$C11)</f>
        <v>9082.0656875097393</v>
      </c>
      <c r="BX11" s="831"/>
      <c r="BY11" s="831"/>
      <c r="BZ11" s="104"/>
      <c r="CA11" s="104"/>
      <c r="CB11" s="104"/>
      <c r="CC11" s="104"/>
      <c r="CD11" s="104"/>
      <c r="CE11" s="104"/>
      <c r="CF11" s="104"/>
      <c r="CG11" s="104"/>
      <c r="CH11" s="104"/>
      <c r="CI11" s="104"/>
      <c r="CJ11" s="104">
        <f t="array" ref="CJ11">PERCENTILE(IF((($B$57:$B$95&lt;&gt;"Yacht &amp; Beach")*(CJ$57:CJ$95&lt;&gt;0)),CJ$57:CJ$95),$C11)</f>
        <v>11926650</v>
      </c>
      <c r="CK11" s="575"/>
      <c r="CL11" s="575"/>
      <c r="CM11" s="575"/>
      <c r="CN11" s="575"/>
      <c r="CO11" s="575"/>
      <c r="CP11" s="575"/>
      <c r="CQ11" s="575"/>
      <c r="CR11" s="575"/>
      <c r="CS11" s="575"/>
      <c r="CT11" s="575"/>
      <c r="CU11" s="575"/>
      <c r="CV11" s="104"/>
      <c r="CW11" s="104"/>
      <c r="CX11" s="104"/>
      <c r="CY11" s="104"/>
      <c r="CZ11" s="104"/>
      <c r="DA11" s="104"/>
      <c r="DB11" s="104"/>
      <c r="DC11" s="575"/>
      <c r="DD11" s="575"/>
      <c r="DE11" s="575"/>
      <c r="DF11" s="575"/>
      <c r="DG11" s="575"/>
      <c r="DH11" s="575"/>
      <c r="DI11" s="575"/>
      <c r="DJ11" s="290"/>
      <c r="DK11" s="832"/>
      <c r="DL11" s="832"/>
      <c r="DM11" s="832"/>
      <c r="DN11" s="832"/>
      <c r="DO11" s="832"/>
      <c r="DP11" s="832"/>
      <c r="DQ11" s="832"/>
      <c r="DR11" s="832"/>
      <c r="DS11" s="832"/>
      <c r="DT11" s="832"/>
      <c r="DU11" s="832"/>
      <c r="DV11" s="832"/>
      <c r="DW11" s="832"/>
      <c r="DX11" s="832"/>
      <c r="DY11" s="832"/>
      <c r="DZ11" s="832"/>
      <c r="EA11" s="832"/>
      <c r="EB11" s="832"/>
      <c r="EC11" s="2103"/>
      <c r="ED11" s="574"/>
      <c r="EE11" s="572"/>
      <c r="EF11" s="104"/>
      <c r="EG11" s="104"/>
      <c r="EH11" s="572"/>
      <c r="EI11" s="572"/>
      <c r="EJ11" s="833"/>
      <c r="EK11" s="573"/>
      <c r="EL11" s="104"/>
      <c r="EM11" s="572"/>
      <c r="EN11" s="572"/>
      <c r="EO11" s="573"/>
      <c r="EP11" s="574"/>
      <c r="EQ11" s="572"/>
      <c r="ER11" s="572"/>
      <c r="ES11" s="834"/>
      <c r="ET11" s="835"/>
      <c r="EU11" s="104"/>
      <c r="EV11" s="104"/>
      <c r="EW11" s="104"/>
      <c r="EX11" s="104"/>
      <c r="EY11" s="104"/>
      <c r="EZ11" s="104"/>
      <c r="FA11" s="104"/>
      <c r="FB11" s="104"/>
      <c r="FC11" s="104"/>
      <c r="FD11" s="577"/>
      <c r="FE11" s="104">
        <f t="array" ref="FE11">PERCENTILE(IF((($B$57:$B$95&lt;&gt;"Yacht &amp; Beach")*(FE$57:FE$95&lt;&gt;0)),FE$57:FE$95),$C11)</f>
        <v>2060346</v>
      </c>
      <c r="FF11" s="577"/>
      <c r="FG11" s="577"/>
      <c r="FH11" s="578"/>
      <c r="FI11" s="578"/>
      <c r="FJ11" s="578"/>
      <c r="FK11" s="578"/>
      <c r="FL11" s="578"/>
      <c r="FM11" s="578"/>
      <c r="FN11" s="578"/>
      <c r="FO11" s="578"/>
      <c r="FP11" s="578"/>
      <c r="FQ11" s="104"/>
      <c r="FR11" s="104"/>
      <c r="FS11" s="104"/>
      <c r="FT11" s="104"/>
      <c r="FU11" s="104"/>
      <c r="FV11" s="104"/>
      <c r="FW11" s="104"/>
      <c r="FX11" s="579"/>
      <c r="FY11" s="742">
        <f t="array" ref="FY11">PERCENTILE(IF((($B$57:$B$95&lt;&gt;"Yacht &amp; Beach")*(FY$57:FY$95&lt;&gt;0)),FY$57:FY$95),$C11)</f>
        <v>-1044868</v>
      </c>
      <c r="FZ11" s="580"/>
      <c r="GA11" s="580"/>
      <c r="GB11" s="580"/>
      <c r="GC11" s="580"/>
      <c r="GD11" s="580"/>
      <c r="GE11" s="580"/>
      <c r="GF11" s="580"/>
      <c r="GG11" s="580"/>
      <c r="GH11" s="575">
        <f t="array" ref="GH11">PERCENTILE(IF((($B$57:$B$95&lt;&gt;"Yacht &amp; Beach")*(GH$57:GH$95&lt;&gt;0)),GH$57:GH$95),$C11)</f>
        <v>-0.57299030178442678</v>
      </c>
      <c r="GI11" s="617">
        <f t="array" ref="GI11">PERCENTILE(IF((($B$57:$B$95&lt;&gt;"Yacht &amp; Beach")*(GI$57:GI$95&lt;&gt;0)),GI$57:GI$95),$C11)</f>
        <v>2.1984022944064323</v>
      </c>
      <c r="GJ11" s="572"/>
      <c r="GK11" s="572"/>
      <c r="GL11" s="572"/>
      <c r="GM11" s="572"/>
      <c r="GN11" s="104"/>
      <c r="GO11" s="574"/>
      <c r="GP11" s="574"/>
      <c r="GQ11" s="104"/>
      <c r="GR11" s="104"/>
      <c r="GS11" s="104"/>
      <c r="GT11" s="104"/>
      <c r="GU11" s="104"/>
      <c r="GV11" s="104"/>
      <c r="GW11" s="104"/>
      <c r="GX11" s="104">
        <f t="array" ref="GX11">PERCENTILE(IF((($B$57:$B$95&lt;&gt;"Yacht &amp; Beach")*(GX$57:GX$95&lt;&gt;0)),GX$57:GX$95),$C11)</f>
        <v>117608.38888888889</v>
      </c>
      <c r="GY11" s="574"/>
      <c r="GZ11" s="575"/>
      <c r="HA11" s="575"/>
      <c r="HB11" s="575"/>
      <c r="HC11" s="575"/>
      <c r="HD11" s="575"/>
      <c r="HE11" s="575"/>
      <c r="HF11" s="575"/>
      <c r="HG11" s="104"/>
      <c r="HH11" s="104"/>
      <c r="HI11" s="104"/>
      <c r="HJ11" s="104"/>
      <c r="HK11" s="104"/>
      <c r="HL11" s="104"/>
      <c r="HM11" s="104"/>
      <c r="HN11" s="104"/>
      <c r="HO11" s="104"/>
      <c r="HP11" s="104"/>
      <c r="HQ11" s="104">
        <f t="array" ref="HQ11">PERCENTILE(IF((($B$57:$B$95&lt;&gt;"Yacht &amp; Beach")*(HQ$57:HQ$95&lt;&gt;0)),HQ$57:HQ$95),$C11)</f>
        <v>102525.77777777778</v>
      </c>
      <c r="HR11" s="574"/>
      <c r="HS11" s="575"/>
      <c r="HT11" s="575"/>
      <c r="HU11" s="575"/>
      <c r="HV11" s="575"/>
      <c r="HW11" s="575"/>
      <c r="HX11" s="575"/>
      <c r="HY11" s="575"/>
      <c r="HZ11" s="51"/>
      <c r="IA11" s="581"/>
      <c r="IB11" s="581"/>
      <c r="IC11" s="582"/>
      <c r="ID11" s="582"/>
      <c r="IE11" s="583"/>
      <c r="IF11" s="583"/>
      <c r="IG11" s="831"/>
      <c r="IH11" s="831"/>
      <c r="II11" s="104"/>
      <c r="IJ11" s="104"/>
      <c r="IK11" s="583"/>
      <c r="IL11" s="582"/>
      <c r="IM11" s="583"/>
      <c r="IN11" s="583"/>
      <c r="IO11" s="858">
        <f t="array" ref="IO11">PERCENTILE(IF((($B$57:$B$95&lt;&gt;"Yacht &amp; Beach")*(IO$57:IO$95&lt;&gt;0)),IO$57:IO$95),$C11)</f>
        <v>-1690.8393351800555</v>
      </c>
      <c r="IP11" s="851">
        <f t="array" ref="IP11">PERCENTILE(IF((($B$57:$B$95&lt;&gt;"Yacht &amp; Beach")*(IP$57:IP$95&lt;&gt;0)),IP$57:IP$95),$C11)</f>
        <v>-2185.2162027442714</v>
      </c>
      <c r="IQ11" s="859">
        <f t="array" ref="IQ11">PERCENTILE(IF((($B$57:$B$95&lt;&gt;"Yacht &amp; Beach")*(IQ$57:IQ$95&lt;&gt;0)),IQ$57:IQ$95),$C11)</f>
        <v>-0.16191409036062418</v>
      </c>
      <c r="IR11" s="290"/>
      <c r="IS11" s="290"/>
      <c r="IT11" s="290"/>
      <c r="IU11" s="290"/>
      <c r="IV11" s="290"/>
      <c r="IW11" s="290"/>
      <c r="IX11" s="575"/>
      <c r="IY11" s="575"/>
      <c r="IZ11" s="575"/>
      <c r="JA11" s="575"/>
      <c r="JB11" s="575"/>
      <c r="JC11" s="575"/>
      <c r="JD11" s="290"/>
      <c r="JE11" s="290"/>
      <c r="JF11" s="584"/>
      <c r="JG11" s="290"/>
      <c r="JH11" s="675"/>
      <c r="JI11" s="675"/>
      <c r="JJ11" s="675"/>
      <c r="JK11" s="675"/>
      <c r="JL11" s="675"/>
      <c r="JM11" s="675"/>
      <c r="JN11" s="675"/>
      <c r="JO11" s="675"/>
      <c r="JP11" s="675"/>
      <c r="JQ11" s="675"/>
      <c r="JR11" s="290"/>
      <c r="JS11" s="290"/>
      <c r="JT11" s="290"/>
      <c r="JU11" s="290"/>
      <c r="JV11" s="290"/>
      <c r="JW11" s="290"/>
      <c r="JX11" s="585"/>
      <c r="JY11" s="575">
        <f t="array" ref="JY11">PERCENTILE(IF((($B$57:$B$95&lt;&gt;"Yacht &amp; Beach")*(JY$57:JY$95&lt;&gt;0)),JY$57:JY$95),$C11)</f>
        <v>0.20142536315001541</v>
      </c>
      <c r="JZ11" s="290"/>
      <c r="KA11" s="290"/>
      <c r="KB11" s="290"/>
      <c r="KC11" s="290"/>
      <c r="KD11" s="290"/>
      <c r="KE11" s="290"/>
      <c r="KF11" s="585"/>
      <c r="KG11" s="585"/>
      <c r="KH11" s="585"/>
      <c r="KI11" s="575">
        <f t="array" ref="KI11">PERCENTILE(IF((($B$57:$B$95&lt;&gt;"Yacht &amp; Beach")*(KI$57:KI$95&lt;&gt;0)),KI$57:KI$95),$C11)</f>
        <v>0.2275227457680411</v>
      </c>
      <c r="KJ11" s="586"/>
      <c r="KK11" s="587"/>
      <c r="KL11" s="587"/>
      <c r="KM11" s="587"/>
      <c r="KN11" s="586"/>
      <c r="KO11" s="587"/>
      <c r="KP11" s="587"/>
      <c r="KQ11" s="587"/>
      <c r="KR11" s="587"/>
      <c r="KS11" s="587"/>
      <c r="KT11" s="587"/>
      <c r="KU11" s="587"/>
      <c r="KV11" s="587"/>
      <c r="KW11" s="587"/>
      <c r="KX11" s="108"/>
      <c r="KY11" s="421"/>
      <c r="KZ11" s="421"/>
      <c r="LA11" s="421"/>
      <c r="LB11" s="421"/>
      <c r="LQ11" s="421"/>
      <c r="LR11" s="368"/>
      <c r="LS11" s="421"/>
      <c r="LT11" s="282"/>
      <c r="LU11" s="282"/>
      <c r="LV11" s="282"/>
      <c r="LW11" s="282"/>
      <c r="LX11" s="282"/>
      <c r="LY11" s="282"/>
      <c r="LZ11" s="282"/>
      <c r="MA11" s="282"/>
      <c r="MB11" s="282"/>
      <c r="MC11" s="282"/>
      <c r="MD11" s="282"/>
      <c r="ME11" s="282"/>
      <c r="MF11" s="282"/>
      <c r="MG11" s="282"/>
      <c r="MH11" s="282"/>
      <c r="MI11" s="282"/>
      <c r="MJ11" s="282"/>
      <c r="MK11" s="282"/>
      <c r="ML11" s="282"/>
      <c r="MM11" s="1232"/>
      <c r="MN11" s="1232"/>
      <c r="MO11" s="1232"/>
      <c r="MP11" s="1232"/>
      <c r="MS11" s="421"/>
      <c r="MT11" s="368"/>
      <c r="MU11" s="421"/>
      <c r="MV11" s="421"/>
      <c r="MW11" s="421"/>
      <c r="MX11" s="421"/>
      <c r="MY11" s="421"/>
      <c r="MZ11" s="421"/>
      <c r="NA11" s="421"/>
      <c r="NB11" s="421"/>
      <c r="NC11" s="421"/>
      <c r="ND11" s="421"/>
      <c r="NE11" s="421"/>
      <c r="NF11" s="421"/>
      <c r="NG11" s="421"/>
      <c r="NH11" s="421"/>
      <c r="NI11" s="421"/>
      <c r="NJ11" s="421"/>
      <c r="NK11" s="421"/>
      <c r="NL11" s="421"/>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row>
    <row r="12" spans="1:429" ht="16.2" hidden="1" outlineLevel="2" thickBot="1">
      <c r="A12" s="2057"/>
      <c r="B12" s="588"/>
      <c r="C12" s="607">
        <v>0.75</v>
      </c>
      <c r="D12" s="588"/>
      <c r="E12" s="1530"/>
      <c r="F12" s="589"/>
      <c r="G12" s="589"/>
      <c r="H12" s="590"/>
      <c r="I12" s="590"/>
      <c r="J12" s="590">
        <f t="array" ref="J12">PERCENTILE(IF((($B$57:$B$95&lt;&gt;"Yacht &amp; Beach")*(J$57:J$95&lt;&gt;0)),J$57:J$95),$C12)</f>
        <v>1133</v>
      </c>
      <c r="K12" s="836"/>
      <c r="L12" s="1087"/>
      <c r="M12" s="1087"/>
      <c r="N12" s="1087"/>
      <c r="O12" s="1087"/>
      <c r="P12" s="1087"/>
      <c r="Q12" s="590"/>
      <c r="R12" s="590"/>
      <c r="S12" s="590">
        <f t="array" ref="S12">PERCENTILE(IF((($B$57:$B$95&lt;&gt;"Yacht &amp; Beach")*(S$57:S$95&lt;&gt;0)),S$57:S$95),$C12)</f>
        <v>150000</v>
      </c>
      <c r="T12" s="1071"/>
      <c r="U12" s="1071"/>
      <c r="V12" s="1071"/>
      <c r="W12" s="590">
        <f t="array" ref="W12">PERCENTILE(IF((($B$57:$B$95&lt;&gt;"Yacht &amp; Beach")*(W$57:W$95&lt;&gt;0)),W$57:W$95),$C12)</f>
        <v>22200</v>
      </c>
      <c r="X12" s="590"/>
      <c r="Y12" s="1071"/>
      <c r="Z12" s="1071"/>
      <c r="AA12" s="590"/>
      <c r="AB12" s="590"/>
      <c r="AC12" s="1071"/>
      <c r="AD12" s="1106"/>
      <c r="AE12" s="590"/>
      <c r="AF12" s="590"/>
      <c r="AG12" s="1071"/>
      <c r="AH12" s="591"/>
      <c r="AI12" s="590"/>
      <c r="AJ12" s="1071"/>
      <c r="AK12" s="591"/>
      <c r="AL12" s="590"/>
      <c r="AM12" s="590"/>
      <c r="AN12" s="1071"/>
      <c r="AO12" s="590"/>
      <c r="AP12" s="590"/>
      <c r="AQ12" s="590">
        <f t="array" ref="AQ12">PERCENTILE(IF((($B$57:$B$95&lt;&gt;"Yacht &amp; Beach")*(AQ$57:AQ$95&lt;&gt;0)),AQ$57:AQ$95),$C12)</f>
        <v>23900</v>
      </c>
      <c r="AR12" s="590" t="e">
        <f t="array" ref="AR12">PERCENTILE(IF((($B$57:$B$95&lt;&gt;"Yacht &amp; Beach")*(AR$57:AR$95&lt;&gt;0)),AR$57:AR$95),$C12)</f>
        <v>#NUM!</v>
      </c>
      <c r="AS12" s="1106"/>
      <c r="AT12" s="1106"/>
      <c r="AU12" s="1106"/>
      <c r="AV12" s="1106"/>
      <c r="AW12" s="1106"/>
      <c r="AX12" s="591"/>
      <c r="AY12" s="591"/>
      <c r="AZ12" s="591"/>
      <c r="BA12" s="591"/>
      <c r="BB12" s="591"/>
      <c r="BC12" s="591"/>
      <c r="BD12" s="591"/>
      <c r="BE12" s="589"/>
      <c r="BF12" s="590"/>
      <c r="BG12" s="590"/>
      <c r="BH12" s="590"/>
      <c r="BI12" s="1268"/>
      <c r="BJ12" s="590"/>
      <c r="BK12" s="590"/>
      <c r="BL12" s="589"/>
      <c r="BM12" s="589"/>
      <c r="BN12" s="590"/>
      <c r="BO12" s="1106"/>
      <c r="BP12" s="590"/>
      <c r="BQ12" s="590"/>
      <c r="BR12" s="590"/>
      <c r="BS12" s="589"/>
      <c r="BT12" s="590"/>
      <c r="BU12" s="590"/>
      <c r="BV12" s="590"/>
      <c r="BW12" s="836">
        <f t="array" ref="BW12">PERCENTILE(IF((($B$57:$B$95&lt;&gt;"Yacht &amp; Beach")*(BW$57:BW$95&lt;&gt;0)),BW$57:BW$95),$C12)</f>
        <v>16047.166010176979</v>
      </c>
      <c r="BX12" s="836"/>
      <c r="BY12" s="836"/>
      <c r="BZ12" s="590"/>
      <c r="CA12" s="590"/>
      <c r="CB12" s="590"/>
      <c r="CC12" s="590"/>
      <c r="CD12" s="590"/>
      <c r="CE12" s="590"/>
      <c r="CF12" s="590"/>
      <c r="CG12" s="590"/>
      <c r="CH12" s="590"/>
      <c r="CI12" s="590"/>
      <c r="CJ12" s="590">
        <f t="array" ref="CJ12">PERCENTILE(IF((($B$57:$B$95&lt;&gt;"Yacht &amp; Beach")*(CJ$57:CJ$95&lt;&gt;0)),CJ$57:CJ$95),$C12)</f>
        <v>15985297</v>
      </c>
      <c r="CK12" s="593"/>
      <c r="CL12" s="593"/>
      <c r="CM12" s="593"/>
      <c r="CN12" s="593"/>
      <c r="CO12" s="593"/>
      <c r="CP12" s="593"/>
      <c r="CQ12" s="593"/>
      <c r="CR12" s="593"/>
      <c r="CS12" s="593"/>
      <c r="CT12" s="593"/>
      <c r="CU12" s="593"/>
      <c r="CV12" s="590"/>
      <c r="CW12" s="590"/>
      <c r="CX12" s="590"/>
      <c r="CY12" s="590"/>
      <c r="CZ12" s="590"/>
      <c r="DA12" s="590"/>
      <c r="DB12" s="590"/>
      <c r="DC12" s="593"/>
      <c r="DD12" s="593"/>
      <c r="DE12" s="593"/>
      <c r="DF12" s="593"/>
      <c r="DG12" s="593"/>
      <c r="DH12" s="593"/>
      <c r="DI12" s="593"/>
      <c r="DJ12" s="594"/>
      <c r="DK12" s="837"/>
      <c r="DL12" s="837"/>
      <c r="DM12" s="837"/>
      <c r="DN12" s="837"/>
      <c r="DO12" s="837"/>
      <c r="DP12" s="837"/>
      <c r="DQ12" s="837"/>
      <c r="DR12" s="837"/>
      <c r="DS12" s="837"/>
      <c r="DT12" s="837"/>
      <c r="DU12" s="837"/>
      <c r="DV12" s="837"/>
      <c r="DW12" s="837"/>
      <c r="DX12" s="837"/>
      <c r="DY12" s="837"/>
      <c r="DZ12" s="837"/>
      <c r="EA12" s="837"/>
      <c r="EB12" s="837"/>
      <c r="EC12" s="2104"/>
      <c r="ED12" s="592"/>
      <c r="EE12" s="589"/>
      <c r="EF12" s="590"/>
      <c r="EG12" s="590"/>
      <c r="EH12" s="589"/>
      <c r="EI12" s="589"/>
      <c r="EJ12" s="838"/>
      <c r="EK12" s="591"/>
      <c r="EL12" s="590"/>
      <c r="EM12" s="589"/>
      <c r="EN12" s="589"/>
      <c r="EO12" s="591"/>
      <c r="EP12" s="592"/>
      <c r="EQ12" s="589"/>
      <c r="ER12" s="589"/>
      <c r="ES12" s="839"/>
      <c r="ET12" s="840"/>
      <c r="EU12" s="590"/>
      <c r="EV12" s="590"/>
      <c r="EW12" s="590"/>
      <c r="EX12" s="590"/>
      <c r="EY12" s="590"/>
      <c r="EZ12" s="590"/>
      <c r="FA12" s="590"/>
      <c r="FB12" s="590"/>
      <c r="FC12" s="590"/>
      <c r="FD12" s="596"/>
      <c r="FE12" s="590">
        <f t="array" ref="FE12">PERCENTILE(IF((($B$57:$B$95&lt;&gt;"Yacht &amp; Beach")*(FE$57:FE$95&lt;&gt;0)),FE$57:FE$95),$C12)</f>
        <v>3286905</v>
      </c>
      <c r="FF12" s="596"/>
      <c r="FG12" s="596"/>
      <c r="FH12" s="597"/>
      <c r="FI12" s="597"/>
      <c r="FJ12" s="597"/>
      <c r="FK12" s="597"/>
      <c r="FL12" s="597"/>
      <c r="FM12" s="597"/>
      <c r="FN12" s="597"/>
      <c r="FO12" s="597"/>
      <c r="FP12" s="597"/>
      <c r="FQ12" s="590"/>
      <c r="FR12" s="590"/>
      <c r="FS12" s="590"/>
      <c r="FT12" s="590"/>
      <c r="FU12" s="590"/>
      <c r="FV12" s="590"/>
      <c r="FW12" s="590"/>
      <c r="FX12" s="598"/>
      <c r="FY12" s="743">
        <f t="array" ref="FY12">PERCENTILE(IF((($B$57:$B$95&lt;&gt;"Yacht &amp; Beach")*(FY$57:FY$95&lt;&gt;0)),FY$57:FY$95),$C12)</f>
        <v>-610393</v>
      </c>
      <c r="FZ12" s="599"/>
      <c r="GA12" s="599"/>
      <c r="GB12" s="599"/>
      <c r="GC12" s="599"/>
      <c r="GD12" s="599"/>
      <c r="GE12" s="599"/>
      <c r="GF12" s="599"/>
      <c r="GG12" s="599"/>
      <c r="GH12" s="593">
        <f t="array" ref="GH12">PERCENTILE(IF((($B$57:$B$95&lt;&gt;"Yacht &amp; Beach")*(GH$57:GH$95&lt;&gt;0)),GH$57:GH$95),$C12)</f>
        <v>-0.32706716022042404</v>
      </c>
      <c r="GI12" s="618">
        <f t="array" ref="GI12">PERCENTILE(IF((($B$57:$B$95&lt;&gt;"Yacht &amp; Beach")*(GI$57:GI$95&lt;&gt;0)),GI$57:GI$95),$C12)</f>
        <v>4.7860231383758283</v>
      </c>
      <c r="GJ12" s="589"/>
      <c r="GK12" s="589"/>
      <c r="GL12" s="589"/>
      <c r="GM12" s="589"/>
      <c r="GN12" s="590"/>
      <c r="GO12" s="592"/>
      <c r="GP12" s="592"/>
      <c r="GQ12" s="590"/>
      <c r="GR12" s="590"/>
      <c r="GS12" s="590"/>
      <c r="GT12" s="590"/>
      <c r="GU12" s="590"/>
      <c r="GV12" s="590"/>
      <c r="GW12" s="590"/>
      <c r="GX12" s="590">
        <f t="array" ref="GX12">PERCENTILE(IF((($B$57:$B$95&lt;&gt;"Yacht &amp; Beach")*(GX$57:GX$95&lt;&gt;0)),GX$57:GX$95),$C12)</f>
        <v>129513.81944444444</v>
      </c>
      <c r="GY12" s="592"/>
      <c r="GZ12" s="593"/>
      <c r="HA12" s="593"/>
      <c r="HB12" s="593"/>
      <c r="HC12" s="593"/>
      <c r="HD12" s="593"/>
      <c r="HE12" s="593"/>
      <c r="HF12" s="593"/>
      <c r="HG12" s="590"/>
      <c r="HH12" s="590"/>
      <c r="HI12" s="590"/>
      <c r="HJ12" s="590"/>
      <c r="HK12" s="590"/>
      <c r="HL12" s="590"/>
      <c r="HM12" s="590"/>
      <c r="HN12" s="590"/>
      <c r="HO12" s="590"/>
      <c r="HP12" s="590"/>
      <c r="HQ12" s="590">
        <f t="array" ref="HQ12">PERCENTILE(IF((($B$57:$B$95&lt;&gt;"Yacht &amp; Beach")*(HQ$57:HQ$95&lt;&gt;0)),HQ$57:HQ$95),$C12)</f>
        <v>112729.9375</v>
      </c>
      <c r="HR12" s="592"/>
      <c r="HS12" s="593"/>
      <c r="HT12" s="593"/>
      <c r="HU12" s="593"/>
      <c r="HV12" s="593"/>
      <c r="HW12" s="593"/>
      <c r="HX12" s="593"/>
      <c r="HY12" s="593"/>
      <c r="HZ12" s="51"/>
      <c r="IA12" s="600"/>
      <c r="IB12" s="600"/>
      <c r="IC12" s="601"/>
      <c r="ID12" s="601"/>
      <c r="IE12" s="602"/>
      <c r="IF12" s="602"/>
      <c r="IG12" s="836"/>
      <c r="IH12" s="836"/>
      <c r="II12" s="590"/>
      <c r="IJ12" s="590"/>
      <c r="IK12" s="602"/>
      <c r="IL12" s="601"/>
      <c r="IM12" s="602"/>
      <c r="IN12" s="602"/>
      <c r="IO12" s="860">
        <f t="array" ref="IO12">PERCENTILE(IF((($B$57:$B$95&lt;&gt;"Yacht &amp; Beach")*(IO$57:IO$95&lt;&gt;0)),IO$57:IO$95),$C12)</f>
        <v>-854.29248366013076</v>
      </c>
      <c r="IP12" s="852">
        <f t="array" ref="IP12">PERCENTILE(IF((($B$57:$B$95&lt;&gt;"Yacht &amp; Beach")*(IP$57:IP$95&lt;&gt;0)),IP$57:IP$95),$C12)</f>
        <v>-1080.5545072671882</v>
      </c>
      <c r="IQ12" s="861">
        <f t="array" ref="IQ12">PERCENTILE(IF((($B$57:$B$95&lt;&gt;"Yacht &amp; Beach")*(IQ$57:IQ$95&lt;&gt;0)),IQ$57:IQ$95),$C12)</f>
        <v>-0.11221894813912386</v>
      </c>
      <c r="IR12" s="594"/>
      <c r="IS12" s="594"/>
      <c r="IT12" s="594"/>
      <c r="IU12" s="594"/>
      <c r="IV12" s="594"/>
      <c r="IW12" s="594"/>
      <c r="IX12" s="593"/>
      <c r="IY12" s="593"/>
      <c r="IZ12" s="593"/>
      <c r="JA12" s="593"/>
      <c r="JB12" s="593"/>
      <c r="JC12" s="593"/>
      <c r="JD12" s="594"/>
      <c r="JE12" s="594"/>
      <c r="JF12" s="603"/>
      <c r="JG12" s="594"/>
      <c r="JH12" s="676"/>
      <c r="JI12" s="676"/>
      <c r="JJ12" s="676"/>
      <c r="JK12" s="676"/>
      <c r="JL12" s="676"/>
      <c r="JM12" s="676"/>
      <c r="JN12" s="676"/>
      <c r="JO12" s="676"/>
      <c r="JP12" s="676"/>
      <c r="JQ12" s="676"/>
      <c r="JR12" s="594"/>
      <c r="JS12" s="594"/>
      <c r="JT12" s="594"/>
      <c r="JU12" s="594"/>
      <c r="JV12" s="594"/>
      <c r="JW12" s="594"/>
      <c r="JX12" s="604"/>
      <c r="JY12" s="593">
        <f t="array" ref="JY12">PERCENTILE(IF((($B$57:$B$95&lt;&gt;"Yacht &amp; Beach")*(JY$57:JY$95&lt;&gt;0)),JY$57:JY$95),$C12)</f>
        <v>0.25923104522187196</v>
      </c>
      <c r="JZ12" s="594"/>
      <c r="KA12" s="594"/>
      <c r="KB12" s="594"/>
      <c r="KC12" s="594"/>
      <c r="KD12" s="594"/>
      <c r="KE12" s="594"/>
      <c r="KF12" s="604"/>
      <c r="KG12" s="604"/>
      <c r="KH12" s="604"/>
      <c r="KI12" s="593">
        <f t="array" ref="KI12">PERCENTILE(IF((($B$57:$B$95&lt;&gt;"Yacht &amp; Beach")*(KI$57:KI$95&lt;&gt;0)),KI$57:KI$95),$C12)</f>
        <v>0.2841864845120311</v>
      </c>
      <c r="KJ12" s="605"/>
      <c r="KK12" s="605"/>
      <c r="KL12" s="605"/>
      <c r="KM12" s="605"/>
      <c r="KN12" s="605"/>
      <c r="KO12" s="605"/>
      <c r="KP12" s="605"/>
      <c r="KQ12" s="605"/>
      <c r="KR12" s="605"/>
      <c r="KS12" s="605"/>
      <c r="KT12" s="605"/>
      <c r="KU12" s="605"/>
      <c r="KV12" s="605"/>
      <c r="KW12" s="605"/>
      <c r="KX12" s="108"/>
      <c r="KY12" s="421"/>
      <c r="KZ12" s="421"/>
      <c r="LA12" s="421"/>
      <c r="LB12" s="421"/>
      <c r="LQ12" s="421"/>
      <c r="LR12" s="421"/>
      <c r="LS12" s="421"/>
      <c r="LT12" s="282"/>
      <c r="LU12" s="282"/>
      <c r="LV12" s="282"/>
      <c r="LW12" s="282"/>
      <c r="LX12" s="282"/>
      <c r="LY12" s="282"/>
      <c r="LZ12" s="282"/>
      <c r="MA12" s="282"/>
      <c r="MB12" s="282"/>
      <c r="MC12" s="282"/>
      <c r="MD12" s="282"/>
      <c r="ME12" s="282"/>
      <c r="MF12" s="282"/>
      <c r="MG12" s="282"/>
      <c r="MH12" s="282"/>
      <c r="MI12" s="282"/>
      <c r="MJ12" s="282"/>
      <c r="MK12" s="282"/>
      <c r="ML12" s="282"/>
      <c r="MM12" s="1232"/>
      <c r="MN12" s="1232"/>
      <c r="MO12" s="1232"/>
      <c r="MP12" s="1232"/>
      <c r="MS12" s="421"/>
      <c r="MT12" s="421"/>
      <c r="MU12" s="421"/>
      <c r="MV12" s="421"/>
      <c r="MW12" s="421"/>
      <c r="MX12" s="421"/>
      <c r="MY12" s="421"/>
      <c r="MZ12" s="421"/>
      <c r="NA12" s="421"/>
      <c r="NB12" s="421"/>
      <c r="NC12" s="421"/>
      <c r="ND12" s="421"/>
      <c r="NE12" s="421"/>
      <c r="NF12" s="421"/>
      <c r="NG12" s="421"/>
      <c r="NH12" s="421"/>
      <c r="NI12" s="421"/>
      <c r="NJ12" s="421"/>
      <c r="NK12" s="421"/>
      <c r="NL12" s="421"/>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row>
    <row r="13" spans="1:429" ht="15.6" outlineLevel="1" collapsed="1">
      <c r="A13" s="2057"/>
      <c r="B13" s="101" t="s">
        <v>546</v>
      </c>
      <c r="C13" s="272" t="s">
        <v>386</v>
      </c>
      <c r="D13" s="101">
        <f>COUNTIF($B$57:$B$270,$B13)</f>
        <v>23</v>
      </c>
      <c r="E13" s="1530"/>
      <c r="F13" s="101">
        <f t="shared" ref="F13:K13" si="156">SUMIF($B$57:$B$270,$B13,F$57:F$270)</f>
        <v>19</v>
      </c>
      <c r="G13" s="101">
        <f t="shared" si="156"/>
        <v>9</v>
      </c>
      <c r="H13" s="103">
        <f t="shared" si="156"/>
        <v>10090</v>
      </c>
      <c r="I13" s="103">
        <f t="shared" si="156"/>
        <v>5108</v>
      </c>
      <c r="J13" s="103">
        <f t="shared" si="156"/>
        <v>15198</v>
      </c>
      <c r="K13" s="830">
        <f t="shared" si="156"/>
        <v>14168.467320838969</v>
      </c>
      <c r="L13" s="1079"/>
      <c r="M13" s="1088"/>
      <c r="N13" s="1089"/>
      <c r="O13" s="1088"/>
      <c r="P13" s="1088"/>
      <c r="Q13" s="106">
        <f>SUMIF($B$57:$B$270,$B13,Q$57:Q$270)</f>
        <v>469100</v>
      </c>
      <c r="R13" s="106">
        <f>SUMIF($B$57:$B$270,$B13,R$57:R$270)</f>
        <v>3589400</v>
      </c>
      <c r="S13" s="106">
        <f>SUMIF($B$57:$B$270,$B13,S$57:S$270)</f>
        <v>4058500</v>
      </c>
      <c r="T13" s="1072"/>
      <c r="U13" s="1072"/>
      <c r="V13" s="1072"/>
      <c r="W13" s="106">
        <f>SUMIF($B$57:$B$270,$B13,W$57:W$270)</f>
        <v>468583</v>
      </c>
      <c r="X13" s="106">
        <f>SUMIF($B$57:$B$270,$B13,X$57:X$270)</f>
        <v>424947</v>
      </c>
      <c r="Y13" s="1072"/>
      <c r="Z13" s="1072"/>
      <c r="AA13" s="106">
        <f>SUMIF($B$57:$B$270,$B13,AA$57:AA$270)</f>
        <v>43636</v>
      </c>
      <c r="AB13" s="106">
        <f>SUMIF($B$57:$B$270,$B13,AB$57:AB$270)</f>
        <v>2.3848525623969383</v>
      </c>
      <c r="AC13" s="282"/>
      <c r="AD13" s="1102"/>
      <c r="AE13" s="101">
        <f>SUMIF($B$57:$B$270,$B13,AE$57:AE$270)</f>
        <v>13</v>
      </c>
      <c r="AF13" s="101">
        <f>SUMIF($B$57:$B$270,$B13,AF$57:AF$270)</f>
        <v>24702</v>
      </c>
      <c r="AG13" s="282"/>
      <c r="AH13" s="101">
        <f>SUMIF($B$57:$B$270,$B13,AH$57:AH$270)</f>
        <v>0</v>
      </c>
      <c r="AI13" s="101">
        <f>SUMIF($B$57:$B$270,$B13,AI$57:AI$270)</f>
        <v>0</v>
      </c>
      <c r="AJ13" s="282"/>
      <c r="AK13" s="101">
        <f>SUMIF($B$57:$B$270,$B13,AK$57:AK$270)</f>
        <v>13</v>
      </c>
      <c r="AL13" s="101">
        <f>SUMIF($B$57:$B$270,$B13,AL$57:AL$270)</f>
        <v>37360</v>
      </c>
      <c r="AM13" s="403">
        <f>X13+AF13+AI13+AL13</f>
        <v>487009</v>
      </c>
      <c r="AN13" s="1072">
        <f>Z13+AG13+AJ13</f>
        <v>0</v>
      </c>
      <c r="AO13" s="403">
        <f>EL13</f>
        <v>9520</v>
      </c>
      <c r="AP13" s="403">
        <f>ROUND(EP13*12,-2)</f>
        <v>7300</v>
      </c>
      <c r="AQ13" s="403">
        <f>+AM13+AO13+AP13</f>
        <v>503829</v>
      </c>
      <c r="AR13" s="403">
        <f>Z13+AG13+AJ13</f>
        <v>0</v>
      </c>
      <c r="AS13" s="1122"/>
      <c r="AT13" s="1122"/>
      <c r="AU13" s="1122"/>
      <c r="AV13" s="1122"/>
      <c r="AW13" s="1102"/>
      <c r="AX13" s="101">
        <f t="shared" ref="AX13:BK13" si="157">SUMIF($B$57:$B$270,$B13,AX$57:AX$270)</f>
        <v>12</v>
      </c>
      <c r="AY13" s="101">
        <f t="shared" si="157"/>
        <v>6</v>
      </c>
      <c r="AZ13" s="101">
        <f t="shared" si="157"/>
        <v>7</v>
      </c>
      <c r="BA13" s="101">
        <f t="shared" si="157"/>
        <v>2</v>
      </c>
      <c r="BB13" s="101">
        <f t="shared" si="157"/>
        <v>0</v>
      </c>
      <c r="BC13" s="101">
        <f t="shared" si="157"/>
        <v>2</v>
      </c>
      <c r="BD13" s="101">
        <f t="shared" si="157"/>
        <v>2</v>
      </c>
      <c r="BE13" s="101">
        <f t="shared" si="157"/>
        <v>11</v>
      </c>
      <c r="BF13" s="106">
        <f t="shared" si="157"/>
        <v>70957000</v>
      </c>
      <c r="BG13" s="106">
        <f t="shared" si="157"/>
        <v>32708162</v>
      </c>
      <c r="BH13" s="106">
        <f t="shared" si="157"/>
        <v>103665162</v>
      </c>
      <c r="BI13" s="1269">
        <f t="shared" si="157"/>
        <v>747036832</v>
      </c>
      <c r="BJ13" s="106">
        <f t="shared" si="157"/>
        <v>95917729</v>
      </c>
      <c r="BK13" s="106">
        <f t="shared" si="157"/>
        <v>51188267</v>
      </c>
      <c r="BL13" s="435">
        <f>ROUND(BJ13/BK13,2)</f>
        <v>1.87</v>
      </c>
      <c r="BM13" s="101">
        <f>SUMIF($B$57:$B$270,$B13,BM$57:BM$270)</f>
        <v>17</v>
      </c>
      <c r="BN13" s="106">
        <f>SUMIF($B$57:$B$270,$B13,BN$57:BN$270)</f>
        <v>112224857</v>
      </c>
      <c r="BO13" s="282"/>
      <c r="BP13" s="106">
        <f t="shared" ref="BP13:BV13" si="158">SUMIF($B$57:$B$270,$B13,BP$57:BP$270)</f>
        <v>177233419</v>
      </c>
      <c r="BQ13" s="106">
        <f t="shared" si="158"/>
        <v>166256035</v>
      </c>
      <c r="BR13" s="417">
        <f t="shared" si="158"/>
        <v>29.411995132777431</v>
      </c>
      <c r="BS13" s="101">
        <f t="shared" si="158"/>
        <v>12</v>
      </c>
      <c r="BT13" s="106">
        <f t="shared" si="158"/>
        <v>293264186</v>
      </c>
      <c r="BU13" s="106">
        <f t="shared" si="158"/>
        <v>753146732</v>
      </c>
      <c r="BV13" s="417">
        <f t="shared" si="158"/>
        <v>10.399082363695454</v>
      </c>
      <c r="BW13" s="821">
        <f>IF(BN13=0,0,+IF(K13=0,0,ROUND(BN13/K13,-1)))</f>
        <v>7920</v>
      </c>
      <c r="BX13" s="821">
        <f>IF(BJ13=0,0,+IF(K13=0,0,ROUND(BJ13/K13,-1)))</f>
        <v>6770</v>
      </c>
      <c r="BY13" s="821">
        <f>IF(BH13=0,0,+IF(K13=0,0,ROUND(BH13/K13,-1)))</f>
        <v>7320</v>
      </c>
      <c r="BZ13" s="103">
        <f t="shared" ref="BZ13:CI13" si="159">SUMIF($B$57:$B$270,$B13,BZ$57:BZ$270)</f>
        <v>36043856</v>
      </c>
      <c r="CA13" s="106">
        <f t="shared" si="159"/>
        <v>5542432</v>
      </c>
      <c r="CB13" s="106">
        <f t="shared" si="159"/>
        <v>15296596</v>
      </c>
      <c r="CC13" s="106">
        <f t="shared" si="159"/>
        <v>12001887</v>
      </c>
      <c r="CD13" s="106">
        <f t="shared" si="159"/>
        <v>265204289</v>
      </c>
      <c r="CE13" s="106">
        <f t="shared" si="159"/>
        <v>0</v>
      </c>
      <c r="CF13" s="106">
        <f t="shared" si="159"/>
        <v>0</v>
      </c>
      <c r="CG13" s="106">
        <f t="shared" si="159"/>
        <v>52525903</v>
      </c>
      <c r="CH13" s="106">
        <f t="shared" si="159"/>
        <v>19676764</v>
      </c>
      <c r="CI13" s="106">
        <f t="shared" si="159"/>
        <v>15446283</v>
      </c>
      <c r="CJ13" s="292">
        <f>SUM(BZ13:CI13)</f>
        <v>421738010</v>
      </c>
      <c r="CK13" s="406">
        <f t="shared" ref="CK13:CU13" si="160">ROUND(BZ13/$CJ13,3)</f>
        <v>8.5000000000000006E-2</v>
      </c>
      <c r="CL13" s="406">
        <f t="shared" si="160"/>
        <v>1.2999999999999999E-2</v>
      </c>
      <c r="CM13" s="406">
        <f t="shared" si="160"/>
        <v>3.5999999999999997E-2</v>
      </c>
      <c r="CN13" s="406">
        <f t="shared" si="160"/>
        <v>2.8000000000000001E-2</v>
      </c>
      <c r="CO13" s="406">
        <f t="shared" si="160"/>
        <v>0.629</v>
      </c>
      <c r="CP13" s="406">
        <f t="shared" si="160"/>
        <v>0</v>
      </c>
      <c r="CQ13" s="406">
        <f t="shared" si="160"/>
        <v>0</v>
      </c>
      <c r="CR13" s="406">
        <f t="shared" si="160"/>
        <v>0.125</v>
      </c>
      <c r="CS13" s="406">
        <f t="shared" si="160"/>
        <v>4.7E-2</v>
      </c>
      <c r="CT13" s="406">
        <f t="shared" si="160"/>
        <v>3.6999999999999998E-2</v>
      </c>
      <c r="CU13" s="406">
        <f t="shared" si="160"/>
        <v>1</v>
      </c>
      <c r="CV13" s="106">
        <f t="shared" ref="CV13:DB13" si="161">SUMIF($B$57:$B$270,$B13,CV$57:CV$270)</f>
        <v>209769319</v>
      </c>
      <c r="CW13" s="106">
        <f t="shared" si="161"/>
        <v>36060762</v>
      </c>
      <c r="CX13" s="106">
        <f t="shared" si="161"/>
        <v>11264551</v>
      </c>
      <c r="CY13" s="106">
        <f t="shared" si="161"/>
        <v>141512901</v>
      </c>
      <c r="CZ13" s="106">
        <f t="shared" si="161"/>
        <v>8000245</v>
      </c>
      <c r="DA13" s="106">
        <f t="shared" si="161"/>
        <v>11282561</v>
      </c>
      <c r="DB13" s="106">
        <f t="shared" si="161"/>
        <v>417890339</v>
      </c>
      <c r="DC13" s="406">
        <f t="shared" ref="DC13:DI13" si="162">ROUND(CV13/$DB13,3)</f>
        <v>0.502</v>
      </c>
      <c r="DD13" s="406">
        <f t="shared" si="162"/>
        <v>8.5999999999999993E-2</v>
      </c>
      <c r="DE13" s="406">
        <f t="shared" si="162"/>
        <v>2.7E-2</v>
      </c>
      <c r="DF13" s="406">
        <f t="shared" si="162"/>
        <v>0.33900000000000002</v>
      </c>
      <c r="DG13" s="406">
        <f t="shared" si="162"/>
        <v>1.9E-2</v>
      </c>
      <c r="DH13" s="406">
        <f t="shared" si="162"/>
        <v>2.7E-2</v>
      </c>
      <c r="DI13" s="406">
        <f t="shared" si="162"/>
        <v>1</v>
      </c>
      <c r="DJ13" s="301">
        <f>CJ13-DB13</f>
        <v>3847671</v>
      </c>
      <c r="DK13" s="822">
        <f t="shared" ref="DK13:DT13" si="163">IF(BZ13=0,0,+IF($K13=0,0,ROUND(BZ13/$K13,0)))</f>
        <v>2544</v>
      </c>
      <c r="DL13" s="822">
        <f t="shared" si="163"/>
        <v>391</v>
      </c>
      <c r="DM13" s="822">
        <f t="shared" si="163"/>
        <v>1080</v>
      </c>
      <c r="DN13" s="822">
        <f t="shared" si="163"/>
        <v>847</v>
      </c>
      <c r="DO13" s="822">
        <f t="shared" si="163"/>
        <v>18718</v>
      </c>
      <c r="DP13" s="822">
        <f t="shared" si="163"/>
        <v>0</v>
      </c>
      <c r="DQ13" s="822">
        <f t="shared" si="163"/>
        <v>0</v>
      </c>
      <c r="DR13" s="822">
        <f t="shared" si="163"/>
        <v>3707</v>
      </c>
      <c r="DS13" s="822">
        <f t="shared" si="163"/>
        <v>1389</v>
      </c>
      <c r="DT13" s="822">
        <f t="shared" si="163"/>
        <v>1090</v>
      </c>
      <c r="DU13" s="822">
        <f>SUM(DK13:DT13)</f>
        <v>29766</v>
      </c>
      <c r="DV13" s="822">
        <f t="shared" ref="DV13:EA13" si="164">IF(CV13=0,0,+IF($K13=0,0,ROUND(CV13/$K13,0)))</f>
        <v>14805</v>
      </c>
      <c r="DW13" s="822">
        <f t="shared" si="164"/>
        <v>2545</v>
      </c>
      <c r="DX13" s="822">
        <f t="shared" si="164"/>
        <v>795</v>
      </c>
      <c r="DY13" s="822">
        <f t="shared" si="164"/>
        <v>9988</v>
      </c>
      <c r="DZ13" s="822">
        <f t="shared" si="164"/>
        <v>565</v>
      </c>
      <c r="EA13" s="822">
        <f t="shared" si="164"/>
        <v>796</v>
      </c>
      <c r="EB13" s="822">
        <f>SUM(DV13:EA13)</f>
        <v>29494</v>
      </c>
      <c r="EC13" s="824">
        <f>DU13-EB13</f>
        <v>272</v>
      </c>
      <c r="ED13" s="106">
        <f t="shared" ref="ED13:EI13" si="165">SUMIF($B$57:$B$270,$B13,ED$57:ED$270)</f>
        <v>3833</v>
      </c>
      <c r="EE13" s="101">
        <f t="shared" si="165"/>
        <v>15</v>
      </c>
      <c r="EF13" s="106">
        <f t="shared" si="165"/>
        <v>775</v>
      </c>
      <c r="EG13" s="106">
        <f t="shared" si="165"/>
        <v>6598763</v>
      </c>
      <c r="EH13" s="101">
        <f t="shared" si="165"/>
        <v>21</v>
      </c>
      <c r="EI13" s="101">
        <f t="shared" si="165"/>
        <v>1.6590000000000005</v>
      </c>
      <c r="EJ13" s="823">
        <f>IF(K13=0,0,+IF(ED13=0,0,ROUND(K13/ED13,1)))</f>
        <v>3.7</v>
      </c>
      <c r="EK13" s="101">
        <f t="shared" ref="EK13:ER13" si="166">SUMIF($B$57:$B$270,$B13,EK$57:EK$270)</f>
        <v>6</v>
      </c>
      <c r="EL13" s="106">
        <f t="shared" si="166"/>
        <v>9520</v>
      </c>
      <c r="EM13" s="101">
        <f t="shared" si="166"/>
        <v>7</v>
      </c>
      <c r="EN13" s="101">
        <f t="shared" si="166"/>
        <v>1.4</v>
      </c>
      <c r="EO13" s="101">
        <f t="shared" si="166"/>
        <v>7</v>
      </c>
      <c r="EP13" s="106">
        <f t="shared" si="166"/>
        <v>609.33333333333337</v>
      </c>
      <c r="EQ13" s="101">
        <f t="shared" si="166"/>
        <v>2</v>
      </c>
      <c r="ER13" s="101">
        <f t="shared" si="166"/>
        <v>9</v>
      </c>
      <c r="ES13" s="822">
        <f>IF(FE13=0,0,+IF(K13=0,0,ROUND(FE13/K13,-2)))</f>
        <v>5100</v>
      </c>
      <c r="ET13" s="824">
        <f>IF(FY13=0,0,+IF(K13=0,0,ROUND(FY13/K13,-1)))</f>
        <v>-2990</v>
      </c>
      <c r="EU13" s="101">
        <f>COUNTIFS($B$57:$B$270,$B13,EU$57:EU$270,1)</f>
        <v>9</v>
      </c>
      <c r="EV13" s="106">
        <f>SUMIF($B$57:$B$270,$B13,EV$57:EV$270)</f>
        <v>1956352</v>
      </c>
      <c r="EW13" s="101">
        <f>SUMIF($B$57:$B$270,$B13,EW$57:EW$270)</f>
        <v>169082</v>
      </c>
      <c r="EX13" s="101">
        <f>COUNTIFS($B$57:$B$270,$B13,EX$57:EX$270,0)</f>
        <v>14</v>
      </c>
      <c r="EY13" s="101">
        <f>SUMIF($B$57:$B$270,$B13,EY$57:EY$270)</f>
        <v>52525903</v>
      </c>
      <c r="EZ13" s="101">
        <f>SUMIF($B$57:$B$270,$B13,EZ$57:EZ$270)</f>
        <v>28700084</v>
      </c>
      <c r="FA13" s="3">
        <f>EY13-EZ13</f>
        <v>23825819</v>
      </c>
      <c r="FB13" s="101">
        <f>SUMIF($B$57:$B$270,$B13,FB$57:FB$270)</f>
        <v>19676764</v>
      </c>
      <c r="FC13" s="101">
        <f>SUMIF($B$57:$B$270,$B13,FC$57:FC$270)</f>
        <v>7360678</v>
      </c>
      <c r="FD13" s="3">
        <f>FB13-FC13</f>
        <v>12316086</v>
      </c>
      <c r="FE13" s="3">
        <f>EY13+FB13</f>
        <v>72202667</v>
      </c>
      <c r="FF13" s="3">
        <f>EZ13+FC13</f>
        <v>36060762</v>
      </c>
      <c r="FG13" s="3">
        <f>FE13-FF13</f>
        <v>36141905</v>
      </c>
      <c r="FH13" s="303">
        <f>EY13/$EY13</f>
        <v>1</v>
      </c>
      <c r="FI13" s="303">
        <f>ROUND(EZ13/$EY13,3)</f>
        <v>0.54600000000000004</v>
      </c>
      <c r="FJ13" s="303">
        <f>ROUND(FA13/$EY13,3)</f>
        <v>0.45400000000000001</v>
      </c>
      <c r="FK13" s="303">
        <f>ROUND(FB13/$FB13,2)</f>
        <v>1</v>
      </c>
      <c r="FL13" s="303">
        <f>ROUND(FC13/$FB13,3)</f>
        <v>0.374</v>
      </c>
      <c r="FM13" s="303">
        <f>ROUND(FD13/$FB13,3)</f>
        <v>0.626</v>
      </c>
      <c r="FN13" s="303">
        <f>ROUND(FE13/$FE13,2)</f>
        <v>1</v>
      </c>
      <c r="FO13" s="303">
        <f>ROUND(FF13/$FE13,3)</f>
        <v>0.499</v>
      </c>
      <c r="FP13" s="303">
        <f>ROUND(FG13/$FE13,3)</f>
        <v>0.501</v>
      </c>
      <c r="FQ13" s="101">
        <f t="shared" ref="FQ13:FW13" si="167">SUMIF($B$57:$B$270,$B13,FQ$57:FQ$270)</f>
        <v>53891951.399999999</v>
      </c>
      <c r="FR13" s="408">
        <f t="shared" si="167"/>
        <v>-2953558.8000000003</v>
      </c>
      <c r="FS13" s="101">
        <f t="shared" si="167"/>
        <v>10263649</v>
      </c>
      <c r="FT13" s="101">
        <f t="shared" si="167"/>
        <v>1355198</v>
      </c>
      <c r="FU13" s="101">
        <f t="shared" si="167"/>
        <v>970543</v>
      </c>
      <c r="FV13" s="101">
        <f t="shared" si="167"/>
        <v>847513</v>
      </c>
      <c r="FW13" s="101">
        <f t="shared" si="167"/>
        <v>14180091</v>
      </c>
      <c r="FX13" s="409">
        <f>SUM(FQ13:FW13)</f>
        <v>78555386.599999994</v>
      </c>
      <c r="FY13" s="410">
        <f>ROUND(FG13-FX13,-2)</f>
        <v>-42413500</v>
      </c>
      <c r="FZ13" s="303">
        <f t="shared" ref="FZ13:GH13" si="168">ROUND(FQ13/$FE13,3)</f>
        <v>0.746</v>
      </c>
      <c r="GA13" s="303">
        <f t="shared" si="168"/>
        <v>-4.1000000000000002E-2</v>
      </c>
      <c r="GB13" s="303">
        <f t="shared" si="168"/>
        <v>0.14199999999999999</v>
      </c>
      <c r="GC13" s="303">
        <f t="shared" si="168"/>
        <v>1.9E-2</v>
      </c>
      <c r="GD13" s="303">
        <f t="shared" si="168"/>
        <v>1.2999999999999999E-2</v>
      </c>
      <c r="GE13" s="303">
        <f t="shared" si="168"/>
        <v>1.2E-2</v>
      </c>
      <c r="GF13" s="303">
        <f t="shared" si="168"/>
        <v>0.19600000000000001</v>
      </c>
      <c r="GG13" s="303">
        <f t="shared" si="168"/>
        <v>1.0880000000000001</v>
      </c>
      <c r="GH13" s="303">
        <f t="shared" si="168"/>
        <v>-0.58699999999999997</v>
      </c>
      <c r="GI13" s="411">
        <f>EY13/FB13</f>
        <v>2.669438074268716</v>
      </c>
      <c r="GJ13" s="408">
        <f t="shared" ref="GJ13:GV13" si="169">SUMIF($B$57:$B$270,$B13,GJ$57:GJ$270)</f>
        <v>19</v>
      </c>
      <c r="GK13" s="394">
        <f t="shared" si="169"/>
        <v>1.153</v>
      </c>
      <c r="GL13" s="408">
        <f t="shared" si="169"/>
        <v>14</v>
      </c>
      <c r="GM13" s="394">
        <f t="shared" si="169"/>
        <v>0.58500000000000019</v>
      </c>
      <c r="GN13" s="103">
        <f t="shared" si="169"/>
        <v>234</v>
      </c>
      <c r="GO13" s="103">
        <f t="shared" si="169"/>
        <v>1713.18</v>
      </c>
      <c r="GP13" s="103">
        <f t="shared" si="169"/>
        <v>274959</v>
      </c>
      <c r="GQ13" s="103">
        <f t="shared" si="169"/>
        <v>15846952</v>
      </c>
      <c r="GR13" s="103">
        <f t="shared" si="169"/>
        <v>2816210</v>
      </c>
      <c r="GS13" s="103">
        <f t="shared" si="169"/>
        <v>8162034</v>
      </c>
      <c r="GT13" s="103">
        <f t="shared" si="169"/>
        <v>2681896</v>
      </c>
      <c r="GU13" s="103">
        <f t="shared" si="169"/>
        <v>476767</v>
      </c>
      <c r="GV13" s="103">
        <f t="shared" si="169"/>
        <v>4163199.8</v>
      </c>
      <c r="GW13" s="412">
        <f>SUM(GQ13:GV13)</f>
        <v>34147058.799999997</v>
      </c>
      <c r="GX13" s="7">
        <f>IF(GW13=0,0,ROUND(GW13/GN13,-2))</f>
        <v>145900</v>
      </c>
      <c r="GY13" s="49">
        <f>IF(GW13=0,0,ROUND(GW13/GO13,-2))</f>
        <v>19900</v>
      </c>
      <c r="GZ13" s="20">
        <f t="shared" ref="GZ13:HE13" si="170">ROUND(GQ13/$GW13,3)</f>
        <v>0.46400000000000002</v>
      </c>
      <c r="HA13" s="20">
        <f t="shared" si="170"/>
        <v>8.2000000000000003E-2</v>
      </c>
      <c r="HB13" s="20">
        <f t="shared" si="170"/>
        <v>0.23899999999999999</v>
      </c>
      <c r="HC13" s="20">
        <f t="shared" si="170"/>
        <v>7.9000000000000001E-2</v>
      </c>
      <c r="HD13" s="20">
        <f t="shared" si="170"/>
        <v>1.4E-2</v>
      </c>
      <c r="HE13" s="20">
        <f t="shared" si="170"/>
        <v>0.122</v>
      </c>
      <c r="HF13" s="20">
        <f>SUM(GZ13:HE13)</f>
        <v>1</v>
      </c>
      <c r="HG13" s="106">
        <f t="shared" ref="HG13:HP13" si="171">SUMIF($B$57:$B$270,$B13,HG$57:HG$270)</f>
        <v>364</v>
      </c>
      <c r="HH13" s="106">
        <f t="shared" si="171"/>
        <v>2952</v>
      </c>
      <c r="HI13" s="106">
        <f t="shared" si="171"/>
        <v>570691</v>
      </c>
      <c r="HJ13" s="106">
        <f t="shared" si="171"/>
        <v>19122054</v>
      </c>
      <c r="HK13" s="106">
        <f t="shared" si="171"/>
        <v>2696394</v>
      </c>
      <c r="HL13" s="106">
        <f t="shared" si="171"/>
        <v>10921051</v>
      </c>
      <c r="HM13" s="106">
        <f t="shared" si="171"/>
        <v>2466110</v>
      </c>
      <c r="HN13" s="106">
        <f t="shared" si="171"/>
        <v>952543</v>
      </c>
      <c r="HO13" s="106">
        <f t="shared" si="171"/>
        <v>4517290</v>
      </c>
      <c r="HP13" s="106">
        <f t="shared" si="171"/>
        <v>40675442</v>
      </c>
      <c r="HQ13" s="7">
        <f>IF(HP13=0,0,ROUND(HP13/HG13,-2))</f>
        <v>111700</v>
      </c>
      <c r="HR13" s="49">
        <f>IF(HP13=0,0,ROUND(HP13/HH13,-1))</f>
        <v>13780</v>
      </c>
      <c r="HS13" s="20">
        <f t="shared" ref="HS13:HX13" si="172">IF(HJ13=0,0,ROUND(HJ13/$HP13,3))</f>
        <v>0.47</v>
      </c>
      <c r="HT13" s="20">
        <f t="shared" si="172"/>
        <v>6.6000000000000003E-2</v>
      </c>
      <c r="HU13" s="20">
        <f t="shared" si="172"/>
        <v>0.26800000000000002</v>
      </c>
      <c r="HV13" s="20">
        <f t="shared" si="172"/>
        <v>6.0999999999999999E-2</v>
      </c>
      <c r="HW13" s="20">
        <f t="shared" si="172"/>
        <v>2.3E-2</v>
      </c>
      <c r="HX13" s="20">
        <f t="shared" si="172"/>
        <v>0.111</v>
      </c>
      <c r="HY13" s="20">
        <f>SUM(HS13:HX13)</f>
        <v>0.999</v>
      </c>
      <c r="HZ13" s="51"/>
      <c r="IA13" s="297">
        <f>ROUND(Q13/S13,2)</f>
        <v>0.12</v>
      </c>
      <c r="IB13" s="297"/>
      <c r="IC13" s="438">
        <f>SUMIF($B$57:$B$270,$B13,IC$57:IC$270)</f>
        <v>23</v>
      </c>
      <c r="ID13" s="438"/>
      <c r="IE13" s="438">
        <f>SUMIF($B$57:$B$270,$B13,IE$57:IE$270)</f>
        <v>0</v>
      </c>
      <c r="IF13" s="438"/>
      <c r="IG13" s="284">
        <f>IF(BI13=0,0,+IF(K13=0,0,BI13/K13))</f>
        <v>52725.310020037163</v>
      </c>
      <c r="IH13" s="284">
        <f>IF(BU13=0,0,+IF(K13=0,0,BU13/K13))</f>
        <v>53156.542267085759</v>
      </c>
      <c r="II13" s="417">
        <f t="shared" ref="II13:IN13" si="173">SUMIF($B$57:$B$270,$B13,II$57:II$270)</f>
        <v>21.74055087995546</v>
      </c>
      <c r="IJ13" s="417">
        <f t="shared" si="173"/>
        <v>7.6714442528219706</v>
      </c>
      <c r="IK13" s="413">
        <f t="shared" si="173"/>
        <v>12</v>
      </c>
      <c r="IL13" s="413">
        <f t="shared" si="173"/>
        <v>2</v>
      </c>
      <c r="IM13" s="413">
        <f t="shared" si="173"/>
        <v>3</v>
      </c>
      <c r="IN13" s="413">
        <f t="shared" si="173"/>
        <v>0</v>
      </c>
      <c r="IO13" s="853">
        <f>ROUND(FY13/$J13,-1)</f>
        <v>-2790</v>
      </c>
      <c r="IP13" s="851">
        <f>IF(K13=0,0,ROUND(FY13/K13,-1))</f>
        <v>-2990</v>
      </c>
      <c r="IQ13" s="857">
        <f>IF(FY13=0,0,+IF(CD13=0,0,FY13/CD13))</f>
        <v>-0.15992765486534044</v>
      </c>
      <c r="IR13" s="415">
        <f>EY13</f>
        <v>52525903</v>
      </c>
      <c r="IS13" s="415">
        <f>FB13</f>
        <v>19676764</v>
      </c>
      <c r="IT13" s="415">
        <f>FQ13</f>
        <v>53891951.399999999</v>
      </c>
      <c r="IU13" s="415">
        <f>FS13+FT13</f>
        <v>11618847</v>
      </c>
      <c r="IV13" s="415">
        <f>FF13</f>
        <v>36060762</v>
      </c>
      <c r="IW13" s="415">
        <f>SUM(FU13:FW13)+FR13</f>
        <v>13044588.199999999</v>
      </c>
      <c r="IX13" s="303">
        <f t="shared" ref="IX13:JC13" si="174">IF(IR13=0,0,ROUND(IR13/(SUM($IR13:$IS13)),3))</f>
        <v>0.72699999999999998</v>
      </c>
      <c r="IY13" s="303">
        <f t="shared" si="174"/>
        <v>0.27300000000000002</v>
      </c>
      <c r="IZ13" s="303">
        <f t="shared" si="174"/>
        <v>0.746</v>
      </c>
      <c r="JA13" s="303">
        <f t="shared" si="174"/>
        <v>0.161</v>
      </c>
      <c r="JB13" s="303">
        <f t="shared" si="174"/>
        <v>0.499</v>
      </c>
      <c r="JC13" s="303">
        <f t="shared" si="174"/>
        <v>0.18099999999999999</v>
      </c>
      <c r="JD13" s="294">
        <f>CD13+CE13+CF13</f>
        <v>265204289</v>
      </c>
      <c r="JE13" s="294">
        <f>BZ13+CA13+CB13+CC13</f>
        <v>68884771</v>
      </c>
      <c r="JF13" s="294">
        <f>JD13+JE13+CG13+CH13+CI13-CJ13</f>
        <v>0</v>
      </c>
      <c r="JG13" s="294">
        <f>CZ13+DA13</f>
        <v>19282806</v>
      </c>
      <c r="JH13" s="414">
        <f t="shared" ref="JH13:JQ13" si="175">SUMIF($B$57:$B$270,$B13,JH$57:JH$270)</f>
        <v>13</v>
      </c>
      <c r="JI13" s="414">
        <f t="shared" si="175"/>
        <v>15</v>
      </c>
      <c r="JJ13" s="300">
        <f t="shared" si="175"/>
        <v>11.648234969421161</v>
      </c>
      <c r="JK13" s="300">
        <f t="shared" si="175"/>
        <v>11.806616723606687</v>
      </c>
      <c r="JL13" s="300">
        <f t="shared" si="175"/>
        <v>1.8568643759750585</v>
      </c>
      <c r="JM13" s="300">
        <f t="shared" si="175"/>
        <v>0.54731867488167829</v>
      </c>
      <c r="JN13" s="300">
        <f t="shared" si="175"/>
        <v>7.5632645623179791</v>
      </c>
      <c r="JO13" s="300">
        <f t="shared" si="175"/>
        <v>0.51260594212510835</v>
      </c>
      <c r="JP13" s="300">
        <f t="shared" si="175"/>
        <v>0.71499615533433591</v>
      </c>
      <c r="JQ13" s="300">
        <f t="shared" si="175"/>
        <v>23.001666434240846</v>
      </c>
      <c r="JR13" s="292">
        <f t="shared" ref="JR13:JW13" si="176">ROUND(GQ13/$GN13,-2)</f>
        <v>67700</v>
      </c>
      <c r="JS13" s="292">
        <f t="shared" si="176"/>
        <v>12000</v>
      </c>
      <c r="JT13" s="292">
        <f t="shared" si="176"/>
        <v>34900</v>
      </c>
      <c r="JU13" s="292">
        <f t="shared" si="176"/>
        <v>11500</v>
      </c>
      <c r="JV13" s="292">
        <f t="shared" si="176"/>
        <v>2000</v>
      </c>
      <c r="JW13" s="292">
        <f t="shared" si="176"/>
        <v>17800</v>
      </c>
      <c r="JX13" s="292">
        <f>GW13/GP13</f>
        <v>124.18963845518785</v>
      </c>
      <c r="JY13" s="394">
        <f>SUMIF($B$57:$B$270,$B13,JY$57:JY$270)</f>
        <v>3.2748205485592941</v>
      </c>
      <c r="JZ13" s="292">
        <f t="shared" ref="JZ13:KE13" si="177">ROUND(HJ13/$HG13,-2)</f>
        <v>52500</v>
      </c>
      <c r="KA13" s="292">
        <f t="shared" si="177"/>
        <v>7400</v>
      </c>
      <c r="KB13" s="292">
        <f t="shared" si="177"/>
        <v>30000</v>
      </c>
      <c r="KC13" s="292">
        <f t="shared" si="177"/>
        <v>6800</v>
      </c>
      <c r="KD13" s="292">
        <f t="shared" si="177"/>
        <v>2600</v>
      </c>
      <c r="KE13" s="292">
        <f t="shared" si="177"/>
        <v>12400</v>
      </c>
      <c r="KF13" s="292">
        <f>ROUND(HI13/HG13*18,-2)</f>
        <v>28200</v>
      </c>
      <c r="KG13" s="292">
        <f>ROUND(HH13/HG13*36,0)</f>
        <v>292</v>
      </c>
      <c r="KH13" s="292">
        <f>ROUND(HP13/HI13,0)</f>
        <v>71</v>
      </c>
      <c r="KI13" s="394">
        <f t="shared" ref="KI13:KW13" si="178">SUMIF($B$57:$B$270,$B13,KI$57:KI$270)</f>
        <v>1.7832601925998421</v>
      </c>
      <c r="KJ13" s="61">
        <f t="shared" si="178"/>
        <v>598</v>
      </c>
      <c r="KK13" s="61">
        <f t="shared" si="178"/>
        <v>845650</v>
      </c>
      <c r="KL13" s="61">
        <f t="shared" si="178"/>
        <v>4665.18</v>
      </c>
      <c r="KM13" s="61">
        <f t="shared" si="178"/>
        <v>2909136.6841750843</v>
      </c>
      <c r="KN13" s="61">
        <f t="shared" si="178"/>
        <v>2759.5235877428804</v>
      </c>
      <c r="KO13" s="61">
        <f t="shared" si="178"/>
        <v>415042.69491366227</v>
      </c>
      <c r="KP13" s="61">
        <f t="shared" si="178"/>
        <v>34969006</v>
      </c>
      <c r="KQ13" s="61">
        <f t="shared" si="178"/>
        <v>5512604</v>
      </c>
      <c r="KR13" s="61">
        <f t="shared" si="178"/>
        <v>19083085</v>
      </c>
      <c r="KS13" s="61">
        <f t="shared" si="178"/>
        <v>5148006</v>
      </c>
      <c r="KT13" s="61">
        <f t="shared" si="178"/>
        <v>1429310</v>
      </c>
      <c r="KU13" s="61">
        <f t="shared" si="178"/>
        <v>8680489.8000000007</v>
      </c>
      <c r="KV13" s="61">
        <f t="shared" si="178"/>
        <v>5.0580807411591353</v>
      </c>
      <c r="KW13" s="61">
        <f t="shared" si="178"/>
        <v>-7.0907355833971932</v>
      </c>
      <c r="KX13" s="108"/>
      <c r="KY13" s="421"/>
      <c r="KZ13" s="421"/>
      <c r="LA13" s="421"/>
      <c r="LB13" s="421"/>
      <c r="LQ13" s="421"/>
      <c r="LR13" s="421"/>
      <c r="LS13" s="421"/>
      <c r="LT13" s="282"/>
      <c r="LU13" s="282"/>
      <c r="LV13" s="282"/>
      <c r="LW13" s="282"/>
      <c r="LX13" s="282"/>
      <c r="LY13" s="282"/>
      <c r="LZ13" s="282"/>
      <c r="MA13" s="282"/>
      <c r="MB13" s="282"/>
      <c r="MC13" s="282"/>
      <c r="MD13" s="282"/>
      <c r="ME13" s="282"/>
      <c r="MF13" s="282"/>
      <c r="MG13" s="282"/>
      <c r="MH13" s="282"/>
      <c r="MI13" s="282"/>
      <c r="MJ13" s="282"/>
      <c r="MK13" s="282"/>
      <c r="ML13" s="282"/>
      <c r="MM13" s="1232"/>
      <c r="MN13" s="1232"/>
      <c r="MO13" s="1232"/>
      <c r="MP13" s="1232"/>
      <c r="MS13" s="421"/>
      <c r="MT13" s="421"/>
      <c r="MU13" s="421"/>
      <c r="MV13" s="421"/>
      <c r="MW13" s="421"/>
      <c r="MX13" s="421"/>
      <c r="MY13" s="421"/>
      <c r="MZ13" s="421"/>
      <c r="NA13" s="421"/>
      <c r="NB13" s="421"/>
      <c r="NC13" s="421"/>
      <c r="ND13" s="421"/>
      <c r="NE13" s="421"/>
      <c r="NF13" s="421"/>
      <c r="NG13" s="421"/>
      <c r="NH13" s="421"/>
      <c r="NI13" s="421"/>
      <c r="NJ13" s="421"/>
      <c r="NK13" s="421"/>
      <c r="NL13" s="421"/>
      <c r="OQ13" s="282"/>
      <c r="OR13" s="282"/>
      <c r="OS13" s="282"/>
      <c r="OT13" s="282"/>
      <c r="OU13" s="282"/>
      <c r="OV13" s="282"/>
      <c r="OW13" s="282"/>
      <c r="OX13" s="282"/>
      <c r="OY13" s="282"/>
      <c r="OZ13" s="282"/>
      <c r="PA13" s="282"/>
      <c r="PB13" s="282"/>
      <c r="PC13" s="282"/>
      <c r="PD13" s="282"/>
      <c r="PE13" s="282"/>
      <c r="PF13" s="282"/>
      <c r="PG13" s="282"/>
      <c r="PH13" s="282"/>
      <c r="PI13" s="282"/>
      <c r="PJ13" s="282"/>
      <c r="PK13" s="282"/>
      <c r="PL13" s="282"/>
      <c r="PM13" s="282"/>
    </row>
    <row r="14" spans="1:429" ht="15.6" outlineLevel="1">
      <c r="A14" s="2057"/>
      <c r="C14" s="272" t="s">
        <v>391</v>
      </c>
      <c r="E14" s="1530"/>
      <c r="F14" s="101">
        <f>COUNTIF($B$57:$B$270,$B13)</f>
        <v>23</v>
      </c>
      <c r="G14" s="101">
        <f>COUNTIF($B$57:$B$270,$B13)</f>
        <v>23</v>
      </c>
      <c r="H14" s="103">
        <f>COUNTIFS($B$57:$B$270,$B13,H$57:H$270,"&gt;0")</f>
        <v>23</v>
      </c>
      <c r="I14" s="103">
        <f>COUNTIFS($B$57:$B$270,$B13,I$57:I$270,"&gt;0")</f>
        <v>21</v>
      </c>
      <c r="J14" s="103">
        <f>COUNTIFS($B$57:$B$270,$B13,J$57:J$270,"&gt;0")</f>
        <v>23</v>
      </c>
      <c r="K14" s="830">
        <f>COUNTIFS($B$57:$B$270,$B13,K$57:K$270,"&gt;0")</f>
        <v>23</v>
      </c>
      <c r="L14" s="1088"/>
      <c r="M14" s="1088"/>
      <c r="N14" s="1088"/>
      <c r="O14" s="1088"/>
      <c r="P14" s="1088"/>
      <c r="Q14" s="9">
        <f>$S14</f>
        <v>23</v>
      </c>
      <c r="R14" s="9">
        <f>$S14</f>
        <v>23</v>
      </c>
      <c r="S14" s="106">
        <f>COUNTIFS($B$57:$B$270,$B13,S$57:S$270,"&gt;0")</f>
        <v>23</v>
      </c>
      <c r="T14" s="1072"/>
      <c r="U14" s="1072"/>
      <c r="V14" s="1072"/>
      <c r="W14" s="106">
        <f>COUNTIFS($B$57:$B$270,$B13,W$57:W$270,"&gt;0")</f>
        <v>23</v>
      </c>
      <c r="X14" s="106">
        <f>COUNTIFS($B$57:$B$270,$B13,X$57:X$270,"&gt;0")</f>
        <v>23</v>
      </c>
      <c r="Y14" s="1072"/>
      <c r="Z14" s="1072"/>
      <c r="AA14" s="106">
        <f>COUNTIFS($B$57:$B$270,$B13,AA$57:AA$270,"&lt;&gt;0")</f>
        <v>23</v>
      </c>
      <c r="AB14" s="106">
        <f>COUNTIFS($B$57:$B$270,$B13,AB$57:AB$270,"&lt;&gt;0")</f>
        <v>23</v>
      </c>
      <c r="AC14" s="282"/>
      <c r="AD14" s="282"/>
      <c r="AE14" s="101">
        <f>COUNTIF($B$57:$B$270,$B13)</f>
        <v>23</v>
      </c>
      <c r="AF14" s="101">
        <f>COUNTIFS($B$57:$B$270,$B13,AF$57:AF$270,"&gt;0")</f>
        <v>13</v>
      </c>
      <c r="AG14" s="282"/>
      <c r="AH14" s="101">
        <f>COUNTIF($B$57:$B$270,$B13)</f>
        <v>23</v>
      </c>
      <c r="AI14" s="101">
        <f>COUNTIFS($B$57:$B$270,$B13,AI$57:AI$270,"&gt;0")</f>
        <v>0</v>
      </c>
      <c r="AJ14" s="1072"/>
      <c r="AK14" s="101">
        <f>COUNTIF($B$57:$B$270,$B13)</f>
        <v>23</v>
      </c>
      <c r="AL14" s="101">
        <f>COUNTIFS($B$57:$B$270,$B13,AL$57:AL$270,"&gt;0")</f>
        <v>13</v>
      </c>
      <c r="AM14" s="403"/>
      <c r="AN14" s="1072"/>
      <c r="AO14" s="403"/>
      <c r="AP14" s="403"/>
      <c r="AQ14" s="403"/>
      <c r="AR14" s="403"/>
      <c r="AS14" s="282"/>
      <c r="AT14" s="282"/>
      <c r="AU14" s="282"/>
      <c r="AV14" s="282"/>
      <c r="AW14" s="282"/>
      <c r="AX14" s="101">
        <f t="shared" ref="AX14:BE14" si="179">COUNTIF($B$57:$B$270,$B13)</f>
        <v>23</v>
      </c>
      <c r="AY14" s="101">
        <f t="shared" si="179"/>
        <v>23</v>
      </c>
      <c r="AZ14" s="101">
        <f t="shared" si="179"/>
        <v>23</v>
      </c>
      <c r="BA14" s="101">
        <f t="shared" si="179"/>
        <v>23</v>
      </c>
      <c r="BB14" s="101">
        <f t="shared" si="179"/>
        <v>23</v>
      </c>
      <c r="BC14" s="101">
        <f t="shared" si="179"/>
        <v>23</v>
      </c>
      <c r="BD14" s="101">
        <f t="shared" si="179"/>
        <v>23</v>
      </c>
      <c r="BE14" s="101">
        <f t="shared" si="179"/>
        <v>23</v>
      </c>
      <c r="BF14" s="106">
        <f t="shared" ref="BF14:BK14" si="180">COUNTIFS($B$57:$B$270,$B13,BF$57:BF$270,"&gt;0")</f>
        <v>10</v>
      </c>
      <c r="BG14" s="106">
        <f t="shared" si="180"/>
        <v>20</v>
      </c>
      <c r="BH14" s="106">
        <f t="shared" si="180"/>
        <v>20</v>
      </c>
      <c r="BI14" s="1269">
        <f t="shared" si="180"/>
        <v>23</v>
      </c>
      <c r="BJ14" s="106">
        <f t="shared" si="180"/>
        <v>23</v>
      </c>
      <c r="BK14" s="106">
        <f t="shared" si="180"/>
        <v>22</v>
      </c>
      <c r="BL14" s="292"/>
      <c r="BM14" s="101">
        <f>COUNTIF($B$57:$B$270,$B13)</f>
        <v>23</v>
      </c>
      <c r="BN14" s="106">
        <f>COUNTIFS($B$57:$B$270,$B13,BN$57:BN$270,"&gt;0")</f>
        <v>17</v>
      </c>
      <c r="BO14" s="282"/>
      <c r="BP14" s="106">
        <f>COUNTIFS($B$57:$B$270,$B13,BP$57:BP$270,"&gt;0")</f>
        <v>23</v>
      </c>
      <c r="BQ14" s="106">
        <f>COUNTIFS($B$57:$B$270,$B13,BQ$57:BQ$270,"&gt;0")</f>
        <v>23</v>
      </c>
      <c r="BR14" s="106">
        <f>COUNTIFS($B$57:$B$270,$B13,BR$57:BR$270,"&gt;0")</f>
        <v>23</v>
      </c>
      <c r="BS14" s="101">
        <f>COUNTIF($B$57:$B$270,$B13)</f>
        <v>23</v>
      </c>
      <c r="BT14" s="106">
        <f>COUNTIFS($B$57:$B$270,$B13,BT$57:BT$270,"&gt;0")</f>
        <v>23</v>
      </c>
      <c r="BU14" s="106">
        <f>COUNTIFS($B$57:$B$270,$B13,BU$57:BU$270,"&gt;0")</f>
        <v>23</v>
      </c>
      <c r="BV14" s="106">
        <f>COUNTIFS($B$57:$B$270,$B13,BV$57:BV$270,"&gt;0")</f>
        <v>23</v>
      </c>
      <c r="BW14" s="820"/>
      <c r="BX14" s="820"/>
      <c r="BY14" s="820"/>
      <c r="BZ14" s="405">
        <f t="shared" ref="BZ14:CI14" si="181">$CJ14</f>
        <v>23</v>
      </c>
      <c r="CA14" s="405">
        <f t="shared" si="181"/>
        <v>23</v>
      </c>
      <c r="CB14" s="405">
        <f t="shared" si="181"/>
        <v>23</v>
      </c>
      <c r="CC14" s="405">
        <f t="shared" si="181"/>
        <v>23</v>
      </c>
      <c r="CD14" s="405">
        <f t="shared" si="181"/>
        <v>23</v>
      </c>
      <c r="CE14" s="405">
        <f t="shared" si="181"/>
        <v>23</v>
      </c>
      <c r="CF14" s="405">
        <f t="shared" si="181"/>
        <v>23</v>
      </c>
      <c r="CG14" s="405">
        <f t="shared" si="181"/>
        <v>23</v>
      </c>
      <c r="CH14" s="405">
        <f t="shared" si="181"/>
        <v>23</v>
      </c>
      <c r="CI14" s="405">
        <f t="shared" si="181"/>
        <v>23</v>
      </c>
      <c r="CJ14" s="106">
        <f>COUNTIFS($B$57:$B$270,$B13,CJ$57:CJ$270,"&gt;0")</f>
        <v>23</v>
      </c>
      <c r="CK14" s="563">
        <f>CJ14-EY14</f>
        <v>0</v>
      </c>
      <c r="CL14" s="416"/>
      <c r="CM14" s="416"/>
      <c r="CN14" s="416"/>
      <c r="CO14" s="416"/>
      <c r="CP14" s="416"/>
      <c r="CQ14" s="416"/>
      <c r="CR14" s="416"/>
      <c r="CS14" s="416"/>
      <c r="CT14" s="416"/>
      <c r="CU14" s="416"/>
      <c r="CV14" s="405">
        <f t="shared" ref="CV14:DB14" si="182">$CJ14</f>
        <v>23</v>
      </c>
      <c r="CW14" s="405">
        <f t="shared" si="182"/>
        <v>23</v>
      </c>
      <c r="CX14" s="405">
        <f t="shared" si="182"/>
        <v>23</v>
      </c>
      <c r="CY14" s="405">
        <f t="shared" si="182"/>
        <v>23</v>
      </c>
      <c r="CZ14" s="405">
        <f t="shared" si="182"/>
        <v>23</v>
      </c>
      <c r="DA14" s="405">
        <f t="shared" si="182"/>
        <v>23</v>
      </c>
      <c r="DB14" s="405">
        <f t="shared" si="182"/>
        <v>23</v>
      </c>
      <c r="DC14" s="406"/>
      <c r="DD14" s="406"/>
      <c r="DE14" s="406"/>
      <c r="DF14" s="406"/>
      <c r="DG14" s="406"/>
      <c r="DH14" s="406"/>
      <c r="DI14" s="406"/>
      <c r="DK14" s="822"/>
      <c r="DL14" s="822"/>
      <c r="DM14" s="822"/>
      <c r="DN14" s="822"/>
      <c r="DO14" s="822"/>
      <c r="DP14" s="822"/>
      <c r="DQ14" s="822"/>
      <c r="DR14" s="822"/>
      <c r="DS14" s="822"/>
      <c r="DT14" s="822"/>
      <c r="DU14" s="822"/>
      <c r="DV14" s="822"/>
      <c r="DW14" s="822"/>
      <c r="DX14" s="822"/>
      <c r="DY14" s="822"/>
      <c r="DZ14" s="822"/>
      <c r="EA14" s="822"/>
      <c r="EB14" s="822"/>
      <c r="EC14" s="824"/>
      <c r="ED14" s="106">
        <f>COUNTIFS($B$57:$B$270,$B13,ED$57:ED$270,"&gt;0")</f>
        <v>23</v>
      </c>
      <c r="EE14" s="101">
        <f>COUNTIF($B$57:$B$270,$B13)</f>
        <v>23</v>
      </c>
      <c r="EF14" s="106">
        <f>COUNTIFS($B$57:$B$270,$B13,EF$57:EF$270,"&gt;0")</f>
        <v>15</v>
      </c>
      <c r="EG14" s="106">
        <f>COUNTIFS($B$57:$B$270,$B13,EG$57:EG$270,"&gt;0")</f>
        <v>14</v>
      </c>
      <c r="EH14" s="101">
        <f>COUNTIF($B$57:$B$270,$B13)</f>
        <v>23</v>
      </c>
      <c r="EI14" s="101">
        <f>COUNTIFS($B$57:$B$270,$B13,EI$57:EI$270,"&gt;0")</f>
        <v>20</v>
      </c>
      <c r="EJ14" s="823"/>
      <c r="EK14" s="101">
        <f>COUNTIF($B$57:$B$270,$B13)</f>
        <v>23</v>
      </c>
      <c r="EL14" s="106">
        <f>COUNTIFS($B$57:$B$270,$B13,EL$57:EL$270,"&gt;0")</f>
        <v>6</v>
      </c>
      <c r="EM14" s="101">
        <f>COUNTIF($B$57:$B$270,$B13)</f>
        <v>23</v>
      </c>
      <c r="EN14" s="101">
        <f>COUNTIFS($B$57:$B$270,$B13,EN$57:EN$270,"&gt;0")</f>
        <v>7</v>
      </c>
      <c r="EO14" s="101">
        <f>COUNTIF($B$57:$B$270,$B13)</f>
        <v>23</v>
      </c>
      <c r="EP14" s="106">
        <f>COUNTIFS($B$57:$B$270,$B13,EP$57:EP$270,"&gt;0")</f>
        <v>7</v>
      </c>
      <c r="EQ14" s="101">
        <f>COUNTIF($B$57:$B$270,$B13)</f>
        <v>23</v>
      </c>
      <c r="ER14" s="101">
        <f>COUNTIF($B$57:$B$270,$B13)</f>
        <v>23</v>
      </c>
      <c r="ES14" s="822"/>
      <c r="ET14" s="825"/>
      <c r="EU14" s="101">
        <f>COUNTIFS($B$57:$B$270,$B13,EU$57:EU$270,2)</f>
        <v>9</v>
      </c>
      <c r="EV14" s="106">
        <f>COUNTIFS($B$57:$B$270,$B13,EV$57:EV$270,"&gt;0")</f>
        <v>23</v>
      </c>
      <c r="EW14" s="101">
        <f>COUNTIFS($B$57:$B$270,$B13,EW$57:EW$270,"&gt;0")</f>
        <v>20</v>
      </c>
      <c r="EX14" s="101">
        <f>COUNTIFS($B$57:$B$270,$B13,EX$57:EX$270,1)</f>
        <v>8</v>
      </c>
      <c r="EY14" s="101">
        <f>COUNTIFS($B$57:$B$270,$B13,EY$57:EY$270,"&gt;0")</f>
        <v>23</v>
      </c>
      <c r="EZ14" s="6">
        <f>$EY14</f>
        <v>23</v>
      </c>
      <c r="FA14" s="6"/>
      <c r="FB14" s="6">
        <f>$EY14</f>
        <v>23</v>
      </c>
      <c r="FC14" s="6">
        <f>$EY14</f>
        <v>23</v>
      </c>
      <c r="FD14" s="102"/>
      <c r="FE14" s="102"/>
      <c r="FF14" s="102"/>
      <c r="FG14" s="102"/>
      <c r="FH14" s="416"/>
      <c r="FI14" s="416"/>
      <c r="FJ14" s="416"/>
      <c r="FK14" s="416"/>
      <c r="FL14" s="416"/>
      <c r="FM14" s="416"/>
      <c r="FN14" s="416"/>
      <c r="FO14" s="416"/>
      <c r="FP14" s="416"/>
      <c r="FQ14" s="6">
        <f t="shared" ref="FQ14:FW14" si="183">$EY14</f>
        <v>23</v>
      </c>
      <c r="FR14" s="77">
        <f t="shared" si="183"/>
        <v>23</v>
      </c>
      <c r="FS14" s="6">
        <f t="shared" si="183"/>
        <v>23</v>
      </c>
      <c r="FT14" s="6">
        <f t="shared" si="183"/>
        <v>23</v>
      </c>
      <c r="FU14" s="6">
        <f t="shared" si="183"/>
        <v>23</v>
      </c>
      <c r="FV14" s="6">
        <f t="shared" si="183"/>
        <v>23</v>
      </c>
      <c r="FW14" s="6">
        <f t="shared" si="183"/>
        <v>23</v>
      </c>
      <c r="FX14" s="409"/>
      <c r="FY14" s="410"/>
      <c r="FZ14" s="416"/>
      <c r="GA14" s="416"/>
      <c r="GB14" s="416"/>
      <c r="GC14" s="416"/>
      <c r="GD14" s="416"/>
      <c r="GE14" s="416"/>
      <c r="GF14" s="416"/>
      <c r="GG14" s="416"/>
      <c r="GH14" s="416"/>
      <c r="GI14" s="419"/>
      <c r="GJ14" s="101">
        <f>COUNTIF($B$57:$B$270,$B13)</f>
        <v>23</v>
      </c>
      <c r="GK14" s="101">
        <f>COUNTIFS($B$57:$B$270,$B13,GK$57:GK$270,"&gt;0")</f>
        <v>19</v>
      </c>
      <c r="GL14" s="101">
        <f>COUNTIF($B$57:$B$270,$B13)</f>
        <v>23</v>
      </c>
      <c r="GM14" s="101">
        <f>COUNTIFS($B$57:$B$270,$B13,GM$57:GM$270,"&gt;0")</f>
        <v>14</v>
      </c>
      <c r="GN14" s="7">
        <f t="shared" ref="GN14:GV14" si="184">$GW14</f>
        <v>13</v>
      </c>
      <c r="GO14" s="7">
        <f t="shared" si="184"/>
        <v>13</v>
      </c>
      <c r="GP14" s="7">
        <f t="shared" si="184"/>
        <v>13</v>
      </c>
      <c r="GQ14" s="7">
        <f t="shared" si="184"/>
        <v>13</v>
      </c>
      <c r="GR14" s="7">
        <f t="shared" si="184"/>
        <v>13</v>
      </c>
      <c r="GS14" s="7">
        <f t="shared" si="184"/>
        <v>13</v>
      </c>
      <c r="GT14" s="7">
        <f t="shared" si="184"/>
        <v>13</v>
      </c>
      <c r="GU14" s="7">
        <f t="shared" si="184"/>
        <v>13</v>
      </c>
      <c r="GV14" s="7">
        <f t="shared" si="184"/>
        <v>13</v>
      </c>
      <c r="GW14" s="103">
        <f>COUNTIFS($B$57:$B$270,$B13,GW$57:GW$270,"&gt;0")</f>
        <v>13</v>
      </c>
      <c r="GY14" s="104"/>
      <c r="GZ14" s="20"/>
      <c r="HA14" s="20"/>
      <c r="HB14" s="20"/>
      <c r="HC14" s="105"/>
      <c r="HD14" s="20"/>
      <c r="HE14" s="20"/>
      <c r="HF14" s="105"/>
      <c r="HG14" s="9">
        <f t="shared" ref="HG14:HO14" si="185">$HP14</f>
        <v>9</v>
      </c>
      <c r="HH14" s="9">
        <f t="shared" si="185"/>
        <v>9</v>
      </c>
      <c r="HI14" s="9">
        <f t="shared" si="185"/>
        <v>9</v>
      </c>
      <c r="HJ14" s="9">
        <f t="shared" si="185"/>
        <v>9</v>
      </c>
      <c r="HK14" s="9">
        <f t="shared" si="185"/>
        <v>9</v>
      </c>
      <c r="HL14" s="9">
        <f t="shared" si="185"/>
        <v>9</v>
      </c>
      <c r="HM14" s="9">
        <f t="shared" si="185"/>
        <v>9</v>
      </c>
      <c r="HN14" s="9">
        <f t="shared" si="185"/>
        <v>9</v>
      </c>
      <c r="HO14" s="9">
        <f t="shared" si="185"/>
        <v>9</v>
      </c>
      <c r="HP14" s="106">
        <f>COUNTIFS($B$57:$B$270,$B13,HP$57:HP$270,"&gt;0")</f>
        <v>9</v>
      </c>
      <c r="HR14" s="107"/>
      <c r="HS14" s="105"/>
      <c r="HT14" s="105"/>
      <c r="HU14" s="105"/>
      <c r="HV14" s="105"/>
      <c r="HW14" s="105"/>
      <c r="HX14" s="105"/>
      <c r="HY14" s="105"/>
      <c r="HZ14" s="51"/>
      <c r="IA14" s="414"/>
      <c r="IB14" s="414"/>
      <c r="IC14" s="413">
        <f>COUNTIF($B$57:$B$270,$B13)</f>
        <v>23</v>
      </c>
      <c r="IE14" s="413">
        <f>COUNTIF($B$57:$B$270,$B13)</f>
        <v>23</v>
      </c>
      <c r="IG14" s="820"/>
      <c r="IH14" s="820"/>
      <c r="II14" s="106">
        <f>COUNTIFS($B$57:$B$270,$B13,II$57:II$270,"&gt;0")</f>
        <v>12</v>
      </c>
      <c r="IJ14" s="106">
        <f>COUNTIFS($B$57:$B$270,$B13,IJ$57:IJ$270,"&gt;0")</f>
        <v>11</v>
      </c>
      <c r="IK14" s="413">
        <f>COUNTIF($B$57:$B$270,$B13)</f>
        <v>23</v>
      </c>
      <c r="IL14" s="413">
        <f>COUNTIF($B$57:$B$270,$B13)</f>
        <v>23</v>
      </c>
      <c r="IM14" s="413">
        <f>COUNTIF($B$57:$B$270,$B13)</f>
        <v>23</v>
      </c>
      <c r="IN14" s="413">
        <f>COUNTIF($B$57:$B$270,$B13)</f>
        <v>23</v>
      </c>
      <c r="IO14" s="853"/>
      <c r="IP14" s="851"/>
      <c r="IQ14" s="854"/>
      <c r="IR14" s="414"/>
      <c r="IS14" s="414"/>
      <c r="IT14" s="414"/>
      <c r="IU14" s="414"/>
      <c r="IV14" s="414"/>
      <c r="IW14" s="414"/>
      <c r="IX14" s="416"/>
      <c r="IY14" s="416"/>
      <c r="IZ14" s="416"/>
      <c r="JA14" s="416"/>
      <c r="JB14" s="416"/>
      <c r="JC14" s="416"/>
      <c r="JD14" s="414"/>
      <c r="JE14" s="414"/>
      <c r="JF14" s="414"/>
      <c r="JG14" s="414"/>
      <c r="JH14" s="414">
        <f>COUNTIF($B$57:$B$270,$B13)</f>
        <v>23</v>
      </c>
      <c r="JI14" s="414">
        <f>COUNTIF($B$57:$B$270,$B13)</f>
        <v>23</v>
      </c>
      <c r="JJ14" s="414">
        <f t="shared" ref="JJ14:JQ14" si="186">COUNTIFS($B$57:$B$270,$B13,JJ$57:JJ$270,"&gt;0")</f>
        <v>15</v>
      </c>
      <c r="JK14" s="414">
        <f t="shared" si="186"/>
        <v>23</v>
      </c>
      <c r="JL14" s="414">
        <f t="shared" si="186"/>
        <v>23</v>
      </c>
      <c r="JM14" s="414">
        <f t="shared" si="186"/>
        <v>15</v>
      </c>
      <c r="JN14" s="414">
        <f t="shared" si="186"/>
        <v>23</v>
      </c>
      <c r="JO14" s="414">
        <f t="shared" si="186"/>
        <v>22</v>
      </c>
      <c r="JP14" s="414">
        <f t="shared" si="186"/>
        <v>23</v>
      </c>
      <c r="JQ14" s="414">
        <f t="shared" si="186"/>
        <v>23</v>
      </c>
      <c r="JR14" s="414"/>
      <c r="JS14" s="414"/>
      <c r="JT14" s="414"/>
      <c r="JU14" s="414"/>
      <c r="JV14" s="414"/>
      <c r="JW14" s="414"/>
      <c r="JX14" s="414"/>
      <c r="JY14" s="393">
        <f>COUNTIFS($B$57:$B$270,$B13,JY$57:JY$270,"&gt;0")</f>
        <v>13</v>
      </c>
      <c r="JZ14" s="414"/>
      <c r="KA14" s="414"/>
      <c r="KB14" s="414"/>
      <c r="KC14" s="414"/>
      <c r="KD14" s="414"/>
      <c r="KE14" s="414"/>
      <c r="KF14" s="414"/>
      <c r="KG14" s="414"/>
      <c r="KH14" s="414"/>
      <c r="KI14" s="393">
        <f t="shared" ref="KI14:KV14" si="187">COUNTIFS($B$57:$B$270,$B13,KI$57:KI$270,"&gt;0")</f>
        <v>9</v>
      </c>
      <c r="KJ14" s="61">
        <f t="shared" si="187"/>
        <v>22</v>
      </c>
      <c r="KK14" s="61">
        <f t="shared" si="187"/>
        <v>22</v>
      </c>
      <c r="KL14" s="61">
        <f t="shared" si="187"/>
        <v>22</v>
      </c>
      <c r="KM14" s="61">
        <f t="shared" si="187"/>
        <v>22</v>
      </c>
      <c r="KN14" s="61">
        <f t="shared" si="187"/>
        <v>22</v>
      </c>
      <c r="KO14" s="61">
        <f t="shared" si="187"/>
        <v>22</v>
      </c>
      <c r="KP14" s="61">
        <f t="shared" si="187"/>
        <v>22</v>
      </c>
      <c r="KQ14" s="61">
        <f t="shared" si="187"/>
        <v>22</v>
      </c>
      <c r="KR14" s="61">
        <f t="shared" si="187"/>
        <v>22</v>
      </c>
      <c r="KS14" s="61">
        <f t="shared" si="187"/>
        <v>22</v>
      </c>
      <c r="KT14" s="61">
        <f t="shared" si="187"/>
        <v>11</v>
      </c>
      <c r="KU14" s="61">
        <f t="shared" si="187"/>
        <v>22</v>
      </c>
      <c r="KV14" s="61">
        <f t="shared" si="187"/>
        <v>22</v>
      </c>
      <c r="KW14" s="393">
        <f>COUNTIFS($B$57:$B$270,$B13,KW$57:KW$270,"&lt;&gt;0")</f>
        <v>22</v>
      </c>
      <c r="KX14" s="108"/>
      <c r="KY14" s="421"/>
      <c r="KZ14" s="421"/>
      <c r="LA14" s="421"/>
      <c r="LB14" s="421"/>
      <c r="LQ14" s="421"/>
      <c r="LR14" s="421"/>
      <c r="LS14" s="421"/>
      <c r="LT14" s="282"/>
      <c r="LU14" s="282"/>
      <c r="LV14" s="282"/>
      <c r="LW14" s="282"/>
      <c r="LX14" s="282"/>
      <c r="LY14" s="282"/>
      <c r="LZ14" s="282"/>
      <c r="MA14" s="282"/>
      <c r="MB14" s="282"/>
      <c r="MC14" s="282"/>
      <c r="MD14" s="282"/>
      <c r="ME14" s="282"/>
      <c r="MF14" s="282"/>
      <c r="MG14" s="282"/>
      <c r="MH14" s="282"/>
      <c r="MI14" s="282"/>
      <c r="MJ14" s="282"/>
      <c r="MK14" s="282"/>
      <c r="ML14" s="282"/>
      <c r="MM14" s="1232"/>
      <c r="MN14" s="1232"/>
      <c r="MO14" s="1232"/>
      <c r="MP14" s="1232"/>
      <c r="MS14" s="421"/>
      <c r="MT14" s="421"/>
      <c r="MU14" s="421"/>
      <c r="MV14" s="421"/>
      <c r="MW14" s="421"/>
      <c r="MX14" s="421"/>
      <c r="MY14" s="421"/>
      <c r="MZ14" s="421"/>
      <c r="NA14" s="421"/>
      <c r="NB14" s="421"/>
      <c r="NC14" s="421"/>
      <c r="ND14" s="421"/>
      <c r="NE14" s="421"/>
      <c r="NF14" s="421"/>
      <c r="NG14" s="421"/>
      <c r="NH14" s="421"/>
      <c r="NI14" s="421"/>
      <c r="NJ14" s="421"/>
      <c r="NK14" s="421"/>
      <c r="NL14" s="421"/>
      <c r="OQ14" s="282"/>
      <c r="OR14" s="282"/>
      <c r="OS14" s="282"/>
      <c r="OT14" s="282"/>
      <c r="OU14" s="282"/>
      <c r="OV14" s="282"/>
      <c r="OW14" s="282"/>
      <c r="OX14" s="282"/>
      <c r="OY14" s="282"/>
      <c r="OZ14" s="282"/>
      <c r="PA14" s="282"/>
      <c r="PB14" s="282"/>
      <c r="PC14" s="282"/>
      <c r="PD14" s="282"/>
      <c r="PE14" s="282"/>
      <c r="PF14" s="282"/>
      <c r="PG14" s="282"/>
      <c r="PH14" s="282"/>
      <c r="PI14" s="282"/>
      <c r="PJ14" s="282"/>
      <c r="PK14" s="282"/>
      <c r="PL14" s="282"/>
      <c r="PM14" s="282"/>
    </row>
    <row r="15" spans="1:429" ht="22.8" outlineLevel="1">
      <c r="A15" s="2057"/>
      <c r="B15" s="897"/>
      <c r="C15" s="898" t="s">
        <v>383</v>
      </c>
      <c r="D15" s="897"/>
      <c r="E15" s="1531"/>
      <c r="F15" s="899">
        <f>ROUND(F13/F14,2)</f>
        <v>0.83</v>
      </c>
      <c r="G15" s="899">
        <f>ROUND(G13/G14,2)</f>
        <v>0.39</v>
      </c>
      <c r="H15" s="900">
        <f>ROUND(H13/H14,-1)</f>
        <v>440</v>
      </c>
      <c r="I15" s="900">
        <f>ROUND(I13/I14,-1)</f>
        <v>240</v>
      </c>
      <c r="J15" s="900">
        <f>ROUND(J13/J14,-1)</f>
        <v>660</v>
      </c>
      <c r="K15" s="916">
        <f>ROUND(K13/K14,-1)</f>
        <v>620</v>
      </c>
      <c r="L15" s="1083"/>
      <c r="M15" s="1084"/>
      <c r="N15" s="1085"/>
      <c r="O15" s="1084"/>
      <c r="P15" s="1084"/>
      <c r="Q15" s="901">
        <f t="shared" ref="Q15:X15" si="188">ROUND(Q13/Q14,-2)</f>
        <v>20400</v>
      </c>
      <c r="R15" s="901">
        <f t="shared" si="188"/>
        <v>156100</v>
      </c>
      <c r="S15" s="901">
        <f t="shared" si="188"/>
        <v>176500</v>
      </c>
      <c r="T15" s="1069"/>
      <c r="U15" s="1069"/>
      <c r="V15" s="1069"/>
      <c r="W15" s="901">
        <f t="shared" si="188"/>
        <v>20400</v>
      </c>
      <c r="X15" s="901">
        <f t="shared" si="188"/>
        <v>18500</v>
      </c>
      <c r="Y15" s="1069"/>
      <c r="Z15" s="1069"/>
      <c r="AA15" s="901">
        <f>ROUND(AA13/AA14,-1)</f>
        <v>1900</v>
      </c>
      <c r="AB15" s="901">
        <f>ROUND(AB13/AB14,2)</f>
        <v>0.1</v>
      </c>
      <c r="AC15" s="1053"/>
      <c r="AD15" s="1068"/>
      <c r="AE15" s="899">
        <f>ROUND(AE13/AE14,2)</f>
        <v>0.56999999999999995</v>
      </c>
      <c r="AF15" s="900">
        <f>ROUND(AF13/AF14,-2)</f>
        <v>1900</v>
      </c>
      <c r="AG15" s="1116"/>
      <c r="AH15" s="899">
        <f>ROUND(AH13/AH14,2)</f>
        <v>0</v>
      </c>
      <c r="AI15" s="1794">
        <v>0</v>
      </c>
      <c r="AJ15" s="1119"/>
      <c r="AK15" s="899">
        <f>ROUND(AK13/AK14,2)</f>
        <v>0.56999999999999995</v>
      </c>
      <c r="AL15" s="900">
        <f>ROUND(AL13/AL14,2)</f>
        <v>2873.85</v>
      </c>
      <c r="AM15" s="902">
        <f>X15+AF15+AI15+AL15</f>
        <v>23273.85</v>
      </c>
      <c r="AN15" s="1069">
        <f>Z15+AG15+AJ15</f>
        <v>0</v>
      </c>
      <c r="AO15" s="902">
        <f>SE_fb_min_amt</f>
        <v>1600</v>
      </c>
      <c r="AP15" s="902">
        <f>ROUND(EP15*12,-2)</f>
        <v>1100</v>
      </c>
      <c r="AQ15" s="902">
        <f>+AM15+AO15+AP15</f>
        <v>25973.85</v>
      </c>
      <c r="AR15" s="903">
        <f>ROUND(Z15+AG15+AJ15,-2)</f>
        <v>0</v>
      </c>
      <c r="AS15" s="1124"/>
      <c r="AT15" s="1124"/>
      <c r="AU15" s="1124"/>
      <c r="AV15" s="1124"/>
      <c r="AW15" s="1068"/>
      <c r="AX15" s="899">
        <f>ROUND(AX13/AX14,2)</f>
        <v>0.52</v>
      </c>
      <c r="AY15" s="899">
        <f>ROUND(AY13/AY14,2)</f>
        <v>0.26</v>
      </c>
      <c r="AZ15" s="899">
        <f>ROUND(AZ13/AZ14,2)</f>
        <v>0.3</v>
      </c>
      <c r="BA15" s="899">
        <f>ROUND(BA13/BA14,2)</f>
        <v>0.09</v>
      </c>
      <c r="BB15" s="899">
        <f t="shared" ref="BB15:BC15" si="189">ROUND(BB13/BB14,2)</f>
        <v>0</v>
      </c>
      <c r="BC15" s="899">
        <f t="shared" si="189"/>
        <v>0.09</v>
      </c>
      <c r="BD15" s="899">
        <f>ROUND(BD13/BD14,2)</f>
        <v>0.09</v>
      </c>
      <c r="BE15" s="899">
        <f t="shared" ref="BE15" si="190">ROUND(BE13/BE14,2)</f>
        <v>0.48</v>
      </c>
      <c r="BF15" s="900">
        <f t="shared" ref="BF15:BK15" si="191">ROUND(BF13/BF14,-2)</f>
        <v>7095700</v>
      </c>
      <c r="BG15" s="901">
        <f t="shared" si="191"/>
        <v>1635400</v>
      </c>
      <c r="BH15" s="901">
        <f t="shared" si="191"/>
        <v>5183300</v>
      </c>
      <c r="BI15" s="1266">
        <f t="shared" si="191"/>
        <v>32479900</v>
      </c>
      <c r="BJ15" s="901">
        <f t="shared" si="191"/>
        <v>4170300</v>
      </c>
      <c r="BK15" s="901">
        <f t="shared" si="191"/>
        <v>2326700</v>
      </c>
      <c r="BL15" s="904">
        <f>ROUND(BJ15/BK15,2)</f>
        <v>1.79</v>
      </c>
      <c r="BM15" s="899">
        <f>ROUND(BM13/BM14,2)</f>
        <v>0.74</v>
      </c>
      <c r="BN15" s="901">
        <f>ROUND(BN13/BN14,-2)</f>
        <v>6601500</v>
      </c>
      <c r="BO15" s="1135"/>
      <c r="BP15" s="901">
        <f t="shared" ref="BP15:BQ15" si="192">ROUND(BP13/BP14,-2)</f>
        <v>7705800</v>
      </c>
      <c r="BQ15" s="901">
        <f t="shared" si="192"/>
        <v>7228500</v>
      </c>
      <c r="BR15" s="1219">
        <f>ROUND(BR13/BR14,1)</f>
        <v>1.3</v>
      </c>
      <c r="BS15" s="899">
        <f>ROUND(BS13/BS14,2)</f>
        <v>0.52</v>
      </c>
      <c r="BT15" s="901">
        <f t="shared" ref="BT15:BU15" si="193">ROUND(BT13/BT14,-2)</f>
        <v>12750600</v>
      </c>
      <c r="BU15" s="901">
        <f t="shared" si="193"/>
        <v>32745500</v>
      </c>
      <c r="BV15" s="1219">
        <f>ROUND(BV13/BV14,1)</f>
        <v>0.5</v>
      </c>
      <c r="BW15" s="916">
        <f>IF(BN15=0,0,+IF(K15=0,0,ROUND(BN15/K15,-1)))</f>
        <v>10650</v>
      </c>
      <c r="BX15" s="916">
        <f>IF(BJ15=0,0,+IF(K15=0,0,ROUND(BJ15/K15,-1)))</f>
        <v>6730</v>
      </c>
      <c r="BY15" s="916">
        <f>IF(BH15=0,0,+IF(K15=0,0,ROUND(BH15/K15,-1)))</f>
        <v>8360</v>
      </c>
      <c r="BZ15" s="900">
        <f t="shared" ref="BZ15:CI15" si="194">ROUND(BZ13/BZ14,-3)</f>
        <v>1567000</v>
      </c>
      <c r="CA15" s="900">
        <f t="shared" si="194"/>
        <v>241000</v>
      </c>
      <c r="CB15" s="900">
        <f t="shared" si="194"/>
        <v>665000</v>
      </c>
      <c r="CC15" s="900">
        <f t="shared" si="194"/>
        <v>522000</v>
      </c>
      <c r="CD15" s="900">
        <f t="shared" si="194"/>
        <v>11531000</v>
      </c>
      <c r="CE15" s="900">
        <f t="shared" si="194"/>
        <v>0</v>
      </c>
      <c r="CF15" s="900">
        <f t="shared" si="194"/>
        <v>0</v>
      </c>
      <c r="CG15" s="900">
        <f t="shared" si="194"/>
        <v>2284000</v>
      </c>
      <c r="CH15" s="900">
        <f t="shared" si="194"/>
        <v>856000</v>
      </c>
      <c r="CI15" s="900">
        <f t="shared" si="194"/>
        <v>672000</v>
      </c>
      <c r="CJ15" s="905">
        <f>SUM(BZ15:CI15)</f>
        <v>18338000</v>
      </c>
      <c r="CK15" s="906">
        <f t="shared" ref="CK15:CU15" si="195">ROUND(BZ15/$CJ15,3)</f>
        <v>8.5000000000000006E-2</v>
      </c>
      <c r="CL15" s="906">
        <f t="shared" si="195"/>
        <v>1.2999999999999999E-2</v>
      </c>
      <c r="CM15" s="906">
        <f t="shared" si="195"/>
        <v>3.5999999999999997E-2</v>
      </c>
      <c r="CN15" s="906">
        <f t="shared" si="195"/>
        <v>2.8000000000000001E-2</v>
      </c>
      <c r="CO15" s="906">
        <f t="shared" si="195"/>
        <v>0.629</v>
      </c>
      <c r="CP15" s="906">
        <f t="shared" si="195"/>
        <v>0</v>
      </c>
      <c r="CQ15" s="906">
        <f t="shared" si="195"/>
        <v>0</v>
      </c>
      <c r="CR15" s="906">
        <f t="shared" si="195"/>
        <v>0.125</v>
      </c>
      <c r="CS15" s="906">
        <f t="shared" si="195"/>
        <v>4.7E-2</v>
      </c>
      <c r="CT15" s="906">
        <f>ROUND(CI15/$CJ15,3)</f>
        <v>3.6999999999999998E-2</v>
      </c>
      <c r="CU15" s="906">
        <f t="shared" si="195"/>
        <v>1</v>
      </c>
      <c r="CV15" s="900">
        <f t="shared" ref="CV15:DA15" si="196">ROUND(CV13/CV14,-3)</f>
        <v>9120000</v>
      </c>
      <c r="CW15" s="900">
        <f t="shared" si="196"/>
        <v>1568000</v>
      </c>
      <c r="CX15" s="900">
        <f t="shared" si="196"/>
        <v>490000</v>
      </c>
      <c r="CY15" s="900">
        <f t="shared" si="196"/>
        <v>6153000</v>
      </c>
      <c r="CZ15" s="900">
        <f>ROUND(CZ13/CZ14,-3)</f>
        <v>348000</v>
      </c>
      <c r="DA15" s="900">
        <f t="shared" si="196"/>
        <v>491000</v>
      </c>
      <c r="DB15" s="900">
        <f>ROUND(DB13/DB14,-3)</f>
        <v>18169000</v>
      </c>
      <c r="DC15" s="906">
        <f t="shared" ref="DC15:DI15" si="197">ROUND(CV15/$DB15,3)</f>
        <v>0.502</v>
      </c>
      <c r="DD15" s="906">
        <f t="shared" si="197"/>
        <v>8.5999999999999993E-2</v>
      </c>
      <c r="DE15" s="906">
        <f t="shared" si="197"/>
        <v>2.7E-2</v>
      </c>
      <c r="DF15" s="906">
        <f t="shared" si="197"/>
        <v>0.33900000000000002</v>
      </c>
      <c r="DG15" s="906">
        <f t="shared" si="197"/>
        <v>1.9E-2</v>
      </c>
      <c r="DH15" s="906">
        <f>ROUND(DA15/$DB15,3)</f>
        <v>2.7E-2</v>
      </c>
      <c r="DI15" s="906">
        <f t="shared" si="197"/>
        <v>1</v>
      </c>
      <c r="DJ15" s="907">
        <f>CJ15-DB15</f>
        <v>169000</v>
      </c>
      <c r="DK15" s="917">
        <f t="shared" ref="DK15:DT15" si="198">IF(BZ15=0,0,+IF($K15=0,0,ROUND(BZ15/$K15,-1)))</f>
        <v>2530</v>
      </c>
      <c r="DL15" s="917">
        <f t="shared" si="198"/>
        <v>390</v>
      </c>
      <c r="DM15" s="917">
        <f t="shared" si="198"/>
        <v>1070</v>
      </c>
      <c r="DN15" s="917">
        <f t="shared" si="198"/>
        <v>840</v>
      </c>
      <c r="DO15" s="917">
        <f t="shared" si="198"/>
        <v>18600</v>
      </c>
      <c r="DP15" s="917">
        <f t="shared" si="198"/>
        <v>0</v>
      </c>
      <c r="DQ15" s="917">
        <f t="shared" si="198"/>
        <v>0</v>
      </c>
      <c r="DR15" s="917">
        <f t="shared" si="198"/>
        <v>3680</v>
      </c>
      <c r="DS15" s="917">
        <f t="shared" si="198"/>
        <v>1380</v>
      </c>
      <c r="DT15" s="917">
        <f t="shared" si="198"/>
        <v>1080</v>
      </c>
      <c r="DU15" s="917">
        <f>SUM(DK15:DT15)</f>
        <v>29570</v>
      </c>
      <c r="DV15" s="917">
        <f t="shared" ref="DV15:EA15" si="199">IF(CV15=0,0,+IF($K15=0,0,ROUND(CV15/$K15,-1)))</f>
        <v>14710</v>
      </c>
      <c r="DW15" s="917">
        <f t="shared" si="199"/>
        <v>2530</v>
      </c>
      <c r="DX15" s="917">
        <f t="shared" si="199"/>
        <v>790</v>
      </c>
      <c r="DY15" s="917">
        <f t="shared" si="199"/>
        <v>9920</v>
      </c>
      <c r="DZ15" s="917">
        <f t="shared" si="199"/>
        <v>560</v>
      </c>
      <c r="EA15" s="917">
        <f t="shared" si="199"/>
        <v>790</v>
      </c>
      <c r="EB15" s="917">
        <f>SUM(DV15:EA15)</f>
        <v>29300</v>
      </c>
      <c r="EC15" s="919">
        <f>DU15-EB15</f>
        <v>270</v>
      </c>
      <c r="ED15" s="901">
        <f>ROUND(ED13/ED14,0)</f>
        <v>167</v>
      </c>
      <c r="EE15" s="899">
        <f>ROUND(EE13/EE14,2)</f>
        <v>0.65</v>
      </c>
      <c r="EF15" s="901">
        <f>ROUND(EF13/EF14,0)</f>
        <v>52</v>
      </c>
      <c r="EG15" s="901">
        <f>ROUND(EG13/EG14,-1)</f>
        <v>471340</v>
      </c>
      <c r="EH15" s="899">
        <f>ROUND(EH13/EH14,2)</f>
        <v>0.91</v>
      </c>
      <c r="EI15" s="899">
        <f>ROUND(EI13/EI14,2)</f>
        <v>0.08</v>
      </c>
      <c r="EJ15" s="918">
        <f>IF(K15=0,0,+IF(ED15=0,0,ROUND(K15/ED15,1)))</f>
        <v>3.7</v>
      </c>
      <c r="EK15" s="899">
        <f>ROUND(EK13/EK14,2)</f>
        <v>0.26</v>
      </c>
      <c r="EL15" s="901">
        <f>ROUND(EL13/EL14,-2)</f>
        <v>1600</v>
      </c>
      <c r="EM15" s="899">
        <f>ROUND(EM13/EM14,2)</f>
        <v>0.3</v>
      </c>
      <c r="EN15" s="897">
        <f>ROUND(EN13/EN14,2)</f>
        <v>0.2</v>
      </c>
      <c r="EO15" s="899">
        <f>ROUND(EO13/EO14,2)</f>
        <v>0.3</v>
      </c>
      <c r="EP15" s="901">
        <f>ROUND(EP13/EP14,-1)</f>
        <v>90</v>
      </c>
      <c r="EQ15" s="899">
        <f>ROUND(EQ13/EQ14,2)</f>
        <v>0.09</v>
      </c>
      <c r="ER15" s="899">
        <f>ROUND(ER13/ER14,2)</f>
        <v>0.39</v>
      </c>
      <c r="ES15" s="917">
        <f>IF(FE15=0,0,+IF(K15=0,0,ROUND(FE15/K15,-2)))</f>
        <v>5100</v>
      </c>
      <c r="ET15" s="919">
        <f>IF(FY15=0,0,+IF(K15=0,0,ROUND(FY15/K15,-1)))</f>
        <v>-2970</v>
      </c>
      <c r="EU15" s="900">
        <f>COUNTIFS($B$57:$B$270,$B13,EU$57:EU$270,"&gt;2")</f>
        <v>5</v>
      </c>
      <c r="EV15" s="900">
        <f t="shared" ref="EV15:EZ15" si="200">ROUND(EV13/EV14,-2)</f>
        <v>85100</v>
      </c>
      <c r="EW15" s="900">
        <f t="shared" si="200"/>
        <v>8500</v>
      </c>
      <c r="EX15" s="900">
        <f>COUNTIFS($B$57:$B$270,$B13,EX$57:EX$270,2)</f>
        <v>1</v>
      </c>
      <c r="EY15" s="908">
        <f t="shared" si="200"/>
        <v>2283700</v>
      </c>
      <c r="EZ15" s="908">
        <f t="shared" si="200"/>
        <v>1247800</v>
      </c>
      <c r="FA15" s="909">
        <f>EY15-EZ15</f>
        <v>1035900</v>
      </c>
      <c r="FB15" s="908">
        <f>ROUND(FB13/FB14,-2)</f>
        <v>855500</v>
      </c>
      <c r="FC15" s="908">
        <f>ROUND(FC13/FC14,-2)</f>
        <v>320000</v>
      </c>
      <c r="FD15" s="909">
        <f>FB15-FC15</f>
        <v>535500</v>
      </c>
      <c r="FE15" s="909">
        <f>EY15+FB15</f>
        <v>3139200</v>
      </c>
      <c r="FF15" s="909">
        <f>EZ15+FC15</f>
        <v>1567800</v>
      </c>
      <c r="FG15" s="909">
        <f>FE15-FF15</f>
        <v>1571400</v>
      </c>
      <c r="FH15" s="906">
        <f>ROUND(EY15/$EY15,3)</f>
        <v>1</v>
      </c>
      <c r="FI15" s="906">
        <f>ROUND(EZ15/$EY15,3)</f>
        <v>0.54600000000000004</v>
      </c>
      <c r="FJ15" s="906">
        <f>ROUND(FA15/$EY15,3)</f>
        <v>0.45400000000000001</v>
      </c>
      <c r="FK15" s="906">
        <f>ROUND(FB15/$FB15,3)</f>
        <v>1</v>
      </c>
      <c r="FL15" s="906">
        <f>ROUND(FC15/$FB15,3)</f>
        <v>0.374</v>
      </c>
      <c r="FM15" s="906">
        <f>ROUND(FD15/$FB15,3)</f>
        <v>0.626</v>
      </c>
      <c r="FN15" s="906">
        <f>ROUND(FE15/$FE15,3)</f>
        <v>1</v>
      </c>
      <c r="FO15" s="906">
        <f>ROUND(FF15/$FE15,3)</f>
        <v>0.499</v>
      </c>
      <c r="FP15" s="906">
        <f>ROUND(FG15/$FE15,3)</f>
        <v>0.501</v>
      </c>
      <c r="FQ15" s="908">
        <f t="shared" ref="FQ15:FW15" si="201">ROUND(FQ13/FQ14,-2)</f>
        <v>2343100</v>
      </c>
      <c r="FR15" s="893">
        <f t="shared" si="201"/>
        <v>-128400</v>
      </c>
      <c r="FS15" s="908">
        <f t="shared" si="201"/>
        <v>446200</v>
      </c>
      <c r="FT15" s="908">
        <f t="shared" si="201"/>
        <v>58900</v>
      </c>
      <c r="FU15" s="908">
        <f t="shared" si="201"/>
        <v>42200</v>
      </c>
      <c r="FV15" s="908">
        <f t="shared" si="201"/>
        <v>36800</v>
      </c>
      <c r="FW15" s="908">
        <f t="shared" si="201"/>
        <v>616500</v>
      </c>
      <c r="FX15" s="909">
        <f>SUM(FQ15:FW15)</f>
        <v>3415300</v>
      </c>
      <c r="FY15" s="910">
        <f>ROUND(FG15-FX15,-2)</f>
        <v>-1843900</v>
      </c>
      <c r="FZ15" s="906">
        <f t="shared" ref="FZ15:GH15" si="202">ROUND(FQ15/$FE15,3)</f>
        <v>0.746</v>
      </c>
      <c r="GA15" s="906">
        <f t="shared" si="202"/>
        <v>-4.1000000000000002E-2</v>
      </c>
      <c r="GB15" s="906">
        <f t="shared" si="202"/>
        <v>0.14199999999999999</v>
      </c>
      <c r="GC15" s="906">
        <f t="shared" si="202"/>
        <v>1.9E-2</v>
      </c>
      <c r="GD15" s="906">
        <f t="shared" si="202"/>
        <v>1.2999999999999999E-2</v>
      </c>
      <c r="GE15" s="906">
        <f t="shared" si="202"/>
        <v>1.2E-2</v>
      </c>
      <c r="GF15" s="906">
        <f t="shared" si="202"/>
        <v>0.19600000000000001</v>
      </c>
      <c r="GG15" s="906">
        <f t="shared" si="202"/>
        <v>1.0880000000000001</v>
      </c>
      <c r="GH15" s="906">
        <f t="shared" si="202"/>
        <v>-0.58699999999999997</v>
      </c>
      <c r="GI15" s="911">
        <f>ROUND(EY15/FB15,2)</f>
        <v>2.67</v>
      </c>
      <c r="GJ15" s="899">
        <f>ROUND(GJ13/GJ14,2)</f>
        <v>0.83</v>
      </c>
      <c r="GK15" s="895">
        <f>ROUND(GK13/GK14,2)</f>
        <v>0.06</v>
      </c>
      <c r="GL15" s="899">
        <f>ROUND(GL13/GL14,2)</f>
        <v>0.61</v>
      </c>
      <c r="GM15" s="895">
        <f>ROUND(GM13/GM14,2)</f>
        <v>0.04</v>
      </c>
      <c r="GN15" s="900">
        <f>ROUND(GN13/GN14,2)</f>
        <v>18</v>
      </c>
      <c r="GO15" s="900">
        <f>ROUND(GO13/GO14,0)</f>
        <v>132</v>
      </c>
      <c r="GP15" s="900">
        <f>ROUND(GP13/GP14,-2)</f>
        <v>21200</v>
      </c>
      <c r="GQ15" s="900">
        <f t="shared" ref="GQ15:GV15" si="203">ROUND(GQ13/GQ14,-2)</f>
        <v>1219000</v>
      </c>
      <c r="GR15" s="900">
        <f t="shared" si="203"/>
        <v>216600</v>
      </c>
      <c r="GS15" s="900">
        <f t="shared" si="203"/>
        <v>627800</v>
      </c>
      <c r="GT15" s="900">
        <f t="shared" si="203"/>
        <v>206300</v>
      </c>
      <c r="GU15" s="900">
        <f t="shared" si="203"/>
        <v>36700</v>
      </c>
      <c r="GV15" s="900">
        <f t="shared" si="203"/>
        <v>320200</v>
      </c>
      <c r="GW15" s="912">
        <f>SUM(GQ15:GV15)</f>
        <v>2626600</v>
      </c>
      <c r="GX15" s="913">
        <f>IF(GW15=0,0,ROUND(GW15/GN15,-2))</f>
        <v>145900</v>
      </c>
      <c r="GY15" s="914">
        <f>IF(GW15=0,0,ROUND(GW15/GO15,-2))</f>
        <v>19900</v>
      </c>
      <c r="GZ15" s="915">
        <f t="shared" ref="GZ15:HE15" si="204">ROUND(GQ15/$GW15,3)</f>
        <v>0.46400000000000002</v>
      </c>
      <c r="HA15" s="915">
        <f t="shared" si="204"/>
        <v>8.2000000000000003E-2</v>
      </c>
      <c r="HB15" s="915">
        <f t="shared" si="204"/>
        <v>0.23899999999999999</v>
      </c>
      <c r="HC15" s="915">
        <f>ROUND(GT15/$GW15,3)+0.1%</f>
        <v>0.08</v>
      </c>
      <c r="HD15" s="915">
        <f t="shared" si="204"/>
        <v>1.4E-2</v>
      </c>
      <c r="HE15" s="915">
        <f t="shared" si="204"/>
        <v>0.122</v>
      </c>
      <c r="HF15" s="915">
        <f>SUM(GZ15:HE15)</f>
        <v>1.0009999999999999</v>
      </c>
      <c r="HG15" s="900">
        <f>ROUND(HG13/HG14,0)</f>
        <v>40</v>
      </c>
      <c r="HH15" s="900">
        <f>ROUND(HH13/HH14,0)</f>
        <v>328</v>
      </c>
      <c r="HI15" s="900">
        <f t="shared" ref="HI15:HP15" si="205">ROUND(HI13/HI14,-2)</f>
        <v>63400</v>
      </c>
      <c r="HJ15" s="900">
        <f t="shared" si="205"/>
        <v>2124700</v>
      </c>
      <c r="HK15" s="900">
        <f t="shared" si="205"/>
        <v>299600</v>
      </c>
      <c r="HL15" s="900">
        <f t="shared" si="205"/>
        <v>1213500</v>
      </c>
      <c r="HM15" s="900">
        <f t="shared" si="205"/>
        <v>274000</v>
      </c>
      <c r="HN15" s="900">
        <f t="shared" si="205"/>
        <v>105800</v>
      </c>
      <c r="HO15" s="900">
        <f t="shared" si="205"/>
        <v>501900</v>
      </c>
      <c r="HP15" s="900">
        <f t="shared" si="205"/>
        <v>4519500</v>
      </c>
      <c r="HQ15" s="913">
        <f>IF(HP15=0,0,ROUND(HP15/HG15,-2))</f>
        <v>113000</v>
      </c>
      <c r="HR15" s="914">
        <f>IF(HP15=0,0,ROUND(HP15/HH15,-1))</f>
        <v>13780</v>
      </c>
      <c r="HS15" s="915">
        <f t="shared" ref="HS15:HX15" si="206">IF(HJ15=0,0,ROUND(HJ15/$HP15,3))</f>
        <v>0.47</v>
      </c>
      <c r="HT15" s="915">
        <f t="shared" si="206"/>
        <v>6.6000000000000003E-2</v>
      </c>
      <c r="HU15" s="915">
        <f t="shared" si="206"/>
        <v>0.26900000000000002</v>
      </c>
      <c r="HV15" s="915">
        <f t="shared" si="206"/>
        <v>6.0999999999999999E-2</v>
      </c>
      <c r="HW15" s="915">
        <f t="shared" si="206"/>
        <v>2.3E-2</v>
      </c>
      <c r="HX15" s="915">
        <f t="shared" si="206"/>
        <v>0.111</v>
      </c>
      <c r="HY15" s="915">
        <f>SUM(HS15:HX15)</f>
        <v>1.0000000000000002</v>
      </c>
      <c r="HZ15" s="51"/>
      <c r="IA15" s="906">
        <f>ROUND(Q15/S15,2)</f>
        <v>0.12</v>
      </c>
      <c r="IB15" s="906"/>
      <c r="IC15" s="892">
        <f>ROUND(IC13/IC14,2)</f>
        <v>1</v>
      </c>
      <c r="ID15" s="892"/>
      <c r="IE15" s="892">
        <f>ROUND(IE13/IE14,2)</f>
        <v>0</v>
      </c>
      <c r="IF15" s="892"/>
      <c r="IG15" s="894">
        <f>ROUND(IF(BI15=0,0,+IF(K15=0,0,BI15/K15)),-1)</f>
        <v>52390</v>
      </c>
      <c r="IH15" s="894">
        <f>ROUND(IF(BU15=0,0,+IF(K15=0,0,BU15/K15)),-1)</f>
        <v>52820</v>
      </c>
      <c r="II15" s="1219">
        <f>ROUND(II13/II14,1)</f>
        <v>1.8</v>
      </c>
      <c r="IJ15" s="1219">
        <f>ROUND(IJ13/IJ14,1)</f>
        <v>0.7</v>
      </c>
      <c r="IK15" s="892">
        <f>ROUND(IK13/IK14,2)</f>
        <v>0.52</v>
      </c>
      <c r="IL15" s="892">
        <f>ROUND(IL13/IL14,2)</f>
        <v>0.09</v>
      </c>
      <c r="IM15" s="892">
        <f>ROUND(IM13/IM14,2)</f>
        <v>0.13</v>
      </c>
      <c r="IN15" s="892">
        <f>ROUND(IN13/IN14,2)</f>
        <v>0</v>
      </c>
      <c r="IO15" s="920">
        <f>ROUND(FY15/$J15,-1)</f>
        <v>-2790</v>
      </c>
      <c r="IP15" s="1188">
        <f>IF(K15=0,0,ROUND(FY15/K15,-1))</f>
        <v>-2970</v>
      </c>
      <c r="IQ15" s="921">
        <f>IF(FY15=0,0,+IF(CD15=0,0,FY15/CD15))</f>
        <v>-0.15990807388778078</v>
      </c>
      <c r="IR15" s="922">
        <f>EY15</f>
        <v>2283700</v>
      </c>
      <c r="IS15" s="922">
        <f>FB15</f>
        <v>855500</v>
      </c>
      <c r="IT15" s="922">
        <f>FQ15</f>
        <v>2343100</v>
      </c>
      <c r="IU15" s="922">
        <f>FS15+FT15</f>
        <v>505100</v>
      </c>
      <c r="IV15" s="922">
        <f>FF15</f>
        <v>1567800</v>
      </c>
      <c r="IW15" s="922">
        <f>SUM(FU15:FW15)+FR15</f>
        <v>567100</v>
      </c>
      <c r="IX15" s="906">
        <f t="shared" ref="IX15:JC15" si="207">IF(IR15=0,0,ROUND(IR15/(SUM($IR15:$IS15)),3))</f>
        <v>0.72699999999999998</v>
      </c>
      <c r="IY15" s="906">
        <f t="shared" si="207"/>
        <v>0.27300000000000002</v>
      </c>
      <c r="IZ15" s="906">
        <f t="shared" si="207"/>
        <v>0.746</v>
      </c>
      <c r="JA15" s="906">
        <f t="shared" si="207"/>
        <v>0.161</v>
      </c>
      <c r="JB15" s="906">
        <f t="shared" si="207"/>
        <v>0.499</v>
      </c>
      <c r="JC15" s="906">
        <f t="shared" si="207"/>
        <v>0.18099999999999999</v>
      </c>
      <c r="JD15" s="923">
        <f>CD15+CE15+CF15</f>
        <v>11531000</v>
      </c>
      <c r="JE15" s="923">
        <f>BZ15+CA15+CB15+CC15</f>
        <v>2995000</v>
      </c>
      <c r="JF15" s="923">
        <f>JD15+JE15+CG15+CH15+CI15-CJ15</f>
        <v>0</v>
      </c>
      <c r="JG15" s="923">
        <f>CZ15+DA15</f>
        <v>839000</v>
      </c>
      <c r="JH15" s="924">
        <f t="shared" ref="JH15:JQ15" si="208">ROUND(JH13/JH14,2)</f>
        <v>0.56999999999999995</v>
      </c>
      <c r="JI15" s="924">
        <f t="shared" si="208"/>
        <v>0.65</v>
      </c>
      <c r="JJ15" s="924">
        <f>ROUND(JJ13/JJ14,2)</f>
        <v>0.78</v>
      </c>
      <c r="JK15" s="924">
        <f t="shared" si="208"/>
        <v>0.51</v>
      </c>
      <c r="JL15" s="924">
        <f t="shared" si="208"/>
        <v>0.08</v>
      </c>
      <c r="JM15" s="924">
        <f t="shared" si="208"/>
        <v>0.04</v>
      </c>
      <c r="JN15" s="924">
        <f t="shared" si="208"/>
        <v>0.33</v>
      </c>
      <c r="JO15" s="924">
        <f t="shared" si="208"/>
        <v>0.02</v>
      </c>
      <c r="JP15" s="924">
        <f t="shared" si="208"/>
        <v>0.03</v>
      </c>
      <c r="JQ15" s="924">
        <f t="shared" si="208"/>
        <v>1</v>
      </c>
      <c r="JR15" s="905">
        <f t="shared" ref="JR15:JW15" si="209">ROUND(GQ15/$GN15,-2)</f>
        <v>67700</v>
      </c>
      <c r="JS15" s="905">
        <f t="shared" si="209"/>
        <v>12000</v>
      </c>
      <c r="JT15" s="905">
        <f t="shared" si="209"/>
        <v>34900</v>
      </c>
      <c r="JU15" s="905">
        <f t="shared" si="209"/>
        <v>11500</v>
      </c>
      <c r="JV15" s="905">
        <f t="shared" si="209"/>
        <v>2000</v>
      </c>
      <c r="JW15" s="905">
        <f t="shared" si="209"/>
        <v>17800</v>
      </c>
      <c r="JX15" s="905">
        <f>GW15/GP15</f>
        <v>123.89622641509433</v>
      </c>
      <c r="JY15" s="925">
        <f>ROUND(JY13/JY14,2)</f>
        <v>0.25</v>
      </c>
      <c r="JZ15" s="905">
        <f t="shared" ref="JZ15:KE15" si="210">ROUND(HJ15/$HG15,-2)</f>
        <v>53100</v>
      </c>
      <c r="KA15" s="905">
        <f t="shared" si="210"/>
        <v>7500</v>
      </c>
      <c r="KB15" s="905">
        <f t="shared" si="210"/>
        <v>30300</v>
      </c>
      <c r="KC15" s="905">
        <f t="shared" si="210"/>
        <v>6900</v>
      </c>
      <c r="KD15" s="905">
        <f t="shared" si="210"/>
        <v>2600</v>
      </c>
      <c r="KE15" s="905">
        <f t="shared" si="210"/>
        <v>12500</v>
      </c>
      <c r="KF15" s="905">
        <f>ROUND(HI15/HG15*18,-2)</f>
        <v>28500</v>
      </c>
      <c r="KG15" s="905">
        <f>ROUND(HH15/HG15*36,0)</f>
        <v>295</v>
      </c>
      <c r="KH15" s="905">
        <f>ROUND(HP15/HI15,0)</f>
        <v>71</v>
      </c>
      <c r="KI15" s="925">
        <f>ROUND(KI13/KI14,2)</f>
        <v>0.2</v>
      </c>
      <c r="KJ15" s="894">
        <f>ROUND(KJ13/KJ14,0)</f>
        <v>27</v>
      </c>
      <c r="KK15" s="894">
        <f>ROUND(KK13/KK14,-2)</f>
        <v>38400</v>
      </c>
      <c r="KL15" s="894">
        <f>ROUND(KL13/KL14,-1)</f>
        <v>210</v>
      </c>
      <c r="KM15" s="894">
        <f>ROUND(KM13/KM14,-2)</f>
        <v>132200</v>
      </c>
      <c r="KN15" s="894">
        <f>ROUND(KN13/KN14,0)</f>
        <v>125</v>
      </c>
      <c r="KO15" s="894">
        <f t="shared" ref="KO15:KT15" si="211">IF(KO13=0,0,ROUND(KO13/KO14,-2))</f>
        <v>18900</v>
      </c>
      <c r="KP15" s="894">
        <f t="shared" si="211"/>
        <v>1589500</v>
      </c>
      <c r="KQ15" s="894">
        <f t="shared" si="211"/>
        <v>250600</v>
      </c>
      <c r="KR15" s="894">
        <f t="shared" si="211"/>
        <v>867400</v>
      </c>
      <c r="KS15" s="894">
        <f t="shared" si="211"/>
        <v>234000</v>
      </c>
      <c r="KT15" s="894">
        <f t="shared" si="211"/>
        <v>129900</v>
      </c>
      <c r="KU15" s="894">
        <f>IF(KU13=0,0,ROUND(KU13/KU14,-2))</f>
        <v>394600</v>
      </c>
      <c r="KV15" s="896">
        <f>ROUND(KV13/KV14,3)</f>
        <v>0.23</v>
      </c>
      <c r="KW15" s="926">
        <f>ROUND(KW13/KW14,3)</f>
        <v>-0.32200000000000001</v>
      </c>
      <c r="KX15" s="108"/>
      <c r="KY15" s="421"/>
      <c r="KZ15" s="421"/>
      <c r="LA15" s="421"/>
      <c r="LB15" s="421"/>
      <c r="LQ15" s="421"/>
      <c r="LR15" s="421"/>
      <c r="LS15" s="421"/>
      <c r="LT15" s="282"/>
      <c r="LU15" s="282"/>
      <c r="LV15" s="282"/>
      <c r="LW15" s="282"/>
      <c r="LX15" s="282"/>
      <c r="LY15" s="282"/>
      <c r="LZ15" s="282"/>
      <c r="MA15" s="282"/>
      <c r="MB15" s="282"/>
      <c r="MC15" s="282"/>
      <c r="MD15" s="282"/>
      <c r="ME15" s="282"/>
      <c r="MF15" s="282"/>
      <c r="MG15" s="282"/>
      <c r="MH15" s="282"/>
      <c r="MI15" s="282"/>
      <c r="MJ15" s="282"/>
      <c r="MK15" s="282"/>
      <c r="ML15" s="282"/>
      <c r="MM15" s="1232"/>
      <c r="MN15" s="1232"/>
      <c r="MO15" s="1232"/>
      <c r="MP15" s="1232"/>
      <c r="MS15" s="421"/>
      <c r="MT15" s="421"/>
      <c r="MU15" s="421"/>
      <c r="MV15" s="421"/>
      <c r="MW15" s="421"/>
      <c r="MX15" s="421"/>
      <c r="MY15" s="421"/>
      <c r="MZ15" s="421"/>
      <c r="NA15" s="421"/>
      <c r="NB15" s="421"/>
      <c r="NC15" s="421"/>
      <c r="ND15" s="421"/>
      <c r="NE15" s="421"/>
      <c r="NF15" s="421"/>
      <c r="NG15" s="421"/>
      <c r="NH15" s="421"/>
      <c r="NI15" s="421"/>
      <c r="NJ15" s="421"/>
      <c r="NK15" s="421"/>
      <c r="NL15" s="421"/>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row>
    <row r="16" spans="1:429" ht="15.6" hidden="1" outlineLevel="2">
      <c r="A16" s="2057"/>
      <c r="B16" s="571" t="s">
        <v>647</v>
      </c>
      <c r="C16" s="606">
        <v>0.25</v>
      </c>
      <c r="D16" s="571"/>
      <c r="E16" s="1530"/>
      <c r="F16" s="572"/>
      <c r="G16" s="572"/>
      <c r="H16" s="104"/>
      <c r="I16" s="104"/>
      <c r="J16" s="104">
        <f t="array" ref="J16">PERCENTILE(IF((($B$57:$B$95=$B$13)*(J$57:J$95&lt;&gt;0)),J$57:J$95),$C16)</f>
        <v>423.75</v>
      </c>
      <c r="K16" s="831"/>
      <c r="L16" s="1086"/>
      <c r="M16" s="1086"/>
      <c r="N16" s="1086"/>
      <c r="O16" s="1086"/>
      <c r="P16" s="1086"/>
      <c r="Q16" s="104"/>
      <c r="R16" s="104"/>
      <c r="S16" s="104">
        <f t="array" ref="S16">PERCENTILE(IF((($B$57:$B$95=$B$13)*(S$57:S$95&lt;&gt;0)),S$57:S$95),$C16)</f>
        <v>81250</v>
      </c>
      <c r="T16" s="1070"/>
      <c r="U16" s="1070"/>
      <c r="V16" s="1070"/>
      <c r="W16" s="104">
        <f t="array" ref="W16">PERCENTILE(IF((($B$57:$B$95=$B$13)*(W$57:W$95&lt;&gt;0)),W$57:W$95),$C16)</f>
        <v>16828.75</v>
      </c>
      <c r="X16" s="104"/>
      <c r="Y16" s="1070"/>
      <c r="Z16" s="1070"/>
      <c r="AA16" s="104"/>
      <c r="AB16" s="104"/>
      <c r="AC16" s="1070"/>
      <c r="AD16" s="1105"/>
      <c r="AE16" s="104"/>
      <c r="AF16" s="104"/>
      <c r="AG16" s="1070"/>
      <c r="AH16" s="573"/>
      <c r="AI16" s="104"/>
      <c r="AJ16" s="1070"/>
      <c r="AK16" s="573"/>
      <c r="AL16" s="104"/>
      <c r="AM16" s="104"/>
      <c r="AN16" s="1070"/>
      <c r="AO16" s="104"/>
      <c r="AP16" s="104"/>
      <c r="AQ16" s="104">
        <f t="array" ref="AQ16">PERCENTILE(IF((($B$57:$B$95=$B$13)*(AQ$57:AQ$95&lt;&gt;0)),AQ$57:AQ$95),$C16)</f>
        <v>18101.25</v>
      </c>
      <c r="AR16" s="104" t="e">
        <f t="array" ref="AR16">PERCENTILE(IF((($B$57:$B$95=$B$13)*(AR$57:AR$95&lt;&gt;0)),AR$57:AR$95),$C16)</f>
        <v>#NUM!</v>
      </c>
      <c r="AS16" s="1105"/>
      <c r="AT16" s="1105"/>
      <c r="AU16" s="1105"/>
      <c r="AV16" s="1105"/>
      <c r="AW16" s="1105"/>
      <c r="AX16" s="573"/>
      <c r="AY16" s="573"/>
      <c r="AZ16" s="573"/>
      <c r="BA16" s="573"/>
      <c r="BB16" s="573"/>
      <c r="BC16" s="573"/>
      <c r="BD16" s="573"/>
      <c r="BE16" s="572"/>
      <c r="BF16" s="104"/>
      <c r="BG16" s="104"/>
      <c r="BH16" s="104"/>
      <c r="BI16" s="1267"/>
      <c r="BJ16" s="104"/>
      <c r="BK16" s="104"/>
      <c r="BL16" s="572"/>
      <c r="BM16" s="572"/>
      <c r="BN16" s="104"/>
      <c r="BO16" s="1105"/>
      <c r="BP16" s="104"/>
      <c r="BQ16" s="104"/>
      <c r="BR16" s="104"/>
      <c r="BS16" s="572"/>
      <c r="BT16" s="104"/>
      <c r="BU16" s="104"/>
      <c r="BV16" s="104"/>
      <c r="BW16" s="831">
        <f t="array" ref="BW16">PERCENTILE(IF((($B$57:$B$95=$B$13)*(BW$57:BW$95&lt;&gt;0)),BW$57:BW$95),$C16)</f>
        <v>5608.722131423654</v>
      </c>
      <c r="BX16" s="831"/>
      <c r="BY16" s="831"/>
      <c r="BZ16" s="104"/>
      <c r="CA16" s="104"/>
      <c r="CB16" s="104"/>
      <c r="CC16" s="104"/>
      <c r="CD16" s="104"/>
      <c r="CE16" s="104"/>
      <c r="CF16" s="104"/>
      <c r="CG16" s="104"/>
      <c r="CH16" s="104"/>
      <c r="CI16" s="104"/>
      <c r="CJ16" s="104">
        <f t="array" ref="CJ16">PERCENTILE(IF((($B$57:$B$95=$B$13)*(CJ$57:CJ$95&lt;&gt;0)),CJ$57:CJ$95),$C16)</f>
        <v>9140565</v>
      </c>
      <c r="CK16" s="575"/>
      <c r="CL16" s="575"/>
      <c r="CM16" s="575"/>
      <c r="CN16" s="575"/>
      <c r="CO16" s="575"/>
      <c r="CP16" s="575"/>
      <c r="CQ16" s="575"/>
      <c r="CR16" s="575"/>
      <c r="CS16" s="575"/>
      <c r="CT16" s="575"/>
      <c r="CU16" s="575"/>
      <c r="CV16" s="104"/>
      <c r="CW16" s="104"/>
      <c r="CX16" s="104"/>
      <c r="CY16" s="104"/>
      <c r="CZ16" s="104"/>
      <c r="DA16" s="104"/>
      <c r="DB16" s="104"/>
      <c r="DC16" s="575"/>
      <c r="DD16" s="575"/>
      <c r="DE16" s="575"/>
      <c r="DF16" s="575"/>
      <c r="DG16" s="575"/>
      <c r="DH16" s="575"/>
      <c r="DI16" s="575"/>
      <c r="DJ16" s="290"/>
      <c r="DK16" s="832"/>
      <c r="DL16" s="832"/>
      <c r="DM16" s="832"/>
      <c r="DN16" s="832"/>
      <c r="DO16" s="832"/>
      <c r="DP16" s="832"/>
      <c r="DQ16" s="832"/>
      <c r="DR16" s="832"/>
      <c r="DS16" s="832"/>
      <c r="DT16" s="832"/>
      <c r="DU16" s="832"/>
      <c r="DV16" s="832"/>
      <c r="DW16" s="832"/>
      <c r="DX16" s="832"/>
      <c r="DY16" s="832"/>
      <c r="DZ16" s="832"/>
      <c r="EA16" s="832"/>
      <c r="EB16" s="832"/>
      <c r="EC16" s="2103"/>
      <c r="ED16" s="574"/>
      <c r="EE16" s="572"/>
      <c r="EF16" s="104"/>
      <c r="EG16" s="104"/>
      <c r="EH16" s="572"/>
      <c r="EI16" s="572"/>
      <c r="EJ16" s="833"/>
      <c r="EK16" s="573"/>
      <c r="EL16" s="104"/>
      <c r="EM16" s="572"/>
      <c r="EN16" s="572"/>
      <c r="EO16" s="573"/>
      <c r="EP16" s="574"/>
      <c r="EQ16" s="572"/>
      <c r="ER16" s="572"/>
      <c r="ES16" s="834"/>
      <c r="ET16" s="835"/>
      <c r="EU16" s="104">
        <f>COUNTIFS($B$57:$B$270,$B16,EU$57:EU$270,0)</f>
        <v>0</v>
      </c>
      <c r="EV16" s="104"/>
      <c r="EW16" s="104"/>
      <c r="EX16" s="104">
        <f>COUNTIFS($B$57:$B$270,$B16,EX$57:EX$270,0)</f>
        <v>0</v>
      </c>
      <c r="EY16" s="104"/>
      <c r="EZ16" s="104"/>
      <c r="FA16" s="104"/>
      <c r="FB16" s="104"/>
      <c r="FC16" s="104"/>
      <c r="FD16" s="577"/>
      <c r="FE16" s="104">
        <f t="array" ref="FE16">PERCENTILE(IF((($B$57:$B$95=$B$13)*(FE$57:FE$95&lt;&gt;0)),FE$57:FE$95),$C16)</f>
        <v>1765878.5</v>
      </c>
      <c r="FF16" s="577"/>
      <c r="FG16" s="577"/>
      <c r="FH16" s="578"/>
      <c r="FI16" s="578"/>
      <c r="FJ16" s="578"/>
      <c r="FK16" s="578"/>
      <c r="FL16" s="578"/>
      <c r="FM16" s="578"/>
      <c r="FN16" s="578"/>
      <c r="FO16" s="578"/>
      <c r="FP16" s="578"/>
      <c r="FQ16" s="104"/>
      <c r="FR16" s="104"/>
      <c r="FS16" s="104"/>
      <c r="FT16" s="104"/>
      <c r="FU16" s="104"/>
      <c r="FV16" s="104"/>
      <c r="FW16" s="104"/>
      <c r="FX16" s="579"/>
      <c r="FY16" s="742">
        <f t="array" ref="FY16">PERCENTILE(IF((($B$57:$B$95=$B$13)*(FY$57:FY$95&lt;&gt;0)),FY$57:FY$95),$C16)</f>
        <v>-2324505.7000000002</v>
      </c>
      <c r="FZ16" s="580"/>
      <c r="GA16" s="580"/>
      <c r="GB16" s="580"/>
      <c r="GC16" s="580"/>
      <c r="GD16" s="580"/>
      <c r="GE16" s="580"/>
      <c r="GF16" s="580"/>
      <c r="GG16" s="580"/>
      <c r="GH16" s="572">
        <f t="array" ref="GH16">PERCENTILE(IF((($B$57:$B$95=$B$13)*(GH$57:GH$95&lt;&gt;0)),GH$57:GH$95),$C16)</f>
        <v>-0.84866305892323213</v>
      </c>
      <c r="GI16" s="572">
        <f t="array" ref="GI16">PERCENTILE(IF((($B$57:$B$95=$B$13)*(GI$57:GI$95&lt;&gt;0)),GI$57:GI$95),$C16)</f>
        <v>1.8713053235971528</v>
      </c>
      <c r="GJ16" s="572"/>
      <c r="GK16" s="572"/>
      <c r="GL16" s="572"/>
      <c r="GM16" s="572"/>
      <c r="GN16" s="104"/>
      <c r="GO16" s="574"/>
      <c r="GP16" s="574"/>
      <c r="GQ16" s="104"/>
      <c r="GR16" s="104"/>
      <c r="GS16" s="104"/>
      <c r="GT16" s="104"/>
      <c r="GU16" s="104"/>
      <c r="GV16" s="104"/>
      <c r="GW16" s="104"/>
      <c r="GX16" s="104">
        <f t="array" ref="GX16">PERCENTILE(IF((($B$57:$B$95=$B$13)*(GX$57:GX$95&lt;&gt;0)),GX$57:GX$95),$C16)</f>
        <v>114697.86111111111</v>
      </c>
      <c r="GY16" s="574"/>
      <c r="GZ16" s="575"/>
      <c r="HA16" s="575"/>
      <c r="HB16" s="575"/>
      <c r="HC16" s="575"/>
      <c r="HD16" s="575"/>
      <c r="HE16" s="575"/>
      <c r="HF16" s="575"/>
      <c r="HG16" s="104"/>
      <c r="HH16" s="104"/>
      <c r="HI16" s="104"/>
      <c r="HJ16" s="104"/>
      <c r="HK16" s="104"/>
      <c r="HL16" s="104"/>
      <c r="HM16" s="104"/>
      <c r="HN16" s="104"/>
      <c r="HO16" s="104"/>
      <c r="HP16" s="104"/>
      <c r="HQ16" s="104">
        <f t="array" ref="HQ16">PERCENTILE(IF((($B$57:$B$95=$B$13)*(HQ$57:HQ$95&lt;&gt;0)),HQ$57:HQ$95),$C16)</f>
        <v>87374.340277777781</v>
      </c>
      <c r="HR16" s="574"/>
      <c r="HS16" s="575"/>
      <c r="HT16" s="575"/>
      <c r="HU16" s="575"/>
      <c r="HV16" s="575"/>
      <c r="HW16" s="575"/>
      <c r="HX16" s="575"/>
      <c r="HY16" s="575"/>
      <c r="HZ16" s="51"/>
      <c r="IA16" s="581"/>
      <c r="IB16" s="581"/>
      <c r="IC16" s="582"/>
      <c r="ID16" s="582"/>
      <c r="IE16" s="583"/>
      <c r="IF16" s="583"/>
      <c r="IG16" s="831"/>
      <c r="IH16" s="831"/>
      <c r="II16" s="104"/>
      <c r="IJ16" s="104"/>
      <c r="IK16" s="583"/>
      <c r="IL16" s="582"/>
      <c r="IM16" s="583"/>
      <c r="IN16" s="583"/>
      <c r="IO16" s="858">
        <f t="array" ref="IO16">PERCENTILE(IF((($B$57:$B$95=$B$13)*(IO$57:IO$95&lt;&gt;0)),IO$57:IO$95),$C16)</f>
        <v>-4260.7059708809538</v>
      </c>
      <c r="IP16" s="851">
        <f t="array" ref="IP16">PERCENTILE(IF((($B$57:$B$95=$B$13)*(IP$57:IP$95&lt;&gt;0)),IP$57:IP$95),$C16)</f>
        <v>-3804.9231903102768</v>
      </c>
      <c r="IQ16" s="862">
        <f t="array" ref="IQ16">PERCENTILE(IF((($B$57:$B$95=$B$13)*(IQ$57:IQ$95&lt;&gt;0)),IQ$57:IQ$95),$C16)</f>
        <v>-0.21779930168906256</v>
      </c>
      <c r="IR16" s="290"/>
      <c r="IS16" s="290"/>
      <c r="IT16" s="290"/>
      <c r="IU16" s="290"/>
      <c r="IV16" s="290"/>
      <c r="IW16" s="290"/>
      <c r="IX16" s="575"/>
      <c r="IY16" s="575"/>
      <c r="IZ16" s="575"/>
      <c r="JA16" s="575"/>
      <c r="JB16" s="575"/>
      <c r="JC16" s="575"/>
      <c r="JD16" s="290"/>
      <c r="JE16" s="290"/>
      <c r="JF16" s="584"/>
      <c r="JG16" s="290"/>
      <c r="JH16" s="675"/>
      <c r="JI16" s="675"/>
      <c r="JJ16" s="675"/>
      <c r="JK16" s="675"/>
      <c r="JL16" s="675"/>
      <c r="JM16" s="675"/>
      <c r="JN16" s="675"/>
      <c r="JO16" s="675"/>
      <c r="JP16" s="675"/>
      <c r="JQ16" s="675"/>
      <c r="JR16" s="290"/>
      <c r="JS16" s="290"/>
      <c r="JT16" s="290"/>
      <c r="JU16" s="290"/>
      <c r="JV16" s="290"/>
      <c r="JW16" s="290"/>
      <c r="JX16" s="585"/>
      <c r="JY16" s="575">
        <f t="array" ref="JY16">PERCENTILE(IF((($B$57:$B$95=$B$13)*(JY$57:JY$95&lt;&gt;0)),JY$57:JY$95),$C16)</f>
        <v>0.15439063366528272</v>
      </c>
      <c r="JZ16" s="290"/>
      <c r="KA16" s="290"/>
      <c r="KB16" s="290"/>
      <c r="KC16" s="290"/>
      <c r="KD16" s="290"/>
      <c r="KE16" s="290"/>
      <c r="KF16" s="585"/>
      <c r="KG16" s="585"/>
      <c r="KH16" s="585"/>
      <c r="KI16" s="575">
        <f t="array" ref="KI16">PERCENTILE(IF((($B$57:$B$95=$B$13)*(KI$57:KI$95&lt;&gt;0)),KI$57:KI$95),$C16)</f>
        <v>0.14234354003652883</v>
      </c>
      <c r="KJ16" s="586"/>
      <c r="KK16" s="587"/>
      <c r="KL16" s="587"/>
      <c r="KM16" s="587"/>
      <c r="KN16" s="586"/>
      <c r="KO16" s="587"/>
      <c r="KP16" s="587"/>
      <c r="KQ16" s="587"/>
      <c r="KR16" s="587"/>
      <c r="KS16" s="587"/>
      <c r="KT16" s="587"/>
      <c r="KU16" s="587"/>
      <c r="KV16" s="587"/>
      <c r="KW16" s="587"/>
      <c r="KX16" s="108"/>
      <c r="KY16" s="421"/>
      <c r="KZ16" s="421"/>
      <c r="LA16" s="421"/>
      <c r="LB16" s="421"/>
      <c r="LQ16" s="421"/>
      <c r="LR16" s="421"/>
      <c r="LS16" s="421"/>
      <c r="LT16" s="282"/>
      <c r="LU16" s="282"/>
      <c r="LV16" s="282"/>
      <c r="LW16" s="282"/>
      <c r="LX16" s="282"/>
      <c r="LY16" s="282"/>
      <c r="LZ16" s="282"/>
      <c r="MA16" s="282"/>
      <c r="MB16" s="282"/>
      <c r="MC16" s="282"/>
      <c r="MD16" s="282"/>
      <c r="ME16" s="282"/>
      <c r="MF16" s="282"/>
      <c r="MG16" s="282"/>
      <c r="MH16" s="282"/>
      <c r="MI16" s="282"/>
      <c r="MJ16" s="282"/>
      <c r="MK16" s="282"/>
      <c r="ML16" s="282"/>
      <c r="MM16" s="1232"/>
      <c r="MN16" s="1232"/>
      <c r="MO16" s="1232"/>
      <c r="MP16" s="1232"/>
      <c r="MS16" s="421"/>
      <c r="MT16" s="421"/>
      <c r="MU16" s="421"/>
      <c r="MV16" s="421"/>
      <c r="MW16" s="421"/>
      <c r="MX16" s="421"/>
      <c r="MY16" s="421"/>
      <c r="MZ16" s="421"/>
      <c r="NA16" s="421"/>
      <c r="NB16" s="421"/>
      <c r="NC16" s="421"/>
      <c r="ND16" s="421"/>
      <c r="NE16" s="421"/>
      <c r="NF16" s="421"/>
      <c r="NG16" s="421"/>
      <c r="NH16" s="421"/>
      <c r="NI16" s="421"/>
      <c r="NJ16" s="421"/>
      <c r="NK16" s="421"/>
      <c r="NL16" s="421"/>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row>
    <row r="17" spans="1:429" ht="20.399999999999999" hidden="1" outlineLevel="2">
      <c r="A17" s="2057"/>
      <c r="B17" s="571"/>
      <c r="C17" s="606">
        <v>0.5</v>
      </c>
      <c r="D17" s="571"/>
      <c r="E17" s="1530"/>
      <c r="F17" s="572"/>
      <c r="G17" s="572"/>
      <c r="H17" s="104"/>
      <c r="I17" s="104"/>
      <c r="J17" s="104">
        <f t="array" ref="J17">PERCENTILE(IF((($B$57:$B$95=$B$13)*(J$57:J$95&lt;&gt;0)),J$57:J$95),$C17)</f>
        <v>550.5</v>
      </c>
      <c r="K17" s="831"/>
      <c r="L17" s="1086"/>
      <c r="M17" s="1086"/>
      <c r="N17" s="1086"/>
      <c r="O17" s="1086"/>
      <c r="P17" s="1086"/>
      <c r="Q17" s="104"/>
      <c r="R17" s="104"/>
      <c r="S17" s="104">
        <f t="array" ref="S17">PERCENTILE(IF((($B$57:$B$95=$B$13)*(S$57:S$95&lt;&gt;0)),S$57:S$95),$C17)</f>
        <v>137500</v>
      </c>
      <c r="T17" s="1070"/>
      <c r="U17" s="1070"/>
      <c r="V17" s="1070"/>
      <c r="W17" s="104">
        <f t="array" ref="W17">PERCENTILE(IF((($B$57:$B$95=$B$13)*(W$57:W$95&lt;&gt;0)),W$57:W$95),$C17)</f>
        <v>18818</v>
      </c>
      <c r="X17" s="104"/>
      <c r="Y17" s="1070"/>
      <c r="Z17" s="1070"/>
      <c r="AA17" s="104"/>
      <c r="AB17" s="104"/>
      <c r="AC17" s="1070"/>
      <c r="AD17" s="1105"/>
      <c r="AE17" s="104"/>
      <c r="AF17" s="104"/>
      <c r="AG17" s="1070"/>
      <c r="AH17" s="573"/>
      <c r="AI17" s="104"/>
      <c r="AJ17" s="1070"/>
      <c r="AK17" s="573"/>
      <c r="AL17" s="104"/>
      <c r="AM17" s="104"/>
      <c r="AN17" s="1070"/>
      <c r="AO17" s="104"/>
      <c r="AP17" s="104"/>
      <c r="AQ17" s="104">
        <f t="array" ref="AQ17">PERCENTILE(IF((($B$57:$B$95=$B$13)*(AQ$57:AQ$95&lt;&gt;0)),AQ$57:AQ$95),$C17)</f>
        <v>22909</v>
      </c>
      <c r="AR17" s="104" t="e">
        <f t="array" ref="AR17">PERCENTILE(IF((($B$57:$B$95=$B$13)*(AR$57:AR$95&lt;&gt;0)),AR$57:AR$95),$C17)</f>
        <v>#NUM!</v>
      </c>
      <c r="AS17" s="1105"/>
      <c r="AT17" s="1105"/>
      <c r="AU17" s="1105"/>
      <c r="AV17" s="1105"/>
      <c r="AW17" s="1105"/>
      <c r="AX17" s="573"/>
      <c r="AY17" s="573"/>
      <c r="AZ17" s="573"/>
      <c r="BA17" s="573"/>
      <c r="BB17" s="573"/>
      <c r="BC17" s="573"/>
      <c r="BD17" s="573"/>
      <c r="BE17" s="572"/>
      <c r="BF17" s="104"/>
      <c r="BG17" s="104"/>
      <c r="BH17" s="104"/>
      <c r="BI17" s="1267"/>
      <c r="BJ17" s="104"/>
      <c r="BK17" s="104"/>
      <c r="BL17" s="572"/>
      <c r="BM17" s="572"/>
      <c r="BN17" s="104"/>
      <c r="BO17" s="1105"/>
      <c r="BP17" s="104"/>
      <c r="BQ17" s="104"/>
      <c r="BR17" s="104"/>
      <c r="BS17" s="572"/>
      <c r="BT17" s="104"/>
      <c r="BU17" s="104"/>
      <c r="BV17" s="104"/>
      <c r="BW17" s="831">
        <f t="array" ref="BW17">PERCENTILE(IF((($B$57:$B$95=$B$13)*(BW$57:BW$95&lt;&gt;0)),BW$57:BW$95),$C17)</f>
        <v>9312.8937433694973</v>
      </c>
      <c r="BX17" s="831"/>
      <c r="BY17" s="831"/>
      <c r="BZ17" s="104"/>
      <c r="CA17" s="104"/>
      <c r="CB17" s="104"/>
      <c r="CC17" s="104"/>
      <c r="CD17" s="104"/>
      <c r="CE17" s="104"/>
      <c r="CF17" s="104"/>
      <c r="CG17" s="104"/>
      <c r="CH17" s="104"/>
      <c r="CI17" s="104"/>
      <c r="CJ17" s="104">
        <f t="array" ref="CJ17">PERCENTILE(IF((($B$57:$B$95=$B$13)*(CJ$57:CJ$95&lt;&gt;0)),CJ$57:CJ$95),$C17)</f>
        <v>11954782</v>
      </c>
      <c r="CK17" s="575"/>
      <c r="CL17" s="575"/>
      <c r="CM17" s="575"/>
      <c r="CN17" s="575"/>
      <c r="CO17" s="575"/>
      <c r="CP17" s="575"/>
      <c r="CQ17" s="575"/>
      <c r="CR17" s="575"/>
      <c r="CS17" s="575"/>
      <c r="CT17" s="575"/>
      <c r="CU17" s="575"/>
      <c r="CV17" s="104"/>
      <c r="CW17" s="104"/>
      <c r="CX17" s="104"/>
      <c r="CY17" s="104"/>
      <c r="CZ17" s="104"/>
      <c r="DA17" s="104"/>
      <c r="DB17" s="104"/>
      <c r="DC17" s="575"/>
      <c r="DD17" s="575"/>
      <c r="DE17" s="575"/>
      <c r="DF17" s="575"/>
      <c r="DG17" s="575"/>
      <c r="DH17" s="575"/>
      <c r="DI17" s="575"/>
      <c r="DJ17" s="290"/>
      <c r="DK17" s="832"/>
      <c r="DL17" s="832"/>
      <c r="DM17" s="832"/>
      <c r="DN17" s="832"/>
      <c r="DO17" s="832"/>
      <c r="DP17" s="832"/>
      <c r="DQ17" s="832"/>
      <c r="DR17" s="832"/>
      <c r="DS17" s="832"/>
      <c r="DT17" s="832"/>
      <c r="DU17" s="832"/>
      <c r="DV17" s="832"/>
      <c r="DW17" s="832"/>
      <c r="DX17" s="832"/>
      <c r="DY17" s="832"/>
      <c r="DZ17" s="832"/>
      <c r="EA17" s="832"/>
      <c r="EB17" s="832"/>
      <c r="EC17" s="2103"/>
      <c r="ED17" s="574"/>
      <c r="EE17" s="572"/>
      <c r="EF17" s="104"/>
      <c r="EG17" s="104"/>
      <c r="EH17" s="572"/>
      <c r="EI17" s="572"/>
      <c r="EJ17" s="833"/>
      <c r="EK17" s="573"/>
      <c r="EL17" s="104"/>
      <c r="EM17" s="572"/>
      <c r="EN17" s="572"/>
      <c r="EO17" s="573"/>
      <c r="EP17" s="574"/>
      <c r="EQ17" s="572"/>
      <c r="ER17" s="572"/>
      <c r="ES17" s="834"/>
      <c r="ET17" s="835"/>
      <c r="EU17" s="104">
        <f>COUNTIFS($B$57:$B$270,$B16,EU$57:EU$270,1)</f>
        <v>0</v>
      </c>
      <c r="EV17" s="104"/>
      <c r="EW17" s="104"/>
      <c r="EX17" s="104">
        <f>COUNTIFS($B$57:$B$270,$B16,EX$57:EX$270,1)</f>
        <v>0</v>
      </c>
      <c r="EY17" s="104"/>
      <c r="EZ17" s="104"/>
      <c r="FA17" s="104"/>
      <c r="FB17" s="104"/>
      <c r="FC17" s="104"/>
      <c r="FD17" s="577"/>
      <c r="FE17" s="104">
        <f t="array" ref="FE17">PERCENTILE(IF((($B$57:$B$95=$B$13)*(FE$57:FE$95&lt;&gt;0)),FE$57:FE$95),$C17)</f>
        <v>1953585</v>
      </c>
      <c r="FF17" s="577"/>
      <c r="FG17" s="577"/>
      <c r="FH17" s="578"/>
      <c r="FI17" s="578"/>
      <c r="FJ17" s="578"/>
      <c r="FK17" s="578"/>
      <c r="FL17" s="578"/>
      <c r="FM17" s="578"/>
      <c r="FN17" s="578"/>
      <c r="FO17" s="578"/>
      <c r="FP17" s="578"/>
      <c r="FQ17" s="104"/>
      <c r="FR17" s="104"/>
      <c r="FS17" s="104"/>
      <c r="FT17" s="104"/>
      <c r="FU17" s="104"/>
      <c r="FV17" s="104"/>
      <c r="FW17" s="104"/>
      <c r="FX17" s="579"/>
      <c r="FY17" s="742">
        <f t="array" ref="FY17">PERCENTILE(IF((($B$57:$B$95=$B$13)*(FY$57:FY$95&lt;&gt;0)),FY$57:FY$95),$C17)</f>
        <v>-1299898</v>
      </c>
      <c r="FZ17" s="580"/>
      <c r="GA17" s="580"/>
      <c r="GB17" s="580"/>
      <c r="GC17" s="580"/>
      <c r="GD17" s="580"/>
      <c r="GE17" s="580"/>
      <c r="GF17" s="580"/>
      <c r="GG17" s="580"/>
      <c r="GH17" s="572">
        <f t="array" ref="GH17">PERCENTILE(IF((($B$57:$B$95=$B$13)*(GH$57:GH$95&lt;&gt;0)),GH$57:GH$95),$C17)</f>
        <v>-0.65974058499175792</v>
      </c>
      <c r="GI17" s="572">
        <f t="array" ref="GI17">PERCENTILE(IF((($B$57:$B$95=$B$13)*(GI$57:GI$95&lt;&gt;0)),GI$57:GI$95),$C17)</f>
        <v>2.6172752579862766</v>
      </c>
      <c r="GJ17" s="572"/>
      <c r="GK17" s="572"/>
      <c r="GL17" s="572"/>
      <c r="GM17" s="572"/>
      <c r="GN17" s="104"/>
      <c r="GO17" s="574"/>
      <c r="GP17" s="574"/>
      <c r="GQ17" s="104"/>
      <c r="GR17" s="104"/>
      <c r="GS17" s="104"/>
      <c r="GT17" s="104"/>
      <c r="GU17" s="104"/>
      <c r="GV17" s="104"/>
      <c r="GW17" s="104"/>
      <c r="GX17" s="104">
        <f t="array" ref="GX17">PERCENTILE(IF((($B$57:$B$95=$B$13)*(GX$57:GX$95&lt;&gt;0)),GX$57:GX$95),$C17)</f>
        <v>130193.46666666666</v>
      </c>
      <c r="GY17" s="574"/>
      <c r="GZ17" s="575"/>
      <c r="HA17" s="575"/>
      <c r="HB17" s="575"/>
      <c r="HC17" s="575"/>
      <c r="HD17" s="575"/>
      <c r="HE17" s="575"/>
      <c r="HF17" s="575"/>
      <c r="HG17" s="104"/>
      <c r="HH17" s="104"/>
      <c r="HI17" s="104"/>
      <c r="HJ17" s="104"/>
      <c r="HK17" s="104"/>
      <c r="HL17" s="104"/>
      <c r="HM17" s="104"/>
      <c r="HN17" s="104"/>
      <c r="HO17" s="104"/>
      <c r="HP17" s="104"/>
      <c r="HQ17" s="104">
        <f t="array" ref="HQ17">PERCENTILE(IF((($B$57:$B$95=$B$13)*(HQ$57:HQ$95&lt;&gt;0)),HQ$57:HQ$95),$C17)</f>
        <v>102320.16666666666</v>
      </c>
      <c r="HR17" s="574"/>
      <c r="HS17" s="575"/>
      <c r="HT17" s="575"/>
      <c r="HU17" s="575"/>
      <c r="HV17" s="575"/>
      <c r="HW17" s="575"/>
      <c r="HX17" s="575"/>
      <c r="HY17" s="575"/>
      <c r="HZ17" s="51"/>
      <c r="IA17" s="581"/>
      <c r="IB17" s="581"/>
      <c r="IC17" s="582"/>
      <c r="ID17" s="582"/>
      <c r="IE17" s="583"/>
      <c r="IF17" s="583"/>
      <c r="IG17" s="831"/>
      <c r="IH17" s="831"/>
      <c r="II17" s="104"/>
      <c r="IJ17" s="104"/>
      <c r="IK17" s="583"/>
      <c r="IL17" s="582"/>
      <c r="IM17" s="583"/>
      <c r="IN17" s="583"/>
      <c r="IO17" s="858">
        <f t="array" ref="IO17">PERCENTILE(IF((($B$57:$B$95=$B$13)*(IO$57:IO$95&lt;&gt;0)),IO$57:IO$95),$C17)</f>
        <v>-2795.0064968552188</v>
      </c>
      <c r="IP17" s="851">
        <f t="array" ref="IP17">PERCENTILE(IF((($B$57:$B$95=$B$13)*(IP$57:IP$95&lt;&gt;0)),IP$57:IP$95),$C17)</f>
        <v>-2998.8597095265322</v>
      </c>
      <c r="IQ17" s="862">
        <f t="array" ref="IQ17">PERCENTILE(IF((($B$57:$B$95=$B$13)*(IQ$57:IQ$95&lt;&gt;0)),IQ$57:IQ$95),$C17)</f>
        <v>-0.14767193186594227</v>
      </c>
      <c r="IR17" s="290"/>
      <c r="IS17" s="290"/>
      <c r="IT17" s="290"/>
      <c r="IU17" s="290"/>
      <c r="IV17" s="290"/>
      <c r="IW17" s="290"/>
      <c r="IX17" s="575"/>
      <c r="IY17" s="575"/>
      <c r="IZ17" s="575"/>
      <c r="JA17" s="575"/>
      <c r="JB17" s="575"/>
      <c r="JC17" s="575"/>
      <c r="JD17" s="290"/>
      <c r="JE17" s="290"/>
      <c r="JF17" s="584"/>
      <c r="JG17" s="290"/>
      <c r="JH17" s="675"/>
      <c r="JI17" s="675"/>
      <c r="JJ17" s="675"/>
      <c r="JK17" s="675"/>
      <c r="JL17" s="675"/>
      <c r="JM17" s="675"/>
      <c r="JN17" s="675"/>
      <c r="JO17" s="675"/>
      <c r="JP17" s="675"/>
      <c r="JQ17" s="675"/>
      <c r="JR17" s="290"/>
      <c r="JS17" s="290"/>
      <c r="JT17" s="290"/>
      <c r="JU17" s="290"/>
      <c r="JV17" s="290"/>
      <c r="JW17" s="290"/>
      <c r="JX17" s="585"/>
      <c r="JY17" s="575">
        <f t="array" ref="JY17">PERCENTILE(IF((($B$57:$B$95=$B$13)*(JY$57:JY$95&lt;&gt;0)),JY$57:JY$95),$C17)</f>
        <v>0.19972474306714341</v>
      </c>
      <c r="JZ17" s="290"/>
      <c r="KA17" s="290"/>
      <c r="KB17" s="290"/>
      <c r="KC17" s="290"/>
      <c r="KD17" s="290"/>
      <c r="KE17" s="290"/>
      <c r="KF17" s="585"/>
      <c r="KG17" s="585"/>
      <c r="KH17" s="585"/>
      <c r="KI17" s="575">
        <f t="array" ref="KI17">PERCENTILE(IF((($B$57:$B$95=$B$13)*(KI$57:KI$95&lt;&gt;0)),KI$57:KI$95),$C17)</f>
        <v>0.25494373215376276</v>
      </c>
      <c r="KJ17" s="586"/>
      <c r="KK17" s="587"/>
      <c r="KL17" s="587"/>
      <c r="KM17" s="587"/>
      <c r="KN17" s="586"/>
      <c r="KO17" s="587"/>
      <c r="KP17" s="587"/>
      <c r="KQ17" s="587"/>
      <c r="KR17" s="587"/>
      <c r="KS17" s="587"/>
      <c r="KT17" s="587"/>
      <c r="KU17" s="587"/>
      <c r="KV17" s="587"/>
      <c r="KW17" s="587"/>
      <c r="KX17" s="108"/>
      <c r="KY17" s="421"/>
      <c r="KZ17" s="421"/>
      <c r="LA17" s="421"/>
      <c r="LB17" s="421"/>
      <c r="LQ17" s="421"/>
      <c r="LR17" s="368"/>
      <c r="LS17" s="421"/>
      <c r="LT17" s="282"/>
      <c r="LU17" s="282"/>
      <c r="LV17" s="282"/>
      <c r="LW17" s="282"/>
      <c r="LX17" s="282"/>
      <c r="LY17" s="282"/>
      <c r="LZ17" s="282"/>
      <c r="MA17" s="282"/>
      <c r="MB17" s="282"/>
      <c r="MC17" s="282"/>
      <c r="MD17" s="282"/>
      <c r="ME17" s="282"/>
      <c r="MF17" s="282"/>
      <c r="MG17" s="282"/>
      <c r="MH17" s="282"/>
      <c r="MI17" s="282"/>
      <c r="MJ17" s="282"/>
      <c r="MK17" s="282"/>
      <c r="ML17" s="282"/>
      <c r="MM17" s="1232"/>
      <c r="MN17" s="1232"/>
      <c r="MO17" s="1232"/>
      <c r="MP17" s="1232"/>
      <c r="MS17" s="421"/>
      <c r="MT17" s="368"/>
      <c r="MU17" s="421"/>
      <c r="MV17" s="421"/>
      <c r="MW17" s="421"/>
      <c r="MX17" s="421"/>
      <c r="MY17" s="421"/>
      <c r="MZ17" s="421"/>
      <c r="NA17" s="421"/>
      <c r="NB17" s="421"/>
      <c r="NC17" s="421"/>
      <c r="ND17" s="421"/>
      <c r="NE17" s="421"/>
      <c r="NF17" s="421"/>
      <c r="NG17" s="421"/>
      <c r="NH17" s="421"/>
      <c r="NI17" s="421"/>
      <c r="NJ17" s="421"/>
      <c r="NK17" s="421"/>
      <c r="NL17" s="421"/>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row>
    <row r="18" spans="1:429" ht="16.2" hidden="1" outlineLevel="2" thickBot="1">
      <c r="A18" s="2057"/>
      <c r="B18" s="588"/>
      <c r="C18" s="607">
        <v>0.75</v>
      </c>
      <c r="D18" s="588"/>
      <c r="E18" s="1530"/>
      <c r="F18" s="589"/>
      <c r="G18" s="589"/>
      <c r="H18" s="590"/>
      <c r="I18" s="590"/>
      <c r="J18" s="590">
        <f t="array" ref="J18">PERCENTILE(IF((($B$57:$B$95=$B$13)*(J$57:J$95&lt;&gt;0)),J$57:J$95),$C18)</f>
        <v>678.75</v>
      </c>
      <c r="K18" s="836"/>
      <c r="L18" s="1087"/>
      <c r="M18" s="1087"/>
      <c r="N18" s="1087"/>
      <c r="O18" s="1087"/>
      <c r="P18" s="1087"/>
      <c r="Q18" s="590"/>
      <c r="R18" s="590"/>
      <c r="S18" s="590">
        <f t="array" ref="S18">PERCENTILE(IF((($B$57:$B$95=$B$13)*(S$57:S$95&lt;&gt;0)),S$57:S$95),$C18)</f>
        <v>168750</v>
      </c>
      <c r="T18" s="1071"/>
      <c r="U18" s="1071"/>
      <c r="V18" s="1071"/>
      <c r="W18" s="590">
        <f t="array" ref="W18">PERCENTILE(IF((($B$57:$B$95=$B$13)*(W$57:W$95&lt;&gt;0)),W$57:W$95),$C18)</f>
        <v>23047.5</v>
      </c>
      <c r="X18" s="590"/>
      <c r="Y18" s="1071"/>
      <c r="Z18" s="1071"/>
      <c r="AA18" s="590"/>
      <c r="AB18" s="590"/>
      <c r="AC18" s="1071"/>
      <c r="AD18" s="1106"/>
      <c r="AE18" s="590"/>
      <c r="AF18" s="590"/>
      <c r="AG18" s="1071"/>
      <c r="AH18" s="591"/>
      <c r="AI18" s="590"/>
      <c r="AJ18" s="1071"/>
      <c r="AK18" s="591"/>
      <c r="AL18" s="590"/>
      <c r="AM18" s="590"/>
      <c r="AN18" s="1071"/>
      <c r="AO18" s="590"/>
      <c r="AP18" s="590"/>
      <c r="AQ18" s="590">
        <f t="array" ref="AQ18">PERCENTILE(IF((($B$57:$B$95=$B$13)*(AQ$57:AQ$95&lt;&gt;0)),AQ$57:AQ$95),$C18)</f>
        <v>25563.75</v>
      </c>
      <c r="AR18" s="590" t="e">
        <f t="array" ref="AR18">PERCENTILE(IF((($B$57:$B$95=$B$13)*(AR$57:AR$95&lt;&gt;0)),AR$57:AR$95),$C18)</f>
        <v>#NUM!</v>
      </c>
      <c r="AS18" s="1106"/>
      <c r="AT18" s="1106"/>
      <c r="AU18" s="1106"/>
      <c r="AV18" s="1106"/>
      <c r="AW18" s="1106"/>
      <c r="AX18" s="591"/>
      <c r="AY18" s="591"/>
      <c r="AZ18" s="591"/>
      <c r="BA18" s="591"/>
      <c r="BB18" s="591"/>
      <c r="BC18" s="591"/>
      <c r="BD18" s="591"/>
      <c r="BE18" s="589"/>
      <c r="BF18" s="590"/>
      <c r="BG18" s="590"/>
      <c r="BH18" s="590"/>
      <c r="BI18" s="1268"/>
      <c r="BJ18" s="590"/>
      <c r="BK18" s="590"/>
      <c r="BL18" s="589"/>
      <c r="BM18" s="589"/>
      <c r="BN18" s="590"/>
      <c r="BO18" s="1106"/>
      <c r="BP18" s="590"/>
      <c r="BQ18" s="590"/>
      <c r="BR18" s="590"/>
      <c r="BS18" s="589"/>
      <c r="BT18" s="590"/>
      <c r="BU18" s="590"/>
      <c r="BV18" s="590"/>
      <c r="BW18" s="836">
        <f t="array" ref="BW18">PERCENTILE(IF((($B$57:$B$95=$B$13)*(BW$57:BW$95&lt;&gt;0)),BW$57:BW$95),$C18)</f>
        <v>16047.166010176979</v>
      </c>
      <c r="BX18" s="836"/>
      <c r="BY18" s="836"/>
      <c r="BZ18" s="590"/>
      <c r="CA18" s="590"/>
      <c r="CB18" s="590"/>
      <c r="CC18" s="590"/>
      <c r="CD18" s="590"/>
      <c r="CE18" s="590"/>
      <c r="CF18" s="590"/>
      <c r="CG18" s="590"/>
      <c r="CH18" s="590"/>
      <c r="CI18" s="590"/>
      <c r="CJ18" s="590">
        <f t="array" ref="CJ18">PERCENTILE(IF((($B$57:$B$95=$B$13)*(CJ$57:CJ$95&lt;&gt;0)),CJ$57:CJ$95),$C18)</f>
        <v>31079097.75</v>
      </c>
      <c r="CK18" s="593"/>
      <c r="CL18" s="593"/>
      <c r="CM18" s="593"/>
      <c r="CN18" s="593"/>
      <c r="CO18" s="593"/>
      <c r="CP18" s="593"/>
      <c r="CQ18" s="593"/>
      <c r="CR18" s="593"/>
      <c r="CS18" s="593"/>
      <c r="CT18" s="593"/>
      <c r="CU18" s="593"/>
      <c r="CV18" s="590"/>
      <c r="CW18" s="590"/>
      <c r="CX18" s="590"/>
      <c r="CY18" s="590"/>
      <c r="CZ18" s="590"/>
      <c r="DA18" s="590"/>
      <c r="DB18" s="590"/>
      <c r="DC18" s="593"/>
      <c r="DD18" s="593"/>
      <c r="DE18" s="593"/>
      <c r="DF18" s="593"/>
      <c r="DG18" s="593"/>
      <c r="DH18" s="593"/>
      <c r="DI18" s="593"/>
      <c r="DJ18" s="594"/>
      <c r="DK18" s="837"/>
      <c r="DL18" s="837"/>
      <c r="DM18" s="837"/>
      <c r="DN18" s="837"/>
      <c r="DO18" s="837"/>
      <c r="DP18" s="837"/>
      <c r="DQ18" s="837"/>
      <c r="DR18" s="837"/>
      <c r="DS18" s="837"/>
      <c r="DT18" s="837"/>
      <c r="DU18" s="837"/>
      <c r="DV18" s="837"/>
      <c r="DW18" s="837"/>
      <c r="DX18" s="837"/>
      <c r="DY18" s="837"/>
      <c r="DZ18" s="837"/>
      <c r="EA18" s="837"/>
      <c r="EB18" s="837"/>
      <c r="EC18" s="2104"/>
      <c r="ED18" s="592"/>
      <c r="EE18" s="589"/>
      <c r="EF18" s="590"/>
      <c r="EG18" s="590"/>
      <c r="EH18" s="589"/>
      <c r="EI18" s="589"/>
      <c r="EJ18" s="838"/>
      <c r="EK18" s="591"/>
      <c r="EL18" s="590"/>
      <c r="EM18" s="589"/>
      <c r="EN18" s="589"/>
      <c r="EO18" s="591"/>
      <c r="EP18" s="592"/>
      <c r="EQ18" s="589"/>
      <c r="ER18" s="589"/>
      <c r="ES18" s="839"/>
      <c r="ET18" s="840"/>
      <c r="EU18" s="590">
        <f>COUNTIFS($B$57:$B$270,$B16,EU$57:EU$270,2)</f>
        <v>0</v>
      </c>
      <c r="EV18" s="590"/>
      <c r="EW18" s="590"/>
      <c r="EX18" s="590">
        <f>COUNTIFS($B$57:$B$270,$B16,EX$57:EX$270,2)</f>
        <v>0</v>
      </c>
      <c r="EY18" s="590"/>
      <c r="EZ18" s="590"/>
      <c r="FA18" s="590"/>
      <c r="FB18" s="590"/>
      <c r="FC18" s="590"/>
      <c r="FD18" s="596"/>
      <c r="FE18" s="590">
        <f t="array" ref="FE18">PERCENTILE(IF((($B$57:$B$95=$B$13)*(FE$57:FE$95&lt;&gt;0)),FE$57:FE$95),$C18)</f>
        <v>4627151</v>
      </c>
      <c r="FF18" s="596"/>
      <c r="FG18" s="596"/>
      <c r="FH18" s="597"/>
      <c r="FI18" s="597"/>
      <c r="FJ18" s="597"/>
      <c r="FK18" s="597"/>
      <c r="FL18" s="597"/>
      <c r="FM18" s="597"/>
      <c r="FN18" s="597"/>
      <c r="FO18" s="597"/>
      <c r="FP18" s="597"/>
      <c r="FQ18" s="590"/>
      <c r="FR18" s="590"/>
      <c r="FS18" s="590"/>
      <c r="FT18" s="590"/>
      <c r="FU18" s="590"/>
      <c r="FV18" s="590"/>
      <c r="FW18" s="590"/>
      <c r="FX18" s="598"/>
      <c r="FY18" s="743">
        <f t="array" ref="FY18">PERCENTILE(IF((($B$57:$B$95=$B$13)*(FY$57:FY$95&lt;&gt;0)),FY$57:FY$95),$C18)</f>
        <v>-699542.5</v>
      </c>
      <c r="FZ18" s="599"/>
      <c r="GA18" s="599"/>
      <c r="GB18" s="599"/>
      <c r="GC18" s="599"/>
      <c r="GD18" s="599"/>
      <c r="GE18" s="599"/>
      <c r="GF18" s="599"/>
      <c r="GG18" s="599"/>
      <c r="GH18" s="589">
        <f t="array" ref="GH18">PERCENTILE(IF((($B$57:$B$95=$B$13)*(GH$57:GH$95&lt;&gt;0)),GH$57:GH$95),$C18)</f>
        <v>-0.34841183465845377</v>
      </c>
      <c r="GI18" s="589">
        <f t="array" ref="GI18">PERCENTILE(IF((($B$57:$B$95=$B$13)*(GI$57:GI$95&lt;&gt;0)),GI$57:GI$95),$C18)</f>
        <v>4.3173129947751807</v>
      </c>
      <c r="GJ18" s="589"/>
      <c r="GK18" s="589"/>
      <c r="GL18" s="589"/>
      <c r="GM18" s="589"/>
      <c r="GN18" s="590"/>
      <c r="GO18" s="592"/>
      <c r="GP18" s="592"/>
      <c r="GQ18" s="590"/>
      <c r="GR18" s="590"/>
      <c r="GS18" s="590"/>
      <c r="GT18" s="590"/>
      <c r="GU18" s="590"/>
      <c r="GV18" s="590"/>
      <c r="GW18" s="590"/>
      <c r="GX18" s="590">
        <f t="array" ref="GX18">PERCENTILE(IF((($B$57:$B$95=$B$13)*(GX$57:GX$95&lt;&gt;0)),GX$57:GX$95),$C18)</f>
        <v>145015.74722222221</v>
      </c>
      <c r="GY18" s="592"/>
      <c r="GZ18" s="593"/>
      <c r="HA18" s="593"/>
      <c r="HB18" s="593"/>
      <c r="HC18" s="593"/>
      <c r="HD18" s="593"/>
      <c r="HE18" s="593"/>
      <c r="HF18" s="593"/>
      <c r="HG18" s="590"/>
      <c r="HH18" s="590"/>
      <c r="HI18" s="590"/>
      <c r="HJ18" s="590"/>
      <c r="HK18" s="590"/>
      <c r="HL18" s="590"/>
      <c r="HM18" s="590"/>
      <c r="HN18" s="590"/>
      <c r="HO18" s="590"/>
      <c r="HP18" s="590"/>
      <c r="HQ18" s="590">
        <f t="array" ref="HQ18">PERCENTILE(IF((($B$57:$B$95=$B$13)*(HQ$57:HQ$95&lt;&gt;0)),HQ$57:HQ$95),$C18)</f>
        <v>118369.71527777778</v>
      </c>
      <c r="HR18" s="592"/>
      <c r="HS18" s="593"/>
      <c r="HT18" s="593"/>
      <c r="HU18" s="593"/>
      <c r="HV18" s="593"/>
      <c r="HW18" s="593"/>
      <c r="HX18" s="593"/>
      <c r="HY18" s="593"/>
      <c r="HZ18" s="51"/>
      <c r="IA18" s="600"/>
      <c r="IB18" s="600"/>
      <c r="IC18" s="601"/>
      <c r="ID18" s="601"/>
      <c r="IE18" s="602"/>
      <c r="IF18" s="602"/>
      <c r="IG18" s="836"/>
      <c r="IH18" s="836"/>
      <c r="II18" s="590"/>
      <c r="IJ18" s="590"/>
      <c r="IK18" s="602"/>
      <c r="IL18" s="601"/>
      <c r="IM18" s="602"/>
      <c r="IN18" s="602"/>
      <c r="IO18" s="860">
        <f t="array" ref="IO18">PERCENTILE(IF((($B$57:$B$95=$B$13)*(IO$57:IO$95&lt;&gt;0)),IO$57:IO$95),$C18)</f>
        <v>-1171.7341765408755</v>
      </c>
      <c r="IP18" s="852">
        <f t="array" ref="IP18">PERCENTILE(IF((($B$57:$B$95=$B$13)*(IP$57:IP$95&lt;&gt;0)),IP$57:IP$95),$C18)</f>
        <v>-1333.5686505624244</v>
      </c>
      <c r="IQ18" s="863">
        <f t="array" ref="IQ18">PERCENTILE(IF((($B$57:$B$95=$B$13)*(IQ$57:IQ$95&lt;&gt;0)),IQ$57:IQ$95),$C18)</f>
        <v>-0.10084821683302242</v>
      </c>
      <c r="IR18" s="594"/>
      <c r="IS18" s="594"/>
      <c r="IT18" s="594"/>
      <c r="IU18" s="594"/>
      <c r="IV18" s="594"/>
      <c r="IW18" s="594"/>
      <c r="IX18" s="593"/>
      <c r="IY18" s="593"/>
      <c r="IZ18" s="593"/>
      <c r="JA18" s="593"/>
      <c r="JB18" s="593"/>
      <c r="JC18" s="593"/>
      <c r="JD18" s="594"/>
      <c r="JE18" s="594"/>
      <c r="JF18" s="603"/>
      <c r="JG18" s="594"/>
      <c r="JH18" s="676"/>
      <c r="JI18" s="676"/>
      <c r="JJ18" s="676"/>
      <c r="JK18" s="676"/>
      <c r="JL18" s="676"/>
      <c r="JM18" s="676"/>
      <c r="JN18" s="676"/>
      <c r="JO18" s="676"/>
      <c r="JP18" s="676"/>
      <c r="JQ18" s="676"/>
      <c r="JR18" s="594"/>
      <c r="JS18" s="594"/>
      <c r="JT18" s="594"/>
      <c r="JU18" s="594"/>
      <c r="JV18" s="594"/>
      <c r="JW18" s="594"/>
      <c r="JX18" s="604"/>
      <c r="JY18" s="593">
        <f t="array" ref="JY18">PERCENTILE(IF((($B$57:$B$95=$B$13)*(JY$57:JY$95&lt;&gt;0)),JY$57:JY$95),$C18)</f>
        <v>0.24718125862828791</v>
      </c>
      <c r="JZ18" s="594"/>
      <c r="KA18" s="594"/>
      <c r="KB18" s="594"/>
      <c r="KC18" s="594"/>
      <c r="KD18" s="594"/>
      <c r="KE18" s="594"/>
      <c r="KF18" s="604"/>
      <c r="KG18" s="604"/>
      <c r="KH18" s="604"/>
      <c r="KI18" s="593">
        <f t="array" ref="KI18">PERCENTILE(IF((($B$57:$B$95=$B$13)*(KI$57:KI$95&lt;&gt;0)),KI$57:KI$95),$C18)</f>
        <v>0.3465883918648191</v>
      </c>
      <c r="KJ18" s="605"/>
      <c r="KK18" s="605"/>
      <c r="KL18" s="605"/>
      <c r="KM18" s="605"/>
      <c r="KN18" s="605"/>
      <c r="KO18" s="605"/>
      <c r="KP18" s="605"/>
      <c r="KQ18" s="605"/>
      <c r="KR18" s="605"/>
      <c r="KS18" s="605"/>
      <c r="KT18" s="605"/>
      <c r="KU18" s="605"/>
      <c r="KV18" s="605"/>
      <c r="KW18" s="605"/>
      <c r="KX18" s="108"/>
      <c r="KY18" s="421"/>
      <c r="KZ18" s="421"/>
      <c r="LA18" s="421"/>
      <c r="LB18" s="421"/>
      <c r="LQ18" s="421"/>
      <c r="LR18" s="421"/>
      <c r="LS18" s="421"/>
      <c r="LT18" s="282"/>
      <c r="LU18" s="282"/>
      <c r="LV18" s="282"/>
      <c r="LW18" s="282"/>
      <c r="LX18" s="282"/>
      <c r="LY18" s="282"/>
      <c r="LZ18" s="282"/>
      <c r="MA18" s="282"/>
      <c r="MB18" s="282"/>
      <c r="MC18" s="282"/>
      <c r="MD18" s="282"/>
      <c r="ME18" s="282"/>
      <c r="MF18" s="282"/>
      <c r="MG18" s="282"/>
      <c r="MH18" s="282"/>
      <c r="MI18" s="282"/>
      <c r="MJ18" s="282"/>
      <c r="MK18" s="282"/>
      <c r="ML18" s="282"/>
      <c r="MM18" s="1232"/>
      <c r="MN18" s="1232"/>
      <c r="MO18" s="1232"/>
      <c r="MP18" s="1232"/>
      <c r="MS18" s="421"/>
      <c r="MT18" s="421"/>
      <c r="MU18" s="421"/>
      <c r="MV18" s="421"/>
      <c r="MW18" s="421"/>
      <c r="MX18" s="421"/>
      <c r="MY18" s="421"/>
      <c r="MZ18" s="421"/>
      <c r="NA18" s="421"/>
      <c r="NB18" s="421"/>
      <c r="NC18" s="421"/>
      <c r="ND18" s="421"/>
      <c r="NE18" s="421"/>
      <c r="NF18" s="421"/>
      <c r="NG18" s="421"/>
      <c r="NH18" s="421"/>
      <c r="NI18" s="421"/>
      <c r="NJ18" s="421"/>
      <c r="NK18" s="421"/>
      <c r="NL18" s="421"/>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row>
    <row r="19" spans="1:429" ht="15.6" outlineLevel="1" collapsed="1">
      <c r="A19" s="2057"/>
      <c r="B19" s="101" t="s">
        <v>258</v>
      </c>
      <c r="C19" s="272" t="s">
        <v>386</v>
      </c>
      <c r="D19" s="101">
        <f>COUNTIF($B$57:$B$270,$B19)</f>
        <v>17</v>
      </c>
      <c r="E19" s="1530"/>
      <c r="F19" s="101">
        <f t="shared" ref="F19:K19" si="212">SUMIF($B$57:$B$270,$B19,F$57:F$270)</f>
        <v>11</v>
      </c>
      <c r="G19" s="101">
        <f t="shared" si="212"/>
        <v>16</v>
      </c>
      <c r="H19" s="103">
        <f t="shared" si="212"/>
        <v>8311</v>
      </c>
      <c r="I19" s="103">
        <f t="shared" si="212"/>
        <v>9048</v>
      </c>
      <c r="J19" s="103">
        <f t="shared" si="212"/>
        <v>17359</v>
      </c>
      <c r="K19" s="830">
        <f t="shared" si="212"/>
        <v>15221.397638179174</v>
      </c>
      <c r="L19" s="1079"/>
      <c r="M19" s="1088"/>
      <c r="N19" s="1089"/>
      <c r="O19" s="1088"/>
      <c r="P19" s="1088"/>
      <c r="Q19" s="106">
        <f>SUMIF($B$57:$B$270,$B19,Q$57:Q$270)</f>
        <v>149150</v>
      </c>
      <c r="R19" s="106">
        <f>SUMIF($B$57:$B$270,$B19,R$57:R$270)</f>
        <v>1920450</v>
      </c>
      <c r="S19" s="106">
        <f>SUMIF($B$57:$B$270,$B19,S$57:S$270)</f>
        <v>2069600</v>
      </c>
      <c r="T19" s="1072"/>
      <c r="U19" s="1072"/>
      <c r="V19" s="1072"/>
      <c r="W19" s="106">
        <f>SUMIF($B$57:$B$270,$B19,W$57:W$270)</f>
        <v>417771</v>
      </c>
      <c r="X19" s="106">
        <f>SUMIF($B$57:$B$270,$B19,X$57:X$270)</f>
        <v>370473</v>
      </c>
      <c r="Y19" s="1072"/>
      <c r="Z19" s="1072"/>
      <c r="AA19" s="106">
        <f>SUMIF($B$57:$B$270,$B19,AA$57:AA$270)</f>
        <v>47298</v>
      </c>
      <c r="AB19" s="106">
        <f>SUMIF($B$57:$B$270,$B19,AB$57:AB$270)</f>
        <v>2.2819637201277261</v>
      </c>
      <c r="AC19" s="282"/>
      <c r="AD19" s="1102"/>
      <c r="AE19" s="101">
        <f>SUMIF($B$57:$B$270,$B19,AE$57:AE$270)</f>
        <v>11</v>
      </c>
      <c r="AF19" s="101">
        <f>SUMIF($B$57:$B$270,$B19,AF$57:AF$270)</f>
        <v>23428</v>
      </c>
      <c r="AG19" s="282"/>
      <c r="AH19" s="101">
        <f>SUMIF($B$57:$B$270,$B19,AH$57:AH$270)</f>
        <v>2</v>
      </c>
      <c r="AI19" s="106">
        <f>SUMIF($B$57:$B$270,$B19,AI$57:AI$270)</f>
        <v>4238</v>
      </c>
      <c r="AJ19" s="1072"/>
      <c r="AK19" s="101">
        <f>SUMIF($B$57:$B$270,$B19,AK$57:AK$270)</f>
        <v>15</v>
      </c>
      <c r="AL19" s="101">
        <f>SUMIF($B$57:$B$270,$B19,AL$57:AL$270)</f>
        <v>46090</v>
      </c>
      <c r="AM19" s="403">
        <f>X19+AF19+AI19+AL19</f>
        <v>444229</v>
      </c>
      <c r="AN19" s="1072">
        <f>Z19+AG19+AJ19</f>
        <v>0</v>
      </c>
      <c r="AO19" s="403">
        <f>EL19</f>
        <v>19500</v>
      </c>
      <c r="AP19" s="403">
        <f>ROUND(EP19*12,-2)</f>
        <v>20100</v>
      </c>
      <c r="AQ19" s="403">
        <f>+AM19+AO19+AP19</f>
        <v>483829</v>
      </c>
      <c r="AR19" s="403">
        <f>Z19+AG19+AJ19</f>
        <v>0</v>
      </c>
      <c r="AS19" s="1122"/>
      <c r="AT19" s="1122"/>
      <c r="AU19" s="1122"/>
      <c r="AV19" s="1122"/>
      <c r="AW19" s="1102"/>
      <c r="AX19" s="101">
        <f t="shared" ref="AX19:BK19" si="213">SUMIF($B$57:$B$270,$B19,AX$57:AX$270)</f>
        <v>8</v>
      </c>
      <c r="AY19" s="101">
        <f t="shared" si="213"/>
        <v>4</v>
      </c>
      <c r="AZ19" s="101">
        <f t="shared" si="213"/>
        <v>4</v>
      </c>
      <c r="BA19" s="101">
        <f t="shared" si="213"/>
        <v>2</v>
      </c>
      <c r="BB19" s="101">
        <f t="shared" si="213"/>
        <v>0</v>
      </c>
      <c r="BC19" s="101">
        <f t="shared" si="213"/>
        <v>1</v>
      </c>
      <c r="BD19" s="101">
        <f t="shared" si="213"/>
        <v>1</v>
      </c>
      <c r="BE19" s="101">
        <f t="shared" si="213"/>
        <v>13</v>
      </c>
      <c r="BF19" s="106">
        <f t="shared" si="213"/>
        <v>191703625</v>
      </c>
      <c r="BG19" s="106">
        <f t="shared" si="213"/>
        <v>46128422</v>
      </c>
      <c r="BH19" s="106">
        <f t="shared" si="213"/>
        <v>237832047</v>
      </c>
      <c r="BI19" s="1269">
        <f t="shared" si="213"/>
        <v>750821586</v>
      </c>
      <c r="BJ19" s="106">
        <f t="shared" si="213"/>
        <v>135961330</v>
      </c>
      <c r="BK19" s="106">
        <f t="shared" si="213"/>
        <v>66246256</v>
      </c>
      <c r="BL19" s="435">
        <f>ROUND(BJ19/BK19,2)</f>
        <v>2.0499999999999998</v>
      </c>
      <c r="BM19" s="101">
        <f>SUMIF($B$57:$B$270,$B19,BM$57:BM$270)</f>
        <v>16</v>
      </c>
      <c r="BN19" s="106">
        <f>SUMIF($B$57:$B$270,$B19,BN$57:BN$270)</f>
        <v>191588430</v>
      </c>
      <c r="BO19" s="282"/>
      <c r="BP19" s="106">
        <f t="shared" ref="BP19:BV19" si="214">SUMIF($B$57:$B$270,$B19,BP$57:BP$270)</f>
        <v>250615958</v>
      </c>
      <c r="BQ19" s="106">
        <f t="shared" si="214"/>
        <v>264942447</v>
      </c>
      <c r="BR19" s="417">
        <f t="shared" si="214"/>
        <v>19.635160584873891</v>
      </c>
      <c r="BS19" s="101">
        <f t="shared" si="214"/>
        <v>7</v>
      </c>
      <c r="BT19" s="106">
        <f t="shared" si="214"/>
        <v>454380936</v>
      </c>
      <c r="BU19" s="106">
        <f t="shared" si="214"/>
        <v>717109668</v>
      </c>
      <c r="BV19" s="417">
        <f t="shared" si="214"/>
        <v>10.905253399263467</v>
      </c>
      <c r="BW19" s="821">
        <f>IF(BN19=0,0,+IF(K19=0,0,ROUND(BN19/K19,-1)))</f>
        <v>12590</v>
      </c>
      <c r="BX19" s="821">
        <f>IF(BJ19=0,0,+IF(K19=0,0,ROUND(BJ19/K19,-1)))</f>
        <v>8930</v>
      </c>
      <c r="BY19" s="821">
        <f>IF(BH19=0,0,+IF(K19=0,0,ROUND(BH19/K19,-1)))</f>
        <v>15620</v>
      </c>
      <c r="BZ19" s="103">
        <f t="shared" ref="BZ19:CI19" si="215">SUMIF($B$57:$B$270,$B19,BZ$57:BZ$270)</f>
        <v>25431690</v>
      </c>
      <c r="CA19" s="106">
        <f t="shared" si="215"/>
        <v>5849430</v>
      </c>
      <c r="CB19" s="106">
        <f t="shared" si="215"/>
        <v>11770578</v>
      </c>
      <c r="CC19" s="106">
        <f t="shared" si="215"/>
        <v>17341422</v>
      </c>
      <c r="CD19" s="106">
        <f t="shared" si="215"/>
        <v>316161921</v>
      </c>
      <c r="CE19" s="106">
        <f t="shared" si="215"/>
        <v>1738054</v>
      </c>
      <c r="CF19" s="106">
        <f t="shared" si="215"/>
        <v>0</v>
      </c>
      <c r="CG19" s="106">
        <f t="shared" si="215"/>
        <v>62769425</v>
      </c>
      <c r="CH19" s="106">
        <f t="shared" si="215"/>
        <v>12636401</v>
      </c>
      <c r="CI19" s="106">
        <f t="shared" si="215"/>
        <v>11525486</v>
      </c>
      <c r="CJ19" s="292">
        <f>SUM(BZ19:CI19)</f>
        <v>465224407</v>
      </c>
      <c r="CK19" s="406">
        <f t="shared" ref="CK19:CU19" si="216">ROUND(BZ19/$CJ19,3)</f>
        <v>5.5E-2</v>
      </c>
      <c r="CL19" s="406">
        <f t="shared" si="216"/>
        <v>1.2999999999999999E-2</v>
      </c>
      <c r="CM19" s="406">
        <f t="shared" si="216"/>
        <v>2.5000000000000001E-2</v>
      </c>
      <c r="CN19" s="406">
        <f t="shared" si="216"/>
        <v>3.6999999999999998E-2</v>
      </c>
      <c r="CO19" s="406">
        <f t="shared" si="216"/>
        <v>0.68</v>
      </c>
      <c r="CP19" s="406">
        <f t="shared" si="216"/>
        <v>4.0000000000000001E-3</v>
      </c>
      <c r="CQ19" s="406">
        <f t="shared" si="216"/>
        <v>0</v>
      </c>
      <c r="CR19" s="406">
        <f t="shared" si="216"/>
        <v>0.13500000000000001</v>
      </c>
      <c r="CS19" s="406">
        <f t="shared" si="216"/>
        <v>2.7E-2</v>
      </c>
      <c r="CT19" s="406">
        <f t="shared" si="216"/>
        <v>2.5000000000000001E-2</v>
      </c>
      <c r="CU19" s="406">
        <f t="shared" si="216"/>
        <v>1</v>
      </c>
      <c r="CV19" s="106">
        <f t="shared" ref="CV19:DB19" si="217">SUMIF($B$57:$B$270,$B19,CV$57:CV$270)</f>
        <v>249321736</v>
      </c>
      <c r="CW19" s="106">
        <f t="shared" si="217"/>
        <v>45348374</v>
      </c>
      <c r="CX19" s="106">
        <f t="shared" si="217"/>
        <v>9331166</v>
      </c>
      <c r="CY19" s="106">
        <f t="shared" si="217"/>
        <v>147595541</v>
      </c>
      <c r="CZ19" s="106">
        <f t="shared" si="217"/>
        <v>6071402</v>
      </c>
      <c r="DA19" s="106">
        <f t="shared" si="217"/>
        <v>11900025</v>
      </c>
      <c r="DB19" s="106">
        <f t="shared" si="217"/>
        <v>469568244</v>
      </c>
      <c r="DC19" s="406">
        <f t="shared" ref="DC19:DI19" si="218">ROUND(CV19/$DB19,3)</f>
        <v>0.53100000000000003</v>
      </c>
      <c r="DD19" s="406">
        <f t="shared" si="218"/>
        <v>9.7000000000000003E-2</v>
      </c>
      <c r="DE19" s="406">
        <f t="shared" si="218"/>
        <v>0.02</v>
      </c>
      <c r="DF19" s="406">
        <f t="shared" si="218"/>
        <v>0.314</v>
      </c>
      <c r="DG19" s="406">
        <f t="shared" si="218"/>
        <v>1.2999999999999999E-2</v>
      </c>
      <c r="DH19" s="406">
        <f t="shared" si="218"/>
        <v>2.5000000000000001E-2</v>
      </c>
      <c r="DI19" s="406">
        <f t="shared" si="218"/>
        <v>1</v>
      </c>
      <c r="DJ19" s="301">
        <f>CJ19-DB19</f>
        <v>-4343837</v>
      </c>
      <c r="DK19" s="822">
        <f t="shared" ref="DK19:DT19" si="219">IF(BZ19=0,0,+IF($K19=0,0,ROUND(BZ19/$K19,0)))</f>
        <v>1671</v>
      </c>
      <c r="DL19" s="822">
        <f t="shared" si="219"/>
        <v>384</v>
      </c>
      <c r="DM19" s="822">
        <f t="shared" si="219"/>
        <v>773</v>
      </c>
      <c r="DN19" s="822">
        <f t="shared" si="219"/>
        <v>1139</v>
      </c>
      <c r="DO19" s="822">
        <f t="shared" si="219"/>
        <v>20771</v>
      </c>
      <c r="DP19" s="822">
        <f t="shared" si="219"/>
        <v>114</v>
      </c>
      <c r="DQ19" s="822">
        <f t="shared" si="219"/>
        <v>0</v>
      </c>
      <c r="DR19" s="822">
        <f t="shared" si="219"/>
        <v>4124</v>
      </c>
      <c r="DS19" s="822">
        <f t="shared" si="219"/>
        <v>830</v>
      </c>
      <c r="DT19" s="822">
        <f t="shared" si="219"/>
        <v>757</v>
      </c>
      <c r="DU19" s="822">
        <f>SUM(DK19:DT19)</f>
        <v>30563</v>
      </c>
      <c r="DV19" s="822">
        <f t="shared" ref="DV19:EA19" si="220">IF(CV19=0,0,+IF($K19=0,0,ROUND(CV19/$K19,0)))</f>
        <v>16380</v>
      </c>
      <c r="DW19" s="822">
        <f t="shared" si="220"/>
        <v>2979</v>
      </c>
      <c r="DX19" s="822">
        <f t="shared" si="220"/>
        <v>613</v>
      </c>
      <c r="DY19" s="822">
        <f t="shared" si="220"/>
        <v>9697</v>
      </c>
      <c r="DZ19" s="822">
        <f t="shared" si="220"/>
        <v>399</v>
      </c>
      <c r="EA19" s="822">
        <f t="shared" si="220"/>
        <v>782</v>
      </c>
      <c r="EB19" s="822">
        <f>SUM(DV19:EA19)</f>
        <v>30850</v>
      </c>
      <c r="EC19" s="824">
        <f>DU19-EB19</f>
        <v>-287</v>
      </c>
      <c r="ED19" s="106">
        <f t="shared" ref="ED19:EI19" si="221">SUMIF($B$57:$B$270,$B19,ED$57:ED$270)</f>
        <v>4629</v>
      </c>
      <c r="EE19" s="101">
        <f t="shared" si="221"/>
        <v>16</v>
      </c>
      <c r="EF19" s="106">
        <f t="shared" si="221"/>
        <v>1230</v>
      </c>
      <c r="EG19" s="106">
        <f t="shared" si="221"/>
        <v>11801964</v>
      </c>
      <c r="EH19" s="101">
        <f t="shared" si="221"/>
        <v>16</v>
      </c>
      <c r="EI19" s="101">
        <f t="shared" si="221"/>
        <v>1.5180000000000005</v>
      </c>
      <c r="EJ19" s="823">
        <f>IF(K19=0,0,+IF(ED19=0,0,ROUND(K19/ED19,1)))</f>
        <v>3.3</v>
      </c>
      <c r="EK19" s="101">
        <f t="shared" ref="EK19:ER19" si="222">SUMIF($B$57:$B$270,$B19,EK$57:EK$270)</f>
        <v>11</v>
      </c>
      <c r="EL19" s="106">
        <f t="shared" si="222"/>
        <v>19500</v>
      </c>
      <c r="EM19" s="101">
        <f t="shared" si="222"/>
        <v>2</v>
      </c>
      <c r="EN19" s="101">
        <f t="shared" si="222"/>
        <v>0.4</v>
      </c>
      <c r="EO19" s="101">
        <f t="shared" si="222"/>
        <v>10</v>
      </c>
      <c r="EP19" s="106">
        <f t="shared" si="222"/>
        <v>1671.7500000000002</v>
      </c>
      <c r="EQ19" s="101">
        <f t="shared" si="222"/>
        <v>7</v>
      </c>
      <c r="ER19" s="101">
        <f t="shared" si="222"/>
        <v>5</v>
      </c>
      <c r="ES19" s="822">
        <f>IF(FE19=0,0,+IF(K19=0,0,ROUND(FE19/K19,-2)))</f>
        <v>5000</v>
      </c>
      <c r="ET19" s="824">
        <f>IF(FY19=0,0,+IF(K19=0,0,ROUND(FY19/K19,-1)))</f>
        <v>-5850</v>
      </c>
      <c r="EU19" s="101">
        <f>COUNTIFS($B$57:$B$270,$B19,EU$57:EU$270,1)</f>
        <v>4</v>
      </c>
      <c r="EV19" s="106">
        <f>SUMIF($B$57:$B$270,$B19,EV$57:EV$270)</f>
        <v>2462670</v>
      </c>
      <c r="EW19" s="101">
        <f>SUMIF($B$57:$B$270,$B19,EW$57:EW$270)</f>
        <v>116936</v>
      </c>
      <c r="EX19" s="101">
        <f>COUNTIFS($B$57:$B$270,$B19,EX$57:EX$270,0)</f>
        <v>10</v>
      </c>
      <c r="EY19" s="101">
        <f>SUMIF($B$57:$B$270,$B19,EY$57:EY$270)</f>
        <v>62769425</v>
      </c>
      <c r="EZ19" s="101">
        <f>SUMIF($B$57:$B$270,$B19,EZ$57:EZ$270)</f>
        <v>40678092</v>
      </c>
      <c r="FA19" s="3">
        <f>EY19-EZ19</f>
        <v>22091333</v>
      </c>
      <c r="FB19" s="101">
        <f>SUMIF($B$57:$B$270,$B19,FB$57:FB$270)</f>
        <v>12636401</v>
      </c>
      <c r="FC19" s="101">
        <f>SUMIF($B$57:$B$270,$B19,FC$57:FC$270)</f>
        <v>4670282</v>
      </c>
      <c r="FD19" s="3">
        <f>FB19-FC19</f>
        <v>7966119</v>
      </c>
      <c r="FE19" s="3">
        <f>EY19+FB19</f>
        <v>75405826</v>
      </c>
      <c r="FF19" s="3">
        <f>EZ19+FC19</f>
        <v>45348374</v>
      </c>
      <c r="FG19" s="3">
        <f>FE19-FF19</f>
        <v>30057452</v>
      </c>
      <c r="FH19" s="303">
        <f>EY19/$EY19</f>
        <v>1</v>
      </c>
      <c r="FI19" s="303">
        <f>ROUND(EZ19/$EY19,3)</f>
        <v>0.64800000000000002</v>
      </c>
      <c r="FJ19" s="303">
        <f>ROUND(FA19/$EY19,3)</f>
        <v>0.35199999999999998</v>
      </c>
      <c r="FK19" s="303">
        <f>ROUND(FB19/$FB19,2)</f>
        <v>1</v>
      </c>
      <c r="FL19" s="303">
        <f>ROUND(FC19/$FB19,3)</f>
        <v>0.37</v>
      </c>
      <c r="FM19" s="303">
        <f>ROUND(FD19/$FB19,3)</f>
        <v>0.63</v>
      </c>
      <c r="FN19" s="303">
        <f>ROUND(FE19/$FE19,2)</f>
        <v>1</v>
      </c>
      <c r="FO19" s="303">
        <f>ROUND(FF19/$FE19,3)</f>
        <v>0.60099999999999998</v>
      </c>
      <c r="FP19" s="303">
        <f>ROUND(FG19/$FE19,3)</f>
        <v>0.39900000000000002</v>
      </c>
      <c r="FQ19" s="101">
        <f t="shared" ref="FQ19:FW19" si="223">SUMIF($B$57:$B$270,$B19,FQ$57:FQ$270)</f>
        <v>85154736</v>
      </c>
      <c r="FR19" s="408">
        <f t="shared" si="223"/>
        <v>-7128489</v>
      </c>
      <c r="FS19" s="101">
        <f t="shared" si="223"/>
        <v>15236782</v>
      </c>
      <c r="FT19" s="101">
        <f t="shared" si="223"/>
        <v>2757487</v>
      </c>
      <c r="FU19" s="101">
        <f t="shared" si="223"/>
        <v>1176704</v>
      </c>
      <c r="FV19" s="101">
        <f t="shared" si="223"/>
        <v>854560</v>
      </c>
      <c r="FW19" s="101">
        <f t="shared" si="223"/>
        <v>21039874</v>
      </c>
      <c r="FX19" s="409">
        <f>SUM(FQ19:FW19)</f>
        <v>119091654</v>
      </c>
      <c r="FY19" s="410">
        <f>ROUND(FG19-FX19,-2)</f>
        <v>-89034200</v>
      </c>
      <c r="FZ19" s="303">
        <f t="shared" ref="FZ19:GH19" si="224">ROUND(FQ19/$FE19,3)</f>
        <v>1.129</v>
      </c>
      <c r="GA19" s="303">
        <f t="shared" si="224"/>
        <v>-9.5000000000000001E-2</v>
      </c>
      <c r="GB19" s="303">
        <f t="shared" si="224"/>
        <v>0.20200000000000001</v>
      </c>
      <c r="GC19" s="303">
        <f t="shared" si="224"/>
        <v>3.6999999999999998E-2</v>
      </c>
      <c r="GD19" s="303">
        <f t="shared" si="224"/>
        <v>1.6E-2</v>
      </c>
      <c r="GE19" s="303">
        <f t="shared" si="224"/>
        <v>1.0999999999999999E-2</v>
      </c>
      <c r="GF19" s="303">
        <f t="shared" si="224"/>
        <v>0.27900000000000003</v>
      </c>
      <c r="GG19" s="303">
        <f t="shared" si="224"/>
        <v>1.579</v>
      </c>
      <c r="GH19" s="303">
        <f t="shared" si="224"/>
        <v>-1.181</v>
      </c>
      <c r="GI19" s="411">
        <f>EY19/FB19</f>
        <v>4.9673498807136625</v>
      </c>
      <c r="GJ19" s="408">
        <f t="shared" ref="GJ19:GV19" si="225">SUMIF($B$57:$B$270,$B19,GJ$57:GJ$270)</f>
        <v>12</v>
      </c>
      <c r="GK19" s="394">
        <f t="shared" si="225"/>
        <v>0.86</v>
      </c>
      <c r="GL19" s="408">
        <f t="shared" si="225"/>
        <v>12</v>
      </c>
      <c r="GM19" s="394">
        <f t="shared" si="225"/>
        <v>0.92</v>
      </c>
      <c r="GN19" s="103">
        <f t="shared" si="225"/>
        <v>126</v>
      </c>
      <c r="GO19" s="103">
        <f t="shared" si="225"/>
        <v>855</v>
      </c>
      <c r="GP19" s="103">
        <f t="shared" si="225"/>
        <v>215361</v>
      </c>
      <c r="GQ19" s="103">
        <f t="shared" si="225"/>
        <v>8129993</v>
      </c>
      <c r="GR19" s="103">
        <f t="shared" si="225"/>
        <v>1522436</v>
      </c>
      <c r="GS19" s="103">
        <f t="shared" si="225"/>
        <v>3759712</v>
      </c>
      <c r="GT19" s="103">
        <f t="shared" si="225"/>
        <v>988229</v>
      </c>
      <c r="GU19" s="103">
        <f t="shared" si="225"/>
        <v>15221</v>
      </c>
      <c r="GV19" s="103">
        <f t="shared" si="225"/>
        <v>1279160</v>
      </c>
      <c r="GW19" s="412">
        <f>SUM(GQ19:GV19)</f>
        <v>15694751</v>
      </c>
      <c r="GX19" s="7">
        <f>IF(GW19=0,0,ROUND(GW19/GN19,-2))</f>
        <v>124600</v>
      </c>
      <c r="GY19" s="49">
        <f>IF(GW19=0,0,ROUND(GW19/GO19,-2))</f>
        <v>18400</v>
      </c>
      <c r="GZ19" s="20">
        <f t="shared" ref="GZ19:HE19" si="226">ROUND(GQ19/$GW19,3)</f>
        <v>0.51800000000000002</v>
      </c>
      <c r="HA19" s="20">
        <f t="shared" si="226"/>
        <v>9.7000000000000003E-2</v>
      </c>
      <c r="HB19" s="20">
        <f t="shared" si="226"/>
        <v>0.24</v>
      </c>
      <c r="HC19" s="20">
        <f t="shared" si="226"/>
        <v>6.3E-2</v>
      </c>
      <c r="HD19" s="20">
        <f t="shared" si="226"/>
        <v>1E-3</v>
      </c>
      <c r="HE19" s="20">
        <f t="shared" si="226"/>
        <v>8.2000000000000003E-2</v>
      </c>
      <c r="HF19" s="20">
        <f>SUM(GZ19:HE19)</f>
        <v>1.0009999999999999</v>
      </c>
      <c r="HG19" s="106">
        <f t="shared" ref="HG19:HP19" si="227">SUMIF($B$57:$B$270,$B19,HG$57:HG$270)</f>
        <v>396</v>
      </c>
      <c r="HH19" s="106">
        <f t="shared" si="227"/>
        <v>2950</v>
      </c>
      <c r="HI19" s="106">
        <f t="shared" si="227"/>
        <v>629176</v>
      </c>
      <c r="HJ19" s="106">
        <f t="shared" si="227"/>
        <v>20436580</v>
      </c>
      <c r="HK19" s="106">
        <f t="shared" si="227"/>
        <v>3699203</v>
      </c>
      <c r="HL19" s="106">
        <f t="shared" si="227"/>
        <v>9363710</v>
      </c>
      <c r="HM19" s="106">
        <f t="shared" si="227"/>
        <v>3005820</v>
      </c>
      <c r="HN19" s="106">
        <f t="shared" si="227"/>
        <v>880981</v>
      </c>
      <c r="HO19" s="106">
        <f t="shared" si="227"/>
        <v>3072803</v>
      </c>
      <c r="HP19" s="106">
        <f t="shared" si="227"/>
        <v>40459097</v>
      </c>
      <c r="HQ19" s="7">
        <f>ROUND(HP19/HG19,-2)</f>
        <v>102200</v>
      </c>
      <c r="HR19" s="49">
        <f>IF(HP19=0,0,ROUND(HP19/HH19,-1))</f>
        <v>13710</v>
      </c>
      <c r="HS19" s="20">
        <f t="shared" ref="HS19:HX19" si="228">ROUND(HJ19/$HP19,3)</f>
        <v>0.505</v>
      </c>
      <c r="HT19" s="20">
        <f t="shared" si="228"/>
        <v>9.0999999999999998E-2</v>
      </c>
      <c r="HU19" s="20">
        <f t="shared" si="228"/>
        <v>0.23100000000000001</v>
      </c>
      <c r="HV19" s="20">
        <f t="shared" si="228"/>
        <v>7.3999999999999996E-2</v>
      </c>
      <c r="HW19" s="20">
        <f t="shared" si="228"/>
        <v>2.1999999999999999E-2</v>
      </c>
      <c r="HX19" s="20">
        <f t="shared" si="228"/>
        <v>7.5999999999999998E-2</v>
      </c>
      <c r="HY19" s="20">
        <f>SUM(HS19:HX19)</f>
        <v>0.99899999999999989</v>
      </c>
      <c r="HZ19" s="51"/>
      <c r="IA19" s="297">
        <f>ROUND(Q19/S19,2)</f>
        <v>7.0000000000000007E-2</v>
      </c>
      <c r="IB19" s="297"/>
      <c r="IC19" s="438">
        <f>SUMIF($B$57:$B$270,$B19,IC$57:IC$270)</f>
        <v>16</v>
      </c>
      <c r="ID19" s="438"/>
      <c r="IE19" s="438">
        <f>SUMIF($B$57:$B$270,$B19,IE$57:IE$270)</f>
        <v>1</v>
      </c>
      <c r="IF19" s="438"/>
      <c r="IG19" s="284">
        <f>IF(BI19=0,0,+IF(K19=0,0,BI19/K19))</f>
        <v>49326.717811822135</v>
      </c>
      <c r="IH19" s="284">
        <f>IF(BU19=0,0,+IF(K19=0,0,BU19/K19))</f>
        <v>47111.946290746964</v>
      </c>
      <c r="II19" s="417">
        <f t="shared" ref="II19:IN19" si="229">SUMIF($B$57:$B$270,$B19,II$57:II$270)</f>
        <v>11.940262129277974</v>
      </c>
      <c r="IJ19" s="417">
        <f t="shared" si="229"/>
        <v>7.6948984555959212</v>
      </c>
      <c r="IK19" s="413">
        <f t="shared" si="229"/>
        <v>3</v>
      </c>
      <c r="IL19" s="413">
        <f t="shared" si="229"/>
        <v>7</v>
      </c>
      <c r="IM19" s="413">
        <f t="shared" si="229"/>
        <v>1</v>
      </c>
      <c r="IN19" s="413">
        <f t="shared" si="229"/>
        <v>0</v>
      </c>
      <c r="IO19" s="853">
        <f>ROUND(FY19/$J19,-1)</f>
        <v>-5130</v>
      </c>
      <c r="IP19" s="851">
        <f>IF(K19=0,0,ROUND(FY19/K19,-1))</f>
        <v>-5850</v>
      </c>
      <c r="IQ19" s="857">
        <f>IF(FY19=0,0,+IF(CD19=0,0,FY19/CD19))</f>
        <v>-0.28160949844431138</v>
      </c>
      <c r="IR19" s="415">
        <f>EY19</f>
        <v>62769425</v>
      </c>
      <c r="IS19" s="415">
        <f>FB19</f>
        <v>12636401</v>
      </c>
      <c r="IT19" s="415">
        <f>FQ19</f>
        <v>85154736</v>
      </c>
      <c r="IU19" s="415">
        <f>FS19+FT19</f>
        <v>17994269</v>
      </c>
      <c r="IV19" s="415">
        <f>FF19</f>
        <v>45348374</v>
      </c>
      <c r="IW19" s="415">
        <f>SUM(FU19:FW19)+FR19</f>
        <v>15942649</v>
      </c>
      <c r="IX19" s="303">
        <f t="shared" ref="IX19:JC19" si="230">IF(IR19=0,0,ROUND(IR19/(SUM($IR19:$IS19)),3))</f>
        <v>0.83199999999999996</v>
      </c>
      <c r="IY19" s="303">
        <f t="shared" si="230"/>
        <v>0.16800000000000001</v>
      </c>
      <c r="IZ19" s="303">
        <f t="shared" si="230"/>
        <v>1.129</v>
      </c>
      <c r="JA19" s="303">
        <f t="shared" si="230"/>
        <v>0.23899999999999999</v>
      </c>
      <c r="JB19" s="303">
        <f t="shared" si="230"/>
        <v>0.60099999999999998</v>
      </c>
      <c r="JC19" s="303">
        <f t="shared" si="230"/>
        <v>0.21099999999999999</v>
      </c>
      <c r="JD19" s="294">
        <f>CD19+CE19+CF19</f>
        <v>317899975</v>
      </c>
      <c r="JE19" s="294">
        <f>BZ19+CA19+CB19+CC19</f>
        <v>60393120</v>
      </c>
      <c r="JF19" s="294">
        <f>JD19+JE19+CG19+CH19+CI19-CJ19</f>
        <v>0</v>
      </c>
      <c r="JG19" s="294">
        <f>CZ19+DA19</f>
        <v>17971427</v>
      </c>
      <c r="JH19" s="414">
        <f t="shared" ref="JH19:JQ19" si="231">SUMIF($B$57:$B$270,$B19,JH$57:JH$270)</f>
        <v>4</v>
      </c>
      <c r="JI19" s="414">
        <f t="shared" si="231"/>
        <v>17</v>
      </c>
      <c r="JJ19" s="300">
        <f t="shared" si="231"/>
        <v>13.443130941123981</v>
      </c>
      <c r="JK19" s="300">
        <f t="shared" si="231"/>
        <v>9.3703445785781661</v>
      </c>
      <c r="JL19" s="300">
        <f t="shared" si="231"/>
        <v>1.6441785406660501</v>
      </c>
      <c r="JM19" s="300">
        <f t="shared" si="231"/>
        <v>0.34087024098223367</v>
      </c>
      <c r="JN19" s="300">
        <f t="shared" si="231"/>
        <v>5.2863233325228887</v>
      </c>
      <c r="JO19" s="300">
        <f t="shared" si="231"/>
        <v>0.2383375597685366</v>
      </c>
      <c r="JP19" s="300">
        <f t="shared" si="231"/>
        <v>0.45132370495713758</v>
      </c>
      <c r="JQ19" s="300">
        <f t="shared" si="231"/>
        <v>17.331377957475009</v>
      </c>
      <c r="JR19" s="292">
        <f t="shared" ref="JR19:JW19" si="232">ROUND(GQ19/$GN19,-2)</f>
        <v>64500</v>
      </c>
      <c r="JS19" s="292">
        <f t="shared" si="232"/>
        <v>12100</v>
      </c>
      <c r="JT19" s="292">
        <f t="shared" si="232"/>
        <v>29800</v>
      </c>
      <c r="JU19" s="292">
        <f t="shared" si="232"/>
        <v>7800</v>
      </c>
      <c r="JV19" s="292">
        <f t="shared" si="232"/>
        <v>100</v>
      </c>
      <c r="JW19" s="292">
        <f t="shared" si="232"/>
        <v>10200</v>
      </c>
      <c r="JX19" s="292">
        <f>GW19/GP19</f>
        <v>72.876477170889814</v>
      </c>
      <c r="JY19" s="394">
        <f>SUMIF($B$57:$B$270,$B19,JY$57:JY$270)</f>
        <v>0.95996364832449355</v>
      </c>
      <c r="JZ19" s="292">
        <f t="shared" ref="JZ19:KE19" si="233">ROUND(HJ19/$HG19,-2)</f>
        <v>51600</v>
      </c>
      <c r="KA19" s="292">
        <f t="shared" si="233"/>
        <v>9300</v>
      </c>
      <c r="KB19" s="292">
        <f t="shared" si="233"/>
        <v>23600</v>
      </c>
      <c r="KC19" s="292">
        <f t="shared" si="233"/>
        <v>7600</v>
      </c>
      <c r="KD19" s="292">
        <f t="shared" si="233"/>
        <v>2200</v>
      </c>
      <c r="KE19" s="292">
        <f t="shared" si="233"/>
        <v>7800</v>
      </c>
      <c r="KF19" s="292">
        <f>ROUND(HI19/HG19*18,-2)</f>
        <v>28600</v>
      </c>
      <c r="KG19" s="292">
        <f>ROUND(HH19/HG19*36,0)</f>
        <v>268</v>
      </c>
      <c r="KH19" s="292">
        <f>ROUND(HP19/HI19,0)</f>
        <v>64</v>
      </c>
      <c r="KI19" s="394">
        <f t="shared" ref="KI19:KW19" si="234">SUMIF($B$57:$B$270,$B19,KI$57:KI$270)</f>
        <v>1.3461740690672026</v>
      </c>
      <c r="KJ19" s="61">
        <f t="shared" si="234"/>
        <v>522</v>
      </c>
      <c r="KK19" s="61">
        <f t="shared" si="234"/>
        <v>844537</v>
      </c>
      <c r="KL19" s="61">
        <f t="shared" si="234"/>
        <v>3805</v>
      </c>
      <c r="KM19" s="61">
        <f t="shared" si="234"/>
        <v>1898193.4722222222</v>
      </c>
      <c r="KN19" s="61">
        <f t="shared" si="234"/>
        <v>1192.3026200233592</v>
      </c>
      <c r="KO19" s="61">
        <f t="shared" si="234"/>
        <v>279627.0478291022</v>
      </c>
      <c r="KP19" s="61">
        <f t="shared" si="234"/>
        <v>28566573</v>
      </c>
      <c r="KQ19" s="61">
        <f t="shared" si="234"/>
        <v>5221639</v>
      </c>
      <c r="KR19" s="61">
        <f t="shared" si="234"/>
        <v>13123422</v>
      </c>
      <c r="KS19" s="61">
        <f t="shared" si="234"/>
        <v>3994049</v>
      </c>
      <c r="KT19" s="61">
        <f t="shared" si="234"/>
        <v>896202</v>
      </c>
      <c r="KU19" s="61">
        <f t="shared" si="234"/>
        <v>4351963</v>
      </c>
      <c r="KV19" s="61">
        <f t="shared" si="234"/>
        <v>2.3061377173916959</v>
      </c>
      <c r="KW19" s="61">
        <f t="shared" si="234"/>
        <v>-3.1923236800784442</v>
      </c>
      <c r="KX19" s="108"/>
      <c r="KY19" s="421"/>
      <c r="KZ19" s="421"/>
      <c r="LA19" s="421"/>
      <c r="LB19" s="421"/>
      <c r="LQ19" s="421"/>
      <c r="LR19" s="421"/>
      <c r="LS19" s="421"/>
      <c r="LT19" s="282"/>
      <c r="LU19" s="282"/>
      <c r="LV19" s="282"/>
      <c r="LW19" s="282"/>
      <c r="LX19" s="282"/>
      <c r="LY19" s="282"/>
      <c r="LZ19" s="282"/>
      <c r="MA19" s="282"/>
      <c r="MB19" s="282"/>
      <c r="MC19" s="282"/>
      <c r="MD19" s="282"/>
      <c r="ME19" s="282"/>
      <c r="MF19" s="282"/>
      <c r="MG19" s="282"/>
      <c r="MH19" s="282"/>
      <c r="MI19" s="282"/>
      <c r="MJ19" s="282"/>
      <c r="MK19" s="282"/>
      <c r="ML19" s="282"/>
      <c r="MM19" s="1232"/>
      <c r="MN19" s="1232"/>
      <c r="MO19" s="1232"/>
      <c r="MP19" s="1232"/>
      <c r="MS19" s="421"/>
      <c r="MT19" s="421"/>
      <c r="MU19" s="421"/>
      <c r="MV19" s="421"/>
      <c r="MW19" s="421"/>
      <c r="MX19" s="421"/>
      <c r="MY19" s="421"/>
      <c r="MZ19" s="421"/>
      <c r="NA19" s="421"/>
      <c r="NB19" s="421"/>
      <c r="NC19" s="421"/>
      <c r="ND19" s="421"/>
      <c r="NE19" s="421"/>
      <c r="NF19" s="421"/>
      <c r="NG19" s="421"/>
      <c r="NH19" s="421"/>
      <c r="NI19" s="421"/>
      <c r="NJ19" s="421"/>
      <c r="NK19" s="421"/>
      <c r="NL19" s="421"/>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row>
    <row r="20" spans="1:429" ht="15.6" outlineLevel="1">
      <c r="A20" s="2057"/>
      <c r="C20" s="272" t="s">
        <v>391</v>
      </c>
      <c r="E20" s="1530"/>
      <c r="F20" s="101">
        <f>COUNTIF($B$57:$B$270,$B19)</f>
        <v>17</v>
      </c>
      <c r="G20" s="101">
        <f>COUNTIF($B$57:$B$270,$B19)</f>
        <v>17</v>
      </c>
      <c r="H20" s="103">
        <f>COUNTIFS($B$57:$B$270,$B19,H$57:H$270,"&gt;0")</f>
        <v>17</v>
      </c>
      <c r="I20" s="103">
        <f>COUNTIFS($B$57:$B$270,$B19,I$57:I$270,"&gt;0")</f>
        <v>17</v>
      </c>
      <c r="J20" s="103">
        <f>COUNTIFS($B$57:$B$270,$B19,J$57:J$270,"&gt;0")</f>
        <v>17</v>
      </c>
      <c r="K20" s="830">
        <f>COUNTIFS($B$57:$B$270,$B19,K$57:K$270,"&gt;0")</f>
        <v>17</v>
      </c>
      <c r="L20" s="1088"/>
      <c r="M20" s="1088"/>
      <c r="N20" s="1088"/>
      <c r="O20" s="1088"/>
      <c r="P20" s="1088"/>
      <c r="Q20" s="9">
        <f>$S20</f>
        <v>17</v>
      </c>
      <c r="R20" s="9">
        <f>$S20</f>
        <v>17</v>
      </c>
      <c r="S20" s="106">
        <f>COUNTIFS($B$57:$B$270,$B19,S$57:S$270,"&gt;0")</f>
        <v>17</v>
      </c>
      <c r="T20" s="1072"/>
      <c r="U20" s="1072"/>
      <c r="V20" s="1072"/>
      <c r="W20" s="106">
        <f>COUNTIFS($B$57:$B$270,$B19,W$57:W$270,"&gt;0")</f>
        <v>17</v>
      </c>
      <c r="X20" s="106">
        <f>COUNTIFS($B$57:$B$270,$B19,X$57:X$270,"&gt;0")</f>
        <v>17</v>
      </c>
      <c r="Y20" s="1072"/>
      <c r="Z20" s="1072"/>
      <c r="AA20" s="106">
        <f>COUNTIFS($B$57:$B$270,$B19,AA$57:AA$270,"&lt;&gt;0")</f>
        <v>17</v>
      </c>
      <c r="AB20" s="106">
        <f>COUNTIFS($B$57:$B$270,$B19,AB$57:AB$270,"&lt;&gt;0")</f>
        <v>17</v>
      </c>
      <c r="AC20" s="282"/>
      <c r="AD20" s="282"/>
      <c r="AE20" s="101">
        <f>COUNTIF($B$57:$B$270,$B19)</f>
        <v>17</v>
      </c>
      <c r="AF20" s="101">
        <f>COUNTIFS($B$57:$B$270,$B19,AF$57:AF$270,"&gt;0")</f>
        <v>11</v>
      </c>
      <c r="AG20" s="282"/>
      <c r="AH20" s="101">
        <f>COUNTIF($B$57:$B$270,$B19)</f>
        <v>17</v>
      </c>
      <c r="AI20" s="106">
        <f>COUNTIFS($B$57:$B$270,$B19,AI$57:AI$270,"&gt;0")</f>
        <v>2</v>
      </c>
      <c r="AJ20" s="1072"/>
      <c r="AK20" s="101">
        <f>COUNTIF($B$57:$B$270,$B19)</f>
        <v>17</v>
      </c>
      <c r="AL20" s="101">
        <f>COUNTIFS($B$57:$B$270,$B19,AL$57:AL$270,"&gt;0")</f>
        <v>15</v>
      </c>
      <c r="AM20" s="403"/>
      <c r="AN20" s="1072"/>
      <c r="AO20" s="403"/>
      <c r="AP20" s="403"/>
      <c r="AQ20" s="403"/>
      <c r="AR20" s="403"/>
      <c r="AS20" s="282"/>
      <c r="AT20" s="282"/>
      <c r="AU20" s="282"/>
      <c r="AV20" s="282"/>
      <c r="AW20" s="282"/>
      <c r="AX20" s="101">
        <f t="shared" ref="AX20:BE20" si="235">COUNTIF($B$57:$B$270,$B19)</f>
        <v>17</v>
      </c>
      <c r="AY20" s="101">
        <f t="shared" si="235"/>
        <v>17</v>
      </c>
      <c r="AZ20" s="101">
        <f t="shared" si="235"/>
        <v>17</v>
      </c>
      <c r="BA20" s="101">
        <f t="shared" si="235"/>
        <v>17</v>
      </c>
      <c r="BB20" s="101">
        <f t="shared" si="235"/>
        <v>17</v>
      </c>
      <c r="BC20" s="101">
        <f t="shared" si="235"/>
        <v>17</v>
      </c>
      <c r="BD20" s="101">
        <f t="shared" si="235"/>
        <v>17</v>
      </c>
      <c r="BE20" s="101">
        <f t="shared" si="235"/>
        <v>17</v>
      </c>
      <c r="BF20" s="106">
        <f t="shared" ref="BF20:BK20" si="236">COUNTIFS($B$57:$B$270,$B19,BF$57:BF$270,"&gt;0")</f>
        <v>13</v>
      </c>
      <c r="BG20" s="106">
        <f t="shared" si="236"/>
        <v>17</v>
      </c>
      <c r="BH20" s="106">
        <f t="shared" si="236"/>
        <v>17</v>
      </c>
      <c r="BI20" s="1269">
        <f t="shared" si="236"/>
        <v>17</v>
      </c>
      <c r="BJ20" s="106">
        <f t="shared" si="236"/>
        <v>17</v>
      </c>
      <c r="BK20" s="106">
        <f t="shared" si="236"/>
        <v>17</v>
      </c>
      <c r="BL20" s="292"/>
      <c r="BM20" s="101">
        <f>COUNTIF($B$57:$B$270,$B19)</f>
        <v>17</v>
      </c>
      <c r="BN20" s="106">
        <f>COUNTIFS($B$57:$B$270,$B19,BN$57:BN$270,"&gt;0")</f>
        <v>16</v>
      </c>
      <c r="BO20" s="282"/>
      <c r="BP20" s="106">
        <f>COUNTIFS($B$57:$B$270,$B19,BP$57:BP$270,"&gt;0")</f>
        <v>17</v>
      </c>
      <c r="BQ20" s="106">
        <f>COUNTIFS($B$57:$B$270,$B19,BQ$57:BQ$270,"&gt;0")</f>
        <v>17</v>
      </c>
      <c r="BR20" s="106">
        <f>COUNTIFS($B$57:$B$270,$B19,BR$57:BR$270,"&gt;0")</f>
        <v>17</v>
      </c>
      <c r="BS20" s="101">
        <f>COUNTIF($B$57:$B$270,$B19)</f>
        <v>17</v>
      </c>
      <c r="BT20" s="106">
        <f>COUNTIFS($B$57:$B$270,$B19,BT$57:BT$270,"&gt;0")</f>
        <v>17</v>
      </c>
      <c r="BU20" s="106">
        <f>COUNTIFS($B$57:$B$270,$B19,BU$57:BU$270,"&gt;0")</f>
        <v>17</v>
      </c>
      <c r="BV20" s="106">
        <f>COUNTIFS($B$57:$B$270,$B19,BV$57:BV$270,"&gt;0")</f>
        <v>17</v>
      </c>
      <c r="BW20" s="820"/>
      <c r="BX20" s="820"/>
      <c r="BY20" s="820"/>
      <c r="BZ20" s="405">
        <f t="shared" ref="BZ20:CI20" si="237">$CJ20</f>
        <v>17</v>
      </c>
      <c r="CA20" s="405">
        <f t="shared" si="237"/>
        <v>17</v>
      </c>
      <c r="CB20" s="405">
        <f t="shared" si="237"/>
        <v>17</v>
      </c>
      <c r="CC20" s="405">
        <f t="shared" si="237"/>
        <v>17</v>
      </c>
      <c r="CD20" s="405">
        <f t="shared" si="237"/>
        <v>17</v>
      </c>
      <c r="CE20" s="405">
        <f t="shared" si="237"/>
        <v>17</v>
      </c>
      <c r="CF20" s="405">
        <f t="shared" si="237"/>
        <v>17</v>
      </c>
      <c r="CG20" s="405">
        <f t="shared" si="237"/>
        <v>17</v>
      </c>
      <c r="CH20" s="405">
        <f t="shared" si="237"/>
        <v>17</v>
      </c>
      <c r="CI20" s="405">
        <f t="shared" si="237"/>
        <v>17</v>
      </c>
      <c r="CJ20" s="106">
        <f>COUNTIFS($B$57:$B$270,$B19,CJ$57:CJ$270,"&gt;0")</f>
        <v>17</v>
      </c>
      <c r="CK20" s="563">
        <f>CJ20-EY20</f>
        <v>0</v>
      </c>
      <c r="CL20" s="416"/>
      <c r="CM20" s="416"/>
      <c r="CN20" s="416"/>
      <c r="CO20" s="416"/>
      <c r="CP20" s="416"/>
      <c r="CQ20" s="416"/>
      <c r="CR20" s="416"/>
      <c r="CS20" s="416"/>
      <c r="CT20" s="416"/>
      <c r="CU20" s="416"/>
      <c r="CV20" s="405">
        <f t="shared" ref="CV20:DB20" si="238">$CJ20</f>
        <v>17</v>
      </c>
      <c r="CW20" s="405">
        <f t="shared" si="238"/>
        <v>17</v>
      </c>
      <c r="CX20" s="405">
        <f t="shared" si="238"/>
        <v>17</v>
      </c>
      <c r="CY20" s="405">
        <f t="shared" si="238"/>
        <v>17</v>
      </c>
      <c r="CZ20" s="405">
        <f t="shared" si="238"/>
        <v>17</v>
      </c>
      <c r="DA20" s="405">
        <f t="shared" si="238"/>
        <v>17</v>
      </c>
      <c r="DB20" s="405">
        <f t="shared" si="238"/>
        <v>17</v>
      </c>
      <c r="DC20" s="406"/>
      <c r="DD20" s="406"/>
      <c r="DE20" s="406"/>
      <c r="DF20" s="406"/>
      <c r="DG20" s="406"/>
      <c r="DH20" s="406"/>
      <c r="DI20" s="406"/>
      <c r="DK20" s="822"/>
      <c r="DL20" s="822"/>
      <c r="DM20" s="822"/>
      <c r="DN20" s="822"/>
      <c r="DO20" s="822"/>
      <c r="DP20" s="822"/>
      <c r="DQ20" s="822"/>
      <c r="DR20" s="822"/>
      <c r="DS20" s="822"/>
      <c r="DT20" s="822"/>
      <c r="DU20" s="822"/>
      <c r="DV20" s="822"/>
      <c r="DW20" s="822"/>
      <c r="DX20" s="822"/>
      <c r="DY20" s="822"/>
      <c r="DZ20" s="822"/>
      <c r="EA20" s="822"/>
      <c r="EB20" s="822"/>
      <c r="EC20" s="824"/>
      <c r="ED20" s="106">
        <f>COUNTIFS($B$57:$B$270,$B19,ED$57:ED$270,"&gt;0")</f>
        <v>17</v>
      </c>
      <c r="EE20" s="101">
        <f>COUNTIF($B$57:$B$270,$B19)</f>
        <v>17</v>
      </c>
      <c r="EF20" s="106">
        <f>COUNTIFS($B$57:$B$270,$B19,EF$57:EF$270,"&gt;0")</f>
        <v>16</v>
      </c>
      <c r="EG20" s="106">
        <f>COUNTIFS($B$57:$B$270,$B19,EG$57:EG$270,"&gt;0")</f>
        <v>16</v>
      </c>
      <c r="EH20" s="101">
        <f>COUNTIF($B$57:$B$270,$B19)</f>
        <v>17</v>
      </c>
      <c r="EI20" s="101">
        <f>COUNTIFS($B$57:$B$270,$B19,EI$57:EI$270,"&gt;0")</f>
        <v>16</v>
      </c>
      <c r="EJ20" s="823"/>
      <c r="EK20" s="101">
        <f>COUNTIF($B$57:$B$270,$B19)</f>
        <v>17</v>
      </c>
      <c r="EL20" s="106">
        <f>COUNTIFS($B$57:$B$270,$B19,EL$57:EL$270,"&gt;0")</f>
        <v>11</v>
      </c>
      <c r="EM20" s="101">
        <f>COUNTIF($B$57:$B$270,$B19)</f>
        <v>17</v>
      </c>
      <c r="EN20" s="101">
        <f>COUNTIFS($B$57:$B$270,$B19,EN$57:EN$270,"&gt;0")</f>
        <v>2</v>
      </c>
      <c r="EO20" s="101">
        <f>COUNTIF($B$57:$B$270,$B19)</f>
        <v>17</v>
      </c>
      <c r="EP20" s="106">
        <f>COUNTIFS($B$57:$B$270,$B19,EP$57:EP$270,"&gt;0")</f>
        <v>10</v>
      </c>
      <c r="EQ20" s="101">
        <f>COUNTIF($B$57:$B$270,$B19)</f>
        <v>17</v>
      </c>
      <c r="ER20" s="101">
        <f>COUNTIF($B$57:$B$270,$B19)</f>
        <v>17</v>
      </c>
      <c r="ES20" s="822"/>
      <c r="ET20" s="825"/>
      <c r="EU20" s="101">
        <f>COUNTIFS($B$57:$B$270,$B19,EU$57:EU$270,2)</f>
        <v>6</v>
      </c>
      <c r="EV20" s="106">
        <f>COUNTIFS($B$57:$B$270,$B19,EV$57:EV$270,"&gt;0")</f>
        <v>17</v>
      </c>
      <c r="EW20" s="101">
        <f>COUNTIFS($B$57:$B$270,$B19,EW$57:EW$270,"&gt;0")</f>
        <v>15</v>
      </c>
      <c r="EX20" s="101">
        <f>COUNTIFS($B$57:$B$270,$B19,EX$57:EX$270,1)</f>
        <v>6</v>
      </c>
      <c r="EY20" s="101">
        <f>COUNTIFS($B$57:$B$270,$B19,EY$57:EY$270,"&gt;0")</f>
        <v>17</v>
      </c>
      <c r="EZ20" s="6">
        <f>$EY20</f>
        <v>17</v>
      </c>
      <c r="FA20" s="6"/>
      <c r="FB20" s="6">
        <f>$EY20</f>
        <v>17</v>
      </c>
      <c r="FC20" s="6">
        <f>$EY20</f>
        <v>17</v>
      </c>
      <c r="FD20" s="102"/>
      <c r="FE20" s="102"/>
      <c r="FF20" s="102"/>
      <c r="FG20" s="102"/>
      <c r="FH20" s="416"/>
      <c r="FI20" s="416"/>
      <c r="FJ20" s="416"/>
      <c r="FK20" s="416"/>
      <c r="FL20" s="416"/>
      <c r="FM20" s="416"/>
      <c r="FN20" s="416"/>
      <c r="FO20" s="416"/>
      <c r="FP20" s="416"/>
      <c r="FQ20" s="6">
        <f t="shared" ref="FQ20:FW20" si="239">$EY20</f>
        <v>17</v>
      </c>
      <c r="FR20" s="77">
        <f t="shared" si="239"/>
        <v>17</v>
      </c>
      <c r="FS20" s="6">
        <f t="shared" si="239"/>
        <v>17</v>
      </c>
      <c r="FT20" s="6">
        <f t="shared" si="239"/>
        <v>17</v>
      </c>
      <c r="FU20" s="6">
        <f t="shared" si="239"/>
        <v>17</v>
      </c>
      <c r="FV20" s="6">
        <f t="shared" si="239"/>
        <v>17</v>
      </c>
      <c r="FW20" s="6">
        <f t="shared" si="239"/>
        <v>17</v>
      </c>
      <c r="FX20" s="409"/>
      <c r="FY20" s="410"/>
      <c r="FZ20" s="416"/>
      <c r="GA20" s="416"/>
      <c r="GB20" s="416"/>
      <c r="GC20" s="416"/>
      <c r="GD20" s="416"/>
      <c r="GE20" s="416"/>
      <c r="GF20" s="416"/>
      <c r="GG20" s="416"/>
      <c r="GH20" s="416"/>
      <c r="GI20" s="419"/>
      <c r="GJ20" s="101">
        <f>COUNTIF($B$57:$B$270,$B19)</f>
        <v>17</v>
      </c>
      <c r="GK20" s="101">
        <f>COUNTIFS($B$57:$B$270,$B19,GK$57:GK$270,"&gt;0")</f>
        <v>12</v>
      </c>
      <c r="GL20" s="101">
        <f>COUNTIF($B$57:$B$270,$B19)</f>
        <v>17</v>
      </c>
      <c r="GM20" s="101">
        <f>COUNTIFS($B$57:$B$270,$B19,GM$57:GM$270,"&gt;0")</f>
        <v>12</v>
      </c>
      <c r="GN20" s="7">
        <f t="shared" ref="GN20:GV20" si="240">$GW20</f>
        <v>7</v>
      </c>
      <c r="GO20" s="7">
        <f t="shared" si="240"/>
        <v>7</v>
      </c>
      <c r="GP20" s="7">
        <f t="shared" si="240"/>
        <v>7</v>
      </c>
      <c r="GQ20" s="7">
        <f t="shared" si="240"/>
        <v>7</v>
      </c>
      <c r="GR20" s="7">
        <f t="shared" si="240"/>
        <v>7</v>
      </c>
      <c r="GS20" s="7">
        <f t="shared" si="240"/>
        <v>7</v>
      </c>
      <c r="GT20" s="7">
        <f t="shared" si="240"/>
        <v>7</v>
      </c>
      <c r="GU20" s="7">
        <f t="shared" si="240"/>
        <v>7</v>
      </c>
      <c r="GV20" s="7">
        <f t="shared" si="240"/>
        <v>7</v>
      </c>
      <c r="GW20" s="103">
        <f>COUNTIFS($B$57:$B$270,$B19,GW$57:GW$270,"&gt;0")</f>
        <v>7</v>
      </c>
      <c r="GY20" s="104"/>
      <c r="GZ20" s="20"/>
      <c r="HA20" s="20"/>
      <c r="HB20" s="20"/>
      <c r="HC20" s="105"/>
      <c r="HD20" s="20"/>
      <c r="HE20" s="20"/>
      <c r="HF20" s="105"/>
      <c r="HG20" s="9">
        <f t="shared" ref="HG20:HO20" si="241">$HP20</f>
        <v>10</v>
      </c>
      <c r="HH20" s="9">
        <f t="shared" si="241"/>
        <v>10</v>
      </c>
      <c r="HI20" s="9">
        <f t="shared" si="241"/>
        <v>10</v>
      </c>
      <c r="HJ20" s="9">
        <f t="shared" si="241"/>
        <v>10</v>
      </c>
      <c r="HK20" s="9">
        <f t="shared" si="241"/>
        <v>10</v>
      </c>
      <c r="HL20" s="9">
        <f t="shared" si="241"/>
        <v>10</v>
      </c>
      <c r="HM20" s="9">
        <f t="shared" si="241"/>
        <v>10</v>
      </c>
      <c r="HN20" s="9">
        <f t="shared" si="241"/>
        <v>10</v>
      </c>
      <c r="HO20" s="9">
        <f t="shared" si="241"/>
        <v>10</v>
      </c>
      <c r="HP20" s="106">
        <f>COUNTIFS($B$57:$B$270,$B19,HP$57:HP$270,"&gt;0")</f>
        <v>10</v>
      </c>
      <c r="HR20" s="107"/>
      <c r="HS20" s="105"/>
      <c r="HT20" s="105"/>
      <c r="HU20" s="105"/>
      <c r="HV20" s="105"/>
      <c r="HW20" s="105"/>
      <c r="HX20" s="105"/>
      <c r="HY20" s="105"/>
      <c r="HZ20" s="51"/>
      <c r="IA20" s="414"/>
      <c r="IB20" s="414"/>
      <c r="IC20" s="413">
        <f>COUNTIF($B$57:$B$270,$B19)</f>
        <v>17</v>
      </c>
      <c r="IE20" s="413">
        <f>COUNTIF($B$57:$B$270,$B19)</f>
        <v>17</v>
      </c>
      <c r="IG20" s="820"/>
      <c r="IH20" s="820"/>
      <c r="II20" s="106">
        <f>COUNTIFS($B$57:$B$270,$B19,II$57:II$270,"&gt;0")</f>
        <v>7</v>
      </c>
      <c r="IJ20" s="106">
        <f>COUNTIFS($B$57:$B$270,$B19,IJ$57:IJ$270,"&gt;0")</f>
        <v>10</v>
      </c>
      <c r="IK20" s="413">
        <f>COUNTIF($B$57:$B$270,$B19)</f>
        <v>17</v>
      </c>
      <c r="IL20" s="413">
        <f>COUNTIF($B$57:$B$270,$B19)</f>
        <v>17</v>
      </c>
      <c r="IM20" s="413">
        <f>COUNTIF($B$57:$B$270,$B19)</f>
        <v>17</v>
      </c>
      <c r="IN20" s="413">
        <f>COUNTIF($B$57:$B$270,$B19)</f>
        <v>17</v>
      </c>
      <c r="IO20" s="853"/>
      <c r="IP20" s="851"/>
      <c r="IQ20" s="854"/>
      <c r="IR20" s="414"/>
      <c r="IS20" s="414"/>
      <c r="IT20" s="414"/>
      <c r="IU20" s="414"/>
      <c r="IV20" s="414"/>
      <c r="IW20" s="414"/>
      <c r="IX20" s="416"/>
      <c r="IY20" s="416"/>
      <c r="IZ20" s="416"/>
      <c r="JA20" s="416"/>
      <c r="JB20" s="416"/>
      <c r="JC20" s="416"/>
      <c r="JD20" s="414"/>
      <c r="JE20" s="414"/>
      <c r="JF20" s="414"/>
      <c r="JG20" s="414"/>
      <c r="JH20" s="414">
        <f>COUNTIF($B$57:$B$270,$B19)</f>
        <v>17</v>
      </c>
      <c r="JI20" s="414">
        <f>COUNTIF($B$57:$B$270,$B19)</f>
        <v>17</v>
      </c>
      <c r="JJ20" s="414">
        <f t="shared" ref="JJ20:JQ20" si="242">COUNTIFS($B$57:$B$270,$B19,JJ$57:JJ$270,"&gt;0")</f>
        <v>17</v>
      </c>
      <c r="JK20" s="414">
        <f t="shared" si="242"/>
        <v>17</v>
      </c>
      <c r="JL20" s="414">
        <f t="shared" si="242"/>
        <v>17</v>
      </c>
      <c r="JM20" s="414">
        <f t="shared" si="242"/>
        <v>17</v>
      </c>
      <c r="JN20" s="414">
        <f t="shared" si="242"/>
        <v>17</v>
      </c>
      <c r="JO20" s="414">
        <f t="shared" si="242"/>
        <v>15</v>
      </c>
      <c r="JP20" s="414">
        <f t="shared" si="242"/>
        <v>17</v>
      </c>
      <c r="JQ20" s="414">
        <f t="shared" si="242"/>
        <v>17</v>
      </c>
      <c r="JR20" s="414"/>
      <c r="JS20" s="414"/>
      <c r="JT20" s="414"/>
      <c r="JU20" s="414"/>
      <c r="JV20" s="414"/>
      <c r="JW20" s="414"/>
      <c r="JX20" s="414"/>
      <c r="JY20" s="101">
        <f>COUNTIFS($B$57:$B$270,$B19,JY$57:JY$270,"&gt;0")</f>
        <v>7</v>
      </c>
      <c r="JZ20" s="414"/>
      <c r="KA20" s="414"/>
      <c r="KB20" s="414"/>
      <c r="KC20" s="414"/>
      <c r="KD20" s="414"/>
      <c r="KE20" s="414"/>
      <c r="KF20" s="414"/>
      <c r="KG20" s="414"/>
      <c r="KH20" s="414"/>
      <c r="KI20" s="101">
        <f t="shared" ref="KI20:KV20" si="243">COUNTIFS($B$57:$B$270,$B19,KI$57:KI$270,"&gt;0")</f>
        <v>10</v>
      </c>
      <c r="KJ20" s="61">
        <f t="shared" si="243"/>
        <v>17</v>
      </c>
      <c r="KK20" s="61">
        <f t="shared" si="243"/>
        <v>17</v>
      </c>
      <c r="KL20" s="61">
        <f t="shared" si="243"/>
        <v>17</v>
      </c>
      <c r="KM20" s="61">
        <f t="shared" si="243"/>
        <v>17</v>
      </c>
      <c r="KN20" s="61">
        <f t="shared" si="243"/>
        <v>17</v>
      </c>
      <c r="KO20" s="61">
        <f t="shared" si="243"/>
        <v>17</v>
      </c>
      <c r="KP20" s="61">
        <f t="shared" si="243"/>
        <v>17</v>
      </c>
      <c r="KQ20" s="61">
        <f t="shared" si="243"/>
        <v>17</v>
      </c>
      <c r="KR20" s="61">
        <f t="shared" si="243"/>
        <v>17</v>
      </c>
      <c r="KS20" s="61">
        <f t="shared" si="243"/>
        <v>17</v>
      </c>
      <c r="KT20" s="61">
        <f t="shared" si="243"/>
        <v>6</v>
      </c>
      <c r="KU20" s="61">
        <f t="shared" si="243"/>
        <v>17</v>
      </c>
      <c r="KV20" s="61">
        <f t="shared" si="243"/>
        <v>17</v>
      </c>
      <c r="KW20" s="393">
        <f>COUNTIFS($B$57:$B$270,$B19,KW$57:KW$270,"&lt;&gt;0")</f>
        <v>17</v>
      </c>
      <c r="KX20" s="108"/>
      <c r="KY20" s="421"/>
      <c r="KZ20" s="421"/>
      <c r="LA20" s="421"/>
      <c r="LB20" s="421"/>
      <c r="LQ20" s="421"/>
      <c r="LR20" s="421"/>
      <c r="LS20" s="421"/>
      <c r="LT20" s="282"/>
      <c r="LU20" s="282"/>
      <c r="LV20" s="282"/>
      <c r="LW20" s="282"/>
      <c r="LX20" s="282"/>
      <c r="LY20" s="282"/>
      <c r="LZ20" s="282"/>
      <c r="MA20" s="282"/>
      <c r="MB20" s="282"/>
      <c r="MC20" s="282"/>
      <c r="MD20" s="282"/>
      <c r="ME20" s="282"/>
      <c r="MF20" s="282"/>
      <c r="MG20" s="282"/>
      <c r="MH20" s="282"/>
      <c r="MI20" s="282"/>
      <c r="MJ20" s="282"/>
      <c r="MK20" s="282"/>
      <c r="ML20" s="282"/>
      <c r="MM20" s="1232"/>
      <c r="MN20" s="1232"/>
      <c r="MO20" s="1232"/>
      <c r="MP20" s="1232"/>
      <c r="MS20" s="421"/>
      <c r="MT20" s="421"/>
      <c r="MU20" s="421"/>
      <c r="MV20" s="421"/>
      <c r="MW20" s="421"/>
      <c r="MX20" s="421"/>
      <c r="MY20" s="421"/>
      <c r="MZ20" s="421"/>
      <c r="NA20" s="421"/>
      <c r="NB20" s="421"/>
      <c r="NC20" s="421"/>
      <c r="ND20" s="421"/>
      <c r="NE20" s="421"/>
      <c r="NF20" s="421"/>
      <c r="NG20" s="421"/>
      <c r="NH20" s="421"/>
      <c r="NI20" s="421"/>
      <c r="NJ20" s="421"/>
      <c r="NK20" s="421"/>
      <c r="NL20" s="421"/>
      <c r="OQ20" s="282"/>
      <c r="OR20" s="282"/>
      <c r="OS20" s="282"/>
      <c r="OT20" s="282"/>
      <c r="OU20" s="282"/>
      <c r="OV20" s="282"/>
      <c r="OW20" s="282"/>
      <c r="OX20" s="282"/>
      <c r="OY20" s="282"/>
      <c r="OZ20" s="282"/>
      <c r="PA20" s="282"/>
      <c r="PB20" s="282"/>
      <c r="PC20" s="282"/>
      <c r="PD20" s="282"/>
      <c r="PE20" s="282"/>
      <c r="PF20" s="282"/>
      <c r="PG20" s="282"/>
      <c r="PH20" s="282"/>
      <c r="PI20" s="282"/>
      <c r="PJ20" s="282"/>
      <c r="PK20" s="282"/>
      <c r="PL20" s="282"/>
      <c r="PM20" s="282"/>
    </row>
    <row r="21" spans="1:429" ht="15.6" outlineLevel="1">
      <c r="A21" s="2057"/>
      <c r="B21" s="897"/>
      <c r="C21" s="898" t="s">
        <v>383</v>
      </c>
      <c r="D21" s="897"/>
      <c r="E21" s="1531"/>
      <c r="F21" s="899">
        <f>ROUND(F19/F20,2)</f>
        <v>0.65</v>
      </c>
      <c r="G21" s="899">
        <f>ROUND(G19/G20,2)</f>
        <v>0.94</v>
      </c>
      <c r="H21" s="900">
        <f>ROUND(H19/H20,-1)</f>
        <v>490</v>
      </c>
      <c r="I21" s="900">
        <f>ROUND(I19/I20,-1)</f>
        <v>530</v>
      </c>
      <c r="J21" s="900">
        <f>ROUND(J19/J20,-1)</f>
        <v>1020</v>
      </c>
      <c r="K21" s="916">
        <f>ROUND(K19/K20,-1)</f>
        <v>900</v>
      </c>
      <c r="L21" s="1083"/>
      <c r="M21" s="1084"/>
      <c r="N21" s="1085"/>
      <c r="O21" s="1084"/>
      <c r="P21" s="1084"/>
      <c r="Q21" s="901">
        <f t="shared" ref="Q21:X21" si="244">ROUND(Q19/Q20,-2)</f>
        <v>8800</v>
      </c>
      <c r="R21" s="901">
        <f t="shared" si="244"/>
        <v>113000</v>
      </c>
      <c r="S21" s="901">
        <f t="shared" si="244"/>
        <v>121700</v>
      </c>
      <c r="T21" s="1069"/>
      <c r="U21" s="1069"/>
      <c r="V21" s="1069"/>
      <c r="W21" s="901">
        <f t="shared" si="244"/>
        <v>24600</v>
      </c>
      <c r="X21" s="901">
        <f t="shared" si="244"/>
        <v>21800</v>
      </c>
      <c r="Y21" s="901"/>
      <c r="Z21" s="901"/>
      <c r="AA21" s="899">
        <f>ROUND(AA19/AA20,-1)</f>
        <v>2780</v>
      </c>
      <c r="AB21" s="900">
        <f>ROUND(AB19/AB20,2)</f>
        <v>0.13</v>
      </c>
      <c r="AC21" s="899"/>
      <c r="AD21" s="901"/>
      <c r="AE21" s="899">
        <f>ROUND(AE19/AE20,2)</f>
        <v>0.65</v>
      </c>
      <c r="AF21" s="900">
        <f>ROUND(AF19/AF20,-2)</f>
        <v>2100</v>
      </c>
      <c r="AG21" s="902"/>
      <c r="AH21" s="902">
        <f>ROUND(AH19/AH20,2)</f>
        <v>0.12</v>
      </c>
      <c r="AI21" s="902">
        <f>IF(AI19=0,0,ROUND(AI19/AI20,-1))</f>
        <v>2120</v>
      </c>
      <c r="AJ21" s="902"/>
      <c r="AK21" s="901">
        <f>ROUND(AK19/AK20,2)</f>
        <v>0.88</v>
      </c>
      <c r="AL21" s="901">
        <f>ROUND(AL19/AL20,-1)</f>
        <v>3070</v>
      </c>
      <c r="AM21" s="901">
        <f>X21+AF21+AI21+AL21</f>
        <v>29090</v>
      </c>
      <c r="AN21" s="899">
        <f>Z21+AG21+AJ21</f>
        <v>0</v>
      </c>
      <c r="AO21" s="900">
        <f>BOCA_fb_min_amt</f>
        <v>1800</v>
      </c>
      <c r="AP21" s="899">
        <f>ROUND(EP21*12,-2)</f>
        <v>2000</v>
      </c>
      <c r="AQ21" s="901">
        <f>+AM21+AO21+AP21</f>
        <v>32890</v>
      </c>
      <c r="AR21" s="899">
        <f>ROUND(Z21+AG21+AJ21,-2)</f>
        <v>0</v>
      </c>
      <c r="AS21" s="900"/>
      <c r="AT21" s="902"/>
      <c r="AU21" s="902"/>
      <c r="AV21" s="902"/>
      <c r="AW21" s="902"/>
      <c r="AX21" s="899">
        <f>ROUND(AX19/AX20,2)</f>
        <v>0.47</v>
      </c>
      <c r="AY21" s="899">
        <f>ROUND(AY19/AY20,2)</f>
        <v>0.24</v>
      </c>
      <c r="AZ21" s="899">
        <f>ROUND(AZ19/AZ20,2)</f>
        <v>0.24</v>
      </c>
      <c r="BA21" s="899">
        <f>ROUND(BA19/BA20,2)</f>
        <v>0.12</v>
      </c>
      <c r="BB21" s="899">
        <f t="shared" ref="BB21:BC21" si="245">ROUND(BB19/BB20,2)</f>
        <v>0</v>
      </c>
      <c r="BC21" s="899">
        <f t="shared" si="245"/>
        <v>0.06</v>
      </c>
      <c r="BD21" s="899">
        <f>ROUND(BD19/BD20,2)</f>
        <v>0.06</v>
      </c>
      <c r="BE21" s="899">
        <f t="shared" ref="BE21" si="246">ROUND(BE19/BE20,2)</f>
        <v>0.76</v>
      </c>
      <c r="BF21" s="900">
        <f t="shared" ref="BF21:BK21" si="247">ROUND(BF19/BF20,-2)</f>
        <v>14746400</v>
      </c>
      <c r="BG21" s="901">
        <f t="shared" si="247"/>
        <v>2713400</v>
      </c>
      <c r="BH21" s="901">
        <f t="shared" si="247"/>
        <v>13990100</v>
      </c>
      <c r="BI21" s="1266">
        <f t="shared" si="247"/>
        <v>44166000</v>
      </c>
      <c r="BJ21" s="901">
        <f t="shared" si="247"/>
        <v>7997700</v>
      </c>
      <c r="BK21" s="901">
        <f t="shared" si="247"/>
        <v>3896800</v>
      </c>
      <c r="BL21" s="904">
        <f>ROUND(BJ21/BK21,2)</f>
        <v>2.0499999999999998</v>
      </c>
      <c r="BM21" s="899">
        <f>ROUND(BM19/BM20,2)</f>
        <v>0.94</v>
      </c>
      <c r="BN21" s="901">
        <f>ROUND(BN19/BN20,-2)</f>
        <v>11974300</v>
      </c>
      <c r="BO21" s="1135"/>
      <c r="BP21" s="901">
        <f t="shared" ref="BP21:BQ21" si="248">ROUND(BP19/BP20,-2)</f>
        <v>14742100</v>
      </c>
      <c r="BQ21" s="901">
        <f t="shared" si="248"/>
        <v>15584800</v>
      </c>
      <c r="BR21" s="1219">
        <f>ROUND(BR19/BR20,1)</f>
        <v>1.2</v>
      </c>
      <c r="BS21" s="899">
        <f>ROUND(BS19/BS20,2)</f>
        <v>0.41</v>
      </c>
      <c r="BT21" s="901">
        <f t="shared" ref="BT21:BU21" si="249">ROUND(BT19/BT20,-2)</f>
        <v>26728300</v>
      </c>
      <c r="BU21" s="901">
        <f t="shared" si="249"/>
        <v>42182900</v>
      </c>
      <c r="BV21" s="1219">
        <f>ROUND(BV19/BV20,1)</f>
        <v>0.6</v>
      </c>
      <c r="BW21" s="916">
        <f>IF(BN21=0,0,+IF(K21=0,0,ROUND(BN21/K21,-1)))</f>
        <v>13300</v>
      </c>
      <c r="BX21" s="916">
        <f>IF(BJ21=0,0,+IF(K21=0,0,ROUND(BJ21/K21,-1)))</f>
        <v>8890</v>
      </c>
      <c r="BY21" s="916">
        <f>IF(BH21=0,0,+IF(K21=0,0,ROUND(BH21/K21,-1)))</f>
        <v>15540</v>
      </c>
      <c r="BZ21" s="900">
        <f t="shared" ref="BZ21:CI21" si="250">ROUND(BZ19/BZ20,-3)</f>
        <v>1496000</v>
      </c>
      <c r="CA21" s="900">
        <f t="shared" si="250"/>
        <v>344000</v>
      </c>
      <c r="CB21" s="900">
        <f t="shared" si="250"/>
        <v>692000</v>
      </c>
      <c r="CC21" s="900">
        <f t="shared" si="250"/>
        <v>1020000</v>
      </c>
      <c r="CD21" s="900">
        <f t="shared" si="250"/>
        <v>18598000</v>
      </c>
      <c r="CE21" s="900">
        <f t="shared" si="250"/>
        <v>102000</v>
      </c>
      <c r="CF21" s="900">
        <f t="shared" si="250"/>
        <v>0</v>
      </c>
      <c r="CG21" s="900">
        <f t="shared" si="250"/>
        <v>3692000</v>
      </c>
      <c r="CH21" s="900">
        <f t="shared" si="250"/>
        <v>743000</v>
      </c>
      <c r="CI21" s="900">
        <f t="shared" si="250"/>
        <v>678000</v>
      </c>
      <c r="CJ21" s="905">
        <f>SUM(BZ21:CI21)</f>
        <v>27365000</v>
      </c>
      <c r="CK21" s="906">
        <f t="shared" ref="CK21:CU21" si="251">ROUND(BZ21/$CJ21,3)</f>
        <v>5.5E-2</v>
      </c>
      <c r="CL21" s="906">
        <f t="shared" si="251"/>
        <v>1.2999999999999999E-2</v>
      </c>
      <c r="CM21" s="906">
        <f t="shared" si="251"/>
        <v>2.5000000000000001E-2</v>
      </c>
      <c r="CN21" s="906">
        <f t="shared" si="251"/>
        <v>3.6999999999999998E-2</v>
      </c>
      <c r="CO21" s="906">
        <f t="shared" si="251"/>
        <v>0.68</v>
      </c>
      <c r="CP21" s="906">
        <f t="shared" si="251"/>
        <v>4.0000000000000001E-3</v>
      </c>
      <c r="CQ21" s="906">
        <f t="shared" si="251"/>
        <v>0</v>
      </c>
      <c r="CR21" s="906">
        <f t="shared" si="251"/>
        <v>0.13500000000000001</v>
      </c>
      <c r="CS21" s="906">
        <f t="shared" si="251"/>
        <v>2.7E-2</v>
      </c>
      <c r="CT21" s="906">
        <f t="shared" si="251"/>
        <v>2.5000000000000001E-2</v>
      </c>
      <c r="CU21" s="906">
        <f t="shared" si="251"/>
        <v>1</v>
      </c>
      <c r="CV21" s="900">
        <f t="shared" ref="CV21:DB21" si="252">ROUND(CV19/CV20,-3)</f>
        <v>14666000</v>
      </c>
      <c r="CW21" s="900">
        <f t="shared" si="252"/>
        <v>2668000</v>
      </c>
      <c r="CX21" s="900">
        <f t="shared" si="252"/>
        <v>549000</v>
      </c>
      <c r="CY21" s="900">
        <f t="shared" si="252"/>
        <v>8682000</v>
      </c>
      <c r="CZ21" s="900">
        <f t="shared" si="252"/>
        <v>357000</v>
      </c>
      <c r="DA21" s="900">
        <f t="shared" si="252"/>
        <v>700000</v>
      </c>
      <c r="DB21" s="900">
        <f t="shared" si="252"/>
        <v>27622000</v>
      </c>
      <c r="DC21" s="906">
        <f t="shared" ref="DC21:DI21" si="253">ROUND(CV21/$DB21,3)</f>
        <v>0.53100000000000003</v>
      </c>
      <c r="DD21" s="906">
        <f t="shared" si="253"/>
        <v>9.7000000000000003E-2</v>
      </c>
      <c r="DE21" s="906">
        <f t="shared" si="253"/>
        <v>0.02</v>
      </c>
      <c r="DF21" s="906">
        <f t="shared" si="253"/>
        <v>0.314</v>
      </c>
      <c r="DG21" s="906">
        <f t="shared" si="253"/>
        <v>1.2999999999999999E-2</v>
      </c>
      <c r="DH21" s="906">
        <f t="shared" si="253"/>
        <v>2.5000000000000001E-2</v>
      </c>
      <c r="DI21" s="906">
        <f t="shared" si="253"/>
        <v>1</v>
      </c>
      <c r="DJ21" s="907">
        <f>CJ21-DB21</f>
        <v>-257000</v>
      </c>
      <c r="DK21" s="917">
        <f t="shared" ref="DK21:DT21" si="254">IF(BZ21=0,0,+IF($K21=0,0,ROUND(BZ21/$K21,-1)))</f>
        <v>1660</v>
      </c>
      <c r="DL21" s="917">
        <f t="shared" si="254"/>
        <v>380</v>
      </c>
      <c r="DM21" s="917">
        <f t="shared" si="254"/>
        <v>770</v>
      </c>
      <c r="DN21" s="917">
        <f t="shared" si="254"/>
        <v>1130</v>
      </c>
      <c r="DO21" s="917">
        <f t="shared" si="254"/>
        <v>20660</v>
      </c>
      <c r="DP21" s="917">
        <f t="shared" si="254"/>
        <v>110</v>
      </c>
      <c r="DQ21" s="917">
        <f t="shared" si="254"/>
        <v>0</v>
      </c>
      <c r="DR21" s="917">
        <f t="shared" si="254"/>
        <v>4100</v>
      </c>
      <c r="DS21" s="917">
        <f t="shared" si="254"/>
        <v>830</v>
      </c>
      <c r="DT21" s="917">
        <f t="shared" si="254"/>
        <v>750</v>
      </c>
      <c r="DU21" s="917">
        <f>SUM(DK21:DT21)</f>
        <v>30390</v>
      </c>
      <c r="DV21" s="917">
        <f t="shared" ref="DV21:EA21" si="255">IF(CV21=0,0,+IF($K21=0,0,ROUND(CV21/$K21,-1)))</f>
        <v>16300</v>
      </c>
      <c r="DW21" s="917">
        <f t="shared" si="255"/>
        <v>2960</v>
      </c>
      <c r="DX21" s="917">
        <f t="shared" si="255"/>
        <v>610</v>
      </c>
      <c r="DY21" s="917">
        <f t="shared" si="255"/>
        <v>9650</v>
      </c>
      <c r="DZ21" s="917">
        <f t="shared" si="255"/>
        <v>400</v>
      </c>
      <c r="EA21" s="917">
        <f t="shared" si="255"/>
        <v>780</v>
      </c>
      <c r="EB21" s="917">
        <f>SUM(DV21:EA21)</f>
        <v>30700</v>
      </c>
      <c r="EC21" s="919">
        <f>DU21-EB21</f>
        <v>-310</v>
      </c>
      <c r="ED21" s="901">
        <f>ROUND(ED19/ED20,0)</f>
        <v>272</v>
      </c>
      <c r="EE21" s="899">
        <f>ROUND(EE19/EE20,2)</f>
        <v>0.94</v>
      </c>
      <c r="EF21" s="901">
        <f>ROUND(EF19/EF20,0)</f>
        <v>77</v>
      </c>
      <c r="EG21" s="901">
        <f>ROUND(EG19/EG20,-1)</f>
        <v>737620</v>
      </c>
      <c r="EH21" s="899">
        <f>ROUND(EH19/EH20,2)</f>
        <v>0.94</v>
      </c>
      <c r="EI21" s="899">
        <f>ROUND(EI19/EI20,2)</f>
        <v>0.09</v>
      </c>
      <c r="EJ21" s="918">
        <f>IF(K21=0,0,+IF(ED21=0,0,ROUND(K21/ED21,1)))</f>
        <v>3.3</v>
      </c>
      <c r="EK21" s="899">
        <f>ROUND(EK19/EK20,2)</f>
        <v>0.65</v>
      </c>
      <c r="EL21" s="901">
        <f>ROUND(EL19/EL20,-2)</f>
        <v>1800</v>
      </c>
      <c r="EM21" s="899">
        <f>ROUND(EM19/EM20,2)</f>
        <v>0.12</v>
      </c>
      <c r="EN21" s="897">
        <f>ROUND(EN19/EN20,2)</f>
        <v>0.2</v>
      </c>
      <c r="EO21" s="899">
        <f>ROUND(EO19/EO20,2)</f>
        <v>0.59</v>
      </c>
      <c r="EP21" s="901">
        <f>IF(EP19=0,0,ROUND(EP19/EP20,-1))</f>
        <v>170</v>
      </c>
      <c r="EQ21" s="899">
        <f>ROUND(EQ19/EQ20,2)</f>
        <v>0.41</v>
      </c>
      <c r="ER21" s="899">
        <f>ROUND(ER19/ER20,2)</f>
        <v>0.28999999999999998</v>
      </c>
      <c r="ES21" s="917">
        <f>IF(FE21=0,0,+IF(K21=0,0,ROUND(FE21/K21,-2)))</f>
        <v>4900</v>
      </c>
      <c r="ET21" s="919">
        <f>IF(FY21=0,0,+IF(K21=0,0,ROUND(FY21/K21,-1)))</f>
        <v>-5820</v>
      </c>
      <c r="EU21" s="900">
        <f>COUNTIFS($B$57:$B$270,$B19,EU$57:EU$270,"&gt;2")</f>
        <v>7</v>
      </c>
      <c r="EV21" s="900">
        <f t="shared" ref="EV21:EZ21" si="256">ROUND(EV19/EV20,-2)</f>
        <v>144900</v>
      </c>
      <c r="EW21" s="900">
        <f t="shared" si="256"/>
        <v>7800</v>
      </c>
      <c r="EX21" s="900">
        <f>COUNTIFS($B$57:$B$270,$B19,EX$57:EX$270,2)</f>
        <v>1</v>
      </c>
      <c r="EY21" s="908">
        <f t="shared" si="256"/>
        <v>3692300</v>
      </c>
      <c r="EZ21" s="908">
        <f t="shared" si="256"/>
        <v>2392800</v>
      </c>
      <c r="FA21" s="909">
        <f>EY21-EZ21</f>
        <v>1299500</v>
      </c>
      <c r="FB21" s="908">
        <f>ROUND(FB19/FB20,-2)</f>
        <v>743300</v>
      </c>
      <c r="FC21" s="908">
        <f>ROUND(FC19/FC20,-2)</f>
        <v>274700</v>
      </c>
      <c r="FD21" s="909">
        <f>FB21-FC21</f>
        <v>468600</v>
      </c>
      <c r="FE21" s="909">
        <f>EY21+FB21</f>
        <v>4435600</v>
      </c>
      <c r="FF21" s="909">
        <f>EZ21+FC21</f>
        <v>2667500</v>
      </c>
      <c r="FG21" s="909">
        <f>FE21-FF21</f>
        <v>1768100</v>
      </c>
      <c r="FH21" s="906">
        <f>ROUND(EY21/$EY21,3)</f>
        <v>1</v>
      </c>
      <c r="FI21" s="906">
        <f>ROUND(EZ21/$EY21,3)</f>
        <v>0.64800000000000002</v>
      </c>
      <c r="FJ21" s="906">
        <f>ROUND(FA21/$EY21,3)</f>
        <v>0.35199999999999998</v>
      </c>
      <c r="FK21" s="906">
        <f>ROUND(FB21/$FB21,3)</f>
        <v>1</v>
      </c>
      <c r="FL21" s="906">
        <f>ROUND(FC21/$FB21,3)</f>
        <v>0.37</v>
      </c>
      <c r="FM21" s="906">
        <f>ROUND(FD21/$FB21,3)</f>
        <v>0.63</v>
      </c>
      <c r="FN21" s="906">
        <f>ROUND(FE21/$FE21,3)</f>
        <v>1</v>
      </c>
      <c r="FO21" s="906">
        <f>ROUND(FF21/$FE21,3)</f>
        <v>0.60099999999999998</v>
      </c>
      <c r="FP21" s="906">
        <f>ROUND(FG21/$FE21,3)</f>
        <v>0.39900000000000002</v>
      </c>
      <c r="FQ21" s="908">
        <f t="shared" ref="FQ21:FW21" si="257">ROUND(FQ19/FQ20,-2)</f>
        <v>5009100</v>
      </c>
      <c r="FR21" s="893">
        <f t="shared" si="257"/>
        <v>-419300</v>
      </c>
      <c r="FS21" s="908">
        <f t="shared" si="257"/>
        <v>896300</v>
      </c>
      <c r="FT21" s="908">
        <f t="shared" si="257"/>
        <v>162200</v>
      </c>
      <c r="FU21" s="908">
        <f t="shared" si="257"/>
        <v>69200</v>
      </c>
      <c r="FV21" s="908">
        <f t="shared" si="257"/>
        <v>50300</v>
      </c>
      <c r="FW21" s="908">
        <f t="shared" si="257"/>
        <v>1237600</v>
      </c>
      <c r="FX21" s="909">
        <f>SUM(FQ21:FW21)</f>
        <v>7005400</v>
      </c>
      <c r="FY21" s="910">
        <f>ROUND(FG21-FX21,-2)</f>
        <v>-5237300</v>
      </c>
      <c r="FZ21" s="906">
        <f t="shared" ref="FZ21:GH21" si="258">ROUND(FQ21/$FE21,3)</f>
        <v>1.129</v>
      </c>
      <c r="GA21" s="906">
        <f t="shared" si="258"/>
        <v>-9.5000000000000001E-2</v>
      </c>
      <c r="GB21" s="906">
        <f t="shared" si="258"/>
        <v>0.20200000000000001</v>
      </c>
      <c r="GC21" s="906">
        <f t="shared" si="258"/>
        <v>3.6999999999999998E-2</v>
      </c>
      <c r="GD21" s="906">
        <f t="shared" si="258"/>
        <v>1.6E-2</v>
      </c>
      <c r="GE21" s="906">
        <f t="shared" si="258"/>
        <v>1.0999999999999999E-2</v>
      </c>
      <c r="GF21" s="906">
        <f t="shared" si="258"/>
        <v>0.27900000000000003</v>
      </c>
      <c r="GG21" s="906">
        <f t="shared" si="258"/>
        <v>1.579</v>
      </c>
      <c r="GH21" s="906">
        <f t="shared" si="258"/>
        <v>-1.181</v>
      </c>
      <c r="GI21" s="911">
        <f>ROUND(EY21/FB21,2)</f>
        <v>4.97</v>
      </c>
      <c r="GJ21" s="899">
        <f>ROUND(GJ19/GJ20,2)</f>
        <v>0.71</v>
      </c>
      <c r="GK21" s="895">
        <f>ROUND(GK19/GK20,2)</f>
        <v>7.0000000000000007E-2</v>
      </c>
      <c r="GL21" s="899">
        <f>ROUND(GL19/GL20,2)</f>
        <v>0.71</v>
      </c>
      <c r="GM21" s="895">
        <f>ROUND(GM19/GM20,2)</f>
        <v>0.08</v>
      </c>
      <c r="GN21" s="900">
        <f>ROUND(GN19/GN20,2)</f>
        <v>18</v>
      </c>
      <c r="GO21" s="900">
        <f>ROUND(GO19/GO20,0)</f>
        <v>122</v>
      </c>
      <c r="GP21" s="900">
        <f t="shared" ref="GP21:GV21" si="259">ROUND(GP19/GP20,-2)</f>
        <v>30800</v>
      </c>
      <c r="GQ21" s="900">
        <f t="shared" si="259"/>
        <v>1161400</v>
      </c>
      <c r="GR21" s="900">
        <f t="shared" si="259"/>
        <v>217500</v>
      </c>
      <c r="GS21" s="900">
        <f t="shared" si="259"/>
        <v>537100</v>
      </c>
      <c r="GT21" s="900">
        <f t="shared" si="259"/>
        <v>141200</v>
      </c>
      <c r="GU21" s="900">
        <f t="shared" si="259"/>
        <v>2200</v>
      </c>
      <c r="GV21" s="900">
        <f t="shared" si="259"/>
        <v>182700</v>
      </c>
      <c r="GW21" s="912">
        <f>SUM(GQ21:GV21)</f>
        <v>2242100</v>
      </c>
      <c r="GX21" s="913">
        <f>IF(GW21=0,0,ROUND(GW21/GN21,-2))</f>
        <v>124600</v>
      </c>
      <c r="GY21" s="914">
        <f>IF(GW21=0,0,ROUND(GW21/GO21,-2))</f>
        <v>18400</v>
      </c>
      <c r="GZ21" s="915">
        <f t="shared" ref="GZ21:HE21" si="260">ROUND(GQ21/$GW21,3)</f>
        <v>0.51800000000000002</v>
      </c>
      <c r="HA21" s="915">
        <f t="shared" si="260"/>
        <v>9.7000000000000003E-2</v>
      </c>
      <c r="HB21" s="915">
        <f t="shared" si="260"/>
        <v>0.24</v>
      </c>
      <c r="HC21" s="915">
        <f>ROUND(GT21/$GW21,3)-0.2%</f>
        <v>6.0999999999999999E-2</v>
      </c>
      <c r="HD21" s="915">
        <f t="shared" si="260"/>
        <v>1E-3</v>
      </c>
      <c r="HE21" s="915">
        <f t="shared" si="260"/>
        <v>8.1000000000000003E-2</v>
      </c>
      <c r="HF21" s="915">
        <f>SUM(GZ21:HE21)</f>
        <v>0.99799999999999989</v>
      </c>
      <c r="HG21" s="900">
        <f>ROUND(HG19/HG20,0)</f>
        <v>40</v>
      </c>
      <c r="HH21" s="900">
        <f>ROUND(HH19/HH20,0)</f>
        <v>295</v>
      </c>
      <c r="HI21" s="900">
        <f t="shared" ref="HI21:HP21" si="261">ROUND(HI19/HI20,-2)</f>
        <v>62900</v>
      </c>
      <c r="HJ21" s="900">
        <f t="shared" si="261"/>
        <v>2043700</v>
      </c>
      <c r="HK21" s="900">
        <f t="shared" si="261"/>
        <v>369900</v>
      </c>
      <c r="HL21" s="900">
        <f t="shared" si="261"/>
        <v>936400</v>
      </c>
      <c r="HM21" s="900">
        <f t="shared" si="261"/>
        <v>300600</v>
      </c>
      <c r="HN21" s="900">
        <f t="shared" si="261"/>
        <v>88100</v>
      </c>
      <c r="HO21" s="900">
        <f t="shared" si="261"/>
        <v>307300</v>
      </c>
      <c r="HP21" s="900">
        <f t="shared" si="261"/>
        <v>4045900</v>
      </c>
      <c r="HQ21" s="913">
        <f>ROUND(HP21/HG21,-2)</f>
        <v>101100</v>
      </c>
      <c r="HR21" s="914">
        <f>IF(HP21=0,0,ROUND(HP21/HH21,-1))</f>
        <v>13710</v>
      </c>
      <c r="HS21" s="915">
        <f>ROUND(HJ21/$HP21,3)</f>
        <v>0.505</v>
      </c>
      <c r="HT21" s="915">
        <f>ROUND(HK21/$HP21,3)</f>
        <v>9.0999999999999998E-2</v>
      </c>
      <c r="HU21" s="915">
        <f>ROUND(HL21/$HP21,3)</f>
        <v>0.23100000000000001</v>
      </c>
      <c r="HV21" s="915">
        <f>ROUND(HM21/$HP21,3)</f>
        <v>7.3999999999999996E-2</v>
      </c>
      <c r="HW21" s="915">
        <f>ROUND(HN21/$HP21,3)</f>
        <v>2.1999999999999999E-2</v>
      </c>
      <c r="HX21" s="915">
        <f>ROUND(HO21/$HP21,3)-0.1%</f>
        <v>7.4999999999999997E-2</v>
      </c>
      <c r="HY21" s="915">
        <f>SUM(HS21:HX21)</f>
        <v>0.99799999999999989</v>
      </c>
      <c r="HZ21" s="51"/>
      <c r="IA21" s="906">
        <f>ROUND(Q21/S21,2)</f>
        <v>7.0000000000000007E-2</v>
      </c>
      <c r="IB21" s="906"/>
      <c r="IC21" s="892">
        <f>ROUND(IC19/IC20,2)</f>
        <v>0.94</v>
      </c>
      <c r="ID21" s="892"/>
      <c r="IE21" s="892">
        <f>ROUND(IE19/IE20,2)</f>
        <v>0.06</v>
      </c>
      <c r="IF21" s="892"/>
      <c r="IG21" s="894">
        <f>ROUND(IF(BI21=0,0,+IF(K21=0,0,BI21/K21)),-1)</f>
        <v>49070</v>
      </c>
      <c r="IH21" s="894">
        <f>ROUND(IF(BU21=0,0,+IF(K21=0,0,BU21/K21)),-1)</f>
        <v>46870</v>
      </c>
      <c r="II21" s="1219">
        <f>ROUND(II19/II20,1)</f>
        <v>1.7</v>
      </c>
      <c r="IJ21" s="1219">
        <f>ROUND(IJ19/IJ20,1)</f>
        <v>0.8</v>
      </c>
      <c r="IK21" s="892">
        <f>ROUND(IK19/IK20,2)</f>
        <v>0.18</v>
      </c>
      <c r="IL21" s="892">
        <f>ROUND(IL19/IL20,2)</f>
        <v>0.41</v>
      </c>
      <c r="IM21" s="892">
        <f>ROUND(IM19/IM20,2)</f>
        <v>0.06</v>
      </c>
      <c r="IN21" s="892">
        <f>ROUND(IN19/IN20,2)</f>
        <v>0</v>
      </c>
      <c r="IO21" s="920">
        <f>ROUND(FY21/$J21,-1)</f>
        <v>-5130</v>
      </c>
      <c r="IP21" s="1188">
        <f>IF(K21=0,0,ROUND(FY21/K21,-1))</f>
        <v>-5820</v>
      </c>
      <c r="IQ21" s="921">
        <f>IF(FY21=0,0,+IF(CD21=0,0,FY21/CD21))</f>
        <v>-0.28160554898376172</v>
      </c>
      <c r="IR21" s="922">
        <f>EY21</f>
        <v>3692300</v>
      </c>
      <c r="IS21" s="922">
        <f>FB21</f>
        <v>743300</v>
      </c>
      <c r="IT21" s="922">
        <f>FQ21</f>
        <v>5009100</v>
      </c>
      <c r="IU21" s="922">
        <f>FS21+FT21</f>
        <v>1058500</v>
      </c>
      <c r="IV21" s="922">
        <f>FF21</f>
        <v>2667500</v>
      </c>
      <c r="IW21" s="922">
        <f>SUM(FU21:FW21)+FR21</f>
        <v>937800</v>
      </c>
      <c r="IX21" s="906">
        <f t="shared" ref="IX21:JC21" si="262">IF(IR21=0,0,ROUND(IR21/(SUM($IR21:$IS21)),3))</f>
        <v>0.83199999999999996</v>
      </c>
      <c r="IY21" s="906">
        <f t="shared" si="262"/>
        <v>0.16800000000000001</v>
      </c>
      <c r="IZ21" s="906">
        <f t="shared" si="262"/>
        <v>1.129</v>
      </c>
      <c r="JA21" s="906">
        <f t="shared" si="262"/>
        <v>0.23899999999999999</v>
      </c>
      <c r="JB21" s="906">
        <f t="shared" si="262"/>
        <v>0.60099999999999998</v>
      </c>
      <c r="JC21" s="906">
        <f t="shared" si="262"/>
        <v>0.21099999999999999</v>
      </c>
      <c r="JD21" s="923">
        <f>CD21+CE21+CF21</f>
        <v>18700000</v>
      </c>
      <c r="JE21" s="923">
        <f>BZ21+CA21+CB21+CC21</f>
        <v>3552000</v>
      </c>
      <c r="JF21" s="923">
        <f>JD21+JE21+CG21+CH21+CI21-CJ21</f>
        <v>0</v>
      </c>
      <c r="JG21" s="923">
        <f>CZ21+DA21</f>
        <v>1057000</v>
      </c>
      <c r="JH21" s="924">
        <f t="shared" ref="JH21:JQ21" si="263">ROUND(JH19/JH20,2)</f>
        <v>0.24</v>
      </c>
      <c r="JI21" s="924">
        <f t="shared" si="263"/>
        <v>1</v>
      </c>
      <c r="JJ21" s="924">
        <f t="shared" si="263"/>
        <v>0.79</v>
      </c>
      <c r="JK21" s="924">
        <f t="shared" si="263"/>
        <v>0.55000000000000004</v>
      </c>
      <c r="JL21" s="924">
        <f t="shared" si="263"/>
        <v>0.1</v>
      </c>
      <c r="JM21" s="924">
        <f t="shared" si="263"/>
        <v>0.02</v>
      </c>
      <c r="JN21" s="924">
        <f t="shared" si="263"/>
        <v>0.31</v>
      </c>
      <c r="JO21" s="924">
        <f t="shared" si="263"/>
        <v>0.02</v>
      </c>
      <c r="JP21" s="924">
        <f t="shared" si="263"/>
        <v>0.03</v>
      </c>
      <c r="JQ21" s="924">
        <f t="shared" si="263"/>
        <v>1.02</v>
      </c>
      <c r="JR21" s="905">
        <f t="shared" ref="JR21:JW21" si="264">ROUND(GQ21/$GN21,-2)</f>
        <v>64500</v>
      </c>
      <c r="JS21" s="905">
        <f t="shared" si="264"/>
        <v>12100</v>
      </c>
      <c r="JT21" s="905">
        <f t="shared" si="264"/>
        <v>29800</v>
      </c>
      <c r="JU21" s="905">
        <f t="shared" si="264"/>
        <v>7800</v>
      </c>
      <c r="JV21" s="905">
        <f t="shared" si="264"/>
        <v>100</v>
      </c>
      <c r="JW21" s="905">
        <f t="shared" si="264"/>
        <v>10200</v>
      </c>
      <c r="JX21" s="905">
        <f>GW21/GP21</f>
        <v>72.795454545454547</v>
      </c>
      <c r="JY21" s="925">
        <f>ROUND(JY19/JY20,2)</f>
        <v>0.14000000000000001</v>
      </c>
      <c r="JZ21" s="905">
        <f t="shared" ref="JZ21:KE21" si="265">ROUND(HJ21/$HG21,-2)</f>
        <v>51100</v>
      </c>
      <c r="KA21" s="905">
        <f t="shared" si="265"/>
        <v>9200</v>
      </c>
      <c r="KB21" s="905">
        <f t="shared" si="265"/>
        <v>23400</v>
      </c>
      <c r="KC21" s="905">
        <f t="shared" si="265"/>
        <v>7500</v>
      </c>
      <c r="KD21" s="905">
        <f t="shared" si="265"/>
        <v>2200</v>
      </c>
      <c r="KE21" s="905">
        <f t="shared" si="265"/>
        <v>7700</v>
      </c>
      <c r="KF21" s="905">
        <f>ROUND(HI21/HG21*18,-2)</f>
        <v>28300</v>
      </c>
      <c r="KG21" s="905">
        <f>ROUND(HH21/HG21*36,0)</f>
        <v>266</v>
      </c>
      <c r="KH21" s="905">
        <f>ROUND(HP21/HI21,0)</f>
        <v>64</v>
      </c>
      <c r="KI21" s="925">
        <f>ROUND(KI19/KI20,2)</f>
        <v>0.13</v>
      </c>
      <c r="KJ21" s="894">
        <f>ROUND(KJ19/KJ20,0)</f>
        <v>31</v>
      </c>
      <c r="KK21" s="894">
        <f>ROUND(KK19/KK20,-2)</f>
        <v>49700</v>
      </c>
      <c r="KL21" s="894">
        <f>ROUND(KL19/KL20,-1)</f>
        <v>220</v>
      </c>
      <c r="KM21" s="894">
        <f>ROUND(KM19/KM20,-2)</f>
        <v>111700</v>
      </c>
      <c r="KN21" s="894">
        <f>ROUND(KN19/KN20,0)</f>
        <v>70</v>
      </c>
      <c r="KO21" s="894">
        <f t="shared" ref="KO21:KT21" si="266">IF(KO19=0,0,ROUND(KO19/KO20,-2))</f>
        <v>16400</v>
      </c>
      <c r="KP21" s="894">
        <f t="shared" si="266"/>
        <v>1680400</v>
      </c>
      <c r="KQ21" s="894">
        <f t="shared" si="266"/>
        <v>307200</v>
      </c>
      <c r="KR21" s="894">
        <f t="shared" si="266"/>
        <v>772000</v>
      </c>
      <c r="KS21" s="894">
        <f t="shared" si="266"/>
        <v>234900</v>
      </c>
      <c r="KT21" s="894">
        <f t="shared" si="266"/>
        <v>149400</v>
      </c>
      <c r="KU21" s="894">
        <f>IF(KU19=0,0,ROUND(KU19/KU20,-2))</f>
        <v>256000</v>
      </c>
      <c r="KV21" s="896">
        <f>ROUND(KV19/KV20,3)</f>
        <v>0.13600000000000001</v>
      </c>
      <c r="KW21" s="926">
        <f>ROUND(KW19/KW20,3)</f>
        <v>-0.188</v>
      </c>
      <c r="KX21" s="108"/>
      <c r="KY21" s="421"/>
      <c r="KZ21" s="421"/>
      <c r="LA21" s="421"/>
      <c r="LB21" s="421"/>
      <c r="LQ21" s="421"/>
      <c r="LR21" s="421"/>
      <c r="LS21" s="421"/>
      <c r="LT21" s="282"/>
      <c r="LU21" s="282"/>
      <c r="LV21" s="282"/>
      <c r="LW21" s="282"/>
      <c r="LX21" s="282"/>
      <c r="LY21" s="282"/>
      <c r="LZ21" s="282"/>
      <c r="MA21" s="282"/>
      <c r="MB21" s="282"/>
      <c r="MC21" s="282"/>
      <c r="MD21" s="282"/>
      <c r="ME21" s="282"/>
      <c r="MF21" s="282"/>
      <c r="MG21" s="282"/>
      <c r="MH21" s="282"/>
      <c r="MI21" s="282"/>
      <c r="MJ21" s="282"/>
      <c r="MK21" s="282"/>
      <c r="ML21" s="282"/>
      <c r="MM21" s="1232"/>
      <c r="MN21" s="1232"/>
      <c r="MO21" s="1232"/>
      <c r="MP21" s="1232"/>
      <c r="MS21" s="421"/>
      <c r="MT21" s="421"/>
      <c r="MU21" s="421"/>
      <c r="MV21" s="421"/>
      <c r="MW21" s="421"/>
      <c r="MX21" s="421"/>
      <c r="MY21" s="421"/>
      <c r="MZ21" s="421"/>
      <c r="NA21" s="421"/>
      <c r="NB21" s="421"/>
      <c r="NC21" s="421"/>
      <c r="ND21" s="421"/>
      <c r="NE21" s="421"/>
      <c r="NF21" s="421"/>
      <c r="NG21" s="421"/>
      <c r="NH21" s="421"/>
      <c r="NI21" s="421"/>
      <c r="NJ21" s="421"/>
      <c r="NK21" s="421"/>
      <c r="NL21" s="421"/>
      <c r="OQ21" s="282"/>
      <c r="OR21" s="282"/>
      <c r="OS21" s="282"/>
      <c r="OT21" s="282"/>
      <c r="OU21" s="282"/>
      <c r="OV21" s="282"/>
      <c r="OW21" s="282"/>
      <c r="OX21" s="282"/>
      <c r="OY21" s="282"/>
      <c r="OZ21" s="282"/>
      <c r="PA21" s="282"/>
      <c r="PB21" s="282"/>
      <c r="PC21" s="282"/>
      <c r="PD21" s="282"/>
      <c r="PE21" s="282"/>
      <c r="PF21" s="282"/>
      <c r="PG21" s="282"/>
      <c r="PH21" s="282"/>
      <c r="PI21" s="282"/>
      <c r="PJ21" s="282"/>
      <c r="PK21" s="282"/>
      <c r="PL21" s="282"/>
      <c r="PM21" s="282"/>
    </row>
    <row r="22" spans="1:429" ht="15.6" hidden="1" outlineLevel="2">
      <c r="A22" s="2057"/>
      <c r="B22" s="571" t="s">
        <v>647</v>
      </c>
      <c r="C22" s="606">
        <v>0.25</v>
      </c>
      <c r="D22" s="571"/>
      <c r="E22" s="1530"/>
      <c r="F22" s="572"/>
      <c r="G22" s="572"/>
      <c r="H22" s="104"/>
      <c r="I22" s="104"/>
      <c r="J22" s="104">
        <f t="array" ref="J22">PERCENTILE(IF((($B$57:$B$95=$B$19)*(J$57:J$95&lt;&gt;0)),J$57:J$95),$C22)</f>
        <v>430</v>
      </c>
      <c r="K22" s="831"/>
      <c r="L22" s="1086"/>
      <c r="M22" s="1086"/>
      <c r="N22" s="1086"/>
      <c r="O22" s="1086"/>
      <c r="P22" s="1086"/>
      <c r="Q22" s="104"/>
      <c r="R22" s="104"/>
      <c r="S22" s="104">
        <f t="array" ref="S22">PERCENTILE(IF((($B$57:$B$95=$B$19)*(S$57:S$95&lt;&gt;0)),S$57:S$95),$C22)</f>
        <v>95000</v>
      </c>
      <c r="T22" s="1070"/>
      <c r="U22" s="1070"/>
      <c r="V22" s="1070"/>
      <c r="W22" s="104">
        <f t="array" ref="W22">PERCENTILE(IF((($B$57:$B$95=$B$19)*(W$57:W$95&lt;&gt;0)),W$57:W$95),$C22)</f>
        <v>21605</v>
      </c>
      <c r="X22" s="104"/>
      <c r="Y22" s="1070"/>
      <c r="Z22" s="1070"/>
      <c r="AA22" s="104"/>
      <c r="AB22" s="104"/>
      <c r="AC22" s="1070"/>
      <c r="AD22" s="1105"/>
      <c r="AE22" s="104"/>
      <c r="AF22" s="104"/>
      <c r="AG22" s="1070"/>
      <c r="AH22" s="573"/>
      <c r="AI22" s="104"/>
      <c r="AJ22" s="1070"/>
      <c r="AK22" s="573"/>
      <c r="AL22" s="104"/>
      <c r="AM22" s="1481"/>
      <c r="AN22" s="1070"/>
      <c r="AO22" s="104"/>
      <c r="AP22" s="104"/>
      <c r="AQ22" s="104">
        <f t="array" ref="AQ22">PERCENTILE(IF((($B$57:$B$95=$B$19)*(AQ$57:AQ$95&lt;&gt;0)),AQ$57:AQ$95),$C22)</f>
        <v>20638</v>
      </c>
      <c r="AR22" s="104" t="e">
        <f t="array" ref="AR22">PERCENTILE(IF((($B$57:$B$95=$B$19)*(AR$57:AR$95&lt;&gt;0)),AR$57:AR$95),$C22)</f>
        <v>#NUM!</v>
      </c>
      <c r="AS22" s="1105"/>
      <c r="AT22" s="1105"/>
      <c r="AU22" s="1105"/>
      <c r="AV22" s="1105"/>
      <c r="AW22" s="1105"/>
      <c r="AX22" s="573"/>
      <c r="AY22" s="573"/>
      <c r="AZ22" s="573"/>
      <c r="BA22" s="573"/>
      <c r="BB22" s="573"/>
      <c r="BC22" s="573"/>
      <c r="BD22" s="573"/>
      <c r="BE22" s="572"/>
      <c r="BF22" s="104"/>
      <c r="BG22" s="104"/>
      <c r="BH22" s="104"/>
      <c r="BI22" s="1267"/>
      <c r="BJ22" s="104"/>
      <c r="BK22" s="104"/>
      <c r="BL22" s="572"/>
      <c r="BM22" s="572"/>
      <c r="BN22" s="104"/>
      <c r="BO22" s="1105"/>
      <c r="BP22" s="104"/>
      <c r="BQ22" s="104"/>
      <c r="BR22" s="104"/>
      <c r="BS22" s="572"/>
      <c r="BT22" s="104"/>
      <c r="BU22" s="104"/>
      <c r="BV22" s="104"/>
      <c r="BW22" s="831">
        <f t="array" ref="BW22">PERCENTILE(IF((($B$57:$B$95=$B$19)*(BW$57:BW$95&lt;&gt;0)),BW$57:BW$95),$C22)</f>
        <v>11910.109065494467</v>
      </c>
      <c r="BX22" s="831"/>
      <c r="BY22" s="831"/>
      <c r="BZ22" s="104"/>
      <c r="CA22" s="104"/>
      <c r="CB22" s="104"/>
      <c r="CC22" s="104"/>
      <c r="CD22" s="104"/>
      <c r="CE22" s="104"/>
      <c r="CF22" s="104"/>
      <c r="CG22" s="104"/>
      <c r="CH22" s="104"/>
      <c r="CI22" s="104"/>
      <c r="CJ22" s="104">
        <f t="array" ref="CJ22">PERCENTILE(IF((($B$57:$B$95=$B$19)*(CJ$57:CJ$95&lt;&gt;0)),CJ$57:CJ$95),$C22)</f>
        <v>14261380</v>
      </c>
      <c r="CK22" s="575"/>
      <c r="CL22" s="575"/>
      <c r="CM22" s="575"/>
      <c r="CN22" s="575"/>
      <c r="CO22" s="575"/>
      <c r="CP22" s="575"/>
      <c r="CQ22" s="575"/>
      <c r="CR22" s="575"/>
      <c r="CS22" s="575"/>
      <c r="CT22" s="575"/>
      <c r="CU22" s="575"/>
      <c r="CV22" s="104"/>
      <c r="CW22" s="104"/>
      <c r="CX22" s="104"/>
      <c r="CY22" s="104"/>
      <c r="CZ22" s="104"/>
      <c r="DA22" s="104"/>
      <c r="DB22" s="104"/>
      <c r="DC22" s="575"/>
      <c r="DD22" s="575"/>
      <c r="DE22" s="575"/>
      <c r="DF22" s="575"/>
      <c r="DG22" s="575"/>
      <c r="DH22" s="575"/>
      <c r="DI22" s="575"/>
      <c r="DJ22" s="290"/>
      <c r="DK22" s="832"/>
      <c r="DL22" s="832"/>
      <c r="DM22" s="832"/>
      <c r="DN22" s="832"/>
      <c r="DO22" s="832"/>
      <c r="DP22" s="832"/>
      <c r="DQ22" s="832"/>
      <c r="DR22" s="832"/>
      <c r="DS22" s="832"/>
      <c r="DT22" s="832"/>
      <c r="DU22" s="832"/>
      <c r="DV22" s="832"/>
      <c r="DW22" s="832"/>
      <c r="DX22" s="832"/>
      <c r="DY22" s="832"/>
      <c r="DZ22" s="832"/>
      <c r="EA22" s="832"/>
      <c r="EB22" s="832"/>
      <c r="EC22" s="2103"/>
      <c r="ED22" s="574"/>
      <c r="EE22" s="572"/>
      <c r="EF22" s="104"/>
      <c r="EG22" s="104"/>
      <c r="EH22" s="572"/>
      <c r="EI22" s="572"/>
      <c r="EJ22" s="833"/>
      <c r="EK22" s="573"/>
      <c r="EL22" s="104"/>
      <c r="EM22" s="572"/>
      <c r="EN22" s="572"/>
      <c r="EO22" s="573"/>
      <c r="EP22" s="574"/>
      <c r="EQ22" s="572"/>
      <c r="ER22" s="572"/>
      <c r="ES22" s="834"/>
      <c r="ET22" s="835"/>
      <c r="EU22" s="101">
        <f>COUNTIFS($B$57:$B$270,$B22,EU$57:EU$270,1)</f>
        <v>0</v>
      </c>
      <c r="EV22" s="104"/>
      <c r="EW22" s="104"/>
      <c r="EX22" s="104">
        <f>COUNTIFS($B$57:$B$270,$B22,EX$57:EX$270,0)</f>
        <v>0</v>
      </c>
      <c r="EY22" s="104"/>
      <c r="EZ22" s="104"/>
      <c r="FA22" s="104"/>
      <c r="FB22" s="104"/>
      <c r="FC22" s="104"/>
      <c r="FD22" s="577"/>
      <c r="FE22" s="104">
        <f t="array" ref="FE22">PERCENTILE(IF((($B$57:$B$95=$B$19)*(FE$57:FE$95&lt;&gt;0)),FE$57:FE$95),$C22)</f>
        <v>2010436</v>
      </c>
      <c r="FF22" s="577"/>
      <c r="FG22" s="577"/>
      <c r="FH22" s="578"/>
      <c r="FI22" s="578"/>
      <c r="FJ22" s="578"/>
      <c r="FK22" s="578"/>
      <c r="FL22" s="578"/>
      <c r="FM22" s="578"/>
      <c r="FN22" s="578"/>
      <c r="FO22" s="578"/>
      <c r="FP22" s="578"/>
      <c r="FQ22" s="104"/>
      <c r="FR22" s="104"/>
      <c r="FS22" s="104"/>
      <c r="FT22" s="104"/>
      <c r="FU22" s="104"/>
      <c r="FV22" s="104"/>
      <c r="FW22" s="104"/>
      <c r="FX22" s="579"/>
      <c r="FY22" s="742">
        <f t="array" ref="FY22">PERCENTILE(IF((($B$57:$B$95=$B$19)*(FY$57:FY$95&lt;&gt;0)),FY$57:FY$95),$C22)</f>
        <v>-6052728</v>
      </c>
      <c r="FZ22" s="580"/>
      <c r="GA22" s="580"/>
      <c r="GB22" s="580"/>
      <c r="GC22" s="580"/>
      <c r="GD22" s="580"/>
      <c r="GE22" s="580"/>
      <c r="GF22" s="580"/>
      <c r="GG22" s="580"/>
      <c r="GH22" s="572">
        <f t="array" ref="GH22">PERCENTILE(IF((($B$57:$B$95=$B$19)*(GH$57:GH$95&lt;&gt;0)),GH$57:GH$95),$C22)</f>
        <v>-1.5061579969596746</v>
      </c>
      <c r="GI22" s="572">
        <f t="array" ref="GI22">PERCENTILE(IF((($B$57:$B$95=$B$19)*(GI$57:GI$95&lt;&gt;0)),GI$57:GI$95),$C22)</f>
        <v>4.844837872599113</v>
      </c>
      <c r="GJ22" s="572"/>
      <c r="GK22" s="572"/>
      <c r="GL22" s="572"/>
      <c r="GM22" s="572"/>
      <c r="GN22" s="104"/>
      <c r="GO22" s="574"/>
      <c r="GP22" s="574"/>
      <c r="GQ22" s="104"/>
      <c r="GR22" s="104"/>
      <c r="GS22" s="104"/>
      <c r="GT22" s="104"/>
      <c r="GU22" s="104"/>
      <c r="GV22" s="104"/>
      <c r="GW22" s="104"/>
      <c r="GX22" s="104">
        <f t="array" ref="GX22">PERCENTILE(IF((($B$57:$B$95=$B$19)*(GX$57:GX$95&lt;&gt;0)),GX$57:GX$95),$C22)</f>
        <v>122653.26388888889</v>
      </c>
      <c r="GY22" s="574"/>
      <c r="GZ22" s="575"/>
      <c r="HA22" s="575"/>
      <c r="HB22" s="575"/>
      <c r="HC22" s="575"/>
      <c r="HD22" s="575"/>
      <c r="HE22" s="575"/>
      <c r="HF22" s="575"/>
      <c r="HG22" s="104"/>
      <c r="HH22" s="104"/>
      <c r="HI22" s="104"/>
      <c r="HJ22" s="104"/>
      <c r="HK22" s="104"/>
      <c r="HL22" s="104"/>
      <c r="HM22" s="104"/>
      <c r="HN22" s="104"/>
      <c r="HO22" s="104"/>
      <c r="HP22" s="104"/>
      <c r="HQ22" s="104">
        <f t="array" ref="HQ22">PERCENTILE(IF((($B$57:$B$95=$B$19)*(HQ$57:HQ$95&lt;&gt;0)),HQ$57:HQ$95),$C22)</f>
        <v>98141.75</v>
      </c>
      <c r="HR22" s="574"/>
      <c r="HS22" s="575"/>
      <c r="HT22" s="575"/>
      <c r="HU22" s="575"/>
      <c r="HV22" s="575"/>
      <c r="HW22" s="575"/>
      <c r="HX22" s="575"/>
      <c r="HY22" s="575"/>
      <c r="HZ22" s="51"/>
      <c r="IA22" s="581"/>
      <c r="IB22" s="581"/>
      <c r="IC22" s="582"/>
      <c r="ID22" s="582"/>
      <c r="IE22" s="583"/>
      <c r="IF22" s="583"/>
      <c r="IG22" s="831"/>
      <c r="IH22" s="831"/>
      <c r="II22" s="104"/>
      <c r="IJ22" s="104"/>
      <c r="IK22" s="583"/>
      <c r="IL22" s="582"/>
      <c r="IM22" s="583"/>
      <c r="IN22" s="583"/>
      <c r="IO22" s="858">
        <f t="array" ref="IO22">PERCENTILE(IF((($B$57:$B$95=$B$19)*(IO$57:IO$95&lt;&gt;0)),IO$57:IO$95),$C22)</f>
        <v>-6282.9634961439588</v>
      </c>
      <c r="IP22" s="851">
        <f t="array" ref="IP22">PERCENTILE(IF((($B$57:$B$95=$B$19)*(IP$57:IP$95&lt;&gt;0)),IP$57:IP$95),$C22)</f>
        <v>-6128.1852540569098</v>
      </c>
      <c r="IQ22" s="862">
        <f t="array" ref="IQ22">PERCENTILE(IF((($B$57:$B$95=$B$19)*(IQ$57:IQ$95&lt;&gt;0)),IQ$57:IQ$95),$C22)</f>
        <v>-0.30884079721889801</v>
      </c>
      <c r="IR22" s="290"/>
      <c r="IS22" s="290"/>
      <c r="IT22" s="290"/>
      <c r="IU22" s="290"/>
      <c r="IV22" s="290"/>
      <c r="IW22" s="290"/>
      <c r="IX22" s="575"/>
      <c r="IY22" s="575"/>
      <c r="IZ22" s="575"/>
      <c r="JA22" s="575"/>
      <c r="JB22" s="575"/>
      <c r="JC22" s="575"/>
      <c r="JD22" s="290"/>
      <c r="JE22" s="290"/>
      <c r="JF22" s="584"/>
      <c r="JG22" s="290"/>
      <c r="JH22" s="675"/>
      <c r="JI22" s="675"/>
      <c r="JJ22" s="675"/>
      <c r="JK22" s="675"/>
      <c r="JL22" s="675"/>
      <c r="JM22" s="675"/>
      <c r="JN22" s="675"/>
      <c r="JO22" s="675"/>
      <c r="JP22" s="675"/>
      <c r="JQ22" s="675"/>
      <c r="JR22" s="290"/>
      <c r="JS22" s="290"/>
      <c r="JT22" s="290"/>
      <c r="JU22" s="290"/>
      <c r="JV22" s="290"/>
      <c r="JW22" s="290"/>
      <c r="JX22" s="585"/>
      <c r="JY22" s="575">
        <f t="array" ref="JY22">PERCENTILE(IF((($B$57:$B$95=$B$19)*(JY$57:JY$95&lt;&gt;0)),JY$57:JY$95),$C22)</f>
        <v>0.11554786390172844</v>
      </c>
      <c r="JZ22" s="290"/>
      <c r="KA22" s="290"/>
      <c r="KB22" s="290"/>
      <c r="KC22" s="290"/>
      <c r="KD22" s="290"/>
      <c r="KE22" s="290"/>
      <c r="KF22" s="585"/>
      <c r="KG22" s="585"/>
      <c r="KH22" s="585"/>
      <c r="KI22" s="575">
        <f t="array" ref="KI22">PERCENTILE(IF((($B$57:$B$95=$B$19)*(KI$57:KI$95&lt;&gt;0)),KI$57:KI$95),$C22)</f>
        <v>0.10635968459214518</v>
      </c>
      <c r="KJ22" s="586"/>
      <c r="KK22" s="587"/>
      <c r="KL22" s="587"/>
      <c r="KM22" s="587"/>
      <c r="KN22" s="586"/>
      <c r="KO22" s="587"/>
      <c r="KP22" s="587"/>
      <c r="KQ22" s="587"/>
      <c r="KR22" s="587"/>
      <c r="KS22" s="587"/>
      <c r="KT22" s="587"/>
      <c r="KU22" s="587"/>
      <c r="KV22" s="587"/>
      <c r="KW22" s="587"/>
      <c r="KX22" s="108"/>
      <c r="KY22" s="421"/>
      <c r="KZ22" s="421"/>
      <c r="LA22" s="421"/>
      <c r="LB22" s="421"/>
      <c r="LQ22" s="421"/>
      <c r="LR22" s="421"/>
      <c r="LS22" s="421"/>
      <c r="LT22" s="282"/>
      <c r="LU22" s="282"/>
      <c r="LV22" s="282"/>
      <c r="LW22" s="282"/>
      <c r="LX22" s="282"/>
      <c r="LY22" s="282"/>
      <c r="LZ22" s="282"/>
      <c r="MA22" s="282"/>
      <c r="MB22" s="282"/>
      <c r="MC22" s="282"/>
      <c r="MD22" s="282"/>
      <c r="ME22" s="282"/>
      <c r="MF22" s="282"/>
      <c r="MG22" s="282"/>
      <c r="MH22" s="282"/>
      <c r="MI22" s="282"/>
      <c r="MJ22" s="282"/>
      <c r="MK22" s="282"/>
      <c r="ML22" s="282"/>
      <c r="MM22" s="1232"/>
      <c r="MN22" s="1232"/>
      <c r="MO22" s="1232"/>
      <c r="MP22" s="1232"/>
      <c r="MS22" s="421"/>
      <c r="MT22" s="421"/>
      <c r="MU22" s="421"/>
      <c r="MV22" s="421"/>
      <c r="MW22" s="421"/>
      <c r="MX22" s="421"/>
      <c r="MY22" s="421"/>
      <c r="MZ22" s="421"/>
      <c r="NA22" s="421"/>
      <c r="NB22" s="421"/>
      <c r="NC22" s="421"/>
      <c r="ND22" s="421"/>
      <c r="NE22" s="421"/>
      <c r="NF22" s="421"/>
      <c r="NG22" s="421"/>
      <c r="NH22" s="421"/>
      <c r="NI22" s="421"/>
      <c r="NJ22" s="421"/>
      <c r="NK22" s="421"/>
      <c r="NL22" s="421"/>
      <c r="OQ22" s="282"/>
      <c r="OR22" s="282"/>
      <c r="OS22" s="282"/>
      <c r="OT22" s="282"/>
      <c r="OU22" s="282"/>
      <c r="OV22" s="282"/>
      <c r="OW22" s="282"/>
      <c r="OX22" s="282"/>
      <c r="OY22" s="282"/>
      <c r="OZ22" s="282"/>
      <c r="PA22" s="282"/>
      <c r="PB22" s="282"/>
      <c r="PC22" s="282"/>
      <c r="PD22" s="282"/>
      <c r="PE22" s="282"/>
      <c r="PF22" s="282"/>
      <c r="PG22" s="282"/>
      <c r="PH22" s="282"/>
      <c r="PI22" s="282"/>
      <c r="PJ22" s="282"/>
      <c r="PK22" s="282"/>
      <c r="PL22" s="282"/>
      <c r="PM22" s="282"/>
    </row>
    <row r="23" spans="1:429" ht="20.399999999999999" hidden="1" outlineLevel="2">
      <c r="A23" s="2057"/>
      <c r="B23" s="571"/>
      <c r="C23" s="606">
        <v>0.5</v>
      </c>
      <c r="D23" s="571"/>
      <c r="E23" s="1530"/>
      <c r="F23" s="572"/>
      <c r="G23" s="572"/>
      <c r="H23" s="104"/>
      <c r="I23" s="104"/>
      <c r="J23" s="104">
        <f t="array" ref="J23">PERCENTILE(IF((($B$57:$B$95=$B$19)*(J$57:J$95&lt;&gt;0)),J$57:J$95),$C23)</f>
        <v>717</v>
      </c>
      <c r="K23" s="831"/>
      <c r="L23" s="1086"/>
      <c r="M23" s="1086"/>
      <c r="N23" s="1086"/>
      <c r="O23" s="1086"/>
      <c r="P23" s="1086"/>
      <c r="Q23" s="104"/>
      <c r="R23" s="104"/>
      <c r="S23" s="104">
        <f t="array" ref="S23">PERCENTILE(IF((($B$57:$B$95=$B$19)*(S$57:S$95&lt;&gt;0)),S$57:S$95),$C23)</f>
        <v>110000</v>
      </c>
      <c r="T23" s="1070"/>
      <c r="U23" s="1070"/>
      <c r="V23" s="1070"/>
      <c r="W23" s="104">
        <f t="array" ref="W23">PERCENTILE(IF((($B$57:$B$95=$B$19)*(W$57:W$95&lt;&gt;0)),W$57:W$95),$C23)</f>
        <v>23970</v>
      </c>
      <c r="X23" s="104"/>
      <c r="Y23" s="1070"/>
      <c r="Z23" s="1070"/>
      <c r="AA23" s="104"/>
      <c r="AB23" s="104"/>
      <c r="AC23" s="1070"/>
      <c r="AD23" s="1105"/>
      <c r="AE23" s="104"/>
      <c r="AF23" s="104"/>
      <c r="AG23" s="1070"/>
      <c r="AH23" s="573"/>
      <c r="AI23" s="104"/>
      <c r="AJ23" s="1070"/>
      <c r="AK23" s="573"/>
      <c r="AL23" s="104"/>
      <c r="AM23" s="104"/>
      <c r="AN23" s="1070"/>
      <c r="AO23" s="104"/>
      <c r="AP23" s="104"/>
      <c r="AQ23" s="104">
        <f t="array" ref="AQ23">PERCENTILE(IF((($B$57:$B$95=$B$19)*(AQ$57:AQ$95&lt;&gt;0)),AQ$57:AQ$95),$C23)</f>
        <v>27431</v>
      </c>
      <c r="AR23" s="104" t="e">
        <f t="array" ref="AR23">PERCENTILE(IF((($B$57:$B$95=$B$19)*(AR$57:AR$95&lt;&gt;0)),AR$57:AR$95),$C23)</f>
        <v>#NUM!</v>
      </c>
      <c r="AS23" s="1105"/>
      <c r="AT23" s="1105"/>
      <c r="AU23" s="1105"/>
      <c r="AV23" s="1105"/>
      <c r="AW23" s="1105"/>
      <c r="AX23" s="573"/>
      <c r="AY23" s="573"/>
      <c r="AZ23" s="573"/>
      <c r="BA23" s="573"/>
      <c r="BB23" s="573"/>
      <c r="BC23" s="573"/>
      <c r="BD23" s="573"/>
      <c r="BE23" s="572"/>
      <c r="BF23" s="104"/>
      <c r="BG23" s="104"/>
      <c r="BH23" s="104"/>
      <c r="BI23" s="1267"/>
      <c r="BJ23" s="104"/>
      <c r="BK23" s="104"/>
      <c r="BL23" s="572"/>
      <c r="BM23" s="572"/>
      <c r="BN23" s="104"/>
      <c r="BO23" s="1105"/>
      <c r="BP23" s="104"/>
      <c r="BQ23" s="104"/>
      <c r="BR23" s="104"/>
      <c r="BS23" s="572"/>
      <c r="BT23" s="104"/>
      <c r="BU23" s="104"/>
      <c r="BV23" s="104"/>
      <c r="BW23" s="831">
        <f t="array" ref="BW23">PERCENTILE(IF((($B$57:$B$95=$B$19)*(BW$57:BW$95&lt;&gt;0)),BW$57:BW$95),$C23)</f>
        <v>14948.757864916872</v>
      </c>
      <c r="BX23" s="831"/>
      <c r="BY23" s="831"/>
      <c r="BZ23" s="104"/>
      <c r="CA23" s="104"/>
      <c r="CB23" s="104"/>
      <c r="CC23" s="104"/>
      <c r="CD23" s="104"/>
      <c r="CE23" s="104"/>
      <c r="CF23" s="104"/>
      <c r="CG23" s="104"/>
      <c r="CH23" s="104"/>
      <c r="CI23" s="104"/>
      <c r="CJ23" s="104">
        <f t="array" ref="CJ23">PERCENTILE(IF((($B$57:$B$95=$B$19)*(CJ$57:CJ$95&lt;&gt;0)),CJ$57:CJ$95),$C23)</f>
        <v>15955859</v>
      </c>
      <c r="CK23" s="575"/>
      <c r="CL23" s="575"/>
      <c r="CM23" s="575"/>
      <c r="CN23" s="575"/>
      <c r="CO23" s="575"/>
      <c r="CP23" s="575"/>
      <c r="CQ23" s="575"/>
      <c r="CR23" s="575"/>
      <c r="CS23" s="575"/>
      <c r="CT23" s="575"/>
      <c r="CU23" s="575"/>
      <c r="CV23" s="104"/>
      <c r="CW23" s="104"/>
      <c r="CX23" s="104"/>
      <c r="CY23" s="104"/>
      <c r="CZ23" s="104"/>
      <c r="DA23" s="104"/>
      <c r="DB23" s="104"/>
      <c r="DC23" s="575"/>
      <c r="DD23" s="575"/>
      <c r="DE23" s="575"/>
      <c r="DF23" s="575"/>
      <c r="DG23" s="575"/>
      <c r="DH23" s="575"/>
      <c r="DI23" s="575"/>
      <c r="DJ23" s="290"/>
      <c r="DK23" s="832"/>
      <c r="DL23" s="832"/>
      <c r="DM23" s="832"/>
      <c r="DN23" s="832"/>
      <c r="DO23" s="832"/>
      <c r="DP23" s="832"/>
      <c r="DQ23" s="832"/>
      <c r="DR23" s="832"/>
      <c r="DS23" s="832"/>
      <c r="DT23" s="832"/>
      <c r="DU23" s="832"/>
      <c r="DV23" s="832"/>
      <c r="DW23" s="832"/>
      <c r="DX23" s="832"/>
      <c r="DY23" s="832"/>
      <c r="DZ23" s="832"/>
      <c r="EA23" s="832"/>
      <c r="EB23" s="832"/>
      <c r="EC23" s="2103"/>
      <c r="ED23" s="574"/>
      <c r="EE23" s="572"/>
      <c r="EF23" s="104"/>
      <c r="EG23" s="104"/>
      <c r="EH23" s="572"/>
      <c r="EI23" s="572"/>
      <c r="EJ23" s="833"/>
      <c r="EK23" s="573"/>
      <c r="EL23" s="104"/>
      <c r="EM23" s="572"/>
      <c r="EN23" s="572"/>
      <c r="EO23" s="573"/>
      <c r="EP23" s="574"/>
      <c r="EQ23" s="572"/>
      <c r="ER23" s="572"/>
      <c r="ES23" s="834"/>
      <c r="ET23" s="835"/>
      <c r="EU23" s="101">
        <f>COUNTIFS($B$57:$B$270,$B22,EU$57:EU$270,2)</f>
        <v>0</v>
      </c>
      <c r="EV23" s="104"/>
      <c r="EW23" s="104"/>
      <c r="EX23" s="104">
        <f>COUNTIFS($B$57:$B$270,$B22,EX$57:EX$270,1)</f>
        <v>0</v>
      </c>
      <c r="EY23" s="104"/>
      <c r="EZ23" s="104"/>
      <c r="FA23" s="104"/>
      <c r="FB23" s="104"/>
      <c r="FC23" s="104"/>
      <c r="FD23" s="577"/>
      <c r="FE23" s="104">
        <f t="array" ref="FE23">PERCENTILE(IF((($B$57:$B$95=$B$19)*(FE$57:FE$95&lt;&gt;0)),FE$57:FE$95),$C23)</f>
        <v>2206321</v>
      </c>
      <c r="FF23" s="577"/>
      <c r="FG23" s="577"/>
      <c r="FH23" s="578"/>
      <c r="FI23" s="578"/>
      <c r="FJ23" s="578"/>
      <c r="FK23" s="578"/>
      <c r="FL23" s="578"/>
      <c r="FM23" s="578"/>
      <c r="FN23" s="578"/>
      <c r="FO23" s="578"/>
      <c r="FP23" s="578"/>
      <c r="FQ23" s="104"/>
      <c r="FR23" s="104"/>
      <c r="FS23" s="104"/>
      <c r="FT23" s="104"/>
      <c r="FU23" s="104"/>
      <c r="FV23" s="104"/>
      <c r="FW23" s="104"/>
      <c r="FX23" s="579"/>
      <c r="FY23" s="742">
        <f t="array" ref="FY23">PERCENTILE(IF((($B$57:$B$95=$B$19)*(FY$57:FY$95&lt;&gt;0)),FY$57:FY$95),$C23)</f>
        <v>-3523494</v>
      </c>
      <c r="FZ23" s="580"/>
      <c r="GA23" s="580"/>
      <c r="GB23" s="580"/>
      <c r="GC23" s="580"/>
      <c r="GD23" s="580"/>
      <c r="GE23" s="580"/>
      <c r="GF23" s="580"/>
      <c r="GG23" s="580"/>
      <c r="GH23" s="572">
        <f t="array" ref="GH23">PERCENTILE(IF((($B$57:$B$95=$B$19)*(GH$57:GH$95&lt;&gt;0)),GH$57:GH$95),$C23)</f>
        <v>-1.4481111265294013</v>
      </c>
      <c r="GI23" s="572">
        <f t="array" ref="GI23">PERCENTILE(IF((($B$57:$B$95=$B$19)*(GI$57:GI$95&lt;&gt;0)),GI$57:GI$95),$C23)</f>
        <v>5.2662614739663693</v>
      </c>
      <c r="GJ23" s="572"/>
      <c r="GK23" s="572"/>
      <c r="GL23" s="572"/>
      <c r="GM23" s="572"/>
      <c r="GN23" s="104"/>
      <c r="GO23" s="574"/>
      <c r="GP23" s="574"/>
      <c r="GQ23" s="104"/>
      <c r="GR23" s="104"/>
      <c r="GS23" s="104"/>
      <c r="GT23" s="104"/>
      <c r="GU23" s="104"/>
      <c r="GV23" s="104"/>
      <c r="GW23" s="104"/>
      <c r="GX23" s="104">
        <f t="array" ref="GX23">PERCENTILE(IF((($B$57:$B$95=$B$19)*(GX$57:GX$95&lt;&gt;0)),GX$57:GX$95),$C23)</f>
        <v>125956.38888888888</v>
      </c>
      <c r="GY23" s="574"/>
      <c r="GZ23" s="575"/>
      <c r="HA23" s="575"/>
      <c r="HB23" s="575"/>
      <c r="HC23" s="575"/>
      <c r="HD23" s="575"/>
      <c r="HE23" s="575"/>
      <c r="HF23" s="575"/>
      <c r="HG23" s="104"/>
      <c r="HH23" s="104"/>
      <c r="HI23" s="104"/>
      <c r="HJ23" s="104"/>
      <c r="HK23" s="104"/>
      <c r="HL23" s="104"/>
      <c r="HM23" s="104"/>
      <c r="HN23" s="104"/>
      <c r="HO23" s="104"/>
      <c r="HP23" s="104"/>
      <c r="HQ23" s="104">
        <f t="array" ref="HQ23">PERCENTILE(IF((($B$57:$B$95=$B$19)*(HQ$57:HQ$95&lt;&gt;0)),HQ$57:HQ$95),$C23)</f>
        <v>102560.11111111111</v>
      </c>
      <c r="HR23" s="574"/>
      <c r="HS23" s="575"/>
      <c r="HT23" s="575"/>
      <c r="HU23" s="575"/>
      <c r="HV23" s="575"/>
      <c r="HW23" s="575"/>
      <c r="HX23" s="575"/>
      <c r="HY23" s="575"/>
      <c r="HZ23" s="51"/>
      <c r="IA23" s="581"/>
      <c r="IB23" s="581"/>
      <c r="IC23" s="582"/>
      <c r="ID23" s="582"/>
      <c r="IE23" s="583"/>
      <c r="IF23" s="583"/>
      <c r="IG23" s="831"/>
      <c r="IH23" s="831"/>
      <c r="II23" s="104"/>
      <c r="IJ23" s="104"/>
      <c r="IK23" s="583"/>
      <c r="IL23" s="582"/>
      <c r="IM23" s="583"/>
      <c r="IN23" s="583"/>
      <c r="IO23" s="858">
        <f t="array" ref="IO23">PERCENTILE(IF((($B$57:$B$95=$B$19)*(IO$57:IO$95&lt;&gt;0)),IO$57:IO$95),$C23)</f>
        <v>-5214.9711711711707</v>
      </c>
      <c r="IP23" s="851">
        <f t="array" ref="IP23">PERCENTILE(IF((($B$57:$B$95=$B$19)*(IP$57:IP$95&lt;&gt;0)),IP$57:IP$95),$C23)</f>
        <v>-5712.3969045482172</v>
      </c>
      <c r="IQ23" s="862">
        <f t="array" ref="IQ23">PERCENTILE(IF((($B$57:$B$95=$B$19)*(IQ$57:IQ$95&lt;&gt;0)),IQ$57:IQ$95),$C23)</f>
        <v>-0.27828698321957507</v>
      </c>
      <c r="IR23" s="290"/>
      <c r="IS23" s="290"/>
      <c r="IT23" s="290"/>
      <c r="IU23" s="290"/>
      <c r="IV23" s="290"/>
      <c r="IW23" s="290"/>
      <c r="IX23" s="575"/>
      <c r="IY23" s="575"/>
      <c r="IZ23" s="575"/>
      <c r="JA23" s="575"/>
      <c r="JB23" s="575"/>
      <c r="JC23" s="575"/>
      <c r="JD23" s="290"/>
      <c r="JE23" s="290"/>
      <c r="JF23" s="584"/>
      <c r="JG23" s="290"/>
      <c r="JH23" s="675"/>
      <c r="JI23" s="675"/>
      <c r="JJ23" s="675"/>
      <c r="JK23" s="675"/>
      <c r="JL23" s="675"/>
      <c r="JM23" s="675"/>
      <c r="JN23" s="675"/>
      <c r="JO23" s="675"/>
      <c r="JP23" s="675"/>
      <c r="JQ23" s="675"/>
      <c r="JR23" s="290"/>
      <c r="JS23" s="290"/>
      <c r="JT23" s="290"/>
      <c r="JU23" s="290"/>
      <c r="JV23" s="290"/>
      <c r="JW23" s="290"/>
      <c r="JX23" s="585"/>
      <c r="JY23" s="575">
        <f t="array" ref="JY23">PERCENTILE(IF((($B$57:$B$95=$B$19)*(JY$57:JY$95&lt;&gt;0)),JY$57:JY$95),$C23)</f>
        <v>0.14286022860565531</v>
      </c>
      <c r="JZ23" s="290"/>
      <c r="KA23" s="290"/>
      <c r="KB23" s="290"/>
      <c r="KC23" s="290"/>
      <c r="KD23" s="290"/>
      <c r="KE23" s="290"/>
      <c r="KF23" s="585"/>
      <c r="KG23" s="585"/>
      <c r="KH23" s="585"/>
      <c r="KI23" s="575">
        <f t="array" ref="KI23">PERCENTILE(IF((($B$57:$B$95=$B$19)*(KI$57:KI$95&lt;&gt;0)),KI$57:KI$95),$C23)</f>
        <v>0.11161697242334026</v>
      </c>
      <c r="KJ23" s="586"/>
      <c r="KK23" s="587"/>
      <c r="KL23" s="587"/>
      <c r="KM23" s="587"/>
      <c r="KN23" s="586"/>
      <c r="KO23" s="587"/>
      <c r="KP23" s="587"/>
      <c r="KQ23" s="587"/>
      <c r="KR23" s="587"/>
      <c r="KS23" s="587"/>
      <c r="KT23" s="587"/>
      <c r="KU23" s="587"/>
      <c r="KV23" s="587"/>
      <c r="KW23" s="587"/>
      <c r="KX23" s="108"/>
      <c r="KY23" s="421"/>
      <c r="KZ23" s="421"/>
      <c r="LA23" s="421"/>
      <c r="LB23" s="421"/>
      <c r="LQ23" s="421"/>
      <c r="LR23" s="368"/>
      <c r="LS23" s="421"/>
      <c r="LT23" s="282"/>
      <c r="LU23" s="282"/>
      <c r="LV23" s="282"/>
      <c r="LW23" s="282"/>
      <c r="LX23" s="282"/>
      <c r="LY23" s="282"/>
      <c r="LZ23" s="282"/>
      <c r="MA23" s="282"/>
      <c r="MB23" s="282"/>
      <c r="MC23" s="282"/>
      <c r="MD23" s="282"/>
      <c r="ME23" s="282"/>
      <c r="MF23" s="282"/>
      <c r="MG23" s="282"/>
      <c r="MH23" s="282"/>
      <c r="MI23" s="282"/>
      <c r="MJ23" s="282"/>
      <c r="MK23" s="282"/>
      <c r="ML23" s="282"/>
      <c r="MM23" s="1232"/>
      <c r="MN23" s="1232"/>
      <c r="MO23" s="1232"/>
      <c r="MP23" s="1232"/>
      <c r="MS23" s="421"/>
      <c r="MT23" s="368"/>
      <c r="MU23" s="421"/>
      <c r="MV23" s="421"/>
      <c r="MW23" s="421"/>
      <c r="MX23" s="421"/>
      <c r="MY23" s="421"/>
      <c r="MZ23" s="421"/>
      <c r="NA23" s="421"/>
      <c r="NB23" s="421"/>
      <c r="NC23" s="421"/>
      <c r="ND23" s="421"/>
      <c r="NE23" s="421"/>
      <c r="NF23" s="421"/>
      <c r="NG23" s="421"/>
      <c r="NH23" s="421"/>
      <c r="NI23" s="421"/>
      <c r="NJ23" s="421"/>
      <c r="NK23" s="421"/>
      <c r="NL23" s="421"/>
      <c r="OQ23" s="282"/>
      <c r="OR23" s="282"/>
      <c r="OS23" s="282"/>
      <c r="OT23" s="282"/>
      <c r="OU23" s="282"/>
      <c r="OV23" s="282"/>
      <c r="OW23" s="282"/>
      <c r="OX23" s="282"/>
      <c r="OY23" s="282"/>
      <c r="OZ23" s="282"/>
      <c r="PA23" s="282"/>
      <c r="PB23" s="282"/>
      <c r="PC23" s="282"/>
      <c r="PD23" s="282"/>
      <c r="PE23" s="282"/>
      <c r="PF23" s="282"/>
      <c r="PG23" s="282"/>
      <c r="PH23" s="282"/>
      <c r="PI23" s="282"/>
      <c r="PJ23" s="282"/>
      <c r="PK23" s="282"/>
      <c r="PL23" s="282"/>
      <c r="PM23" s="282"/>
    </row>
    <row r="24" spans="1:429" ht="16.2" hidden="1" outlineLevel="2" thickBot="1">
      <c r="A24" s="2057"/>
      <c r="B24" s="588"/>
      <c r="C24" s="607">
        <v>0.75</v>
      </c>
      <c r="D24" s="588"/>
      <c r="E24" s="1530"/>
      <c r="F24" s="589"/>
      <c r="G24" s="589"/>
      <c r="H24" s="590"/>
      <c r="I24" s="590"/>
      <c r="J24" s="590">
        <f t="array" ref="J24">PERCENTILE(IF((($B$57:$B$95=$B$19)*(J$57:J$95&lt;&gt;0)),J$57:J$95),$C24)</f>
        <v>1284</v>
      </c>
      <c r="K24" s="836"/>
      <c r="L24" s="1087"/>
      <c r="M24" s="1087"/>
      <c r="N24" s="1087"/>
      <c r="O24" s="1087"/>
      <c r="P24" s="1087"/>
      <c r="Q24" s="590"/>
      <c r="R24" s="590"/>
      <c r="S24" s="590">
        <f t="array" ref="S24">PERCENTILE(IF((($B$57:$B$95=$B$19)*(S$57:S$95&lt;&gt;0)),S$57:S$95),$C24)</f>
        <v>150000</v>
      </c>
      <c r="T24" s="1071"/>
      <c r="U24" s="1071"/>
      <c r="V24" s="1071"/>
      <c r="W24" s="590">
        <f t="array" ref="W24">PERCENTILE(IF((($B$57:$B$95=$B$19)*(W$57:W$95&lt;&gt;0)),W$57:W$95),$C24)</f>
        <v>25433</v>
      </c>
      <c r="X24" s="590"/>
      <c r="Y24" s="1071"/>
      <c r="Z24" s="1071"/>
      <c r="AA24" s="590"/>
      <c r="AB24" s="590"/>
      <c r="AC24" s="1071"/>
      <c r="AD24" s="1106"/>
      <c r="AE24" s="590"/>
      <c r="AF24" s="590"/>
      <c r="AG24" s="1071"/>
      <c r="AH24" s="591"/>
      <c r="AI24" s="590"/>
      <c r="AJ24" s="1071"/>
      <c r="AK24" s="591"/>
      <c r="AL24" s="590"/>
      <c r="AM24" s="590"/>
      <c r="AN24" s="1071"/>
      <c r="AO24" s="590"/>
      <c r="AP24" s="590"/>
      <c r="AQ24" s="590">
        <f t="array" ref="AQ24">PERCENTILE(IF((($B$57:$B$95=$B$19)*(AQ$57:AQ$95&lt;&gt;0)),AQ$57:AQ$95),$C24)</f>
        <v>35138</v>
      </c>
      <c r="AR24" s="590" t="e">
        <f t="array" ref="AR24">PERCENTILE(IF((($B$57:$B$95=$B$19)*(AR$57:AR$95&lt;&gt;0)),AR$57:AR$95),$C24)</f>
        <v>#NUM!</v>
      </c>
      <c r="AS24" s="1106"/>
      <c r="AT24" s="1106"/>
      <c r="AU24" s="1106"/>
      <c r="AV24" s="1106"/>
      <c r="AW24" s="1106"/>
      <c r="AX24" s="591"/>
      <c r="AY24" s="591"/>
      <c r="AZ24" s="591"/>
      <c r="BA24" s="591"/>
      <c r="BB24" s="591"/>
      <c r="BC24" s="591"/>
      <c r="BD24" s="591"/>
      <c r="BE24" s="589"/>
      <c r="BF24" s="590"/>
      <c r="BG24" s="590"/>
      <c r="BH24" s="590"/>
      <c r="BI24" s="1268"/>
      <c r="BJ24" s="590"/>
      <c r="BK24" s="590"/>
      <c r="BL24" s="589"/>
      <c r="BM24" s="589"/>
      <c r="BN24" s="590"/>
      <c r="BO24" s="1106"/>
      <c r="BP24" s="590"/>
      <c r="BQ24" s="590"/>
      <c r="BR24" s="590"/>
      <c r="BS24" s="589"/>
      <c r="BT24" s="590"/>
      <c r="BU24" s="590"/>
      <c r="BV24" s="590"/>
      <c r="BW24" s="836">
        <f t="array" ref="BW24">PERCENTILE(IF((($B$57:$B$95=$B$19)*(BW$57:BW$95&lt;&gt;0)),BW$57:BW$95),$C24)</f>
        <v>23962.051032437394</v>
      </c>
      <c r="BX24" s="836"/>
      <c r="BY24" s="836"/>
      <c r="BZ24" s="590"/>
      <c r="CA24" s="590"/>
      <c r="CB24" s="590"/>
      <c r="CC24" s="590"/>
      <c r="CD24" s="590"/>
      <c r="CE24" s="590"/>
      <c r="CF24" s="590"/>
      <c r="CG24" s="590"/>
      <c r="CH24" s="590"/>
      <c r="CI24" s="590"/>
      <c r="CJ24" s="590">
        <f t="array" ref="CJ24">PERCENTILE(IF((($B$57:$B$95=$B$19)*(CJ$57:CJ$95&lt;&gt;0)),CJ$57:CJ$95),$C24)</f>
        <v>36906725</v>
      </c>
      <c r="CK24" s="593"/>
      <c r="CL24" s="593"/>
      <c r="CM24" s="593"/>
      <c r="CN24" s="593"/>
      <c r="CO24" s="593"/>
      <c r="CP24" s="593"/>
      <c r="CQ24" s="593"/>
      <c r="CR24" s="593"/>
      <c r="CS24" s="593"/>
      <c r="CT24" s="593"/>
      <c r="CU24" s="593"/>
      <c r="CV24" s="590"/>
      <c r="CW24" s="590"/>
      <c r="CX24" s="590"/>
      <c r="CY24" s="590"/>
      <c r="CZ24" s="590"/>
      <c r="DA24" s="590"/>
      <c r="DB24" s="590"/>
      <c r="DC24" s="593"/>
      <c r="DD24" s="593"/>
      <c r="DE24" s="593"/>
      <c r="DF24" s="593"/>
      <c r="DG24" s="593"/>
      <c r="DH24" s="593"/>
      <c r="DI24" s="593"/>
      <c r="DJ24" s="594"/>
      <c r="DK24" s="837"/>
      <c r="DL24" s="837"/>
      <c r="DM24" s="837"/>
      <c r="DN24" s="837"/>
      <c r="DO24" s="837"/>
      <c r="DP24" s="837"/>
      <c r="DQ24" s="837"/>
      <c r="DR24" s="837"/>
      <c r="DS24" s="837"/>
      <c r="DT24" s="837"/>
      <c r="DU24" s="837"/>
      <c r="DV24" s="837"/>
      <c r="DW24" s="837"/>
      <c r="DX24" s="837"/>
      <c r="DY24" s="837"/>
      <c r="DZ24" s="837"/>
      <c r="EA24" s="837"/>
      <c r="EB24" s="837"/>
      <c r="EC24" s="2104"/>
      <c r="ED24" s="592"/>
      <c r="EE24" s="589"/>
      <c r="EF24" s="590"/>
      <c r="EG24" s="590"/>
      <c r="EH24" s="589"/>
      <c r="EI24" s="589"/>
      <c r="EJ24" s="838"/>
      <c r="EK24" s="591"/>
      <c r="EL24" s="590"/>
      <c r="EM24" s="589"/>
      <c r="EN24" s="589"/>
      <c r="EO24" s="591"/>
      <c r="EP24" s="592"/>
      <c r="EQ24" s="589"/>
      <c r="ER24" s="589"/>
      <c r="ES24" s="839"/>
      <c r="ET24" s="840"/>
      <c r="EU24" s="900">
        <f>COUNTIFS($B$57:$B$270,$B22,EU$57:EU$270,3)</f>
        <v>0</v>
      </c>
      <c r="EV24" s="590"/>
      <c r="EW24" s="590"/>
      <c r="EX24" s="590">
        <f>COUNTIFS($B$57:$B$270,$B22,EX$57:EX$270,2)</f>
        <v>0</v>
      </c>
      <c r="EY24" s="590"/>
      <c r="EZ24" s="590"/>
      <c r="FA24" s="590"/>
      <c r="FB24" s="590"/>
      <c r="FC24" s="590"/>
      <c r="FD24" s="596"/>
      <c r="FE24" s="590">
        <f t="array" ref="FE24">PERCENTILE(IF((($B$57:$B$95=$B$19)*(FE$57:FE$95&lt;&gt;0)),FE$57:FE$95),$C24)</f>
        <v>4179740</v>
      </c>
      <c r="FF24" s="596"/>
      <c r="FG24" s="596"/>
      <c r="FH24" s="597"/>
      <c r="FI24" s="597"/>
      <c r="FJ24" s="597"/>
      <c r="FK24" s="597"/>
      <c r="FL24" s="597"/>
      <c r="FM24" s="597"/>
      <c r="FN24" s="597"/>
      <c r="FO24" s="597"/>
      <c r="FP24" s="597"/>
      <c r="FQ24" s="590"/>
      <c r="FR24" s="590"/>
      <c r="FS24" s="590"/>
      <c r="FT24" s="590"/>
      <c r="FU24" s="590"/>
      <c r="FV24" s="590"/>
      <c r="FW24" s="590"/>
      <c r="FX24" s="598"/>
      <c r="FY24" s="743">
        <f t="array" ref="FY24">PERCENTILE(IF((($B$57:$B$95=$B$19)*(FY$57:FY$95&lt;&gt;0)),FY$57:FY$95),$C24)</f>
        <v>-2985906.8</v>
      </c>
      <c r="FZ24" s="599"/>
      <c r="GA24" s="599"/>
      <c r="GB24" s="599"/>
      <c r="GC24" s="599"/>
      <c r="GD24" s="599"/>
      <c r="GE24" s="599"/>
      <c r="GF24" s="599"/>
      <c r="GG24" s="599"/>
      <c r="GH24" s="589">
        <f t="array" ref="GH24">PERCENTILE(IF((($B$57:$B$95=$B$19)*(GH$57:GH$95&lt;&gt;0)),GH$57:GH$95),$C24)</f>
        <v>-1.2156929143728026</v>
      </c>
      <c r="GI24" s="589">
        <f t="array" ref="GI24">PERCENTILE(IF((($B$57:$B$95=$B$19)*(GI$57:GI$95&lt;&gt;0)),GI$57:GI$95),$C24)</f>
        <v>6.2742222683726956</v>
      </c>
      <c r="GJ24" s="589"/>
      <c r="GK24" s="589"/>
      <c r="GL24" s="589"/>
      <c r="GM24" s="589"/>
      <c r="GN24" s="590"/>
      <c r="GO24" s="592"/>
      <c r="GP24" s="592"/>
      <c r="GQ24" s="590"/>
      <c r="GR24" s="590"/>
      <c r="GS24" s="590"/>
      <c r="GT24" s="590"/>
      <c r="GU24" s="590"/>
      <c r="GV24" s="590"/>
      <c r="GW24" s="590"/>
      <c r="GX24" s="590">
        <f t="array" ref="GX24">PERCENTILE(IF((($B$57:$B$95=$B$19)*(GX$57:GX$95&lt;&gt;0)),GX$57:GX$95),$C24)</f>
        <v>127384.23611111111</v>
      </c>
      <c r="GY24" s="592"/>
      <c r="GZ24" s="593"/>
      <c r="HA24" s="593"/>
      <c r="HB24" s="593"/>
      <c r="HC24" s="593"/>
      <c r="HD24" s="593"/>
      <c r="HE24" s="593"/>
      <c r="HF24" s="593"/>
      <c r="HG24" s="590"/>
      <c r="HH24" s="590"/>
      <c r="HI24" s="590"/>
      <c r="HJ24" s="590"/>
      <c r="HK24" s="590"/>
      <c r="HL24" s="590"/>
      <c r="HM24" s="590"/>
      <c r="HN24" s="590"/>
      <c r="HO24" s="590"/>
      <c r="HP24" s="590"/>
      <c r="HQ24" s="590">
        <f t="array" ref="HQ24">PERCENTILE(IF((($B$57:$B$95=$B$19)*(HQ$57:HQ$95&lt;&gt;0)),HQ$57:HQ$95),$C24)</f>
        <v>112065.30555555556</v>
      </c>
      <c r="HR24" s="592"/>
      <c r="HS24" s="593"/>
      <c r="HT24" s="593"/>
      <c r="HU24" s="593"/>
      <c r="HV24" s="593"/>
      <c r="HW24" s="593"/>
      <c r="HX24" s="593"/>
      <c r="HY24" s="593"/>
      <c r="HZ24" s="51"/>
      <c r="IA24" s="600"/>
      <c r="IB24" s="600"/>
      <c r="IC24" s="601"/>
      <c r="ID24" s="601"/>
      <c r="IE24" s="602"/>
      <c r="IF24" s="602"/>
      <c r="IG24" s="836"/>
      <c r="IH24" s="836"/>
      <c r="II24" s="590"/>
      <c r="IJ24" s="590"/>
      <c r="IK24" s="602"/>
      <c r="IL24" s="601"/>
      <c r="IM24" s="602"/>
      <c r="IN24" s="602"/>
      <c r="IO24" s="860">
        <f t="array" ref="IO24">PERCENTILE(IF((($B$57:$B$95=$B$19)*(IO$57:IO$95&lt;&gt;0)),IO$57:IO$95),$C24)</f>
        <v>-4315.6801968019681</v>
      </c>
      <c r="IP24" s="852">
        <f t="array" ref="IP24">PERCENTILE(IF((($B$57:$B$95=$B$19)*(IP$57:IP$95&lt;&gt;0)),IP$57:IP$95),$C24)</f>
        <v>-5092.750141755535</v>
      </c>
      <c r="IQ24" s="863">
        <f t="array" ref="IQ24">PERCENTILE(IF((($B$57:$B$95=$B$19)*(IQ$57:IQ$95&lt;&gt;0)),IQ$57:IQ$95),$C24)</f>
        <v>-0.24696079496137036</v>
      </c>
      <c r="IR24" s="594"/>
      <c r="IS24" s="594"/>
      <c r="IT24" s="594"/>
      <c r="IU24" s="594"/>
      <c r="IV24" s="594"/>
      <c r="IW24" s="594"/>
      <c r="IX24" s="593"/>
      <c r="IY24" s="593"/>
      <c r="IZ24" s="593"/>
      <c r="JA24" s="593"/>
      <c r="JB24" s="593"/>
      <c r="JC24" s="593"/>
      <c r="JD24" s="594"/>
      <c r="JE24" s="594"/>
      <c r="JF24" s="603"/>
      <c r="JG24" s="594"/>
      <c r="JH24" s="676"/>
      <c r="JI24" s="676"/>
      <c r="JJ24" s="676"/>
      <c r="JK24" s="676"/>
      <c r="JL24" s="676"/>
      <c r="JM24" s="676"/>
      <c r="JN24" s="676"/>
      <c r="JO24" s="676"/>
      <c r="JP24" s="676"/>
      <c r="JQ24" s="676"/>
      <c r="JR24" s="594"/>
      <c r="JS24" s="594"/>
      <c r="JT24" s="594"/>
      <c r="JU24" s="594"/>
      <c r="JV24" s="594"/>
      <c r="JW24" s="594"/>
      <c r="JX24" s="604"/>
      <c r="JY24" s="593">
        <f t="array" ref="JY24">PERCENTILE(IF((($B$57:$B$95=$B$19)*(JY$57:JY$95&lt;&gt;0)),JY$57:JY$95),$C24)</f>
        <v>0.16296875986906331</v>
      </c>
      <c r="JZ24" s="594"/>
      <c r="KA24" s="594"/>
      <c r="KB24" s="594"/>
      <c r="KC24" s="594"/>
      <c r="KD24" s="594"/>
      <c r="KE24" s="594"/>
      <c r="KF24" s="604"/>
      <c r="KG24" s="604"/>
      <c r="KH24" s="604"/>
      <c r="KI24" s="593">
        <f t="array" ref="KI24">PERCENTILE(IF((($B$57:$B$95=$B$19)*(KI$57:KI$95&lt;&gt;0)),KI$57:KI$95),$C24)</f>
        <v>0.18904400413052017</v>
      </c>
      <c r="KJ24" s="605"/>
      <c r="KK24" s="605"/>
      <c r="KL24" s="605"/>
      <c r="KM24" s="605"/>
      <c r="KN24" s="605"/>
      <c r="KO24" s="605"/>
      <c r="KP24" s="605"/>
      <c r="KQ24" s="605"/>
      <c r="KR24" s="605"/>
      <c r="KS24" s="605"/>
      <c r="KT24" s="605"/>
      <c r="KU24" s="605"/>
      <c r="KV24" s="605"/>
      <c r="KW24" s="605"/>
      <c r="KX24" s="108"/>
      <c r="KY24" s="421"/>
      <c r="KZ24" s="421"/>
      <c r="LA24" s="421"/>
      <c r="LB24" s="421"/>
      <c r="LQ24" s="421"/>
      <c r="LR24" s="421"/>
      <c r="LS24" s="421"/>
      <c r="LT24" s="282"/>
      <c r="LU24" s="282"/>
      <c r="LV24" s="282"/>
      <c r="LW24" s="282"/>
      <c r="LX24" s="282"/>
      <c r="LY24" s="282"/>
      <c r="LZ24" s="282"/>
      <c r="MA24" s="282"/>
      <c r="MB24" s="282"/>
      <c r="MC24" s="282"/>
      <c r="MD24" s="282"/>
      <c r="ME24" s="282"/>
      <c r="MF24" s="282"/>
      <c r="MG24" s="282"/>
      <c r="MH24" s="282"/>
      <c r="MI24" s="282"/>
      <c r="MJ24" s="282"/>
      <c r="MK24" s="282"/>
      <c r="ML24" s="282"/>
      <c r="MM24" s="1232"/>
      <c r="MN24" s="1232"/>
      <c r="MO24" s="1232"/>
      <c r="MP24" s="1232"/>
      <c r="MS24" s="421"/>
      <c r="MT24" s="421"/>
      <c r="MU24" s="421"/>
      <c r="MV24" s="421"/>
      <c r="MW24" s="421"/>
      <c r="MX24" s="421"/>
      <c r="MY24" s="421"/>
      <c r="MZ24" s="421"/>
      <c r="NA24" s="421"/>
      <c r="NB24" s="421"/>
      <c r="NC24" s="421"/>
      <c r="ND24" s="421"/>
      <c r="NE24" s="421"/>
      <c r="NF24" s="421"/>
      <c r="NG24" s="421"/>
      <c r="NH24" s="421"/>
      <c r="NI24" s="421"/>
      <c r="NJ24" s="421"/>
      <c r="NK24" s="421"/>
      <c r="NL24" s="421"/>
      <c r="OQ24" s="282"/>
      <c r="OR24" s="282"/>
      <c r="OS24" s="282"/>
      <c r="OT24" s="282"/>
      <c r="OU24" s="282"/>
      <c r="OV24" s="282"/>
      <c r="OW24" s="282"/>
      <c r="OX24" s="282"/>
      <c r="OY24" s="282"/>
      <c r="OZ24" s="282"/>
      <c r="PA24" s="282"/>
      <c r="PB24" s="282"/>
      <c r="PC24" s="282"/>
      <c r="PD24" s="282"/>
      <c r="PE24" s="282"/>
      <c r="PF24" s="282"/>
      <c r="PG24" s="282"/>
      <c r="PH24" s="282"/>
      <c r="PI24" s="282"/>
      <c r="PJ24" s="282"/>
      <c r="PK24" s="282"/>
      <c r="PL24" s="282"/>
      <c r="PM24" s="282"/>
    </row>
    <row r="25" spans="1:429" ht="16.2" outlineLevel="1" collapsed="1" thickBot="1">
      <c r="A25" s="2057"/>
      <c r="B25" s="101" t="s">
        <v>547</v>
      </c>
      <c r="C25" s="272" t="s">
        <v>386</v>
      </c>
      <c r="D25" s="101">
        <f>COUNTIF($B$57:$B$270,$B25)</f>
        <v>26</v>
      </c>
      <c r="E25" s="1530"/>
      <c r="F25" s="101">
        <f t="shared" ref="F25:K25" si="267">SUMIF($B$57:$B$270,$B25,F$57:F$270)</f>
        <v>25</v>
      </c>
      <c r="G25" s="101">
        <f t="shared" si="267"/>
        <v>10</v>
      </c>
      <c r="H25" s="103">
        <f t="shared" si="267"/>
        <v>12099</v>
      </c>
      <c r="I25" s="103">
        <f t="shared" si="267"/>
        <v>7399</v>
      </c>
      <c r="J25" s="103">
        <f t="shared" si="267"/>
        <v>19498</v>
      </c>
      <c r="K25" s="830">
        <f t="shared" si="267"/>
        <v>14817.463266980347</v>
      </c>
      <c r="L25" s="1079"/>
      <c r="M25" s="1088"/>
      <c r="N25" s="1089"/>
      <c r="O25" s="1088"/>
      <c r="P25" s="1088"/>
      <c r="Q25" s="106">
        <f>SUMIF($B$57:$B$270,$B25,Q$57:Q$270)</f>
        <v>82601</v>
      </c>
      <c r="R25" s="106">
        <f>SUMIF($B$57:$B$270,$B25,R$57:R$270)</f>
        <v>2814899</v>
      </c>
      <c r="S25" s="106">
        <f>SUMIF($B$57:$B$270,$B25,S$57:S$270)</f>
        <v>2897500</v>
      </c>
      <c r="T25" s="1072"/>
      <c r="U25" s="1072"/>
      <c r="V25" s="1072"/>
      <c r="W25" s="106">
        <f>SUMIF($B$57:$B$270,$B25,W$57:W$270)</f>
        <v>406134.75</v>
      </c>
      <c r="X25" s="106">
        <f>SUMIF($B$57:$B$270,$B25,X$57:X$270)</f>
        <v>368929</v>
      </c>
      <c r="Y25" s="1072"/>
      <c r="Z25" s="1072"/>
      <c r="AA25" s="106">
        <f>SUMIF($B$57:$B$270,$B25,AA$57:AA$270)</f>
        <v>37205.75</v>
      </c>
      <c r="AB25" s="106">
        <f>SUMIF($B$57:$B$270,$B25,AB$57:AB$270)</f>
        <v>2.6717113327884707</v>
      </c>
      <c r="AC25" s="282"/>
      <c r="AD25" s="1102"/>
      <c r="AE25" s="101">
        <f>SUMIF($B$57:$B$270,$B25,AE$57:AE$270)</f>
        <v>23</v>
      </c>
      <c r="AF25" s="101">
        <f>SUMIF($B$57:$B$270,$B25,AF$57:AF$270)</f>
        <v>57640.520000000004</v>
      </c>
      <c r="AG25" s="282"/>
      <c r="AH25" s="101">
        <f>SUMIF($B$57:$B$270,$B25,AH$57:AH$270)</f>
        <v>0</v>
      </c>
      <c r="AI25" s="106">
        <f>SUMIF($B$57:$B$270,$B25,AI$57:AI$270)</f>
        <v>0</v>
      </c>
      <c r="AJ25" s="1072"/>
      <c r="AK25" s="101">
        <f>SUMIF($B$57:$B$270,$B25,AK$57:AK$270)</f>
        <v>10</v>
      </c>
      <c r="AL25" s="101">
        <f>SUMIF($B$57:$B$270,$B25,AL$57:AL$270)</f>
        <v>24490</v>
      </c>
      <c r="AM25" s="403">
        <f>X25+AF25+AI25+AL25</f>
        <v>451059.52</v>
      </c>
      <c r="AN25" s="1072">
        <f>Z25+AG25+AJ25</f>
        <v>0</v>
      </c>
      <c r="AO25" s="403">
        <f>EL25</f>
        <v>20700</v>
      </c>
      <c r="AP25" s="403">
        <f>ROUND(EP25*12,-2)</f>
        <v>3100</v>
      </c>
      <c r="AQ25" s="403">
        <f>+AM25+AO25+AP25</f>
        <v>474859.52000000002</v>
      </c>
      <c r="AR25" s="403">
        <f>Z25+AG25+AJ25</f>
        <v>0</v>
      </c>
      <c r="AS25" s="1122"/>
      <c r="AT25" s="1122"/>
      <c r="AU25" s="1122"/>
      <c r="AV25" s="1122"/>
      <c r="AW25" s="1102"/>
      <c r="AX25" s="101">
        <f t="shared" ref="AX25:BK25" si="268">SUMIF($B$57:$B$270,$B25,AX$57:AX$270)</f>
        <v>10</v>
      </c>
      <c r="AY25" s="101">
        <f t="shared" si="268"/>
        <v>6</v>
      </c>
      <c r="AZ25" s="101">
        <f t="shared" si="268"/>
        <v>4</v>
      </c>
      <c r="BA25" s="101">
        <f t="shared" si="268"/>
        <v>2</v>
      </c>
      <c r="BB25" s="101">
        <f t="shared" si="268"/>
        <v>0</v>
      </c>
      <c r="BC25" s="101">
        <f t="shared" si="268"/>
        <v>1</v>
      </c>
      <c r="BD25" s="101">
        <f t="shared" si="268"/>
        <v>1</v>
      </c>
      <c r="BE25" s="101">
        <f t="shared" si="268"/>
        <v>13</v>
      </c>
      <c r="BF25" s="106">
        <f t="shared" si="268"/>
        <v>96045974</v>
      </c>
      <c r="BG25" s="106">
        <f t="shared" si="268"/>
        <v>44397521</v>
      </c>
      <c r="BH25" s="106">
        <f t="shared" si="268"/>
        <v>140443495</v>
      </c>
      <c r="BI25" s="1269">
        <f t="shared" si="268"/>
        <v>794215097</v>
      </c>
      <c r="BJ25" s="106">
        <f t="shared" si="268"/>
        <v>96943664</v>
      </c>
      <c r="BK25" s="106">
        <f t="shared" si="268"/>
        <v>64043827</v>
      </c>
      <c r="BL25" s="435">
        <f>ROUND(BJ25/BK25,2)</f>
        <v>1.51</v>
      </c>
      <c r="BM25" s="101">
        <f>SUMIF($B$57:$B$270,$B25,BM$57:BM$270)</f>
        <v>24</v>
      </c>
      <c r="BN25" s="106">
        <f>SUMIF($B$57:$B$270,$B25,BN$57:BN$270)</f>
        <v>159115708</v>
      </c>
      <c r="BO25" s="282"/>
      <c r="BP25" s="106">
        <f t="shared" ref="BP25:BV25" si="269">SUMIF($B$57:$B$270,$B25,BP$57:BP$270)</f>
        <v>174222250</v>
      </c>
      <c r="BQ25" s="106">
        <f t="shared" si="269"/>
        <v>145263321</v>
      </c>
      <c r="BR25" s="417">
        <f t="shared" si="269"/>
        <v>31.700209629658183</v>
      </c>
      <c r="BS25" s="101">
        <f t="shared" si="269"/>
        <v>15</v>
      </c>
      <c r="BT25" s="106">
        <f t="shared" si="269"/>
        <v>307542509</v>
      </c>
      <c r="BU25" s="106">
        <f t="shared" si="269"/>
        <v>781090732</v>
      </c>
      <c r="BV25" s="417">
        <f t="shared" si="269"/>
        <v>13.089621971652413</v>
      </c>
      <c r="BW25" s="821">
        <f>IF(BN25=0,0,+IF(K25=0,0,ROUND(BN25/K25,-1)))</f>
        <v>10740</v>
      </c>
      <c r="BX25" s="821">
        <f>IF(BJ25=0,0,+IF(K25=0,0,ROUND(BJ25/K25,-1)))</f>
        <v>6540</v>
      </c>
      <c r="BY25" s="821">
        <f>IF(BH25=0,0,+IF(K25=0,0,ROUND(BH25/K25,-1)))</f>
        <v>9480</v>
      </c>
      <c r="BZ25" s="103">
        <f t="shared" ref="BZ25:CI25" si="270">SUMIF($B$57:$B$270,$B25,BZ$57:BZ$270)</f>
        <v>45501911</v>
      </c>
      <c r="CA25" s="106">
        <f t="shared" si="270"/>
        <v>3439955</v>
      </c>
      <c r="CB25" s="106">
        <f t="shared" si="270"/>
        <v>18573212</v>
      </c>
      <c r="CC25" s="106">
        <f t="shared" si="270"/>
        <v>7934089</v>
      </c>
      <c r="CD25" s="106">
        <f t="shared" si="270"/>
        <v>211633271</v>
      </c>
      <c r="CE25" s="106">
        <f t="shared" si="270"/>
        <v>0</v>
      </c>
      <c r="CF25" s="106">
        <f t="shared" si="270"/>
        <v>1061000</v>
      </c>
      <c r="CG25" s="106">
        <f t="shared" si="270"/>
        <v>48236703</v>
      </c>
      <c r="CH25" s="106">
        <f t="shared" si="270"/>
        <v>27587431</v>
      </c>
      <c r="CI25" s="106">
        <f t="shared" si="270"/>
        <v>7091763</v>
      </c>
      <c r="CJ25" s="292">
        <f>SUM(BZ25:CI25)</f>
        <v>371059335</v>
      </c>
      <c r="CK25" s="406">
        <f t="shared" ref="CK25:CU25" si="271">ROUND(BZ25/$CJ25,3)</f>
        <v>0.123</v>
      </c>
      <c r="CL25" s="406">
        <f t="shared" si="271"/>
        <v>8.9999999999999993E-3</v>
      </c>
      <c r="CM25" s="406">
        <f t="shared" si="271"/>
        <v>0.05</v>
      </c>
      <c r="CN25" s="406">
        <f t="shared" si="271"/>
        <v>2.1000000000000001E-2</v>
      </c>
      <c r="CO25" s="406">
        <f t="shared" si="271"/>
        <v>0.56999999999999995</v>
      </c>
      <c r="CP25" s="406">
        <f t="shared" si="271"/>
        <v>0</v>
      </c>
      <c r="CQ25" s="406">
        <f t="shared" si="271"/>
        <v>3.0000000000000001E-3</v>
      </c>
      <c r="CR25" s="406">
        <f t="shared" si="271"/>
        <v>0.13</v>
      </c>
      <c r="CS25" s="406">
        <f t="shared" si="271"/>
        <v>7.3999999999999996E-2</v>
      </c>
      <c r="CT25" s="406">
        <f t="shared" si="271"/>
        <v>1.9E-2</v>
      </c>
      <c r="CU25" s="406">
        <f t="shared" si="271"/>
        <v>1</v>
      </c>
      <c r="CV25" s="106">
        <f t="shared" ref="CV25:DB25" si="272">SUMIF($B$57:$B$270,$B25,CV$57:CV$270)</f>
        <v>190989029</v>
      </c>
      <c r="CW25" s="106">
        <f t="shared" si="272"/>
        <v>33441467</v>
      </c>
      <c r="CX25" s="106">
        <f t="shared" si="272"/>
        <v>13015889</v>
      </c>
      <c r="CY25" s="106">
        <f t="shared" si="272"/>
        <v>112697036</v>
      </c>
      <c r="CZ25" s="106">
        <f t="shared" si="272"/>
        <v>4837068</v>
      </c>
      <c r="DA25" s="106">
        <f t="shared" si="272"/>
        <v>9128818</v>
      </c>
      <c r="DB25" s="106">
        <f t="shared" si="272"/>
        <v>364109307</v>
      </c>
      <c r="DC25" s="406">
        <f t="shared" ref="DC25:DI25" si="273">ROUND(CV25/$DB25,3)</f>
        <v>0.52500000000000002</v>
      </c>
      <c r="DD25" s="406">
        <f t="shared" si="273"/>
        <v>9.1999999999999998E-2</v>
      </c>
      <c r="DE25" s="406">
        <f t="shared" si="273"/>
        <v>3.5999999999999997E-2</v>
      </c>
      <c r="DF25" s="406">
        <f t="shared" si="273"/>
        <v>0.31</v>
      </c>
      <c r="DG25" s="406">
        <f t="shared" si="273"/>
        <v>1.2999999999999999E-2</v>
      </c>
      <c r="DH25" s="406">
        <f t="shared" si="273"/>
        <v>2.5000000000000001E-2</v>
      </c>
      <c r="DI25" s="406">
        <f t="shared" si="273"/>
        <v>1</v>
      </c>
      <c r="DJ25" s="301">
        <f>CJ25-DB25</f>
        <v>6950028</v>
      </c>
      <c r="DK25" s="822">
        <f t="shared" ref="DK25:DT25" si="274">IF(BZ25=0,0,+IF($K25=0,0,ROUND(BZ25/$K25,0)))</f>
        <v>3071</v>
      </c>
      <c r="DL25" s="822">
        <f t="shared" si="274"/>
        <v>232</v>
      </c>
      <c r="DM25" s="822">
        <f t="shared" si="274"/>
        <v>1253</v>
      </c>
      <c r="DN25" s="822">
        <f t="shared" si="274"/>
        <v>535</v>
      </c>
      <c r="DO25" s="822">
        <f t="shared" si="274"/>
        <v>14283</v>
      </c>
      <c r="DP25" s="822">
        <f t="shared" si="274"/>
        <v>0</v>
      </c>
      <c r="DQ25" s="822">
        <f t="shared" si="274"/>
        <v>72</v>
      </c>
      <c r="DR25" s="822">
        <f t="shared" si="274"/>
        <v>3255</v>
      </c>
      <c r="DS25" s="822">
        <f t="shared" si="274"/>
        <v>1862</v>
      </c>
      <c r="DT25" s="822">
        <f t="shared" si="274"/>
        <v>479</v>
      </c>
      <c r="DU25" s="822">
        <f>SUM(DK25:DT25)</f>
        <v>25042</v>
      </c>
      <c r="DV25" s="822">
        <f t="shared" ref="DV25:EA25" si="275">IF(CV25=0,0,+IF($K25=0,0,ROUND(CV25/$K25,0)))</f>
        <v>12889</v>
      </c>
      <c r="DW25" s="822">
        <f t="shared" si="275"/>
        <v>2257</v>
      </c>
      <c r="DX25" s="822">
        <f t="shared" si="275"/>
        <v>878</v>
      </c>
      <c r="DY25" s="822">
        <f t="shared" si="275"/>
        <v>7606</v>
      </c>
      <c r="DZ25" s="822">
        <f t="shared" si="275"/>
        <v>326</v>
      </c>
      <c r="EA25" s="822">
        <f t="shared" si="275"/>
        <v>616</v>
      </c>
      <c r="EB25" s="822">
        <f>SUM(DV25:EA25)</f>
        <v>24572</v>
      </c>
      <c r="EC25" s="824">
        <f>DU25-EB25</f>
        <v>470</v>
      </c>
      <c r="ED25" s="106">
        <f t="shared" ref="ED25:EI25" si="276">SUMIF($B$57:$B$270,$B25,ED$57:ED$270)</f>
        <v>3530</v>
      </c>
      <c r="EE25" s="101">
        <f t="shared" si="276"/>
        <v>18</v>
      </c>
      <c r="EF25" s="106">
        <f t="shared" si="276"/>
        <v>521</v>
      </c>
      <c r="EG25" s="106">
        <f t="shared" si="276"/>
        <v>3568700.77</v>
      </c>
      <c r="EH25" s="101">
        <f t="shared" si="276"/>
        <v>26</v>
      </c>
      <c r="EI25" s="101">
        <f t="shared" si="276"/>
        <v>2.3050000000000006</v>
      </c>
      <c r="EJ25" s="823">
        <f>IF(K25=0,0,+IF(ED25=0,0,ROUND(K25/ED25,1)))</f>
        <v>4.2</v>
      </c>
      <c r="EK25" s="101">
        <f t="shared" ref="EK25:ER25" si="277">SUMIF($B$57:$B$270,$B25,EK$57:EK$270)</f>
        <v>16</v>
      </c>
      <c r="EL25" s="106">
        <f t="shared" si="277"/>
        <v>20700</v>
      </c>
      <c r="EM25" s="101">
        <f t="shared" si="277"/>
        <v>20</v>
      </c>
      <c r="EN25" s="101">
        <f t="shared" si="277"/>
        <v>4.0700000000000012</v>
      </c>
      <c r="EO25" s="101">
        <f t="shared" si="277"/>
        <v>4</v>
      </c>
      <c r="EP25" s="106">
        <f t="shared" si="277"/>
        <v>260.83333333333331</v>
      </c>
      <c r="EQ25" s="101">
        <f t="shared" si="277"/>
        <v>1</v>
      </c>
      <c r="ER25" s="101">
        <f t="shared" si="277"/>
        <v>2</v>
      </c>
      <c r="ES25" s="822">
        <f>IF(FE25=0,0,+IF(K25=0,0,ROUND(FE25/K25,-2)))</f>
        <v>5100</v>
      </c>
      <c r="ET25" s="824">
        <f>IF(FY25=0,0,+IF(K25=0,0,ROUND(FY25/K25,-1)))</f>
        <v>-1960</v>
      </c>
      <c r="EU25" s="101">
        <f>COUNTIFS($B$57:$B$270,$B25,EU$57:EU$270,1)</f>
        <v>8</v>
      </c>
      <c r="EV25" s="106">
        <f>SUMIF($B$57:$B$270,$B25,EV$57:EV$270)</f>
        <v>1659764</v>
      </c>
      <c r="EW25" s="101">
        <f>SUMIF($B$57:$B$270,$B25,EW$57:EW$270)</f>
        <v>201079</v>
      </c>
      <c r="EX25" s="101">
        <f>COUNTIFS($B$57:$B$270,$B25,EX$57:EX$270,0)</f>
        <v>6</v>
      </c>
      <c r="EY25" s="101">
        <f>SUMIF($B$57:$B$270,$B25,EY$57:EY$270)</f>
        <v>48236703</v>
      </c>
      <c r="EZ25" s="101">
        <f>SUMIF($B$57:$B$270,$B25,EZ$57:EZ$270)</f>
        <v>22346384</v>
      </c>
      <c r="FA25" s="3">
        <f>EY25-EZ25</f>
        <v>25890319</v>
      </c>
      <c r="FB25" s="101">
        <f>SUMIF($B$57:$B$270,$B25,FB$57:FB$270)</f>
        <v>27587431</v>
      </c>
      <c r="FC25" s="101">
        <f>SUMIF($B$57:$B$270,$B25,FC$57:FC$270)</f>
        <v>11095083</v>
      </c>
      <c r="FD25" s="3">
        <f>FB25-FC25</f>
        <v>16492348</v>
      </c>
      <c r="FE25" s="3">
        <f>EY25+FB25</f>
        <v>75824134</v>
      </c>
      <c r="FF25" s="3">
        <f>EZ25+FC25</f>
        <v>33441467</v>
      </c>
      <c r="FG25" s="3">
        <f>FE25-FF25</f>
        <v>42382667</v>
      </c>
      <c r="FH25" s="303">
        <f>EY25/$EY25</f>
        <v>1</v>
      </c>
      <c r="FI25" s="303">
        <f>ROUND(EZ25/$EY25,3)</f>
        <v>0.46300000000000002</v>
      </c>
      <c r="FJ25" s="303">
        <f>ROUND(FA25/$EY25,3)</f>
        <v>0.53700000000000003</v>
      </c>
      <c r="FK25" s="303">
        <f>ROUND(FB25/$FB25,2)</f>
        <v>1</v>
      </c>
      <c r="FL25" s="303">
        <f>ROUND(FC25/$FB25,3)</f>
        <v>0.40200000000000002</v>
      </c>
      <c r="FM25" s="303">
        <f>ROUND(FD25/$FB25,3)</f>
        <v>0.59799999999999998</v>
      </c>
      <c r="FN25" s="303">
        <f>ROUND(FE25/$FE25,2)</f>
        <v>1</v>
      </c>
      <c r="FO25" s="303">
        <f>ROUND(FF25/$FE25,3)</f>
        <v>0.441</v>
      </c>
      <c r="FP25" s="303">
        <f>ROUND(FG25/$FE25,3)</f>
        <v>0.55900000000000005</v>
      </c>
      <c r="FQ25" s="101">
        <f t="shared" ref="FQ25:FW25" si="278">SUMIF($B$57:$B$270,$B25,FQ$57:FQ$270)</f>
        <v>49438444</v>
      </c>
      <c r="FR25" s="408">
        <f t="shared" si="278"/>
        <v>-2309347.4000000004</v>
      </c>
      <c r="FS25" s="101">
        <f t="shared" si="278"/>
        <v>10516041</v>
      </c>
      <c r="FT25" s="101">
        <f t="shared" si="278"/>
        <v>1051160</v>
      </c>
      <c r="FU25" s="101">
        <f t="shared" si="278"/>
        <v>1268759</v>
      </c>
      <c r="FV25" s="101">
        <f t="shared" si="278"/>
        <v>661338</v>
      </c>
      <c r="FW25" s="101">
        <f t="shared" si="278"/>
        <v>10762876</v>
      </c>
      <c r="FX25" s="409">
        <f>SUM(FQ25:FW25)</f>
        <v>71389270.599999994</v>
      </c>
      <c r="FY25" s="410">
        <f>ROUND(FG25-FX25,-2)</f>
        <v>-29006600</v>
      </c>
      <c r="FZ25" s="303">
        <f t="shared" ref="FZ25:GH25" si="279">ROUND(FQ25/$FE25,3)</f>
        <v>0.65200000000000002</v>
      </c>
      <c r="GA25" s="303">
        <f t="shared" si="279"/>
        <v>-0.03</v>
      </c>
      <c r="GB25" s="303">
        <f t="shared" si="279"/>
        <v>0.13900000000000001</v>
      </c>
      <c r="GC25" s="303">
        <f t="shared" si="279"/>
        <v>1.4E-2</v>
      </c>
      <c r="GD25" s="303">
        <f t="shared" si="279"/>
        <v>1.7000000000000001E-2</v>
      </c>
      <c r="GE25" s="303">
        <f t="shared" si="279"/>
        <v>8.9999999999999993E-3</v>
      </c>
      <c r="GF25" s="303">
        <f t="shared" si="279"/>
        <v>0.14199999999999999</v>
      </c>
      <c r="GG25" s="303">
        <f t="shared" si="279"/>
        <v>0.94199999999999995</v>
      </c>
      <c r="GH25" s="303">
        <f t="shared" si="279"/>
        <v>-0.38300000000000001</v>
      </c>
      <c r="GI25" s="411">
        <f>EY25/FB25</f>
        <v>1.7485028961196134</v>
      </c>
      <c r="GJ25" s="408">
        <f t="shared" ref="GJ25:GV25" si="280">SUMIF($B$57:$B$270,$B25,GJ$57:GJ$270)</f>
        <v>21</v>
      </c>
      <c r="GK25" s="394">
        <f t="shared" si="280"/>
        <v>1.8250000000000006</v>
      </c>
      <c r="GL25" s="408">
        <f t="shared" si="280"/>
        <v>17</v>
      </c>
      <c r="GM25" s="394">
        <f t="shared" si="280"/>
        <v>1.1600000000000004</v>
      </c>
      <c r="GN25" s="103">
        <f t="shared" si="280"/>
        <v>234</v>
      </c>
      <c r="GO25" s="103">
        <f t="shared" si="280"/>
        <v>1365</v>
      </c>
      <c r="GP25" s="103">
        <f t="shared" si="280"/>
        <v>399021</v>
      </c>
      <c r="GQ25" s="103">
        <f t="shared" si="280"/>
        <v>12776625</v>
      </c>
      <c r="GR25" s="103">
        <f t="shared" si="280"/>
        <v>2501639</v>
      </c>
      <c r="GS25" s="103">
        <f t="shared" si="280"/>
        <v>7267766</v>
      </c>
      <c r="GT25" s="103">
        <f t="shared" si="280"/>
        <v>2347180</v>
      </c>
      <c r="GU25" s="103">
        <f t="shared" si="280"/>
        <v>998123</v>
      </c>
      <c r="GV25" s="103">
        <f t="shared" si="280"/>
        <v>3174788</v>
      </c>
      <c r="GW25" s="412">
        <f>SUM(GQ25:GV25)</f>
        <v>29066121</v>
      </c>
      <c r="GX25" s="7">
        <f>IF(GW25=0,0,ROUND(GW25/GN25,-2))</f>
        <v>124200</v>
      </c>
      <c r="GY25" s="49">
        <f>IF(GW25=0,0,ROUND(GW25/GO25,-2))</f>
        <v>21300</v>
      </c>
      <c r="GZ25" s="20">
        <f t="shared" ref="GZ25:HE25" si="281">ROUND(GQ25/$GW25,3)</f>
        <v>0.44</v>
      </c>
      <c r="HA25" s="20">
        <f t="shared" si="281"/>
        <v>8.5999999999999993E-2</v>
      </c>
      <c r="HB25" s="20">
        <f t="shared" si="281"/>
        <v>0.25</v>
      </c>
      <c r="HC25" s="20">
        <f t="shared" si="281"/>
        <v>8.1000000000000003E-2</v>
      </c>
      <c r="HD25" s="20">
        <f t="shared" si="281"/>
        <v>3.4000000000000002E-2</v>
      </c>
      <c r="HE25" s="20">
        <f t="shared" si="281"/>
        <v>0.109</v>
      </c>
      <c r="HF25" s="20">
        <f>SUM(GZ25:HE25)</f>
        <v>1</v>
      </c>
      <c r="HG25" s="106">
        <f t="shared" ref="HG25:HP25" si="282">SUMIF($B$57:$B$270,$B25,HG$57:HG$270)</f>
        <v>540</v>
      </c>
      <c r="HH25" s="106">
        <f t="shared" si="282"/>
        <v>3672</v>
      </c>
      <c r="HI25" s="106">
        <f t="shared" si="282"/>
        <v>809264</v>
      </c>
      <c r="HJ25" s="106">
        <f t="shared" si="282"/>
        <v>27789653</v>
      </c>
      <c r="HK25" s="106">
        <f t="shared" si="282"/>
        <v>5144104</v>
      </c>
      <c r="HL25" s="106">
        <f t="shared" si="282"/>
        <v>16040155</v>
      </c>
      <c r="HM25" s="106">
        <f t="shared" si="282"/>
        <v>3918449</v>
      </c>
      <c r="HN25" s="106">
        <f t="shared" si="282"/>
        <v>698515</v>
      </c>
      <c r="HO25" s="106">
        <f t="shared" si="282"/>
        <v>7170913</v>
      </c>
      <c r="HP25" s="106">
        <f t="shared" si="282"/>
        <v>60761789</v>
      </c>
      <c r="HQ25" s="7">
        <f>ROUND(HP25/HG25,-2)</f>
        <v>112500</v>
      </c>
      <c r="HR25" s="49">
        <f>IF(HP25=0,0,ROUND(HP25/HH25,-1))</f>
        <v>16550</v>
      </c>
      <c r="HS25" s="20">
        <f t="shared" ref="HS25:HX25" si="283">ROUND(HJ25/$HP25,3)</f>
        <v>0.45700000000000002</v>
      </c>
      <c r="HT25" s="20">
        <f t="shared" si="283"/>
        <v>8.5000000000000006E-2</v>
      </c>
      <c r="HU25" s="20">
        <f t="shared" si="283"/>
        <v>0.26400000000000001</v>
      </c>
      <c r="HV25" s="20">
        <f t="shared" si="283"/>
        <v>6.4000000000000001E-2</v>
      </c>
      <c r="HW25" s="20">
        <f t="shared" si="283"/>
        <v>1.0999999999999999E-2</v>
      </c>
      <c r="HX25" s="20">
        <f t="shared" si="283"/>
        <v>0.11799999999999999</v>
      </c>
      <c r="HY25" s="20">
        <f>SUM(HS25:HX25)</f>
        <v>0.99900000000000011</v>
      </c>
      <c r="HZ25" s="51"/>
      <c r="IA25" s="297">
        <f>ROUND(Q25/S25,2)</f>
        <v>0.03</v>
      </c>
      <c r="IB25" s="297"/>
      <c r="IC25" s="438">
        <f>SUMIF($B$57:$B$270,$B25,IC$57:IC$270)</f>
        <v>26</v>
      </c>
      <c r="ID25" s="438"/>
      <c r="IE25" s="438">
        <f>SUMIF($B$57:$B$270,$B25,IE$57:IE$270)</f>
        <v>0</v>
      </c>
      <c r="IF25" s="438"/>
      <c r="IG25" s="284">
        <f>IF(BI25=0,0,+IF(K25=0,0,BI25/K25))</f>
        <v>53599.936958835009</v>
      </c>
      <c r="IH25" s="284">
        <f>IF(BU25=0,0,+IF(K25=0,0,BU25/K25))</f>
        <v>52714.200664873904</v>
      </c>
      <c r="II25" s="417">
        <f t="shared" ref="II25:IN25" si="284">SUMIF($B$57:$B$270,$B25,II$57:II$270)</f>
        <v>23.041888576883988</v>
      </c>
      <c r="IJ25" s="417">
        <f t="shared" si="284"/>
        <v>8.6583210527741929</v>
      </c>
      <c r="IK25" s="413">
        <f t="shared" si="284"/>
        <v>7</v>
      </c>
      <c r="IL25" s="413">
        <f t="shared" si="284"/>
        <v>1</v>
      </c>
      <c r="IM25" s="413">
        <f t="shared" si="284"/>
        <v>13</v>
      </c>
      <c r="IN25" s="413">
        <f t="shared" si="284"/>
        <v>0</v>
      </c>
      <c r="IO25" s="853">
        <f>ROUND(FY25/$J25,-1)</f>
        <v>-1490</v>
      </c>
      <c r="IP25" s="851">
        <f>IF(K25=0,0,ROUND(FY25/K25,-1))</f>
        <v>-1960</v>
      </c>
      <c r="IQ25" s="857">
        <f>IF(FY25=0,0,+IF(CD25=0,0,FY25/CD25))</f>
        <v>-0.13706067983989154</v>
      </c>
      <c r="IR25" s="415">
        <f>EY25</f>
        <v>48236703</v>
      </c>
      <c r="IS25" s="415">
        <f>FB25</f>
        <v>27587431</v>
      </c>
      <c r="IT25" s="415">
        <f>FQ25</f>
        <v>49438444</v>
      </c>
      <c r="IU25" s="415">
        <f>FS25+FT25</f>
        <v>11567201</v>
      </c>
      <c r="IV25" s="415">
        <f>FF25</f>
        <v>33441467</v>
      </c>
      <c r="IW25" s="415">
        <f>SUM(FU25:FW25)+FR25</f>
        <v>10383625.6</v>
      </c>
      <c r="IX25" s="303">
        <f t="shared" ref="IX25:JC25" si="285">IF(IR25=0,0,ROUND(IR25/(SUM($IR25:$IS25)),3))</f>
        <v>0.63600000000000001</v>
      </c>
      <c r="IY25" s="303">
        <f t="shared" si="285"/>
        <v>0.36399999999999999</v>
      </c>
      <c r="IZ25" s="303">
        <f t="shared" si="285"/>
        <v>0.65200000000000002</v>
      </c>
      <c r="JA25" s="303">
        <f t="shared" si="285"/>
        <v>0.153</v>
      </c>
      <c r="JB25" s="303">
        <f t="shared" si="285"/>
        <v>0.441</v>
      </c>
      <c r="JC25" s="303">
        <f t="shared" si="285"/>
        <v>0.13700000000000001</v>
      </c>
      <c r="JD25" s="294">
        <f>CD25+CE25+CF25</f>
        <v>212694271</v>
      </c>
      <c r="JE25" s="294">
        <f>BZ25+CA25+CB25+CC25</f>
        <v>75449167</v>
      </c>
      <c r="JF25" s="294">
        <f>JD25+JE25+CG25+CH25+CI25-CJ25</f>
        <v>0</v>
      </c>
      <c r="JG25" s="294">
        <f>CZ25+DA25</f>
        <v>13965886</v>
      </c>
      <c r="JH25" s="414">
        <f t="shared" ref="JH25:JQ25" si="286">SUMIF($B$57:$B$270,$B25,JH$57:JH$270)</f>
        <v>16</v>
      </c>
      <c r="JI25" s="414">
        <f t="shared" si="286"/>
        <v>24</v>
      </c>
      <c r="JJ25" s="300">
        <f t="shared" si="286"/>
        <v>17.077446909393529</v>
      </c>
      <c r="JK25" s="300">
        <f t="shared" si="286"/>
        <v>13.461816581962612</v>
      </c>
      <c r="JL25" s="300">
        <f t="shared" si="286"/>
        <v>2.2939145340710589</v>
      </c>
      <c r="JM25" s="300">
        <f t="shared" si="286"/>
        <v>0.93494161534465769</v>
      </c>
      <c r="JN25" s="300">
        <f t="shared" si="286"/>
        <v>7.9303771561641758</v>
      </c>
      <c r="JO25" s="300">
        <f t="shared" si="286"/>
        <v>0.34834743458809009</v>
      </c>
      <c r="JP25" s="300">
        <f t="shared" si="286"/>
        <v>0.68139779588514227</v>
      </c>
      <c r="JQ25" s="300">
        <f t="shared" si="286"/>
        <v>25.650795118015736</v>
      </c>
      <c r="JR25" s="292">
        <f t="shared" ref="JR25:JW25" si="287">ROUND(GQ25/$GN25,-2)</f>
        <v>54600</v>
      </c>
      <c r="JS25" s="292">
        <f t="shared" si="287"/>
        <v>10700</v>
      </c>
      <c r="JT25" s="292">
        <f t="shared" si="287"/>
        <v>31100</v>
      </c>
      <c r="JU25" s="292">
        <f t="shared" si="287"/>
        <v>10000</v>
      </c>
      <c r="JV25" s="292">
        <f t="shared" si="287"/>
        <v>4300</v>
      </c>
      <c r="JW25" s="292">
        <f t="shared" si="287"/>
        <v>13600</v>
      </c>
      <c r="JX25" s="292">
        <f>GW25/GP25</f>
        <v>72.843587179622119</v>
      </c>
      <c r="JY25" s="394">
        <f>SUMIF($B$57:$B$270,$B25,JY$57:JY$270)</f>
        <v>3.4292426160321212</v>
      </c>
      <c r="JZ25" s="292">
        <f t="shared" ref="JZ25:KE25" si="288">ROUND(HJ25/$HG25,-2)</f>
        <v>51500</v>
      </c>
      <c r="KA25" s="292">
        <f t="shared" si="288"/>
        <v>9500</v>
      </c>
      <c r="KB25" s="292">
        <f t="shared" si="288"/>
        <v>29700</v>
      </c>
      <c r="KC25" s="292">
        <f t="shared" si="288"/>
        <v>7300</v>
      </c>
      <c r="KD25" s="292">
        <f t="shared" si="288"/>
        <v>1300</v>
      </c>
      <c r="KE25" s="292">
        <f t="shared" si="288"/>
        <v>13300</v>
      </c>
      <c r="KF25" s="292">
        <f>ROUND(HI25/HG25*18,-2)</f>
        <v>27000</v>
      </c>
      <c r="KG25" s="292">
        <f>ROUND(HH25/HG25*36,0)</f>
        <v>245</v>
      </c>
      <c r="KH25" s="292">
        <f>ROUND(HP25/HI25,0)</f>
        <v>75</v>
      </c>
      <c r="KI25" s="394">
        <f t="shared" ref="KI25:KW25" si="289">SUMIF($B$57:$B$270,$B25,KI$57:KI$270)</f>
        <v>3.2860608896414831</v>
      </c>
      <c r="KJ25" s="61">
        <f t="shared" si="289"/>
        <v>774</v>
      </c>
      <c r="KK25" s="61">
        <f t="shared" si="289"/>
        <v>1208285</v>
      </c>
      <c r="KL25" s="61">
        <f t="shared" si="289"/>
        <v>5037</v>
      </c>
      <c r="KM25" s="61">
        <f t="shared" si="289"/>
        <v>3066173.401851852</v>
      </c>
      <c r="KN25" s="61">
        <f t="shared" si="289"/>
        <v>1977.1062828514573</v>
      </c>
      <c r="KO25" s="61">
        <f t="shared" si="289"/>
        <v>523066.97182057996</v>
      </c>
      <c r="KP25" s="61">
        <f t="shared" si="289"/>
        <v>40566278</v>
      </c>
      <c r="KQ25" s="61">
        <f t="shared" si="289"/>
        <v>7645743</v>
      </c>
      <c r="KR25" s="61">
        <f t="shared" si="289"/>
        <v>23307921</v>
      </c>
      <c r="KS25" s="61">
        <f t="shared" si="289"/>
        <v>6265629</v>
      </c>
      <c r="KT25" s="61">
        <f t="shared" si="289"/>
        <v>1696638</v>
      </c>
      <c r="KU25" s="61">
        <f t="shared" si="289"/>
        <v>10345701</v>
      </c>
      <c r="KV25" s="61">
        <f t="shared" si="289"/>
        <v>6.715303505673603</v>
      </c>
      <c r="KW25" s="61">
        <f t="shared" si="289"/>
        <v>-10.190852503433572</v>
      </c>
      <c r="KX25" s="108"/>
      <c r="KY25" s="421"/>
      <c r="KZ25" s="421"/>
      <c r="LA25" s="421"/>
      <c r="LB25" s="421"/>
      <c r="LQ25" s="421"/>
      <c r="LR25" s="421"/>
      <c r="LS25" s="421"/>
      <c r="LT25" s="282"/>
      <c r="LU25" s="282"/>
      <c r="LV25" s="282"/>
      <c r="LW25" s="282"/>
      <c r="LX25" s="282"/>
      <c r="LY25" s="282"/>
      <c r="LZ25" s="282"/>
      <c r="MA25" s="282"/>
      <c r="MB25" s="282"/>
      <c r="MC25" s="282"/>
      <c r="MD25" s="282"/>
      <c r="ME25" s="282"/>
      <c r="MF25" s="282"/>
      <c r="MG25" s="282"/>
      <c r="MH25" s="282"/>
      <c r="MI25" s="282"/>
      <c r="MJ25" s="282"/>
      <c r="MK25" s="282"/>
      <c r="ML25" s="282"/>
      <c r="MM25" s="1232"/>
      <c r="MN25" s="1232"/>
      <c r="MO25" s="1232"/>
      <c r="MP25" s="1232"/>
      <c r="MS25" s="421"/>
      <c r="MT25" s="421"/>
      <c r="MU25" s="421"/>
      <c r="MV25" s="421"/>
      <c r="MW25" s="421"/>
      <c r="MX25" s="421"/>
      <c r="MY25" s="421"/>
      <c r="MZ25" s="421"/>
      <c r="NA25" s="421"/>
      <c r="NB25" s="421"/>
      <c r="NC25" s="421"/>
      <c r="ND25" s="421"/>
      <c r="NE25" s="421"/>
      <c r="NF25" s="421"/>
      <c r="NG25" s="421"/>
      <c r="NH25" s="421"/>
      <c r="NI25" s="421"/>
      <c r="NJ25" s="421"/>
      <c r="NK25" s="421"/>
      <c r="NL25" s="421"/>
      <c r="OQ25" s="282"/>
      <c r="OR25" s="282"/>
      <c r="OS25" s="282"/>
      <c r="OT25" s="282"/>
      <c r="OU25" s="282"/>
      <c r="OV25" s="282"/>
      <c r="OW25" s="282"/>
      <c r="OX25" s="282"/>
      <c r="OY25" s="282"/>
      <c r="OZ25" s="282"/>
      <c r="PA25" s="282"/>
      <c r="PB25" s="282"/>
      <c r="PC25" s="282"/>
      <c r="PD25" s="282"/>
      <c r="PE25" s="282"/>
      <c r="PF25" s="282"/>
      <c r="PG25" s="282"/>
      <c r="PH25" s="282"/>
      <c r="PI25" s="282"/>
      <c r="PJ25" s="282"/>
      <c r="PK25" s="282"/>
      <c r="PL25" s="282"/>
      <c r="PM25" s="282"/>
    </row>
    <row r="26" spans="1:429" ht="17.399999999999999" outlineLevel="1">
      <c r="A26" s="2058" t="s">
        <v>1166</v>
      </c>
      <c r="C26" s="272" t="s">
        <v>391</v>
      </c>
      <c r="E26" s="1530"/>
      <c r="F26" s="101">
        <f>COUNTIF($B$57:$B$270,$B25)</f>
        <v>26</v>
      </c>
      <c r="G26" s="101">
        <f>COUNTIF($B$57:$B$270,$B25)</f>
        <v>26</v>
      </c>
      <c r="H26" s="103">
        <f>COUNTIFS($B$57:$B$270,$B25,H$57:H$270,"&gt;0")</f>
        <v>26</v>
      </c>
      <c r="I26" s="103">
        <f>COUNTIFS($B$57:$B$270,$B25,I$57:I$270,"&gt;0")</f>
        <v>25</v>
      </c>
      <c r="J26" s="103">
        <f>COUNTIFS($B$57:$B$270,$B25,J$57:J$270,"&gt;0")</f>
        <v>26</v>
      </c>
      <c r="K26" s="830">
        <f>COUNTIFS($B$57:$B$270,$B25,K$57:K$270,"&gt;0")</f>
        <v>26</v>
      </c>
      <c r="L26" s="1088"/>
      <c r="M26" s="1088"/>
      <c r="N26" s="1088"/>
      <c r="O26" s="1088"/>
      <c r="P26" s="1088"/>
      <c r="Q26" s="9">
        <f>$S26</f>
        <v>26</v>
      </c>
      <c r="R26" s="9">
        <f>$S26</f>
        <v>26</v>
      </c>
      <c r="S26" s="106">
        <f>COUNTIFS($B$57:$B$270,$B25,S$57:S$270,"&gt;0")</f>
        <v>26</v>
      </c>
      <c r="T26" s="1072"/>
      <c r="U26" s="1072"/>
      <c r="V26" s="1072"/>
      <c r="W26" s="106">
        <f>COUNTIFS($B$57:$B$270,$B25,W$57:W$270,"&gt;0")</f>
        <v>26</v>
      </c>
      <c r="X26" s="106">
        <f>COUNTIFS($B$57:$B$270,$B25,X$57:X$270,"&gt;0")</f>
        <v>26</v>
      </c>
      <c r="Y26" s="1072"/>
      <c r="Z26" s="1072"/>
      <c r="AA26" s="106">
        <f>COUNTIFS($B$57:$B$270,$B25,AA$57:AA$270,"&lt;&gt;0")</f>
        <v>26</v>
      </c>
      <c r="AB26" s="106">
        <f>COUNTIFS($B$57:$B$270,$B25,AB$57:AB$270,"&lt;&gt;0")</f>
        <v>26</v>
      </c>
      <c r="AC26" s="282"/>
      <c r="AD26" s="282"/>
      <c r="AE26" s="101">
        <f>COUNTIF($B$57:$B$270,$B25)</f>
        <v>26</v>
      </c>
      <c r="AF26" s="101">
        <f>COUNTIFS($B$57:$B$270,$B25,AF$57:AF$270,"&gt;0")</f>
        <v>23</v>
      </c>
      <c r="AG26" s="282"/>
      <c r="AH26" s="101">
        <f>COUNTIF($B$57:$B$270,$B25)</f>
        <v>26</v>
      </c>
      <c r="AI26" s="106">
        <f>COUNTIFS($B$57:$B$270,$B25,AI$57:AI$270,"&gt;0")</f>
        <v>0</v>
      </c>
      <c r="AJ26" s="1072"/>
      <c r="AK26" s="101">
        <f>COUNTIF($B$57:$B$270,$B25)</f>
        <v>26</v>
      </c>
      <c r="AL26" s="101">
        <f>COUNTIFS($B$57:$B$270,$B25,AL$57:AL$270,"&gt;0")</f>
        <v>10</v>
      </c>
      <c r="AM26" s="403"/>
      <c r="AN26" s="1072"/>
      <c r="AO26" s="403"/>
      <c r="AP26" s="403"/>
      <c r="AQ26" s="403"/>
      <c r="AR26" s="403"/>
      <c r="AS26" s="282"/>
      <c r="AT26" s="282"/>
      <c r="AU26" s="282"/>
      <c r="AV26" s="282"/>
      <c r="AW26" s="282"/>
      <c r="AX26" s="101">
        <f t="shared" ref="AX26:BE26" si="290">COUNTIF($B$57:$B$270,$B25)</f>
        <v>26</v>
      </c>
      <c r="AY26" s="101">
        <f t="shared" si="290"/>
        <v>26</v>
      </c>
      <c r="AZ26" s="101">
        <f t="shared" si="290"/>
        <v>26</v>
      </c>
      <c r="BA26" s="101">
        <f t="shared" si="290"/>
        <v>26</v>
      </c>
      <c r="BB26" s="101">
        <f t="shared" si="290"/>
        <v>26</v>
      </c>
      <c r="BC26" s="101">
        <f t="shared" si="290"/>
        <v>26</v>
      </c>
      <c r="BD26" s="101">
        <f t="shared" si="290"/>
        <v>26</v>
      </c>
      <c r="BE26" s="101">
        <f t="shared" si="290"/>
        <v>26</v>
      </c>
      <c r="BF26" s="106">
        <f t="shared" ref="BF26:BK26" si="291">COUNTIFS($B$57:$B$270,$B25,BF$57:BF$270,"&gt;0")</f>
        <v>13</v>
      </c>
      <c r="BG26" s="106">
        <f t="shared" si="291"/>
        <v>24</v>
      </c>
      <c r="BH26" s="106">
        <f t="shared" si="291"/>
        <v>24</v>
      </c>
      <c r="BI26" s="1269">
        <f t="shared" si="291"/>
        <v>26</v>
      </c>
      <c r="BJ26" s="106">
        <f t="shared" si="291"/>
        <v>26</v>
      </c>
      <c r="BK26" s="106">
        <f t="shared" si="291"/>
        <v>26</v>
      </c>
      <c r="BL26" s="292"/>
      <c r="BM26" s="101">
        <f>COUNTIF($B$57:$B$270,$B25)</f>
        <v>26</v>
      </c>
      <c r="BN26" s="106">
        <f>COUNTIFS($B$57:$B$270,$B25,BN$57:BN$270,"&gt;0")</f>
        <v>24</v>
      </c>
      <c r="BO26" s="282"/>
      <c r="BP26" s="106">
        <f>COUNTIFS($B$57:$B$270,$B25,BP$57:BP$270,"&gt;0")</f>
        <v>26</v>
      </c>
      <c r="BQ26" s="106">
        <f>COUNTIFS($B$57:$B$270,$B25,BQ$57:BQ$270,"&gt;0")</f>
        <v>26</v>
      </c>
      <c r="BR26" s="106">
        <f>COUNTIFS($B$57:$B$270,$B25,BR$57:BR$270,"&gt;0")</f>
        <v>26</v>
      </c>
      <c r="BS26" s="101">
        <f>COUNTIF($B$57:$B$270,$B25)</f>
        <v>26</v>
      </c>
      <c r="BT26" s="106">
        <f>COUNTIFS($B$57:$B$270,$B25,BT$57:BT$270,"&gt;0")</f>
        <v>26</v>
      </c>
      <c r="BU26" s="106">
        <f>COUNTIFS($B$57:$B$270,$B25,BU$57:BU$270,"&gt;0")</f>
        <v>26</v>
      </c>
      <c r="BV26" s="106">
        <f>COUNTIFS($B$57:$B$270,$B25,BV$57:BV$270,"&gt;0")</f>
        <v>26</v>
      </c>
      <c r="BW26" s="820"/>
      <c r="BX26" s="820"/>
      <c r="BY26" s="820"/>
      <c r="BZ26" s="405">
        <f t="shared" ref="BZ26:CI26" si="292">$CJ26</f>
        <v>26</v>
      </c>
      <c r="CA26" s="405">
        <f t="shared" si="292"/>
        <v>26</v>
      </c>
      <c r="CB26" s="405">
        <f t="shared" si="292"/>
        <v>26</v>
      </c>
      <c r="CC26" s="405">
        <f t="shared" si="292"/>
        <v>26</v>
      </c>
      <c r="CD26" s="405">
        <f t="shared" si="292"/>
        <v>26</v>
      </c>
      <c r="CE26" s="405">
        <f t="shared" si="292"/>
        <v>26</v>
      </c>
      <c r="CF26" s="405">
        <f t="shared" si="292"/>
        <v>26</v>
      </c>
      <c r="CG26" s="405">
        <f t="shared" si="292"/>
        <v>26</v>
      </c>
      <c r="CH26" s="405">
        <f t="shared" si="292"/>
        <v>26</v>
      </c>
      <c r="CI26" s="405">
        <f t="shared" si="292"/>
        <v>26</v>
      </c>
      <c r="CJ26" s="106">
        <f>COUNTIFS($B$57:$B$270,$B25,CJ$57:CJ$270,"&gt;0")</f>
        <v>26</v>
      </c>
      <c r="CK26" s="563">
        <f>CJ26-EY26</f>
        <v>0</v>
      </c>
      <c r="CL26" s="416"/>
      <c r="CM26" s="416"/>
      <c r="CN26" s="416"/>
      <c r="CO26" s="416"/>
      <c r="CP26" s="416"/>
      <c r="CQ26" s="416"/>
      <c r="CR26" s="416"/>
      <c r="CS26" s="416"/>
      <c r="CT26" s="416"/>
      <c r="CU26" s="416"/>
      <c r="CV26" s="405">
        <f t="shared" ref="CV26:DB26" si="293">$CJ26</f>
        <v>26</v>
      </c>
      <c r="CW26" s="405">
        <f t="shared" si="293"/>
        <v>26</v>
      </c>
      <c r="CX26" s="405">
        <f t="shared" si="293"/>
        <v>26</v>
      </c>
      <c r="CY26" s="405">
        <f t="shared" si="293"/>
        <v>26</v>
      </c>
      <c r="CZ26" s="405">
        <f t="shared" si="293"/>
        <v>26</v>
      </c>
      <c r="DA26" s="405">
        <f t="shared" si="293"/>
        <v>26</v>
      </c>
      <c r="DB26" s="405">
        <f t="shared" si="293"/>
        <v>26</v>
      </c>
      <c r="DC26" s="406"/>
      <c r="DD26" s="406"/>
      <c r="DE26" s="406"/>
      <c r="DF26" s="406"/>
      <c r="DG26" s="406"/>
      <c r="DH26" s="406"/>
      <c r="DI26" s="406"/>
      <c r="DK26" s="822"/>
      <c r="DL26" s="822"/>
      <c r="DM26" s="822"/>
      <c r="DN26" s="822"/>
      <c r="DO26" s="822"/>
      <c r="DP26" s="822"/>
      <c r="DQ26" s="822"/>
      <c r="DR26" s="822"/>
      <c r="DS26" s="822"/>
      <c r="DT26" s="822"/>
      <c r="DU26" s="822"/>
      <c r="DV26" s="822"/>
      <c r="DW26" s="822"/>
      <c r="DX26" s="822"/>
      <c r="DY26" s="822"/>
      <c r="DZ26" s="822"/>
      <c r="EA26" s="822"/>
      <c r="EB26" s="822"/>
      <c r="EC26" s="824"/>
      <c r="ED26" s="106">
        <f>COUNTIFS($B$57:$B$270,$B25,ED$57:ED$270,"&gt;0")</f>
        <v>26</v>
      </c>
      <c r="EE26" s="101">
        <f>COUNTIF($B$57:$B$270,$B25)</f>
        <v>26</v>
      </c>
      <c r="EF26" s="106">
        <f>COUNTIFS($B$57:$B$270,$B25,EF$57:EF$270,"&gt;0")</f>
        <v>18</v>
      </c>
      <c r="EG26" s="106">
        <f>COUNTIFS($B$57:$B$270,$B25,EG$57:EG$270,"&gt;0")</f>
        <v>17</v>
      </c>
      <c r="EH26" s="101">
        <f>COUNTIF($B$57:$B$270,$B25)</f>
        <v>26</v>
      </c>
      <c r="EI26" s="101">
        <f>COUNTIFS($B$57:$B$270,$B25,EI$57:EI$270,"&gt;0")</f>
        <v>26</v>
      </c>
      <c r="EJ26" s="823"/>
      <c r="EK26" s="101">
        <f>COUNTIF($B$57:$B$270,$B25)</f>
        <v>26</v>
      </c>
      <c r="EL26" s="106">
        <f>COUNTIFS($B$57:$B$270,$B25,EL$57:EL$270,"&gt;0")</f>
        <v>16</v>
      </c>
      <c r="EM26" s="101">
        <f>COUNTIF($B$57:$B$270,$B25)</f>
        <v>26</v>
      </c>
      <c r="EN26" s="101">
        <f>COUNTIFS($B$57:$B$270,$B25,EN$57:EN$270,"&gt;0")</f>
        <v>20</v>
      </c>
      <c r="EO26" s="101">
        <f>COUNTIF($B$57:$B$270,$B25)</f>
        <v>26</v>
      </c>
      <c r="EP26" s="106">
        <f>COUNTIFS($B$57:$B$270,$B25,EP$57:EP$270,"&gt;0")</f>
        <v>4</v>
      </c>
      <c r="EQ26" s="101">
        <f>COUNTIF($B$57:$B$270,$B25)</f>
        <v>26</v>
      </c>
      <c r="ER26" s="101">
        <f>COUNTIF($B$57:$B$270,$B25)</f>
        <v>26</v>
      </c>
      <c r="ES26" s="822"/>
      <c r="ET26" s="825"/>
      <c r="EU26" s="101">
        <f>COUNTIFS($B$57:$B$270,$B25,EU$57:EU$270,2)</f>
        <v>14</v>
      </c>
      <c r="EV26" s="106">
        <f>COUNTIFS($B$57:$B$270,$B25,EV$57:EV$270,"&gt;0")</f>
        <v>24</v>
      </c>
      <c r="EW26" s="101">
        <f>COUNTIFS($B$57:$B$270,$B25,EW$57:EW$270,"&gt;0")</f>
        <v>22</v>
      </c>
      <c r="EX26" s="101">
        <f>COUNTIFS($B$57:$B$270,$B25,EX$57:EX$270,1)</f>
        <v>16</v>
      </c>
      <c r="EY26" s="101">
        <f>COUNTIFS($B$57:$B$270,$B25,EY$57:EY$270,"&gt;0")</f>
        <v>26</v>
      </c>
      <c r="EZ26" s="6">
        <f>$EY26</f>
        <v>26</v>
      </c>
      <c r="FA26" s="6"/>
      <c r="FB26" s="6">
        <f>$EY26</f>
        <v>26</v>
      </c>
      <c r="FC26" s="6">
        <f>$EY26</f>
        <v>26</v>
      </c>
      <c r="FD26" s="102"/>
      <c r="FE26" s="102"/>
      <c r="FF26" s="102"/>
      <c r="FG26" s="102"/>
      <c r="FH26" s="416"/>
      <c r="FI26" s="416"/>
      <c r="FJ26" s="416"/>
      <c r="FK26" s="416"/>
      <c r="FL26" s="416"/>
      <c r="FM26" s="416"/>
      <c r="FN26" s="416"/>
      <c r="FO26" s="416"/>
      <c r="FP26" s="416"/>
      <c r="FQ26" s="6">
        <f t="shared" ref="FQ26:FW26" si="294">$EY26</f>
        <v>26</v>
      </c>
      <c r="FR26" s="77">
        <f t="shared" si="294"/>
        <v>26</v>
      </c>
      <c r="FS26" s="6">
        <f t="shared" si="294"/>
        <v>26</v>
      </c>
      <c r="FT26" s="6">
        <f t="shared" si="294"/>
        <v>26</v>
      </c>
      <c r="FU26" s="6">
        <f t="shared" si="294"/>
        <v>26</v>
      </c>
      <c r="FV26" s="6">
        <f t="shared" si="294"/>
        <v>26</v>
      </c>
      <c r="FW26" s="6">
        <f t="shared" si="294"/>
        <v>26</v>
      </c>
      <c r="FX26" s="409"/>
      <c r="FY26" s="410"/>
      <c r="FZ26" s="416"/>
      <c r="GA26" s="416"/>
      <c r="GB26" s="416"/>
      <c r="GC26" s="416"/>
      <c r="GD26" s="416"/>
      <c r="GE26" s="416"/>
      <c r="GF26" s="416"/>
      <c r="GG26" s="416"/>
      <c r="GH26" s="416"/>
      <c r="GI26" s="419"/>
      <c r="GJ26" s="101">
        <f>COUNTIF($B$57:$B$270,$B25)</f>
        <v>26</v>
      </c>
      <c r="GK26" s="101">
        <f>COUNTIFS($B$57:$B$270,$B25,GK$57:GK$270,"&gt;0")</f>
        <v>21</v>
      </c>
      <c r="GL26" s="101">
        <f>COUNTIF($B$57:$B$270,$B25)</f>
        <v>26</v>
      </c>
      <c r="GM26" s="101">
        <f>COUNTIFS($B$57:$B$270,$B25,GM$57:GM$270,"&gt;0")</f>
        <v>17</v>
      </c>
      <c r="GN26" s="7">
        <f>$GW26</f>
        <v>13</v>
      </c>
      <c r="GO26" s="7">
        <f t="shared" ref="GO26:GV26" si="295">$GW26</f>
        <v>13</v>
      </c>
      <c r="GP26" s="571">
        <f>COUNTIFS($B$57:$B$270,$B25,GP$57:GP$270,"&gt;0")</f>
        <v>13</v>
      </c>
      <c r="GQ26" s="7">
        <f t="shared" si="295"/>
        <v>13</v>
      </c>
      <c r="GR26" s="7">
        <f t="shared" si="295"/>
        <v>13</v>
      </c>
      <c r="GS26" s="7">
        <f t="shared" si="295"/>
        <v>13</v>
      </c>
      <c r="GT26" s="7">
        <f t="shared" si="295"/>
        <v>13</v>
      </c>
      <c r="GU26" s="7">
        <f t="shared" si="295"/>
        <v>13</v>
      </c>
      <c r="GV26" s="7">
        <f t="shared" si="295"/>
        <v>13</v>
      </c>
      <c r="GW26" s="103">
        <f>COUNTIFS($B$57:$B$270,$B25,GW$57:GW$270,"&gt;0")</f>
        <v>13</v>
      </c>
      <c r="GY26" s="104"/>
      <c r="GZ26" s="20"/>
      <c r="HA26" s="20"/>
      <c r="HB26" s="20"/>
      <c r="HC26" s="105"/>
      <c r="HD26" s="20"/>
      <c r="HE26" s="20"/>
      <c r="HF26" s="105"/>
      <c r="HG26" s="9">
        <f t="shared" ref="HG26:HO26" si="296">$HP26</f>
        <v>13</v>
      </c>
      <c r="HH26" s="9">
        <f t="shared" si="296"/>
        <v>13</v>
      </c>
      <c r="HI26" s="9">
        <f t="shared" si="296"/>
        <v>13</v>
      </c>
      <c r="HJ26" s="9">
        <f t="shared" si="296"/>
        <v>13</v>
      </c>
      <c r="HK26" s="9">
        <f t="shared" si="296"/>
        <v>13</v>
      </c>
      <c r="HL26" s="9">
        <f t="shared" si="296"/>
        <v>13</v>
      </c>
      <c r="HM26" s="9">
        <f t="shared" si="296"/>
        <v>13</v>
      </c>
      <c r="HN26" s="9">
        <f t="shared" si="296"/>
        <v>13</v>
      </c>
      <c r="HO26" s="9">
        <f t="shared" si="296"/>
        <v>13</v>
      </c>
      <c r="HP26" s="106">
        <f>COUNTIFS($B$57:$B$270,$B25,HP$57:HP$270,"&gt;0")</f>
        <v>13</v>
      </c>
      <c r="HR26" s="107"/>
      <c r="HS26" s="105"/>
      <c r="HT26" s="105"/>
      <c r="HU26" s="105"/>
      <c r="HV26" s="105"/>
      <c r="HW26" s="105"/>
      <c r="HX26" s="105"/>
      <c r="HY26" s="105"/>
      <c r="HZ26" s="51"/>
      <c r="IA26" s="414"/>
      <c r="IB26" s="414"/>
      <c r="IC26" s="413">
        <f>COUNTIF($B$57:$B$270,$B25)</f>
        <v>26</v>
      </c>
      <c r="IE26" s="413">
        <f>COUNTIF($B$57:$B$270,$B25)</f>
        <v>26</v>
      </c>
      <c r="IG26" s="820"/>
      <c r="IH26" s="820"/>
      <c r="II26" s="106">
        <f>COUNTIFS($B$57:$B$270,$B25,II$57:II$270,"&gt;0")</f>
        <v>15</v>
      </c>
      <c r="IJ26" s="106">
        <f>COUNTIFS($B$57:$B$270,$B25,IJ$57:IJ$270,"&gt;0")</f>
        <v>11</v>
      </c>
      <c r="IK26" s="413">
        <f>COUNTIF($B$57:$B$270,$B25)</f>
        <v>26</v>
      </c>
      <c r="IL26" s="413">
        <f>COUNTIF($B$57:$B$270,$B25)</f>
        <v>26</v>
      </c>
      <c r="IM26" s="413">
        <f>COUNTIF($B$57:$B$270,$B25)</f>
        <v>26</v>
      </c>
      <c r="IN26" s="413">
        <f>COUNTIF($B$57:$B$270,$B25)</f>
        <v>26</v>
      </c>
      <c r="IO26" s="853"/>
      <c r="IP26" s="851"/>
      <c r="IQ26" s="854"/>
      <c r="IR26" s="414"/>
      <c r="IS26" s="414"/>
      <c r="IT26" s="414"/>
      <c r="IU26" s="414"/>
      <c r="IV26" s="414"/>
      <c r="IW26" s="414"/>
      <c r="IX26" s="416"/>
      <c r="IY26" s="416"/>
      <c r="IZ26" s="416"/>
      <c r="JA26" s="416"/>
      <c r="JB26" s="416"/>
      <c r="JC26" s="416"/>
      <c r="JD26" s="414"/>
      <c r="JE26" s="414"/>
      <c r="JF26" s="414"/>
      <c r="JG26" s="414"/>
      <c r="JH26" s="414">
        <f>COUNTIF($B$57:$B$270,$B25)</f>
        <v>26</v>
      </c>
      <c r="JI26" s="414">
        <f>COUNTIF($B$57:$B$270,$B25)</f>
        <v>26</v>
      </c>
      <c r="JJ26" s="414">
        <f>COUNTIFS($B$57:$B$270,$B25,JJ$57:JJ$270,"&gt;0")</f>
        <v>24</v>
      </c>
      <c r="JK26" s="414">
        <f>COUNTIFS($B$57:$B$270,$B25,JK$57:JK$270,"&gt;0")</f>
        <v>26</v>
      </c>
      <c r="JL26" s="414">
        <f>COUNTIFS($B$57:$B$270,$B25,JL$57:JL$270,"&gt;0")</f>
        <v>26</v>
      </c>
      <c r="JM26" s="414">
        <f>COUNTIFS($B$57:$B$270,$B25,JM$57:JM$270,"&gt;0")</f>
        <v>24</v>
      </c>
      <c r="JN26" s="414">
        <f>COUNTIFS($B$57:$B$270,$B25,JN$57:JN$270,"&gt;0")</f>
        <v>26</v>
      </c>
      <c r="JO26" s="414">
        <f>COUNTIFS($B$57:$B$270,$B25,JO$57:JO$270,"&lt;&gt;0")</f>
        <v>26</v>
      </c>
      <c r="JP26" s="414">
        <f>COUNTIFS($B$57:$B$270,$B25,JP$57:JP$270,"&gt;0")</f>
        <v>26</v>
      </c>
      <c r="JQ26" s="414">
        <f>COUNTIFS($B$57:$B$270,$B25,JQ$57:JQ$270,"&gt;0")</f>
        <v>26</v>
      </c>
      <c r="JR26" s="414"/>
      <c r="JS26" s="414"/>
      <c r="JT26" s="414"/>
      <c r="JU26" s="414"/>
      <c r="JV26" s="414"/>
      <c r="JW26" s="414"/>
      <c r="JX26" s="414"/>
      <c r="JY26" s="101">
        <f>COUNTIFS($B$57:$B$270,$B25,JY$57:JY$270,"&gt;0")</f>
        <v>13</v>
      </c>
      <c r="JZ26" s="414"/>
      <c r="KA26" s="414"/>
      <c r="KB26" s="414"/>
      <c r="KC26" s="414"/>
      <c r="KD26" s="414"/>
      <c r="KE26" s="414"/>
      <c r="KF26" s="414"/>
      <c r="KG26" s="414"/>
      <c r="KH26" s="414"/>
      <c r="KI26" s="101">
        <f t="shared" ref="KI26:KV26" si="297">COUNTIFS($B$57:$B$270,$B25,KI$57:KI$270,"&gt;0")</f>
        <v>13</v>
      </c>
      <c r="KJ26" s="61">
        <f t="shared" si="297"/>
        <v>26</v>
      </c>
      <c r="KK26" s="61">
        <f t="shared" si="297"/>
        <v>26</v>
      </c>
      <c r="KL26" s="61">
        <f t="shared" si="297"/>
        <v>26</v>
      </c>
      <c r="KM26" s="61">
        <f t="shared" si="297"/>
        <v>26</v>
      </c>
      <c r="KN26" s="61">
        <f t="shared" si="297"/>
        <v>26</v>
      </c>
      <c r="KO26" s="61">
        <f t="shared" si="297"/>
        <v>26</v>
      </c>
      <c r="KP26" s="61">
        <f t="shared" si="297"/>
        <v>26</v>
      </c>
      <c r="KQ26" s="61">
        <f t="shared" si="297"/>
        <v>26</v>
      </c>
      <c r="KR26" s="61">
        <f t="shared" si="297"/>
        <v>26</v>
      </c>
      <c r="KS26" s="61">
        <f t="shared" si="297"/>
        <v>26</v>
      </c>
      <c r="KT26" s="61">
        <f t="shared" si="297"/>
        <v>10</v>
      </c>
      <c r="KU26" s="61">
        <f t="shared" si="297"/>
        <v>26</v>
      </c>
      <c r="KV26" s="61">
        <f t="shared" si="297"/>
        <v>26</v>
      </c>
      <c r="KW26" s="393">
        <f>COUNTIFS($B$57:$B$270,$B25,KW$57:KW$270,"&lt;&gt;0")</f>
        <v>26</v>
      </c>
      <c r="KX26" s="108"/>
      <c r="KY26" s="421"/>
      <c r="KZ26" s="421"/>
      <c r="LA26" s="421"/>
      <c r="LB26" s="421"/>
      <c r="LQ26" s="421"/>
      <c r="LR26" s="421"/>
      <c r="LS26" s="421"/>
      <c r="LT26" s="282"/>
      <c r="LU26" s="282"/>
      <c r="LV26" s="282"/>
      <c r="LW26" s="282"/>
      <c r="LX26" s="282"/>
      <c r="LY26" s="282"/>
      <c r="LZ26" s="282"/>
      <c r="MA26" s="282"/>
      <c r="MB26" s="282"/>
      <c r="MC26" s="282"/>
      <c r="MD26" s="282"/>
      <c r="ME26" s="282"/>
      <c r="MF26" s="282"/>
      <c r="MG26" s="282"/>
      <c r="MH26" s="282"/>
      <c r="MI26" s="282"/>
      <c r="MJ26" s="282"/>
      <c r="MK26" s="282"/>
      <c r="ML26" s="282"/>
      <c r="MM26" s="1232"/>
      <c r="MN26" s="1232"/>
      <c r="MO26" s="1232"/>
      <c r="MP26" s="1232"/>
      <c r="MS26" s="421"/>
      <c r="MT26" s="421"/>
      <c r="MU26" s="421"/>
      <c r="MV26" s="421"/>
      <c r="MW26" s="421"/>
      <c r="MX26" s="421"/>
      <c r="MY26" s="421"/>
      <c r="MZ26" s="421"/>
      <c r="NA26" s="421"/>
      <c r="NB26" s="421"/>
      <c r="NC26" s="421"/>
      <c r="ND26" s="421"/>
      <c r="NE26" s="421"/>
      <c r="NF26" s="421"/>
      <c r="NG26" s="421"/>
      <c r="NH26" s="421"/>
      <c r="NI26" s="421"/>
      <c r="NJ26" s="421"/>
      <c r="NK26" s="421"/>
      <c r="NL26" s="421"/>
      <c r="OQ26" s="282"/>
      <c r="OR26" s="282"/>
      <c r="OS26" s="282"/>
      <c r="OT26" s="282"/>
      <c r="OU26" s="282"/>
      <c r="OV26" s="282"/>
      <c r="OW26" s="282"/>
      <c r="OX26" s="282"/>
      <c r="OY26" s="282"/>
      <c r="OZ26" s="282"/>
      <c r="PA26" s="282"/>
      <c r="PB26" s="282"/>
      <c r="PC26" s="282"/>
      <c r="PD26" s="282"/>
      <c r="PE26" s="282"/>
      <c r="PF26" s="282"/>
      <c r="PG26" s="282"/>
      <c r="PH26" s="282"/>
      <c r="PI26" s="282"/>
      <c r="PJ26" s="282"/>
      <c r="PK26" s="282"/>
      <c r="PL26" s="282"/>
      <c r="PM26" s="282"/>
    </row>
    <row r="27" spans="1:429" ht="18" outlineLevel="1" thickBot="1">
      <c r="A27" s="2059" t="s">
        <v>1165</v>
      </c>
      <c r="B27" s="897"/>
      <c r="C27" s="898" t="s">
        <v>383</v>
      </c>
      <c r="D27" s="897"/>
      <c r="E27" s="1531"/>
      <c r="F27" s="899">
        <f>ROUND(F25/F26,2)</f>
        <v>0.96</v>
      </c>
      <c r="G27" s="899">
        <f>ROUND(G25/G26,2)</f>
        <v>0.38</v>
      </c>
      <c r="H27" s="900">
        <f>ROUND(H25/H26,-1)</f>
        <v>470</v>
      </c>
      <c r="I27" s="900">
        <f>ROUND(I25/I26,-1)</f>
        <v>300</v>
      </c>
      <c r="J27" s="900">
        <f>ROUND(J25/J26,-1)</f>
        <v>750</v>
      </c>
      <c r="K27" s="916">
        <f>ROUND(K25/K26,-1)</f>
        <v>570</v>
      </c>
      <c r="L27" s="1083"/>
      <c r="M27" s="1084"/>
      <c r="N27" s="1085"/>
      <c r="O27" s="1084"/>
      <c r="P27" s="1084"/>
      <c r="Q27" s="901">
        <f t="shared" ref="Q27:X27" si="298">ROUND(Q25/Q26,-2)</f>
        <v>3200</v>
      </c>
      <c r="R27" s="901">
        <f t="shared" si="298"/>
        <v>108300</v>
      </c>
      <c r="S27" s="901">
        <f t="shared" si="298"/>
        <v>111400</v>
      </c>
      <c r="T27" s="1069"/>
      <c r="U27" s="1069"/>
      <c r="V27" s="1069"/>
      <c r="W27" s="901">
        <f t="shared" si="298"/>
        <v>15600</v>
      </c>
      <c r="X27" s="1389">
        <f t="shared" si="298"/>
        <v>14200</v>
      </c>
      <c r="Y27" s="1388"/>
      <c r="Z27" s="1388"/>
      <c r="AA27" s="1389">
        <f>ROUND(AA25/AA26,-1)</f>
        <v>1430</v>
      </c>
      <c r="AB27" s="1389">
        <f>ROUND(AB25/AB26,2)</f>
        <v>0.1</v>
      </c>
      <c r="AC27" s="1390"/>
      <c r="AD27" s="1391"/>
      <c r="AE27" s="1392">
        <f>ROUND(AE25/AE26,2)</f>
        <v>0.88</v>
      </c>
      <c r="AF27" s="1394">
        <f>ROUND(AF25/AF26,-2)</f>
        <v>2500</v>
      </c>
      <c r="AG27" s="1393"/>
      <c r="AH27" s="1392">
        <f>ROUND(AH25/AH26,2)</f>
        <v>0</v>
      </c>
      <c r="AI27" s="1389">
        <f>IF(AI25=0,0,ROUND(AI25/AI26,-1))</f>
        <v>0</v>
      </c>
      <c r="AJ27" s="1388"/>
      <c r="AK27" s="1392">
        <f>ROUND(AK25/AK26,2)</f>
        <v>0.38</v>
      </c>
      <c r="AL27" s="1394">
        <f>IF(AL25=0,0,ROUND(AL25/AL26,-1))</f>
        <v>2450</v>
      </c>
      <c r="AM27" s="1395">
        <f>X27+AF27+AI27+AL27</f>
        <v>19150</v>
      </c>
      <c r="AN27" s="1388">
        <f>Z27+AG27+AJ27</f>
        <v>0</v>
      </c>
      <c r="AO27" s="1395">
        <f>SW_fb_min_amt</f>
        <v>1300</v>
      </c>
      <c r="AP27" s="1395">
        <f>ROUND(EP27*12,-2)</f>
        <v>800</v>
      </c>
      <c r="AQ27" s="1395">
        <f>+AM27+AO27+AP27</f>
        <v>21250</v>
      </c>
      <c r="AR27" s="903">
        <f>ROUND(Z27+AG27+AJ27,-2)</f>
        <v>0</v>
      </c>
      <c r="AS27" s="1124"/>
      <c r="AT27" s="1124"/>
      <c r="AU27" s="1124"/>
      <c r="AV27" s="1124"/>
      <c r="AW27" s="1068"/>
      <c r="AX27" s="899">
        <f>ROUND(AX25/AX26,2)</f>
        <v>0.38</v>
      </c>
      <c r="AY27" s="899">
        <f>ROUND(AY25/AY26,2)</f>
        <v>0.23</v>
      </c>
      <c r="AZ27" s="899">
        <f>ROUND(AZ25/AZ26,2)</f>
        <v>0.15</v>
      </c>
      <c r="BA27" s="899">
        <f>ROUND(BA25/BA26,2)</f>
        <v>0.08</v>
      </c>
      <c r="BB27" s="899">
        <f t="shared" ref="BB27:BC27" si="299">ROUND(BB25/BB26,2)</f>
        <v>0</v>
      </c>
      <c r="BC27" s="899">
        <f t="shared" si="299"/>
        <v>0.04</v>
      </c>
      <c r="BD27" s="899">
        <f>ROUND(BD25/BD26,2)</f>
        <v>0.04</v>
      </c>
      <c r="BE27" s="899">
        <f t="shared" ref="BE27" si="300">ROUND(BE25/BE26,2)</f>
        <v>0.5</v>
      </c>
      <c r="BF27" s="900">
        <f t="shared" ref="BF27:BK27" si="301">ROUND(BF25/BF26,-2)</f>
        <v>7388200</v>
      </c>
      <c r="BG27" s="901">
        <f t="shared" si="301"/>
        <v>1849900</v>
      </c>
      <c r="BH27" s="901">
        <f t="shared" si="301"/>
        <v>5851800</v>
      </c>
      <c r="BI27" s="1266">
        <f t="shared" si="301"/>
        <v>30546700</v>
      </c>
      <c r="BJ27" s="901">
        <f t="shared" si="301"/>
        <v>3728600</v>
      </c>
      <c r="BK27" s="901">
        <f t="shared" si="301"/>
        <v>2463200</v>
      </c>
      <c r="BL27" s="904">
        <f>ROUND(BJ27/BK27,2)</f>
        <v>1.51</v>
      </c>
      <c r="BM27" s="899">
        <f>ROUND(BM25/BM26,2)</f>
        <v>0.92</v>
      </c>
      <c r="BN27" s="901">
        <f>ROUND(BN25/BN26,-2)</f>
        <v>6629800</v>
      </c>
      <c r="BO27" s="1135"/>
      <c r="BP27" s="901">
        <f t="shared" ref="BP27:BQ27" si="302">ROUND(BP25/BP26,-2)</f>
        <v>6700900</v>
      </c>
      <c r="BQ27" s="901">
        <f t="shared" si="302"/>
        <v>5587100</v>
      </c>
      <c r="BR27" s="1219">
        <f>ROUND(BR25/BR26,1)</f>
        <v>1.2</v>
      </c>
      <c r="BS27" s="899">
        <f>ROUND(BS25/BS26,2)</f>
        <v>0.57999999999999996</v>
      </c>
      <c r="BT27" s="901">
        <f t="shared" ref="BT27:BU27" si="303">ROUND(BT25/BT26,-2)</f>
        <v>11828600</v>
      </c>
      <c r="BU27" s="901">
        <f t="shared" si="303"/>
        <v>30042000</v>
      </c>
      <c r="BV27" s="1219">
        <f>ROUND(BV25/BV26,1)</f>
        <v>0.5</v>
      </c>
      <c r="BW27" s="916">
        <f>IF(BN27=0,0,+IF(K27=0,0,ROUND(BN27/K27,-1)))</f>
        <v>11630</v>
      </c>
      <c r="BX27" s="916">
        <f>IF(BJ27=0,0,+IF(K27=0,0,ROUND(BJ27/K27,-1)))</f>
        <v>6540</v>
      </c>
      <c r="BY27" s="916">
        <f>IF(BH27=0,0,+IF(K27=0,0,ROUND(BH27/K27,-1)))</f>
        <v>10270</v>
      </c>
      <c r="BZ27" s="900">
        <f t="shared" ref="BZ27:CI27" si="304">ROUND(BZ25/BZ26,-3)</f>
        <v>1750000</v>
      </c>
      <c r="CA27" s="900">
        <f t="shared" si="304"/>
        <v>132000</v>
      </c>
      <c r="CB27" s="900">
        <f t="shared" si="304"/>
        <v>714000</v>
      </c>
      <c r="CC27" s="900">
        <f t="shared" si="304"/>
        <v>305000</v>
      </c>
      <c r="CD27" s="900">
        <f t="shared" si="304"/>
        <v>8140000</v>
      </c>
      <c r="CE27" s="900">
        <f t="shared" si="304"/>
        <v>0</v>
      </c>
      <c r="CF27" s="900">
        <f t="shared" si="304"/>
        <v>41000</v>
      </c>
      <c r="CG27" s="900">
        <f t="shared" si="304"/>
        <v>1855000</v>
      </c>
      <c r="CH27" s="900">
        <f t="shared" si="304"/>
        <v>1061000</v>
      </c>
      <c r="CI27" s="900">
        <f t="shared" si="304"/>
        <v>273000</v>
      </c>
      <c r="CJ27" s="905">
        <f>SUM(BZ27:CI27)</f>
        <v>14271000</v>
      </c>
      <c r="CK27" s="906">
        <f t="shared" ref="CK27:CS27" si="305">ROUND(BZ27/$CJ27,3)</f>
        <v>0.123</v>
      </c>
      <c r="CL27" s="906">
        <f t="shared" si="305"/>
        <v>8.9999999999999993E-3</v>
      </c>
      <c r="CM27" s="906">
        <f t="shared" si="305"/>
        <v>0.05</v>
      </c>
      <c r="CN27" s="906">
        <f t="shared" si="305"/>
        <v>2.1000000000000001E-2</v>
      </c>
      <c r="CO27" s="906">
        <f t="shared" si="305"/>
        <v>0.56999999999999995</v>
      </c>
      <c r="CP27" s="906">
        <f t="shared" si="305"/>
        <v>0</v>
      </c>
      <c r="CQ27" s="906">
        <f t="shared" si="305"/>
        <v>3.0000000000000001E-3</v>
      </c>
      <c r="CR27" s="906">
        <f t="shared" si="305"/>
        <v>0.13</v>
      </c>
      <c r="CS27" s="906">
        <f t="shared" si="305"/>
        <v>7.3999999999999996E-2</v>
      </c>
      <c r="CT27" s="906">
        <f>ROUND(CI27/$CJ27,3)</f>
        <v>1.9E-2</v>
      </c>
      <c r="CU27" s="906">
        <f>ROUND(CJ27/$CJ27,3)</f>
        <v>1</v>
      </c>
      <c r="CV27" s="900">
        <f t="shared" ref="CV27:DB27" si="306">ROUND(CV25/CV26,-3)</f>
        <v>7346000</v>
      </c>
      <c r="CW27" s="900">
        <f t="shared" si="306"/>
        <v>1286000</v>
      </c>
      <c r="CX27" s="900">
        <f t="shared" si="306"/>
        <v>501000</v>
      </c>
      <c r="CY27" s="900">
        <f t="shared" si="306"/>
        <v>4335000</v>
      </c>
      <c r="CZ27" s="900">
        <f t="shared" si="306"/>
        <v>186000</v>
      </c>
      <c r="DA27" s="900">
        <f t="shared" si="306"/>
        <v>351000</v>
      </c>
      <c r="DB27" s="900">
        <f t="shared" si="306"/>
        <v>14004000</v>
      </c>
      <c r="DC27" s="906">
        <f t="shared" ref="DC27:DI27" si="307">ROUND(CV27/$DB27,3)</f>
        <v>0.52500000000000002</v>
      </c>
      <c r="DD27" s="906">
        <f t="shared" si="307"/>
        <v>9.1999999999999998E-2</v>
      </c>
      <c r="DE27" s="906">
        <f t="shared" si="307"/>
        <v>3.5999999999999997E-2</v>
      </c>
      <c r="DF27" s="906">
        <f t="shared" si="307"/>
        <v>0.31</v>
      </c>
      <c r="DG27" s="906">
        <f t="shared" si="307"/>
        <v>1.2999999999999999E-2</v>
      </c>
      <c r="DH27" s="906">
        <f t="shared" si="307"/>
        <v>2.5000000000000001E-2</v>
      </c>
      <c r="DI27" s="906">
        <f t="shared" si="307"/>
        <v>1</v>
      </c>
      <c r="DJ27" s="907">
        <f>CJ27-DB27</f>
        <v>267000</v>
      </c>
      <c r="DK27" s="917">
        <f t="shared" ref="DK27:DT27" si="308">IF(BZ27=0,0,+IF($K27=0,0,ROUND(BZ27/$K27,-1)))</f>
        <v>3070</v>
      </c>
      <c r="DL27" s="917">
        <f t="shared" si="308"/>
        <v>230</v>
      </c>
      <c r="DM27" s="917">
        <f t="shared" si="308"/>
        <v>1250</v>
      </c>
      <c r="DN27" s="917">
        <f t="shared" si="308"/>
        <v>540</v>
      </c>
      <c r="DO27" s="917">
        <f t="shared" si="308"/>
        <v>14280</v>
      </c>
      <c r="DP27" s="917">
        <f t="shared" si="308"/>
        <v>0</v>
      </c>
      <c r="DQ27" s="917">
        <f t="shared" si="308"/>
        <v>70</v>
      </c>
      <c r="DR27" s="917">
        <f t="shared" si="308"/>
        <v>3250</v>
      </c>
      <c r="DS27" s="917">
        <f t="shared" si="308"/>
        <v>1860</v>
      </c>
      <c r="DT27" s="917">
        <f t="shared" si="308"/>
        <v>480</v>
      </c>
      <c r="DU27" s="917">
        <f>SUM(DK27:DT27)</f>
        <v>25030</v>
      </c>
      <c r="DV27" s="917">
        <f t="shared" ref="DV27:EA27" si="309">IF(CV27=0,0,+IF($K27=0,0,ROUND(CV27/$K27,-1)))</f>
        <v>12890</v>
      </c>
      <c r="DW27" s="917">
        <f t="shared" si="309"/>
        <v>2260</v>
      </c>
      <c r="DX27" s="917">
        <f t="shared" si="309"/>
        <v>880</v>
      </c>
      <c r="DY27" s="917">
        <f t="shared" si="309"/>
        <v>7610</v>
      </c>
      <c r="DZ27" s="917">
        <f t="shared" si="309"/>
        <v>330</v>
      </c>
      <c r="EA27" s="917">
        <f t="shared" si="309"/>
        <v>620</v>
      </c>
      <c r="EB27" s="917">
        <f>SUM(DV27:EA27)</f>
        <v>24590</v>
      </c>
      <c r="EC27" s="919">
        <f>DU27-EB27</f>
        <v>440</v>
      </c>
      <c r="ED27" s="901">
        <f>ROUND(ED25/ED26,0)</f>
        <v>136</v>
      </c>
      <c r="EE27" s="899">
        <f>ROUND(EE25/EE26,2)</f>
        <v>0.69</v>
      </c>
      <c r="EF27" s="901">
        <f>ROUND(EF25/EF26,0)</f>
        <v>29</v>
      </c>
      <c r="EG27" s="901">
        <f>ROUND(EG25/EG26,-1)</f>
        <v>209920</v>
      </c>
      <c r="EH27" s="899">
        <f>ROUND(EH25/EH26,2)</f>
        <v>1</v>
      </c>
      <c r="EI27" s="899">
        <f>ROUND(EI25/EI26,2)</f>
        <v>0.09</v>
      </c>
      <c r="EJ27" s="918">
        <f>IF(K27=0,0,+IF(ED27=0,0,ROUND(K27/ED27,1)))</f>
        <v>4.2</v>
      </c>
      <c r="EK27" s="899">
        <f>ROUND(EK25/EK26,2)</f>
        <v>0.62</v>
      </c>
      <c r="EL27" s="901">
        <f>ROUND(EL25/EL26,-2)</f>
        <v>1300</v>
      </c>
      <c r="EM27" s="899">
        <f>ROUND(EM25/EM26,2)</f>
        <v>0.77</v>
      </c>
      <c r="EN27" s="897">
        <f>ROUND(EN25/EN26,2)</f>
        <v>0.2</v>
      </c>
      <c r="EO27" s="899">
        <f>ROUND(EO25/EO26,2)</f>
        <v>0.15</v>
      </c>
      <c r="EP27" s="901">
        <f>ROUND(EP25/EP26,-1)</f>
        <v>70</v>
      </c>
      <c r="EQ27" s="899">
        <f>ROUND(EQ25/EQ26,2)</f>
        <v>0.04</v>
      </c>
      <c r="ER27" s="899">
        <f>ROUND(ER25/ER26,2)</f>
        <v>0.08</v>
      </c>
      <c r="ES27" s="917">
        <f>IF(FE27=0,0,+IF(K27=0,0,ROUND(FE27/K27,-2)))</f>
        <v>5100</v>
      </c>
      <c r="ET27" s="919">
        <f>IF(FY27=0,0,+IF(K27=0,0,ROUND(FY27/K27,-1)))</f>
        <v>-1960</v>
      </c>
      <c r="EU27" s="900">
        <f>COUNTIFS($B$57:$B$270,$B25,EU$57:EU$270,"&gt;2")</f>
        <v>4</v>
      </c>
      <c r="EV27" s="900">
        <f t="shared" ref="EV27:EZ27" si="310">ROUND(EV25/EV26,-2)</f>
        <v>69200</v>
      </c>
      <c r="EW27" s="900">
        <f t="shared" si="310"/>
        <v>9100</v>
      </c>
      <c r="EX27" s="900">
        <f>COUNTIFS($B$57:$B$270,$B25,EX$57:EX$270,2)</f>
        <v>4</v>
      </c>
      <c r="EY27" s="908">
        <f t="shared" si="310"/>
        <v>1855300</v>
      </c>
      <c r="EZ27" s="908">
        <f t="shared" si="310"/>
        <v>859500</v>
      </c>
      <c r="FA27" s="909">
        <f>EY27-EZ27</f>
        <v>995800</v>
      </c>
      <c r="FB27" s="908">
        <f>ROUND(FB25/FB26,-2)</f>
        <v>1061100</v>
      </c>
      <c r="FC27" s="908">
        <f>ROUND(FC25/FC26,-2)</f>
        <v>426700</v>
      </c>
      <c r="FD27" s="909">
        <f>FB27-FC27</f>
        <v>634400</v>
      </c>
      <c r="FE27" s="909">
        <f>EY27+FB27</f>
        <v>2916400</v>
      </c>
      <c r="FF27" s="909">
        <f>EZ27+FC27</f>
        <v>1286200</v>
      </c>
      <c r="FG27" s="909">
        <f>FE27-FF27</f>
        <v>1630200</v>
      </c>
      <c r="FH27" s="906">
        <f>ROUND(EY27/$EY27,3)</f>
        <v>1</v>
      </c>
      <c r="FI27" s="906">
        <f>ROUND(EZ27/$EY27,3)</f>
        <v>0.46300000000000002</v>
      </c>
      <c r="FJ27" s="906">
        <f>ROUND(FA27/$EY27,3)</f>
        <v>0.53700000000000003</v>
      </c>
      <c r="FK27" s="906">
        <f>ROUND(FB27/$FB27,3)</f>
        <v>1</v>
      </c>
      <c r="FL27" s="906">
        <f>ROUND(FC27/$FB27,3)</f>
        <v>0.40200000000000002</v>
      </c>
      <c r="FM27" s="906">
        <f>ROUND(FD27/$FB27,3)</f>
        <v>0.59799999999999998</v>
      </c>
      <c r="FN27" s="906">
        <f>ROUND(FE27/$FE27,3)</f>
        <v>1</v>
      </c>
      <c r="FO27" s="906">
        <f>ROUND(FF27/$FE27,3)</f>
        <v>0.441</v>
      </c>
      <c r="FP27" s="906">
        <f>ROUND(FG27/$FE27,3)</f>
        <v>0.55900000000000005</v>
      </c>
      <c r="FQ27" s="908">
        <f t="shared" ref="FQ27:FW27" si="311">ROUND(FQ25/FQ26,-2)</f>
        <v>1901500</v>
      </c>
      <c r="FR27" s="893">
        <f t="shared" si="311"/>
        <v>-88800</v>
      </c>
      <c r="FS27" s="908">
        <f t="shared" si="311"/>
        <v>404500</v>
      </c>
      <c r="FT27" s="908">
        <f t="shared" si="311"/>
        <v>40400</v>
      </c>
      <c r="FU27" s="908">
        <f t="shared" si="311"/>
        <v>48800</v>
      </c>
      <c r="FV27" s="908">
        <f t="shared" si="311"/>
        <v>25400</v>
      </c>
      <c r="FW27" s="908">
        <f t="shared" si="311"/>
        <v>414000</v>
      </c>
      <c r="FX27" s="909">
        <f>SUM(FQ27:FW27)</f>
        <v>2745800</v>
      </c>
      <c r="FY27" s="910">
        <f>ROUND(FG27-FX27,-2)</f>
        <v>-1115600</v>
      </c>
      <c r="FZ27" s="906">
        <f t="shared" ref="FZ27:GH27" si="312">ROUND(FQ27/$FE27,3)</f>
        <v>0.65200000000000002</v>
      </c>
      <c r="GA27" s="906">
        <f t="shared" si="312"/>
        <v>-0.03</v>
      </c>
      <c r="GB27" s="906">
        <f t="shared" si="312"/>
        <v>0.13900000000000001</v>
      </c>
      <c r="GC27" s="906">
        <f t="shared" si="312"/>
        <v>1.4E-2</v>
      </c>
      <c r="GD27" s="906">
        <f t="shared" si="312"/>
        <v>1.7000000000000001E-2</v>
      </c>
      <c r="GE27" s="906">
        <f t="shared" si="312"/>
        <v>8.9999999999999993E-3</v>
      </c>
      <c r="GF27" s="906">
        <f t="shared" si="312"/>
        <v>0.14199999999999999</v>
      </c>
      <c r="GG27" s="906">
        <f t="shared" si="312"/>
        <v>0.94199999999999995</v>
      </c>
      <c r="GH27" s="906">
        <f t="shared" si="312"/>
        <v>-0.38300000000000001</v>
      </c>
      <c r="GI27" s="911">
        <f>ROUND(EY27/FB27,2)</f>
        <v>1.75</v>
      </c>
      <c r="GJ27" s="899">
        <f>ROUND(GJ25/GJ26,2)</f>
        <v>0.81</v>
      </c>
      <c r="GK27" s="895">
        <f>ROUND(GK25/GK26,2)</f>
        <v>0.09</v>
      </c>
      <c r="GL27" s="899">
        <f>ROUND(GL25/GL26,2)</f>
        <v>0.65</v>
      </c>
      <c r="GM27" s="895">
        <f>ROUND(GM25/GM26,2)</f>
        <v>7.0000000000000007E-2</v>
      </c>
      <c r="GN27" s="900">
        <f>ROUND(GN25/GN26,0)</f>
        <v>18</v>
      </c>
      <c r="GO27" s="900">
        <f>ROUND(GO25/GO26,0)</f>
        <v>105</v>
      </c>
      <c r="GP27" s="900">
        <f t="shared" ref="GP27:GV27" si="313">ROUND(GP25/GP26,-2)</f>
        <v>30700</v>
      </c>
      <c r="GQ27" s="900">
        <f t="shared" si="313"/>
        <v>982800</v>
      </c>
      <c r="GR27" s="900">
        <f t="shared" si="313"/>
        <v>192400</v>
      </c>
      <c r="GS27" s="900">
        <f t="shared" si="313"/>
        <v>559100</v>
      </c>
      <c r="GT27" s="900">
        <f t="shared" si="313"/>
        <v>180600</v>
      </c>
      <c r="GU27" s="900">
        <f t="shared" si="313"/>
        <v>76800</v>
      </c>
      <c r="GV27" s="900">
        <f t="shared" si="313"/>
        <v>244200</v>
      </c>
      <c r="GW27" s="912">
        <f>SUM(GQ27:GV27)</f>
        <v>2235900</v>
      </c>
      <c r="GX27" s="913">
        <f>IF(GW27=0,0,ROUND(GW27/GN27,-2))</f>
        <v>124200</v>
      </c>
      <c r="GY27" s="914">
        <f>IF(GW27=0,0,ROUND(GW27/GO27,-2))</f>
        <v>21300</v>
      </c>
      <c r="GZ27" s="915">
        <f t="shared" ref="GZ27:HE27" si="314">ROUND(GQ27/$GW27,3)</f>
        <v>0.44</v>
      </c>
      <c r="HA27" s="915">
        <f t="shared" si="314"/>
        <v>8.5999999999999993E-2</v>
      </c>
      <c r="HB27" s="915">
        <f t="shared" si="314"/>
        <v>0.25</v>
      </c>
      <c r="HC27" s="915">
        <f>ROUND(GT27/$GW27,3)+0.1%</f>
        <v>8.2000000000000003E-2</v>
      </c>
      <c r="HD27" s="915">
        <f t="shared" si="314"/>
        <v>3.4000000000000002E-2</v>
      </c>
      <c r="HE27" s="915">
        <f t="shared" si="314"/>
        <v>0.109</v>
      </c>
      <c r="HF27" s="915">
        <f>SUM(GZ27:HE27)</f>
        <v>1.0010000000000001</v>
      </c>
      <c r="HG27" s="900">
        <f>ROUND(HG25/HG26,0)</f>
        <v>42</v>
      </c>
      <c r="HH27" s="900">
        <f>ROUND(HH25/HH26,0)</f>
        <v>282</v>
      </c>
      <c r="HI27" s="900">
        <f t="shared" ref="HI27:HP27" si="315">ROUND(HI25/HI26,-2)</f>
        <v>62300</v>
      </c>
      <c r="HJ27" s="900">
        <f t="shared" si="315"/>
        <v>2137700</v>
      </c>
      <c r="HK27" s="900">
        <f t="shared" si="315"/>
        <v>395700</v>
      </c>
      <c r="HL27" s="900">
        <f t="shared" si="315"/>
        <v>1233900</v>
      </c>
      <c r="HM27" s="900">
        <f t="shared" si="315"/>
        <v>301400</v>
      </c>
      <c r="HN27" s="900">
        <f t="shared" si="315"/>
        <v>53700</v>
      </c>
      <c r="HO27" s="900">
        <f t="shared" si="315"/>
        <v>551600</v>
      </c>
      <c r="HP27" s="900">
        <f t="shared" si="315"/>
        <v>4674000</v>
      </c>
      <c r="HQ27" s="913">
        <f>ROUND(HP27/HG27,-2)</f>
        <v>111300</v>
      </c>
      <c r="HR27" s="914">
        <f>IF(HP27=0,0,ROUND(HP27/HH27,-1))</f>
        <v>16570</v>
      </c>
      <c r="HS27" s="915">
        <f>ROUND(HJ27/$HP27,3)</f>
        <v>0.45700000000000002</v>
      </c>
      <c r="HT27" s="915">
        <f>ROUND(HK27/$HP27,3)</f>
        <v>8.5000000000000006E-2</v>
      </c>
      <c r="HU27" s="915">
        <f>ROUND(HL27/$HP27,3)</f>
        <v>0.26400000000000001</v>
      </c>
      <c r="HV27" s="915">
        <f>ROUND(HM27/$HP27,3)</f>
        <v>6.4000000000000001E-2</v>
      </c>
      <c r="HW27" s="915">
        <f>ROUND(HN27/$HP27,3)</f>
        <v>1.0999999999999999E-2</v>
      </c>
      <c r="HX27" s="915">
        <f>ROUND(HO27/$HP27,3)-0.1%</f>
        <v>0.11699999999999999</v>
      </c>
      <c r="HY27" s="915">
        <f>SUM(HS27:HX27)</f>
        <v>0.99800000000000011</v>
      </c>
      <c r="HZ27" s="51"/>
      <c r="IA27" s="906">
        <f>ROUND(Q27/S27,2)</f>
        <v>0.03</v>
      </c>
      <c r="IB27" s="906"/>
      <c r="IC27" s="892">
        <f>ROUND(IC25/IC26,2)</f>
        <v>1</v>
      </c>
      <c r="ID27" s="892"/>
      <c r="IE27" s="892">
        <f>ROUND(IE25/IE26,2)</f>
        <v>0</v>
      </c>
      <c r="IF27" s="892"/>
      <c r="IG27" s="894">
        <f>ROUND(IF(BI27=0,0,+IF(K27=0,0,BI27/K27)),-1)</f>
        <v>53590</v>
      </c>
      <c r="IH27" s="894">
        <f>ROUND(IF(BU27=0,0,+IF(K27=0,0,BU27/K27)),-1)</f>
        <v>52710</v>
      </c>
      <c r="II27" s="1219">
        <f>ROUND(II25/II26,1)</f>
        <v>1.5</v>
      </c>
      <c r="IJ27" s="1219">
        <f>ROUND(IJ25/IJ26,1)</f>
        <v>0.8</v>
      </c>
      <c r="IK27" s="892">
        <f>ROUND(IK25/IK26,2)</f>
        <v>0.27</v>
      </c>
      <c r="IL27" s="892">
        <f>ROUND(IL25/IL26,2)</f>
        <v>0.04</v>
      </c>
      <c r="IM27" s="892">
        <f>ROUND(IM25/IM26,2)</f>
        <v>0.5</v>
      </c>
      <c r="IN27" s="892">
        <f>ROUND(IN25/IN26,2)</f>
        <v>0</v>
      </c>
      <c r="IO27" s="920">
        <f>ROUND(FY27/$J27,-1)</f>
        <v>-1490</v>
      </c>
      <c r="IP27" s="1188">
        <f>IF(K27=0,0,ROUND(FY27/K27,-1))</f>
        <v>-1960</v>
      </c>
      <c r="IQ27" s="921">
        <f>IF(FY27=0,0,+IF(CD27=0,0,FY27/CD27))</f>
        <v>-0.13705159705159706</v>
      </c>
      <c r="IR27" s="922">
        <f>EY27</f>
        <v>1855300</v>
      </c>
      <c r="IS27" s="922">
        <f>FB27</f>
        <v>1061100</v>
      </c>
      <c r="IT27" s="922">
        <f>FQ27</f>
        <v>1901500</v>
      </c>
      <c r="IU27" s="922">
        <f>FS27+FT27</f>
        <v>444900</v>
      </c>
      <c r="IV27" s="922">
        <f>FF27</f>
        <v>1286200</v>
      </c>
      <c r="IW27" s="922">
        <f>SUM(FU27:FW27)+FR27</f>
        <v>399400</v>
      </c>
      <c r="IX27" s="906">
        <f t="shared" ref="IX27:JC27" si="316">IF(IR27=0,0,ROUND(IR27/(SUM($IR27:$IS27)),3))</f>
        <v>0.63600000000000001</v>
      </c>
      <c r="IY27" s="906">
        <f t="shared" si="316"/>
        <v>0.36399999999999999</v>
      </c>
      <c r="IZ27" s="906">
        <f t="shared" si="316"/>
        <v>0.65200000000000002</v>
      </c>
      <c r="JA27" s="906">
        <f t="shared" si="316"/>
        <v>0.153</v>
      </c>
      <c r="JB27" s="906">
        <f t="shared" si="316"/>
        <v>0.441</v>
      </c>
      <c r="JC27" s="906">
        <f t="shared" si="316"/>
        <v>0.13700000000000001</v>
      </c>
      <c r="JD27" s="923">
        <f>CD27+CE27+CF27</f>
        <v>8181000</v>
      </c>
      <c r="JE27" s="923">
        <f>BZ27+CA27+CB27+CC27</f>
        <v>2901000</v>
      </c>
      <c r="JF27" s="923">
        <f>JD27+JE27+CG27+CH27+CI27-CJ27</f>
        <v>0</v>
      </c>
      <c r="JG27" s="923">
        <f>CZ27+DA27</f>
        <v>537000</v>
      </c>
      <c r="JH27" s="924">
        <f t="shared" ref="JH27:JQ27" si="317">ROUND(JH25/JH26,2)</f>
        <v>0.62</v>
      </c>
      <c r="JI27" s="924">
        <f t="shared" si="317"/>
        <v>0.92</v>
      </c>
      <c r="JJ27" s="924">
        <f t="shared" si="317"/>
        <v>0.71</v>
      </c>
      <c r="JK27" s="924">
        <f t="shared" si="317"/>
        <v>0.52</v>
      </c>
      <c r="JL27" s="924">
        <f t="shared" si="317"/>
        <v>0.09</v>
      </c>
      <c r="JM27" s="924">
        <f t="shared" si="317"/>
        <v>0.04</v>
      </c>
      <c r="JN27" s="924">
        <f t="shared" si="317"/>
        <v>0.31</v>
      </c>
      <c r="JO27" s="924">
        <f t="shared" si="317"/>
        <v>0.01</v>
      </c>
      <c r="JP27" s="924">
        <f t="shared" si="317"/>
        <v>0.03</v>
      </c>
      <c r="JQ27" s="924">
        <f t="shared" si="317"/>
        <v>0.99</v>
      </c>
      <c r="JR27" s="905">
        <f t="shared" ref="JR27:JW27" si="318">ROUND(GQ27/$GN27,-2)</f>
        <v>54600</v>
      </c>
      <c r="JS27" s="905">
        <f t="shared" si="318"/>
        <v>10700</v>
      </c>
      <c r="JT27" s="905">
        <f t="shared" si="318"/>
        <v>31100</v>
      </c>
      <c r="JU27" s="905">
        <f t="shared" si="318"/>
        <v>10000</v>
      </c>
      <c r="JV27" s="905">
        <f t="shared" si="318"/>
        <v>4300</v>
      </c>
      <c r="JW27" s="905">
        <f t="shared" si="318"/>
        <v>13600</v>
      </c>
      <c r="JX27" s="905">
        <f>GW27/GP27</f>
        <v>72.830618892508141</v>
      </c>
      <c r="JY27" s="925">
        <f>ROUND(JY25/JY26,2)</f>
        <v>0.26</v>
      </c>
      <c r="JZ27" s="905">
        <f t="shared" ref="JZ27:KE27" si="319">ROUND(HJ27/$HG27,-2)</f>
        <v>50900</v>
      </c>
      <c r="KA27" s="905">
        <f t="shared" si="319"/>
        <v>9400</v>
      </c>
      <c r="KB27" s="905">
        <f t="shared" si="319"/>
        <v>29400</v>
      </c>
      <c r="KC27" s="905">
        <f t="shared" si="319"/>
        <v>7200</v>
      </c>
      <c r="KD27" s="905">
        <f t="shared" si="319"/>
        <v>1300</v>
      </c>
      <c r="KE27" s="905">
        <f t="shared" si="319"/>
        <v>13100</v>
      </c>
      <c r="KF27" s="905">
        <f>ROUND(HI27/HG27*18,-2)</f>
        <v>26700</v>
      </c>
      <c r="KG27" s="905">
        <f>ROUND(HH27/HG27*36,0)</f>
        <v>242</v>
      </c>
      <c r="KH27" s="905">
        <f>ROUND(HP27/HI27,0)</f>
        <v>75</v>
      </c>
      <c r="KI27" s="925">
        <f>ROUND(KI25/KI26,2)</f>
        <v>0.25</v>
      </c>
      <c r="KJ27" s="894">
        <f>IF(KJ25=0,0,ROUND(KJ25/KJ26,-2))</f>
        <v>0</v>
      </c>
      <c r="KK27" s="894">
        <f>IF(KK25=0,0,ROUND(KK25/KK26,-2))</f>
        <v>46500</v>
      </c>
      <c r="KL27" s="894">
        <f>IF(KL25=0,0,ROUND(KL25/KL26,-2))</f>
        <v>200</v>
      </c>
      <c r="KM27" s="894">
        <f>IF(KM25=0,0,ROUND(KM25/KM26,-2))</f>
        <v>117900</v>
      </c>
      <c r="KN27" s="894">
        <f>IF(KN25=0,0,ROUND(KN25/KN26,-2))</f>
        <v>100</v>
      </c>
      <c r="KO27" s="894">
        <f t="shared" ref="KO27:KT27" si="320">IF(KO25=0,0,ROUND(KO25/KO26,-2))</f>
        <v>20100</v>
      </c>
      <c r="KP27" s="894">
        <f t="shared" si="320"/>
        <v>1560200</v>
      </c>
      <c r="KQ27" s="894">
        <f t="shared" si="320"/>
        <v>294100</v>
      </c>
      <c r="KR27" s="894">
        <f t="shared" si="320"/>
        <v>896500</v>
      </c>
      <c r="KS27" s="894">
        <f t="shared" si="320"/>
        <v>241000</v>
      </c>
      <c r="KT27" s="894">
        <f t="shared" si="320"/>
        <v>169700</v>
      </c>
      <c r="KU27" s="894">
        <f t="shared" ref="KU27" si="321">IF(KU25=0,0,ROUND(KU25/KU26,-2))</f>
        <v>397900</v>
      </c>
      <c r="KV27" s="896">
        <f>ROUND(KV25/KV26,3)</f>
        <v>0.25800000000000001</v>
      </c>
      <c r="KW27" s="926">
        <f>ROUND(KW25/KW26,3)</f>
        <v>-0.39200000000000002</v>
      </c>
      <c r="KX27" s="108"/>
      <c r="KY27" s="421"/>
      <c r="KZ27" s="421"/>
      <c r="LA27" s="421"/>
      <c r="LB27" s="421"/>
      <c r="LQ27" s="421"/>
      <c r="LR27" s="421"/>
      <c r="LS27" s="421"/>
      <c r="LT27" s="282"/>
      <c r="LU27" s="282"/>
      <c r="LV27" s="282"/>
      <c r="LW27" s="282"/>
      <c r="LX27" s="282"/>
      <c r="LY27" s="282"/>
      <c r="LZ27" s="282"/>
      <c r="MA27" s="282"/>
      <c r="MB27" s="282"/>
      <c r="MC27" s="282"/>
      <c r="MD27" s="282"/>
      <c r="ME27" s="282"/>
      <c r="MF27" s="282"/>
      <c r="MG27" s="282"/>
      <c r="MH27" s="282"/>
      <c r="MI27" s="282"/>
      <c r="MJ27" s="282"/>
      <c r="MK27" s="282"/>
      <c r="ML27" s="282"/>
      <c r="MM27" s="1232"/>
      <c r="MN27" s="1232"/>
      <c r="MO27" s="1232"/>
      <c r="MP27" s="1232"/>
      <c r="MS27" s="421"/>
      <c r="MT27" s="421"/>
      <c r="MU27" s="421"/>
      <c r="MV27" s="421"/>
      <c r="MW27" s="421"/>
      <c r="MX27" s="421"/>
      <c r="MY27" s="421"/>
      <c r="MZ27" s="421"/>
      <c r="NA27" s="421"/>
      <c r="NB27" s="421"/>
      <c r="NC27" s="421"/>
      <c r="ND27" s="421"/>
      <c r="NE27" s="421"/>
      <c r="NF27" s="421"/>
      <c r="NG27" s="421"/>
      <c r="NH27" s="421"/>
      <c r="NI27" s="421"/>
      <c r="NJ27" s="421"/>
      <c r="NK27" s="421"/>
      <c r="NL27" s="421"/>
      <c r="OQ27" s="282"/>
      <c r="OR27" s="282"/>
      <c r="OS27" s="282"/>
      <c r="OT27" s="282"/>
      <c r="OU27" s="282"/>
      <c r="OV27" s="282"/>
      <c r="OW27" s="282"/>
      <c r="OX27" s="282"/>
      <c r="OY27" s="282"/>
      <c r="OZ27" s="282"/>
      <c r="PA27" s="282"/>
      <c r="PB27" s="282"/>
      <c r="PC27" s="282"/>
      <c r="PD27" s="282"/>
      <c r="PE27" s="282"/>
      <c r="PF27" s="282"/>
      <c r="PG27" s="282"/>
      <c r="PH27" s="282"/>
      <c r="PI27" s="282"/>
      <c r="PJ27" s="282"/>
      <c r="PK27" s="282"/>
      <c r="PL27" s="282"/>
      <c r="PM27" s="282"/>
    </row>
    <row r="28" spans="1:429" ht="15.6" hidden="1" outlineLevel="2">
      <c r="A28" s="2057"/>
      <c r="B28" s="571" t="s">
        <v>647</v>
      </c>
      <c r="C28" s="606">
        <v>0.25</v>
      </c>
      <c r="D28" s="571"/>
      <c r="E28" s="1530"/>
      <c r="F28" s="572"/>
      <c r="G28" s="572"/>
      <c r="H28" s="104"/>
      <c r="I28" s="104"/>
      <c r="J28" s="104">
        <f t="array" ref="J28">PERCENTILE(IF((($B$57:$B$95=$B$25)*(J$57:J$95&lt;&gt;0)),J$57:J$95),$C28)</f>
        <v>372</v>
      </c>
      <c r="K28" s="831"/>
      <c r="L28" s="1086"/>
      <c r="M28" s="1086"/>
      <c r="N28" s="1086"/>
      <c r="O28" s="1086"/>
      <c r="P28" s="1086"/>
      <c r="Q28" s="104"/>
      <c r="R28" s="104"/>
      <c r="S28" s="104">
        <f t="array" ref="S28">PERCENTILE(IF((($B$57:$B$95=$B$25)*(S$57:S$95&lt;&gt;0)),S$57:S$95),$C28)</f>
        <v>75000</v>
      </c>
      <c r="T28" s="1070"/>
      <c r="U28" s="1070"/>
      <c r="V28" s="1070"/>
      <c r="W28" s="104">
        <f t="array" ref="W28">PERCENTILE(IF((($B$57:$B$95=$B$25)*(W$57:W$95&lt;&gt;0)),W$57:W$95),$C28)</f>
        <v>13500</v>
      </c>
      <c r="X28" s="104"/>
      <c r="Y28" s="1070"/>
      <c r="Z28" s="1070"/>
      <c r="AA28" s="104"/>
      <c r="AB28" s="104"/>
      <c r="AC28" s="1070"/>
      <c r="AD28" s="1105"/>
      <c r="AE28" s="104"/>
      <c r="AF28" s="104"/>
      <c r="AG28" s="1070"/>
      <c r="AH28" s="573"/>
      <c r="AI28" s="104"/>
      <c r="AJ28" s="1070"/>
      <c r="AK28" s="573"/>
      <c r="AL28" s="104"/>
      <c r="AM28" s="104"/>
      <c r="AN28" s="1070"/>
      <c r="AO28" s="104"/>
      <c r="AP28" s="104"/>
      <c r="AQ28" s="104">
        <f t="array" ref="AQ28">PERCENTILE(IF((($B$57:$B$95=$B$25)*(AQ$57:AQ$95&lt;&gt;0)),AQ$57:AQ$95),$C28)</f>
        <v>17025</v>
      </c>
      <c r="AR28" s="104" t="e">
        <f t="array" ref="AR28">PERCENTILE(IF((($B$57:$B$95=$B$25)*(AR$57:AR$95&lt;&gt;0)),AR$57:AR$95),$C28)</f>
        <v>#NUM!</v>
      </c>
      <c r="AS28" s="1105"/>
      <c r="AT28" s="1105"/>
      <c r="AU28" s="1105"/>
      <c r="AV28" s="1105"/>
      <c r="AW28" s="1105"/>
      <c r="AX28" s="573"/>
      <c r="AY28" s="573"/>
      <c r="AZ28" s="573"/>
      <c r="BA28" s="573"/>
      <c r="BB28" s="573"/>
      <c r="BC28" s="573"/>
      <c r="BD28" s="573"/>
      <c r="BE28" s="572"/>
      <c r="BF28" s="104"/>
      <c r="BG28" s="104"/>
      <c r="BH28" s="104"/>
      <c r="BI28" s="1267"/>
      <c r="BJ28" s="104"/>
      <c r="BK28" s="104"/>
      <c r="BL28" s="572"/>
      <c r="BM28" s="572"/>
      <c r="BN28" s="104"/>
      <c r="BO28" s="1105"/>
      <c r="BP28" s="104"/>
      <c r="BQ28" s="104"/>
      <c r="BR28" s="104"/>
      <c r="BS28" s="572"/>
      <c r="BT28" s="104"/>
      <c r="BU28" s="104"/>
      <c r="BV28" s="104"/>
      <c r="BW28" s="831">
        <f t="array" ref="BW28">PERCENTILE(IF((($B$57:$B$95=$B$25)*(BW$57:BW$95&lt;&gt;0)),BW$57:BW$95),$C28)</f>
        <v>3627.2781755280039</v>
      </c>
      <c r="BX28" s="831"/>
      <c r="BY28" s="831"/>
      <c r="BZ28" s="104"/>
      <c r="CA28" s="104"/>
      <c r="CB28" s="104"/>
      <c r="CC28" s="104"/>
      <c r="CD28" s="104"/>
      <c r="CE28" s="104"/>
      <c r="CF28" s="104"/>
      <c r="CG28" s="104"/>
      <c r="CH28" s="104"/>
      <c r="CI28" s="104"/>
      <c r="CJ28" s="104">
        <f t="array" ref="CJ28">PERCENTILE(IF((($B$57:$B$95=$B$25)*(CJ$57:CJ$95&lt;&gt;0)),CJ$57:CJ$95),$C28)</f>
        <v>7888640</v>
      </c>
      <c r="CK28" s="575"/>
      <c r="CL28" s="575"/>
      <c r="CM28" s="575"/>
      <c r="CN28" s="575"/>
      <c r="CO28" s="575"/>
      <c r="CP28" s="575"/>
      <c r="CQ28" s="575"/>
      <c r="CR28" s="575"/>
      <c r="CS28" s="575"/>
      <c r="CT28" s="575"/>
      <c r="CU28" s="575"/>
      <c r="CV28" s="104"/>
      <c r="CW28" s="104"/>
      <c r="CX28" s="104"/>
      <c r="CY28" s="104"/>
      <c r="CZ28" s="104"/>
      <c r="DA28" s="104"/>
      <c r="DB28" s="104"/>
      <c r="DC28" s="575"/>
      <c r="DD28" s="575"/>
      <c r="DE28" s="575"/>
      <c r="DF28" s="575"/>
      <c r="DG28" s="575"/>
      <c r="DH28" s="575"/>
      <c r="DI28" s="575"/>
      <c r="DJ28" s="290"/>
      <c r="DK28" s="832"/>
      <c r="DL28" s="832"/>
      <c r="DM28" s="832"/>
      <c r="DN28" s="832"/>
      <c r="DO28" s="832"/>
      <c r="DP28" s="832"/>
      <c r="DQ28" s="832"/>
      <c r="DR28" s="832"/>
      <c r="DS28" s="832"/>
      <c r="DT28" s="832"/>
      <c r="DU28" s="832"/>
      <c r="DV28" s="832"/>
      <c r="DW28" s="832"/>
      <c r="DX28" s="832"/>
      <c r="DY28" s="832"/>
      <c r="DZ28" s="832"/>
      <c r="EA28" s="832"/>
      <c r="EB28" s="832"/>
      <c r="EC28" s="2103"/>
      <c r="ED28" s="574"/>
      <c r="EE28" s="572"/>
      <c r="EF28" s="104"/>
      <c r="EG28" s="104"/>
      <c r="EH28" s="572"/>
      <c r="EI28" s="572"/>
      <c r="EJ28" s="833"/>
      <c r="EK28" s="573"/>
      <c r="EL28" s="104"/>
      <c r="EM28" s="572"/>
      <c r="EN28" s="572"/>
      <c r="EO28" s="573"/>
      <c r="EP28" s="574"/>
      <c r="EQ28" s="572"/>
      <c r="ER28" s="572"/>
      <c r="ES28" s="834"/>
      <c r="ET28" s="835"/>
      <c r="EU28" s="101">
        <f>COUNTIFS($B$57:$B$270,$B28,EU$57:EU$270,1)</f>
        <v>0</v>
      </c>
      <c r="EV28" s="104"/>
      <c r="EW28" s="104"/>
      <c r="EX28" s="104">
        <f>COUNTIFS($B$57:$B$270,$B28,EX$57:EX$270,0)</f>
        <v>0</v>
      </c>
      <c r="EY28" s="104"/>
      <c r="EZ28" s="104"/>
      <c r="FA28" s="104"/>
      <c r="FB28" s="104"/>
      <c r="FC28" s="104"/>
      <c r="FD28" s="577"/>
      <c r="FE28" s="104">
        <f t="array" ref="FE28">PERCENTILE(IF((($B$57:$B$95=$B$25)*(FE$57:FE$95&lt;&gt;0)),FE$57:FE$95),$C28)</f>
        <v>1271444</v>
      </c>
      <c r="FF28" s="577"/>
      <c r="FG28" s="577"/>
      <c r="FH28" s="578"/>
      <c r="FI28" s="578"/>
      <c r="FJ28" s="578"/>
      <c r="FK28" s="578"/>
      <c r="FL28" s="578"/>
      <c r="FM28" s="578"/>
      <c r="FN28" s="578"/>
      <c r="FO28" s="578"/>
      <c r="FP28" s="578"/>
      <c r="FQ28" s="104"/>
      <c r="FR28" s="104"/>
      <c r="FS28" s="104"/>
      <c r="FT28" s="104"/>
      <c r="FU28" s="104"/>
      <c r="FV28" s="104"/>
      <c r="FW28" s="104"/>
      <c r="FX28" s="579"/>
      <c r="FY28" s="742">
        <f t="array" ref="FY28">PERCENTILE(IF((($B$57:$B$95=$B$25)*(FY$57:FY$95&lt;&gt;0)),FY$57:FY$95),$C28)</f>
        <v>-981656</v>
      </c>
      <c r="FZ28" s="580"/>
      <c r="GA28" s="580"/>
      <c r="GB28" s="580"/>
      <c r="GC28" s="580"/>
      <c r="GD28" s="580"/>
      <c r="GE28" s="580"/>
      <c r="GF28" s="580"/>
      <c r="GG28" s="580"/>
      <c r="GH28" s="572">
        <f t="array" ref="GH28">PERCENTILE(IF((($B$57:$B$95=$B$25)*(GH$57:GH$95&lt;&gt;0)),GH$57:GH$95),$C28)</f>
        <v>-0.42896030025703058</v>
      </c>
      <c r="GI28" s="572" t="e">
        <f>PERCENTILE(IF((($B$57:$B$95=$B$25)*(GI$57:GI$95&lt;&gt;0)),GI$57:GI$95),$C28)</f>
        <v>#VALUE!</v>
      </c>
      <c r="GJ28" s="572"/>
      <c r="GK28" s="572"/>
      <c r="GL28" s="572"/>
      <c r="GM28" s="572"/>
      <c r="GN28" s="754"/>
      <c r="GO28" s="574"/>
      <c r="GP28" s="574"/>
      <c r="GQ28" s="104"/>
      <c r="GR28" s="104"/>
      <c r="GS28" s="104"/>
      <c r="GT28" s="104"/>
      <c r="GU28" s="104"/>
      <c r="GV28" s="104"/>
      <c r="GW28" s="104"/>
      <c r="GX28" s="104">
        <f t="array" ref="GX28">PERCENTILE(IF((($B$57:$B$95=$B$25)*(GX$57:GX$95&lt;&gt;0)),GX$57:GX$95),$C28)</f>
        <v>114945.83333333333</v>
      </c>
      <c r="GY28" s="574"/>
      <c r="GZ28" s="575"/>
      <c r="HA28" s="575"/>
      <c r="HB28" s="575"/>
      <c r="HC28" s="575"/>
      <c r="HD28" s="575"/>
      <c r="HE28" s="575"/>
      <c r="HF28" s="575"/>
      <c r="HG28" s="104"/>
      <c r="HH28" s="104"/>
      <c r="HI28" s="104"/>
      <c r="HJ28" s="104"/>
      <c r="HK28" s="104"/>
      <c r="HL28" s="104"/>
      <c r="HM28" s="104"/>
      <c r="HN28" s="104"/>
      <c r="HO28" s="104"/>
      <c r="HP28" s="104"/>
      <c r="HQ28" s="104">
        <f t="array" ref="HQ28">PERCENTILE(IF((($B$57:$B$95=$B$25)*(HQ$57:HQ$95&lt;&gt;0)),HQ$57:HQ$95),$C28)</f>
        <v>95511.548611111109</v>
      </c>
      <c r="HR28" s="574"/>
      <c r="HS28" s="575"/>
      <c r="HT28" s="575"/>
      <c r="HU28" s="575"/>
      <c r="HV28" s="575"/>
      <c r="HW28" s="575"/>
      <c r="HX28" s="575"/>
      <c r="HY28" s="575"/>
      <c r="HZ28" s="51"/>
      <c r="IA28" s="581"/>
      <c r="IB28" s="581"/>
      <c r="IC28" s="582"/>
      <c r="ID28" s="582"/>
      <c r="IE28" s="583"/>
      <c r="IF28" s="583"/>
      <c r="IG28" s="831"/>
      <c r="IH28" s="831"/>
      <c r="II28" s="104"/>
      <c r="IJ28" s="104"/>
      <c r="IK28" s="583"/>
      <c r="IL28" s="582"/>
      <c r="IM28" s="583"/>
      <c r="IN28" s="583"/>
      <c r="IO28" s="858">
        <f t="array" ref="IO28">PERCENTILE(IF((($B$57:$B$95=$B$25)*(IO$57:IO$95&lt;&gt;0)),IO$57:IO$95),$C28)</f>
        <v>-1571.7550432276657</v>
      </c>
      <c r="IP28" s="851">
        <f t="array" ref="IP28">PERCENTILE(IF((($B$57:$B$95=$B$25)*(IP$57:IP$95&lt;&gt;0)),IP$57:IP$95),$C28)</f>
        <v>-2030.3066378239087</v>
      </c>
      <c r="IQ28" s="862">
        <f t="array" ref="IQ28">PERCENTILE(IF((($B$57:$B$95=$B$25)*(IQ$57:IQ$95&lt;&gt;0)),IQ$57:IQ$95),$C28)</f>
        <v>-0.15376414576811429</v>
      </c>
      <c r="IR28" s="290"/>
      <c r="IS28" s="290"/>
      <c r="IT28" s="290"/>
      <c r="IU28" s="290"/>
      <c r="IV28" s="290"/>
      <c r="IW28" s="290"/>
      <c r="IX28" s="575"/>
      <c r="IY28" s="575"/>
      <c r="IZ28" s="575"/>
      <c r="JA28" s="575"/>
      <c r="JB28" s="575"/>
      <c r="JC28" s="575"/>
      <c r="JD28" s="290"/>
      <c r="JE28" s="290"/>
      <c r="JF28" s="584"/>
      <c r="JG28" s="290"/>
      <c r="JH28" s="675"/>
      <c r="JI28" s="675"/>
      <c r="JJ28" s="675"/>
      <c r="JK28" s="675"/>
      <c r="JL28" s="675"/>
      <c r="JM28" s="675"/>
      <c r="JN28" s="675"/>
      <c r="JO28" s="675"/>
      <c r="JP28" s="675"/>
      <c r="JQ28" s="675"/>
      <c r="JR28" s="290"/>
      <c r="JS28" s="290"/>
      <c r="JT28" s="290"/>
      <c r="JU28" s="290"/>
      <c r="JV28" s="290"/>
      <c r="JW28" s="290"/>
      <c r="JX28" s="585"/>
      <c r="JY28" s="575">
        <f t="array" ref="JY28">PERCENTILE(IF((($B$57:$B$95=$B$25)*(JY$57:JY$95&lt;&gt;0)),JY$57:JY$95),$C28)</f>
        <v>0.26461397334042269</v>
      </c>
      <c r="JZ28" s="290"/>
      <c r="KA28" s="290"/>
      <c r="KB28" s="290"/>
      <c r="KC28" s="290"/>
      <c r="KD28" s="290"/>
      <c r="KE28" s="290"/>
      <c r="KF28" s="585"/>
      <c r="KG28" s="585"/>
      <c r="KH28" s="585"/>
      <c r="KI28" s="575">
        <f t="array" ref="KI28">PERCENTILE(IF((($B$57:$B$95=$B$25)*(KI$57:KI$95&lt;&gt;0)),KI$57:KI$95),$C28)</f>
        <v>0.24682683937756333</v>
      </c>
      <c r="KJ28" s="586"/>
      <c r="KK28" s="587"/>
      <c r="KL28" s="587"/>
      <c r="KM28" s="587"/>
      <c r="KN28" s="586"/>
      <c r="KO28" s="587"/>
      <c r="KP28" s="587"/>
      <c r="KQ28" s="587"/>
      <c r="KR28" s="587"/>
      <c r="KS28" s="587"/>
      <c r="KT28" s="587"/>
      <c r="KU28" s="587"/>
      <c r="KV28" s="587"/>
      <c r="KW28" s="587"/>
      <c r="KX28" s="108"/>
      <c r="KY28" s="421"/>
      <c r="KZ28" s="421"/>
      <c r="LA28" s="421"/>
      <c r="LB28" s="421"/>
      <c r="LQ28" s="421"/>
      <c r="LR28" s="421"/>
      <c r="LS28" s="421"/>
      <c r="LT28" s="282"/>
      <c r="LU28" s="282"/>
      <c r="LV28" s="282"/>
      <c r="LW28" s="282"/>
      <c r="LX28" s="282"/>
      <c r="LY28" s="282"/>
      <c r="LZ28" s="282"/>
      <c r="MA28" s="282"/>
      <c r="MB28" s="282"/>
      <c r="MC28" s="282"/>
      <c r="MD28" s="282"/>
      <c r="ME28" s="282"/>
      <c r="MF28" s="282"/>
      <c r="MG28" s="282"/>
      <c r="MH28" s="282"/>
      <c r="MI28" s="282"/>
      <c r="MJ28" s="282"/>
      <c r="MK28" s="282"/>
      <c r="ML28" s="282"/>
      <c r="MM28" s="1232"/>
      <c r="MN28" s="1232"/>
      <c r="MO28" s="1232"/>
      <c r="MP28" s="1232"/>
      <c r="MS28" s="421"/>
      <c r="MT28" s="421"/>
      <c r="MU28" s="421"/>
      <c r="MV28" s="421"/>
      <c r="MW28" s="421"/>
      <c r="MX28" s="421"/>
      <c r="MY28" s="421"/>
      <c r="MZ28" s="421"/>
      <c r="NA28" s="421"/>
      <c r="NB28" s="421"/>
      <c r="NC28" s="421"/>
      <c r="ND28" s="421"/>
      <c r="NE28" s="421"/>
      <c r="NF28" s="421"/>
      <c r="NG28" s="421"/>
      <c r="NH28" s="421"/>
      <c r="NI28" s="421"/>
      <c r="NJ28" s="421"/>
      <c r="NK28" s="421"/>
      <c r="NL28" s="421"/>
      <c r="OQ28" s="282"/>
      <c r="OR28" s="282"/>
      <c r="OS28" s="282"/>
      <c r="OT28" s="282"/>
      <c r="OU28" s="282"/>
      <c r="OV28" s="282"/>
      <c r="OW28" s="282"/>
      <c r="OX28" s="282"/>
      <c r="OY28" s="282"/>
      <c r="OZ28" s="282"/>
      <c r="PA28" s="282"/>
      <c r="PB28" s="282"/>
      <c r="PC28" s="282"/>
      <c r="PD28" s="282"/>
      <c r="PE28" s="282"/>
      <c r="PF28" s="282"/>
      <c r="PG28" s="282"/>
      <c r="PH28" s="282"/>
      <c r="PI28" s="282"/>
      <c r="PJ28" s="282"/>
      <c r="PK28" s="282"/>
      <c r="PL28" s="282"/>
      <c r="PM28" s="282"/>
    </row>
    <row r="29" spans="1:429" ht="20.399999999999999" hidden="1" outlineLevel="2">
      <c r="A29" s="2057"/>
      <c r="B29" s="571"/>
      <c r="C29" s="606">
        <v>0.5</v>
      </c>
      <c r="D29" s="571"/>
      <c r="E29" s="1530"/>
      <c r="F29" s="572"/>
      <c r="G29" s="572"/>
      <c r="H29" s="104"/>
      <c r="I29" s="104"/>
      <c r="J29" s="104">
        <f t="array" ref="J29">PERCENTILE(IF((($B$57:$B$95=$B$25)*(J$57:J$95&lt;&gt;0)),J$57:J$95),$C29)</f>
        <v>487</v>
      </c>
      <c r="K29" s="831"/>
      <c r="L29" s="1086"/>
      <c r="M29" s="1086"/>
      <c r="N29" s="1086"/>
      <c r="O29" s="1086"/>
      <c r="P29" s="1086"/>
      <c r="Q29" s="104"/>
      <c r="R29" s="104"/>
      <c r="S29" s="104">
        <f t="array" ref="S29">PERCENTILE(IF((($B$57:$B$95=$B$25)*(S$57:S$95&lt;&gt;0)),S$57:S$95),$C29)</f>
        <v>85000</v>
      </c>
      <c r="T29" s="1070"/>
      <c r="U29" s="1070"/>
      <c r="V29" s="1070"/>
      <c r="W29" s="104">
        <f t="array" ref="W29">PERCENTILE(IF((($B$57:$B$95=$B$25)*(W$57:W$95&lt;&gt;0)),W$57:W$95),$C29)</f>
        <v>14175</v>
      </c>
      <c r="X29" s="104"/>
      <c r="Y29" s="1070"/>
      <c r="Z29" s="1070"/>
      <c r="AA29" s="104"/>
      <c r="AB29" s="104"/>
      <c r="AC29" s="1070"/>
      <c r="AD29" s="1105"/>
      <c r="AE29" s="104"/>
      <c r="AF29" s="104"/>
      <c r="AG29" s="1070"/>
      <c r="AH29" s="573"/>
      <c r="AI29" s="104"/>
      <c r="AJ29" s="1070"/>
      <c r="AK29" s="573"/>
      <c r="AL29" s="104"/>
      <c r="AM29" s="104"/>
      <c r="AN29" s="1070"/>
      <c r="AO29" s="104"/>
      <c r="AP29" s="104"/>
      <c r="AQ29" s="104">
        <f t="array" ref="AQ29">PERCENTILE(IF((($B$57:$B$95=$B$25)*(AQ$57:AQ$95&lt;&gt;0)),AQ$57:AQ$95),$C29)</f>
        <v>18568</v>
      </c>
      <c r="AR29" s="104" t="e">
        <f t="array" ref="AR29">PERCENTILE(IF((($B$57:$B$95=$B$25)*(AR$57:AR$95&lt;&gt;0)),AR$57:AR$95),$C29)</f>
        <v>#NUM!</v>
      </c>
      <c r="AS29" s="1105"/>
      <c r="AT29" s="1105"/>
      <c r="AU29" s="1105"/>
      <c r="AV29" s="1105"/>
      <c r="AW29" s="1105"/>
      <c r="AX29" s="573"/>
      <c r="AY29" s="573"/>
      <c r="AZ29" s="573"/>
      <c r="BA29" s="573"/>
      <c r="BB29" s="573"/>
      <c r="BC29" s="573"/>
      <c r="BD29" s="573"/>
      <c r="BE29" s="572"/>
      <c r="BF29" s="104"/>
      <c r="BG29" s="104"/>
      <c r="BH29" s="104"/>
      <c r="BI29" s="1267"/>
      <c r="BJ29" s="104"/>
      <c r="BK29" s="104"/>
      <c r="BL29" s="572"/>
      <c r="BM29" s="572"/>
      <c r="BN29" s="104"/>
      <c r="BO29" s="1105"/>
      <c r="BP29" s="104"/>
      <c r="BQ29" s="104"/>
      <c r="BR29" s="104"/>
      <c r="BS29" s="572"/>
      <c r="BT29" s="104"/>
      <c r="BU29" s="104"/>
      <c r="BV29" s="104"/>
      <c r="BW29" s="831">
        <f t="array" ref="BW29">PERCENTILE(IF((($B$57:$B$95=$B$25)*(BW$57:BW$95&lt;&gt;0)),BW$57:BW$95),$C29)</f>
        <v>12219.903670440532</v>
      </c>
      <c r="BX29" s="831"/>
      <c r="BY29" s="831"/>
      <c r="BZ29" s="104"/>
      <c r="CA29" s="104"/>
      <c r="CB29" s="104"/>
      <c r="CC29" s="104"/>
      <c r="CD29" s="104"/>
      <c r="CE29" s="104"/>
      <c r="CF29" s="104"/>
      <c r="CG29" s="104"/>
      <c r="CH29" s="104"/>
      <c r="CI29" s="104"/>
      <c r="CJ29" s="104">
        <f t="array" ref="CJ29">PERCENTILE(IF((($B$57:$B$95=$B$25)*(CJ$57:CJ$95&lt;&gt;0)),CJ$57:CJ$95),$C29)</f>
        <v>9845772</v>
      </c>
      <c r="CK29" s="575"/>
      <c r="CL29" s="575"/>
      <c r="CM29" s="575"/>
      <c r="CN29" s="575"/>
      <c r="CO29" s="575"/>
      <c r="CP29" s="575"/>
      <c r="CQ29" s="575"/>
      <c r="CR29" s="575"/>
      <c r="CS29" s="575"/>
      <c r="CT29" s="575"/>
      <c r="CU29" s="575"/>
      <c r="CV29" s="104"/>
      <c r="CW29" s="104"/>
      <c r="CX29" s="104"/>
      <c r="CY29" s="104"/>
      <c r="CZ29" s="104"/>
      <c r="DA29" s="104"/>
      <c r="DB29" s="104"/>
      <c r="DC29" s="575"/>
      <c r="DD29" s="575"/>
      <c r="DE29" s="575"/>
      <c r="DF29" s="575"/>
      <c r="DG29" s="575"/>
      <c r="DH29" s="575"/>
      <c r="DI29" s="575"/>
      <c r="DJ29" s="290"/>
      <c r="DK29" s="832"/>
      <c r="DL29" s="832"/>
      <c r="DM29" s="832"/>
      <c r="DN29" s="832"/>
      <c r="DO29" s="832"/>
      <c r="DP29" s="832"/>
      <c r="DQ29" s="832"/>
      <c r="DR29" s="832"/>
      <c r="DS29" s="832"/>
      <c r="DT29" s="832"/>
      <c r="DU29" s="832"/>
      <c r="DV29" s="832"/>
      <c r="DW29" s="832"/>
      <c r="DX29" s="832"/>
      <c r="DY29" s="832"/>
      <c r="DZ29" s="832"/>
      <c r="EA29" s="832"/>
      <c r="EB29" s="832"/>
      <c r="EC29" s="2103"/>
      <c r="ED29" s="574"/>
      <c r="EE29" s="572"/>
      <c r="EF29" s="104"/>
      <c r="EG29" s="104"/>
      <c r="EH29" s="572"/>
      <c r="EI29" s="572"/>
      <c r="EJ29" s="833"/>
      <c r="EK29" s="573"/>
      <c r="EL29" s="104"/>
      <c r="EM29" s="572"/>
      <c r="EN29" s="572"/>
      <c r="EO29" s="573"/>
      <c r="EP29" s="574"/>
      <c r="EQ29" s="572"/>
      <c r="ER29" s="572"/>
      <c r="ES29" s="834"/>
      <c r="ET29" s="835"/>
      <c r="EU29" s="101">
        <f>COUNTIFS($B$57:$B$270,$B28,EU$57:EU$270,2)</f>
        <v>0</v>
      </c>
      <c r="EV29" s="104"/>
      <c r="EW29" s="104"/>
      <c r="EX29" s="104">
        <f>COUNTIFS($B$57:$B$270,$B28,EX$57:EX$270,1)</f>
        <v>0</v>
      </c>
      <c r="EY29" s="104"/>
      <c r="EZ29" s="104"/>
      <c r="FA29" s="104"/>
      <c r="FB29" s="104"/>
      <c r="FC29" s="104"/>
      <c r="FD29" s="577"/>
      <c r="FE29" s="104">
        <f t="array" ref="FE29">PERCENTILE(IF((($B$57:$B$95=$B$25)*(FE$57:FE$95&lt;&gt;0)),FE$57:FE$95),$C29)</f>
        <v>2345227</v>
      </c>
      <c r="FF29" s="577"/>
      <c r="FG29" s="577"/>
      <c r="FH29" s="578"/>
      <c r="FI29" s="578"/>
      <c r="FJ29" s="578"/>
      <c r="FK29" s="578"/>
      <c r="FL29" s="578"/>
      <c r="FM29" s="578"/>
      <c r="FN29" s="578"/>
      <c r="FO29" s="578"/>
      <c r="FP29" s="578"/>
      <c r="FQ29" s="104"/>
      <c r="FR29" s="104"/>
      <c r="FS29" s="104"/>
      <c r="FT29" s="104"/>
      <c r="FU29" s="104"/>
      <c r="FV29" s="104"/>
      <c r="FW29" s="104"/>
      <c r="FX29" s="579"/>
      <c r="FY29" s="742">
        <f t="array" ref="FY29">PERCENTILE(IF((($B$57:$B$95=$B$25)*(FY$57:FY$95&lt;&gt;0)),FY$57:FY$95),$C29)</f>
        <v>-716901.39999999991</v>
      </c>
      <c r="FZ29" s="580"/>
      <c r="GA29" s="580"/>
      <c r="GB29" s="580"/>
      <c r="GC29" s="580"/>
      <c r="GD29" s="580"/>
      <c r="GE29" s="580"/>
      <c r="GF29" s="580"/>
      <c r="GG29" s="580"/>
      <c r="GH29" s="572">
        <f t="array" ref="GH29">PERCENTILE(IF((($B$57:$B$95=$B$25)*(GH$57:GH$95&lt;&gt;0)),GH$57:GH$95),$C29)</f>
        <v>-0.36852954872700139</v>
      </c>
      <c r="GI29" s="572">
        <f t="array" ref="GI29">PERCENTILE(IF((($B$57:$B$95=$B$25)*(GI$57:GI$95&lt;&gt;0)),GI$57:GI$95),$C29)</f>
        <v>1.8945928445705009</v>
      </c>
      <c r="GJ29" s="572"/>
      <c r="GK29" s="572"/>
      <c r="GL29" s="572"/>
      <c r="GM29" s="572"/>
      <c r="GN29" s="104"/>
      <c r="GO29" s="574"/>
      <c r="GP29" s="574"/>
      <c r="GQ29" s="104"/>
      <c r="GR29" s="104"/>
      <c r="GS29" s="104"/>
      <c r="GT29" s="104"/>
      <c r="GU29" s="104"/>
      <c r="GV29" s="104"/>
      <c r="GW29" s="104"/>
      <c r="GX29" s="104">
        <f t="array" ref="GX29">PERCENTILE(IF((($B$57:$B$95=$B$25)*(GX$57:GX$95&lt;&gt;0)),GX$57:GX$95),$C29)</f>
        <v>117688.11111111111</v>
      </c>
      <c r="GY29" s="574"/>
      <c r="GZ29" s="575"/>
      <c r="HA29" s="575"/>
      <c r="HB29" s="575"/>
      <c r="HC29" s="575"/>
      <c r="HD29" s="575"/>
      <c r="HE29" s="575"/>
      <c r="HF29" s="575"/>
      <c r="HG29" s="104"/>
      <c r="HH29" s="104"/>
      <c r="HI29" s="104"/>
      <c r="HJ29" s="104"/>
      <c r="HK29" s="104"/>
      <c r="HL29" s="104"/>
      <c r="HM29" s="104"/>
      <c r="HN29" s="104"/>
      <c r="HO29" s="104"/>
      <c r="HP29" s="104"/>
      <c r="HQ29" s="104">
        <f t="array" ref="HQ29">PERCENTILE(IF((($B$57:$B$95=$B$25)*(HQ$57:HQ$95&lt;&gt;0)),HQ$57:HQ$95),$C29)</f>
        <v>105352.28888888888</v>
      </c>
      <c r="HR29" s="574"/>
      <c r="HS29" s="575"/>
      <c r="HT29" s="575"/>
      <c r="HU29" s="575"/>
      <c r="HV29" s="575"/>
      <c r="HW29" s="575"/>
      <c r="HX29" s="575"/>
      <c r="HY29" s="575"/>
      <c r="HZ29" s="51"/>
      <c r="IA29" s="581"/>
      <c r="IB29" s="581"/>
      <c r="IC29" s="582"/>
      <c r="ID29" s="582"/>
      <c r="IE29" s="583"/>
      <c r="IF29" s="583"/>
      <c r="IG29" s="831"/>
      <c r="IH29" s="831"/>
      <c r="II29" s="104"/>
      <c r="IJ29" s="104"/>
      <c r="IK29" s="583"/>
      <c r="IL29" s="582"/>
      <c r="IM29" s="583"/>
      <c r="IN29" s="583"/>
      <c r="IO29" s="858">
        <f t="array" ref="IO29">PERCENTILE(IF((($B$57:$B$95=$B$25)*(IO$57:IO$95&lt;&gt;0)),IO$57:IO$95),$C29)</f>
        <v>-1368.053388090349</v>
      </c>
      <c r="IP29" s="851">
        <f t="array" ref="IP29">PERCENTILE(IF((($B$57:$B$95=$B$25)*(IP$57:IP$95&lt;&gt;0)),IP$57:IP$95),$C29)</f>
        <v>-1632.5419717455434</v>
      </c>
      <c r="IQ29" s="862">
        <f t="array" ref="IQ29">PERCENTILE(IF((($B$57:$B$95=$B$25)*(IQ$57:IQ$95&lt;&gt;0)),IQ$57:IQ$95),$C29)</f>
        <v>-0.12438415022823188</v>
      </c>
      <c r="IR29" s="290"/>
      <c r="IS29" s="290"/>
      <c r="IT29" s="290"/>
      <c r="IU29" s="290"/>
      <c r="IV29" s="290"/>
      <c r="IW29" s="290"/>
      <c r="IX29" s="575"/>
      <c r="IY29" s="575"/>
      <c r="IZ29" s="575"/>
      <c r="JA29" s="575"/>
      <c r="JB29" s="575"/>
      <c r="JC29" s="575"/>
      <c r="JD29" s="290"/>
      <c r="JE29" s="290"/>
      <c r="JF29" s="584"/>
      <c r="JG29" s="290"/>
      <c r="JH29" s="675"/>
      <c r="JI29" s="675"/>
      <c r="JJ29" s="675"/>
      <c r="JK29" s="675"/>
      <c r="JL29" s="675"/>
      <c r="JM29" s="675"/>
      <c r="JN29" s="675"/>
      <c r="JO29" s="675"/>
      <c r="JP29" s="675"/>
      <c r="JQ29" s="675"/>
      <c r="JR29" s="290"/>
      <c r="JS29" s="290"/>
      <c r="JT29" s="290"/>
      <c r="JU29" s="290"/>
      <c r="JV29" s="290"/>
      <c r="JW29" s="290"/>
      <c r="JX29" s="585"/>
      <c r="JY29" s="575">
        <f t="array" ref="JY29">PERCENTILE(IF((($B$57:$B$95=$B$25)*(JY$57:JY$95&lt;&gt;0)),JY$57:JY$95),$C29)</f>
        <v>0.29163755590479484</v>
      </c>
      <c r="JZ29" s="290"/>
      <c r="KA29" s="290"/>
      <c r="KB29" s="290"/>
      <c r="KC29" s="290"/>
      <c r="KD29" s="290"/>
      <c r="KE29" s="290"/>
      <c r="KF29" s="585"/>
      <c r="KG29" s="585"/>
      <c r="KH29" s="585"/>
      <c r="KI29" s="575">
        <f t="array" ref="KI29">PERCENTILE(IF((($B$57:$B$95=$B$25)*(KI$57:KI$95&lt;&gt;0)),KI$57:KI$95),$C29)</f>
        <v>0.2664116331930873</v>
      </c>
      <c r="KJ29" s="586"/>
      <c r="KK29" s="587"/>
      <c r="KL29" s="587"/>
      <c r="KM29" s="587"/>
      <c r="KN29" s="586"/>
      <c r="KO29" s="587"/>
      <c r="KP29" s="587"/>
      <c r="KQ29" s="587"/>
      <c r="KR29" s="587"/>
      <c r="KS29" s="587"/>
      <c r="KT29" s="587"/>
      <c r="KU29" s="587"/>
      <c r="KV29" s="587"/>
      <c r="KW29" s="587"/>
      <c r="KX29" s="108"/>
      <c r="KY29" s="421"/>
      <c r="KZ29" s="421"/>
      <c r="LA29" s="421"/>
      <c r="LB29" s="421"/>
      <c r="LQ29" s="421"/>
      <c r="LR29" s="368"/>
      <c r="LS29" s="421"/>
      <c r="LT29" s="282"/>
      <c r="LU29" s="282"/>
      <c r="LV29" s="282"/>
      <c r="LW29" s="282"/>
      <c r="LX29" s="282"/>
      <c r="LY29" s="282"/>
      <c r="LZ29" s="282"/>
      <c r="MA29" s="282"/>
      <c r="MB29" s="282"/>
      <c r="MC29" s="282"/>
      <c r="MD29" s="282"/>
      <c r="ME29" s="282"/>
      <c r="MF29" s="282"/>
      <c r="MG29" s="282"/>
      <c r="MH29" s="282"/>
      <c r="MI29" s="282"/>
      <c r="MJ29" s="282"/>
      <c r="MK29" s="282"/>
      <c r="ML29" s="282"/>
      <c r="MM29" s="1232"/>
      <c r="MN29" s="1232"/>
      <c r="MO29" s="1232"/>
      <c r="MP29" s="1232"/>
      <c r="MS29" s="421"/>
      <c r="MT29" s="368"/>
      <c r="MU29" s="421"/>
      <c r="MV29" s="421"/>
      <c r="MW29" s="421"/>
      <c r="MX29" s="421"/>
      <c r="MY29" s="421"/>
      <c r="MZ29" s="421"/>
      <c r="NA29" s="421"/>
      <c r="NB29" s="421"/>
      <c r="NC29" s="421"/>
      <c r="ND29" s="421"/>
      <c r="NE29" s="421"/>
      <c r="NF29" s="421"/>
      <c r="NG29" s="421"/>
      <c r="NH29" s="421"/>
      <c r="NI29" s="421"/>
      <c r="NJ29" s="421"/>
      <c r="NK29" s="421"/>
      <c r="NL29" s="421"/>
      <c r="OQ29" s="282"/>
      <c r="OR29" s="282"/>
      <c r="OS29" s="282"/>
      <c r="OT29" s="282"/>
      <c r="OU29" s="282"/>
      <c r="OV29" s="282"/>
      <c r="OW29" s="282"/>
      <c r="OX29" s="282"/>
      <c r="OY29" s="282"/>
      <c r="OZ29" s="282"/>
      <c r="PA29" s="282"/>
      <c r="PB29" s="282"/>
      <c r="PC29" s="282"/>
      <c r="PD29" s="282"/>
      <c r="PE29" s="282"/>
      <c r="PF29" s="282"/>
      <c r="PG29" s="282"/>
      <c r="PH29" s="282"/>
      <c r="PI29" s="282"/>
      <c r="PJ29" s="282"/>
      <c r="PK29" s="282"/>
      <c r="PL29" s="282"/>
      <c r="PM29" s="282"/>
    </row>
    <row r="30" spans="1:429" ht="16.2" hidden="1" outlineLevel="2" thickBot="1">
      <c r="A30" s="2057"/>
      <c r="B30" s="588"/>
      <c r="C30" s="607">
        <v>0.75</v>
      </c>
      <c r="D30" s="588"/>
      <c r="E30" s="1530"/>
      <c r="F30" s="589"/>
      <c r="G30" s="589"/>
      <c r="H30" s="590"/>
      <c r="I30" s="590"/>
      <c r="J30" s="590">
        <f t="array" ref="J30">PERCENTILE(IF((($B$57:$B$95=$B$25)*(J$57:J$95&lt;&gt;0)),J$57:J$95),$C30)</f>
        <v>740</v>
      </c>
      <c r="K30" s="836"/>
      <c r="L30" s="1087"/>
      <c r="M30" s="1087"/>
      <c r="N30" s="1087"/>
      <c r="O30" s="1087"/>
      <c r="P30" s="1087"/>
      <c r="Q30" s="590"/>
      <c r="R30" s="590"/>
      <c r="S30" s="590">
        <f t="array" ref="S30">PERCENTILE(IF((($B$57:$B$95=$B$25)*(S$57:S$95&lt;&gt;0)),S$57:S$95),$C30)</f>
        <v>125000</v>
      </c>
      <c r="T30" s="1071"/>
      <c r="U30" s="1071"/>
      <c r="V30" s="1071"/>
      <c r="W30" s="590">
        <f t="array" ref="W30">PERCENTILE(IF((($B$57:$B$95=$B$25)*(W$57:W$95&lt;&gt;0)),W$57:W$95),$C30)</f>
        <v>17376</v>
      </c>
      <c r="X30" s="590"/>
      <c r="Y30" s="1071"/>
      <c r="Z30" s="1071"/>
      <c r="AA30" s="590"/>
      <c r="AB30" s="590"/>
      <c r="AC30" s="1071"/>
      <c r="AD30" s="1106"/>
      <c r="AE30" s="590"/>
      <c r="AF30" s="590"/>
      <c r="AG30" s="1071"/>
      <c r="AH30" s="591"/>
      <c r="AI30" s="590"/>
      <c r="AJ30" s="1071"/>
      <c r="AK30" s="591"/>
      <c r="AL30" s="590"/>
      <c r="AM30" s="590"/>
      <c r="AN30" s="1071"/>
      <c r="AO30" s="590"/>
      <c r="AP30" s="590"/>
      <c r="AQ30" s="590">
        <f t="array" ref="AQ30">PERCENTILE(IF((($B$57:$B$95=$B$25)*(AQ$57:AQ$95&lt;&gt;0)),AQ$57:AQ$95),$C30)</f>
        <v>23550</v>
      </c>
      <c r="AR30" s="590" t="e">
        <f t="array" ref="AR30">PERCENTILE(IF((($B$57:$B$95=$B$25)*(AR$57:AR$95&lt;&gt;0)),AR$57:AR$95),$C30)</f>
        <v>#NUM!</v>
      </c>
      <c r="AS30" s="1106"/>
      <c r="AT30" s="1106"/>
      <c r="AU30" s="1106"/>
      <c r="AV30" s="1106"/>
      <c r="AW30" s="1106"/>
      <c r="AX30" s="591"/>
      <c r="AY30" s="591"/>
      <c r="AZ30" s="591"/>
      <c r="BA30" s="591"/>
      <c r="BB30" s="591"/>
      <c r="BC30" s="591"/>
      <c r="BD30" s="591"/>
      <c r="BE30" s="589"/>
      <c r="BF30" s="590"/>
      <c r="BG30" s="590"/>
      <c r="BH30" s="590"/>
      <c r="BI30" s="1268"/>
      <c r="BJ30" s="590"/>
      <c r="BK30" s="590"/>
      <c r="BL30" s="589"/>
      <c r="BM30" s="589"/>
      <c r="BN30" s="590"/>
      <c r="BO30" s="1106"/>
      <c r="BP30" s="590"/>
      <c r="BQ30" s="590"/>
      <c r="BR30" s="590"/>
      <c r="BS30" s="589"/>
      <c r="BT30" s="590"/>
      <c r="BU30" s="590"/>
      <c r="BV30" s="590"/>
      <c r="BW30" s="836">
        <f t="array" ref="BW30">PERCENTILE(IF((($B$57:$B$95=$B$25)*(BW$57:BW$95&lt;&gt;0)),BW$57:BW$95),$C30)</f>
        <v>23356.602763180559</v>
      </c>
      <c r="BX30" s="836"/>
      <c r="BY30" s="836"/>
      <c r="BZ30" s="590"/>
      <c r="CA30" s="590"/>
      <c r="CB30" s="590"/>
      <c r="CC30" s="590"/>
      <c r="CD30" s="590"/>
      <c r="CE30" s="590"/>
      <c r="CF30" s="590"/>
      <c r="CG30" s="590"/>
      <c r="CH30" s="590"/>
      <c r="CI30" s="590"/>
      <c r="CJ30" s="590">
        <f t="array" ref="CJ30">PERCENTILE(IF((($B$57:$B$95=$B$25)*(CJ$57:CJ$95&lt;&gt;0)),CJ$57:CJ$95),$C30)</f>
        <v>13257746</v>
      </c>
      <c r="CK30" s="593"/>
      <c r="CL30" s="593"/>
      <c r="CM30" s="593"/>
      <c r="CN30" s="593"/>
      <c r="CO30" s="593"/>
      <c r="CP30" s="593"/>
      <c r="CQ30" s="593"/>
      <c r="CR30" s="593"/>
      <c r="CS30" s="593"/>
      <c r="CT30" s="593"/>
      <c r="CU30" s="593"/>
      <c r="CV30" s="590"/>
      <c r="CW30" s="590"/>
      <c r="CX30" s="590"/>
      <c r="CY30" s="590"/>
      <c r="CZ30" s="590"/>
      <c r="DA30" s="590"/>
      <c r="DB30" s="590"/>
      <c r="DC30" s="593"/>
      <c r="DD30" s="593"/>
      <c r="DE30" s="593"/>
      <c r="DF30" s="593"/>
      <c r="DG30" s="593"/>
      <c r="DH30" s="593"/>
      <c r="DI30" s="593"/>
      <c r="DJ30" s="594"/>
      <c r="DK30" s="837"/>
      <c r="DL30" s="837"/>
      <c r="DM30" s="837"/>
      <c r="DN30" s="837"/>
      <c r="DO30" s="837"/>
      <c r="DP30" s="837"/>
      <c r="DQ30" s="837"/>
      <c r="DR30" s="837"/>
      <c r="DS30" s="837"/>
      <c r="DT30" s="837"/>
      <c r="DU30" s="837"/>
      <c r="DV30" s="837"/>
      <c r="DW30" s="837"/>
      <c r="DX30" s="837"/>
      <c r="DY30" s="837"/>
      <c r="DZ30" s="837"/>
      <c r="EA30" s="837"/>
      <c r="EB30" s="837"/>
      <c r="EC30" s="2104"/>
      <c r="ED30" s="592"/>
      <c r="EE30" s="589"/>
      <c r="EF30" s="590"/>
      <c r="EG30" s="590"/>
      <c r="EH30" s="589"/>
      <c r="EI30" s="589"/>
      <c r="EJ30" s="838"/>
      <c r="EK30" s="591"/>
      <c r="EL30" s="590"/>
      <c r="EM30" s="589"/>
      <c r="EN30" s="589"/>
      <c r="EO30" s="591"/>
      <c r="EP30" s="592"/>
      <c r="EQ30" s="589"/>
      <c r="ER30" s="589"/>
      <c r="ES30" s="839"/>
      <c r="ET30" s="840"/>
      <c r="EU30" s="900">
        <f>COUNTIFS($B$57:$B$270,$B28,EU$57:EU$270,3)</f>
        <v>0</v>
      </c>
      <c r="EV30" s="590"/>
      <c r="EW30" s="590"/>
      <c r="EX30" s="590">
        <f>COUNTIFS($B$57:$B$270,$B28,EX$57:EX$270,2)</f>
        <v>0</v>
      </c>
      <c r="EY30" s="590"/>
      <c r="EZ30" s="590"/>
      <c r="FA30" s="590"/>
      <c r="FB30" s="590"/>
      <c r="FC30" s="590"/>
      <c r="FD30" s="596"/>
      <c r="FE30" s="590">
        <f t="array" ref="FE30">PERCENTILE(IF((($B$57:$B$95=$B$25)*(FE$57:FE$95&lt;&gt;0)),FE$57:FE$95),$C30)</f>
        <v>3061288</v>
      </c>
      <c r="FF30" s="596"/>
      <c r="FG30" s="596"/>
      <c r="FH30" s="597"/>
      <c r="FI30" s="597"/>
      <c r="FJ30" s="597"/>
      <c r="FK30" s="597"/>
      <c r="FL30" s="597"/>
      <c r="FM30" s="597"/>
      <c r="FN30" s="597"/>
      <c r="FO30" s="597"/>
      <c r="FP30" s="597"/>
      <c r="FQ30" s="590"/>
      <c r="FR30" s="590"/>
      <c r="FS30" s="590"/>
      <c r="FT30" s="590"/>
      <c r="FU30" s="590"/>
      <c r="FV30" s="590"/>
      <c r="FW30" s="590"/>
      <c r="FX30" s="598"/>
      <c r="FY30" s="743">
        <f t="array" ref="FY30">PERCENTILE(IF((($B$57:$B$95=$B$25)*(FY$57:FY$95&lt;&gt;0)),FY$57:FY$95),$C30)</f>
        <v>-598364</v>
      </c>
      <c r="FZ30" s="599"/>
      <c r="GA30" s="599"/>
      <c r="GB30" s="599"/>
      <c r="GC30" s="599"/>
      <c r="GD30" s="599"/>
      <c r="GE30" s="599"/>
      <c r="GF30" s="599"/>
      <c r="GG30" s="599"/>
      <c r="GH30" s="589">
        <f t="array" ref="GH30">PERCENTILE(IF((($B$57:$B$95=$B$25)*(GH$57:GH$95&lt;&gt;0)),GH$57:GH$95),$C30)</f>
        <v>-0.29190894273723056</v>
      </c>
      <c r="GI30" s="589">
        <f t="array" ref="GI30">PERCENTILE(IF((($B$57:$B$95=$B$25)*(GI$57:GI$95&lt;&gt;0)),GI$57:GI$95),$C30)</f>
        <v>1.9634287106161987</v>
      </c>
      <c r="GJ30" s="589"/>
      <c r="GK30" s="589"/>
      <c r="GL30" s="589"/>
      <c r="GM30" s="589"/>
      <c r="GN30" s="590"/>
      <c r="GO30" s="592"/>
      <c r="GP30" s="592"/>
      <c r="GQ30" s="590"/>
      <c r="GR30" s="590"/>
      <c r="GS30" s="590"/>
      <c r="GT30" s="590"/>
      <c r="GU30" s="590"/>
      <c r="GV30" s="590"/>
      <c r="GW30" s="590"/>
      <c r="GX30" s="590">
        <f t="array" ref="GX30">PERCENTILE(IF((($B$57:$B$95=$B$25)*(GX$57:GX$95&lt;&gt;0)),GX$57:GX$95),$C30)</f>
        <v>138564.72222222222</v>
      </c>
      <c r="GY30" s="592"/>
      <c r="GZ30" s="593"/>
      <c r="HA30" s="593"/>
      <c r="HB30" s="593"/>
      <c r="HC30" s="593"/>
      <c r="HD30" s="593"/>
      <c r="HE30" s="593"/>
      <c r="HF30" s="593"/>
      <c r="HG30" s="590"/>
      <c r="HH30" s="590"/>
      <c r="HI30" s="590"/>
      <c r="HJ30" s="590"/>
      <c r="HK30" s="590"/>
      <c r="HL30" s="590"/>
      <c r="HM30" s="590"/>
      <c r="HN30" s="590"/>
      <c r="HO30" s="590"/>
      <c r="HP30" s="590"/>
      <c r="HQ30" s="590">
        <f t="array" ref="HQ30">PERCENTILE(IF((($B$57:$B$95=$B$25)*(HQ$57:HQ$95&lt;&gt;0)),HQ$57:HQ$95),$C30)</f>
        <v>113328.7736111111</v>
      </c>
      <c r="HR30" s="592"/>
      <c r="HS30" s="593"/>
      <c r="HT30" s="593"/>
      <c r="HU30" s="593"/>
      <c r="HV30" s="593"/>
      <c r="HW30" s="593"/>
      <c r="HX30" s="593"/>
      <c r="HY30" s="593"/>
      <c r="HZ30" s="51"/>
      <c r="IA30" s="600"/>
      <c r="IB30" s="600"/>
      <c r="IC30" s="601"/>
      <c r="ID30" s="601"/>
      <c r="IE30" s="602"/>
      <c r="IF30" s="602"/>
      <c r="IG30" s="836"/>
      <c r="IH30" s="836"/>
      <c r="II30" s="590"/>
      <c r="IJ30" s="590"/>
      <c r="IK30" s="602"/>
      <c r="IL30" s="601"/>
      <c r="IM30" s="602"/>
      <c r="IN30" s="602"/>
      <c r="IO30" s="860">
        <f t="array" ref="IO30">PERCENTILE(IF((($B$57:$B$95=$B$25)*(IO$57:IO$95&lt;&gt;0)),IO$57:IO$95),$C30)</f>
        <v>-929.82542524619521</v>
      </c>
      <c r="IP30" s="852">
        <f t="array" ref="IP30">PERCENTILE(IF((($B$57:$B$95=$B$25)*(IP$57:IP$95&lt;&gt;0)),IP$57:IP$95),$C30)</f>
        <v>-1357.8492724833986</v>
      </c>
      <c r="IQ30" s="863">
        <f t="array" ref="IQ30">PERCENTILE(IF((($B$57:$B$95=$B$25)*(IQ$57:IQ$95&lt;&gt;0)),IQ$57:IQ$95),$C30)</f>
        <v>-8.8291512499495253E-2</v>
      </c>
      <c r="IR30" s="594"/>
      <c r="IS30" s="594"/>
      <c r="IT30" s="594"/>
      <c r="IU30" s="594"/>
      <c r="IV30" s="594"/>
      <c r="IW30" s="594"/>
      <c r="IX30" s="593"/>
      <c r="IY30" s="593"/>
      <c r="IZ30" s="593"/>
      <c r="JA30" s="593"/>
      <c r="JB30" s="593"/>
      <c r="JC30" s="593"/>
      <c r="JD30" s="594"/>
      <c r="JE30" s="594"/>
      <c r="JF30" s="603"/>
      <c r="JG30" s="594"/>
      <c r="JH30" s="676"/>
      <c r="JI30" s="676"/>
      <c r="JJ30" s="676"/>
      <c r="JK30" s="676"/>
      <c r="JL30" s="676"/>
      <c r="JM30" s="676"/>
      <c r="JN30" s="676"/>
      <c r="JO30" s="676"/>
      <c r="JP30" s="676"/>
      <c r="JQ30" s="676"/>
      <c r="JR30" s="594"/>
      <c r="JS30" s="594"/>
      <c r="JT30" s="594"/>
      <c r="JU30" s="594"/>
      <c r="JV30" s="594"/>
      <c r="JW30" s="594"/>
      <c r="JX30" s="604"/>
      <c r="JY30" s="593">
        <f t="array" ref="JY30">PERCENTILE(IF((($B$57:$B$95=$B$25)*(JY$57:JY$95&lt;&gt;0)),JY$57:JY$95),$C30)</f>
        <v>0.29834147790439636</v>
      </c>
      <c r="JZ30" s="594"/>
      <c r="KA30" s="594"/>
      <c r="KB30" s="594"/>
      <c r="KC30" s="594"/>
      <c r="KD30" s="594"/>
      <c r="KE30" s="594"/>
      <c r="KF30" s="604"/>
      <c r="KG30" s="604"/>
      <c r="KH30" s="604"/>
      <c r="KI30" s="593">
        <f t="array" ref="KI30">PERCENTILE(IF((($B$57:$B$95=$B$25)*(KI$57:KI$95&lt;&gt;0)),KI$57:KI$95),$C30)</f>
        <v>0.27895610411731669</v>
      </c>
      <c r="KJ30" s="605"/>
      <c r="KK30" s="605"/>
      <c r="KL30" s="605"/>
      <c r="KM30" s="605"/>
      <c r="KN30" s="605"/>
      <c r="KO30" s="605"/>
      <c r="KP30" s="605"/>
      <c r="KQ30" s="605"/>
      <c r="KR30" s="605"/>
      <c r="KS30" s="605"/>
      <c r="KT30" s="605"/>
      <c r="KU30" s="605"/>
      <c r="KV30" s="605"/>
      <c r="KW30" s="605"/>
      <c r="KX30" s="108"/>
      <c r="KY30" s="421"/>
      <c r="KZ30" s="421"/>
      <c r="LA30" s="421"/>
      <c r="LB30" s="421"/>
      <c r="LQ30" s="421"/>
      <c r="LR30" s="421"/>
      <c r="LS30" s="421"/>
      <c r="LT30" s="282"/>
      <c r="LU30" s="282"/>
      <c r="LV30" s="282"/>
      <c r="LW30" s="282"/>
      <c r="LX30" s="282"/>
      <c r="LY30" s="282"/>
      <c r="LZ30" s="282"/>
      <c r="MA30" s="282"/>
      <c r="MB30" s="282"/>
      <c r="MC30" s="282"/>
      <c r="MD30" s="282"/>
      <c r="ME30" s="282"/>
      <c r="MF30" s="282"/>
      <c r="MG30" s="282"/>
      <c r="MH30" s="282"/>
      <c r="MI30" s="282"/>
      <c r="MJ30" s="282"/>
      <c r="MK30" s="282"/>
      <c r="ML30" s="282"/>
      <c r="MM30" s="1232"/>
      <c r="MN30" s="1232"/>
      <c r="MO30" s="1232"/>
      <c r="MP30" s="1232"/>
      <c r="MS30" s="421"/>
      <c r="MT30" s="421"/>
      <c r="MU30" s="421"/>
      <c r="MV30" s="421"/>
      <c r="MW30" s="421"/>
      <c r="MX30" s="421"/>
      <c r="MY30" s="421"/>
      <c r="MZ30" s="421"/>
      <c r="NA30" s="421"/>
      <c r="NB30" s="421"/>
      <c r="NC30" s="421"/>
      <c r="ND30" s="421"/>
      <c r="NE30" s="421"/>
      <c r="NF30" s="421"/>
      <c r="NG30" s="421"/>
      <c r="NH30" s="421"/>
      <c r="NI30" s="421"/>
      <c r="NJ30" s="421"/>
      <c r="NK30" s="421"/>
      <c r="NL30" s="421"/>
      <c r="OQ30" s="282"/>
      <c r="OR30" s="282"/>
      <c r="OS30" s="282"/>
      <c r="OT30" s="282"/>
      <c r="OU30" s="282"/>
      <c r="OV30" s="282"/>
      <c r="OW30" s="282"/>
      <c r="OX30" s="282"/>
      <c r="OY30" s="282"/>
      <c r="OZ30" s="282"/>
      <c r="PA30" s="282"/>
      <c r="PB30" s="282"/>
      <c r="PC30" s="282"/>
      <c r="PD30" s="282"/>
      <c r="PE30" s="282"/>
      <c r="PF30" s="282"/>
      <c r="PG30" s="282"/>
      <c r="PH30" s="282"/>
      <c r="PI30" s="282"/>
      <c r="PJ30" s="282"/>
      <c r="PK30" s="282"/>
      <c r="PL30" s="282"/>
      <c r="PM30" s="282"/>
    </row>
    <row r="31" spans="1:429" ht="15.6" outlineLevel="1" collapsed="1">
      <c r="A31" s="2057"/>
      <c r="B31" s="101" t="s">
        <v>264</v>
      </c>
      <c r="C31" s="272" t="s">
        <v>386</v>
      </c>
      <c r="D31" s="101">
        <f>COUNTIF($B$57:$B$270,$B31)</f>
        <v>18</v>
      </c>
      <c r="E31" s="1530"/>
      <c r="F31" s="101">
        <f t="shared" ref="F31:K31" si="322">SUMIF($B$57:$B$270,$B31,F$57:F$270)</f>
        <v>0</v>
      </c>
      <c r="G31" s="101">
        <f t="shared" si="322"/>
        <v>18</v>
      </c>
      <c r="H31" s="103">
        <f t="shared" si="322"/>
        <v>14737</v>
      </c>
      <c r="I31" s="103">
        <f t="shared" si="322"/>
        <v>3996</v>
      </c>
      <c r="J31" s="103">
        <f t="shared" si="322"/>
        <v>18733</v>
      </c>
      <c r="K31" s="830">
        <f t="shared" si="322"/>
        <v>16234.766616536996</v>
      </c>
      <c r="L31" s="1079"/>
      <c r="M31" s="1088"/>
      <c r="N31" s="1089"/>
      <c r="O31" s="1088"/>
      <c r="P31" s="1088"/>
      <c r="Q31" s="106">
        <f>SUMIF($B$57:$B$270,$B31,Q$57:Q$270)</f>
        <v>0</v>
      </c>
      <c r="R31" s="106">
        <f>SUMIF($B$57:$B$270,$B31,R$57:R$270)</f>
        <v>99616</v>
      </c>
      <c r="S31" s="106">
        <f>SUMIF($B$57:$B$270,$B31,S$57:S$270)</f>
        <v>99616</v>
      </c>
      <c r="T31" s="1072"/>
      <c r="U31" s="1072"/>
      <c r="V31" s="1072"/>
      <c r="W31" s="106">
        <f>SUMIF($B$57:$B$270,$B31,W$57:W$270)</f>
        <v>128018.51</v>
      </c>
      <c r="X31" s="107">
        <f>SUMIF($B$57:$B$270,$B31,X$57:X$270)</f>
        <v>116844</v>
      </c>
      <c r="Y31" s="1397"/>
      <c r="Z31" s="1397"/>
      <c r="AA31" s="107">
        <f>SUMIF($B$57:$B$270,$B31,AA$57:AA$270)</f>
        <v>11174.51</v>
      </c>
      <c r="AB31" s="107">
        <f>SUMIF($B$57:$B$270,$B31,AB$57:AB$270)</f>
        <v>1.6916324868280352</v>
      </c>
      <c r="AC31" s="1192"/>
      <c r="AD31" s="1105"/>
      <c r="AE31" s="571">
        <f>SUMIF($B$57:$B$270,$B31,AE$57:AE$270)</f>
        <v>14</v>
      </c>
      <c r="AF31" s="571">
        <f>SUMIF($B$57:$B$270,$B31,AF$57:AF$270)</f>
        <v>15908.05</v>
      </c>
      <c r="AG31" s="1192"/>
      <c r="AH31" s="571">
        <f>SUMIF($B$57:$B$270,$B31,AH$57:AH$270)</f>
        <v>0</v>
      </c>
      <c r="AI31" s="107">
        <f>SUMIF($B$57:$B$270,$B31,AI$57:AI$270)</f>
        <v>0</v>
      </c>
      <c r="AJ31" s="1397"/>
      <c r="AK31" s="571">
        <f>SUMIF($B$57:$B$270,$B31,AK$57:AK$270)</f>
        <v>8</v>
      </c>
      <c r="AL31" s="571">
        <f>SUMIF($B$57:$B$270,$B31,AL$57:AL$270)</f>
        <v>8600.48</v>
      </c>
      <c r="AM31" s="419">
        <f>X31+AF31+AI31+AL31</f>
        <v>141352.53</v>
      </c>
      <c r="AN31" s="1397">
        <f>Z31+AG31+AJ31</f>
        <v>0</v>
      </c>
      <c r="AO31" s="419">
        <f>EL31</f>
        <v>9226</v>
      </c>
      <c r="AP31" s="419">
        <f>ROUND(EP31*12,-2)</f>
        <v>600</v>
      </c>
      <c r="AQ31" s="419">
        <f>+AM31+AO31+AP31</f>
        <v>151178.53</v>
      </c>
      <c r="AR31" s="403">
        <f>Z31+AG31+AJ31</f>
        <v>0</v>
      </c>
      <c r="AS31" s="1122"/>
      <c r="AT31" s="1122"/>
      <c r="AU31" s="1122"/>
      <c r="AV31" s="1122"/>
      <c r="AW31" s="1102"/>
      <c r="AX31" s="101">
        <f t="shared" ref="AX31:BK31" si="323">SUMIF($B$57:$B$270,$B31,AX$57:AX$270)</f>
        <v>6</v>
      </c>
      <c r="AY31" s="101">
        <f t="shared" si="323"/>
        <v>4</v>
      </c>
      <c r="AZ31" s="101">
        <f t="shared" si="323"/>
        <v>1</v>
      </c>
      <c r="BA31" s="101">
        <f t="shared" si="323"/>
        <v>1</v>
      </c>
      <c r="BB31" s="101">
        <f t="shared" si="323"/>
        <v>0</v>
      </c>
      <c r="BC31" s="101">
        <f t="shared" si="323"/>
        <v>1</v>
      </c>
      <c r="BD31" s="101">
        <f t="shared" si="323"/>
        <v>2</v>
      </c>
      <c r="BE31" s="101">
        <f t="shared" si="323"/>
        <v>6</v>
      </c>
      <c r="BF31" s="106">
        <f t="shared" si="323"/>
        <v>71038020</v>
      </c>
      <c r="BG31" s="106">
        <f t="shared" si="323"/>
        <v>13939315</v>
      </c>
      <c r="BH31" s="106">
        <f t="shared" si="323"/>
        <v>84977335</v>
      </c>
      <c r="BI31" s="1269">
        <f t="shared" si="323"/>
        <v>212421204</v>
      </c>
      <c r="BJ31" s="106">
        <f t="shared" si="323"/>
        <v>23069020</v>
      </c>
      <c r="BK31" s="106">
        <f t="shared" si="323"/>
        <v>19501534</v>
      </c>
      <c r="BL31" s="435">
        <f>ROUND(BJ31/BK31,2)</f>
        <v>1.18</v>
      </c>
      <c r="BM31" s="101">
        <f>SUMIF($B$57:$B$270,$B31,BM$57:BM$270)</f>
        <v>12</v>
      </c>
      <c r="BN31" s="106">
        <f>SUMIF($B$57:$B$270,$B31,BN$57:BN$270)</f>
        <v>13748238</v>
      </c>
      <c r="BO31" s="282"/>
      <c r="BP31" s="106">
        <f t="shared" ref="BP31:BV31" si="324">SUMIF($B$57:$B$270,$B31,BP$57:BP$270)</f>
        <v>113928912</v>
      </c>
      <c r="BQ31" s="106">
        <f t="shared" si="324"/>
        <v>96648064</v>
      </c>
      <c r="BR31" s="417">
        <f t="shared" si="324"/>
        <v>24.565003984843386</v>
      </c>
      <c r="BS31" s="101">
        <f t="shared" si="324"/>
        <v>11</v>
      </c>
      <c r="BT31" s="106">
        <f t="shared" si="324"/>
        <v>115790067</v>
      </c>
      <c r="BU31" s="106">
        <f t="shared" si="324"/>
        <v>276727780</v>
      </c>
      <c r="BV31" s="417">
        <f t="shared" si="324"/>
        <v>7.6299334152145066</v>
      </c>
      <c r="BW31" s="821">
        <f>IF(BN31=0,0,+IF(K31=0,0,ROUND(BN31/K31,-1)))</f>
        <v>850</v>
      </c>
      <c r="BX31" s="821">
        <f>IF(BJ31=0,0,+IF(K31=0,0,ROUND(BJ31/K31,-1)))</f>
        <v>1420</v>
      </c>
      <c r="BY31" s="821">
        <f>IF(BH31=0,0,+IF(K31=0,0,ROUND(BH31/K31,-1)))</f>
        <v>5230</v>
      </c>
      <c r="BZ31" s="103">
        <f t="shared" ref="BZ31:CI31" si="325">SUMIF($B$57:$B$270,$B31,BZ$57:BZ$270)</f>
        <v>24315533</v>
      </c>
      <c r="CA31" s="106">
        <f t="shared" si="325"/>
        <v>416643</v>
      </c>
      <c r="CB31" s="106">
        <f t="shared" si="325"/>
        <v>5320822</v>
      </c>
      <c r="CC31" s="106">
        <f t="shared" si="325"/>
        <v>3632195</v>
      </c>
      <c r="CD31" s="106">
        <f t="shared" si="325"/>
        <v>99613691</v>
      </c>
      <c r="CE31" s="106">
        <f t="shared" si="325"/>
        <v>0</v>
      </c>
      <c r="CF31" s="106">
        <f t="shared" si="325"/>
        <v>0</v>
      </c>
      <c r="CG31" s="106">
        <f t="shared" si="325"/>
        <v>22883755</v>
      </c>
      <c r="CH31" s="106">
        <f t="shared" si="325"/>
        <v>12104266</v>
      </c>
      <c r="CI31" s="106">
        <f t="shared" si="325"/>
        <v>8674284</v>
      </c>
      <c r="CJ31" s="292">
        <f>SUM(BZ31:CI31)</f>
        <v>176961189</v>
      </c>
      <c r="CK31" s="406">
        <f t="shared" ref="CK31:CU31" si="326">ROUND(BZ31/$CJ31,3)</f>
        <v>0.13700000000000001</v>
      </c>
      <c r="CL31" s="406">
        <f t="shared" si="326"/>
        <v>2E-3</v>
      </c>
      <c r="CM31" s="406">
        <f t="shared" si="326"/>
        <v>0.03</v>
      </c>
      <c r="CN31" s="406">
        <f t="shared" si="326"/>
        <v>2.1000000000000001E-2</v>
      </c>
      <c r="CO31" s="406">
        <f t="shared" si="326"/>
        <v>0.56299999999999994</v>
      </c>
      <c r="CP31" s="406">
        <f t="shared" si="326"/>
        <v>0</v>
      </c>
      <c r="CQ31" s="406">
        <f t="shared" si="326"/>
        <v>0</v>
      </c>
      <c r="CR31" s="406">
        <f t="shared" si="326"/>
        <v>0.129</v>
      </c>
      <c r="CS31" s="406">
        <f t="shared" si="326"/>
        <v>6.8000000000000005E-2</v>
      </c>
      <c r="CT31" s="406">
        <f t="shared" si="326"/>
        <v>4.9000000000000002E-2</v>
      </c>
      <c r="CU31" s="406">
        <f t="shared" si="326"/>
        <v>1</v>
      </c>
      <c r="CV31" s="106">
        <f t="shared" ref="CV31:DB31" si="327">SUMIF($B$57:$B$270,$B31,CV$57:CV$270)</f>
        <v>85867311</v>
      </c>
      <c r="CW31" s="106">
        <f t="shared" si="327"/>
        <v>15026837</v>
      </c>
      <c r="CX31" s="106">
        <f t="shared" si="327"/>
        <v>4054375</v>
      </c>
      <c r="CY31" s="106">
        <f t="shared" si="327"/>
        <v>64399441</v>
      </c>
      <c r="CZ31" s="106">
        <f t="shared" si="327"/>
        <v>181093</v>
      </c>
      <c r="DA31" s="106">
        <f t="shared" si="327"/>
        <v>4886350</v>
      </c>
      <c r="DB31" s="106">
        <f t="shared" si="327"/>
        <v>174415407</v>
      </c>
      <c r="DC31" s="406">
        <f t="shared" ref="DC31:DI31" si="328">ROUND(CV31/$DB31,3)</f>
        <v>0.49199999999999999</v>
      </c>
      <c r="DD31" s="406">
        <f t="shared" si="328"/>
        <v>8.5999999999999993E-2</v>
      </c>
      <c r="DE31" s="406">
        <f t="shared" si="328"/>
        <v>2.3E-2</v>
      </c>
      <c r="DF31" s="406">
        <f t="shared" si="328"/>
        <v>0.36899999999999999</v>
      </c>
      <c r="DG31" s="406">
        <f t="shared" si="328"/>
        <v>1E-3</v>
      </c>
      <c r="DH31" s="406">
        <f t="shared" si="328"/>
        <v>2.8000000000000001E-2</v>
      </c>
      <c r="DI31" s="406">
        <f t="shared" si="328"/>
        <v>1</v>
      </c>
      <c r="DJ31" s="301">
        <f>CJ31-DB31</f>
        <v>2545782</v>
      </c>
      <c r="DK31" s="822">
        <f t="shared" ref="DK31:DT31" si="329">IF(BZ31=0,0,+IF($K31=0,0,ROUND(BZ31/$K31,0)))</f>
        <v>1498</v>
      </c>
      <c r="DL31" s="822">
        <f t="shared" si="329"/>
        <v>26</v>
      </c>
      <c r="DM31" s="822">
        <f t="shared" si="329"/>
        <v>328</v>
      </c>
      <c r="DN31" s="822">
        <f t="shared" si="329"/>
        <v>224</v>
      </c>
      <c r="DO31" s="822">
        <f t="shared" si="329"/>
        <v>6136</v>
      </c>
      <c r="DP31" s="822">
        <f t="shared" si="329"/>
        <v>0</v>
      </c>
      <c r="DQ31" s="822">
        <f t="shared" si="329"/>
        <v>0</v>
      </c>
      <c r="DR31" s="822">
        <f t="shared" si="329"/>
        <v>1410</v>
      </c>
      <c r="DS31" s="822">
        <f t="shared" si="329"/>
        <v>746</v>
      </c>
      <c r="DT31" s="822">
        <f t="shared" si="329"/>
        <v>534</v>
      </c>
      <c r="DU31" s="822">
        <f>SUM(DK31:DT31)</f>
        <v>10902</v>
      </c>
      <c r="DV31" s="822">
        <f t="shared" ref="DV31:EA31" si="330">IF(CV31=0,0,+IF($K31=0,0,ROUND(CV31/$K31,0)))</f>
        <v>5289</v>
      </c>
      <c r="DW31" s="822">
        <f t="shared" si="330"/>
        <v>926</v>
      </c>
      <c r="DX31" s="822">
        <f t="shared" si="330"/>
        <v>250</v>
      </c>
      <c r="DY31" s="822">
        <f t="shared" si="330"/>
        <v>3967</v>
      </c>
      <c r="DZ31" s="822">
        <f t="shared" si="330"/>
        <v>11</v>
      </c>
      <c r="EA31" s="822">
        <f t="shared" si="330"/>
        <v>301</v>
      </c>
      <c r="EB31" s="822">
        <f>SUM(DV31:EA31)</f>
        <v>10744</v>
      </c>
      <c r="EC31" s="824">
        <f>DU31-EB31</f>
        <v>158</v>
      </c>
      <c r="ED31" s="106">
        <f t="shared" ref="ED31:EI31" si="331">SUMIF($B$57:$B$270,$B31,ED$57:ED$270)</f>
        <v>1812</v>
      </c>
      <c r="EE31" s="101">
        <f t="shared" si="331"/>
        <v>11</v>
      </c>
      <c r="EF31" s="106">
        <f t="shared" si="331"/>
        <v>203</v>
      </c>
      <c r="EG31" s="106">
        <f t="shared" si="331"/>
        <v>659000</v>
      </c>
      <c r="EH31" s="101">
        <f t="shared" si="331"/>
        <v>13</v>
      </c>
      <c r="EI31" s="101">
        <f t="shared" si="331"/>
        <v>1.0350000000000001</v>
      </c>
      <c r="EJ31" s="823">
        <f>IF(K31=0,0,+IF(ED31=0,0,ROUND(K31/ED31,1)))</f>
        <v>9</v>
      </c>
      <c r="EK31" s="101">
        <f t="shared" ref="EK31:ER31" si="332">SUMIF($B$57:$B$270,$B31,EK$57:EK$270)</f>
        <v>14</v>
      </c>
      <c r="EL31" s="106">
        <f t="shared" si="332"/>
        <v>9226</v>
      </c>
      <c r="EM31" s="101">
        <f t="shared" si="332"/>
        <v>16</v>
      </c>
      <c r="EN31" s="101">
        <f t="shared" si="332"/>
        <v>3.0700000000000007</v>
      </c>
      <c r="EO31" s="101">
        <f t="shared" si="332"/>
        <v>1</v>
      </c>
      <c r="EP31" s="106">
        <f t="shared" si="332"/>
        <v>48.333333333333336</v>
      </c>
      <c r="EQ31" s="101">
        <f t="shared" si="332"/>
        <v>1</v>
      </c>
      <c r="ER31" s="101">
        <f t="shared" si="332"/>
        <v>1</v>
      </c>
      <c r="ES31" s="822">
        <f>IF(FE31=0,0,+IF(K31=0,0,ROUND(FE31/K31,-2)))</f>
        <v>2200</v>
      </c>
      <c r="ET31" s="824">
        <f>IF(FY31=0,0,+IF(K31=0,0,ROUND(FY31/K31,-1)))</f>
        <v>-1020</v>
      </c>
      <c r="EU31" s="101">
        <f>COUNTIFS($B$57:$B$270,$B31,EU$57:EU$270,1)</f>
        <v>8</v>
      </c>
      <c r="EV31" s="106">
        <f>SUMIF($B$57:$B$270,$B31,EV$57:EV$270)</f>
        <v>1034738</v>
      </c>
      <c r="EW31" s="101">
        <f>SUMIF($B$57:$B$270,$B31,EW$57:EW$270)</f>
        <v>81827</v>
      </c>
      <c r="EX31" s="101">
        <f>COUNTIFS($B$57:$B$270,$B31,EX$57:EX$270,0)</f>
        <v>1</v>
      </c>
      <c r="EY31" s="101">
        <f>SUMIF($B$57:$B$270,$B31,EY$57:EY$270)</f>
        <v>22883755</v>
      </c>
      <c r="EZ31" s="101">
        <f>SUMIF($B$57:$B$270,$B31,EZ$57:EZ$270)</f>
        <v>10810679</v>
      </c>
      <c r="FA31" s="3">
        <f>EY31-EZ31</f>
        <v>12073076</v>
      </c>
      <c r="FB31" s="101">
        <f>SUMIF($B$57:$B$270,$B31,FB$57:FB$270)</f>
        <v>12104266</v>
      </c>
      <c r="FC31" s="101">
        <f>SUMIF($B$57:$B$270,$B31,FC$57:FC$270)</f>
        <v>4216158</v>
      </c>
      <c r="FD31" s="3">
        <f>FB31-FC31</f>
        <v>7888108</v>
      </c>
      <c r="FE31" s="3">
        <f>EY31+FB31</f>
        <v>34988021</v>
      </c>
      <c r="FF31" s="3">
        <f>EZ31+FC31</f>
        <v>15026837</v>
      </c>
      <c r="FG31" s="3">
        <f>FE31-FF31</f>
        <v>19961184</v>
      </c>
      <c r="FH31" s="303">
        <f>EY31/$EY31</f>
        <v>1</v>
      </c>
      <c r="FI31" s="303">
        <f>ROUND(EZ31/$EY31,3)</f>
        <v>0.47199999999999998</v>
      </c>
      <c r="FJ31" s="303">
        <f>ROUND(FA31/$EY31,3)</f>
        <v>0.52800000000000002</v>
      </c>
      <c r="FK31" s="303">
        <f>ROUND(FB31/$FB31,2)</f>
        <v>1</v>
      </c>
      <c r="FL31" s="303">
        <f>ROUND(FC31/$FB31,3)</f>
        <v>0.34799999999999998</v>
      </c>
      <c r="FM31" s="303">
        <f>ROUND(FD31/$FB31,3)</f>
        <v>0.65200000000000002</v>
      </c>
      <c r="FN31" s="303">
        <f>ROUND(FE31/$FE31,2)</f>
        <v>1</v>
      </c>
      <c r="FO31" s="303">
        <f>ROUND(FF31/$FE31,3)</f>
        <v>0.42899999999999999</v>
      </c>
      <c r="FP31" s="303">
        <f>ROUND(FG31/$FE31,3)</f>
        <v>0.57099999999999995</v>
      </c>
      <c r="FQ31" s="101">
        <f t="shared" ref="FQ31:FW31" si="333">SUMIF($B$57:$B$270,$B31,FQ$57:FQ$270)</f>
        <v>24047991</v>
      </c>
      <c r="FR31" s="408">
        <f t="shared" si="333"/>
        <v>-348898.80000000005</v>
      </c>
      <c r="FS31" s="101">
        <f t="shared" si="333"/>
        <v>5442745</v>
      </c>
      <c r="FT31" s="101">
        <f t="shared" si="333"/>
        <v>480081</v>
      </c>
      <c r="FU31" s="101">
        <f t="shared" si="333"/>
        <v>761447</v>
      </c>
      <c r="FV31" s="101">
        <f t="shared" si="333"/>
        <v>242582</v>
      </c>
      <c r="FW31" s="101">
        <f t="shared" si="333"/>
        <v>5885172</v>
      </c>
      <c r="FX31" s="409">
        <f>SUM(FQ31:FW31)</f>
        <v>36511119.200000003</v>
      </c>
      <c r="FY31" s="410">
        <f>ROUND(FG31-FX31,-2)</f>
        <v>-16549900</v>
      </c>
      <c r="FZ31" s="303">
        <f t="shared" ref="FZ31:GH31" si="334">ROUND(FQ31/$FE31,3)</f>
        <v>0.68700000000000006</v>
      </c>
      <c r="GA31" s="303">
        <f t="shared" si="334"/>
        <v>-0.01</v>
      </c>
      <c r="GB31" s="303">
        <f t="shared" si="334"/>
        <v>0.156</v>
      </c>
      <c r="GC31" s="303">
        <f t="shared" si="334"/>
        <v>1.4E-2</v>
      </c>
      <c r="GD31" s="303">
        <f t="shared" si="334"/>
        <v>2.1999999999999999E-2</v>
      </c>
      <c r="GE31" s="303">
        <f t="shared" si="334"/>
        <v>7.0000000000000001E-3</v>
      </c>
      <c r="GF31" s="303">
        <f t="shared" si="334"/>
        <v>0.16800000000000001</v>
      </c>
      <c r="GG31" s="303">
        <f t="shared" si="334"/>
        <v>1.044</v>
      </c>
      <c r="GH31" s="303">
        <f t="shared" si="334"/>
        <v>-0.47299999999999998</v>
      </c>
      <c r="GI31" s="411">
        <f>EY31/FB31</f>
        <v>1.8905528844128177</v>
      </c>
      <c r="GJ31" s="408">
        <f t="shared" ref="GJ31:GV31" si="335">SUMIF($B$57:$B$270,$B31,GJ$57:GJ$270)</f>
        <v>13</v>
      </c>
      <c r="GK31" s="394">
        <f t="shared" si="335"/>
        <v>0.91000000000000014</v>
      </c>
      <c r="GL31" s="408">
        <f t="shared" si="335"/>
        <v>10</v>
      </c>
      <c r="GM31" s="394">
        <f t="shared" si="335"/>
        <v>0.73</v>
      </c>
      <c r="GN31" s="103">
        <f t="shared" si="335"/>
        <v>270</v>
      </c>
      <c r="GO31" s="103">
        <f t="shared" si="335"/>
        <v>1578</v>
      </c>
      <c r="GP31" s="103">
        <f t="shared" si="335"/>
        <v>716998</v>
      </c>
      <c r="GQ31" s="103">
        <f t="shared" si="335"/>
        <v>11956283</v>
      </c>
      <c r="GR31" s="103">
        <f t="shared" si="335"/>
        <v>2535467</v>
      </c>
      <c r="GS31" s="103">
        <f t="shared" si="335"/>
        <v>7669201</v>
      </c>
      <c r="GT31" s="103">
        <f t="shared" si="335"/>
        <v>1577574</v>
      </c>
      <c r="GU31" s="103">
        <f t="shared" si="335"/>
        <v>884098</v>
      </c>
      <c r="GV31" s="103">
        <f t="shared" si="335"/>
        <v>2353405</v>
      </c>
      <c r="GW31" s="412">
        <f>SUM(GQ31:GV31)</f>
        <v>26976028</v>
      </c>
      <c r="GX31" s="7">
        <f>IF(GW31=0,0,ROUND(GW31/GN31,-2))</f>
        <v>99900</v>
      </c>
      <c r="GY31" s="49">
        <f>IF(GW31=0,0,ROUND(GW31/GO31,-2))</f>
        <v>17100</v>
      </c>
      <c r="GZ31" s="20">
        <f t="shared" ref="GZ31:HE31" si="336">ROUND(GQ31/$GW31,3)</f>
        <v>0.443</v>
      </c>
      <c r="HA31" s="20">
        <f t="shared" si="336"/>
        <v>9.4E-2</v>
      </c>
      <c r="HB31" s="20">
        <f t="shared" si="336"/>
        <v>0.28399999999999997</v>
      </c>
      <c r="HC31" s="20">
        <f t="shared" si="336"/>
        <v>5.8000000000000003E-2</v>
      </c>
      <c r="HD31" s="20">
        <f t="shared" si="336"/>
        <v>3.3000000000000002E-2</v>
      </c>
      <c r="HE31" s="20">
        <f t="shared" si="336"/>
        <v>8.6999999999999994E-2</v>
      </c>
      <c r="HF31" s="20">
        <f>SUM(GZ31:HE31)</f>
        <v>0.999</v>
      </c>
      <c r="HG31" s="106">
        <f t="shared" ref="HG31:HP31" si="337">SUMIF($B$57:$B$270,$B31,HG$57:HG$270)</f>
        <v>54</v>
      </c>
      <c r="HH31" s="106">
        <f t="shared" si="337"/>
        <v>315</v>
      </c>
      <c r="HI31" s="106">
        <f t="shared" si="337"/>
        <v>138946</v>
      </c>
      <c r="HJ31" s="106">
        <f t="shared" si="337"/>
        <v>2094197</v>
      </c>
      <c r="HK31" s="106">
        <f t="shared" si="337"/>
        <v>484113</v>
      </c>
      <c r="HL31" s="106">
        <f t="shared" si="337"/>
        <v>1578086</v>
      </c>
      <c r="HM31" s="106">
        <f t="shared" si="337"/>
        <v>225033</v>
      </c>
      <c r="HN31" s="106">
        <f t="shared" si="337"/>
        <v>46781</v>
      </c>
      <c r="HO31" s="106">
        <f t="shared" si="337"/>
        <v>745050</v>
      </c>
      <c r="HP31" s="106">
        <f t="shared" si="337"/>
        <v>5173260</v>
      </c>
      <c r="HQ31" s="7">
        <f>ROUND(HP31/HG31,-2)</f>
        <v>95800</v>
      </c>
      <c r="HR31" s="49">
        <f>IF(HP31=0,0,ROUND(HP31/HH31,-1))</f>
        <v>16420</v>
      </c>
      <c r="HS31" s="20">
        <f t="shared" ref="HS31:HX31" si="338">ROUND(HJ31/$HP31,3)</f>
        <v>0.40500000000000003</v>
      </c>
      <c r="HT31" s="20">
        <f t="shared" si="338"/>
        <v>9.4E-2</v>
      </c>
      <c r="HU31" s="20">
        <f t="shared" si="338"/>
        <v>0.30499999999999999</v>
      </c>
      <c r="HV31" s="20">
        <f t="shared" si="338"/>
        <v>4.2999999999999997E-2</v>
      </c>
      <c r="HW31" s="20">
        <f t="shared" si="338"/>
        <v>8.9999999999999993E-3</v>
      </c>
      <c r="HX31" s="20">
        <f t="shared" si="338"/>
        <v>0.14399999999999999</v>
      </c>
      <c r="HY31" s="20">
        <f>SUM(HS31:HX31)</f>
        <v>1</v>
      </c>
      <c r="HZ31" s="51"/>
      <c r="IA31" s="297">
        <f>ROUND(Q31/S31,2)</f>
        <v>0</v>
      </c>
      <c r="IB31" s="297"/>
      <c r="IC31" s="438">
        <f>SUMIF($B$57:$B$270,$B31,IC$57:IC$270)</f>
        <v>17</v>
      </c>
      <c r="ID31" s="438"/>
      <c r="IE31" s="438">
        <f>SUMIF($B$57:$B$270,$B31,IE$57:IE$270)</f>
        <v>1</v>
      </c>
      <c r="IF31" s="438"/>
      <c r="IG31" s="284">
        <f>IF(BI31=0,0,+IF(K31=0,0,BI31/K31))</f>
        <v>13084.339862553019</v>
      </c>
      <c r="IH31" s="284">
        <f>IF(BU31=0,0,+IF(K31=0,0,BU31/K31))</f>
        <v>17045.380850632038</v>
      </c>
      <c r="II31" s="417">
        <f t="shared" ref="II31:IN31" si="339">SUMIF($B$57:$B$270,$B31,II$57:II$270)</f>
        <v>18.591721494987265</v>
      </c>
      <c r="IJ31" s="417">
        <f t="shared" si="339"/>
        <v>5.9732824898561185</v>
      </c>
      <c r="IK31" s="413">
        <f t="shared" si="339"/>
        <v>4</v>
      </c>
      <c r="IL31" s="413">
        <f t="shared" si="339"/>
        <v>1</v>
      </c>
      <c r="IM31" s="413">
        <f t="shared" si="339"/>
        <v>12</v>
      </c>
      <c r="IN31" s="413">
        <f t="shared" si="339"/>
        <v>0</v>
      </c>
      <c r="IO31" s="853">
        <f>ROUND(FY31/$J31,-1)</f>
        <v>-880</v>
      </c>
      <c r="IP31" s="851">
        <f>IF(K31=0,0,ROUND(FY31/K31,-1))</f>
        <v>-1020</v>
      </c>
      <c r="IQ31" s="857">
        <f>IF(FY31=0,0,+IF(CD31=0,0,FY31/CD31))</f>
        <v>-0.16614081692846819</v>
      </c>
      <c r="IR31" s="415">
        <f>EY31</f>
        <v>22883755</v>
      </c>
      <c r="IS31" s="415">
        <f>FB31</f>
        <v>12104266</v>
      </c>
      <c r="IT31" s="415">
        <f>FQ31</f>
        <v>24047991</v>
      </c>
      <c r="IU31" s="415">
        <f>FS31+FT31</f>
        <v>5922826</v>
      </c>
      <c r="IV31" s="415">
        <f>FF31</f>
        <v>15026837</v>
      </c>
      <c r="IW31" s="415">
        <f>SUM(FU31:FW31)+FR31</f>
        <v>6540302.2000000002</v>
      </c>
      <c r="IX31" s="303">
        <f t="shared" ref="IX31:JC31" si="340">IF(IR31=0,0,ROUND(IR31/(SUM($IR31:$IS31)),3))</f>
        <v>0.65400000000000003</v>
      </c>
      <c r="IY31" s="303">
        <f t="shared" si="340"/>
        <v>0.34599999999999997</v>
      </c>
      <c r="IZ31" s="303">
        <f t="shared" si="340"/>
        <v>0.68700000000000006</v>
      </c>
      <c r="JA31" s="303">
        <f t="shared" si="340"/>
        <v>0.16900000000000001</v>
      </c>
      <c r="JB31" s="303">
        <f t="shared" si="340"/>
        <v>0.42899999999999999</v>
      </c>
      <c r="JC31" s="303">
        <f t="shared" si="340"/>
        <v>0.187</v>
      </c>
      <c r="JD31" s="294">
        <f>CD31+CE31+CF31</f>
        <v>99613691</v>
      </c>
      <c r="JE31" s="294">
        <f>BZ31+CA31+CB31+CC31</f>
        <v>33685193</v>
      </c>
      <c r="JF31" s="294">
        <f>JD31+JE31+CG31+CH31+CI31-CJ31</f>
        <v>0</v>
      </c>
      <c r="JG31" s="294">
        <f>CZ31+DA31</f>
        <v>5067443</v>
      </c>
      <c r="JH31" s="414">
        <f t="shared" ref="JH31:JQ31" si="341">SUMIF($B$57:$B$270,$B31,JH$57:JH$270)</f>
        <v>12</v>
      </c>
      <c r="JI31" s="414">
        <f t="shared" si="341"/>
        <v>17</v>
      </c>
      <c r="JJ31" s="300">
        <f t="shared" si="341"/>
        <v>12.844047831391741</v>
      </c>
      <c r="JK31" s="300">
        <f t="shared" si="341"/>
        <v>8.8882055252226984</v>
      </c>
      <c r="JL31" s="300">
        <f t="shared" si="341"/>
        <v>1.5085991933724805</v>
      </c>
      <c r="JM31" s="300">
        <f t="shared" si="341"/>
        <v>0.41156194612409991</v>
      </c>
      <c r="JN31" s="300">
        <f t="shared" si="341"/>
        <v>6.3973892742278684</v>
      </c>
      <c r="JO31" s="300">
        <f t="shared" si="341"/>
        <v>1.7291444023800236E-2</v>
      </c>
      <c r="JP31" s="300">
        <f t="shared" si="341"/>
        <v>0.50192356621999956</v>
      </c>
      <c r="JQ31" s="300">
        <f t="shared" si="341"/>
        <v>17.724970949190951</v>
      </c>
      <c r="JR31" s="292">
        <f t="shared" ref="JR31:JW31" si="342">ROUND(GQ31/$GN31,-2)</f>
        <v>44300</v>
      </c>
      <c r="JS31" s="292">
        <f t="shared" si="342"/>
        <v>9400</v>
      </c>
      <c r="JT31" s="292">
        <f t="shared" si="342"/>
        <v>28400</v>
      </c>
      <c r="JU31" s="292">
        <f t="shared" si="342"/>
        <v>5800</v>
      </c>
      <c r="JV31" s="292">
        <f t="shared" si="342"/>
        <v>3300</v>
      </c>
      <c r="JW31" s="292">
        <f t="shared" si="342"/>
        <v>8700</v>
      </c>
      <c r="JX31" s="292">
        <f>GW31/GP31</f>
        <v>37.623574961157495</v>
      </c>
      <c r="JY31" s="394">
        <f>SUMIF($B$57:$B$270,$B31,JY$57:JY$270)</f>
        <v>3.0835096034630238</v>
      </c>
      <c r="JZ31" s="292">
        <f t="shared" ref="JZ31:KE31" si="343">ROUND(HJ31/$HG31,-2)</f>
        <v>38800</v>
      </c>
      <c r="KA31" s="292">
        <f t="shared" si="343"/>
        <v>9000</v>
      </c>
      <c r="KB31" s="292">
        <f t="shared" si="343"/>
        <v>29200</v>
      </c>
      <c r="KC31" s="292">
        <f t="shared" si="343"/>
        <v>4200</v>
      </c>
      <c r="KD31" s="292">
        <f t="shared" si="343"/>
        <v>900</v>
      </c>
      <c r="KE31" s="292">
        <f t="shared" si="343"/>
        <v>13800</v>
      </c>
      <c r="KF31" s="292">
        <f>ROUND(HI31/HG31*18,-2)</f>
        <v>46300</v>
      </c>
      <c r="KG31" s="292">
        <f>ROUND(HH31/HG31*36,0)</f>
        <v>210</v>
      </c>
      <c r="KH31" s="292">
        <f>ROUND(HP31/HI31,0)</f>
        <v>37</v>
      </c>
      <c r="KI31" s="394">
        <f t="shared" ref="KI31:KW31" si="344">SUMIF($B$57:$B$270,$B31,KI$57:KI$270)</f>
        <v>0.54047319525037496</v>
      </c>
      <c r="KJ31" s="61">
        <f t="shared" si="344"/>
        <v>324</v>
      </c>
      <c r="KK31" s="61">
        <f t="shared" si="344"/>
        <v>855944</v>
      </c>
      <c r="KL31" s="61">
        <f t="shared" si="344"/>
        <v>1893</v>
      </c>
      <c r="KM31" s="61">
        <f t="shared" si="344"/>
        <v>1690270.4444444445</v>
      </c>
      <c r="KN31" s="61">
        <f t="shared" si="344"/>
        <v>650.90566829996214</v>
      </c>
      <c r="KO31" s="61">
        <f t="shared" si="344"/>
        <v>308701.28828876198</v>
      </c>
      <c r="KP31" s="61">
        <f t="shared" si="344"/>
        <v>14050480</v>
      </c>
      <c r="KQ31" s="61">
        <f t="shared" si="344"/>
        <v>3019580</v>
      </c>
      <c r="KR31" s="61">
        <f t="shared" si="344"/>
        <v>9247287</v>
      </c>
      <c r="KS31" s="61">
        <f t="shared" si="344"/>
        <v>1802607</v>
      </c>
      <c r="KT31" s="61">
        <f t="shared" si="344"/>
        <v>930879</v>
      </c>
      <c r="KU31" s="61">
        <f t="shared" si="344"/>
        <v>3098455</v>
      </c>
      <c r="KV31" s="61">
        <f t="shared" si="344"/>
        <v>3.6239827987133988</v>
      </c>
      <c r="KW31" s="61">
        <f t="shared" si="344"/>
        <v>-5.6080228192732298</v>
      </c>
      <c r="KX31" s="108"/>
      <c r="KY31" s="421"/>
      <c r="KZ31" s="421"/>
      <c r="LA31" s="421"/>
      <c r="LB31" s="421"/>
      <c r="LQ31" s="421"/>
      <c r="LR31" s="421"/>
      <c r="LS31" s="421"/>
      <c r="LT31" s="282"/>
      <c r="LU31" s="282"/>
      <c r="LV31" s="282"/>
      <c r="LW31" s="282"/>
      <c r="LX31" s="282"/>
      <c r="LY31" s="282"/>
      <c r="LZ31" s="282"/>
      <c r="MA31" s="282"/>
      <c r="MB31" s="282"/>
      <c r="MC31" s="282"/>
      <c r="MD31" s="282"/>
      <c r="ME31" s="282"/>
      <c r="MF31" s="282"/>
      <c r="MG31" s="282"/>
      <c r="MH31" s="282"/>
      <c r="MI31" s="282"/>
      <c r="MJ31" s="282"/>
      <c r="MK31" s="282"/>
      <c r="ML31" s="282"/>
      <c r="MM31" s="1232"/>
      <c r="MN31" s="1232"/>
      <c r="MO31" s="1232"/>
      <c r="MP31" s="1232"/>
      <c r="MS31" s="421"/>
      <c r="MT31" s="421"/>
      <c r="MU31" s="421"/>
      <c r="MV31" s="421"/>
      <c r="MW31" s="421"/>
      <c r="MX31" s="421"/>
      <c r="MY31" s="421"/>
      <c r="MZ31" s="421"/>
      <c r="NA31" s="421"/>
      <c r="NB31" s="421"/>
      <c r="NC31" s="421"/>
      <c r="ND31" s="421"/>
      <c r="NE31" s="421"/>
      <c r="NF31" s="421"/>
      <c r="NG31" s="421"/>
      <c r="NH31" s="421"/>
      <c r="NI31" s="421"/>
      <c r="NJ31" s="421"/>
      <c r="NK31" s="421"/>
      <c r="NL31" s="421"/>
      <c r="OQ31" s="282"/>
      <c r="OR31" s="282"/>
      <c r="OS31" s="282"/>
      <c r="OT31" s="282"/>
      <c r="OU31" s="282"/>
      <c r="OV31" s="282"/>
      <c r="OW31" s="282"/>
      <c r="OX31" s="282"/>
      <c r="OY31" s="282"/>
      <c r="OZ31" s="282"/>
      <c r="PA31" s="282"/>
      <c r="PB31" s="282"/>
      <c r="PC31" s="282"/>
      <c r="PD31" s="282"/>
      <c r="PE31" s="282"/>
      <c r="PF31" s="282"/>
      <c r="PG31" s="282"/>
      <c r="PH31" s="282"/>
      <c r="PI31" s="282"/>
      <c r="PJ31" s="282"/>
      <c r="PK31" s="282"/>
      <c r="PL31" s="282"/>
      <c r="PM31" s="282"/>
    </row>
    <row r="32" spans="1:429" ht="15.6" outlineLevel="1">
      <c r="A32" s="2057">
        <f>409313/17</f>
        <v>24077.235294117647</v>
      </c>
      <c r="C32" s="272" t="s">
        <v>391</v>
      </c>
      <c r="E32" s="1530"/>
      <c r="F32" s="101">
        <f>COUNTIF($B$57:$B$270,$B31)</f>
        <v>18</v>
      </c>
      <c r="G32" s="101">
        <f>COUNTIF($B$57:$B$270,$B31)</f>
        <v>18</v>
      </c>
      <c r="H32" s="103">
        <f>COUNTIFS($B$57:$B$270,$B31,H$57:H$270,"&gt;0")</f>
        <v>18</v>
      </c>
      <c r="I32" s="103">
        <f>COUNTIFS($B$57:$B$270,$B31,I$57:I$270,"&gt;0")</f>
        <v>9</v>
      </c>
      <c r="J32" s="103">
        <f>COUNTIFS($B$57:$B$270,$B31,J$57:J$270,"&gt;0")</f>
        <v>18</v>
      </c>
      <c r="K32" s="830">
        <f>COUNTIFS($B$57:$B$270,$B31,K$57:K$270,"&gt;0")</f>
        <v>18</v>
      </c>
      <c r="L32" s="1088"/>
      <c r="M32" s="1088"/>
      <c r="N32" s="1088"/>
      <c r="O32" s="1088"/>
      <c r="P32" s="1088"/>
      <c r="Q32" s="9">
        <f>$S32</f>
        <v>18</v>
      </c>
      <c r="R32" s="9">
        <f>$S32</f>
        <v>18</v>
      </c>
      <c r="S32" s="106">
        <f>COUNTIFS($B$57:$B$270,$B31,S$57:S$270,"&gt;0")</f>
        <v>18</v>
      </c>
      <c r="T32" s="1072"/>
      <c r="U32" s="1072"/>
      <c r="V32" s="1072"/>
      <c r="W32" s="106">
        <f>COUNTIFS($B$57:$B$270,$B31,W$57:W$270,"&gt;0")</f>
        <v>18</v>
      </c>
      <c r="X32" s="107">
        <f>COUNTIFS($B$57:$B$270,$B31,X$57:X$270,"&gt;0")</f>
        <v>18</v>
      </c>
      <c r="Y32" s="1397"/>
      <c r="Z32" s="1397"/>
      <c r="AA32" s="107">
        <f>COUNTIFS($B$57:$B$270,$B31,AA$57:AA$270,"&lt;&gt;0")</f>
        <v>18</v>
      </c>
      <c r="AB32" s="107">
        <f>COUNTIFS($B$57:$B$270,$B31,AB$57:AB$270,"&lt;&gt;0")</f>
        <v>18</v>
      </c>
      <c r="AC32" s="1192"/>
      <c r="AD32" s="1192"/>
      <c r="AE32" s="571">
        <f>COUNTIF($B$57:$B$270,$B31)</f>
        <v>18</v>
      </c>
      <c r="AF32" s="571">
        <f>COUNTIFS($B$57:$B$270,$B31,AF$57:AF$270,"&gt;0")</f>
        <v>14</v>
      </c>
      <c r="AG32" s="1192"/>
      <c r="AH32" s="571">
        <f>COUNTIF($B$57:$B$270,$B31)</f>
        <v>18</v>
      </c>
      <c r="AI32" s="107">
        <f>COUNTIFS($B$57:$B$270,$B31,AI$57:AI$270,"&gt;0")</f>
        <v>0</v>
      </c>
      <c r="AJ32" s="1397"/>
      <c r="AK32" s="571">
        <f>COUNTIF($B$57:$B$270,$B31)</f>
        <v>18</v>
      </c>
      <c r="AL32" s="571">
        <f>COUNTIFS($B$57:$B$270,$B31,AL$57:AL$270,"&gt;0")</f>
        <v>8</v>
      </c>
      <c r="AM32" s="419"/>
      <c r="AN32" s="1397"/>
      <c r="AO32" s="419"/>
      <c r="AP32" s="419"/>
      <c r="AQ32" s="419"/>
      <c r="AR32" s="403"/>
      <c r="AS32" s="282"/>
      <c r="AT32" s="282"/>
      <c r="AU32" s="282"/>
      <c r="AV32" s="282"/>
      <c r="AW32" s="282"/>
      <c r="AX32" s="101">
        <f t="shared" ref="AX32:BE32" si="345">COUNTIF($B$57:$B$270,$B31)</f>
        <v>18</v>
      </c>
      <c r="AY32" s="101">
        <f t="shared" si="345"/>
        <v>18</v>
      </c>
      <c r="AZ32" s="101">
        <f t="shared" si="345"/>
        <v>18</v>
      </c>
      <c r="BA32" s="101">
        <f t="shared" si="345"/>
        <v>18</v>
      </c>
      <c r="BB32" s="101">
        <f t="shared" si="345"/>
        <v>18</v>
      </c>
      <c r="BC32" s="101">
        <f t="shared" si="345"/>
        <v>18</v>
      </c>
      <c r="BD32" s="101">
        <f t="shared" si="345"/>
        <v>18</v>
      </c>
      <c r="BE32" s="101">
        <f t="shared" si="345"/>
        <v>18</v>
      </c>
      <c r="BF32" s="106">
        <f t="shared" ref="BF32:BK32" si="346">COUNTIFS($B$57:$B$270,$B31,BF$57:BF$270,"&gt;0")</f>
        <v>6</v>
      </c>
      <c r="BG32" s="106">
        <f t="shared" si="346"/>
        <v>16</v>
      </c>
      <c r="BH32" s="106">
        <f t="shared" si="346"/>
        <v>17</v>
      </c>
      <c r="BI32" s="1269">
        <f t="shared" si="346"/>
        <v>18</v>
      </c>
      <c r="BJ32" s="106">
        <f t="shared" si="346"/>
        <v>18</v>
      </c>
      <c r="BK32" s="106">
        <f t="shared" si="346"/>
        <v>18</v>
      </c>
      <c r="BL32" s="292"/>
      <c r="BM32" s="101">
        <f>COUNTIF($B$57:$B$270,$B31)</f>
        <v>18</v>
      </c>
      <c r="BN32" s="106">
        <f>COUNTIFS($B$57:$B$270,$B31,BN$57:BN$270,"&gt;0")</f>
        <v>12</v>
      </c>
      <c r="BO32" s="282"/>
      <c r="BP32" s="106">
        <f>COUNTIFS($B$57:$B$270,$B31,BP$57:BP$270,"&gt;0")</f>
        <v>18</v>
      </c>
      <c r="BQ32" s="106">
        <f>COUNTIFS($B$57:$B$270,$B31,BQ$57:BQ$270,"&gt;0")</f>
        <v>18</v>
      </c>
      <c r="BR32" s="106">
        <f>COUNTIFS($B$57:$B$270,$B31,BR$57:BR$270,"&gt;0")</f>
        <v>18</v>
      </c>
      <c r="BS32" s="101">
        <f>COUNTIF($B$57:$B$270,$B31)</f>
        <v>18</v>
      </c>
      <c r="BT32" s="106">
        <f>COUNTIFS($B$57:$B$270,$B31,BT$57:BT$270,"&gt;0")</f>
        <v>18</v>
      </c>
      <c r="BU32" s="106">
        <f>COUNTIFS($B$57:$B$270,$B31,BU$57:BU$270,"&gt;0")</f>
        <v>18</v>
      </c>
      <c r="BV32" s="106">
        <f>COUNTIFS($B$57:$B$270,$B31,BV$57:BV$270,"&gt;0")</f>
        <v>18</v>
      </c>
      <c r="BW32" s="820"/>
      <c r="BX32" s="820"/>
      <c r="BY32" s="820"/>
      <c r="BZ32" s="405">
        <f t="shared" ref="BZ32:CI32" si="347">$CJ32</f>
        <v>18</v>
      </c>
      <c r="CA32" s="405">
        <f t="shared" si="347"/>
        <v>18</v>
      </c>
      <c r="CB32" s="405">
        <f t="shared" si="347"/>
        <v>18</v>
      </c>
      <c r="CC32" s="405">
        <f t="shared" si="347"/>
        <v>18</v>
      </c>
      <c r="CD32" s="405">
        <f t="shared" si="347"/>
        <v>18</v>
      </c>
      <c r="CE32" s="405">
        <f t="shared" si="347"/>
        <v>18</v>
      </c>
      <c r="CF32" s="405">
        <f t="shared" si="347"/>
        <v>18</v>
      </c>
      <c r="CG32" s="405">
        <f t="shared" si="347"/>
        <v>18</v>
      </c>
      <c r="CH32" s="405">
        <f t="shared" si="347"/>
        <v>18</v>
      </c>
      <c r="CI32" s="405">
        <f t="shared" si="347"/>
        <v>18</v>
      </c>
      <c r="CJ32" s="106">
        <f>COUNTIFS($B$57:$B$270,$B31,CJ$57:CJ$270,"&gt;0")</f>
        <v>18</v>
      </c>
      <c r="CK32" s="563">
        <f>CJ32-EY32</f>
        <v>0</v>
      </c>
      <c r="CL32" s="416"/>
      <c r="CM32" s="416"/>
      <c r="CN32" s="416"/>
      <c r="CO32" s="416"/>
      <c r="CP32" s="416"/>
      <c r="CQ32" s="416"/>
      <c r="CR32" s="416"/>
      <c r="CS32" s="416"/>
      <c r="CT32" s="416"/>
      <c r="CU32" s="416"/>
      <c r="CV32" s="405">
        <f t="shared" ref="CV32:DB32" si="348">$CJ32</f>
        <v>18</v>
      </c>
      <c r="CW32" s="405">
        <f t="shared" si="348"/>
        <v>18</v>
      </c>
      <c r="CX32" s="405">
        <f t="shared" si="348"/>
        <v>18</v>
      </c>
      <c r="CY32" s="405">
        <f t="shared" si="348"/>
        <v>18</v>
      </c>
      <c r="CZ32" s="405">
        <f t="shared" si="348"/>
        <v>18</v>
      </c>
      <c r="DA32" s="405">
        <f t="shared" si="348"/>
        <v>18</v>
      </c>
      <c r="DB32" s="405">
        <f t="shared" si="348"/>
        <v>18</v>
      </c>
      <c r="DC32" s="406"/>
      <c r="DD32" s="406"/>
      <c r="DE32" s="406"/>
      <c r="DF32" s="406"/>
      <c r="DG32" s="406"/>
      <c r="DH32" s="406"/>
      <c r="DI32" s="406"/>
      <c r="DK32" s="822"/>
      <c r="DL32" s="822"/>
      <c r="DM32" s="822"/>
      <c r="DN32" s="822"/>
      <c r="DO32" s="822"/>
      <c r="DP32" s="822"/>
      <c r="DQ32" s="822"/>
      <c r="DR32" s="822"/>
      <c r="DS32" s="822"/>
      <c r="DT32" s="822"/>
      <c r="DU32" s="822"/>
      <c r="DV32" s="822"/>
      <c r="DW32" s="822"/>
      <c r="DX32" s="822"/>
      <c r="DY32" s="822"/>
      <c r="DZ32" s="822"/>
      <c r="EA32" s="822"/>
      <c r="EB32" s="822"/>
      <c r="EC32" s="824"/>
      <c r="ED32" s="106">
        <f>COUNTIFS($B$57:$B$270,$B31,ED$57:ED$270,"&gt;0")</f>
        <v>18</v>
      </c>
      <c r="EE32" s="101">
        <f>COUNTIF($B$57:$B$270,$B31)</f>
        <v>18</v>
      </c>
      <c r="EF32" s="106">
        <f>COUNTIFS($B$57:$B$270,$B31,EF$57:EF$270,"&gt;0")</f>
        <v>11</v>
      </c>
      <c r="EG32" s="106">
        <f>COUNTIFS($B$57:$B$270,$B31,EG$57:EG$270,"&gt;0")</f>
        <v>11</v>
      </c>
      <c r="EH32" s="101">
        <f>COUNTIF($B$57:$B$270,$B31)</f>
        <v>18</v>
      </c>
      <c r="EI32" s="101">
        <f>COUNTIFS($B$57:$B$270,$B31,EI$57:EI$270,"&gt;0")</f>
        <v>13</v>
      </c>
      <c r="EJ32" s="823"/>
      <c r="EK32" s="101">
        <f>COUNTIF($B$57:$B$270,$B31)</f>
        <v>18</v>
      </c>
      <c r="EL32" s="106">
        <f>COUNTIFS($B$57:$B$270,$B31,EL$57:EL$270,"&gt;0")</f>
        <v>14</v>
      </c>
      <c r="EM32" s="101">
        <f>COUNTIF($B$57:$B$270,$B31)</f>
        <v>18</v>
      </c>
      <c r="EN32" s="101">
        <f>COUNTIFS($B$57:$B$270,$B31,EN$57:EN$270,"&gt;0")</f>
        <v>16</v>
      </c>
      <c r="EO32" s="101">
        <f>COUNTIF($B$57:$B$270,$B31)</f>
        <v>18</v>
      </c>
      <c r="EP32" s="106">
        <f>COUNTIFS($B$57:$B$270,$B31,EP$57:EP$270,"&gt;0")</f>
        <v>1</v>
      </c>
      <c r="EQ32" s="101">
        <f>COUNTIF($B$57:$B$270,$B31)</f>
        <v>18</v>
      </c>
      <c r="ER32" s="101">
        <f>COUNTIF($B$57:$B$270,$B31)</f>
        <v>18</v>
      </c>
      <c r="ES32" s="822"/>
      <c r="ET32" s="825"/>
      <c r="EU32" s="101">
        <f>COUNTIFS($B$57:$B$270,$B31,EU$57:EU$270,2)</f>
        <v>10</v>
      </c>
      <c r="EV32" s="106">
        <f>COUNTIFS($B$57:$B$270,$B31,EV$57:EV$270,"&gt;0")</f>
        <v>16</v>
      </c>
      <c r="EW32" s="101">
        <f>COUNTIFS($B$57:$B$270,$B31,EW$57:EW$270,"&gt;0")</f>
        <v>14</v>
      </c>
      <c r="EX32" s="101">
        <f>COUNTIFS($B$57:$B$270,$B31,EX$57:EX$270,1)</f>
        <v>15</v>
      </c>
      <c r="EY32" s="101">
        <f>COUNTIFS($B$57:$B$270,$B31,EY$57:EY$270,"&gt;0")</f>
        <v>18</v>
      </c>
      <c r="EZ32" s="6">
        <f>$EY32</f>
        <v>18</v>
      </c>
      <c r="FA32" s="6"/>
      <c r="FB32" s="6">
        <f>$EY32</f>
        <v>18</v>
      </c>
      <c r="FC32" s="6">
        <f>$EY32</f>
        <v>18</v>
      </c>
      <c r="FD32" s="102"/>
      <c r="FE32" s="102"/>
      <c r="FF32" s="102"/>
      <c r="FG32" s="102"/>
      <c r="FH32" s="416"/>
      <c r="FI32" s="416"/>
      <c r="FJ32" s="416"/>
      <c r="FK32" s="416"/>
      <c r="FL32" s="416"/>
      <c r="FM32" s="416"/>
      <c r="FN32" s="416"/>
      <c r="FO32" s="416"/>
      <c r="FP32" s="416"/>
      <c r="FQ32" s="6">
        <f t="shared" ref="FQ32:FW32" si="349">$EY32</f>
        <v>18</v>
      </c>
      <c r="FR32" s="77">
        <f t="shared" si="349"/>
        <v>18</v>
      </c>
      <c r="FS32" s="6">
        <f t="shared" si="349"/>
        <v>18</v>
      </c>
      <c r="FT32" s="6">
        <f t="shared" si="349"/>
        <v>18</v>
      </c>
      <c r="FU32" s="6">
        <f t="shared" si="349"/>
        <v>18</v>
      </c>
      <c r="FV32" s="6">
        <f t="shared" si="349"/>
        <v>18</v>
      </c>
      <c r="FW32" s="6">
        <f t="shared" si="349"/>
        <v>18</v>
      </c>
      <c r="FX32" s="409"/>
      <c r="FY32" s="410"/>
      <c r="FZ32" s="416"/>
      <c r="GA32" s="416"/>
      <c r="GB32" s="416"/>
      <c r="GC32" s="416"/>
      <c r="GD32" s="416"/>
      <c r="GE32" s="416"/>
      <c r="GF32" s="416"/>
      <c r="GG32" s="416"/>
      <c r="GH32" s="416"/>
      <c r="GI32" s="419"/>
      <c r="GJ32" s="101">
        <f>COUNTIF($B$57:$B$270,$B31)</f>
        <v>18</v>
      </c>
      <c r="GK32" s="101">
        <f>COUNTIFS($B$57:$B$270,$B31,GK$57:GK$270,"&gt;0")</f>
        <v>13</v>
      </c>
      <c r="GL32" s="101">
        <f>COUNTIF($B$57:$B$270,$B31)</f>
        <v>18</v>
      </c>
      <c r="GM32" s="101">
        <f>COUNTIFS($B$57:$B$270,$B31,GM$57:GM$270,"&gt;0")</f>
        <v>10</v>
      </c>
      <c r="GN32" s="7">
        <f t="shared" ref="GN32:GV32" si="350">$GW32</f>
        <v>15</v>
      </c>
      <c r="GO32" s="7">
        <f t="shared" si="350"/>
        <v>15</v>
      </c>
      <c r="GP32" s="7">
        <f t="shared" si="350"/>
        <v>15</v>
      </c>
      <c r="GQ32" s="7">
        <f t="shared" si="350"/>
        <v>15</v>
      </c>
      <c r="GR32" s="7">
        <f t="shared" si="350"/>
        <v>15</v>
      </c>
      <c r="GS32" s="7">
        <f t="shared" si="350"/>
        <v>15</v>
      </c>
      <c r="GT32" s="7">
        <f t="shared" si="350"/>
        <v>15</v>
      </c>
      <c r="GU32" s="7">
        <f t="shared" si="350"/>
        <v>15</v>
      </c>
      <c r="GV32" s="7">
        <f t="shared" si="350"/>
        <v>15</v>
      </c>
      <c r="GW32" s="103">
        <f>COUNTIFS($B$57:$B$270,$B31,GW$57:GW$270,"&gt;0")</f>
        <v>15</v>
      </c>
      <c r="GY32" s="104"/>
      <c r="GZ32" s="20"/>
      <c r="HA32" s="20"/>
      <c r="HB32" s="20"/>
      <c r="HC32" s="105"/>
      <c r="HD32" s="20"/>
      <c r="HE32" s="20"/>
      <c r="HF32" s="105"/>
      <c r="HG32" s="9">
        <f t="shared" ref="HG32:HO32" si="351">$HP32</f>
        <v>2</v>
      </c>
      <c r="HH32" s="9">
        <f t="shared" si="351"/>
        <v>2</v>
      </c>
      <c r="HI32" s="9">
        <f t="shared" si="351"/>
        <v>2</v>
      </c>
      <c r="HJ32" s="9">
        <f t="shared" si="351"/>
        <v>2</v>
      </c>
      <c r="HK32" s="9">
        <f t="shared" si="351"/>
        <v>2</v>
      </c>
      <c r="HL32" s="9">
        <f t="shared" si="351"/>
        <v>2</v>
      </c>
      <c r="HM32" s="9">
        <f t="shared" si="351"/>
        <v>2</v>
      </c>
      <c r="HN32" s="9">
        <f t="shared" si="351"/>
        <v>2</v>
      </c>
      <c r="HO32" s="9">
        <f t="shared" si="351"/>
        <v>2</v>
      </c>
      <c r="HP32" s="106">
        <f>COUNTIFS($B$57:$B$270,$B31,HP$57:HP$270,"&gt;0")</f>
        <v>2</v>
      </c>
      <c r="HR32" s="107"/>
      <c r="HS32" s="105"/>
      <c r="HT32" s="105"/>
      <c r="HU32" s="105"/>
      <c r="HV32" s="105"/>
      <c r="HW32" s="105"/>
      <c r="HX32" s="105"/>
      <c r="HY32" s="105"/>
      <c r="HZ32" s="51"/>
      <c r="IA32" s="414"/>
      <c r="IB32" s="414"/>
      <c r="IC32" s="413">
        <f>COUNTIF($B$57:$B$270,$B31)</f>
        <v>18</v>
      </c>
      <c r="IE32" s="413">
        <f>COUNTIF($B$57:$B$270,$B31)</f>
        <v>18</v>
      </c>
      <c r="IG32" s="820"/>
      <c r="IH32" s="820"/>
      <c r="II32" s="106">
        <f>COUNTIFS($B$57:$B$270,$B31,II$57:II$270,"&gt;0")</f>
        <v>11</v>
      </c>
      <c r="IJ32" s="106">
        <f>COUNTIFS($B$57:$B$270,$B31,IJ$57:IJ$270,"&gt;0")</f>
        <v>7</v>
      </c>
      <c r="IK32" s="413">
        <f>COUNTIF($B$57:$B$270,$B31)</f>
        <v>18</v>
      </c>
      <c r="IL32" s="413">
        <f>COUNTIF($B$57:$B$270,$B31)</f>
        <v>18</v>
      </c>
      <c r="IM32" s="413">
        <f>COUNTIF($B$57:$B$270,$B31)</f>
        <v>18</v>
      </c>
      <c r="IN32" s="413">
        <f>COUNTIF($B$57:$B$270,$B31)</f>
        <v>18</v>
      </c>
      <c r="IO32" s="853"/>
      <c r="IP32" s="851"/>
      <c r="IQ32" s="854"/>
      <c r="IR32" s="414"/>
      <c r="IS32" s="414"/>
      <c r="IT32" s="414"/>
      <c r="IU32" s="414"/>
      <c r="IV32" s="414"/>
      <c r="IW32" s="414"/>
      <c r="IX32" s="416"/>
      <c r="IY32" s="416"/>
      <c r="IZ32" s="416"/>
      <c r="JA32" s="416"/>
      <c r="JB32" s="416"/>
      <c r="JC32" s="416"/>
      <c r="JD32" s="414"/>
      <c r="JE32" s="414"/>
      <c r="JF32" s="414"/>
      <c r="JG32" s="414"/>
      <c r="JH32" s="414">
        <f>COUNTIF($B$57:$B$270,$B31)</f>
        <v>18</v>
      </c>
      <c r="JI32" s="414">
        <f>COUNTIF($B$57:$B$270,$B31)</f>
        <v>18</v>
      </c>
      <c r="JJ32" s="414">
        <f t="shared" ref="JJ32:JQ32" si="352">COUNTIFS($B$57:$B$270,$B31,JJ$57:JJ$270,"&gt;0")</f>
        <v>17</v>
      </c>
      <c r="JK32" s="414">
        <f t="shared" si="352"/>
        <v>18</v>
      </c>
      <c r="JL32" s="414">
        <f t="shared" si="352"/>
        <v>18</v>
      </c>
      <c r="JM32" s="414">
        <f t="shared" si="352"/>
        <v>17</v>
      </c>
      <c r="JN32" s="414">
        <f t="shared" si="352"/>
        <v>18</v>
      </c>
      <c r="JO32" s="414">
        <f t="shared" si="352"/>
        <v>8</v>
      </c>
      <c r="JP32" s="414">
        <f t="shared" si="352"/>
        <v>18</v>
      </c>
      <c r="JQ32" s="414">
        <f t="shared" si="352"/>
        <v>18</v>
      </c>
      <c r="JR32" s="414"/>
      <c r="JS32" s="414"/>
      <c r="JT32" s="414"/>
      <c r="JU32" s="414"/>
      <c r="JV32" s="414"/>
      <c r="JW32" s="414"/>
      <c r="JX32" s="414"/>
      <c r="JY32" s="101">
        <f>COUNTIFS($B$57:$B$270,$B31,JY$57:JY$270,"&gt;0")</f>
        <v>15</v>
      </c>
      <c r="JZ32" s="414"/>
      <c r="KA32" s="414"/>
      <c r="KB32" s="414"/>
      <c r="KC32" s="414"/>
      <c r="KD32" s="414"/>
      <c r="KE32" s="414"/>
      <c r="KF32" s="414"/>
      <c r="KG32" s="414"/>
      <c r="KH32" s="414"/>
      <c r="KI32" s="101">
        <f t="shared" ref="KI32:KV32" si="353">COUNTIFS($B$57:$B$270,$B31,KI$57:KI$270,"&gt;0")</f>
        <v>2</v>
      </c>
      <c r="KJ32" s="61">
        <f t="shared" si="353"/>
        <v>17</v>
      </c>
      <c r="KK32" s="61">
        <f t="shared" si="353"/>
        <v>17</v>
      </c>
      <c r="KL32" s="61">
        <f t="shared" si="353"/>
        <v>17</v>
      </c>
      <c r="KM32" s="61">
        <f t="shared" si="353"/>
        <v>17</v>
      </c>
      <c r="KN32" s="61">
        <f t="shared" si="353"/>
        <v>17</v>
      </c>
      <c r="KO32" s="61">
        <f t="shared" si="353"/>
        <v>17</v>
      </c>
      <c r="KP32" s="61">
        <f t="shared" si="353"/>
        <v>17</v>
      </c>
      <c r="KQ32" s="61">
        <f t="shared" si="353"/>
        <v>17</v>
      </c>
      <c r="KR32" s="61">
        <f t="shared" si="353"/>
        <v>17</v>
      </c>
      <c r="KS32" s="61">
        <f t="shared" si="353"/>
        <v>17</v>
      </c>
      <c r="KT32" s="61">
        <f t="shared" si="353"/>
        <v>11</v>
      </c>
      <c r="KU32" s="61">
        <f t="shared" si="353"/>
        <v>17</v>
      </c>
      <c r="KV32" s="61">
        <f t="shared" si="353"/>
        <v>17</v>
      </c>
      <c r="KW32" s="393">
        <f>COUNTIFS($B$57:$B$270,$B31,KW$57:KW$270,"&lt;&gt;0")</f>
        <v>17</v>
      </c>
      <c r="KX32" s="108"/>
      <c r="KY32" s="421"/>
      <c r="KZ32" s="421"/>
      <c r="LA32" s="421"/>
      <c r="LB32" s="421"/>
      <c r="LQ32" s="421"/>
      <c r="LR32" s="421"/>
      <c r="LS32" s="421"/>
      <c r="LT32" s="282"/>
      <c r="LU32" s="282"/>
      <c r="LV32" s="282"/>
      <c r="LW32" s="282"/>
      <c r="LX32" s="282"/>
      <c r="LY32" s="282"/>
      <c r="LZ32" s="282"/>
      <c r="MA32" s="282"/>
      <c r="MB32" s="282"/>
      <c r="MC32" s="282"/>
      <c r="MD32" s="282"/>
      <c r="ME32" s="282"/>
      <c r="MF32" s="282"/>
      <c r="MG32" s="282"/>
      <c r="MH32" s="282"/>
      <c r="MI32" s="282"/>
      <c r="MJ32" s="282"/>
      <c r="MK32" s="282"/>
      <c r="ML32" s="282"/>
      <c r="MM32" s="1232"/>
      <c r="MN32" s="1232"/>
      <c r="MO32" s="1232"/>
      <c r="MP32" s="1232"/>
      <c r="MS32" s="421"/>
      <c r="MT32" s="421"/>
      <c r="MU32" s="421"/>
      <c r="MV32" s="421"/>
      <c r="MW32" s="421"/>
      <c r="MX32" s="421"/>
      <c r="MY32" s="421"/>
      <c r="MZ32" s="421"/>
      <c r="NA32" s="421"/>
      <c r="NB32" s="421"/>
      <c r="NC32" s="421"/>
      <c r="ND32" s="421"/>
      <c r="NE32" s="421"/>
      <c r="NF32" s="421"/>
      <c r="NG32" s="421"/>
      <c r="NH32" s="421"/>
      <c r="NI32" s="421"/>
      <c r="NJ32" s="421"/>
      <c r="NK32" s="421"/>
      <c r="NL32" s="421"/>
      <c r="OQ32" s="282"/>
      <c r="OR32" s="282"/>
      <c r="OS32" s="282"/>
      <c r="OT32" s="282"/>
      <c r="OU32" s="282"/>
      <c r="OV32" s="282"/>
      <c r="OW32" s="282"/>
      <c r="OX32" s="282"/>
      <c r="OY32" s="282"/>
      <c r="OZ32" s="282"/>
      <c r="PA32" s="282"/>
      <c r="PB32" s="282"/>
      <c r="PC32" s="282"/>
      <c r="PD32" s="282"/>
      <c r="PE32" s="282"/>
      <c r="PF32" s="282"/>
      <c r="PG32" s="282"/>
      <c r="PH32" s="282"/>
      <c r="PI32" s="282"/>
      <c r="PJ32" s="282"/>
      <c r="PK32" s="282"/>
      <c r="PL32" s="282"/>
      <c r="PM32" s="282"/>
    </row>
    <row r="33" spans="1:429" ht="15.6" outlineLevel="1">
      <c r="A33" s="2057"/>
      <c r="B33" s="897"/>
      <c r="C33" s="898" t="s">
        <v>383</v>
      </c>
      <c r="D33" s="897"/>
      <c r="E33" s="1531"/>
      <c r="F33" s="899">
        <f>ROUND(F31/F32,2)</f>
        <v>0</v>
      </c>
      <c r="G33" s="899">
        <f>ROUND(G31/G32,2)</f>
        <v>1</v>
      </c>
      <c r="H33" s="900">
        <f>ROUND(H31/H32,-1)</f>
        <v>820</v>
      </c>
      <c r="I33" s="900">
        <f>ROUND(I31/I32,-1)</f>
        <v>440</v>
      </c>
      <c r="J33" s="900">
        <f>ROUND(J31/J32,-1)</f>
        <v>1040</v>
      </c>
      <c r="K33" s="916">
        <f>ROUND(K31/K32,-1)</f>
        <v>900</v>
      </c>
      <c r="L33" s="1083"/>
      <c r="M33" s="1084"/>
      <c r="N33" s="1085"/>
      <c r="O33" s="1084"/>
      <c r="P33" s="1084"/>
      <c r="Q33" s="901">
        <f t="shared" ref="Q33:X33" si="354">ROUND(Q31/Q32,-2)</f>
        <v>0</v>
      </c>
      <c r="R33" s="901">
        <f t="shared" si="354"/>
        <v>5500</v>
      </c>
      <c r="S33" s="901">
        <f t="shared" si="354"/>
        <v>5500</v>
      </c>
      <c r="T33" s="1069"/>
      <c r="U33" s="1069"/>
      <c r="V33" s="1069"/>
      <c r="W33" s="901">
        <f t="shared" si="354"/>
        <v>7100</v>
      </c>
      <c r="X33" s="1387">
        <f t="shared" si="354"/>
        <v>6500</v>
      </c>
      <c r="Y33" s="1388"/>
      <c r="Z33" s="1388"/>
      <c r="AA33" s="1389">
        <f>ROUND(AA31/AA32,-1)</f>
        <v>620</v>
      </c>
      <c r="AB33" s="1389">
        <f>ROUND(AB31/AB32,2)</f>
        <v>0.09</v>
      </c>
      <c r="AC33" s="1390"/>
      <c r="AD33" s="1391"/>
      <c r="AE33" s="1392">
        <f>ROUND(AE31/AE32,2)</f>
        <v>0.78</v>
      </c>
      <c r="AF33" s="1394">
        <f>ROUND(AF31/AF32,-2)</f>
        <v>1100</v>
      </c>
      <c r="AG33" s="1393"/>
      <c r="AH33" s="1392">
        <f>ROUND(AH31/AH32,2)</f>
        <v>0</v>
      </c>
      <c r="AI33" s="1389">
        <f>IF(AI31=0,0,ROUND(AI31/AI32,-1))</f>
        <v>0</v>
      </c>
      <c r="AJ33" s="1388"/>
      <c r="AK33" s="1392">
        <f>ROUND(AK31/AK32,2)</f>
        <v>0.44</v>
      </c>
      <c r="AL33" s="1394">
        <f>IF(AL31=0,0,ROUND(AL31/AL32,-1))</f>
        <v>1080</v>
      </c>
      <c r="AM33" s="1395">
        <f>X33+AF33+AI33+AL33</f>
        <v>8680</v>
      </c>
      <c r="AN33" s="1388">
        <f>Z33+AG33+AJ33</f>
        <v>0</v>
      </c>
      <c r="AO33" s="1395">
        <f>SWCIRA_fb_min_amt</f>
        <v>700</v>
      </c>
      <c r="AP33" s="1395">
        <f>ROUND(EP33*12,-2)</f>
        <v>600</v>
      </c>
      <c r="AQ33" s="1395">
        <f>+AM33+AO33+AP33</f>
        <v>9980</v>
      </c>
      <c r="AR33" s="903">
        <f>ROUND(Z33+AG33+AJ33,-2)</f>
        <v>0</v>
      </c>
      <c r="AS33" s="1124"/>
      <c r="AT33" s="1124"/>
      <c r="AU33" s="1124"/>
      <c r="AV33" s="1124"/>
      <c r="AW33" s="1068"/>
      <c r="AX33" s="899">
        <f>ROUND(AX31/AX32,2)</f>
        <v>0.33</v>
      </c>
      <c r="AY33" s="899">
        <f>ROUND(AY31/AY32,2)</f>
        <v>0.22</v>
      </c>
      <c r="AZ33" s="899">
        <f>ROUND(AZ31/AZ32,2)</f>
        <v>0.06</v>
      </c>
      <c r="BA33" s="899">
        <f>ROUND(BA31/BA32,2)</f>
        <v>0.06</v>
      </c>
      <c r="BB33" s="899">
        <f t="shared" ref="BB33:BC33" si="355">ROUND(BB31/BB32,2)</f>
        <v>0</v>
      </c>
      <c r="BC33" s="899">
        <f t="shared" si="355"/>
        <v>0.06</v>
      </c>
      <c r="BD33" s="899">
        <f>ROUND(BD31/BD32,2)</f>
        <v>0.11</v>
      </c>
      <c r="BE33" s="899">
        <f t="shared" ref="BE33" si="356">ROUND(BE31/BE32,2)</f>
        <v>0.33</v>
      </c>
      <c r="BF33" s="900">
        <f t="shared" ref="BF33:BK33" si="357">ROUND(BF31/BF32,-2)</f>
        <v>11839700</v>
      </c>
      <c r="BG33" s="901">
        <f t="shared" si="357"/>
        <v>871200</v>
      </c>
      <c r="BH33" s="901">
        <f t="shared" si="357"/>
        <v>4998700</v>
      </c>
      <c r="BI33" s="1266">
        <f t="shared" si="357"/>
        <v>11801200</v>
      </c>
      <c r="BJ33" s="901">
        <f t="shared" si="357"/>
        <v>1281600</v>
      </c>
      <c r="BK33" s="901">
        <f t="shared" si="357"/>
        <v>1083400</v>
      </c>
      <c r="BL33" s="904">
        <f>ROUND(BJ33/BK33,2)</f>
        <v>1.18</v>
      </c>
      <c r="BM33" s="899">
        <f>ROUND(BM31/BM32,2)</f>
        <v>0.67</v>
      </c>
      <c r="BN33" s="901">
        <f>ROUND(BN31/BN32,-2)</f>
        <v>1145700</v>
      </c>
      <c r="BO33" s="1135"/>
      <c r="BP33" s="901">
        <f t="shared" ref="BP33:BQ33" si="358">ROUND(BP31/BP32,-2)</f>
        <v>6329400</v>
      </c>
      <c r="BQ33" s="901">
        <f t="shared" si="358"/>
        <v>5369300</v>
      </c>
      <c r="BR33" s="1219">
        <f>ROUND(BR31/BR32,1)</f>
        <v>1.4</v>
      </c>
      <c r="BS33" s="899">
        <f>ROUND(BS31/BS32,2)</f>
        <v>0.61</v>
      </c>
      <c r="BT33" s="901">
        <f t="shared" ref="BT33:BU33" si="359">ROUND(BT31/BT32,-2)</f>
        <v>6432800</v>
      </c>
      <c r="BU33" s="901">
        <f t="shared" si="359"/>
        <v>15373800</v>
      </c>
      <c r="BV33" s="1219">
        <f>ROUND(BV31/BV32,1)</f>
        <v>0.4</v>
      </c>
      <c r="BW33" s="916">
        <f>IF(BN33=0,0,+IF(K33=0,0,ROUND(BN33/K33,-1)))</f>
        <v>1270</v>
      </c>
      <c r="BX33" s="916">
        <f>IF(BJ33=0,0,+IF(K33=0,0,ROUND(BJ33/K33,-1)))</f>
        <v>1420</v>
      </c>
      <c r="BY33" s="916">
        <f>IF(BH33=0,0,+IF(K33=0,0,ROUND(BH33/K33,-1)))</f>
        <v>5550</v>
      </c>
      <c r="BZ33" s="900">
        <f t="shared" ref="BZ33:CI33" si="360">ROUND(BZ31/BZ32,-3)</f>
        <v>1351000</v>
      </c>
      <c r="CA33" s="900">
        <f t="shared" si="360"/>
        <v>23000</v>
      </c>
      <c r="CB33" s="900">
        <f t="shared" si="360"/>
        <v>296000</v>
      </c>
      <c r="CC33" s="900">
        <f t="shared" si="360"/>
        <v>202000</v>
      </c>
      <c r="CD33" s="900">
        <f t="shared" si="360"/>
        <v>5534000</v>
      </c>
      <c r="CE33" s="900">
        <f t="shared" si="360"/>
        <v>0</v>
      </c>
      <c r="CF33" s="900">
        <f t="shared" si="360"/>
        <v>0</v>
      </c>
      <c r="CG33" s="900">
        <f t="shared" si="360"/>
        <v>1271000</v>
      </c>
      <c r="CH33" s="900">
        <f t="shared" si="360"/>
        <v>672000</v>
      </c>
      <c r="CI33" s="900">
        <f t="shared" si="360"/>
        <v>482000</v>
      </c>
      <c r="CJ33" s="905">
        <f>SUM(BZ33:CI33)</f>
        <v>9831000</v>
      </c>
      <c r="CK33" s="906">
        <f t="shared" ref="CK33:CU33" si="361">ROUND(BZ33/$CJ33,3)</f>
        <v>0.13700000000000001</v>
      </c>
      <c r="CL33" s="906">
        <f t="shared" si="361"/>
        <v>2E-3</v>
      </c>
      <c r="CM33" s="906">
        <f t="shared" si="361"/>
        <v>0.03</v>
      </c>
      <c r="CN33" s="906">
        <f t="shared" si="361"/>
        <v>2.1000000000000001E-2</v>
      </c>
      <c r="CO33" s="906">
        <f t="shared" si="361"/>
        <v>0.56299999999999994</v>
      </c>
      <c r="CP33" s="906">
        <f t="shared" si="361"/>
        <v>0</v>
      </c>
      <c r="CQ33" s="906">
        <f t="shared" si="361"/>
        <v>0</v>
      </c>
      <c r="CR33" s="906">
        <f t="shared" si="361"/>
        <v>0.129</v>
      </c>
      <c r="CS33" s="906">
        <f t="shared" si="361"/>
        <v>6.8000000000000005E-2</v>
      </c>
      <c r="CT33" s="906">
        <f>ROUND(CI33/$CJ33,3)</f>
        <v>4.9000000000000002E-2</v>
      </c>
      <c r="CU33" s="906">
        <f t="shared" si="361"/>
        <v>1</v>
      </c>
      <c r="CV33" s="900">
        <f t="shared" ref="CV33:DB33" si="362">ROUND(CV31/CV32,-3)</f>
        <v>4770000</v>
      </c>
      <c r="CW33" s="900">
        <f t="shared" si="362"/>
        <v>835000</v>
      </c>
      <c r="CX33" s="900">
        <f t="shared" si="362"/>
        <v>225000</v>
      </c>
      <c r="CY33" s="900">
        <f t="shared" si="362"/>
        <v>3578000</v>
      </c>
      <c r="CZ33" s="900">
        <f>ROUND(CZ31/CZ32,-3)</f>
        <v>10000</v>
      </c>
      <c r="DA33" s="900">
        <f t="shared" si="362"/>
        <v>271000</v>
      </c>
      <c r="DB33" s="900">
        <f t="shared" si="362"/>
        <v>9690000</v>
      </c>
      <c r="DC33" s="906">
        <f t="shared" ref="DC33:DI33" si="363">ROUND(CV33/$DB33,3)</f>
        <v>0.49199999999999999</v>
      </c>
      <c r="DD33" s="906">
        <f t="shared" si="363"/>
        <v>8.5999999999999993E-2</v>
      </c>
      <c r="DE33" s="906">
        <f t="shared" si="363"/>
        <v>2.3E-2</v>
      </c>
      <c r="DF33" s="906">
        <f t="shared" si="363"/>
        <v>0.36899999999999999</v>
      </c>
      <c r="DG33" s="906">
        <f t="shared" si="363"/>
        <v>1E-3</v>
      </c>
      <c r="DH33" s="906">
        <f t="shared" si="363"/>
        <v>2.8000000000000001E-2</v>
      </c>
      <c r="DI33" s="906">
        <f t="shared" si="363"/>
        <v>1</v>
      </c>
      <c r="DJ33" s="907">
        <f>CJ33-DB33</f>
        <v>141000</v>
      </c>
      <c r="DK33" s="917">
        <f t="shared" ref="DK33:DT33" si="364">IF(BZ33=0,0,+IF($K33=0,0,ROUND(BZ33/$K33,-1)))</f>
        <v>1500</v>
      </c>
      <c r="DL33" s="917">
        <f t="shared" si="364"/>
        <v>30</v>
      </c>
      <c r="DM33" s="917">
        <f t="shared" si="364"/>
        <v>330</v>
      </c>
      <c r="DN33" s="917">
        <f t="shared" si="364"/>
        <v>220</v>
      </c>
      <c r="DO33" s="917">
        <f t="shared" si="364"/>
        <v>6150</v>
      </c>
      <c r="DP33" s="917">
        <f t="shared" si="364"/>
        <v>0</v>
      </c>
      <c r="DQ33" s="917">
        <f t="shared" si="364"/>
        <v>0</v>
      </c>
      <c r="DR33" s="917">
        <f t="shared" si="364"/>
        <v>1410</v>
      </c>
      <c r="DS33" s="917">
        <f t="shared" si="364"/>
        <v>750</v>
      </c>
      <c r="DT33" s="917">
        <f t="shared" si="364"/>
        <v>540</v>
      </c>
      <c r="DU33" s="917">
        <f>SUM(DK33:DT33)</f>
        <v>10930</v>
      </c>
      <c r="DV33" s="917">
        <f t="shared" ref="DV33:EA33" si="365">IF(CV33=0,0,+IF($K33=0,0,ROUND(CV33/$K33,-1)))</f>
        <v>5300</v>
      </c>
      <c r="DW33" s="917">
        <f t="shared" si="365"/>
        <v>930</v>
      </c>
      <c r="DX33" s="917">
        <f t="shared" si="365"/>
        <v>250</v>
      </c>
      <c r="DY33" s="917">
        <f t="shared" si="365"/>
        <v>3980</v>
      </c>
      <c r="DZ33" s="917">
        <f t="shared" si="365"/>
        <v>10</v>
      </c>
      <c r="EA33" s="917">
        <f t="shared" si="365"/>
        <v>300</v>
      </c>
      <c r="EB33" s="917">
        <f>SUM(DV33:EA33)</f>
        <v>10770</v>
      </c>
      <c r="EC33" s="919">
        <f>DU33-EB33</f>
        <v>160</v>
      </c>
      <c r="ED33" s="901">
        <f>ROUND(ED31/ED32,0)</f>
        <v>101</v>
      </c>
      <c r="EE33" s="899">
        <f>ROUND(EE31/EE32,2)</f>
        <v>0.61</v>
      </c>
      <c r="EF33" s="901">
        <f>IF(EF31=0,0,ROUND(EF31/EF32,0))</f>
        <v>18</v>
      </c>
      <c r="EG33" s="901">
        <f>ROUND(EG31/EG32,-1)</f>
        <v>59910</v>
      </c>
      <c r="EH33" s="899">
        <f>ROUND(EH31/EH32,2)</f>
        <v>0.72</v>
      </c>
      <c r="EI33" s="899">
        <f>ROUND(EI31/EI32,2)</f>
        <v>0.08</v>
      </c>
      <c r="EJ33" s="918">
        <f>IF(K33=0,0,+IF(ED33=0,0,ROUND(K33/ED33,1)))</f>
        <v>8.9</v>
      </c>
      <c r="EK33" s="899">
        <f>ROUND(EK31/EK32,2)</f>
        <v>0.78</v>
      </c>
      <c r="EL33" s="901">
        <f>ROUND(EL31/EL32,-2)</f>
        <v>700</v>
      </c>
      <c r="EM33" s="899">
        <f>ROUND(EM31/EM32,2)</f>
        <v>0.89</v>
      </c>
      <c r="EN33" s="897">
        <f>ROUND(EN31/EN32,2)</f>
        <v>0.19</v>
      </c>
      <c r="EO33" s="899">
        <f>ROUND(EO31/EO32,2)</f>
        <v>0.06</v>
      </c>
      <c r="EP33" s="901">
        <f>IF(EP31=0,0,ROUND(EP31/EP32,-1))</f>
        <v>50</v>
      </c>
      <c r="EQ33" s="899">
        <f>ROUND(EQ31/EQ32,2)</f>
        <v>0.06</v>
      </c>
      <c r="ER33" s="899">
        <f>ROUND(ER31/ER32,2)</f>
        <v>0.06</v>
      </c>
      <c r="ES33" s="917">
        <f>IF(FE33=0,0,+IF(K33=0,0,ROUND(FE33/K33,-2)))</f>
        <v>2200</v>
      </c>
      <c r="ET33" s="919">
        <f>IF(FY33=0,0,+IF(K33=0,0,ROUND(FY33/K33,-1)))</f>
        <v>-1020</v>
      </c>
      <c r="EU33" s="900">
        <f>COUNTIFS($B$57:$B$270,$B31,EU$57:EU$270,"&gt;2")</f>
        <v>0</v>
      </c>
      <c r="EV33" s="900">
        <f t="shared" ref="EV33:EZ33" si="366">ROUND(EV31/EV32,-2)</f>
        <v>64700</v>
      </c>
      <c r="EW33" s="900">
        <f t="shared" si="366"/>
        <v>5800</v>
      </c>
      <c r="EX33" s="900">
        <f>COUNTIFS($B$57:$B$270,$B31,EX$57:EX$270,2)</f>
        <v>2</v>
      </c>
      <c r="EY33" s="908">
        <f t="shared" si="366"/>
        <v>1271300</v>
      </c>
      <c r="EZ33" s="908">
        <f t="shared" si="366"/>
        <v>600600</v>
      </c>
      <c r="FA33" s="909">
        <f>EY33-EZ33</f>
        <v>670700</v>
      </c>
      <c r="FB33" s="908">
        <f>ROUND(FB31/FB32,-2)</f>
        <v>672500</v>
      </c>
      <c r="FC33" s="908">
        <f>ROUND(FC31/FC32,-2)</f>
        <v>234200</v>
      </c>
      <c r="FD33" s="909">
        <f>FB33-FC33</f>
        <v>438300</v>
      </c>
      <c r="FE33" s="909">
        <f>EY33+FB33</f>
        <v>1943800</v>
      </c>
      <c r="FF33" s="909">
        <f>EZ33+FC33</f>
        <v>834800</v>
      </c>
      <c r="FG33" s="909">
        <f>FE33-FF33</f>
        <v>1109000</v>
      </c>
      <c r="FH33" s="906">
        <f>ROUND(EY33/$EY33,3)</f>
        <v>1</v>
      </c>
      <c r="FI33" s="906">
        <f>ROUND(EZ33/$EY33,3)</f>
        <v>0.47199999999999998</v>
      </c>
      <c r="FJ33" s="906">
        <f>ROUND(FA33/$EY33,3)</f>
        <v>0.52800000000000002</v>
      </c>
      <c r="FK33" s="906">
        <f>ROUND(FB33/$FB33,3)</f>
        <v>1</v>
      </c>
      <c r="FL33" s="906">
        <f>ROUND(FC33/$FB33,3)</f>
        <v>0.34799999999999998</v>
      </c>
      <c r="FM33" s="906">
        <f>ROUND(FD33/$FB33,3)</f>
        <v>0.65200000000000002</v>
      </c>
      <c r="FN33" s="906">
        <f>ROUND(FE33/$FE33,3)</f>
        <v>1</v>
      </c>
      <c r="FO33" s="906">
        <f>ROUND(FF33/$FE33,3)</f>
        <v>0.42899999999999999</v>
      </c>
      <c r="FP33" s="906">
        <f>ROUND(FG33/$FE33,3)</f>
        <v>0.57099999999999995</v>
      </c>
      <c r="FQ33" s="908">
        <f t="shared" ref="FQ33:FW33" si="367">ROUND(FQ31/FQ32,-2)</f>
        <v>1336000</v>
      </c>
      <c r="FR33" s="893">
        <f t="shared" si="367"/>
        <v>-19400</v>
      </c>
      <c r="FS33" s="908">
        <f t="shared" si="367"/>
        <v>302400</v>
      </c>
      <c r="FT33" s="908">
        <f t="shared" si="367"/>
        <v>26700</v>
      </c>
      <c r="FU33" s="908">
        <f t="shared" si="367"/>
        <v>42300</v>
      </c>
      <c r="FV33" s="908">
        <f t="shared" si="367"/>
        <v>13500</v>
      </c>
      <c r="FW33" s="908">
        <f t="shared" si="367"/>
        <v>327000</v>
      </c>
      <c r="FX33" s="909">
        <f>SUM(FQ33:FW33)</f>
        <v>2028500</v>
      </c>
      <c r="FY33" s="910">
        <f>ROUND(FG33-FX33,-2)</f>
        <v>-919500</v>
      </c>
      <c r="FZ33" s="906">
        <f t="shared" ref="FZ33:GH33" si="368">ROUND(FQ33/$FE33,3)</f>
        <v>0.68700000000000006</v>
      </c>
      <c r="GA33" s="906">
        <f t="shared" si="368"/>
        <v>-0.01</v>
      </c>
      <c r="GB33" s="906">
        <f t="shared" si="368"/>
        <v>0.156</v>
      </c>
      <c r="GC33" s="906">
        <f t="shared" si="368"/>
        <v>1.4E-2</v>
      </c>
      <c r="GD33" s="906">
        <f t="shared" si="368"/>
        <v>2.1999999999999999E-2</v>
      </c>
      <c r="GE33" s="906">
        <f t="shared" si="368"/>
        <v>7.0000000000000001E-3</v>
      </c>
      <c r="GF33" s="906">
        <f t="shared" si="368"/>
        <v>0.16800000000000001</v>
      </c>
      <c r="GG33" s="906">
        <f t="shared" si="368"/>
        <v>1.044</v>
      </c>
      <c r="GH33" s="906">
        <f t="shared" si="368"/>
        <v>-0.47299999999999998</v>
      </c>
      <c r="GI33" s="911">
        <f>ROUND(EY33/FB33,2)</f>
        <v>1.89</v>
      </c>
      <c r="GJ33" s="899">
        <f>ROUND(GJ31/GJ32,2)</f>
        <v>0.72</v>
      </c>
      <c r="GK33" s="895">
        <f>ROUND(GK31/GK32,2)</f>
        <v>7.0000000000000007E-2</v>
      </c>
      <c r="GL33" s="899">
        <f>ROUND(GL31/GL32,2)</f>
        <v>0.56000000000000005</v>
      </c>
      <c r="GM33" s="895">
        <f>ROUND(GM31/GM32,2)</f>
        <v>7.0000000000000007E-2</v>
      </c>
      <c r="GN33" s="900">
        <f>ROUND(GN31/GN32,2)</f>
        <v>18</v>
      </c>
      <c r="GO33" s="900">
        <f>ROUND(GO31/GO32,0)</f>
        <v>105</v>
      </c>
      <c r="GP33" s="900">
        <f>ROUND(GP31/GP32,-2)</f>
        <v>47800</v>
      </c>
      <c r="GQ33" s="900">
        <f t="shared" ref="GQ33:GV33" si="369">ROUND(GQ31/GQ32,-2)</f>
        <v>797100</v>
      </c>
      <c r="GR33" s="900">
        <f t="shared" si="369"/>
        <v>169000</v>
      </c>
      <c r="GS33" s="900">
        <f t="shared" si="369"/>
        <v>511300</v>
      </c>
      <c r="GT33" s="900">
        <f t="shared" si="369"/>
        <v>105200</v>
      </c>
      <c r="GU33" s="900">
        <f t="shared" si="369"/>
        <v>58900</v>
      </c>
      <c r="GV33" s="900">
        <f t="shared" si="369"/>
        <v>156900</v>
      </c>
      <c r="GW33" s="912">
        <f>SUM(GQ33:GV33)</f>
        <v>1798400</v>
      </c>
      <c r="GX33" s="913">
        <f>IF(GW33=0,0,ROUND(GW33/GN33,-2))</f>
        <v>99900</v>
      </c>
      <c r="GY33" s="914">
        <f>IF(GW33=0,0,ROUND(GW33/GO33,-2))</f>
        <v>17100</v>
      </c>
      <c r="GZ33" s="915">
        <f t="shared" ref="GZ33:HE33" si="370">ROUND(GQ33/$GW33,3)</f>
        <v>0.443</v>
      </c>
      <c r="HA33" s="915">
        <f t="shared" si="370"/>
        <v>9.4E-2</v>
      </c>
      <c r="HB33" s="915">
        <f t="shared" si="370"/>
        <v>0.28399999999999997</v>
      </c>
      <c r="HC33" s="915">
        <f>ROUND(GT33/$GW33,3)-0.1%</f>
        <v>5.7000000000000002E-2</v>
      </c>
      <c r="HD33" s="915">
        <f t="shared" si="370"/>
        <v>3.3000000000000002E-2</v>
      </c>
      <c r="HE33" s="915">
        <f t="shared" si="370"/>
        <v>8.6999999999999994E-2</v>
      </c>
      <c r="HF33" s="915">
        <f>SUM(GZ33:HE33)</f>
        <v>0.998</v>
      </c>
      <c r="HG33" s="900">
        <f>ROUND(HG31/HG32,0)</f>
        <v>27</v>
      </c>
      <c r="HH33" s="900">
        <f>ROUND(HH31/HH32,0)</f>
        <v>158</v>
      </c>
      <c r="HI33" s="900">
        <f t="shared" ref="HI33:HP33" si="371">ROUND(HI31/HI32,-2)</f>
        <v>69500</v>
      </c>
      <c r="HJ33" s="900">
        <f t="shared" si="371"/>
        <v>1047100</v>
      </c>
      <c r="HK33" s="900">
        <f t="shared" si="371"/>
        <v>242100</v>
      </c>
      <c r="HL33" s="900">
        <f t="shared" si="371"/>
        <v>789000</v>
      </c>
      <c r="HM33" s="900">
        <f t="shared" si="371"/>
        <v>112500</v>
      </c>
      <c r="HN33" s="900">
        <f t="shared" si="371"/>
        <v>23400</v>
      </c>
      <c r="HO33" s="900">
        <f t="shared" si="371"/>
        <v>372500</v>
      </c>
      <c r="HP33" s="900">
        <f t="shared" si="371"/>
        <v>2586600</v>
      </c>
      <c r="HQ33" s="913">
        <f>ROUND(HP33/HG33,-2)</f>
        <v>95800</v>
      </c>
      <c r="HR33" s="914">
        <f>IF(HP33=0,0,ROUND(HP33/HH33,-1))</f>
        <v>16370</v>
      </c>
      <c r="HS33" s="915">
        <f>ROUND(HJ33/$HP33,3)</f>
        <v>0.40500000000000003</v>
      </c>
      <c r="HT33" s="915">
        <f>ROUND(HK33/$HP33,3)</f>
        <v>9.4E-2</v>
      </c>
      <c r="HU33" s="915">
        <f>ROUND(HL33/$HP33,3)</f>
        <v>0.30499999999999999</v>
      </c>
      <c r="HV33" s="915">
        <f>ROUND(HM33/$HP33,3)</f>
        <v>4.2999999999999997E-2</v>
      </c>
      <c r="HW33" s="915">
        <f>ROUND(HN33/$HP33,3)</f>
        <v>8.9999999999999993E-3</v>
      </c>
      <c r="HX33" s="915">
        <f>ROUND(HO33/$HP33,3)-0.1%</f>
        <v>0.14299999999999999</v>
      </c>
      <c r="HY33" s="915">
        <f>SUM(HS33:HX33)</f>
        <v>0.99900000000000011</v>
      </c>
      <c r="HZ33" s="51"/>
      <c r="IA33" s="906">
        <f>ROUND(Q33/S33,2)</f>
        <v>0</v>
      </c>
      <c r="IB33" s="906"/>
      <c r="IC33" s="892">
        <f>ROUND(IC31/IC32,2)</f>
        <v>0.94</v>
      </c>
      <c r="ID33" s="892"/>
      <c r="IE33" s="892">
        <f>ROUND(IE31/IE32,2)</f>
        <v>0.06</v>
      </c>
      <c r="IF33" s="892"/>
      <c r="IG33" s="894">
        <f>ROUND(IF(BI33=0,0,+IF(K33=0,0,BI33/K33)),-1)</f>
        <v>13110</v>
      </c>
      <c r="IH33" s="894">
        <f>ROUND(IF(BU33=0,0,+IF(K33=0,0,BU33/K33)),-1)</f>
        <v>17080</v>
      </c>
      <c r="II33" s="1219">
        <f>ROUND(II31/II32,1)</f>
        <v>1.7</v>
      </c>
      <c r="IJ33" s="1219">
        <f>ROUND(IJ31/IJ32,1)</f>
        <v>0.9</v>
      </c>
      <c r="IK33" s="892">
        <f>ROUND(IK31/IK32,2)</f>
        <v>0.22</v>
      </c>
      <c r="IL33" s="892">
        <f>ROUND(IL31/IL32,2)</f>
        <v>0.06</v>
      </c>
      <c r="IM33" s="892">
        <f>ROUND(IM31/IM32,2)</f>
        <v>0.67</v>
      </c>
      <c r="IN33" s="892">
        <f>ROUND(IN31/IN32,2)</f>
        <v>0</v>
      </c>
      <c r="IO33" s="920">
        <f>ROUND(FY33/$J33,-1)</f>
        <v>-880</v>
      </c>
      <c r="IP33" s="1188">
        <f>IF(K33=0,0,ROUND(FY33/K33,-1))</f>
        <v>-1020</v>
      </c>
      <c r="IQ33" s="921">
        <f>IF(FY33=0,0,+IF(CD33=0,0,FY33/CD33))</f>
        <v>-0.16615468015901699</v>
      </c>
      <c r="IR33" s="922">
        <f>EY33</f>
        <v>1271300</v>
      </c>
      <c r="IS33" s="922">
        <f>FB33</f>
        <v>672500</v>
      </c>
      <c r="IT33" s="922">
        <f>FQ33</f>
        <v>1336000</v>
      </c>
      <c r="IU33" s="922">
        <f>FS33+FT33</f>
        <v>329100</v>
      </c>
      <c r="IV33" s="922">
        <f>FF33</f>
        <v>834800</v>
      </c>
      <c r="IW33" s="922">
        <f>SUM(FU33:FW33)+FR33</f>
        <v>363400</v>
      </c>
      <c r="IX33" s="906">
        <f t="shared" ref="IX33:JC33" si="372">IF(IR33=0,0,ROUND(IR33/(SUM($IR33:$IS33)),3))</f>
        <v>0.65400000000000003</v>
      </c>
      <c r="IY33" s="906">
        <f t="shared" si="372"/>
        <v>0.34599999999999997</v>
      </c>
      <c r="IZ33" s="906">
        <f t="shared" si="372"/>
        <v>0.68700000000000006</v>
      </c>
      <c r="JA33" s="906">
        <f t="shared" si="372"/>
        <v>0.16900000000000001</v>
      </c>
      <c r="JB33" s="906">
        <f t="shared" si="372"/>
        <v>0.42899999999999999</v>
      </c>
      <c r="JC33" s="906">
        <f t="shared" si="372"/>
        <v>0.187</v>
      </c>
      <c r="JD33" s="923">
        <f>CD33+CE33+CF33</f>
        <v>5534000</v>
      </c>
      <c r="JE33" s="923">
        <f>BZ33+CA33+CB33+CC33</f>
        <v>1872000</v>
      </c>
      <c r="JF33" s="923">
        <f>JD33+JE33+CG33+CH33+CI33-CJ33</f>
        <v>0</v>
      </c>
      <c r="JG33" s="923">
        <f>CZ33+DA33</f>
        <v>281000</v>
      </c>
      <c r="JH33" s="924">
        <f t="shared" ref="JH33:JQ33" si="373">ROUND(JH31/JH32,2)</f>
        <v>0.67</v>
      </c>
      <c r="JI33" s="924">
        <f t="shared" si="373"/>
        <v>0.94</v>
      </c>
      <c r="JJ33" s="924">
        <f t="shared" si="373"/>
        <v>0.76</v>
      </c>
      <c r="JK33" s="924">
        <f t="shared" si="373"/>
        <v>0.49</v>
      </c>
      <c r="JL33" s="924">
        <f t="shared" si="373"/>
        <v>0.08</v>
      </c>
      <c r="JM33" s="924">
        <f t="shared" si="373"/>
        <v>0.02</v>
      </c>
      <c r="JN33" s="924">
        <f t="shared" si="373"/>
        <v>0.36</v>
      </c>
      <c r="JO33" s="924">
        <f t="shared" si="373"/>
        <v>0</v>
      </c>
      <c r="JP33" s="924">
        <f t="shared" si="373"/>
        <v>0.03</v>
      </c>
      <c r="JQ33" s="924">
        <f t="shared" si="373"/>
        <v>0.98</v>
      </c>
      <c r="JR33" s="905">
        <f t="shared" ref="JR33:JW33" si="374">ROUND(GQ33/$GN33,-2)</f>
        <v>44300</v>
      </c>
      <c r="JS33" s="905">
        <f t="shared" si="374"/>
        <v>9400</v>
      </c>
      <c r="JT33" s="905">
        <f t="shared" si="374"/>
        <v>28400</v>
      </c>
      <c r="JU33" s="905">
        <f t="shared" si="374"/>
        <v>5800</v>
      </c>
      <c r="JV33" s="905">
        <f t="shared" si="374"/>
        <v>3300</v>
      </c>
      <c r="JW33" s="905">
        <f t="shared" si="374"/>
        <v>8700</v>
      </c>
      <c r="JX33" s="905">
        <f>GW33/GP33</f>
        <v>37.623430962343093</v>
      </c>
      <c r="JY33" s="925">
        <f>ROUND(JY31/JY32,2)</f>
        <v>0.21</v>
      </c>
      <c r="JZ33" s="905">
        <f t="shared" ref="JZ33:KE33" si="375">ROUND(HJ33/$HG33,-2)</f>
        <v>38800</v>
      </c>
      <c r="KA33" s="905">
        <f t="shared" si="375"/>
        <v>9000</v>
      </c>
      <c r="KB33" s="905">
        <f t="shared" si="375"/>
        <v>29200</v>
      </c>
      <c r="KC33" s="905">
        <f t="shared" si="375"/>
        <v>4200</v>
      </c>
      <c r="KD33" s="905">
        <f t="shared" si="375"/>
        <v>900</v>
      </c>
      <c r="KE33" s="905">
        <f t="shared" si="375"/>
        <v>13800</v>
      </c>
      <c r="KF33" s="905">
        <f>ROUND(HI33/HG33*18,-2)</f>
        <v>46300</v>
      </c>
      <c r="KG33" s="905">
        <f>ROUND(HH33/HG33*36,0)</f>
        <v>211</v>
      </c>
      <c r="KH33" s="905">
        <f>ROUND(HP33/HI33,0)</f>
        <v>37</v>
      </c>
      <c r="KI33" s="925">
        <f>ROUND(KI31/KI32,2)</f>
        <v>0.27</v>
      </c>
      <c r="KJ33" s="894">
        <f>IF(KJ31=0,0,ROUND(KJ31/KJ32,-2))</f>
        <v>0</v>
      </c>
      <c r="KK33" s="894">
        <f>IF(KK31=0,0,ROUND(KK31/KK32,-2))</f>
        <v>50300</v>
      </c>
      <c r="KL33" s="894">
        <f>IF(KL31=0,0,ROUND(KL31/KL32,-2))</f>
        <v>100</v>
      </c>
      <c r="KM33" s="894">
        <f>IF(KM31=0,0,ROUND(KM31/KM32,-2))</f>
        <v>99400</v>
      </c>
      <c r="KN33" s="894">
        <f>IF(KN31=0,0,ROUND(KN31/KN32,-2))</f>
        <v>0</v>
      </c>
      <c r="KO33" s="894">
        <f t="shared" ref="KO33:KT33" si="376">IF(KO31=0,0,ROUND(KO31/KO32,-2))</f>
        <v>18200</v>
      </c>
      <c r="KP33" s="894">
        <f t="shared" si="376"/>
        <v>826500</v>
      </c>
      <c r="KQ33" s="894">
        <f t="shared" si="376"/>
        <v>177600</v>
      </c>
      <c r="KR33" s="894">
        <f t="shared" si="376"/>
        <v>544000</v>
      </c>
      <c r="KS33" s="894">
        <f t="shared" si="376"/>
        <v>106000</v>
      </c>
      <c r="KT33" s="894">
        <f t="shared" si="376"/>
        <v>84600</v>
      </c>
      <c r="KU33" s="894">
        <f t="shared" ref="KU33" si="377">IF(KU31=0,0,ROUND(KU31/KU32,-2))</f>
        <v>182300</v>
      </c>
      <c r="KV33" s="896">
        <f>ROUND(KV31/KV32,3)</f>
        <v>0.21299999999999999</v>
      </c>
      <c r="KW33" s="926">
        <f>ROUND(KW31/KW32,3)</f>
        <v>-0.33</v>
      </c>
      <c r="KX33" s="108"/>
      <c r="KY33" s="421"/>
      <c r="KZ33" s="421"/>
      <c r="LA33" s="421"/>
      <c r="LB33" s="421"/>
      <c r="LQ33" s="421"/>
      <c r="LR33" s="421"/>
      <c r="LS33" s="421"/>
      <c r="LT33" s="282"/>
      <c r="LU33" s="282"/>
      <c r="LV33" s="282"/>
      <c r="LW33" s="282"/>
      <c r="LX33" s="282"/>
      <c r="LY33" s="282"/>
      <c r="LZ33" s="282"/>
      <c r="MA33" s="282"/>
      <c r="MB33" s="282"/>
      <c r="MC33" s="282"/>
      <c r="MD33" s="282"/>
      <c r="ME33" s="282"/>
      <c r="MF33" s="282"/>
      <c r="MG33" s="282"/>
      <c r="MH33" s="282"/>
      <c r="MI33" s="282"/>
      <c r="MJ33" s="282"/>
      <c r="MK33" s="282"/>
      <c r="ML33" s="282"/>
      <c r="MM33" s="1232"/>
      <c r="MN33" s="1232"/>
      <c r="MO33" s="1232"/>
      <c r="MP33" s="1232"/>
      <c r="MS33" s="421"/>
      <c r="MT33" s="421"/>
      <c r="MU33" s="421"/>
      <c r="MV33" s="421"/>
      <c r="MW33" s="421"/>
      <c r="MX33" s="421"/>
      <c r="MY33" s="421"/>
      <c r="MZ33" s="421"/>
      <c r="NA33" s="421"/>
      <c r="NB33" s="421"/>
      <c r="NC33" s="421"/>
      <c r="ND33" s="421"/>
      <c r="NE33" s="421"/>
      <c r="NF33" s="421"/>
      <c r="NG33" s="421"/>
      <c r="NH33" s="421"/>
      <c r="NI33" s="421"/>
      <c r="NJ33" s="421"/>
      <c r="NK33" s="421"/>
      <c r="NL33" s="421"/>
      <c r="OQ33" s="282"/>
      <c r="OR33" s="282"/>
      <c r="OS33" s="282"/>
      <c r="OT33" s="282"/>
      <c r="OU33" s="282"/>
      <c r="OV33" s="282"/>
      <c r="OW33" s="282"/>
      <c r="OX33" s="282"/>
      <c r="OY33" s="282"/>
      <c r="OZ33" s="282"/>
      <c r="PA33" s="282"/>
      <c r="PB33" s="282"/>
      <c r="PC33" s="282"/>
      <c r="PD33" s="282"/>
      <c r="PE33" s="282"/>
      <c r="PF33" s="282"/>
      <c r="PG33" s="282"/>
      <c r="PH33" s="282"/>
      <c r="PI33" s="282"/>
      <c r="PJ33" s="282"/>
      <c r="PK33" s="282"/>
      <c r="PL33" s="282"/>
      <c r="PM33" s="282"/>
    </row>
    <row r="34" spans="1:429" ht="15.6" hidden="1" outlineLevel="2">
      <c r="A34" s="2057"/>
      <c r="B34" s="571" t="s">
        <v>647</v>
      </c>
      <c r="C34" s="606">
        <v>0.25</v>
      </c>
      <c r="D34" s="571"/>
      <c r="E34" s="1530"/>
      <c r="F34" s="572"/>
      <c r="G34" s="572"/>
      <c r="H34" s="104"/>
      <c r="I34" s="104"/>
      <c r="J34" s="104">
        <f t="array" ref="J34">PERCENTILE(IF((($B$57:$B$95=$B$31)*(J$57:J$95&lt;&gt;0)),J$57:J$95),$C34)</f>
        <v>799</v>
      </c>
      <c r="K34" s="831"/>
      <c r="L34" s="1086"/>
      <c r="M34" s="1086"/>
      <c r="N34" s="1086"/>
      <c r="O34" s="1086"/>
      <c r="P34" s="1086"/>
      <c r="Q34" s="104"/>
      <c r="R34" s="104"/>
      <c r="S34" s="104">
        <f t="array" ref="S34">PERCENTILE(IF((($B$57:$B$95=$B$31)*(S$57:S$95&lt;&gt;0)),S$57:S$95),$C34)</f>
        <v>4250</v>
      </c>
      <c r="T34" s="1070"/>
      <c r="U34" s="1070"/>
      <c r="V34" s="1070"/>
      <c r="W34" s="104">
        <f t="array" ref="W34">PERCENTILE(IF((($B$57:$B$95=$B$31)*(W$57:W$95&lt;&gt;0)),W$57:W$95),$C34)</f>
        <v>5889</v>
      </c>
      <c r="X34" s="104"/>
      <c r="Y34" s="1070"/>
      <c r="Z34" s="1070"/>
      <c r="AA34" s="104"/>
      <c r="AB34" s="104"/>
      <c r="AC34" s="1070"/>
      <c r="AD34" s="1105"/>
      <c r="AE34" s="104"/>
      <c r="AF34" s="104"/>
      <c r="AG34" s="1070"/>
      <c r="AH34" s="573"/>
      <c r="AI34" s="104"/>
      <c r="AJ34" s="1070"/>
      <c r="AK34" s="573"/>
      <c r="AL34" s="104"/>
      <c r="AM34" s="104"/>
      <c r="AN34" s="1070"/>
      <c r="AO34" s="104"/>
      <c r="AP34" s="104"/>
      <c r="AQ34" s="104">
        <f t="array" ref="AQ34">PERCENTILE(IF((($B$57:$B$95=$B$31)*(AQ$57:AQ$95&lt;&gt;0)),AQ$57:AQ$95),$C34)</f>
        <v>6434</v>
      </c>
      <c r="AR34" s="104" t="e">
        <f t="array" ref="AR34">PERCENTILE(IF((($B$57:$B$95=$B$31)*(AR$57:AR$95&lt;&gt;0)),AR$57:AR$95),$C34)</f>
        <v>#NUM!</v>
      </c>
      <c r="AS34" s="1105"/>
      <c r="AT34" s="1105"/>
      <c r="AU34" s="1105"/>
      <c r="AV34" s="1105"/>
      <c r="AW34" s="1105"/>
      <c r="AX34" s="573"/>
      <c r="AY34" s="573"/>
      <c r="AZ34" s="573"/>
      <c r="BA34" s="573"/>
      <c r="BB34" s="573"/>
      <c r="BC34" s="573"/>
      <c r="BD34" s="573"/>
      <c r="BE34" s="572"/>
      <c r="BF34" s="104"/>
      <c r="BG34" s="104"/>
      <c r="BH34" s="104"/>
      <c r="BI34" s="1267"/>
      <c r="BJ34" s="104"/>
      <c r="BK34" s="104"/>
      <c r="BL34" s="572"/>
      <c r="BM34" s="572"/>
      <c r="BN34" s="104"/>
      <c r="BO34" s="1105"/>
      <c r="BP34" s="104"/>
      <c r="BQ34" s="104"/>
      <c r="BR34" s="104"/>
      <c r="BS34" s="572"/>
      <c r="BT34" s="104"/>
      <c r="BU34" s="104"/>
      <c r="BV34" s="104"/>
      <c r="BW34" s="831">
        <f t="array" ref="BW34">PERCENTILE(IF((($B$57:$B$95=$B$31)*(BW$57:BW$95&lt;&gt;0)),BW$57:BW$95),$C34)</f>
        <v>324.2460570375934</v>
      </c>
      <c r="BX34" s="831"/>
      <c r="BY34" s="831"/>
      <c r="BZ34" s="104"/>
      <c r="CA34" s="104"/>
      <c r="CB34" s="104"/>
      <c r="CC34" s="104"/>
      <c r="CD34" s="104"/>
      <c r="CE34" s="104"/>
      <c r="CF34" s="104"/>
      <c r="CG34" s="104"/>
      <c r="CH34" s="104"/>
      <c r="CI34" s="104"/>
      <c r="CJ34" s="104">
        <f t="array" ref="CJ34">PERCENTILE(IF((($B$57:$B$95=$B$31)*(CJ$57:CJ$95&lt;&gt;0)),CJ$57:CJ$95),$C34)</f>
        <v>7839122</v>
      </c>
      <c r="CK34" s="575"/>
      <c r="CL34" s="575"/>
      <c r="CM34" s="575"/>
      <c r="CN34" s="575"/>
      <c r="CO34" s="575"/>
      <c r="CP34" s="575"/>
      <c r="CQ34" s="575"/>
      <c r="CR34" s="575"/>
      <c r="CS34" s="575"/>
      <c r="CT34" s="575"/>
      <c r="CU34" s="575"/>
      <c r="CV34" s="104"/>
      <c r="CW34" s="104"/>
      <c r="CX34" s="104"/>
      <c r="CY34" s="104"/>
      <c r="CZ34" s="104"/>
      <c r="DA34" s="104"/>
      <c r="DB34" s="104"/>
      <c r="DC34" s="575"/>
      <c r="DD34" s="575"/>
      <c r="DE34" s="575"/>
      <c r="DF34" s="575"/>
      <c r="DG34" s="575"/>
      <c r="DH34" s="575"/>
      <c r="DI34" s="575"/>
      <c r="DJ34" s="290"/>
      <c r="DK34" s="832"/>
      <c r="DL34" s="832"/>
      <c r="DM34" s="832"/>
      <c r="DN34" s="832"/>
      <c r="DO34" s="832"/>
      <c r="DP34" s="832"/>
      <c r="DQ34" s="832"/>
      <c r="DR34" s="832"/>
      <c r="DS34" s="841"/>
      <c r="DT34" s="832"/>
      <c r="DU34" s="832"/>
      <c r="DV34" s="832"/>
      <c r="DW34" s="832"/>
      <c r="DX34" s="832"/>
      <c r="DY34" s="832"/>
      <c r="DZ34" s="832"/>
      <c r="EA34" s="832"/>
      <c r="EB34" s="832"/>
      <c r="EC34" s="2103"/>
      <c r="ED34" s="574"/>
      <c r="EE34" s="572"/>
      <c r="EF34" s="104"/>
      <c r="EG34" s="104"/>
      <c r="EH34" s="572"/>
      <c r="EI34" s="572"/>
      <c r="EJ34" s="833"/>
      <c r="EK34" s="573"/>
      <c r="EL34" s="104"/>
      <c r="EM34" s="572"/>
      <c r="EN34" s="572"/>
      <c r="EO34" s="573"/>
      <c r="EP34" s="574"/>
      <c r="EQ34" s="572"/>
      <c r="ER34" s="572"/>
      <c r="ES34" s="834"/>
      <c r="ET34" s="835"/>
      <c r="EU34" s="101">
        <f>COUNTIFS($B$57:$B$270,$B34,EU$57:EU$270,1)</f>
        <v>0</v>
      </c>
      <c r="EV34" s="104"/>
      <c r="EW34" s="104"/>
      <c r="EX34" s="104">
        <f>COUNTIFS($B$57:$B$270,$B34,EX$57:EX$270,0)</f>
        <v>0</v>
      </c>
      <c r="EY34" s="104"/>
      <c r="EZ34" s="104"/>
      <c r="FA34" s="104"/>
      <c r="FB34" s="104"/>
      <c r="FC34" s="104"/>
      <c r="FD34" s="577"/>
      <c r="FE34" s="104">
        <f t="array" ref="FE34">PERCENTILE(IF((($B$57:$B$95=$B$31)*(FE$57:FE$95&lt;&gt;0)),FE$57:FE$95),$C34)</f>
        <v>1473778</v>
      </c>
      <c r="FF34" s="577"/>
      <c r="FG34" s="577"/>
      <c r="FH34" s="578"/>
      <c r="FI34" s="578"/>
      <c r="FJ34" s="578"/>
      <c r="FK34" s="578"/>
      <c r="FL34" s="578"/>
      <c r="FM34" s="578"/>
      <c r="FN34" s="578"/>
      <c r="FO34" s="578"/>
      <c r="FP34" s="578"/>
      <c r="FQ34" s="104"/>
      <c r="FR34" s="104"/>
      <c r="FS34" s="104"/>
      <c r="FT34" s="104"/>
      <c r="FU34" s="104"/>
      <c r="FV34" s="104"/>
      <c r="FW34" s="104"/>
      <c r="FX34" s="579"/>
      <c r="FY34" s="742">
        <f t="array" ref="FY34">PERCENTILE(IF((($B$57:$B$95=$B$31)*(FY$57:FY$95&lt;&gt;0)),FY$57:FY$95),$C34)</f>
        <v>-1433284</v>
      </c>
      <c r="FZ34" s="580"/>
      <c r="GA34" s="580"/>
      <c r="GB34" s="580"/>
      <c r="GC34" s="580"/>
      <c r="GD34" s="580"/>
      <c r="GE34" s="580"/>
      <c r="GF34" s="580"/>
      <c r="GG34" s="580"/>
      <c r="GH34" s="572">
        <f t="array" ref="GH34">PERCENTILE(IF((($B$57:$B$95=$B$31)*(GH$57:GH$95&lt;&gt;0)),GH$57:GH$95),$C34)</f>
        <v>-0.65293618638367401</v>
      </c>
      <c r="GI34" s="572">
        <f t="array" ref="GI34">PERCENTILE(IF((($B$57:$B$95=$B$31)*(GI$57:GI$95&lt;&gt;0)),GI$57:GI$95),$C34)</f>
        <v>1.5962834290514321</v>
      </c>
      <c r="GJ34" s="572"/>
      <c r="GK34" s="572"/>
      <c r="GL34" s="572"/>
      <c r="GM34" s="572"/>
      <c r="GN34" s="104"/>
      <c r="GO34" s="574"/>
      <c r="GP34" s="574"/>
      <c r="GQ34" s="104"/>
      <c r="GR34" s="104"/>
      <c r="GS34" s="104"/>
      <c r="GT34" s="104"/>
      <c r="GU34" s="104"/>
      <c r="GV34" s="104"/>
      <c r="GW34" s="104"/>
      <c r="GX34" s="104">
        <f t="array" ref="GX34">PERCENTILE(IF((($B$57:$B$95=$B$31)*(GX$57:GX$95&lt;&gt;0)),GX$57:GX$95),$C34)</f>
        <v>91151.638888888891</v>
      </c>
      <c r="GY34" s="574"/>
      <c r="GZ34" s="575"/>
      <c r="HA34" s="575"/>
      <c r="HB34" s="575"/>
      <c r="HC34" s="575"/>
      <c r="HD34" s="575"/>
      <c r="HE34" s="575"/>
      <c r="HF34" s="575"/>
      <c r="HG34" s="104"/>
      <c r="HH34" s="104"/>
      <c r="HI34" s="104"/>
      <c r="HJ34" s="104"/>
      <c r="HK34" s="104"/>
      <c r="HL34" s="104"/>
      <c r="HM34" s="104"/>
      <c r="HN34" s="104"/>
      <c r="HO34" s="104"/>
      <c r="HP34" s="104"/>
      <c r="HQ34" s="104">
        <f t="array" ref="HQ34">PERCENTILE(IF((($B$57:$B$95=$B$31)*(HQ$57:HQ$95&lt;&gt;0)),HQ$57:HQ$95),$C34)</f>
        <v>96119.037037037036</v>
      </c>
      <c r="HR34" s="574"/>
      <c r="HS34" s="575"/>
      <c r="HT34" s="575"/>
      <c r="HU34" s="575"/>
      <c r="HV34" s="575"/>
      <c r="HW34" s="575"/>
      <c r="HX34" s="575"/>
      <c r="HY34" s="575"/>
      <c r="HZ34" s="51"/>
      <c r="IA34" s="581"/>
      <c r="IB34" s="581"/>
      <c r="IC34" s="582"/>
      <c r="ID34" s="582"/>
      <c r="IE34" s="583"/>
      <c r="IF34" s="583"/>
      <c r="IG34" s="831"/>
      <c r="IH34" s="831"/>
      <c r="II34" s="104"/>
      <c r="IJ34" s="104"/>
      <c r="IK34" s="583"/>
      <c r="IL34" s="582"/>
      <c r="IM34" s="583"/>
      <c r="IN34" s="583"/>
      <c r="IO34" s="858">
        <f t="array" ref="IO34">PERCENTILE(IF((($B$57:$B$95=$B$31)*(IO$57:IO$95&lt;&gt;0)),IO$57:IO$95),$C34)</f>
        <v>-1002.3191489361702</v>
      </c>
      <c r="IP34" s="851">
        <f t="array" ref="IP34">PERCENTILE(IF((($B$57:$B$95=$B$31)*(IP$57:IP$95&lt;&gt;0)),IP$57:IP$95),$C34)</f>
        <v>-958.2075867541738</v>
      </c>
      <c r="IQ34" s="862">
        <f t="array" ref="IQ34">PERCENTILE(IF((($B$57:$B$95=$B$31)*(IQ$57:IQ$95&lt;&gt;0)),IQ$57:IQ$95),$C34)</f>
        <v>-0.19953224786426149</v>
      </c>
      <c r="IR34" s="290"/>
      <c r="IS34" s="290"/>
      <c r="IT34" s="290"/>
      <c r="IU34" s="290"/>
      <c r="IV34" s="290"/>
      <c r="IW34" s="290"/>
      <c r="IX34" s="575"/>
      <c r="IY34" s="575"/>
      <c r="IZ34" s="575"/>
      <c r="JA34" s="575"/>
      <c r="JB34" s="575"/>
      <c r="JC34" s="575"/>
      <c r="JD34" s="290"/>
      <c r="JE34" s="290"/>
      <c r="JF34" s="584"/>
      <c r="JG34" s="290"/>
      <c r="JH34" s="675"/>
      <c r="JI34" s="675"/>
      <c r="JJ34" s="675"/>
      <c r="JK34" s="675"/>
      <c r="JL34" s="675"/>
      <c r="JM34" s="675"/>
      <c r="JN34" s="675"/>
      <c r="JO34" s="675"/>
      <c r="JP34" s="675"/>
      <c r="JQ34" s="675"/>
      <c r="JR34" s="290"/>
      <c r="JS34" s="290"/>
      <c r="JT34" s="290"/>
      <c r="JU34" s="290"/>
      <c r="JV34" s="290"/>
      <c r="JW34" s="290"/>
      <c r="JX34" s="585"/>
      <c r="JY34" s="575">
        <f t="array" ref="JY34">PERCENTILE(IF((($B$57:$B$95=$B$31)*(JY$57:JY$95&lt;&gt;0)),JY$57:JY$95),$C34)</f>
        <v>0.15025414703288242</v>
      </c>
      <c r="JZ34" s="290"/>
      <c r="KA34" s="290"/>
      <c r="KB34" s="290"/>
      <c r="KC34" s="290"/>
      <c r="KD34" s="290"/>
      <c r="KE34" s="290"/>
      <c r="KF34" s="585"/>
      <c r="KG34" s="585"/>
      <c r="KH34" s="585"/>
      <c r="KI34" s="575">
        <f t="array" ref="KI34">PERCENTILE(IF((($B$57:$B$95=$B$31)*(KI$57:KI$95&lt;&gt;0)),KI$57:KI$95),$C34)</f>
        <v>0.35138756856739256</v>
      </c>
      <c r="KJ34" s="586"/>
      <c r="KK34" s="587"/>
      <c r="KL34" s="587"/>
      <c r="KM34" s="587"/>
      <c r="KN34" s="586"/>
      <c r="KO34" s="587"/>
      <c r="KP34" s="587"/>
      <c r="KQ34" s="587"/>
      <c r="KR34" s="587"/>
      <c r="KS34" s="587"/>
      <c r="KT34" s="587"/>
      <c r="KU34" s="587"/>
      <c r="KV34" s="587"/>
      <c r="KW34" s="587"/>
      <c r="KX34" s="108"/>
      <c r="KY34" s="421"/>
      <c r="KZ34" s="421"/>
      <c r="LA34" s="421"/>
      <c r="LB34" s="421"/>
      <c r="LQ34" s="421"/>
      <c r="LR34" s="421"/>
      <c r="LS34" s="421"/>
      <c r="LT34" s="282"/>
      <c r="LU34" s="282"/>
      <c r="LV34" s="282"/>
      <c r="LW34" s="282"/>
      <c r="LX34" s="282"/>
      <c r="LY34" s="282"/>
      <c r="LZ34" s="282"/>
      <c r="MA34" s="282"/>
      <c r="MB34" s="282"/>
      <c r="MC34" s="282"/>
      <c r="MD34" s="282"/>
      <c r="ME34" s="282"/>
      <c r="MF34" s="282"/>
      <c r="MG34" s="282"/>
      <c r="MH34" s="282"/>
      <c r="MI34" s="282"/>
      <c r="MJ34" s="282"/>
      <c r="MK34" s="282"/>
      <c r="ML34" s="282"/>
      <c r="MM34" s="1232"/>
      <c r="MN34" s="1232"/>
      <c r="MO34" s="1232"/>
      <c r="MP34" s="1232"/>
      <c r="MS34" s="421"/>
      <c r="MT34" s="421"/>
      <c r="MU34" s="421"/>
      <c r="MV34" s="421"/>
      <c r="MW34" s="421"/>
      <c r="MX34" s="421"/>
      <c r="MY34" s="421"/>
      <c r="MZ34" s="421"/>
      <c r="NA34" s="421"/>
      <c r="NB34" s="421"/>
      <c r="NC34" s="421"/>
      <c r="ND34" s="421"/>
      <c r="NE34" s="421"/>
      <c r="NF34" s="421"/>
      <c r="NG34" s="421"/>
      <c r="NH34" s="421"/>
      <c r="NI34" s="421"/>
      <c r="NJ34" s="421"/>
      <c r="NK34" s="421"/>
      <c r="NL34" s="421"/>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row>
    <row r="35" spans="1:429" ht="20.399999999999999" hidden="1" outlineLevel="2">
      <c r="A35" s="2057"/>
      <c r="B35" s="571"/>
      <c r="C35" s="606">
        <v>0.5</v>
      </c>
      <c r="D35" s="571"/>
      <c r="E35" s="1530"/>
      <c r="F35" s="572"/>
      <c r="G35" s="572"/>
      <c r="H35" s="104"/>
      <c r="I35" s="104"/>
      <c r="J35" s="104">
        <f t="array" ref="J35">PERCENTILE(IF((($B$57:$B$95=$B$31)*(J$57:J$95&lt;&gt;0)),J$57:J$95),$C35)</f>
        <v>957</v>
      </c>
      <c r="K35" s="831"/>
      <c r="L35" s="1086"/>
      <c r="M35" s="1086"/>
      <c r="N35" s="1086"/>
      <c r="O35" s="1086"/>
      <c r="P35" s="1086"/>
      <c r="Q35" s="104"/>
      <c r="R35" s="104"/>
      <c r="S35" s="104">
        <f t="array" ref="S35">PERCENTILE(IF((($B$57:$B$95=$B$31)*(S$57:S$95&lt;&gt;0)),S$57:S$95),$C35)</f>
        <v>5200</v>
      </c>
      <c r="T35" s="1070"/>
      <c r="U35" s="1070"/>
      <c r="V35" s="1070"/>
      <c r="W35" s="104">
        <f t="array" ref="W35">PERCENTILE(IF((($B$57:$B$95=$B$31)*(W$57:W$95&lt;&gt;0)),W$57:W$95),$C35)</f>
        <v>6181</v>
      </c>
      <c r="X35" s="104"/>
      <c r="Y35" s="1070"/>
      <c r="Z35" s="1070"/>
      <c r="AA35" s="104"/>
      <c r="AB35" s="104"/>
      <c r="AC35" s="1070"/>
      <c r="AD35" s="1105"/>
      <c r="AE35" s="104"/>
      <c r="AF35" s="104"/>
      <c r="AG35" s="1070"/>
      <c r="AH35" s="573"/>
      <c r="AI35" s="104"/>
      <c r="AJ35" s="1070"/>
      <c r="AK35" s="573"/>
      <c r="AL35" s="104"/>
      <c r="AM35" s="104"/>
      <c r="AN35" s="1070"/>
      <c r="AO35" s="104"/>
      <c r="AP35" s="104"/>
      <c r="AQ35" s="104">
        <f t="array" ref="AQ35">PERCENTILE(IF((($B$57:$B$95=$B$31)*(AQ$57:AQ$95&lt;&gt;0)),AQ$57:AQ$95),$C35)</f>
        <v>7024</v>
      </c>
      <c r="AR35" s="104" t="e">
        <f t="array" ref="AR35">PERCENTILE(IF((($B$57:$B$95=$B$31)*(AR$57:AR$95&lt;&gt;0)),AR$57:AR$95),$C35)</f>
        <v>#NUM!</v>
      </c>
      <c r="AS35" s="1105"/>
      <c r="AT35" s="1105"/>
      <c r="AU35" s="1105"/>
      <c r="AV35" s="1105"/>
      <c r="AW35" s="1105"/>
      <c r="AX35" s="573"/>
      <c r="AY35" s="573"/>
      <c r="AZ35" s="573"/>
      <c r="BA35" s="573"/>
      <c r="BB35" s="573"/>
      <c r="BC35" s="573"/>
      <c r="BD35" s="573"/>
      <c r="BE35" s="572"/>
      <c r="BF35" s="104"/>
      <c r="BG35" s="104"/>
      <c r="BH35" s="104"/>
      <c r="BI35" s="1267"/>
      <c r="BJ35" s="104"/>
      <c r="BK35" s="104"/>
      <c r="BL35" s="572"/>
      <c r="BM35" s="572"/>
      <c r="BN35" s="104"/>
      <c r="BO35" s="1105"/>
      <c r="BP35" s="104"/>
      <c r="BQ35" s="104"/>
      <c r="BR35" s="104"/>
      <c r="BS35" s="572"/>
      <c r="BT35" s="104"/>
      <c r="BU35" s="104"/>
      <c r="BV35" s="104"/>
      <c r="BW35" s="831">
        <f t="array" ref="BW35">PERCENTILE(IF((($B$57:$B$95=$B$31)*(BW$57:BW$95&lt;&gt;0)),BW$57:BW$95),$C35)</f>
        <v>423.74222554640482</v>
      </c>
      <c r="BX35" s="831"/>
      <c r="BY35" s="831"/>
      <c r="BZ35" s="104"/>
      <c r="CA35" s="104"/>
      <c r="CB35" s="104"/>
      <c r="CC35" s="104"/>
      <c r="CD35" s="104"/>
      <c r="CE35" s="104"/>
      <c r="CF35" s="104"/>
      <c r="CG35" s="104"/>
      <c r="CH35" s="104"/>
      <c r="CI35" s="104"/>
      <c r="CJ35" s="104">
        <f t="array" ref="CJ35">PERCENTILE(IF((($B$57:$B$95=$B$31)*(CJ$57:CJ$95&lt;&gt;0)),CJ$57:CJ$95),$C35)</f>
        <v>8541107</v>
      </c>
      <c r="CK35" s="575"/>
      <c r="CL35" s="575"/>
      <c r="CM35" s="575"/>
      <c r="CN35" s="575"/>
      <c r="CO35" s="575"/>
      <c r="CP35" s="575"/>
      <c r="CQ35" s="575"/>
      <c r="CR35" s="575"/>
      <c r="CS35" s="575"/>
      <c r="CT35" s="575"/>
      <c r="CU35" s="575"/>
      <c r="CV35" s="104"/>
      <c r="CW35" s="104"/>
      <c r="CX35" s="104"/>
      <c r="CY35" s="104"/>
      <c r="CZ35" s="104"/>
      <c r="DA35" s="104"/>
      <c r="DB35" s="104"/>
      <c r="DC35" s="575"/>
      <c r="DD35" s="575"/>
      <c r="DE35" s="575"/>
      <c r="DF35" s="575"/>
      <c r="DG35" s="575"/>
      <c r="DH35" s="575"/>
      <c r="DI35" s="575"/>
      <c r="DJ35" s="290"/>
      <c r="DK35" s="832"/>
      <c r="DL35" s="832"/>
      <c r="DM35" s="832"/>
      <c r="DN35" s="832"/>
      <c r="DO35" s="832"/>
      <c r="DP35" s="832"/>
      <c r="DQ35" s="832"/>
      <c r="DR35" s="832"/>
      <c r="DS35" s="832"/>
      <c r="DT35" s="832"/>
      <c r="DU35" s="832"/>
      <c r="DV35" s="832"/>
      <c r="DW35" s="832"/>
      <c r="DX35" s="832"/>
      <c r="DY35" s="832"/>
      <c r="DZ35" s="832"/>
      <c r="EA35" s="832"/>
      <c r="EB35" s="832"/>
      <c r="EC35" s="2103"/>
      <c r="ED35" s="574"/>
      <c r="EE35" s="572"/>
      <c r="EF35" s="104"/>
      <c r="EG35" s="104"/>
      <c r="EH35" s="572"/>
      <c r="EI35" s="572"/>
      <c r="EJ35" s="833"/>
      <c r="EK35" s="573"/>
      <c r="EL35" s="104"/>
      <c r="EM35" s="572"/>
      <c r="EN35" s="572"/>
      <c r="EO35" s="573"/>
      <c r="EP35" s="574"/>
      <c r="EQ35" s="572"/>
      <c r="ER35" s="572"/>
      <c r="ES35" s="834"/>
      <c r="ET35" s="835"/>
      <c r="EU35" s="101">
        <f>COUNTIFS($B$57:$B$270,$B34,EU$57:EU$270,2)</f>
        <v>0</v>
      </c>
      <c r="EV35" s="104"/>
      <c r="EW35" s="104"/>
      <c r="EX35" s="104">
        <f>COUNTIFS($B$57:$B$270,$B34,EX$57:EX$270,1)</f>
        <v>0</v>
      </c>
      <c r="EY35" s="104"/>
      <c r="EZ35" s="104"/>
      <c r="FA35" s="104"/>
      <c r="FB35" s="104"/>
      <c r="FC35" s="104"/>
      <c r="FD35" s="577"/>
      <c r="FE35" s="104">
        <f t="array" ref="FE35">PERCENTILE(IF((($B$57:$B$95=$B$31)*(FE$57:FE$95&lt;&gt;0)),FE$57:FE$95),$C35)</f>
        <v>1898341</v>
      </c>
      <c r="FF35" s="577"/>
      <c r="FG35" s="577"/>
      <c r="FH35" s="578"/>
      <c r="FI35" s="578"/>
      <c r="FJ35" s="578"/>
      <c r="FK35" s="578"/>
      <c r="FL35" s="578"/>
      <c r="FM35" s="578"/>
      <c r="FN35" s="578"/>
      <c r="FO35" s="578"/>
      <c r="FP35" s="578"/>
      <c r="FQ35" s="104"/>
      <c r="FR35" s="104"/>
      <c r="FS35" s="104"/>
      <c r="FT35" s="104"/>
      <c r="FU35" s="104"/>
      <c r="FV35" s="104"/>
      <c r="FW35" s="104"/>
      <c r="FX35" s="579"/>
      <c r="FY35" s="742">
        <f t="array" ref="FY35">PERCENTILE(IF((($B$57:$B$95=$B$31)*(FY$57:FY$95&lt;&gt;0)),FY$57:FY$95),$C35)</f>
        <v>-620885</v>
      </c>
      <c r="FZ35" s="580"/>
      <c r="GA35" s="580"/>
      <c r="GB35" s="580"/>
      <c r="GC35" s="580"/>
      <c r="GD35" s="580"/>
      <c r="GE35" s="580"/>
      <c r="GF35" s="580"/>
      <c r="GG35" s="580"/>
      <c r="GH35" s="572">
        <f t="array" ref="GH35">PERCENTILE(IF((($B$57:$B$95=$B$31)*(GH$57:GH$95&lt;&gt;0)),GH$57:GH$95),$C35)</f>
        <v>-0.52080382553008542</v>
      </c>
      <c r="GI35" s="572">
        <f t="array" ref="GI35">PERCENTILE(IF((($B$57:$B$95=$B$31)*(GI$57:GI$95&lt;&gt;0)),GI$57:GI$95),$C35)</f>
        <v>1.898724319023958</v>
      </c>
      <c r="GJ35" s="572"/>
      <c r="GK35" s="572"/>
      <c r="GL35" s="572"/>
      <c r="GM35" s="572"/>
      <c r="GN35" s="104"/>
      <c r="GO35" s="574"/>
      <c r="GP35" s="574"/>
      <c r="GQ35" s="104"/>
      <c r="GR35" s="104"/>
      <c r="GS35" s="104"/>
      <c r="GT35" s="104"/>
      <c r="GU35" s="104"/>
      <c r="GV35" s="104"/>
      <c r="GW35" s="104"/>
      <c r="GX35" s="104">
        <f t="array" ref="GX35">PERCENTILE(IF((($B$57:$B$95=$B$31)*(GX$57:GX$95&lt;&gt;0)),GX$57:GX$95),$C35)</f>
        <v>100340.83333333333</v>
      </c>
      <c r="GY35" s="574"/>
      <c r="GZ35" s="575"/>
      <c r="HA35" s="575"/>
      <c r="HB35" s="575"/>
      <c r="HC35" s="575"/>
      <c r="HD35" s="575"/>
      <c r="HE35" s="575"/>
      <c r="HF35" s="575"/>
      <c r="HG35" s="104"/>
      <c r="HH35" s="104"/>
      <c r="HI35" s="104"/>
      <c r="HJ35" s="104"/>
      <c r="HK35" s="104"/>
      <c r="HL35" s="104"/>
      <c r="HM35" s="104"/>
      <c r="HN35" s="104"/>
      <c r="HO35" s="104"/>
      <c r="HP35" s="104"/>
      <c r="HQ35" s="104">
        <f t="array" ref="HQ35">PERCENTILE(IF((($B$57:$B$95=$B$31)*(HQ$57:HQ$95&lt;&gt;0)),HQ$57:HQ$95),$C35)</f>
        <v>96119.037037037036</v>
      </c>
      <c r="HR35" s="574"/>
      <c r="HS35" s="575"/>
      <c r="HT35" s="575"/>
      <c r="HU35" s="575"/>
      <c r="HV35" s="575"/>
      <c r="HW35" s="575"/>
      <c r="HX35" s="575"/>
      <c r="HY35" s="575"/>
      <c r="HZ35" s="51"/>
      <c r="IA35" s="581"/>
      <c r="IB35" s="581"/>
      <c r="IC35" s="582"/>
      <c r="ID35" s="582"/>
      <c r="IE35" s="583"/>
      <c r="IF35" s="583"/>
      <c r="IG35" s="831"/>
      <c r="IH35" s="831"/>
      <c r="II35" s="104"/>
      <c r="IJ35" s="104"/>
      <c r="IK35" s="583"/>
      <c r="IL35" s="582"/>
      <c r="IM35" s="583"/>
      <c r="IN35" s="583"/>
      <c r="IO35" s="858">
        <f t="array" ref="IO35">PERCENTILE(IF((($B$57:$B$95=$B$31)*(IO$57:IO$95&lt;&gt;0)),IO$57:IO$95),$C35)</f>
        <v>-636.27067669172936</v>
      </c>
      <c r="IP35" s="851">
        <f t="array" ref="IP35">PERCENTILE(IF((($B$57:$B$95=$B$31)*(IP$57:IP$95&lt;&gt;0)),IP$57:IP$95),$C35)</f>
        <v>-658.05735345633445</v>
      </c>
      <c r="IQ35" s="862">
        <f t="array" ref="IQ35">PERCENTILE(IF((($B$57:$B$95=$B$31)*(IQ$57:IQ$95&lt;&gt;0)),IQ$57:IQ$95),$C35)</f>
        <v>-0.14965846938371252</v>
      </c>
      <c r="IR35" s="290"/>
      <c r="IS35" s="290"/>
      <c r="IT35" s="290"/>
      <c r="IU35" s="290"/>
      <c r="IV35" s="290"/>
      <c r="IW35" s="290"/>
      <c r="IX35" s="575"/>
      <c r="IY35" s="575"/>
      <c r="IZ35" s="575"/>
      <c r="JA35" s="575"/>
      <c r="JB35" s="575"/>
      <c r="JC35" s="575"/>
      <c r="JD35" s="290"/>
      <c r="JE35" s="290"/>
      <c r="JF35" s="584"/>
      <c r="JG35" s="290"/>
      <c r="JH35" s="675"/>
      <c r="JI35" s="675"/>
      <c r="JJ35" s="675"/>
      <c r="JK35" s="675"/>
      <c r="JL35" s="675"/>
      <c r="JM35" s="675"/>
      <c r="JN35" s="675"/>
      <c r="JO35" s="675"/>
      <c r="JP35" s="675"/>
      <c r="JQ35" s="675"/>
      <c r="JR35" s="290"/>
      <c r="JS35" s="290"/>
      <c r="JT35" s="290"/>
      <c r="JU35" s="290"/>
      <c r="JV35" s="290"/>
      <c r="JW35" s="290"/>
      <c r="JX35" s="585"/>
      <c r="JY35" s="575">
        <f t="array" ref="JY35">PERCENTILE(IF((($B$57:$B$95=$B$31)*(JY$57:JY$95&lt;&gt;0)),JY$57:JY$95),$C35)</f>
        <v>0.17772335767386932</v>
      </c>
      <c r="JZ35" s="290"/>
      <c r="KA35" s="290"/>
      <c r="KB35" s="290"/>
      <c r="KC35" s="290"/>
      <c r="KD35" s="290"/>
      <c r="KE35" s="290"/>
      <c r="KF35" s="585"/>
      <c r="KG35" s="585"/>
      <c r="KH35" s="585"/>
      <c r="KI35" s="575">
        <f t="array" ref="KI35">PERCENTILE(IF((($B$57:$B$95=$B$31)*(KI$57:KI$95&lt;&gt;0)),KI$57:KI$95),$C35)</f>
        <v>0.35138756856739256</v>
      </c>
      <c r="KJ35" s="586"/>
      <c r="KK35" s="587"/>
      <c r="KL35" s="587"/>
      <c r="KM35" s="587"/>
      <c r="KN35" s="586"/>
      <c r="KO35" s="587"/>
      <c r="KP35" s="587"/>
      <c r="KQ35" s="587"/>
      <c r="KR35" s="587"/>
      <c r="KS35" s="587"/>
      <c r="KT35" s="587"/>
      <c r="KU35" s="587"/>
      <c r="KV35" s="587"/>
      <c r="KW35" s="587"/>
      <c r="KX35" s="108"/>
      <c r="KY35" s="421"/>
      <c r="KZ35" s="421"/>
      <c r="LA35" s="421"/>
      <c r="LB35" s="421"/>
      <c r="LQ35" s="421"/>
      <c r="LR35" s="368"/>
      <c r="LS35" s="421"/>
      <c r="LT35" s="282"/>
      <c r="LU35" s="282"/>
      <c r="LV35" s="282"/>
      <c r="LW35" s="282"/>
      <c r="LX35" s="282"/>
      <c r="LY35" s="282"/>
      <c r="LZ35" s="282"/>
      <c r="MA35" s="282"/>
      <c r="MB35" s="282"/>
      <c r="MC35" s="282"/>
      <c r="MD35" s="282"/>
      <c r="ME35" s="282"/>
      <c r="MF35" s="282"/>
      <c r="MG35" s="282"/>
      <c r="MH35" s="282"/>
      <c r="MI35" s="282"/>
      <c r="MJ35" s="282"/>
      <c r="MK35" s="282"/>
      <c r="ML35" s="282"/>
      <c r="MM35" s="1232"/>
      <c r="MN35" s="1232"/>
      <c r="MO35" s="1232"/>
      <c r="MP35" s="1232"/>
      <c r="MS35" s="421"/>
      <c r="MT35" s="368"/>
      <c r="MU35" s="421"/>
      <c r="MV35" s="421"/>
      <c r="MW35" s="421"/>
      <c r="MX35" s="421"/>
      <c r="MY35" s="421"/>
      <c r="MZ35" s="421"/>
      <c r="NA35" s="421"/>
      <c r="NB35" s="421"/>
      <c r="NC35" s="421"/>
      <c r="ND35" s="421"/>
      <c r="NE35" s="421"/>
      <c r="NF35" s="421"/>
      <c r="NG35" s="421"/>
      <c r="NH35" s="421"/>
      <c r="NI35" s="421"/>
      <c r="NJ35" s="421"/>
      <c r="NK35" s="421"/>
      <c r="NL35" s="421"/>
      <c r="OQ35" s="282"/>
      <c r="OR35" s="282"/>
      <c r="OS35" s="282"/>
      <c r="OT35" s="282"/>
      <c r="OU35" s="282"/>
      <c r="OV35" s="282"/>
      <c r="OW35" s="282"/>
      <c r="OX35" s="282"/>
      <c r="OY35" s="282"/>
      <c r="OZ35" s="282"/>
      <c r="PA35" s="282"/>
      <c r="PB35" s="282"/>
      <c r="PC35" s="282"/>
      <c r="PD35" s="282"/>
      <c r="PE35" s="282"/>
      <c r="PF35" s="282"/>
      <c r="PG35" s="282"/>
      <c r="PH35" s="282"/>
      <c r="PI35" s="282"/>
      <c r="PJ35" s="282"/>
      <c r="PK35" s="282"/>
      <c r="PL35" s="282"/>
      <c r="PM35" s="282"/>
    </row>
    <row r="36" spans="1:429" ht="16.2" hidden="1" outlineLevel="2" thickBot="1">
      <c r="A36" s="2060" t="s">
        <v>1584</v>
      </c>
      <c r="B36" s="588"/>
      <c r="C36" s="607">
        <v>0.75</v>
      </c>
      <c r="D36" s="588"/>
      <c r="E36" s="1530"/>
      <c r="F36" s="589"/>
      <c r="G36" s="589"/>
      <c r="H36" s="590"/>
      <c r="I36" s="590"/>
      <c r="J36" s="590">
        <f t="array" ref="J36">PERCENTILE(IF((($B$57:$B$95=$B$31)*(J$57:J$95&lt;&gt;0)),J$57:J$95),$C36)</f>
        <v>1184</v>
      </c>
      <c r="K36" s="836"/>
      <c r="L36" s="1087"/>
      <c r="M36" s="1087"/>
      <c r="N36" s="1087"/>
      <c r="O36" s="1087"/>
      <c r="P36" s="1087"/>
      <c r="Q36" s="590"/>
      <c r="R36" s="590"/>
      <c r="S36" s="590">
        <f t="array" ref="S36">PERCENTILE(IF((($B$57:$B$95=$B$31)*(S$57:S$95&lt;&gt;0)),S$57:S$95),$C36)</f>
        <v>6934</v>
      </c>
      <c r="T36" s="1071"/>
      <c r="U36" s="1071"/>
      <c r="V36" s="1071"/>
      <c r="W36" s="590">
        <f t="array" ref="W36">PERCENTILE(IF((($B$57:$B$95=$B$31)*(W$57:W$95&lt;&gt;0)),W$57:W$95),$C36)</f>
        <v>6839</v>
      </c>
      <c r="X36" s="590"/>
      <c r="Y36" s="1071"/>
      <c r="Z36" s="1071"/>
      <c r="AA36" s="590"/>
      <c r="AB36" s="590"/>
      <c r="AC36" s="1071"/>
      <c r="AD36" s="1106"/>
      <c r="AE36" s="590"/>
      <c r="AF36" s="590"/>
      <c r="AG36" s="1071"/>
      <c r="AH36" s="591"/>
      <c r="AI36" s="590"/>
      <c r="AJ36" s="1071"/>
      <c r="AK36" s="591"/>
      <c r="AL36" s="590"/>
      <c r="AM36" s="590"/>
      <c r="AN36" s="1071"/>
      <c r="AO36" s="590"/>
      <c r="AP36" s="590"/>
      <c r="AQ36" s="590">
        <f t="array" ref="AQ36">PERCENTILE(IF((($B$57:$B$95=$B$31)*(AQ$57:AQ$95&lt;&gt;0)),AQ$57:AQ$95),$C36)</f>
        <v>8009</v>
      </c>
      <c r="AR36" s="590" t="e">
        <f t="array" ref="AR36">PERCENTILE(IF((($B$57:$B$95=$B$31)*(AR$57:AR$95&lt;&gt;0)),AR$57:AR$95),$C36)</f>
        <v>#NUM!</v>
      </c>
      <c r="AS36" s="1106"/>
      <c r="AT36" s="1106"/>
      <c r="AU36" s="1106"/>
      <c r="AV36" s="1106"/>
      <c r="AW36" s="1106"/>
      <c r="AX36" s="591"/>
      <c r="AY36" s="591"/>
      <c r="AZ36" s="591"/>
      <c r="BA36" s="591"/>
      <c r="BB36" s="591"/>
      <c r="BC36" s="591"/>
      <c r="BD36" s="591"/>
      <c r="BE36" s="589"/>
      <c r="BF36" s="590"/>
      <c r="BG36" s="590"/>
      <c r="BH36" s="590"/>
      <c r="BI36" s="1268"/>
      <c r="BJ36" s="590"/>
      <c r="BK36" s="590"/>
      <c r="BL36" s="589"/>
      <c r="BM36" s="589"/>
      <c r="BN36" s="590"/>
      <c r="BO36" s="1106"/>
      <c r="BP36" s="590"/>
      <c r="BQ36" s="590"/>
      <c r="BR36" s="590"/>
      <c r="BS36" s="589"/>
      <c r="BT36" s="590"/>
      <c r="BU36" s="590"/>
      <c r="BV36" s="590"/>
      <c r="BW36" s="836">
        <f t="array" ref="BW36">PERCENTILE(IF((($B$57:$B$95=$B$31)*(BW$57:BW$95&lt;&gt;0)),BW$57:BW$95),$C36)</f>
        <v>1172.8004757406693</v>
      </c>
      <c r="BX36" s="836"/>
      <c r="BY36" s="836"/>
      <c r="BZ36" s="590"/>
      <c r="CA36" s="590"/>
      <c r="CB36" s="590"/>
      <c r="CC36" s="590"/>
      <c r="CD36" s="590"/>
      <c r="CE36" s="590"/>
      <c r="CF36" s="590"/>
      <c r="CG36" s="590"/>
      <c r="CH36" s="590"/>
      <c r="CI36" s="590"/>
      <c r="CJ36" s="590">
        <f t="array" ref="CJ36">PERCENTILE(IF((($B$57:$B$95=$B$31)*(CJ$57:CJ$95&lt;&gt;0)),CJ$57:CJ$95),$C36)</f>
        <v>11778110</v>
      </c>
      <c r="CK36" s="593"/>
      <c r="CL36" s="593"/>
      <c r="CM36" s="593"/>
      <c r="CN36" s="593"/>
      <c r="CO36" s="593"/>
      <c r="CP36" s="593"/>
      <c r="CQ36" s="593"/>
      <c r="CR36" s="593"/>
      <c r="CS36" s="593"/>
      <c r="CT36" s="593"/>
      <c r="CU36" s="593"/>
      <c r="CV36" s="590"/>
      <c r="CW36" s="590"/>
      <c r="CX36" s="590"/>
      <c r="CY36" s="590"/>
      <c r="CZ36" s="590"/>
      <c r="DA36" s="590"/>
      <c r="DB36" s="590"/>
      <c r="DC36" s="593"/>
      <c r="DD36" s="593"/>
      <c r="DE36" s="593"/>
      <c r="DF36" s="593"/>
      <c r="DG36" s="593"/>
      <c r="DH36" s="593"/>
      <c r="DI36" s="593"/>
      <c r="DJ36" s="594"/>
      <c r="DK36" s="837"/>
      <c r="DL36" s="837"/>
      <c r="DM36" s="837"/>
      <c r="DN36" s="837"/>
      <c r="DO36" s="837"/>
      <c r="DP36" s="837"/>
      <c r="DQ36" s="837"/>
      <c r="DR36" s="837"/>
      <c r="DS36" s="837"/>
      <c r="DT36" s="837"/>
      <c r="DU36" s="837"/>
      <c r="DV36" s="837"/>
      <c r="DW36" s="837"/>
      <c r="DX36" s="837"/>
      <c r="DY36" s="837"/>
      <c r="DZ36" s="837"/>
      <c r="EA36" s="837"/>
      <c r="EB36" s="837"/>
      <c r="EC36" s="2104"/>
      <c r="ED36" s="592"/>
      <c r="EE36" s="589"/>
      <c r="EF36" s="590"/>
      <c r="EG36" s="590"/>
      <c r="EH36" s="589"/>
      <c r="EI36" s="589"/>
      <c r="EJ36" s="838"/>
      <c r="EK36" s="591"/>
      <c r="EL36" s="590"/>
      <c r="EM36" s="589"/>
      <c r="EN36" s="589"/>
      <c r="EO36" s="591"/>
      <c r="EP36" s="592"/>
      <c r="EQ36" s="589"/>
      <c r="ER36" s="589"/>
      <c r="ES36" s="839"/>
      <c r="ET36" s="840"/>
      <c r="EU36" s="900">
        <f>COUNTIFS($B$57:$B$270,$B34,EU$57:EU$270,3)</f>
        <v>0</v>
      </c>
      <c r="EV36" s="590"/>
      <c r="EW36" s="590"/>
      <c r="EX36" s="590">
        <f>COUNTIFS($B$57:$B$270,$B34,EX$57:EX$270,2)</f>
        <v>0</v>
      </c>
      <c r="EY36" s="590"/>
      <c r="EZ36" s="590"/>
      <c r="FA36" s="590"/>
      <c r="FB36" s="590"/>
      <c r="FC36" s="590"/>
      <c r="FD36" s="596"/>
      <c r="FE36" s="590">
        <f t="array" ref="FE36">PERCENTILE(IF((($B$57:$B$95=$B$31)*(FE$57:FE$95&lt;&gt;0)),FE$57:FE$95),$C36)</f>
        <v>2603468</v>
      </c>
      <c r="FF36" s="596"/>
      <c r="FG36" s="596"/>
      <c r="FH36" s="597"/>
      <c r="FI36" s="597"/>
      <c r="FJ36" s="597"/>
      <c r="FK36" s="597"/>
      <c r="FL36" s="597"/>
      <c r="FM36" s="597"/>
      <c r="FN36" s="597"/>
      <c r="FO36" s="597"/>
      <c r="FP36" s="597"/>
      <c r="FQ36" s="590"/>
      <c r="FR36" s="590"/>
      <c r="FS36" s="590"/>
      <c r="FT36" s="590"/>
      <c r="FU36" s="590"/>
      <c r="FV36" s="590"/>
      <c r="FW36" s="590"/>
      <c r="FX36" s="598"/>
      <c r="FY36" s="743">
        <f t="array" ref="FY36">PERCENTILE(IF((($B$57:$B$95=$B$31)*(FY$57:FY$95&lt;&gt;0)),FY$57:FY$95),$C36)</f>
        <v>-567398</v>
      </c>
      <c r="FZ36" s="599"/>
      <c r="GA36" s="599"/>
      <c r="GB36" s="599"/>
      <c r="GC36" s="599"/>
      <c r="GD36" s="599"/>
      <c r="GE36" s="599"/>
      <c r="GF36" s="599"/>
      <c r="GG36" s="599"/>
      <c r="GH36" s="589">
        <f t="array" ref="GH36">PERCENTILE(IF((($B$57:$B$95=$B$31)*(GH$57:GH$95&lt;&gt;0)),GH$57:GH$95),$C36)</f>
        <v>-0.32706716022042404</v>
      </c>
      <c r="GI36" s="589">
        <f t="array" ref="GI36">PERCENTILE(IF((($B$57:$B$95=$B$31)*(GI$57:GI$95&lt;&gt;0)),GI$57:GI$95),$C36)</f>
        <v>2.3713162820599338</v>
      </c>
      <c r="GJ36" s="589"/>
      <c r="GK36" s="589"/>
      <c r="GL36" s="589"/>
      <c r="GM36" s="589"/>
      <c r="GN36" s="590"/>
      <c r="GO36" s="592"/>
      <c r="GP36" s="592"/>
      <c r="GQ36" s="590"/>
      <c r="GR36" s="590"/>
      <c r="GS36" s="590"/>
      <c r="GT36" s="590"/>
      <c r="GU36" s="590"/>
      <c r="GV36" s="590"/>
      <c r="GW36" s="590"/>
      <c r="GX36" s="590">
        <f t="array" ref="GX36">PERCENTILE(IF((($B$57:$B$95=$B$31)*(GX$57:GX$95&lt;&gt;0)),GX$57:GX$95),$C36)</f>
        <v>116287</v>
      </c>
      <c r="GY36" s="592"/>
      <c r="GZ36" s="593"/>
      <c r="HA36" s="593"/>
      <c r="HB36" s="593"/>
      <c r="HC36" s="593"/>
      <c r="HD36" s="593"/>
      <c r="HE36" s="593"/>
      <c r="HF36" s="593"/>
      <c r="HG36" s="590"/>
      <c r="HH36" s="590"/>
      <c r="HI36" s="590"/>
      <c r="HJ36" s="590"/>
      <c r="HK36" s="590"/>
      <c r="HL36" s="590"/>
      <c r="HM36" s="590"/>
      <c r="HN36" s="590"/>
      <c r="HO36" s="590"/>
      <c r="HP36" s="590"/>
      <c r="HQ36" s="590">
        <f t="array" ref="HQ36">PERCENTILE(IF((($B$57:$B$95=$B$31)*(HQ$57:HQ$95&lt;&gt;0)),HQ$57:HQ$95),$C36)</f>
        <v>96119.037037037036</v>
      </c>
      <c r="HR36" s="592"/>
      <c r="HS36" s="593"/>
      <c r="HT36" s="593"/>
      <c r="HU36" s="593"/>
      <c r="HV36" s="593"/>
      <c r="HW36" s="593"/>
      <c r="HX36" s="593"/>
      <c r="HY36" s="593"/>
      <c r="HZ36" s="51"/>
      <c r="IA36" s="600"/>
      <c r="IB36" s="600"/>
      <c r="IC36" s="601"/>
      <c r="ID36" s="601"/>
      <c r="IE36" s="602"/>
      <c r="IF36" s="602"/>
      <c r="IG36" s="836"/>
      <c r="IH36" s="836"/>
      <c r="II36" s="590"/>
      <c r="IJ36" s="590"/>
      <c r="IK36" s="602"/>
      <c r="IL36" s="601"/>
      <c r="IM36" s="602"/>
      <c r="IN36" s="602"/>
      <c r="IO36" s="860">
        <f t="array" ref="IO36">PERCENTILE(IF((($B$57:$B$95=$B$31)*(IO$57:IO$95&lt;&gt;0)),IO$57:IO$95),$C36)</f>
        <v>-479.2212837837838</v>
      </c>
      <c r="IP36" s="852">
        <f t="array" ref="IP36">PERCENTILE(IF((($B$57:$B$95=$B$31)*(IP$57:IP$95&lt;&gt;0)),IP$57:IP$95),$C36)</f>
        <v>-618.6217795014295</v>
      </c>
      <c r="IQ36" s="863">
        <f t="array" ref="IQ36">PERCENTILE(IF((($B$57:$B$95=$B$31)*(IQ$57:IQ$95&lt;&gt;0)),IQ$57:IQ$95),$C36)</f>
        <v>-0.10782404351561604</v>
      </c>
      <c r="IR36" s="594"/>
      <c r="IS36" s="594"/>
      <c r="IT36" s="594"/>
      <c r="IU36" s="594"/>
      <c r="IV36" s="594"/>
      <c r="IW36" s="594"/>
      <c r="IX36" s="593"/>
      <c r="IY36" s="593"/>
      <c r="IZ36" s="593"/>
      <c r="JA36" s="593"/>
      <c r="JB36" s="593"/>
      <c r="JC36" s="593"/>
      <c r="JD36" s="594"/>
      <c r="JE36" s="594"/>
      <c r="JF36" s="603"/>
      <c r="JG36" s="594"/>
      <c r="JH36" s="676"/>
      <c r="JI36" s="676"/>
      <c r="JJ36" s="676"/>
      <c r="JK36" s="676"/>
      <c r="JL36" s="676"/>
      <c r="JM36" s="676"/>
      <c r="JN36" s="676"/>
      <c r="JO36" s="676"/>
      <c r="JP36" s="676"/>
      <c r="JQ36" s="676"/>
      <c r="JR36" s="594"/>
      <c r="JS36" s="594"/>
      <c r="JT36" s="594"/>
      <c r="JU36" s="594"/>
      <c r="JV36" s="594"/>
      <c r="JW36" s="594"/>
      <c r="JX36" s="604"/>
      <c r="JY36" s="593">
        <f t="array" ref="JY36">PERCENTILE(IF((($B$57:$B$95=$B$31)*(JY$57:JY$95&lt;&gt;0)),JY$57:JY$95),$C36)</f>
        <v>0.24112910032261625</v>
      </c>
      <c r="JZ36" s="594"/>
      <c r="KA36" s="594"/>
      <c r="KB36" s="594"/>
      <c r="KC36" s="594"/>
      <c r="KD36" s="594"/>
      <c r="KE36" s="594"/>
      <c r="KF36" s="604"/>
      <c r="KG36" s="604"/>
      <c r="KH36" s="604"/>
      <c r="KI36" s="593">
        <f t="array" ref="KI36">PERCENTILE(IF((($B$57:$B$95=$B$31)*(KI$57:KI$95&lt;&gt;0)),KI$57:KI$95),$C36)</f>
        <v>0.35138756856739256</v>
      </c>
      <c r="KJ36" s="605"/>
      <c r="KK36" s="605"/>
      <c r="KL36" s="605"/>
      <c r="KM36" s="605"/>
      <c r="KN36" s="605"/>
      <c r="KO36" s="605"/>
      <c r="KP36" s="605"/>
      <c r="KQ36" s="605"/>
      <c r="KR36" s="605"/>
      <c r="KS36" s="605"/>
      <c r="KT36" s="605"/>
      <c r="KU36" s="605"/>
      <c r="KV36" s="605"/>
      <c r="KW36" s="605"/>
      <c r="KX36" s="108"/>
      <c r="KY36" s="421"/>
      <c r="KZ36" s="421"/>
      <c r="LA36" s="421"/>
      <c r="LB36" s="421"/>
      <c r="LQ36" s="421"/>
      <c r="LR36" s="421"/>
      <c r="LS36" s="421"/>
      <c r="LT36" s="282"/>
      <c r="LU36" s="282"/>
      <c r="LV36" s="282"/>
      <c r="LW36" s="282"/>
      <c r="LX36" s="282"/>
      <c r="LY36" s="282"/>
      <c r="LZ36" s="282"/>
      <c r="MA36" s="282"/>
      <c r="MB36" s="282"/>
      <c r="MC36" s="282"/>
      <c r="MD36" s="282"/>
      <c r="ME36" s="282"/>
      <c r="MF36" s="282"/>
      <c r="MG36" s="282"/>
      <c r="MH36" s="282"/>
      <c r="MI36" s="282"/>
      <c r="MJ36" s="282"/>
      <c r="MK36" s="282"/>
      <c r="ML36" s="282"/>
      <c r="MM36" s="1232"/>
      <c r="MN36" s="1232"/>
      <c r="MO36" s="1232"/>
      <c r="MP36" s="1232"/>
      <c r="MS36" s="421"/>
      <c r="MT36" s="421"/>
      <c r="MU36" s="421"/>
      <c r="MV36" s="421"/>
      <c r="MW36" s="421"/>
      <c r="MX36" s="421"/>
      <c r="MY36" s="421"/>
      <c r="MZ36" s="421"/>
      <c r="NA36" s="421"/>
      <c r="NB36" s="421"/>
      <c r="NC36" s="421"/>
      <c r="ND36" s="421"/>
      <c r="NE36" s="421"/>
      <c r="NF36" s="421"/>
      <c r="NG36" s="421"/>
      <c r="NH36" s="421"/>
      <c r="NI36" s="421"/>
      <c r="NJ36" s="421"/>
      <c r="NK36" s="421"/>
      <c r="NL36" s="421"/>
      <c r="OQ36" s="282"/>
      <c r="OR36" s="282"/>
      <c r="OS36" s="282"/>
      <c r="OT36" s="282"/>
      <c r="OU36" s="282"/>
      <c r="OV36" s="282"/>
      <c r="OW36" s="282"/>
      <c r="OX36" s="282"/>
      <c r="OY36" s="282"/>
      <c r="OZ36" s="282"/>
      <c r="PA36" s="282"/>
      <c r="PB36" s="282"/>
      <c r="PC36" s="282"/>
      <c r="PD36" s="282"/>
      <c r="PE36" s="282"/>
      <c r="PF36" s="282"/>
      <c r="PG36" s="282"/>
      <c r="PH36" s="282"/>
      <c r="PI36" s="282"/>
      <c r="PJ36" s="282"/>
      <c r="PK36" s="282"/>
      <c r="PL36" s="282"/>
      <c r="PM36" s="282"/>
    </row>
    <row r="37" spans="1:429" ht="15.6" outlineLevel="1" collapsed="1">
      <c r="A37" s="2057"/>
      <c r="B37" s="101" t="s">
        <v>628</v>
      </c>
      <c r="C37" s="272" t="s">
        <v>386</v>
      </c>
      <c r="D37" s="101">
        <f>COUNTIF($B$57:$B$270,$B37)</f>
        <v>23</v>
      </c>
      <c r="E37" s="1530"/>
      <c r="F37" s="101">
        <f t="shared" ref="F37:K37" si="378">SUMIF($B$57:$B$270,$B37,F$57:F$270)</f>
        <v>17</v>
      </c>
      <c r="G37" s="101">
        <f t="shared" si="378"/>
        <v>8</v>
      </c>
      <c r="H37" s="103">
        <f t="shared" si="378"/>
        <v>14312</v>
      </c>
      <c r="I37" s="103">
        <f t="shared" si="378"/>
        <v>6354</v>
      </c>
      <c r="J37" s="103">
        <f t="shared" si="378"/>
        <v>20666</v>
      </c>
      <c r="K37" s="830">
        <f t="shared" si="378"/>
        <v>17471.914616505652</v>
      </c>
      <c r="L37" s="1079"/>
      <c r="M37" s="1088"/>
      <c r="N37" s="1089"/>
      <c r="O37" s="1088"/>
      <c r="P37" s="1088"/>
      <c r="Q37" s="106">
        <f>SUMIF($B$57:$B$270,$B37,Q$57:Q$270)</f>
        <v>144851</v>
      </c>
      <c r="R37" s="106">
        <f>SUMIF($B$57:$B$270,$B37,R$57:R$270)</f>
        <v>1797649</v>
      </c>
      <c r="S37" s="106">
        <f>SUMIF($B$57:$B$270,$B37,S$57:S$270)</f>
        <v>1942500</v>
      </c>
      <c r="T37" s="1072"/>
      <c r="U37" s="1072"/>
      <c r="V37" s="1072"/>
      <c r="W37" s="106">
        <f>SUMIF($B$57:$B$270,$B37,W$57:W$270)</f>
        <v>309062</v>
      </c>
      <c r="X37" s="107">
        <f>SUMIF($B$57:$B$270,$B37,X$57:X$270)</f>
        <v>278726</v>
      </c>
      <c r="Y37" s="1397"/>
      <c r="Z37" s="1397"/>
      <c r="AA37" s="107">
        <f>SUMIF($B$57:$B$270,$B37,AA$57:AA$270)</f>
        <v>30336</v>
      </c>
      <c r="AB37" s="107">
        <f>SUMIF($B$57:$B$270,$B37,AB$57:AB$270)</f>
        <v>2.151427204117081</v>
      </c>
      <c r="AC37" s="1192"/>
      <c r="AD37" s="1105"/>
      <c r="AE37" s="571">
        <f>SUMIF($B$57:$B$270,$B37,AE$57:AE$270)</f>
        <v>16</v>
      </c>
      <c r="AF37" s="571">
        <f>SUMIF($B$57:$B$270,$B37,AF$57:AF$270)</f>
        <v>37220</v>
      </c>
      <c r="AG37" s="1192"/>
      <c r="AH37" s="571">
        <f>SUMIF($B$57:$B$270,$B37,AH$57:AH$270)</f>
        <v>1</v>
      </c>
      <c r="AI37" s="107">
        <f>SUMIF($B$57:$B$270,$B37,AI$57:AI$270)</f>
        <v>1500</v>
      </c>
      <c r="AJ37" s="1397"/>
      <c r="AK37" s="571">
        <f>SUMIF($B$57:$B$270,$B37,AK$57:AK$270)</f>
        <v>10</v>
      </c>
      <c r="AL37" s="571">
        <f>SUMIF($B$57:$B$270,$B37,AL$57:AL$270)</f>
        <v>23003</v>
      </c>
      <c r="AM37" s="419">
        <f>X37+AF37+AI37+AL37</f>
        <v>340449</v>
      </c>
      <c r="AN37" s="1397">
        <f>Z37+AG37+AJ37</f>
        <v>0</v>
      </c>
      <c r="AO37" s="419">
        <f>EL37</f>
        <v>8263</v>
      </c>
      <c r="AP37" s="419">
        <f>ROUND(EP37*12,-2)</f>
        <v>3300</v>
      </c>
      <c r="AQ37" s="419">
        <f>+AM37+AO37+AP37</f>
        <v>352012</v>
      </c>
      <c r="AR37" s="403">
        <f>Z37+AG37+AJ37</f>
        <v>0</v>
      </c>
      <c r="AS37" s="1122"/>
      <c r="AT37" s="1122"/>
      <c r="AU37" s="1122"/>
      <c r="AV37" s="1122"/>
      <c r="AW37" s="1102"/>
      <c r="AX37" s="101">
        <f t="shared" ref="AX37:BK37" si="379">SUMIF($B$57:$B$270,$B37,AX$57:AX$270)</f>
        <v>16</v>
      </c>
      <c r="AY37" s="101">
        <f t="shared" si="379"/>
        <v>5</v>
      </c>
      <c r="AZ37" s="101">
        <f t="shared" si="379"/>
        <v>7</v>
      </c>
      <c r="BA37" s="101">
        <f t="shared" si="379"/>
        <v>2</v>
      </c>
      <c r="BB37" s="101">
        <f t="shared" si="379"/>
        <v>1</v>
      </c>
      <c r="BC37" s="101">
        <f t="shared" si="379"/>
        <v>5</v>
      </c>
      <c r="BD37" s="101">
        <f t="shared" si="379"/>
        <v>3</v>
      </c>
      <c r="BE37" s="101">
        <f t="shared" si="379"/>
        <v>16</v>
      </c>
      <c r="BF37" s="106">
        <f t="shared" si="379"/>
        <v>86343851</v>
      </c>
      <c r="BG37" s="106">
        <f t="shared" si="379"/>
        <v>49441669</v>
      </c>
      <c r="BH37" s="106">
        <f t="shared" si="379"/>
        <v>135785520</v>
      </c>
      <c r="BI37" s="1269">
        <f t="shared" si="379"/>
        <v>553487285</v>
      </c>
      <c r="BJ37" s="106">
        <f t="shared" si="379"/>
        <v>70382714</v>
      </c>
      <c r="BK37" s="106">
        <f t="shared" si="379"/>
        <v>43418892</v>
      </c>
      <c r="BL37" s="435">
        <f>ROUND(BJ37/BK37,2)</f>
        <v>1.62</v>
      </c>
      <c r="BM37" s="101">
        <f>SUMIF($B$57:$B$270,$B37,BM$57:BM$270)</f>
        <v>19</v>
      </c>
      <c r="BN37" s="106">
        <f>SUMIF($B$57:$B$270,$B37,BN$57:BN$270)</f>
        <v>78056444</v>
      </c>
      <c r="BO37" s="282"/>
      <c r="BP37" s="106">
        <f t="shared" ref="BP37:BV37" si="380">SUMIF($B$57:$B$270,$B37,BP$57:BP$270)</f>
        <v>132817032</v>
      </c>
      <c r="BQ37" s="106">
        <f t="shared" si="380"/>
        <v>130882788</v>
      </c>
      <c r="BR37" s="417">
        <f t="shared" si="380"/>
        <v>29.902088237715343</v>
      </c>
      <c r="BS37" s="101">
        <f t="shared" si="380"/>
        <v>11</v>
      </c>
      <c r="BT37" s="106">
        <f t="shared" si="380"/>
        <v>211493988</v>
      </c>
      <c r="BU37" s="106">
        <f t="shared" si="380"/>
        <v>592796816</v>
      </c>
      <c r="BV37" s="417">
        <f t="shared" si="380"/>
        <v>8.9472174642571591</v>
      </c>
      <c r="BW37" s="821">
        <f>IF(BN37=0,0,+IF(K37=0,0,ROUND(BN37/K37,-1)))</f>
        <v>4470</v>
      </c>
      <c r="BX37" s="821">
        <f>IF(BJ37=0,0,+IF(K37=0,0,ROUND(BJ37/K37,-1)))</f>
        <v>4030</v>
      </c>
      <c r="BY37" s="821">
        <f>IF(BH37=0,0,+IF(K37=0,0,ROUND(BH37/K37,-1)))</f>
        <v>7770</v>
      </c>
      <c r="BZ37" s="103">
        <f t="shared" ref="BZ37:CI37" si="381">SUMIF($B$57:$B$270,$B37,BZ$57:BZ$270)</f>
        <v>27999946</v>
      </c>
      <c r="CA37" s="106">
        <f t="shared" si="381"/>
        <v>3600634</v>
      </c>
      <c r="CB37" s="106">
        <f t="shared" si="381"/>
        <v>11380405</v>
      </c>
      <c r="CC37" s="106">
        <f t="shared" si="381"/>
        <v>8835872</v>
      </c>
      <c r="CD37" s="106">
        <f t="shared" si="381"/>
        <v>180712419</v>
      </c>
      <c r="CE37" s="106">
        <f t="shared" si="381"/>
        <v>3113716</v>
      </c>
      <c r="CF37" s="106">
        <f t="shared" si="381"/>
        <v>70000</v>
      </c>
      <c r="CG37" s="106">
        <f t="shared" si="381"/>
        <v>45461981</v>
      </c>
      <c r="CH37" s="106">
        <f t="shared" si="381"/>
        <v>21977275</v>
      </c>
      <c r="CI37" s="106">
        <f t="shared" si="381"/>
        <v>22434735</v>
      </c>
      <c r="CJ37" s="292">
        <f>SUM(BZ37:CI37)</f>
        <v>325586983</v>
      </c>
      <c r="CK37" s="406">
        <f t="shared" ref="CK37:CU37" si="382">ROUND(BZ37/$CJ37,3)</f>
        <v>8.5999999999999993E-2</v>
      </c>
      <c r="CL37" s="406">
        <f t="shared" si="382"/>
        <v>1.0999999999999999E-2</v>
      </c>
      <c r="CM37" s="406">
        <f t="shared" si="382"/>
        <v>3.5000000000000003E-2</v>
      </c>
      <c r="CN37" s="406">
        <f t="shared" si="382"/>
        <v>2.7E-2</v>
      </c>
      <c r="CO37" s="406">
        <f t="shared" si="382"/>
        <v>0.55500000000000005</v>
      </c>
      <c r="CP37" s="406">
        <f t="shared" si="382"/>
        <v>0.01</v>
      </c>
      <c r="CQ37" s="406">
        <f t="shared" si="382"/>
        <v>0</v>
      </c>
      <c r="CR37" s="406">
        <f t="shared" si="382"/>
        <v>0.14000000000000001</v>
      </c>
      <c r="CS37" s="406">
        <f t="shared" si="382"/>
        <v>6.8000000000000005E-2</v>
      </c>
      <c r="CT37" s="406">
        <f t="shared" si="382"/>
        <v>6.9000000000000006E-2</v>
      </c>
      <c r="CU37" s="406">
        <f t="shared" si="382"/>
        <v>1</v>
      </c>
      <c r="CV37" s="106">
        <f t="shared" ref="CV37:DB37" si="383">SUMIF($B$57:$B$270,$B37,CV$57:CV$270)</f>
        <v>166023354</v>
      </c>
      <c r="CW37" s="106">
        <f t="shared" si="383"/>
        <v>30729280</v>
      </c>
      <c r="CX37" s="106">
        <f t="shared" si="383"/>
        <v>7816393</v>
      </c>
      <c r="CY37" s="106">
        <f t="shared" si="383"/>
        <v>110448495</v>
      </c>
      <c r="CZ37" s="106">
        <f t="shared" si="383"/>
        <v>4106121</v>
      </c>
      <c r="DA37" s="106">
        <f t="shared" si="383"/>
        <v>10827732</v>
      </c>
      <c r="DB37" s="106">
        <f t="shared" si="383"/>
        <v>329951375</v>
      </c>
      <c r="DC37" s="406">
        <f t="shared" ref="DC37:DI37" si="384">ROUND(CV37/$DB37,3)</f>
        <v>0.503</v>
      </c>
      <c r="DD37" s="406">
        <f t="shared" si="384"/>
        <v>9.2999999999999999E-2</v>
      </c>
      <c r="DE37" s="406">
        <f t="shared" si="384"/>
        <v>2.4E-2</v>
      </c>
      <c r="DF37" s="406">
        <f t="shared" si="384"/>
        <v>0.33500000000000002</v>
      </c>
      <c r="DG37" s="406">
        <f t="shared" si="384"/>
        <v>1.2E-2</v>
      </c>
      <c r="DH37" s="406">
        <f t="shared" si="384"/>
        <v>3.3000000000000002E-2</v>
      </c>
      <c r="DI37" s="406">
        <f t="shared" si="384"/>
        <v>1</v>
      </c>
      <c r="DJ37" s="301">
        <f>CJ37-DB37</f>
        <v>-4364392</v>
      </c>
      <c r="DK37" s="822">
        <f t="shared" ref="DK37:DT37" si="385">IF(BZ37=0,0,+IF($K37=0,0,ROUND(BZ37/$K37,0)))</f>
        <v>1603</v>
      </c>
      <c r="DL37" s="822">
        <f t="shared" si="385"/>
        <v>206</v>
      </c>
      <c r="DM37" s="822">
        <f t="shared" si="385"/>
        <v>651</v>
      </c>
      <c r="DN37" s="822">
        <f t="shared" si="385"/>
        <v>506</v>
      </c>
      <c r="DO37" s="822">
        <f t="shared" si="385"/>
        <v>10343</v>
      </c>
      <c r="DP37" s="822">
        <f t="shared" si="385"/>
        <v>178</v>
      </c>
      <c r="DQ37" s="822">
        <f t="shared" si="385"/>
        <v>4</v>
      </c>
      <c r="DR37" s="822">
        <f t="shared" si="385"/>
        <v>2602</v>
      </c>
      <c r="DS37" s="822">
        <f t="shared" si="385"/>
        <v>1258</v>
      </c>
      <c r="DT37" s="822">
        <f t="shared" si="385"/>
        <v>1284</v>
      </c>
      <c r="DU37" s="822">
        <f>SUM(DK37:DT37)</f>
        <v>18635</v>
      </c>
      <c r="DV37" s="822">
        <f t="shared" ref="DV37:EA37" si="386">IF(CV37=0,0,+IF($K37=0,0,ROUND(CV37/$K37,0)))</f>
        <v>9502</v>
      </c>
      <c r="DW37" s="822">
        <f t="shared" si="386"/>
        <v>1759</v>
      </c>
      <c r="DX37" s="822">
        <f t="shared" si="386"/>
        <v>447</v>
      </c>
      <c r="DY37" s="822">
        <f t="shared" si="386"/>
        <v>6321</v>
      </c>
      <c r="DZ37" s="822">
        <f t="shared" si="386"/>
        <v>235</v>
      </c>
      <c r="EA37" s="822">
        <f t="shared" si="386"/>
        <v>620</v>
      </c>
      <c r="EB37" s="822">
        <f>SUM(DV37:EA37)</f>
        <v>18884</v>
      </c>
      <c r="EC37" s="824">
        <f>DU37-EB37</f>
        <v>-249</v>
      </c>
      <c r="ED37" s="106">
        <f t="shared" ref="ED37:EI37" si="387">SUMIF($B$57:$B$270,$B37,ED$57:ED$270)</f>
        <v>3538</v>
      </c>
      <c r="EE37" s="101">
        <f t="shared" si="387"/>
        <v>9</v>
      </c>
      <c r="EF37" s="106">
        <f t="shared" si="387"/>
        <v>345</v>
      </c>
      <c r="EG37" s="106">
        <f t="shared" si="387"/>
        <v>2194094</v>
      </c>
      <c r="EH37" s="101">
        <f t="shared" si="387"/>
        <v>21</v>
      </c>
      <c r="EI37" s="101">
        <f t="shared" si="387"/>
        <v>1.9000000000000001</v>
      </c>
      <c r="EJ37" s="823">
        <f>IF(K37=0,0,+IF(ED37=0,0,ROUND(K37/ED37,1)))</f>
        <v>4.9000000000000004</v>
      </c>
      <c r="EK37" s="101">
        <f t="shared" ref="EK37:ER37" si="388">SUMIF($B$57:$B$270,$B37,EK$57:EK$270)</f>
        <v>10</v>
      </c>
      <c r="EL37" s="106">
        <f t="shared" si="388"/>
        <v>8263</v>
      </c>
      <c r="EM37" s="101">
        <f t="shared" si="388"/>
        <v>12</v>
      </c>
      <c r="EN37" s="101">
        <f t="shared" si="388"/>
        <v>2.36</v>
      </c>
      <c r="EO37" s="101">
        <f t="shared" si="388"/>
        <v>5</v>
      </c>
      <c r="EP37" s="106">
        <f t="shared" si="388"/>
        <v>271.26666666666665</v>
      </c>
      <c r="EQ37" s="101">
        <f t="shared" si="388"/>
        <v>1</v>
      </c>
      <c r="ER37" s="101">
        <f t="shared" si="388"/>
        <v>6</v>
      </c>
      <c r="ES37" s="822">
        <f>IF(FE37=0,0,+IF(K37=0,0,ROUND(FE37/K37,-2)))</f>
        <v>3900</v>
      </c>
      <c r="ET37" s="824">
        <f>IF(FY37=0,0,+IF(K37=0,0,ROUND(FY37/K37,-1)))</f>
        <v>-1680</v>
      </c>
      <c r="EU37" s="101">
        <f>COUNTIFS($B$57:$B$270,$B37,EU$57:EU$270,1)</f>
        <v>8</v>
      </c>
      <c r="EV37" s="106">
        <f>SUMIF($B$57:$B$270,$B37,EV$57:EV$270)</f>
        <v>1780194</v>
      </c>
      <c r="EW37" s="101">
        <f>SUMIF($B$57:$B$270,$B37,EW$57:EW$270)</f>
        <v>218926</v>
      </c>
      <c r="EX37" s="101">
        <f>COUNTIFS($B$57:$B$270,$B37,EX$57:EX$270,0)</f>
        <v>9</v>
      </c>
      <c r="EY37" s="101">
        <f>SUMIF($B$57:$B$270,$B37,EY$57:EY$270)</f>
        <v>45461981</v>
      </c>
      <c r="EZ37" s="101">
        <f>SUMIF($B$57:$B$270,$B37,EZ$57:EZ$270)</f>
        <v>23149488</v>
      </c>
      <c r="FA37" s="3">
        <f>EY37-EZ37</f>
        <v>22312493</v>
      </c>
      <c r="FB37" s="101">
        <f>SUMIF($B$57:$B$270,$B37,FB$57:FB$270)</f>
        <v>21977275</v>
      </c>
      <c r="FC37" s="101">
        <f>SUMIF($B$57:$B$270,$B37,FC$57:FC$270)</f>
        <v>7579792</v>
      </c>
      <c r="FD37" s="3">
        <f>FB37-FC37</f>
        <v>14397483</v>
      </c>
      <c r="FE37" s="3">
        <f>EY37+FB37</f>
        <v>67439256</v>
      </c>
      <c r="FF37" s="3">
        <f>EZ37+FC37</f>
        <v>30729280</v>
      </c>
      <c r="FG37" s="3">
        <f>FE37-FF37</f>
        <v>36709976</v>
      </c>
      <c r="FH37" s="303">
        <f>EY37/$EY37</f>
        <v>1</v>
      </c>
      <c r="FI37" s="303">
        <f>ROUND(EZ37/$EY37,3)</f>
        <v>0.50900000000000001</v>
      </c>
      <c r="FJ37" s="303">
        <f>ROUND(FA37/$EY37,3)</f>
        <v>0.49099999999999999</v>
      </c>
      <c r="FK37" s="303">
        <f>ROUND(FB37/$FB37,2)</f>
        <v>1</v>
      </c>
      <c r="FL37" s="303">
        <f>ROUND(FC37/$FB37,3)</f>
        <v>0.34499999999999997</v>
      </c>
      <c r="FM37" s="303">
        <f>ROUND(FD37/$FB37,3)</f>
        <v>0.65500000000000003</v>
      </c>
      <c r="FN37" s="303">
        <f>ROUND(FE37/$FE37,2)</f>
        <v>1</v>
      </c>
      <c r="FO37" s="303">
        <f>ROUND(FF37/$FE37,3)</f>
        <v>0.45600000000000002</v>
      </c>
      <c r="FP37" s="303">
        <f>ROUND(FG37/$FE37,3)</f>
        <v>0.54400000000000004</v>
      </c>
      <c r="FQ37" s="101">
        <f t="shared" ref="FQ37:FW37" si="389">SUMIF($B$57:$B$270,$B37,FQ$57:FQ$270)</f>
        <v>45621601</v>
      </c>
      <c r="FR37" s="408">
        <f t="shared" si="389"/>
        <v>-3108250.4</v>
      </c>
      <c r="FS37" s="101">
        <f t="shared" si="389"/>
        <v>8912816</v>
      </c>
      <c r="FT37" s="101">
        <f t="shared" si="389"/>
        <v>1680773</v>
      </c>
      <c r="FU37" s="101">
        <f t="shared" si="389"/>
        <v>580447</v>
      </c>
      <c r="FV37" s="101">
        <f t="shared" si="389"/>
        <v>773430</v>
      </c>
      <c r="FW37" s="101">
        <f t="shared" si="389"/>
        <v>11547570</v>
      </c>
      <c r="FX37" s="409">
        <f>SUM(FQ37:FW37)</f>
        <v>66008386.600000001</v>
      </c>
      <c r="FY37" s="410">
        <f>ROUND(FG37-FX37,-2)</f>
        <v>-29298400</v>
      </c>
      <c r="FZ37" s="303">
        <f t="shared" ref="FZ37:GH37" si="390">ROUND(FQ37/$FE37,3)</f>
        <v>0.67600000000000005</v>
      </c>
      <c r="GA37" s="303">
        <f t="shared" si="390"/>
        <v>-4.5999999999999999E-2</v>
      </c>
      <c r="GB37" s="303">
        <f t="shared" si="390"/>
        <v>0.13200000000000001</v>
      </c>
      <c r="GC37" s="303">
        <f t="shared" si="390"/>
        <v>2.5000000000000001E-2</v>
      </c>
      <c r="GD37" s="303">
        <f t="shared" si="390"/>
        <v>8.9999999999999993E-3</v>
      </c>
      <c r="GE37" s="303">
        <f t="shared" si="390"/>
        <v>1.0999999999999999E-2</v>
      </c>
      <c r="GF37" s="303">
        <f t="shared" si="390"/>
        <v>0.17100000000000001</v>
      </c>
      <c r="GG37" s="303">
        <f t="shared" si="390"/>
        <v>0.97899999999999998</v>
      </c>
      <c r="GH37" s="303">
        <f t="shared" si="390"/>
        <v>-0.434</v>
      </c>
      <c r="GI37" s="411">
        <f>EY37/FB37</f>
        <v>2.068590441717638</v>
      </c>
      <c r="GJ37" s="408">
        <f t="shared" ref="GJ37:GV37" si="391">SUMIF($B$57:$B$270,$B37,GJ$57:GJ$270)</f>
        <v>19</v>
      </c>
      <c r="GK37" s="394">
        <f t="shared" si="391"/>
        <v>1.4100000000000004</v>
      </c>
      <c r="GL37" s="408">
        <f t="shared" si="391"/>
        <v>15</v>
      </c>
      <c r="GM37" s="394">
        <f t="shared" si="391"/>
        <v>0.9800000000000002</v>
      </c>
      <c r="GN37" s="103">
        <f t="shared" si="391"/>
        <v>234</v>
      </c>
      <c r="GO37" s="103">
        <f t="shared" si="391"/>
        <v>1298</v>
      </c>
      <c r="GP37" s="103">
        <f t="shared" si="391"/>
        <v>348236</v>
      </c>
      <c r="GQ37" s="103">
        <f t="shared" si="391"/>
        <v>11521085</v>
      </c>
      <c r="GR37" s="103">
        <f t="shared" si="391"/>
        <v>2408503</v>
      </c>
      <c r="GS37" s="103">
        <f t="shared" si="391"/>
        <v>5839644</v>
      </c>
      <c r="GT37" s="103">
        <f t="shared" si="391"/>
        <v>1712447</v>
      </c>
      <c r="GU37" s="103">
        <f t="shared" si="391"/>
        <v>674340</v>
      </c>
      <c r="GV37" s="103">
        <f t="shared" si="391"/>
        <v>1930326</v>
      </c>
      <c r="GW37" s="412">
        <f>SUM(GQ37:GV37)</f>
        <v>24086345</v>
      </c>
      <c r="GX37" s="7">
        <f>IF(GW37=0,0,ROUND(GW37/GN37,-2))</f>
        <v>102900</v>
      </c>
      <c r="GY37" s="49">
        <f>IF(GW37=0,0,ROUND(GW37/GO37,-2))</f>
        <v>18600</v>
      </c>
      <c r="GZ37" s="20">
        <f t="shared" ref="GZ37:HE37" si="392">ROUND(GQ37/$GW37,3)</f>
        <v>0.47799999999999998</v>
      </c>
      <c r="HA37" s="20">
        <f t="shared" si="392"/>
        <v>0.1</v>
      </c>
      <c r="HB37" s="20">
        <f t="shared" si="392"/>
        <v>0.24199999999999999</v>
      </c>
      <c r="HC37" s="20">
        <f t="shared" si="392"/>
        <v>7.0999999999999994E-2</v>
      </c>
      <c r="HD37" s="20">
        <f t="shared" si="392"/>
        <v>2.8000000000000001E-2</v>
      </c>
      <c r="HE37" s="20">
        <f t="shared" si="392"/>
        <v>0.08</v>
      </c>
      <c r="HF37" s="20">
        <f>SUM(GZ37:HE37)</f>
        <v>0.99899999999999989</v>
      </c>
      <c r="HG37" s="106">
        <f t="shared" ref="HG37:HP37" si="393">SUMIF($B$57:$B$270,$B37,HG$57:HG$270)</f>
        <v>351</v>
      </c>
      <c r="HH37" s="106">
        <f t="shared" si="393"/>
        <v>2016</v>
      </c>
      <c r="HI37" s="106">
        <f t="shared" si="393"/>
        <v>539634</v>
      </c>
      <c r="HJ37" s="106">
        <f t="shared" si="393"/>
        <v>17785602</v>
      </c>
      <c r="HK37" s="106">
        <f t="shared" si="393"/>
        <v>3109883</v>
      </c>
      <c r="HL37" s="106">
        <f t="shared" si="393"/>
        <v>9486993</v>
      </c>
      <c r="HM37" s="106">
        <f t="shared" si="393"/>
        <v>2344864</v>
      </c>
      <c r="HN37" s="106">
        <f t="shared" si="393"/>
        <v>806733</v>
      </c>
      <c r="HO37" s="106">
        <f t="shared" si="393"/>
        <v>3729535</v>
      </c>
      <c r="HP37" s="106">
        <f t="shared" si="393"/>
        <v>37263610</v>
      </c>
      <c r="HQ37" s="7">
        <f>ROUND(HP37/HG37,-2)</f>
        <v>106200</v>
      </c>
      <c r="HR37" s="49">
        <f>IF(HP37=0,0,ROUND(HP37/HH37,-1))</f>
        <v>18480</v>
      </c>
      <c r="HS37" s="20">
        <f t="shared" ref="HS37:HX37" si="394">ROUND(HJ37/$HP37,3)</f>
        <v>0.47699999999999998</v>
      </c>
      <c r="HT37" s="20">
        <f t="shared" si="394"/>
        <v>8.3000000000000004E-2</v>
      </c>
      <c r="HU37" s="20">
        <f t="shared" si="394"/>
        <v>0.255</v>
      </c>
      <c r="HV37" s="20">
        <f t="shared" si="394"/>
        <v>6.3E-2</v>
      </c>
      <c r="HW37" s="20">
        <f t="shared" si="394"/>
        <v>2.1999999999999999E-2</v>
      </c>
      <c r="HX37" s="20">
        <f t="shared" si="394"/>
        <v>0.1</v>
      </c>
      <c r="HY37" s="20">
        <f>SUM(HS37:HX37)</f>
        <v>0.99999999999999989</v>
      </c>
      <c r="HZ37" s="51"/>
      <c r="IA37" s="297">
        <f>ROUND(Q37/S37,2)</f>
        <v>7.0000000000000007E-2</v>
      </c>
      <c r="IB37" s="297"/>
      <c r="IC37" s="438">
        <f>SUMIF($B$57:$B$270,$B37,IC$57:IC$270)</f>
        <v>19</v>
      </c>
      <c r="ID37" s="438"/>
      <c r="IE37" s="438">
        <f>SUMIF($B$57:$B$270,$B37,IE$57:IE$270)</f>
        <v>0</v>
      </c>
      <c r="IF37" s="438"/>
      <c r="IG37" s="284">
        <f>IF(BI37=0,0,+IF(K37=0,0,BI37/K37))</f>
        <v>31678.685315753697</v>
      </c>
      <c r="IH37" s="284">
        <f>IF(BU37=0,0,+IF(K37=0,0,BU37/K37))</f>
        <v>33928.554998774263</v>
      </c>
      <c r="II37" s="417">
        <f t="shared" ref="II37:IN37" si="395">SUMIF($B$57:$B$270,$B37,II$57:II$270)</f>
        <v>20.612701019187</v>
      </c>
      <c r="IJ37" s="417">
        <f t="shared" si="395"/>
        <v>9.2893872185283399</v>
      </c>
      <c r="IK37" s="413">
        <f t="shared" si="395"/>
        <v>9</v>
      </c>
      <c r="IL37" s="413">
        <f t="shared" si="395"/>
        <v>1</v>
      </c>
      <c r="IM37" s="413">
        <f t="shared" si="395"/>
        <v>8</v>
      </c>
      <c r="IN37" s="413">
        <f t="shared" si="395"/>
        <v>0</v>
      </c>
      <c r="IO37" s="853">
        <f>ROUND(FY37/$J37,-1)</f>
        <v>-1420</v>
      </c>
      <c r="IP37" s="851">
        <f>IF(K37=0,0,ROUND(FY37/K37,-1))</f>
        <v>-1680</v>
      </c>
      <c r="IQ37" s="857">
        <f>IF(FY37=0,0,+IF(CD37=0,0,FY37/CD37))</f>
        <v>-0.16212720831322611</v>
      </c>
      <c r="IR37" s="415">
        <f>EY37</f>
        <v>45461981</v>
      </c>
      <c r="IS37" s="415">
        <f>FB37</f>
        <v>21977275</v>
      </c>
      <c r="IT37" s="415">
        <f>FQ37</f>
        <v>45621601</v>
      </c>
      <c r="IU37" s="415">
        <f>FS37+FT37</f>
        <v>10593589</v>
      </c>
      <c r="IV37" s="415">
        <f>FF37</f>
        <v>30729280</v>
      </c>
      <c r="IW37" s="415">
        <f>SUM(FU37:FW37)+FR37</f>
        <v>9793196.5999999996</v>
      </c>
      <c r="IX37" s="303">
        <f t="shared" ref="IX37:JC37" si="396">IF(IR37=0,0,ROUND(IR37/(SUM($IR37:$IS37)),3))</f>
        <v>0.67400000000000004</v>
      </c>
      <c r="IY37" s="303">
        <f t="shared" si="396"/>
        <v>0.32600000000000001</v>
      </c>
      <c r="IZ37" s="303">
        <f t="shared" si="396"/>
        <v>0.67600000000000005</v>
      </c>
      <c r="JA37" s="303">
        <f t="shared" si="396"/>
        <v>0.157</v>
      </c>
      <c r="JB37" s="303">
        <f t="shared" si="396"/>
        <v>0.45600000000000002</v>
      </c>
      <c r="JC37" s="303">
        <f t="shared" si="396"/>
        <v>0.14499999999999999</v>
      </c>
      <c r="JD37" s="294">
        <f>CD37+CE37+CF37</f>
        <v>183896135</v>
      </c>
      <c r="JE37" s="294">
        <f>BZ37+CA37+CB37+CC37</f>
        <v>51816857</v>
      </c>
      <c r="JF37" s="294">
        <f>JD37+JE37+CG37+CH37+CI37-CJ37</f>
        <v>0</v>
      </c>
      <c r="JG37" s="294">
        <f>CZ37+DA37</f>
        <v>14933853</v>
      </c>
      <c r="JH37" s="414">
        <f t="shared" ref="JH37:JQ37" si="397">SUMIF($B$57:$B$270,$B37,JH$57:JH$270)</f>
        <v>11</v>
      </c>
      <c r="JI37" s="414">
        <f t="shared" si="397"/>
        <v>17</v>
      </c>
      <c r="JJ37" s="300">
        <f t="shared" si="397"/>
        <v>12.107855233946278</v>
      </c>
      <c r="JK37" s="300">
        <f t="shared" si="397"/>
        <v>11.624061293108346</v>
      </c>
      <c r="JL37" s="300">
        <f t="shared" si="397"/>
        <v>1.992926635979213</v>
      </c>
      <c r="JM37" s="300">
        <f t="shared" si="397"/>
        <v>0.53016971255265732</v>
      </c>
      <c r="JN37" s="300">
        <f t="shared" si="397"/>
        <v>8.0916872563397995</v>
      </c>
      <c r="JO37" s="300">
        <f t="shared" si="397"/>
        <v>0.30333978359753921</v>
      </c>
      <c r="JP37" s="300">
        <f t="shared" si="397"/>
        <v>0.74777677791106933</v>
      </c>
      <c r="JQ37" s="300">
        <f t="shared" si="397"/>
        <v>23.289961459488623</v>
      </c>
      <c r="JR37" s="292">
        <f t="shared" ref="JR37:JW37" si="398">ROUND(GQ37/$GN37,-2)</f>
        <v>49200</v>
      </c>
      <c r="JS37" s="292">
        <f t="shared" si="398"/>
        <v>10300</v>
      </c>
      <c r="JT37" s="292">
        <f t="shared" si="398"/>
        <v>25000</v>
      </c>
      <c r="JU37" s="292">
        <f t="shared" si="398"/>
        <v>7300</v>
      </c>
      <c r="JV37" s="292">
        <f t="shared" si="398"/>
        <v>2900</v>
      </c>
      <c r="JW37" s="292">
        <f t="shared" si="398"/>
        <v>8200</v>
      </c>
      <c r="JX37" s="292">
        <f>GW37/GP37</f>
        <v>69.166728885009022</v>
      </c>
      <c r="JY37" s="394">
        <f>SUMIF($B$57:$B$270,$B37,JY$57:JY$270)</f>
        <v>2.6900396348308848</v>
      </c>
      <c r="JZ37" s="292">
        <f t="shared" ref="JZ37:KE37" si="399">ROUND(HJ37/$HG37,-2)</f>
        <v>50700</v>
      </c>
      <c r="KA37" s="292">
        <f t="shared" si="399"/>
        <v>8900</v>
      </c>
      <c r="KB37" s="292">
        <f t="shared" si="399"/>
        <v>27000</v>
      </c>
      <c r="KC37" s="292">
        <f t="shared" si="399"/>
        <v>6700</v>
      </c>
      <c r="KD37" s="292">
        <f t="shared" si="399"/>
        <v>2300</v>
      </c>
      <c r="KE37" s="292">
        <f t="shared" si="399"/>
        <v>10600</v>
      </c>
      <c r="KF37" s="292">
        <f>ROUND(HI37/HG37*18,-2)</f>
        <v>27700</v>
      </c>
      <c r="KG37" s="292">
        <f>ROUND(HH37/HG37*36,0)</f>
        <v>207</v>
      </c>
      <c r="KH37" s="292">
        <f>ROUND(HP37/HI37,0)</f>
        <v>69</v>
      </c>
      <c r="KI37" s="394">
        <f t="shared" ref="KI37:KW37" si="400">SUMIF($B$57:$B$270,$B37,KI$57:KI$270)</f>
        <v>2.1050795978587953</v>
      </c>
      <c r="KJ37" s="61">
        <f t="shared" si="400"/>
        <v>585</v>
      </c>
      <c r="KK37" s="61">
        <f t="shared" si="400"/>
        <v>887870</v>
      </c>
      <c r="KL37" s="61">
        <f t="shared" si="400"/>
        <v>3314</v>
      </c>
      <c r="KM37" s="61">
        <f t="shared" si="400"/>
        <v>2192244.4758953163</v>
      </c>
      <c r="KN37" s="61">
        <f t="shared" si="400"/>
        <v>1756.9006595771621</v>
      </c>
      <c r="KO37" s="61">
        <f t="shared" si="400"/>
        <v>415672.48532393837</v>
      </c>
      <c r="KP37" s="61">
        <f t="shared" si="400"/>
        <v>29306687</v>
      </c>
      <c r="KQ37" s="61">
        <f t="shared" si="400"/>
        <v>5518386</v>
      </c>
      <c r="KR37" s="61">
        <f t="shared" si="400"/>
        <v>15326637</v>
      </c>
      <c r="KS37" s="61">
        <f t="shared" si="400"/>
        <v>4057311</v>
      </c>
      <c r="KT37" s="61">
        <f t="shared" si="400"/>
        <v>1481073</v>
      </c>
      <c r="KU37" s="61">
        <f t="shared" si="400"/>
        <v>5659861</v>
      </c>
      <c r="KV37" s="61">
        <f t="shared" si="400"/>
        <v>4.7951192326896788</v>
      </c>
      <c r="KW37" s="61">
        <f t="shared" si="400"/>
        <v>-7.7560701294356189</v>
      </c>
      <c r="KX37" s="108"/>
      <c r="KY37" s="421"/>
      <c r="KZ37" s="421"/>
      <c r="LA37" s="421"/>
      <c r="LB37" s="421"/>
      <c r="LQ37" s="421"/>
      <c r="LR37" s="421"/>
      <c r="LS37" s="421"/>
      <c r="LT37" s="282"/>
      <c r="LU37" s="282"/>
      <c r="LV37" s="282"/>
      <c r="LW37" s="282"/>
      <c r="LX37" s="282"/>
      <c r="LY37" s="282"/>
      <c r="LZ37" s="282"/>
      <c r="MA37" s="282"/>
      <c r="MB37" s="282"/>
      <c r="MC37" s="282"/>
      <c r="MD37" s="282"/>
      <c r="ME37" s="282"/>
      <c r="MF37" s="282"/>
      <c r="MG37" s="282"/>
      <c r="MH37" s="282"/>
      <c r="MI37" s="282"/>
      <c r="MJ37" s="282"/>
      <c r="MK37" s="282"/>
      <c r="ML37" s="282"/>
      <c r="MM37" s="1232"/>
      <c r="MN37" s="1232"/>
      <c r="MO37" s="1232"/>
      <c r="MP37" s="1232"/>
      <c r="MS37" s="421"/>
      <c r="MT37" s="421"/>
      <c r="MU37" s="421"/>
      <c r="MV37" s="421"/>
      <c r="MW37" s="421"/>
      <c r="MX37" s="421"/>
      <c r="MY37" s="421"/>
      <c r="MZ37" s="421"/>
      <c r="NA37" s="421"/>
      <c r="NB37" s="421"/>
      <c r="NC37" s="421"/>
      <c r="ND37" s="421"/>
      <c r="NE37" s="421"/>
      <c r="NF37" s="421"/>
      <c r="NG37" s="421"/>
      <c r="NH37" s="421"/>
      <c r="NI37" s="421"/>
      <c r="NJ37" s="421"/>
      <c r="NK37" s="421"/>
      <c r="NL37" s="421"/>
      <c r="OQ37" s="282"/>
      <c r="OR37" s="282"/>
      <c r="OS37" s="282"/>
      <c r="OT37" s="282"/>
      <c r="OU37" s="282"/>
      <c r="OV37" s="282"/>
      <c r="OW37" s="282"/>
      <c r="OX37" s="282"/>
      <c r="OY37" s="282"/>
      <c r="OZ37" s="282"/>
      <c r="PA37" s="282"/>
      <c r="PB37" s="282"/>
      <c r="PC37" s="282"/>
      <c r="PD37" s="282"/>
      <c r="PE37" s="282"/>
      <c r="PF37" s="282"/>
      <c r="PG37" s="282"/>
      <c r="PH37" s="282"/>
      <c r="PI37" s="282"/>
      <c r="PJ37" s="282"/>
      <c r="PK37" s="282"/>
      <c r="PL37" s="282"/>
      <c r="PM37" s="282"/>
    </row>
    <row r="38" spans="1:429" ht="15.6" outlineLevel="1">
      <c r="A38" s="2057"/>
      <c r="C38" s="272" t="s">
        <v>391</v>
      </c>
      <c r="E38" s="1530"/>
      <c r="F38" s="101">
        <f>COUNTIF($B$57:$B$270,$B37)</f>
        <v>23</v>
      </c>
      <c r="G38" s="101">
        <f>COUNTIF($B$57:$B$270,$B37)</f>
        <v>23</v>
      </c>
      <c r="H38" s="103">
        <f>COUNTIFS($B$57:$B$270,$B37,H$57:H$270,"&gt;0")</f>
        <v>23</v>
      </c>
      <c r="I38" s="103">
        <f>COUNTIFS($B$57:$B$270,$B37,I$57:I$270,"&gt;0")</f>
        <v>20</v>
      </c>
      <c r="J38" s="103">
        <f>COUNTIFS($B$57:$B$270,$B37,J$57:J$270,"&gt;0")</f>
        <v>23</v>
      </c>
      <c r="K38" s="830">
        <f>COUNTIFS($B$57:$B$270,$B37,K$57:K$270,"&gt;0")</f>
        <v>23</v>
      </c>
      <c r="L38" s="1088"/>
      <c r="M38" s="1088"/>
      <c r="N38" s="1088"/>
      <c r="O38" s="1088"/>
      <c r="P38" s="1088"/>
      <c r="Q38" s="9">
        <f>$S38</f>
        <v>19</v>
      </c>
      <c r="R38" s="9">
        <f>$S38</f>
        <v>19</v>
      </c>
      <c r="S38" s="106">
        <f>COUNTIFS($B$57:$B$270,$B37,S$57:S$270,"&gt;0")</f>
        <v>19</v>
      </c>
      <c r="T38" s="1072"/>
      <c r="U38" s="1072"/>
      <c r="V38" s="1072"/>
      <c r="W38" s="106">
        <f>COUNTIFS($B$57:$B$270,$B37,W$57:W$270,"&gt;0")</f>
        <v>20</v>
      </c>
      <c r="X38" s="106">
        <f>COUNTIFS($B$57:$B$270,$B37,X$57:X$270,"&gt;0")</f>
        <v>20</v>
      </c>
      <c r="Y38" s="1072"/>
      <c r="Z38" s="1072"/>
      <c r="AA38" s="106">
        <f>COUNTIFS($B$57:$B$270,$B37,AA$57:AA$270,"&lt;&gt;0")</f>
        <v>19</v>
      </c>
      <c r="AB38" s="106">
        <f>COUNTIFS($B$57:$B$270,$B37,AB$57:AB$270,"&lt;&gt;0")</f>
        <v>19</v>
      </c>
      <c r="AC38" s="282"/>
      <c r="AD38" s="282"/>
      <c r="AE38" s="101">
        <f>COUNTIF($B$57:$B$270,$B37)</f>
        <v>23</v>
      </c>
      <c r="AF38" s="101">
        <f>COUNTIFS($B$57:$B$270,$B37,AF$57:AF$270,"&gt;0")</f>
        <v>16</v>
      </c>
      <c r="AG38" s="282"/>
      <c r="AH38" s="101">
        <f>COUNTIF($B$57:$B$270,$B37)</f>
        <v>23</v>
      </c>
      <c r="AI38" s="106">
        <f>COUNTIFS($B$57:$B$270,$B37,AI$57:AI$270,"&gt;0")</f>
        <v>1</v>
      </c>
      <c r="AJ38" s="1072"/>
      <c r="AK38" s="101">
        <f>COUNTIF($B$57:$B$270,$B37)</f>
        <v>23</v>
      </c>
      <c r="AL38" s="101">
        <f>COUNTIFS($B$57:$B$270,$B37,AL$57:AL$270,"&gt;0")</f>
        <v>10</v>
      </c>
      <c r="AM38" s="403"/>
      <c r="AN38" s="1072"/>
      <c r="AO38" s="403"/>
      <c r="AP38" s="403"/>
      <c r="AQ38" s="403"/>
      <c r="AR38" s="403"/>
      <c r="AS38" s="282"/>
      <c r="AT38" s="282"/>
      <c r="AU38" s="282"/>
      <c r="AV38" s="282"/>
      <c r="AW38" s="282"/>
      <c r="AX38" s="101">
        <f t="shared" ref="AX38:BE38" si="401">COUNTIF($B$57:$B$270,$B37)</f>
        <v>23</v>
      </c>
      <c r="AY38" s="101">
        <f t="shared" si="401"/>
        <v>23</v>
      </c>
      <c r="AZ38" s="101">
        <f t="shared" si="401"/>
        <v>23</v>
      </c>
      <c r="BA38" s="101">
        <f t="shared" si="401"/>
        <v>23</v>
      </c>
      <c r="BB38" s="101">
        <f t="shared" si="401"/>
        <v>23</v>
      </c>
      <c r="BC38" s="101">
        <f t="shared" si="401"/>
        <v>23</v>
      </c>
      <c r="BD38" s="101">
        <f t="shared" si="401"/>
        <v>23</v>
      </c>
      <c r="BE38" s="101">
        <f t="shared" si="401"/>
        <v>23</v>
      </c>
      <c r="BF38" s="106">
        <f t="shared" ref="BF38:BK38" si="402">COUNTIFS($B$57:$B$270,$B37,BF$57:BF$270,"&gt;0")</f>
        <v>17</v>
      </c>
      <c r="BG38" s="106">
        <f t="shared" si="402"/>
        <v>21</v>
      </c>
      <c r="BH38" s="106">
        <f t="shared" si="402"/>
        <v>23</v>
      </c>
      <c r="BI38" s="1269">
        <f t="shared" si="402"/>
        <v>23</v>
      </c>
      <c r="BJ38" s="106">
        <f t="shared" si="402"/>
        <v>23</v>
      </c>
      <c r="BK38" s="106">
        <f t="shared" si="402"/>
        <v>23</v>
      </c>
      <c r="BL38" s="292"/>
      <c r="BM38" s="101">
        <f>COUNTIF($B$57:$B$270,$B37)</f>
        <v>23</v>
      </c>
      <c r="BN38" s="106">
        <f>COUNTIFS($B$57:$B$270,$B37,BN$57:BN$270,"&gt;0")</f>
        <v>19</v>
      </c>
      <c r="BO38" s="282"/>
      <c r="BP38" s="106">
        <f>COUNTIFS($B$57:$B$270,$B37,BP$57:BP$270,"&gt;0")</f>
        <v>23</v>
      </c>
      <c r="BQ38" s="106">
        <f>COUNTIFS($B$57:$B$270,$B37,BQ$57:BQ$270,"&gt;0")</f>
        <v>23</v>
      </c>
      <c r="BR38" s="106">
        <f>COUNTIFS($B$57:$B$270,$B37,BR$57:BR$270,"&gt;0")</f>
        <v>23</v>
      </c>
      <c r="BS38" s="101">
        <f>COUNTIF($B$57:$B$270,$B37)</f>
        <v>23</v>
      </c>
      <c r="BT38" s="106">
        <f>COUNTIFS($B$57:$B$270,$B37,BT$57:BT$270,"&gt;0")</f>
        <v>23</v>
      </c>
      <c r="BU38" s="106">
        <f>COUNTIFS($B$57:$B$270,$B37,BU$57:BU$270,"&gt;0")</f>
        <v>23</v>
      </c>
      <c r="BV38" s="106">
        <f>COUNTIFS($B$57:$B$270,$B37,BV$57:BV$270,"&gt;0")</f>
        <v>23</v>
      </c>
      <c r="BW38" s="820"/>
      <c r="BX38" s="820"/>
      <c r="BY38" s="820"/>
      <c r="BZ38" s="405">
        <f t="shared" ref="BZ38:CI38" si="403">$CJ38</f>
        <v>23</v>
      </c>
      <c r="CA38" s="405">
        <f t="shared" si="403"/>
        <v>23</v>
      </c>
      <c r="CB38" s="405">
        <f t="shared" si="403"/>
        <v>23</v>
      </c>
      <c r="CC38" s="405">
        <f t="shared" si="403"/>
        <v>23</v>
      </c>
      <c r="CD38" s="405">
        <f t="shared" si="403"/>
        <v>23</v>
      </c>
      <c r="CE38" s="405">
        <f t="shared" si="403"/>
        <v>23</v>
      </c>
      <c r="CF38" s="405">
        <f t="shared" si="403"/>
        <v>23</v>
      </c>
      <c r="CG38" s="405">
        <f t="shared" si="403"/>
        <v>23</v>
      </c>
      <c r="CH38" s="405">
        <f t="shared" si="403"/>
        <v>23</v>
      </c>
      <c r="CI38" s="405">
        <f t="shared" si="403"/>
        <v>23</v>
      </c>
      <c r="CJ38" s="106">
        <f>COUNTIFS($B$57:$B$270,$B37,CJ$57:CJ$270,"&gt;0")</f>
        <v>23</v>
      </c>
      <c r="CK38" s="563">
        <f>CJ38-EY38</f>
        <v>1</v>
      </c>
      <c r="CL38" s="416"/>
      <c r="CM38" s="416"/>
      <c r="CN38" s="416"/>
      <c r="CO38" s="416"/>
      <c r="CP38" s="416"/>
      <c r="CQ38" s="416"/>
      <c r="CR38" s="416"/>
      <c r="CS38" s="416"/>
      <c r="CT38" s="416"/>
      <c r="CU38" s="416"/>
      <c r="CV38" s="405">
        <f t="shared" ref="CV38:DB38" si="404">$CJ38</f>
        <v>23</v>
      </c>
      <c r="CW38" s="405">
        <f t="shared" si="404"/>
        <v>23</v>
      </c>
      <c r="CX38" s="405">
        <f t="shared" si="404"/>
        <v>23</v>
      </c>
      <c r="CY38" s="405">
        <f t="shared" si="404"/>
        <v>23</v>
      </c>
      <c r="CZ38" s="405">
        <f t="shared" si="404"/>
        <v>23</v>
      </c>
      <c r="DA38" s="405">
        <f t="shared" si="404"/>
        <v>23</v>
      </c>
      <c r="DB38" s="405">
        <f t="shared" si="404"/>
        <v>23</v>
      </c>
      <c r="DC38" s="406"/>
      <c r="DD38" s="406"/>
      <c r="DE38" s="406"/>
      <c r="DF38" s="406"/>
      <c r="DG38" s="406"/>
      <c r="DH38" s="406"/>
      <c r="DI38" s="406"/>
      <c r="DK38" s="822"/>
      <c r="DL38" s="822"/>
      <c r="DM38" s="822"/>
      <c r="DN38" s="822"/>
      <c r="DO38" s="822"/>
      <c r="DP38" s="822"/>
      <c r="DQ38" s="822"/>
      <c r="DR38" s="822"/>
      <c r="DS38" s="822"/>
      <c r="DT38" s="822"/>
      <c r="DU38" s="822"/>
      <c r="DV38" s="822"/>
      <c r="DW38" s="822"/>
      <c r="DX38" s="822"/>
      <c r="DY38" s="822"/>
      <c r="DZ38" s="822"/>
      <c r="EA38" s="822"/>
      <c r="EB38" s="822"/>
      <c r="EC38" s="824"/>
      <c r="ED38" s="106">
        <f>COUNTIFS($B$57:$B$270,$B37,ED$57:ED$270,"&gt;0")</f>
        <v>23</v>
      </c>
      <c r="EE38" s="101">
        <f>COUNTIF($B$57:$B$270,$B37)</f>
        <v>23</v>
      </c>
      <c r="EF38" s="106">
        <f>COUNTIFS($B$57:$B$270,$B37,EF$57:EF$270,"&gt;0")</f>
        <v>9</v>
      </c>
      <c r="EG38" s="106">
        <f>COUNTIFS($B$57:$B$270,$B37,EG$57:EG$270,"&gt;0")</f>
        <v>8</v>
      </c>
      <c r="EH38" s="101">
        <f>COUNTIF($B$57:$B$270,$B37)</f>
        <v>23</v>
      </c>
      <c r="EI38" s="101">
        <f>COUNTIFS($B$57:$B$270,$B37,EI$57:EI$270,"&gt;0")</f>
        <v>21</v>
      </c>
      <c r="EJ38" s="823"/>
      <c r="EK38" s="101">
        <f>COUNTIF($B$57:$B$270,$B37)</f>
        <v>23</v>
      </c>
      <c r="EL38" s="106">
        <f>COUNTIFS($B$57:$B$270,$B37,EL$57:EL$270,"&gt;0")</f>
        <v>10</v>
      </c>
      <c r="EM38" s="101">
        <f>COUNTIF($B$57:$B$270,$B37)</f>
        <v>23</v>
      </c>
      <c r="EN38" s="101">
        <f>COUNTIFS($B$57:$B$270,$B37,EN$57:EN$270,"&gt;0")</f>
        <v>12</v>
      </c>
      <c r="EO38" s="101">
        <f>COUNTIF($B$57:$B$270,$B37)</f>
        <v>23</v>
      </c>
      <c r="EP38" s="106">
        <f>COUNTIFS($B$57:$B$270,$B37,EP$57:EP$270,"&gt;0")</f>
        <v>5</v>
      </c>
      <c r="EQ38" s="101">
        <f>COUNTIF($B$57:$B$270,$B37)</f>
        <v>23</v>
      </c>
      <c r="ER38" s="101">
        <f>COUNTIF($B$57:$B$270,$B37)</f>
        <v>23</v>
      </c>
      <c r="ES38" s="822"/>
      <c r="ET38" s="825"/>
      <c r="EU38" s="101">
        <f>COUNTIFS($B$57:$B$270,$B37,EU$57:EU$270,2)</f>
        <v>7</v>
      </c>
      <c r="EV38" s="106">
        <f>COUNTIFS($B$57:$B$270,$B37,EV$57:EV$270,"&gt;0")</f>
        <v>20</v>
      </c>
      <c r="EW38" s="101">
        <f>COUNTIFS($B$57:$B$270,$B37,EW$57:EW$270,"&gt;0")</f>
        <v>17</v>
      </c>
      <c r="EX38" s="101">
        <f>COUNTIFS($B$57:$B$270,$B37,EX$57:EX$270,1)</f>
        <v>12</v>
      </c>
      <c r="EY38" s="101">
        <f>COUNTIFS($B$57:$B$270,$B37,EY$57:EY$270,"&gt;0")</f>
        <v>22</v>
      </c>
      <c r="EZ38" s="6">
        <f>$EY38</f>
        <v>22</v>
      </c>
      <c r="FA38" s="6"/>
      <c r="FB38" s="6">
        <f>$EY38</f>
        <v>22</v>
      </c>
      <c r="FC38" s="6">
        <f>$EY38</f>
        <v>22</v>
      </c>
      <c r="FD38" s="102"/>
      <c r="FE38" s="102"/>
      <c r="FF38" s="102"/>
      <c r="FG38" s="102"/>
      <c r="FH38" s="416"/>
      <c r="FI38" s="416"/>
      <c r="FJ38" s="416"/>
      <c r="FK38" s="416"/>
      <c r="FL38" s="416"/>
      <c r="FM38" s="416"/>
      <c r="FN38" s="416"/>
      <c r="FO38" s="416"/>
      <c r="FP38" s="416"/>
      <c r="FQ38" s="6">
        <f t="shared" ref="FQ38:FW38" si="405">$EY38</f>
        <v>22</v>
      </c>
      <c r="FR38" s="77">
        <f t="shared" si="405"/>
        <v>22</v>
      </c>
      <c r="FS38" s="6">
        <f t="shared" si="405"/>
        <v>22</v>
      </c>
      <c r="FT38" s="6">
        <f t="shared" si="405"/>
        <v>22</v>
      </c>
      <c r="FU38" s="6">
        <f t="shared" si="405"/>
        <v>22</v>
      </c>
      <c r="FV38" s="6">
        <f t="shared" si="405"/>
        <v>22</v>
      </c>
      <c r="FW38" s="6">
        <f t="shared" si="405"/>
        <v>22</v>
      </c>
      <c r="FX38" s="409"/>
      <c r="FY38" s="410"/>
      <c r="FZ38" s="416"/>
      <c r="GA38" s="416"/>
      <c r="GB38" s="416"/>
      <c r="GC38" s="416"/>
      <c r="GD38" s="416"/>
      <c r="GE38" s="416"/>
      <c r="GF38" s="416"/>
      <c r="GG38" s="416"/>
      <c r="GH38" s="416"/>
      <c r="GI38" s="419"/>
      <c r="GJ38" s="101">
        <f>COUNTIF($B$57:$B$270,$B37)</f>
        <v>23</v>
      </c>
      <c r="GK38" s="101">
        <f>COUNTIFS($B$57:$B$270,$B37,GK$57:GK$270,"&gt;0")</f>
        <v>19</v>
      </c>
      <c r="GL38" s="101">
        <f>COUNTIF($B$57:$B$270,$B37)</f>
        <v>23</v>
      </c>
      <c r="GM38" s="101">
        <f>COUNTIFS($B$57:$B$270,$B37,GM$57:GM$270,"&gt;0")</f>
        <v>15</v>
      </c>
      <c r="GN38" s="7">
        <f t="shared" ref="GN38:GV38" si="406">$GW38</f>
        <v>13</v>
      </c>
      <c r="GO38" s="7">
        <f t="shared" si="406"/>
        <v>13</v>
      </c>
      <c r="GP38" s="7">
        <f t="shared" si="406"/>
        <v>13</v>
      </c>
      <c r="GQ38" s="7">
        <f t="shared" si="406"/>
        <v>13</v>
      </c>
      <c r="GR38" s="7">
        <f t="shared" si="406"/>
        <v>13</v>
      </c>
      <c r="GS38" s="7">
        <f t="shared" si="406"/>
        <v>13</v>
      </c>
      <c r="GT38" s="7">
        <f t="shared" si="406"/>
        <v>13</v>
      </c>
      <c r="GU38" s="7">
        <f t="shared" si="406"/>
        <v>13</v>
      </c>
      <c r="GV38" s="7">
        <f t="shared" si="406"/>
        <v>13</v>
      </c>
      <c r="GW38" s="103">
        <f>COUNTIFS($B$57:$B$270,$B37,GW$57:GW$270,"&gt;0")</f>
        <v>13</v>
      </c>
      <c r="GY38" s="104"/>
      <c r="GZ38" s="20"/>
      <c r="HA38" s="20"/>
      <c r="HB38" s="20"/>
      <c r="HC38" s="105"/>
      <c r="HD38" s="20"/>
      <c r="HE38" s="20"/>
      <c r="HF38" s="105"/>
      <c r="HG38" s="9">
        <f>$HP38</f>
        <v>9</v>
      </c>
      <c r="HH38" s="9">
        <f t="shared" ref="HH38:HO38" si="407">$HP38</f>
        <v>9</v>
      </c>
      <c r="HI38" s="9">
        <f t="shared" si="407"/>
        <v>9</v>
      </c>
      <c r="HJ38" s="9">
        <f t="shared" si="407"/>
        <v>9</v>
      </c>
      <c r="HK38" s="9">
        <f t="shared" si="407"/>
        <v>9</v>
      </c>
      <c r="HL38" s="9">
        <f t="shared" si="407"/>
        <v>9</v>
      </c>
      <c r="HM38" s="9">
        <f t="shared" si="407"/>
        <v>9</v>
      </c>
      <c r="HN38" s="9">
        <f t="shared" si="407"/>
        <v>9</v>
      </c>
      <c r="HO38" s="9">
        <f t="shared" si="407"/>
        <v>9</v>
      </c>
      <c r="HP38" s="106">
        <f>COUNTIFS($B$57:$B$270,$B37,HP$57:HP$270,"&gt;0")</f>
        <v>9</v>
      </c>
      <c r="HR38" s="107"/>
      <c r="HS38" s="105"/>
      <c r="HT38" s="105"/>
      <c r="HU38" s="105"/>
      <c r="HV38" s="105"/>
      <c r="HW38" s="105"/>
      <c r="HX38" s="105"/>
      <c r="HY38" s="105"/>
      <c r="HZ38" s="51"/>
      <c r="IA38" s="414"/>
      <c r="IB38" s="414"/>
      <c r="IC38" s="413">
        <f>COUNTIF($B$57:$B$270,$B37)</f>
        <v>23</v>
      </c>
      <c r="IE38" s="413">
        <f>COUNTIF($B$57:$B$270,$B37)</f>
        <v>23</v>
      </c>
      <c r="IG38" s="820"/>
      <c r="IH38" s="820"/>
      <c r="II38" s="106">
        <f>COUNTIFS($B$57:$B$270,$B37,II$57:II$270,"&gt;0")</f>
        <v>11</v>
      </c>
      <c r="IJ38" s="106">
        <f>COUNTIFS($B$57:$B$270,$B37,IJ$57:IJ$270,"&gt;0")</f>
        <v>12</v>
      </c>
      <c r="IK38" s="413">
        <f>COUNTIF($B$57:$B$270,$B37)</f>
        <v>23</v>
      </c>
      <c r="IL38" s="413">
        <f>COUNTIF($B$57:$B$270,$B37)</f>
        <v>23</v>
      </c>
      <c r="IM38" s="413">
        <f>COUNTIF($B$57:$B$270,$B37)</f>
        <v>23</v>
      </c>
      <c r="IN38" s="413">
        <f>COUNTIF($B$57:$B$270,$B37)</f>
        <v>23</v>
      </c>
      <c r="IO38" s="853"/>
      <c r="IP38" s="851"/>
      <c r="IQ38" s="854"/>
      <c r="IR38" s="414"/>
      <c r="IS38" s="414"/>
      <c r="IT38" s="414"/>
      <c r="IU38" s="414"/>
      <c r="IV38" s="414"/>
      <c r="IW38" s="414"/>
      <c r="IX38" s="416"/>
      <c r="IY38" s="416"/>
      <c r="IZ38" s="416"/>
      <c r="JA38" s="416"/>
      <c r="JB38" s="416"/>
      <c r="JC38" s="416"/>
      <c r="JD38" s="414"/>
      <c r="JE38" s="414"/>
      <c r="JF38" s="414"/>
      <c r="JG38" s="414"/>
      <c r="JH38" s="414">
        <f>COUNTIF($B$57:$B$270,$B37)</f>
        <v>23</v>
      </c>
      <c r="JI38" s="414">
        <f>COUNTIF($B$57:$B$270,$B37)</f>
        <v>23</v>
      </c>
      <c r="JJ38" s="414">
        <f t="shared" ref="JJ38:JQ38" si="408">COUNTIFS($B$57:$B$270,$B37,JJ$57:JJ$270,"&gt;0")</f>
        <v>17</v>
      </c>
      <c r="JK38" s="414">
        <f t="shared" si="408"/>
        <v>23</v>
      </c>
      <c r="JL38" s="414">
        <f t="shared" si="408"/>
        <v>22</v>
      </c>
      <c r="JM38" s="414">
        <f t="shared" si="408"/>
        <v>17</v>
      </c>
      <c r="JN38" s="414">
        <f t="shared" si="408"/>
        <v>23</v>
      </c>
      <c r="JO38" s="414">
        <f t="shared" si="408"/>
        <v>20</v>
      </c>
      <c r="JP38" s="414">
        <f t="shared" si="408"/>
        <v>23</v>
      </c>
      <c r="JQ38" s="414">
        <f t="shared" si="408"/>
        <v>23</v>
      </c>
      <c r="JR38" s="414"/>
      <c r="JS38" s="414"/>
      <c r="JT38" s="414"/>
      <c r="JU38" s="414"/>
      <c r="JV38" s="414"/>
      <c r="JW38" s="414"/>
      <c r="JX38" s="414"/>
      <c r="JY38" s="101">
        <f>COUNTIFS($B$57:$B$270,$B37,JY$57:JY$270,"&gt;0")</f>
        <v>13</v>
      </c>
      <c r="JZ38" s="414"/>
      <c r="KA38" s="414"/>
      <c r="KB38" s="414"/>
      <c r="KC38" s="414"/>
      <c r="KD38" s="414"/>
      <c r="KE38" s="414"/>
      <c r="KF38" s="414"/>
      <c r="KG38" s="414"/>
      <c r="KH38" s="414"/>
      <c r="KI38" s="101">
        <f t="shared" ref="KI38:KV38" si="409">COUNTIFS($B$57:$B$270,$B37,KI$57:KI$270,"&gt;0")</f>
        <v>9</v>
      </c>
      <c r="KJ38" s="61">
        <f t="shared" si="409"/>
        <v>22</v>
      </c>
      <c r="KK38" s="61">
        <f t="shared" si="409"/>
        <v>22</v>
      </c>
      <c r="KL38" s="61">
        <f t="shared" si="409"/>
        <v>22</v>
      </c>
      <c r="KM38" s="61">
        <f t="shared" si="409"/>
        <v>22</v>
      </c>
      <c r="KN38" s="61">
        <f t="shared" si="409"/>
        <v>22</v>
      </c>
      <c r="KO38" s="61">
        <f t="shared" si="409"/>
        <v>22</v>
      </c>
      <c r="KP38" s="61">
        <f t="shared" si="409"/>
        <v>22</v>
      </c>
      <c r="KQ38" s="61">
        <f t="shared" si="409"/>
        <v>22</v>
      </c>
      <c r="KR38" s="61">
        <f t="shared" si="409"/>
        <v>22</v>
      </c>
      <c r="KS38" s="61">
        <f t="shared" si="409"/>
        <v>22</v>
      </c>
      <c r="KT38" s="61">
        <f t="shared" si="409"/>
        <v>11</v>
      </c>
      <c r="KU38" s="61">
        <f t="shared" si="409"/>
        <v>22</v>
      </c>
      <c r="KV38" s="61">
        <f t="shared" si="409"/>
        <v>22</v>
      </c>
      <c r="KW38" s="393">
        <f>COUNTIFS($B$57:$B$270,$B37,KW$57:KW$270,"&lt;&gt;0")</f>
        <v>22</v>
      </c>
      <c r="KX38" s="108"/>
      <c r="KY38" s="421"/>
      <c r="KZ38" s="421"/>
      <c r="LA38" s="421"/>
      <c r="LB38" s="421"/>
      <c r="LQ38" s="421"/>
      <c r="LR38" s="421"/>
      <c r="LS38" s="421"/>
      <c r="LT38" s="282"/>
      <c r="LU38" s="282"/>
      <c r="LV38" s="282"/>
      <c r="LW38" s="282"/>
      <c r="LX38" s="282"/>
      <c r="LY38" s="282"/>
      <c r="LZ38" s="282"/>
      <c r="MA38" s="282"/>
      <c r="MB38" s="282"/>
      <c r="MC38" s="282"/>
      <c r="MD38" s="282"/>
      <c r="ME38" s="282"/>
      <c r="MF38" s="282"/>
      <c r="MG38" s="282"/>
      <c r="MH38" s="282"/>
      <c r="MI38" s="282"/>
      <c r="MJ38" s="282"/>
      <c r="MK38" s="282"/>
      <c r="ML38" s="282"/>
      <c r="MM38" s="1232"/>
      <c r="MN38" s="1232"/>
      <c r="MO38" s="1232"/>
      <c r="MP38" s="1232"/>
      <c r="MS38" s="421"/>
      <c r="MT38" s="421"/>
      <c r="MU38" s="421"/>
      <c r="MV38" s="421"/>
      <c r="MW38" s="421"/>
      <c r="MX38" s="421"/>
      <c r="MY38" s="421"/>
      <c r="MZ38" s="421"/>
      <c r="NA38" s="421"/>
      <c r="NB38" s="421"/>
      <c r="NC38" s="421"/>
      <c r="ND38" s="421"/>
      <c r="NE38" s="421"/>
      <c r="NF38" s="421"/>
      <c r="NG38" s="421"/>
      <c r="NH38" s="421"/>
      <c r="NI38" s="421"/>
      <c r="NJ38" s="421"/>
      <c r="NK38" s="421"/>
      <c r="NL38" s="421"/>
      <c r="OQ38" s="282"/>
      <c r="OR38" s="282"/>
      <c r="OS38" s="282"/>
      <c r="OT38" s="282"/>
      <c r="OU38" s="282"/>
      <c r="OV38" s="282"/>
      <c r="OW38" s="282"/>
      <c r="OX38" s="282"/>
      <c r="OY38" s="282"/>
      <c r="OZ38" s="282"/>
      <c r="PA38" s="282"/>
      <c r="PB38" s="282"/>
      <c r="PC38" s="282"/>
      <c r="PD38" s="282"/>
      <c r="PE38" s="282"/>
      <c r="PF38" s="282"/>
      <c r="PG38" s="282"/>
      <c r="PH38" s="282"/>
      <c r="PI38" s="282"/>
      <c r="PJ38" s="282"/>
      <c r="PK38" s="282"/>
      <c r="PL38" s="282"/>
      <c r="PM38" s="282"/>
    </row>
    <row r="39" spans="1:429" ht="22.8" outlineLevel="1">
      <c r="A39" s="2057"/>
      <c r="B39" s="897"/>
      <c r="C39" s="898" t="s">
        <v>383</v>
      </c>
      <c r="D39" s="897"/>
      <c r="E39" s="1531"/>
      <c r="F39" s="899">
        <f>ROUND(F37/F38,2)</f>
        <v>0.74</v>
      </c>
      <c r="G39" s="899">
        <f>ROUND(G37/G38,2)</f>
        <v>0.35</v>
      </c>
      <c r="H39" s="900">
        <f>ROUND(H37/H38,-1)</f>
        <v>620</v>
      </c>
      <c r="I39" s="900">
        <f>ROUND(I37/I38,-1)</f>
        <v>320</v>
      </c>
      <c r="J39" s="900">
        <f>ROUND(J37/J38,-1)</f>
        <v>900</v>
      </c>
      <c r="K39" s="916">
        <f>ROUND(K37/K38,-1)</f>
        <v>760</v>
      </c>
      <c r="L39" s="1083"/>
      <c r="M39" s="1084"/>
      <c r="N39" s="1085"/>
      <c r="O39" s="1084"/>
      <c r="P39" s="1084"/>
      <c r="Q39" s="901">
        <f t="shared" ref="Q39:X39" si="410">ROUND(Q37/Q38,-2)</f>
        <v>7600</v>
      </c>
      <c r="R39" s="901">
        <f t="shared" si="410"/>
        <v>94600</v>
      </c>
      <c r="S39" s="901">
        <f t="shared" si="410"/>
        <v>102200</v>
      </c>
      <c r="T39" s="1069"/>
      <c r="U39" s="1069"/>
      <c r="V39" s="1069"/>
      <c r="W39" s="901">
        <f t="shared" si="410"/>
        <v>15500</v>
      </c>
      <c r="X39" s="901">
        <f t="shared" si="410"/>
        <v>13900</v>
      </c>
      <c r="Y39" s="1069"/>
      <c r="Z39" s="1069"/>
      <c r="AA39" s="901">
        <f>ROUND(AA37/AA38,-1)</f>
        <v>1600</v>
      </c>
      <c r="AB39" s="901">
        <f>ROUND(AB37/AB38,2)</f>
        <v>0.11</v>
      </c>
      <c r="AC39" s="1053"/>
      <c r="AD39" s="1068"/>
      <c r="AE39" s="899">
        <f>ROUND(AE37/AE38,2)</f>
        <v>0.7</v>
      </c>
      <c r="AF39" s="900">
        <f>ROUND(AF37/AF38,-2)</f>
        <v>2300</v>
      </c>
      <c r="AG39" s="1116"/>
      <c r="AH39" s="899">
        <f>ROUND(AH37/AH38,2)</f>
        <v>0.04</v>
      </c>
      <c r="AI39" s="901">
        <f>IF(AI37=0,0,ROUND(AI37/AI38,-1))</f>
        <v>1500</v>
      </c>
      <c r="AJ39" s="1069"/>
      <c r="AK39" s="899">
        <f>ROUND(AK37/AK38,2)</f>
        <v>0.43</v>
      </c>
      <c r="AL39" s="900">
        <f>IF(AL37=0,0,ROUND(AL37/AL38,-1))</f>
        <v>2300</v>
      </c>
      <c r="AM39" s="902">
        <f>X39+AF39+AI39+AL39</f>
        <v>20000</v>
      </c>
      <c r="AN39" s="1069">
        <f>Z39+AG39+AJ39</f>
        <v>0</v>
      </c>
      <c r="AO39" s="902">
        <f>NC_fb_min_amt</f>
        <v>800</v>
      </c>
      <c r="AP39" s="902">
        <f>ROUND(EP39*12,-2)</f>
        <v>600</v>
      </c>
      <c r="AQ39" s="902">
        <f>+AM39+AO39+AP39</f>
        <v>21400</v>
      </c>
      <c r="AR39" s="903">
        <f>ROUND(Z39+AG39+AJ39,-2)</f>
        <v>0</v>
      </c>
      <c r="AS39" s="1124"/>
      <c r="AT39" s="1124"/>
      <c r="AU39" s="1124"/>
      <c r="AV39" s="1124"/>
      <c r="AW39" s="1068"/>
      <c r="AX39" s="899">
        <f>ROUND(AX37/AX38,2)</f>
        <v>0.7</v>
      </c>
      <c r="AY39" s="899">
        <f>ROUND(AY37/AY38,2)</f>
        <v>0.22</v>
      </c>
      <c r="AZ39" s="899">
        <f>ROUND(AZ37/AZ38,2)</f>
        <v>0.3</v>
      </c>
      <c r="BA39" s="899">
        <f>ROUND(BA37/BA38,2)</f>
        <v>0.09</v>
      </c>
      <c r="BB39" s="899">
        <f t="shared" ref="BB39:BC39" si="411">ROUND(BB37/BB38,2)</f>
        <v>0.04</v>
      </c>
      <c r="BC39" s="899">
        <f t="shared" si="411"/>
        <v>0.22</v>
      </c>
      <c r="BD39" s="899">
        <f>ROUND(BD37/BD38,2)</f>
        <v>0.13</v>
      </c>
      <c r="BE39" s="899">
        <f t="shared" ref="BE39" si="412">ROUND(BE37/BE38,2)</f>
        <v>0.7</v>
      </c>
      <c r="BF39" s="900">
        <f t="shared" ref="BF39:BK39" si="413">ROUND(BF37/BF38,-2)</f>
        <v>5079100</v>
      </c>
      <c r="BG39" s="901">
        <f t="shared" si="413"/>
        <v>2354400</v>
      </c>
      <c r="BH39" s="901">
        <f t="shared" si="413"/>
        <v>5903700</v>
      </c>
      <c r="BI39" s="1266">
        <f t="shared" si="413"/>
        <v>24064700</v>
      </c>
      <c r="BJ39" s="901">
        <f t="shared" si="413"/>
        <v>3060100</v>
      </c>
      <c r="BK39" s="901">
        <f t="shared" si="413"/>
        <v>1887800</v>
      </c>
      <c r="BL39" s="904">
        <f>ROUND(BJ39/BK39,2)</f>
        <v>1.62</v>
      </c>
      <c r="BM39" s="899">
        <f>ROUND(BM37/BM38,2)</f>
        <v>0.83</v>
      </c>
      <c r="BN39" s="901">
        <f>ROUND(BN37/BN38,-2)</f>
        <v>4108200</v>
      </c>
      <c r="BO39" s="1135"/>
      <c r="BP39" s="901">
        <f t="shared" ref="BP39:BQ39" si="414">ROUND(BP37/BP38,-2)</f>
        <v>5774700</v>
      </c>
      <c r="BQ39" s="901">
        <f t="shared" si="414"/>
        <v>5690600</v>
      </c>
      <c r="BR39" s="1219">
        <f>ROUND(BR37/BR38,1)</f>
        <v>1.3</v>
      </c>
      <c r="BS39" s="899">
        <f>ROUND(BS37/BS38,2)</f>
        <v>0.48</v>
      </c>
      <c r="BT39" s="901">
        <f t="shared" ref="BT39:BU39" si="415">ROUND(BT37/BT38,-2)</f>
        <v>9195400</v>
      </c>
      <c r="BU39" s="901">
        <f t="shared" si="415"/>
        <v>25773800</v>
      </c>
      <c r="BV39" s="1219">
        <f>ROUND(BV37/BV38,1)</f>
        <v>0.4</v>
      </c>
      <c r="BW39" s="916">
        <f>IF(BN39=0,0,+IF(K39=0,0,ROUND(BN39/K39,-1)))</f>
        <v>5410</v>
      </c>
      <c r="BX39" s="916">
        <f>IF(BJ39=0,0,+IF(K39=0,0,ROUND(BJ39/K39,-1)))</f>
        <v>4030</v>
      </c>
      <c r="BY39" s="916">
        <f>IF(BH39=0,0,+IF(K39=0,0,ROUND(BH39/K39,-1)))</f>
        <v>7770</v>
      </c>
      <c r="BZ39" s="900">
        <f t="shared" ref="BZ39:CI39" si="416">ROUND(BZ37/BZ38,-3)</f>
        <v>1217000</v>
      </c>
      <c r="CA39" s="900">
        <f t="shared" si="416"/>
        <v>157000</v>
      </c>
      <c r="CB39" s="900">
        <f t="shared" si="416"/>
        <v>495000</v>
      </c>
      <c r="CC39" s="900">
        <f t="shared" si="416"/>
        <v>384000</v>
      </c>
      <c r="CD39" s="900">
        <f t="shared" si="416"/>
        <v>7857000</v>
      </c>
      <c r="CE39" s="900">
        <f t="shared" si="416"/>
        <v>135000</v>
      </c>
      <c r="CF39" s="900">
        <f t="shared" si="416"/>
        <v>3000</v>
      </c>
      <c r="CG39" s="900">
        <f t="shared" si="416"/>
        <v>1977000</v>
      </c>
      <c r="CH39" s="900">
        <f t="shared" si="416"/>
        <v>956000</v>
      </c>
      <c r="CI39" s="900">
        <f t="shared" si="416"/>
        <v>975000</v>
      </c>
      <c r="CJ39" s="905">
        <f>SUM(BZ39:CI39)</f>
        <v>14156000</v>
      </c>
      <c r="CK39" s="906">
        <f t="shared" ref="CK39:CU39" si="417">ROUND(BZ39/$CJ39,3)</f>
        <v>8.5999999999999993E-2</v>
      </c>
      <c r="CL39" s="906">
        <f t="shared" si="417"/>
        <v>1.0999999999999999E-2</v>
      </c>
      <c r="CM39" s="906">
        <f t="shared" si="417"/>
        <v>3.5000000000000003E-2</v>
      </c>
      <c r="CN39" s="906">
        <f t="shared" si="417"/>
        <v>2.7E-2</v>
      </c>
      <c r="CO39" s="906">
        <f t="shared" si="417"/>
        <v>0.55500000000000005</v>
      </c>
      <c r="CP39" s="906">
        <f t="shared" si="417"/>
        <v>0.01</v>
      </c>
      <c r="CQ39" s="906">
        <f t="shared" si="417"/>
        <v>0</v>
      </c>
      <c r="CR39" s="906">
        <f t="shared" si="417"/>
        <v>0.14000000000000001</v>
      </c>
      <c r="CS39" s="906">
        <f t="shared" si="417"/>
        <v>6.8000000000000005E-2</v>
      </c>
      <c r="CT39" s="906">
        <f t="shared" si="417"/>
        <v>6.9000000000000006E-2</v>
      </c>
      <c r="CU39" s="906">
        <f t="shared" si="417"/>
        <v>1</v>
      </c>
      <c r="CV39" s="900">
        <f t="shared" ref="CV39:DB39" si="418">ROUND(CV37/CV38,-3)</f>
        <v>7218000</v>
      </c>
      <c r="CW39" s="900">
        <f t="shared" si="418"/>
        <v>1336000</v>
      </c>
      <c r="CX39" s="900">
        <f t="shared" si="418"/>
        <v>340000</v>
      </c>
      <c r="CY39" s="900">
        <f t="shared" si="418"/>
        <v>4802000</v>
      </c>
      <c r="CZ39" s="900">
        <f t="shared" si="418"/>
        <v>179000</v>
      </c>
      <c r="DA39" s="900">
        <f t="shared" si="418"/>
        <v>471000</v>
      </c>
      <c r="DB39" s="900">
        <f t="shared" si="418"/>
        <v>14346000</v>
      </c>
      <c r="DC39" s="906">
        <f t="shared" ref="DC39:DI39" si="419">ROUND(CV39/$DB39,3)</f>
        <v>0.503</v>
      </c>
      <c r="DD39" s="906">
        <f t="shared" si="419"/>
        <v>9.2999999999999999E-2</v>
      </c>
      <c r="DE39" s="906">
        <f t="shared" si="419"/>
        <v>2.4E-2</v>
      </c>
      <c r="DF39" s="906">
        <f t="shared" si="419"/>
        <v>0.33500000000000002</v>
      </c>
      <c r="DG39" s="906">
        <f t="shared" si="419"/>
        <v>1.2E-2</v>
      </c>
      <c r="DH39" s="906">
        <f>ROUND(DA39/$DB39,3)</f>
        <v>3.3000000000000002E-2</v>
      </c>
      <c r="DI39" s="906">
        <f t="shared" si="419"/>
        <v>1</v>
      </c>
      <c r="DJ39" s="907">
        <f>CJ39-DB39</f>
        <v>-190000</v>
      </c>
      <c r="DK39" s="917">
        <f t="shared" ref="DK39:DT39" si="420">IF(BZ39=0,0,+IF($K39=0,0,ROUND(BZ39/$K39,-1)))</f>
        <v>1600</v>
      </c>
      <c r="DL39" s="917">
        <f t="shared" si="420"/>
        <v>210</v>
      </c>
      <c r="DM39" s="917">
        <f t="shared" si="420"/>
        <v>650</v>
      </c>
      <c r="DN39" s="917">
        <f t="shared" si="420"/>
        <v>510</v>
      </c>
      <c r="DO39" s="917">
        <f t="shared" si="420"/>
        <v>10340</v>
      </c>
      <c r="DP39" s="917">
        <f t="shared" si="420"/>
        <v>180</v>
      </c>
      <c r="DQ39" s="917">
        <f t="shared" si="420"/>
        <v>0</v>
      </c>
      <c r="DR39" s="917">
        <f t="shared" si="420"/>
        <v>2600</v>
      </c>
      <c r="DS39" s="917">
        <f t="shared" si="420"/>
        <v>1260</v>
      </c>
      <c r="DT39" s="917">
        <f t="shared" si="420"/>
        <v>1280</v>
      </c>
      <c r="DU39" s="917">
        <f>SUM(DK39:DT39)</f>
        <v>18630</v>
      </c>
      <c r="DV39" s="917">
        <f t="shared" ref="DV39:EA39" si="421">IF(CV39=0,0,+IF($K39=0,0,ROUND(CV39/$K39,-1)))</f>
        <v>9500</v>
      </c>
      <c r="DW39" s="917">
        <f t="shared" si="421"/>
        <v>1760</v>
      </c>
      <c r="DX39" s="917">
        <f t="shared" si="421"/>
        <v>450</v>
      </c>
      <c r="DY39" s="917">
        <f t="shared" si="421"/>
        <v>6320</v>
      </c>
      <c r="DZ39" s="917">
        <f t="shared" si="421"/>
        <v>240</v>
      </c>
      <c r="EA39" s="917">
        <f t="shared" si="421"/>
        <v>620</v>
      </c>
      <c r="EB39" s="917">
        <f>SUM(DV39:EA39)</f>
        <v>18890</v>
      </c>
      <c r="EC39" s="919">
        <f>DU39-EB39</f>
        <v>-260</v>
      </c>
      <c r="ED39" s="901">
        <f>ROUND(ED37/ED38,0)</f>
        <v>154</v>
      </c>
      <c r="EE39" s="899">
        <f>ROUND(EE37/EE38,2)</f>
        <v>0.39</v>
      </c>
      <c r="EF39" s="901">
        <f>ROUND(EF37/EF38,0)</f>
        <v>38</v>
      </c>
      <c r="EG39" s="901">
        <f>ROUND(EG37/EG38,-1)</f>
        <v>274260</v>
      </c>
      <c r="EH39" s="899">
        <f>ROUND(EH37/EH38,2)</f>
        <v>0.91</v>
      </c>
      <c r="EI39" s="899">
        <f>ROUND(EI37/EI38,2)</f>
        <v>0.09</v>
      </c>
      <c r="EJ39" s="918">
        <f>IF(K39=0,0,+IF(ED39=0,0,ROUND(K39/ED39,1)))</f>
        <v>4.9000000000000004</v>
      </c>
      <c r="EK39" s="899">
        <f>ROUND(EK37/EK38,2)</f>
        <v>0.43</v>
      </c>
      <c r="EL39" s="901">
        <f>ROUND(EL37/EL38,-2)</f>
        <v>800</v>
      </c>
      <c r="EM39" s="899">
        <f>ROUND(EM37/EM38,2)</f>
        <v>0.52</v>
      </c>
      <c r="EN39" s="897">
        <f>ROUND(EN37/EN38,2)</f>
        <v>0.2</v>
      </c>
      <c r="EO39" s="899">
        <f>ROUND(EO37/EO38,2)</f>
        <v>0.22</v>
      </c>
      <c r="EP39" s="901">
        <f>IF(EP37=0,0,ROUND(EP37/EP38,-1))</f>
        <v>50</v>
      </c>
      <c r="EQ39" s="899">
        <f>ROUND(EQ37/EQ38,2)</f>
        <v>0.04</v>
      </c>
      <c r="ER39" s="899">
        <f>ROUND(ER37/ER38,2)</f>
        <v>0.26</v>
      </c>
      <c r="ES39" s="917">
        <f>IF(FE39=0,0,+IF(K39=0,0,ROUND(FE39/K39,-2)))</f>
        <v>4000</v>
      </c>
      <c r="ET39" s="919">
        <f>IF(FY39=0,0,+IF(K39=0,0,ROUND(FY39/K39,-1)))</f>
        <v>-1750</v>
      </c>
      <c r="EU39" s="900">
        <f>COUNTIFS($B$57:$B$270,$B37,EU$57:EU$270,"&gt;2")</f>
        <v>7</v>
      </c>
      <c r="EV39" s="900">
        <f t="shared" ref="EV39:EZ39" si="422">ROUND(EV37/EV38,-2)</f>
        <v>89000</v>
      </c>
      <c r="EW39" s="900">
        <f t="shared" si="422"/>
        <v>12900</v>
      </c>
      <c r="EX39" s="900">
        <f>COUNTIFS($B$57:$B$270,$B37,EX$57:EX$270,2)</f>
        <v>2</v>
      </c>
      <c r="EY39" s="908">
        <f t="shared" si="422"/>
        <v>2066500</v>
      </c>
      <c r="EZ39" s="908">
        <f t="shared" si="422"/>
        <v>1052200</v>
      </c>
      <c r="FA39" s="909">
        <f>EY39-EZ39</f>
        <v>1014300</v>
      </c>
      <c r="FB39" s="908">
        <f>ROUND(FB37/FB38,-2)</f>
        <v>999000</v>
      </c>
      <c r="FC39" s="908">
        <f>ROUND(FC37/FC38,-2)</f>
        <v>344500</v>
      </c>
      <c r="FD39" s="909">
        <f>FB39-FC39</f>
        <v>654500</v>
      </c>
      <c r="FE39" s="909">
        <f>EY39+FB39</f>
        <v>3065500</v>
      </c>
      <c r="FF39" s="909">
        <f>EZ39+FC39</f>
        <v>1396700</v>
      </c>
      <c r="FG39" s="909">
        <f>FE39-FF39</f>
        <v>1668800</v>
      </c>
      <c r="FH39" s="906">
        <f>ROUND(EY39/$EY39,3)</f>
        <v>1</v>
      </c>
      <c r="FI39" s="906">
        <f>ROUND(EZ39/$EY39,3)</f>
        <v>0.50900000000000001</v>
      </c>
      <c r="FJ39" s="906">
        <f>ROUND(FA39/$EY39,3)</f>
        <v>0.49099999999999999</v>
      </c>
      <c r="FK39" s="906">
        <f>ROUND(FB39/$FB39,3)</f>
        <v>1</v>
      </c>
      <c r="FL39" s="906">
        <f>ROUND(FC39/$FB39,3)</f>
        <v>0.34499999999999997</v>
      </c>
      <c r="FM39" s="906">
        <f>ROUND(FD39/$FB39,3)</f>
        <v>0.65500000000000003</v>
      </c>
      <c r="FN39" s="906">
        <f>ROUND(FE39/$FE39,3)</f>
        <v>1</v>
      </c>
      <c r="FO39" s="906">
        <f>ROUND(FF39/$FE39,3)</f>
        <v>0.45600000000000002</v>
      </c>
      <c r="FP39" s="906">
        <f>ROUND(FG39/$FE39,3)</f>
        <v>0.54400000000000004</v>
      </c>
      <c r="FQ39" s="908">
        <f t="shared" ref="FQ39:FW39" si="423">ROUND(FQ37/FQ38,-2)</f>
        <v>2073700</v>
      </c>
      <c r="FR39" s="893">
        <f t="shared" si="423"/>
        <v>-141300</v>
      </c>
      <c r="FS39" s="908">
        <f t="shared" si="423"/>
        <v>405100</v>
      </c>
      <c r="FT39" s="908">
        <f t="shared" si="423"/>
        <v>76400</v>
      </c>
      <c r="FU39" s="908">
        <f t="shared" si="423"/>
        <v>26400</v>
      </c>
      <c r="FV39" s="908">
        <f t="shared" si="423"/>
        <v>35200</v>
      </c>
      <c r="FW39" s="908">
        <f t="shared" si="423"/>
        <v>524900</v>
      </c>
      <c r="FX39" s="909">
        <f>SUM(FQ39:FW39)</f>
        <v>3000400</v>
      </c>
      <c r="FY39" s="910">
        <f>ROUND(FG39-FX39,-2)</f>
        <v>-1331600</v>
      </c>
      <c r="FZ39" s="906">
        <f t="shared" ref="FZ39:GH39" si="424">ROUND(FQ39/$FE39,3)</f>
        <v>0.67600000000000005</v>
      </c>
      <c r="GA39" s="906">
        <f t="shared" si="424"/>
        <v>-4.5999999999999999E-2</v>
      </c>
      <c r="GB39" s="906">
        <f t="shared" si="424"/>
        <v>0.13200000000000001</v>
      </c>
      <c r="GC39" s="906">
        <f t="shared" si="424"/>
        <v>2.5000000000000001E-2</v>
      </c>
      <c r="GD39" s="906">
        <f t="shared" si="424"/>
        <v>8.9999999999999993E-3</v>
      </c>
      <c r="GE39" s="906">
        <f t="shared" si="424"/>
        <v>1.0999999999999999E-2</v>
      </c>
      <c r="GF39" s="906">
        <f t="shared" si="424"/>
        <v>0.17100000000000001</v>
      </c>
      <c r="GG39" s="906">
        <f t="shared" si="424"/>
        <v>0.97899999999999998</v>
      </c>
      <c r="GH39" s="906">
        <f t="shared" si="424"/>
        <v>-0.434</v>
      </c>
      <c r="GI39" s="911">
        <f>ROUND(EY39/FB39,2)</f>
        <v>2.0699999999999998</v>
      </c>
      <c r="GJ39" s="899">
        <f>ROUND(GJ37/GJ38,2)</f>
        <v>0.83</v>
      </c>
      <c r="GK39" s="895">
        <f>ROUND(GK37/GK38,2)</f>
        <v>7.0000000000000007E-2</v>
      </c>
      <c r="GL39" s="899">
        <f>ROUND(GL37/GL38,2)</f>
        <v>0.65</v>
      </c>
      <c r="GM39" s="895">
        <f>ROUND(GM37/GM38,2)</f>
        <v>7.0000000000000007E-2</v>
      </c>
      <c r="GN39" s="900">
        <f>ROUND(GN37/GN38,2)</f>
        <v>18</v>
      </c>
      <c r="GO39" s="900">
        <f>ROUND(GO37/GO38,0)</f>
        <v>100</v>
      </c>
      <c r="GP39" s="900">
        <f t="shared" ref="GP39:GV39" si="425">ROUND(GP37/GP38,-2)</f>
        <v>26800</v>
      </c>
      <c r="GQ39" s="900">
        <f t="shared" si="425"/>
        <v>886200</v>
      </c>
      <c r="GR39" s="900">
        <f t="shared" si="425"/>
        <v>185300</v>
      </c>
      <c r="GS39" s="900">
        <f t="shared" si="425"/>
        <v>449200</v>
      </c>
      <c r="GT39" s="900">
        <f t="shared" si="425"/>
        <v>131700</v>
      </c>
      <c r="GU39" s="900">
        <f t="shared" si="425"/>
        <v>51900</v>
      </c>
      <c r="GV39" s="900">
        <f t="shared" si="425"/>
        <v>148500</v>
      </c>
      <c r="GW39" s="912">
        <f>SUM(GQ39:GV39)</f>
        <v>1852800</v>
      </c>
      <c r="GX39" s="913">
        <f>IF(GW39=0,0,ROUND(GW39/GN39,-2))</f>
        <v>102900</v>
      </c>
      <c r="GY39" s="914">
        <f>IF(GW39=0,0,ROUND(GW39/GO39,-2))</f>
        <v>18500</v>
      </c>
      <c r="GZ39" s="915">
        <f t="shared" ref="GZ39:HE39" si="426">ROUND(GQ39/$GW39,3)</f>
        <v>0.47799999999999998</v>
      </c>
      <c r="HA39" s="915">
        <f t="shared" si="426"/>
        <v>0.1</v>
      </c>
      <c r="HB39" s="915">
        <f t="shared" si="426"/>
        <v>0.24199999999999999</v>
      </c>
      <c r="HC39" s="915">
        <f>ROUND(GT39/$GW39,3)</f>
        <v>7.0999999999999994E-2</v>
      </c>
      <c r="HD39" s="915">
        <f t="shared" si="426"/>
        <v>2.8000000000000001E-2</v>
      </c>
      <c r="HE39" s="915">
        <f t="shared" si="426"/>
        <v>0.08</v>
      </c>
      <c r="HF39" s="915">
        <f>SUM(GZ39:HE39)</f>
        <v>0.99899999999999989</v>
      </c>
      <c r="HG39" s="900">
        <f>ROUND(HG37/HG38,0)</f>
        <v>39</v>
      </c>
      <c r="HH39" s="900">
        <f>ROUND(HH37/HH38,0)</f>
        <v>224</v>
      </c>
      <c r="HI39" s="900">
        <f t="shared" ref="HI39:HP39" si="427">ROUND(HI37/HI38,-2)</f>
        <v>60000</v>
      </c>
      <c r="HJ39" s="900">
        <f t="shared" si="427"/>
        <v>1976200</v>
      </c>
      <c r="HK39" s="900">
        <f t="shared" si="427"/>
        <v>345500</v>
      </c>
      <c r="HL39" s="900">
        <f t="shared" si="427"/>
        <v>1054100</v>
      </c>
      <c r="HM39" s="900">
        <f t="shared" si="427"/>
        <v>260500</v>
      </c>
      <c r="HN39" s="900">
        <f t="shared" si="427"/>
        <v>89600</v>
      </c>
      <c r="HO39" s="900">
        <f t="shared" si="427"/>
        <v>414400</v>
      </c>
      <c r="HP39" s="900">
        <f t="shared" si="427"/>
        <v>4140400</v>
      </c>
      <c r="HQ39" s="913">
        <f>ROUND(HP39/HG39,-2)</f>
        <v>106200</v>
      </c>
      <c r="HR39" s="914">
        <f>IF(HP39=0,0,ROUND(HP39/HH39,-1))</f>
        <v>18480</v>
      </c>
      <c r="HS39" s="915">
        <f>ROUND(HJ39/$HP39,3)</f>
        <v>0.47699999999999998</v>
      </c>
      <c r="HT39" s="915">
        <f>ROUND(HK39/$HP39,3)</f>
        <v>8.3000000000000004E-2</v>
      </c>
      <c r="HU39" s="915">
        <f>ROUND(HL39/$HP39,3)</f>
        <v>0.255</v>
      </c>
      <c r="HV39" s="915">
        <f>ROUND(HM39/$HP39,3)</f>
        <v>6.3E-2</v>
      </c>
      <c r="HW39" s="915">
        <f>ROUND(HN39/$HP39,3)</f>
        <v>2.1999999999999999E-2</v>
      </c>
      <c r="HX39" s="915">
        <f>ROUND(HO39/$HP39,3)+0.1%</f>
        <v>0.10100000000000001</v>
      </c>
      <c r="HY39" s="915">
        <f>SUM(HS39:HX39)</f>
        <v>1.0009999999999999</v>
      </c>
      <c r="HZ39" s="51"/>
      <c r="IA39" s="906">
        <f>ROUND(Q39/S39,2)</f>
        <v>7.0000000000000007E-2</v>
      </c>
      <c r="IB39" s="906"/>
      <c r="IC39" s="892">
        <f>ROUND(IC37/IC38,2)</f>
        <v>0.83</v>
      </c>
      <c r="ID39" s="892"/>
      <c r="IE39" s="892">
        <f>ROUND(IE37/IE38,2)</f>
        <v>0</v>
      </c>
      <c r="IF39" s="892"/>
      <c r="IG39" s="894">
        <f>ROUND(IF(BI39=0,0,+IF(K39=0,0,BI39/K39)),-1)</f>
        <v>31660</v>
      </c>
      <c r="IH39" s="1548">
        <f>ROUND(IF(BU39=0,0,+IF(K39=0,0,BU39/K39)),-1)</f>
        <v>33910</v>
      </c>
      <c r="II39" s="1219">
        <f>ROUND(II37/II38,1)</f>
        <v>1.9</v>
      </c>
      <c r="IJ39" s="1219">
        <f>ROUND(IJ37/IJ38,1)</f>
        <v>0.8</v>
      </c>
      <c r="IK39" s="892">
        <f>ROUND(IK37/IK38,2)</f>
        <v>0.39</v>
      </c>
      <c r="IL39" s="892">
        <f>ROUND(IL37/IL38,2)</f>
        <v>0.04</v>
      </c>
      <c r="IM39" s="892">
        <f>ROUND(IM37/IM38,2)</f>
        <v>0.35</v>
      </c>
      <c r="IN39" s="892">
        <f>ROUND(IN37/IN38,2)</f>
        <v>0</v>
      </c>
      <c r="IO39" s="920">
        <f>ROUND(FY39/$J39,-1)</f>
        <v>-1480</v>
      </c>
      <c r="IP39" s="1188">
        <f>IF(K39=0,0,ROUND(FY39/K39,-1))</f>
        <v>-1750</v>
      </c>
      <c r="IQ39" s="921">
        <f>IF(FY39=0,0,+IF(CD39=0,0,FY39/CD39))</f>
        <v>-0.16947944508081966</v>
      </c>
      <c r="IR39" s="922">
        <f>EY39</f>
        <v>2066500</v>
      </c>
      <c r="IS39" s="922">
        <f>FB39</f>
        <v>999000</v>
      </c>
      <c r="IT39" s="922">
        <f>FQ39</f>
        <v>2073700</v>
      </c>
      <c r="IU39" s="922">
        <f>FS39+FT39</f>
        <v>481500</v>
      </c>
      <c r="IV39" s="922">
        <f>FF39</f>
        <v>1396700</v>
      </c>
      <c r="IW39" s="922">
        <f>SUM(FU39:FW39)+FR39</f>
        <v>445200</v>
      </c>
      <c r="IX39" s="906">
        <f t="shared" ref="IX39:JC39" si="428">IF(IR39=0,0,ROUND(IR39/(SUM($IR39:$IS39)),3))</f>
        <v>0.67400000000000004</v>
      </c>
      <c r="IY39" s="906">
        <f t="shared" si="428"/>
        <v>0.32600000000000001</v>
      </c>
      <c r="IZ39" s="906">
        <f t="shared" si="428"/>
        <v>0.67600000000000005</v>
      </c>
      <c r="JA39" s="906">
        <f t="shared" si="428"/>
        <v>0.157</v>
      </c>
      <c r="JB39" s="906">
        <f t="shared" si="428"/>
        <v>0.45600000000000002</v>
      </c>
      <c r="JC39" s="906">
        <f t="shared" si="428"/>
        <v>0.14499999999999999</v>
      </c>
      <c r="JD39" s="923">
        <f>CD39+CE39+CF39</f>
        <v>7995000</v>
      </c>
      <c r="JE39" s="923">
        <f>BZ39+CA39+CB39+CC39</f>
        <v>2253000</v>
      </c>
      <c r="JF39" s="923">
        <f>JD39+JE39+CG39+CH39+CI39-CJ39</f>
        <v>0</v>
      </c>
      <c r="JG39" s="923">
        <f>CZ39+DA39</f>
        <v>650000</v>
      </c>
      <c r="JH39" s="924">
        <f t="shared" ref="JH39:JQ39" si="429">ROUND(JH37/JH38,2)</f>
        <v>0.48</v>
      </c>
      <c r="JI39" s="924">
        <f t="shared" si="429"/>
        <v>0.74</v>
      </c>
      <c r="JJ39" s="924">
        <f t="shared" si="429"/>
        <v>0.71</v>
      </c>
      <c r="JK39" s="924">
        <f t="shared" si="429"/>
        <v>0.51</v>
      </c>
      <c r="JL39" s="924">
        <f t="shared" si="429"/>
        <v>0.09</v>
      </c>
      <c r="JM39" s="924">
        <f t="shared" si="429"/>
        <v>0.03</v>
      </c>
      <c r="JN39" s="924">
        <f t="shared" si="429"/>
        <v>0.35</v>
      </c>
      <c r="JO39" s="924">
        <f t="shared" si="429"/>
        <v>0.02</v>
      </c>
      <c r="JP39" s="924">
        <f t="shared" si="429"/>
        <v>0.03</v>
      </c>
      <c r="JQ39" s="924">
        <f t="shared" si="429"/>
        <v>1.01</v>
      </c>
      <c r="JR39" s="905">
        <f t="shared" ref="JR39:JW39" si="430">ROUND(GQ39/$GN39,-2)</f>
        <v>49200</v>
      </c>
      <c r="JS39" s="905">
        <f t="shared" si="430"/>
        <v>10300</v>
      </c>
      <c r="JT39" s="905">
        <f t="shared" si="430"/>
        <v>25000</v>
      </c>
      <c r="JU39" s="905">
        <f t="shared" si="430"/>
        <v>7300</v>
      </c>
      <c r="JV39" s="905">
        <f t="shared" si="430"/>
        <v>2900</v>
      </c>
      <c r="JW39" s="905">
        <f t="shared" si="430"/>
        <v>8300</v>
      </c>
      <c r="JX39" s="905">
        <f>GW39/GP39</f>
        <v>69.134328358208961</v>
      </c>
      <c r="JY39" s="925">
        <f>ROUND(JY37/JY38,2)</f>
        <v>0.21</v>
      </c>
      <c r="JZ39" s="905">
        <f t="shared" ref="JZ39:KE39" si="431">ROUND(HJ39/$HG39,-2)</f>
        <v>50700</v>
      </c>
      <c r="KA39" s="905">
        <f t="shared" si="431"/>
        <v>8900</v>
      </c>
      <c r="KB39" s="905">
        <f t="shared" si="431"/>
        <v>27000</v>
      </c>
      <c r="KC39" s="905">
        <f t="shared" si="431"/>
        <v>6700</v>
      </c>
      <c r="KD39" s="905">
        <f t="shared" si="431"/>
        <v>2300</v>
      </c>
      <c r="KE39" s="905">
        <f t="shared" si="431"/>
        <v>10600</v>
      </c>
      <c r="KF39" s="905">
        <f>ROUND(HI39/HG39*18,-2)</f>
        <v>27700</v>
      </c>
      <c r="KG39" s="905">
        <f>ROUND(HH39/HG39*36,0)</f>
        <v>207</v>
      </c>
      <c r="KH39" s="905">
        <f>ROUND(HP39/HI39,0)</f>
        <v>69</v>
      </c>
      <c r="KI39" s="925">
        <f>ROUND(KI37/KI38,2)</f>
        <v>0.23</v>
      </c>
      <c r="KJ39" s="894">
        <f>IF(KJ37=0,0,ROUND(KJ37/KJ38,-2))</f>
        <v>0</v>
      </c>
      <c r="KK39" s="894">
        <f>IF(KK37=0,0,ROUND(KK37/KK38,-2))</f>
        <v>40400</v>
      </c>
      <c r="KL39" s="894">
        <f>IF(KL37=0,0,ROUND(KL37/KL38,-2))</f>
        <v>200</v>
      </c>
      <c r="KM39" s="894">
        <f>IF(KM37=0,0,ROUND(KM37/KM38,-2))</f>
        <v>99600</v>
      </c>
      <c r="KN39" s="894">
        <f>IF(KN37=0,0,ROUND(KN37/KN38,-2))</f>
        <v>100</v>
      </c>
      <c r="KO39" s="894">
        <f t="shared" ref="KO39:KT39" si="432">IF(KO37=0,0,ROUND(KO37/KO38,-2))</f>
        <v>18900</v>
      </c>
      <c r="KP39" s="894">
        <f t="shared" si="432"/>
        <v>1332100</v>
      </c>
      <c r="KQ39" s="894">
        <f t="shared" si="432"/>
        <v>250800</v>
      </c>
      <c r="KR39" s="894">
        <f t="shared" si="432"/>
        <v>696700</v>
      </c>
      <c r="KS39" s="894">
        <f t="shared" si="432"/>
        <v>184400</v>
      </c>
      <c r="KT39" s="894">
        <f t="shared" si="432"/>
        <v>134600</v>
      </c>
      <c r="KU39" s="894">
        <f t="shared" ref="KU39" si="433">IF(KU37=0,0,ROUND(KU37/KU38,-2))</f>
        <v>257300</v>
      </c>
      <c r="KV39" s="896">
        <f>ROUND(KV37/KV38,3)</f>
        <v>0.218</v>
      </c>
      <c r="KW39" s="926">
        <f>ROUND(KW37/KW38,3)</f>
        <v>-0.35299999999999998</v>
      </c>
      <c r="KX39" s="108"/>
      <c r="KY39" s="421"/>
      <c r="KZ39" s="421"/>
      <c r="LA39" s="421"/>
      <c r="LB39" s="421"/>
      <c r="LQ39" s="421"/>
      <c r="LR39" s="421"/>
      <c r="LS39" s="421"/>
      <c r="LT39" s="282"/>
      <c r="LU39" s="282"/>
      <c r="LV39" s="282"/>
      <c r="LW39" s="282"/>
      <c r="LX39" s="282"/>
      <c r="LY39" s="282"/>
      <c r="LZ39" s="282"/>
      <c r="MA39" s="282"/>
      <c r="MB39" s="282"/>
      <c r="MC39" s="282"/>
      <c r="MD39" s="282"/>
      <c r="ME39" s="282"/>
      <c r="MF39" s="282"/>
      <c r="MG39" s="282"/>
      <c r="MH39" s="282"/>
      <c r="MI39" s="282"/>
      <c r="MJ39" s="282"/>
      <c r="MK39" s="282"/>
      <c r="ML39" s="282"/>
      <c r="MM39" s="1232"/>
      <c r="MN39" s="1232"/>
      <c r="MO39" s="1232"/>
      <c r="MP39" s="1232"/>
      <c r="MS39" s="421"/>
      <c r="MT39" s="421"/>
      <c r="MU39" s="421"/>
      <c r="MV39" s="421"/>
      <c r="MW39" s="421"/>
      <c r="MX39" s="421"/>
      <c r="MY39" s="421"/>
      <c r="MZ39" s="421"/>
      <c r="NA39" s="421"/>
      <c r="NB39" s="421"/>
      <c r="NC39" s="421"/>
      <c r="ND39" s="421"/>
      <c r="NE39" s="421"/>
      <c r="NF39" s="421"/>
      <c r="NG39" s="421"/>
      <c r="NH39" s="421"/>
      <c r="NI39" s="421"/>
      <c r="NJ39" s="421"/>
      <c r="NK39" s="421"/>
      <c r="NL39" s="421"/>
      <c r="OQ39" s="282"/>
      <c r="OR39" s="282"/>
      <c r="OS39" s="282"/>
      <c r="OT39" s="282"/>
      <c r="OU39" s="282"/>
      <c r="OV39" s="282"/>
      <c r="OW39" s="282"/>
      <c r="OX39" s="282"/>
      <c r="OY39" s="282"/>
      <c r="OZ39" s="282"/>
      <c r="PA39" s="282"/>
      <c r="PB39" s="282"/>
      <c r="PC39" s="282"/>
      <c r="PD39" s="282"/>
      <c r="PE39" s="282"/>
      <c r="PF39" s="282"/>
      <c r="PG39" s="282"/>
      <c r="PH39" s="282"/>
      <c r="PI39" s="282"/>
      <c r="PJ39" s="282"/>
      <c r="PK39" s="282"/>
      <c r="PL39" s="282"/>
      <c r="PM39" s="282"/>
    </row>
    <row r="40" spans="1:429" ht="15.6" hidden="1" outlineLevel="2">
      <c r="A40" s="2057"/>
      <c r="B40" s="571" t="s">
        <v>647</v>
      </c>
      <c r="C40" s="606">
        <v>0.25</v>
      </c>
      <c r="D40" s="571"/>
      <c r="E40" s="1530"/>
      <c r="F40" s="572"/>
      <c r="G40" s="572"/>
      <c r="H40" s="104"/>
      <c r="I40" s="104"/>
      <c r="J40" s="104" t="e">
        <f t="array" ref="J40">PERCENTILE(IF((($B$57:$B$95=$B$37)*(J$57:J$95&lt;&gt;0)),J$57:J$95),$C40)</f>
        <v>#NUM!</v>
      </c>
      <c r="K40" s="831"/>
      <c r="L40" s="1086"/>
      <c r="M40" s="1086"/>
      <c r="N40" s="1086"/>
      <c r="O40" s="1086"/>
      <c r="P40" s="1086"/>
      <c r="Q40" s="104"/>
      <c r="R40" s="572"/>
      <c r="S40" s="104" t="e">
        <f t="array" ref="S40">PERCENTILE(IF((($B$57:$B$95=$B$37)*(S$57:S$95&lt;&gt;0)),S$57:S$95),$C40)</f>
        <v>#NUM!</v>
      </c>
      <c r="T40" s="1070"/>
      <c r="U40" s="1070"/>
      <c r="V40" s="1070"/>
      <c r="W40" s="104" t="e">
        <f t="array" ref="W40">PERCENTILE(IF((($B$57:$B$95=$B$37)*(W$57:W$95&lt;&gt;0)),W$57:W$95),$C40)</f>
        <v>#NUM!</v>
      </c>
      <c r="X40" s="104"/>
      <c r="Y40" s="1070"/>
      <c r="Z40" s="1070"/>
      <c r="AA40" s="104"/>
      <c r="AB40" s="104"/>
      <c r="AC40" s="1070"/>
      <c r="AD40" s="1105"/>
      <c r="AE40" s="104"/>
      <c r="AF40" s="104"/>
      <c r="AG40" s="1070"/>
      <c r="AH40" s="573"/>
      <c r="AI40" s="104"/>
      <c r="AJ40" s="1070"/>
      <c r="AK40" s="573"/>
      <c r="AL40" s="104"/>
      <c r="AM40" s="104"/>
      <c r="AN40" s="1070"/>
      <c r="AO40" s="104"/>
      <c r="AP40" s="104"/>
      <c r="AQ40" s="104" t="e">
        <f t="array" ref="AQ40">PERCENTILE(IF((($B$57:$B$95=$B$37)*(AQ$57:AQ$95&lt;&gt;0)),AQ$57:AQ$95),$C40)</f>
        <v>#NUM!</v>
      </c>
      <c r="AR40" s="104" t="e">
        <f t="array" ref="AR40">PERCENTILE(IF((($B$57:$B$95=$B$37)*(AR$57:AR$95&lt;&gt;0)),AR$57:AR$95),$C40)</f>
        <v>#NUM!</v>
      </c>
      <c r="AS40" s="1105"/>
      <c r="AT40" s="1105"/>
      <c r="AU40" s="1105"/>
      <c r="AV40" s="1105"/>
      <c r="AW40" s="1105"/>
      <c r="AX40" s="573"/>
      <c r="AY40" s="573"/>
      <c r="AZ40" s="573"/>
      <c r="BA40" s="573"/>
      <c r="BB40" s="573"/>
      <c r="BC40" s="573"/>
      <c r="BD40" s="573"/>
      <c r="BE40" s="572"/>
      <c r="BF40" s="104"/>
      <c r="BG40" s="104"/>
      <c r="BH40" s="104"/>
      <c r="BI40" s="1267"/>
      <c r="BJ40" s="104"/>
      <c r="BK40" s="104"/>
      <c r="BL40" s="572"/>
      <c r="BM40" s="572"/>
      <c r="BN40" s="104"/>
      <c r="BO40" s="1105"/>
      <c r="BP40" s="104"/>
      <c r="BQ40" s="104"/>
      <c r="BR40" s="104"/>
      <c r="BS40" s="572"/>
      <c r="BT40" s="104"/>
      <c r="BU40" s="104"/>
      <c r="BV40" s="104"/>
      <c r="BW40" s="831" t="e">
        <f t="array" ref="BW40">PERCENTILE(IF((($B$57:$B$95=$B$37)*(BW$57:BW$95&lt;&gt;0)),BW$57:BW$95),$C40)</f>
        <v>#NUM!</v>
      </c>
      <c r="BX40" s="831"/>
      <c r="BY40" s="831"/>
      <c r="BZ40" s="104"/>
      <c r="CA40" s="104"/>
      <c r="CB40" s="104"/>
      <c r="CC40" s="104"/>
      <c r="CD40" s="104"/>
      <c r="CE40" s="104"/>
      <c r="CF40" s="104"/>
      <c r="CG40" s="104"/>
      <c r="CH40" s="104"/>
      <c r="CI40" s="104"/>
      <c r="CJ40" s="104" t="e">
        <f t="array" ref="CJ40">PERCENTILE(IF((($B$57:$B$95=$B$37)*(CJ$57:CJ$95&lt;&gt;0)),CJ$57:CJ$95),$C40)</f>
        <v>#NUM!</v>
      </c>
      <c r="CK40" s="575"/>
      <c r="CL40" s="575"/>
      <c r="CM40" s="575"/>
      <c r="CN40" s="575"/>
      <c r="CO40" s="575"/>
      <c r="CP40" s="575"/>
      <c r="CQ40" s="575"/>
      <c r="CR40" s="575"/>
      <c r="CS40" s="575"/>
      <c r="CT40" s="575"/>
      <c r="CU40" s="575"/>
      <c r="CV40" s="104"/>
      <c r="CW40" s="104"/>
      <c r="CX40" s="104"/>
      <c r="CY40" s="104"/>
      <c r="CZ40" s="104"/>
      <c r="DA40" s="104"/>
      <c r="DB40" s="104"/>
      <c r="DC40" s="575"/>
      <c r="DD40" s="575"/>
      <c r="DE40" s="575"/>
      <c r="DF40" s="575"/>
      <c r="DG40" s="575"/>
      <c r="DH40" s="575"/>
      <c r="DI40" s="575"/>
      <c r="DJ40" s="290"/>
      <c r="DK40" s="832"/>
      <c r="DL40" s="832"/>
      <c r="DM40" s="832"/>
      <c r="DN40" s="832"/>
      <c r="DO40" s="832"/>
      <c r="DP40" s="832"/>
      <c r="DQ40" s="832"/>
      <c r="DR40" s="832"/>
      <c r="DS40" s="841"/>
      <c r="DT40" s="832"/>
      <c r="DU40" s="832"/>
      <c r="DV40" s="832"/>
      <c r="DW40" s="832"/>
      <c r="DX40" s="832"/>
      <c r="DY40" s="832"/>
      <c r="DZ40" s="832"/>
      <c r="EA40" s="832"/>
      <c r="EB40" s="832"/>
      <c r="EC40" s="2103"/>
      <c r="ED40" s="574"/>
      <c r="EE40" s="572"/>
      <c r="EF40" s="104"/>
      <c r="EG40" s="104"/>
      <c r="EH40" s="572"/>
      <c r="EI40" s="572"/>
      <c r="EJ40" s="833"/>
      <c r="EK40" s="573"/>
      <c r="EL40" s="104"/>
      <c r="EM40" s="572"/>
      <c r="EN40" s="572"/>
      <c r="EO40" s="573"/>
      <c r="EP40" s="574"/>
      <c r="EQ40" s="572"/>
      <c r="ER40" s="572"/>
      <c r="ES40" s="834"/>
      <c r="ET40" s="835"/>
      <c r="EU40" s="101">
        <f>COUNTIFS($B$57:$B$270,$B40,EU$57:EU$270,1)</f>
        <v>0</v>
      </c>
      <c r="EV40" s="104"/>
      <c r="EW40" s="104"/>
      <c r="EX40" s="104">
        <f>COUNTIFS($B$57:$B$270,$B40,EX$57:EX$270,0)</f>
        <v>0</v>
      </c>
      <c r="EY40" s="104"/>
      <c r="EZ40" s="104"/>
      <c r="FA40" s="104"/>
      <c r="FB40" s="104"/>
      <c r="FC40" s="104"/>
      <c r="FD40" s="577"/>
      <c r="FE40" s="104" t="e">
        <f t="array" ref="FE40">PERCENTILE(IF((($B$57:$B$95=$B$37)*(FE$57:FE$95&lt;&gt;0)),FE$57:FE$95),$C40)</f>
        <v>#NUM!</v>
      </c>
      <c r="FF40" s="577"/>
      <c r="FG40" s="577"/>
      <c r="FH40" s="578"/>
      <c r="FI40" s="578"/>
      <c r="FJ40" s="578"/>
      <c r="FK40" s="578"/>
      <c r="FL40" s="578"/>
      <c r="FM40" s="578"/>
      <c r="FN40" s="578"/>
      <c r="FO40" s="578"/>
      <c r="FP40" s="578"/>
      <c r="FQ40" s="104"/>
      <c r="FR40" s="104"/>
      <c r="FS40" s="104"/>
      <c r="FT40" s="104"/>
      <c r="FU40" s="104"/>
      <c r="FV40" s="104"/>
      <c r="FW40" s="104"/>
      <c r="FX40" s="579"/>
      <c r="FY40" s="742" t="e">
        <f t="array" ref="FY40">PERCENTILE(IF((($B$57:$B$95=$B$37)*(FY$57:FY$95&lt;&gt;0)),FY$57:FY$95),$C40)</f>
        <v>#NUM!</v>
      </c>
      <c r="FZ40" s="580"/>
      <c r="GA40" s="580"/>
      <c r="GB40" s="580"/>
      <c r="GC40" s="580"/>
      <c r="GD40" s="580"/>
      <c r="GE40" s="580"/>
      <c r="GF40" s="580"/>
      <c r="GG40" s="580"/>
      <c r="GH40" s="572" t="e">
        <f t="array" ref="GH40">PERCENTILE(IF((($B$57:$B$95=$B$37)*(GH$57:GH$95&lt;&gt;0)),GH$57:GH$95),$C40)</f>
        <v>#NUM!</v>
      </c>
      <c r="GI40" s="572" t="e">
        <f t="array" ref="GI40">PERCENTILE(IF((($B$57:$B$95=$B$37)*(GI$57:GI$95&lt;&gt;0)),GI$57:GI$95),$C40)</f>
        <v>#NUM!</v>
      </c>
      <c r="GJ40" s="572"/>
      <c r="GK40" s="572"/>
      <c r="GL40" s="572"/>
      <c r="GM40" s="572"/>
      <c r="GN40" s="104"/>
      <c r="GO40" s="574"/>
      <c r="GP40" s="574"/>
      <c r="GQ40" s="104"/>
      <c r="GR40" s="104"/>
      <c r="GS40" s="104"/>
      <c r="GT40" s="104"/>
      <c r="GU40" s="104"/>
      <c r="GV40" s="104"/>
      <c r="GW40" s="104"/>
      <c r="GX40" s="104" t="e">
        <f t="array" ref="GX40">PERCENTILE(IF((($B$57:$B$95=$B$37)*(GX$57:GX$95&lt;&gt;0)),GX$57:GX$95),$C40)</f>
        <v>#NUM!</v>
      </c>
      <c r="GY40" s="574"/>
      <c r="GZ40" s="575"/>
      <c r="HA40" s="575"/>
      <c r="HB40" s="575"/>
      <c r="HC40" s="575"/>
      <c r="HD40" s="575"/>
      <c r="HE40" s="575"/>
      <c r="HF40" s="575"/>
      <c r="HG40" s="104"/>
      <c r="HH40" s="104"/>
      <c r="HI40" s="104"/>
      <c r="HJ40" s="104"/>
      <c r="HK40" s="104"/>
      <c r="HL40" s="104"/>
      <c r="HM40" s="104"/>
      <c r="HN40" s="104"/>
      <c r="HO40" s="104"/>
      <c r="HP40" s="104"/>
      <c r="HQ40" s="104" t="e">
        <f t="array" ref="HQ40">PERCENTILE(IF((($B$57:$B$95=$B$37)*(HQ$57:HQ$95&lt;&gt;0)),HQ$57:HQ$95),$C40)</f>
        <v>#NUM!</v>
      </c>
      <c r="HR40" s="574"/>
      <c r="HS40" s="575"/>
      <c r="HT40" s="575"/>
      <c r="HU40" s="575"/>
      <c r="HV40" s="575"/>
      <c r="HW40" s="575"/>
      <c r="HX40" s="575"/>
      <c r="HY40" s="575"/>
      <c r="HZ40" s="51"/>
      <c r="IA40" s="581"/>
      <c r="IB40" s="581"/>
      <c r="IC40" s="582"/>
      <c r="ID40" s="582"/>
      <c r="IE40" s="583"/>
      <c r="IF40" s="583"/>
      <c r="IG40" s="831"/>
      <c r="IH40" s="831"/>
      <c r="II40" s="104"/>
      <c r="IJ40" s="104"/>
      <c r="IK40" s="583"/>
      <c r="IL40" s="582"/>
      <c r="IM40" s="583"/>
      <c r="IN40" s="583"/>
      <c r="IO40" s="858" t="e">
        <f t="array" ref="IO40">PERCENTILE(IF((($B$57:$B$95=$B$37)*(IO$57:IO$95&lt;&gt;0)),IO$57:IO$95),$C40)</f>
        <v>#NUM!</v>
      </c>
      <c r="IP40" s="851" t="e">
        <f t="array" ref="IP40">PERCENTILE(IF((($B$57:$B$95=$B$37)*(IP$57:IP$95&lt;&gt;0)),IP$57:IP$95),$C40)</f>
        <v>#NUM!</v>
      </c>
      <c r="IQ40" s="862" t="e">
        <f t="array" ref="IQ40">PERCENTILE(IF((($B$57:$B$95=$B$37)*(IQ$57:IQ$95&lt;&gt;0)),IQ$57:IQ$95),$C40)</f>
        <v>#NUM!</v>
      </c>
      <c r="IR40" s="290"/>
      <c r="IS40" s="290"/>
      <c r="IT40" s="290"/>
      <c r="IU40" s="290"/>
      <c r="IV40" s="290"/>
      <c r="IW40" s="290"/>
      <c r="IX40" s="575"/>
      <c r="IY40" s="575"/>
      <c r="IZ40" s="575"/>
      <c r="JA40" s="575"/>
      <c r="JB40" s="575"/>
      <c r="JC40" s="575"/>
      <c r="JD40" s="290"/>
      <c r="JE40" s="290"/>
      <c r="JF40" s="584"/>
      <c r="JG40" s="290"/>
      <c r="JH40" s="583"/>
      <c r="JI40" s="583"/>
      <c r="JJ40" s="583"/>
      <c r="JK40" s="575"/>
      <c r="JL40" s="575"/>
      <c r="JM40" s="575"/>
      <c r="JN40" s="575"/>
      <c r="JO40" s="575"/>
      <c r="JP40" s="575"/>
      <c r="JQ40" s="575"/>
      <c r="JR40" s="290"/>
      <c r="JS40" s="290"/>
      <c r="JT40" s="290"/>
      <c r="JU40" s="290"/>
      <c r="JV40" s="290"/>
      <c r="JW40" s="290"/>
      <c r="JX40" s="585"/>
      <c r="JY40" s="575" t="e">
        <f t="array" ref="JY40">PERCENTILE(IF((($B$57:$B$95=$B$37)*(JY$57:JY$95&lt;&gt;0)),JY$57:JY$95),$C40)</f>
        <v>#NUM!</v>
      </c>
      <c r="JZ40" s="290"/>
      <c r="KA40" s="290"/>
      <c r="KB40" s="290"/>
      <c r="KC40" s="290"/>
      <c r="KD40" s="290"/>
      <c r="KE40" s="290"/>
      <c r="KF40" s="585"/>
      <c r="KG40" s="585"/>
      <c r="KH40" s="585"/>
      <c r="KI40" s="575" t="e">
        <f t="array" ref="KI40">PERCENTILE(IF((($B$57:$B$95=$B$37)*(KI$57:KI$95&lt;&gt;0)),KI$57:KI$95),$C40)</f>
        <v>#NUM!</v>
      </c>
      <c r="KJ40" s="586"/>
      <c r="KK40" s="587"/>
      <c r="KL40" s="587"/>
      <c r="KM40" s="587"/>
      <c r="KN40" s="586"/>
      <c r="KO40" s="587"/>
      <c r="KP40" s="587"/>
      <c r="KQ40" s="587"/>
      <c r="KR40" s="587"/>
      <c r="KS40" s="587"/>
      <c r="KT40" s="587"/>
      <c r="KU40" s="587"/>
      <c r="KV40" s="587"/>
      <c r="KW40" s="587"/>
      <c r="KX40" s="108"/>
      <c r="KY40" s="421"/>
      <c r="KZ40" s="421"/>
      <c r="LA40" s="421"/>
      <c r="LB40" s="421"/>
      <c r="LQ40" s="421"/>
      <c r="LR40" s="421"/>
      <c r="LS40" s="421"/>
      <c r="LT40" s="282"/>
      <c r="LU40" s="282"/>
      <c r="LV40" s="282"/>
      <c r="LW40" s="282"/>
      <c r="LX40" s="282"/>
      <c r="LY40" s="282"/>
      <c r="LZ40" s="282"/>
      <c r="MA40" s="282"/>
      <c r="MB40" s="282"/>
      <c r="MC40" s="282"/>
      <c r="MD40" s="282"/>
      <c r="ME40" s="282"/>
      <c r="MF40" s="282"/>
      <c r="MG40" s="282"/>
      <c r="MH40" s="282"/>
      <c r="MI40" s="282"/>
      <c r="MJ40" s="282"/>
      <c r="MK40" s="282"/>
      <c r="ML40" s="282"/>
      <c r="MM40" s="1232"/>
      <c r="MN40" s="1232"/>
      <c r="MO40" s="1232"/>
      <c r="MP40" s="1232"/>
      <c r="MS40" s="421"/>
      <c r="MT40" s="421"/>
      <c r="MU40" s="421"/>
      <c r="MV40" s="421"/>
      <c r="MW40" s="421"/>
      <c r="MX40" s="421"/>
      <c r="MY40" s="421"/>
      <c r="MZ40" s="421"/>
      <c r="NA40" s="421"/>
      <c r="NB40" s="421"/>
      <c r="NC40" s="421"/>
      <c r="ND40" s="421"/>
      <c r="NE40" s="421"/>
      <c r="NF40" s="421"/>
      <c r="NG40" s="421"/>
      <c r="NH40" s="421"/>
      <c r="NI40" s="421"/>
      <c r="NJ40" s="421"/>
      <c r="NK40" s="421"/>
      <c r="NL40" s="421"/>
      <c r="OQ40" s="282"/>
      <c r="OR40" s="282"/>
      <c r="OS40" s="282"/>
      <c r="OT40" s="282"/>
      <c r="OU40" s="282"/>
      <c r="OV40" s="282"/>
      <c r="OW40" s="282"/>
      <c r="OX40" s="282"/>
      <c r="OY40" s="282"/>
      <c r="OZ40" s="282"/>
      <c r="PA40" s="282"/>
      <c r="PB40" s="282"/>
      <c r="PC40" s="282"/>
      <c r="PD40" s="282"/>
      <c r="PE40" s="282"/>
      <c r="PF40" s="282"/>
      <c r="PG40" s="282"/>
      <c r="PH40" s="282"/>
      <c r="PI40" s="282"/>
      <c r="PJ40" s="282"/>
      <c r="PK40" s="282"/>
      <c r="PL40" s="282"/>
      <c r="PM40" s="282"/>
    </row>
    <row r="41" spans="1:429" ht="20.399999999999999" hidden="1" outlineLevel="2">
      <c r="A41" s="2057"/>
      <c r="B41" s="571"/>
      <c r="C41" s="606">
        <v>0.5</v>
      </c>
      <c r="D41" s="571"/>
      <c r="E41" s="1530"/>
      <c r="F41" s="572"/>
      <c r="G41" s="572"/>
      <c r="H41" s="104"/>
      <c r="I41" s="104"/>
      <c r="J41" s="104" t="e">
        <f t="array" ref="J41">PERCENTILE(IF((($B$57:$B$95=$B$37)*(J$57:J$95&lt;&gt;0)),J$57:J$95),$C41)</f>
        <v>#NUM!</v>
      </c>
      <c r="K41" s="831"/>
      <c r="L41" s="1086"/>
      <c r="M41" s="1086"/>
      <c r="N41" s="1086"/>
      <c r="O41" s="1086"/>
      <c r="P41" s="1086"/>
      <c r="Q41" s="104"/>
      <c r="R41" s="104"/>
      <c r="S41" s="104" t="e">
        <f t="array" ref="S41">PERCENTILE(IF((($B$57:$B$95=$B$37)*(S$57:S$95&lt;&gt;0)),S$57:S$95),$C41)</f>
        <v>#NUM!</v>
      </c>
      <c r="T41" s="1070"/>
      <c r="U41" s="1070"/>
      <c r="V41" s="1070"/>
      <c r="W41" s="104" t="e">
        <f t="array" ref="W41">PERCENTILE(IF((($B$57:$B$95=$B$37)*(W$57:W$95&lt;&gt;0)),W$57:W$95),$C41)</f>
        <v>#NUM!</v>
      </c>
      <c r="X41" s="104"/>
      <c r="Y41" s="1070"/>
      <c r="Z41" s="1070"/>
      <c r="AA41" s="104"/>
      <c r="AB41" s="104"/>
      <c r="AC41" s="1070"/>
      <c r="AD41" s="1105"/>
      <c r="AE41" s="104"/>
      <c r="AF41" s="104"/>
      <c r="AG41" s="1070"/>
      <c r="AH41" s="573"/>
      <c r="AI41" s="104"/>
      <c r="AJ41" s="1070"/>
      <c r="AK41" s="573"/>
      <c r="AL41" s="104"/>
      <c r="AM41" s="104"/>
      <c r="AN41" s="1070"/>
      <c r="AO41" s="104"/>
      <c r="AP41" s="104"/>
      <c r="AQ41" s="104" t="e">
        <f t="array" ref="AQ41">PERCENTILE(IF((($B$57:$B$95=$B$37)*(AQ$57:AQ$95&lt;&gt;0)),AQ$57:AQ$95),$C41)</f>
        <v>#NUM!</v>
      </c>
      <c r="AR41" s="104" t="e">
        <f t="array" ref="AR41">PERCENTILE(IF((($B$57:$B$95=$B$37)*(AR$57:AR$95&lt;&gt;0)),AR$57:AR$95),$C41)</f>
        <v>#NUM!</v>
      </c>
      <c r="AS41" s="1105"/>
      <c r="AT41" s="1105"/>
      <c r="AU41" s="1105"/>
      <c r="AV41" s="1105"/>
      <c r="AW41" s="1105"/>
      <c r="AX41" s="573"/>
      <c r="AY41" s="573"/>
      <c r="AZ41" s="573"/>
      <c r="BA41" s="573"/>
      <c r="BB41" s="573"/>
      <c r="BC41" s="573"/>
      <c r="BD41" s="573"/>
      <c r="BE41" s="572"/>
      <c r="BF41" s="104"/>
      <c r="BG41" s="104"/>
      <c r="BH41" s="104"/>
      <c r="BI41" s="1267"/>
      <c r="BJ41" s="104"/>
      <c r="BK41" s="104"/>
      <c r="BL41" s="572"/>
      <c r="BM41" s="572"/>
      <c r="BN41" s="104"/>
      <c r="BO41" s="1105"/>
      <c r="BP41" s="104"/>
      <c r="BQ41" s="104"/>
      <c r="BR41" s="104"/>
      <c r="BS41" s="572"/>
      <c r="BT41" s="104"/>
      <c r="BU41" s="104"/>
      <c r="BV41" s="104"/>
      <c r="BW41" s="831" t="e">
        <f t="array" ref="BW41">PERCENTILE(IF((($B$57:$B$95=$B$37)*(BW$57:BW$95&lt;&gt;0)),BW$57:BW$95),$C41)</f>
        <v>#NUM!</v>
      </c>
      <c r="BX41" s="831"/>
      <c r="BY41" s="831"/>
      <c r="BZ41" s="104"/>
      <c r="CA41" s="104"/>
      <c r="CB41" s="104"/>
      <c r="CC41" s="104"/>
      <c r="CD41" s="104"/>
      <c r="CE41" s="104"/>
      <c r="CF41" s="104"/>
      <c r="CG41" s="104"/>
      <c r="CH41" s="104"/>
      <c r="CI41" s="104"/>
      <c r="CJ41" s="104" t="e">
        <f t="array" ref="CJ41">PERCENTILE(IF((($B$57:$B$95=$B$37)*(CJ$57:CJ$95&lt;&gt;0)),CJ$57:CJ$95),$C41)</f>
        <v>#NUM!</v>
      </c>
      <c r="CK41" s="575"/>
      <c r="CL41" s="575"/>
      <c r="CM41" s="575"/>
      <c r="CN41" s="575"/>
      <c r="CO41" s="575"/>
      <c r="CP41" s="575"/>
      <c r="CQ41" s="575"/>
      <c r="CR41" s="575"/>
      <c r="CS41" s="575"/>
      <c r="CT41" s="575"/>
      <c r="CU41" s="575"/>
      <c r="CV41" s="104"/>
      <c r="CW41" s="104"/>
      <c r="CX41" s="104"/>
      <c r="CY41" s="104"/>
      <c r="CZ41" s="104"/>
      <c r="DA41" s="104"/>
      <c r="DB41" s="104"/>
      <c r="DC41" s="575"/>
      <c r="DD41" s="575"/>
      <c r="DE41" s="575"/>
      <c r="DF41" s="575"/>
      <c r="DG41" s="575"/>
      <c r="DH41" s="575"/>
      <c r="DI41" s="575"/>
      <c r="DJ41" s="290"/>
      <c r="DK41" s="832"/>
      <c r="DL41" s="832"/>
      <c r="DM41" s="832"/>
      <c r="DN41" s="832"/>
      <c r="DO41" s="832"/>
      <c r="DP41" s="832"/>
      <c r="DQ41" s="832"/>
      <c r="DR41" s="832"/>
      <c r="DS41" s="832"/>
      <c r="DT41" s="832"/>
      <c r="DU41" s="832"/>
      <c r="DV41" s="832"/>
      <c r="DW41" s="832"/>
      <c r="DX41" s="832"/>
      <c r="DY41" s="832"/>
      <c r="DZ41" s="832"/>
      <c r="EA41" s="832"/>
      <c r="EB41" s="832"/>
      <c r="EC41" s="2103"/>
      <c r="ED41" s="574"/>
      <c r="EE41" s="572"/>
      <c r="EF41" s="104"/>
      <c r="EG41" s="104"/>
      <c r="EH41" s="572"/>
      <c r="EI41" s="572"/>
      <c r="EJ41" s="833"/>
      <c r="EK41" s="573"/>
      <c r="EL41" s="104"/>
      <c r="EM41" s="572"/>
      <c r="EN41" s="572"/>
      <c r="EO41" s="573"/>
      <c r="EP41" s="574"/>
      <c r="EQ41" s="572"/>
      <c r="ER41" s="572"/>
      <c r="ES41" s="834"/>
      <c r="ET41" s="835"/>
      <c r="EU41" s="101">
        <f>COUNTIFS($B$57:$B$270,$B40,EU$57:EU$270,2)</f>
        <v>0</v>
      </c>
      <c r="EV41" s="104"/>
      <c r="EW41" s="104"/>
      <c r="EX41" s="104">
        <f>COUNTIFS($B$57:$B$270,$B40,EX$57:EX$270,1)</f>
        <v>0</v>
      </c>
      <c r="EY41" s="104"/>
      <c r="EZ41" s="104"/>
      <c r="FA41" s="104"/>
      <c r="FB41" s="104"/>
      <c r="FC41" s="104"/>
      <c r="FD41" s="577"/>
      <c r="FE41" s="104" t="e">
        <f t="array" ref="FE41">PERCENTILE(IF((($B$57:$B$95=$B$37)*(FE$57:FE$95&lt;&gt;0)),FE$57:FE$95),$C41)</f>
        <v>#NUM!</v>
      </c>
      <c r="FF41" s="577"/>
      <c r="FG41" s="577"/>
      <c r="FH41" s="578"/>
      <c r="FI41" s="578"/>
      <c r="FJ41" s="578"/>
      <c r="FK41" s="578"/>
      <c r="FL41" s="578"/>
      <c r="FM41" s="578"/>
      <c r="FN41" s="578"/>
      <c r="FO41" s="578"/>
      <c r="FP41" s="578"/>
      <c r="FQ41" s="104"/>
      <c r="FR41" s="104"/>
      <c r="FS41" s="104"/>
      <c r="FT41" s="104"/>
      <c r="FU41" s="104"/>
      <c r="FV41" s="104"/>
      <c r="FW41" s="104"/>
      <c r="FX41" s="579"/>
      <c r="FY41" s="742" t="e">
        <f t="array" ref="FY41">PERCENTILE(IF((($B$57:$B$95=$B$37)*(FY$57:FY$95&lt;&gt;0)),FY$57:FY$95),$C41)</f>
        <v>#NUM!</v>
      </c>
      <c r="FZ41" s="580"/>
      <c r="GA41" s="580"/>
      <c r="GB41" s="580"/>
      <c r="GC41" s="580"/>
      <c r="GD41" s="580"/>
      <c r="GE41" s="580"/>
      <c r="GF41" s="580"/>
      <c r="GG41" s="580"/>
      <c r="GH41" s="572" t="e">
        <f t="array" ref="GH41">PERCENTILE(IF((($B$57:$B$95=$B$37)*(GH$57:GH$95&lt;&gt;0)),GH$57:GH$95),$C41)</f>
        <v>#NUM!</v>
      </c>
      <c r="GI41" s="572" t="e">
        <f t="array" ref="GI41">PERCENTILE(IF((($B$57:$B$95=$B$37)*(GI$57:GI$95&lt;&gt;0)),GI$57:GI$95),$C41)</f>
        <v>#NUM!</v>
      </c>
      <c r="GJ41" s="572"/>
      <c r="GK41" s="572"/>
      <c r="GL41" s="572"/>
      <c r="GM41" s="572"/>
      <c r="GN41" s="104"/>
      <c r="GO41" s="574"/>
      <c r="GP41" s="574"/>
      <c r="GQ41" s="104"/>
      <c r="GR41" s="104"/>
      <c r="GS41" s="104"/>
      <c r="GT41" s="104"/>
      <c r="GU41" s="104"/>
      <c r="GV41" s="104"/>
      <c r="GW41" s="104"/>
      <c r="GX41" s="104" t="e">
        <f t="array" ref="GX41">PERCENTILE(IF((($B$57:$B$95=$B$37)*(GX$57:GX$95&lt;&gt;0)),GX$57:GX$95),$C41)</f>
        <v>#NUM!</v>
      </c>
      <c r="GY41" s="574"/>
      <c r="GZ41" s="575"/>
      <c r="HA41" s="575"/>
      <c r="HB41" s="575"/>
      <c r="HC41" s="575"/>
      <c r="HD41" s="575"/>
      <c r="HE41" s="575"/>
      <c r="HF41" s="575"/>
      <c r="HG41" s="104"/>
      <c r="HH41" s="104"/>
      <c r="HI41" s="104"/>
      <c r="HJ41" s="104"/>
      <c r="HK41" s="104"/>
      <c r="HL41" s="104"/>
      <c r="HM41" s="104"/>
      <c r="HN41" s="104"/>
      <c r="HO41" s="104"/>
      <c r="HP41" s="104"/>
      <c r="HQ41" s="104" t="e">
        <f t="array" ref="HQ41">PERCENTILE(IF((($B$57:$B$95=$B$37)*(HQ$57:HQ$95&lt;&gt;0)),HQ$57:HQ$95),$C41)</f>
        <v>#NUM!</v>
      </c>
      <c r="HR41" s="574"/>
      <c r="HS41" s="575"/>
      <c r="HT41" s="575"/>
      <c r="HU41" s="575"/>
      <c r="HV41" s="575"/>
      <c r="HW41" s="575"/>
      <c r="HX41" s="575"/>
      <c r="HY41" s="575"/>
      <c r="HZ41" s="51"/>
      <c r="IA41" s="581"/>
      <c r="IB41" s="581"/>
      <c r="IC41" s="582"/>
      <c r="ID41" s="582"/>
      <c r="IE41" s="583"/>
      <c r="IF41" s="583"/>
      <c r="IG41" s="831"/>
      <c r="IH41" s="831"/>
      <c r="II41" s="104"/>
      <c r="IJ41" s="104"/>
      <c r="IK41" s="583"/>
      <c r="IL41" s="582"/>
      <c r="IM41" s="583"/>
      <c r="IN41" s="583"/>
      <c r="IO41" s="858" t="e">
        <f t="array" ref="IO41">PERCENTILE(IF((($B$57:$B$95=$B$37)*(IO$57:IO$95&lt;&gt;0)),IO$57:IO$95),$C41)</f>
        <v>#NUM!</v>
      </c>
      <c r="IP41" s="851" t="e">
        <f t="array" ref="IP41">PERCENTILE(IF((($B$57:$B$95=$B$37)*(IP$57:IP$95&lt;&gt;0)),IP$57:IP$95),$C41)</f>
        <v>#NUM!</v>
      </c>
      <c r="IQ41" s="862" t="e">
        <f t="array" ref="IQ41">PERCENTILE(IF((($B$57:$B$95=$B$37)*(IQ$57:IQ$95&lt;&gt;0)),IQ$57:IQ$95),$C41)</f>
        <v>#NUM!</v>
      </c>
      <c r="IR41" s="290"/>
      <c r="IS41" s="290"/>
      <c r="IT41" s="290"/>
      <c r="IU41" s="290"/>
      <c r="IV41" s="290"/>
      <c r="IW41" s="290"/>
      <c r="IX41" s="575"/>
      <c r="IY41" s="575"/>
      <c r="IZ41" s="575"/>
      <c r="JA41" s="575"/>
      <c r="JB41" s="575"/>
      <c r="JC41" s="575"/>
      <c r="JD41" s="290"/>
      <c r="JE41" s="290"/>
      <c r="JF41" s="584"/>
      <c r="JG41" s="290"/>
      <c r="JH41" s="583"/>
      <c r="JI41" s="583"/>
      <c r="JJ41" s="583"/>
      <c r="JK41" s="575"/>
      <c r="JL41" s="575"/>
      <c r="JM41" s="575"/>
      <c r="JN41" s="575"/>
      <c r="JO41" s="575"/>
      <c r="JP41" s="575"/>
      <c r="JQ41" s="575"/>
      <c r="JR41" s="290"/>
      <c r="JS41" s="290"/>
      <c r="JT41" s="290"/>
      <c r="JU41" s="290"/>
      <c r="JV41" s="290"/>
      <c r="JW41" s="290"/>
      <c r="JX41" s="585"/>
      <c r="JY41" s="575" t="e">
        <f t="array" ref="JY41">PERCENTILE(IF((($B$57:$B$95=$B$37)*(JY$57:JY$95&lt;&gt;0)),JY$57:JY$95),$C41)</f>
        <v>#NUM!</v>
      </c>
      <c r="JZ41" s="290"/>
      <c r="KA41" s="290"/>
      <c r="KB41" s="290"/>
      <c r="KC41" s="290"/>
      <c r="KD41" s="290"/>
      <c r="KE41" s="290"/>
      <c r="KF41" s="585"/>
      <c r="KG41" s="585"/>
      <c r="KH41" s="585"/>
      <c r="KI41" s="575" t="e">
        <f t="array" ref="KI41">PERCENTILE(IF((($B$57:$B$95=$B$37)*(KI$57:KI$95&lt;&gt;0)),KI$57:KI$95),$C41)</f>
        <v>#NUM!</v>
      </c>
      <c r="KJ41" s="586"/>
      <c r="KK41" s="587"/>
      <c r="KL41" s="587"/>
      <c r="KM41" s="587"/>
      <c r="KN41" s="586"/>
      <c r="KO41" s="587"/>
      <c r="KP41" s="587"/>
      <c r="KQ41" s="587"/>
      <c r="KR41" s="587"/>
      <c r="KS41" s="587"/>
      <c r="KT41" s="587"/>
      <c r="KU41" s="587"/>
      <c r="KV41" s="587"/>
      <c r="KW41" s="587"/>
      <c r="KX41" s="108"/>
      <c r="KY41" s="421"/>
      <c r="KZ41" s="421"/>
      <c r="LA41" s="421"/>
      <c r="LB41" s="421"/>
      <c r="LQ41" s="421"/>
      <c r="LR41" s="368"/>
      <c r="LS41" s="421"/>
      <c r="LT41" s="282"/>
      <c r="LU41" s="282"/>
      <c r="LV41" s="282"/>
      <c r="LW41" s="282"/>
      <c r="LX41" s="282"/>
      <c r="LY41" s="282"/>
      <c r="LZ41" s="282"/>
      <c r="MA41" s="282"/>
      <c r="MB41" s="282"/>
      <c r="MC41" s="282"/>
      <c r="MD41" s="282"/>
      <c r="ME41" s="282"/>
      <c r="MF41" s="282"/>
      <c r="MG41" s="282"/>
      <c r="MH41" s="282"/>
      <c r="MI41" s="282"/>
      <c r="MJ41" s="282"/>
      <c r="MK41" s="282"/>
      <c r="ML41" s="282"/>
      <c r="MM41" s="1232"/>
      <c r="MN41" s="1232"/>
      <c r="MO41" s="1232"/>
      <c r="MP41" s="1232"/>
      <c r="MS41" s="421"/>
      <c r="MT41" s="368"/>
      <c r="MU41" s="421"/>
      <c r="MV41" s="421"/>
      <c r="MW41" s="421"/>
      <c r="MX41" s="421"/>
      <c r="MY41" s="421"/>
      <c r="MZ41" s="421"/>
      <c r="NA41" s="421"/>
      <c r="NB41" s="421"/>
      <c r="NC41" s="421"/>
      <c r="ND41" s="421"/>
      <c r="NE41" s="421"/>
      <c r="NF41" s="421"/>
      <c r="NG41" s="421"/>
      <c r="NH41" s="421"/>
      <c r="NI41" s="421"/>
      <c r="NJ41" s="421"/>
      <c r="NK41" s="421"/>
      <c r="NL41" s="421"/>
      <c r="OQ41" s="282"/>
      <c r="OR41" s="282"/>
      <c r="OS41" s="282"/>
      <c r="OT41" s="282"/>
      <c r="OU41" s="282"/>
      <c r="OV41" s="282"/>
      <c r="OW41" s="282"/>
      <c r="OX41" s="282"/>
      <c r="OY41" s="282"/>
      <c r="OZ41" s="282"/>
      <c r="PA41" s="282"/>
      <c r="PB41" s="282"/>
      <c r="PC41" s="282"/>
      <c r="PD41" s="282"/>
      <c r="PE41" s="282"/>
      <c r="PF41" s="282"/>
      <c r="PG41" s="282"/>
      <c r="PH41" s="282"/>
      <c r="PI41" s="282"/>
      <c r="PJ41" s="282"/>
      <c r="PK41" s="282"/>
      <c r="PL41" s="282"/>
      <c r="PM41" s="282"/>
    </row>
    <row r="42" spans="1:429" ht="16.2" hidden="1" outlineLevel="2" thickBot="1">
      <c r="A42" s="2057"/>
      <c r="B42" s="588"/>
      <c r="C42" s="607">
        <v>0.75</v>
      </c>
      <c r="D42" s="588"/>
      <c r="E42" s="1530"/>
      <c r="F42" s="589"/>
      <c r="G42" s="589"/>
      <c r="H42" s="590"/>
      <c r="I42" s="590"/>
      <c r="J42" s="590" t="e">
        <f t="array" ref="J42">PERCENTILE(IF((($B$57:$B$95=$B$37)*(J$57:J$95&lt;&gt;0)),J$57:J$95),$C42)</f>
        <v>#NUM!</v>
      </c>
      <c r="K42" s="836"/>
      <c r="L42" s="1087"/>
      <c r="M42" s="1087"/>
      <c r="N42" s="1087"/>
      <c r="O42" s="1087"/>
      <c r="P42" s="1087"/>
      <c r="Q42" s="590"/>
      <c r="R42" s="590"/>
      <c r="S42" s="590" t="e">
        <f t="array" ref="S42">PERCENTILE(IF((($B$57:$B$95=$B$37)*(S$57:S$95&lt;&gt;0)),S$57:S$95),$C42)</f>
        <v>#NUM!</v>
      </c>
      <c r="T42" s="1071"/>
      <c r="U42" s="1071"/>
      <c r="V42" s="1071"/>
      <c r="W42" s="590" t="e">
        <f t="array" ref="W42">PERCENTILE(IF((($B$57:$B$95=$B$37)*(W$57:W$95&lt;&gt;0)),W$57:W$95),$C42)</f>
        <v>#NUM!</v>
      </c>
      <c r="X42" s="590"/>
      <c r="Y42" s="1071"/>
      <c r="Z42" s="1071"/>
      <c r="AA42" s="590"/>
      <c r="AB42" s="590"/>
      <c r="AC42" s="1071"/>
      <c r="AD42" s="1106"/>
      <c r="AE42" s="590"/>
      <c r="AF42" s="590"/>
      <c r="AG42" s="1071"/>
      <c r="AH42" s="591"/>
      <c r="AI42" s="590"/>
      <c r="AJ42" s="1071"/>
      <c r="AK42" s="591"/>
      <c r="AL42" s="590"/>
      <c r="AM42" s="590"/>
      <c r="AN42" s="1071"/>
      <c r="AO42" s="590"/>
      <c r="AP42" s="590"/>
      <c r="AQ42" s="590" t="e">
        <f t="array" ref="AQ42">PERCENTILE(IF((($B$57:$B$95=$B$37)*(AQ$57:AQ$95&lt;&gt;0)),AQ$57:AQ$95),$C42)</f>
        <v>#NUM!</v>
      </c>
      <c r="AR42" s="590" t="e">
        <f t="array" ref="AR42">PERCENTILE(IF((($B$57:$B$95=$B$37)*(AR$57:AR$95&lt;&gt;0)),AR$57:AR$95),$C42)</f>
        <v>#NUM!</v>
      </c>
      <c r="AS42" s="1106"/>
      <c r="AT42" s="1106"/>
      <c r="AU42" s="1106"/>
      <c r="AV42" s="1106"/>
      <c r="AW42" s="1106"/>
      <c r="AX42" s="591"/>
      <c r="AY42" s="591"/>
      <c r="AZ42" s="591"/>
      <c r="BA42" s="591"/>
      <c r="BB42" s="591"/>
      <c r="BC42" s="591"/>
      <c r="BD42" s="591"/>
      <c r="BE42" s="589"/>
      <c r="BF42" s="590"/>
      <c r="BG42" s="590"/>
      <c r="BH42" s="590"/>
      <c r="BI42" s="1268"/>
      <c r="BJ42" s="590"/>
      <c r="BK42" s="590"/>
      <c r="BL42" s="589"/>
      <c r="BM42" s="589"/>
      <c r="BN42" s="590"/>
      <c r="BO42" s="1106"/>
      <c r="BP42" s="590"/>
      <c r="BQ42" s="590"/>
      <c r="BR42" s="590"/>
      <c r="BS42" s="589"/>
      <c r="BT42" s="590"/>
      <c r="BU42" s="590"/>
      <c r="BV42" s="590"/>
      <c r="BW42" s="836" t="e">
        <f t="array" ref="BW42">PERCENTILE(IF((($B$57:$B$95=$B$37)*(BW$57:BW$95&lt;&gt;0)),BW$57:BW$95),$C42)</f>
        <v>#NUM!</v>
      </c>
      <c r="BX42" s="836"/>
      <c r="BY42" s="836"/>
      <c r="BZ42" s="590"/>
      <c r="CA42" s="590"/>
      <c r="CB42" s="590"/>
      <c r="CC42" s="590"/>
      <c r="CD42" s="590"/>
      <c r="CE42" s="590"/>
      <c r="CF42" s="590"/>
      <c r="CG42" s="590"/>
      <c r="CH42" s="590"/>
      <c r="CI42" s="590"/>
      <c r="CJ42" s="590" t="e">
        <f t="array" ref="CJ42">PERCENTILE(IF((($B$57:$B$95=$B$37)*(CJ$57:CJ$95&lt;&gt;0)),CJ$57:CJ$95),$C42)</f>
        <v>#NUM!</v>
      </c>
      <c r="CK42" s="593"/>
      <c r="CL42" s="593"/>
      <c r="CM42" s="593"/>
      <c r="CN42" s="593"/>
      <c r="CO42" s="593"/>
      <c r="CP42" s="593"/>
      <c r="CQ42" s="593"/>
      <c r="CR42" s="593"/>
      <c r="CS42" s="593"/>
      <c r="CT42" s="593"/>
      <c r="CU42" s="593"/>
      <c r="CV42" s="590"/>
      <c r="CW42" s="590"/>
      <c r="CX42" s="590"/>
      <c r="CY42" s="590"/>
      <c r="CZ42" s="590"/>
      <c r="DA42" s="590"/>
      <c r="DB42" s="590"/>
      <c r="DC42" s="593"/>
      <c r="DD42" s="593"/>
      <c r="DE42" s="593"/>
      <c r="DF42" s="593"/>
      <c r="DG42" s="593"/>
      <c r="DH42" s="593"/>
      <c r="DI42" s="593"/>
      <c r="DJ42" s="594"/>
      <c r="DK42" s="837"/>
      <c r="DL42" s="837"/>
      <c r="DM42" s="837"/>
      <c r="DN42" s="837"/>
      <c r="DO42" s="837"/>
      <c r="DP42" s="837"/>
      <c r="DQ42" s="837"/>
      <c r="DR42" s="837"/>
      <c r="DS42" s="837"/>
      <c r="DT42" s="837"/>
      <c r="DU42" s="837"/>
      <c r="DV42" s="837"/>
      <c r="DW42" s="837"/>
      <c r="DX42" s="837"/>
      <c r="DY42" s="837"/>
      <c r="DZ42" s="837"/>
      <c r="EA42" s="837"/>
      <c r="EB42" s="837"/>
      <c r="EC42" s="2104"/>
      <c r="ED42" s="592"/>
      <c r="EE42" s="589"/>
      <c r="EF42" s="590"/>
      <c r="EG42" s="590"/>
      <c r="EH42" s="589"/>
      <c r="EI42" s="589"/>
      <c r="EJ42" s="838"/>
      <c r="EK42" s="591"/>
      <c r="EL42" s="590"/>
      <c r="EM42" s="589"/>
      <c r="EN42" s="589"/>
      <c r="EO42" s="591"/>
      <c r="EP42" s="592"/>
      <c r="EQ42" s="589"/>
      <c r="ER42" s="589"/>
      <c r="ES42" s="839"/>
      <c r="ET42" s="840"/>
      <c r="EU42" s="900">
        <f>COUNTIFS($B$57:$B$270,$B40,EU$57:EU$270,3)</f>
        <v>0</v>
      </c>
      <c r="EV42" s="590"/>
      <c r="EW42" s="590"/>
      <c r="EX42" s="590">
        <f>COUNTIFS($B$57:$B$270,$B40,EX$57:EX$270,2)</f>
        <v>0</v>
      </c>
      <c r="EY42" s="590"/>
      <c r="EZ42" s="590"/>
      <c r="FA42" s="590"/>
      <c r="FB42" s="590"/>
      <c r="FC42" s="590"/>
      <c r="FD42" s="596"/>
      <c r="FE42" s="590" t="e">
        <f t="array" ref="FE42">PERCENTILE(IF((($B$57:$B$95=$B$37)*(FE$57:FE$95&lt;&gt;0)),FE$57:FE$95),$C42)</f>
        <v>#NUM!</v>
      </c>
      <c r="FF42" s="596"/>
      <c r="FG42" s="596"/>
      <c r="FH42" s="597"/>
      <c r="FI42" s="597"/>
      <c r="FJ42" s="597"/>
      <c r="FK42" s="597"/>
      <c r="FL42" s="597"/>
      <c r="FM42" s="597"/>
      <c r="FN42" s="597"/>
      <c r="FO42" s="597"/>
      <c r="FP42" s="597"/>
      <c r="FQ42" s="590"/>
      <c r="FR42" s="590"/>
      <c r="FS42" s="590"/>
      <c r="FT42" s="590"/>
      <c r="FU42" s="590"/>
      <c r="FV42" s="590"/>
      <c r="FW42" s="590"/>
      <c r="FX42" s="598"/>
      <c r="FY42" s="743" t="e">
        <f t="array" ref="FY42">PERCENTILE(IF((($B$57:$B$95=$B$37)*(FY$57:FY$95&lt;&gt;0)),FY$57:FY$95),$C42)</f>
        <v>#NUM!</v>
      </c>
      <c r="FZ42" s="599"/>
      <c r="GA42" s="599"/>
      <c r="GB42" s="599"/>
      <c r="GC42" s="599"/>
      <c r="GD42" s="599"/>
      <c r="GE42" s="599"/>
      <c r="GF42" s="599"/>
      <c r="GG42" s="599"/>
      <c r="GH42" s="589" t="e">
        <f t="array" ref="GH42">PERCENTILE(IF((($B$57:$B$95=$B$37)*(GH$57:GH$95&lt;&gt;0)),GH$57:GH$95),$C42)</f>
        <v>#NUM!</v>
      </c>
      <c r="GI42" s="589" t="e">
        <f t="array" ref="GI42">PERCENTILE(IF((($B$57:$B$95=$B$37)*(GI$57:GI$95&lt;&gt;0)),GI$57:GI$95),$C42)</f>
        <v>#NUM!</v>
      </c>
      <c r="GJ42" s="589"/>
      <c r="GK42" s="589"/>
      <c r="GL42" s="589"/>
      <c r="GM42" s="589"/>
      <c r="GN42" s="590"/>
      <c r="GO42" s="592"/>
      <c r="GP42" s="592"/>
      <c r="GQ42" s="590"/>
      <c r="GR42" s="590"/>
      <c r="GS42" s="590"/>
      <c r="GT42" s="590"/>
      <c r="GU42" s="590"/>
      <c r="GV42" s="590"/>
      <c r="GW42" s="590"/>
      <c r="GX42" s="590" t="e">
        <f t="array" ref="GX42">PERCENTILE(IF((($B$57:$B$95=$B$37)*(GX$57:GX$95&lt;&gt;0)),GX$57:GX$95),$C42)</f>
        <v>#NUM!</v>
      </c>
      <c r="GY42" s="592"/>
      <c r="GZ42" s="593"/>
      <c r="HA42" s="593"/>
      <c r="HB42" s="593"/>
      <c r="HC42" s="593"/>
      <c r="HD42" s="593"/>
      <c r="HE42" s="593"/>
      <c r="HF42" s="593"/>
      <c r="HG42" s="590"/>
      <c r="HH42" s="590"/>
      <c r="HI42" s="590"/>
      <c r="HJ42" s="590"/>
      <c r="HK42" s="590"/>
      <c r="HL42" s="590"/>
      <c r="HM42" s="590"/>
      <c r="HN42" s="590"/>
      <c r="HO42" s="590"/>
      <c r="HP42" s="590"/>
      <c r="HQ42" s="590" t="e">
        <f t="array" ref="HQ42">PERCENTILE(IF((($B$57:$B$95=$B$37)*(HQ$57:HQ$95&lt;&gt;0)),HQ$57:HQ$95),$C42)</f>
        <v>#NUM!</v>
      </c>
      <c r="HR42" s="592"/>
      <c r="HS42" s="593"/>
      <c r="HT42" s="593"/>
      <c r="HU42" s="593"/>
      <c r="HV42" s="593"/>
      <c r="HW42" s="593"/>
      <c r="HX42" s="593"/>
      <c r="HY42" s="593"/>
      <c r="HZ42" s="51"/>
      <c r="IA42" s="600"/>
      <c r="IB42" s="600"/>
      <c r="IC42" s="601"/>
      <c r="ID42" s="601"/>
      <c r="IE42" s="602"/>
      <c r="IF42" s="602"/>
      <c r="IG42" s="836"/>
      <c r="IH42" s="836"/>
      <c r="II42" s="590"/>
      <c r="IJ42" s="590"/>
      <c r="IK42" s="602"/>
      <c r="IL42" s="601"/>
      <c r="IM42" s="602"/>
      <c r="IN42" s="602"/>
      <c r="IO42" s="860" t="e">
        <f t="array" ref="IO42">PERCENTILE(IF((($B$57:$B$95=$B$37)*(IO$57:IO$95&lt;&gt;0)),IO$57:IO$95),$C42)</f>
        <v>#NUM!</v>
      </c>
      <c r="IP42" s="852" t="e">
        <f t="array" ref="IP42">PERCENTILE(IF((($B$57:$B$95=$B$37)*(IP$57:IP$95&lt;&gt;0)),IP$57:IP$95),$C42)</f>
        <v>#NUM!</v>
      </c>
      <c r="IQ42" s="863" t="e">
        <f t="array" ref="IQ42">PERCENTILE(IF((($B$57:$B$95=$B$37)*(IQ$57:IQ$95&lt;&gt;0)),IQ$57:IQ$95),$C42)</f>
        <v>#NUM!</v>
      </c>
      <c r="IR42" s="594"/>
      <c r="IS42" s="594"/>
      <c r="IT42" s="594"/>
      <c r="IU42" s="594"/>
      <c r="IV42" s="594"/>
      <c r="IW42" s="594"/>
      <c r="IX42" s="593"/>
      <c r="IY42" s="593"/>
      <c r="IZ42" s="593"/>
      <c r="JA42" s="593"/>
      <c r="JB42" s="593"/>
      <c r="JC42" s="593"/>
      <c r="JD42" s="594"/>
      <c r="JE42" s="594"/>
      <c r="JF42" s="603"/>
      <c r="JG42" s="594"/>
      <c r="JH42" s="602"/>
      <c r="JI42" s="602"/>
      <c r="JJ42" s="602"/>
      <c r="JK42" s="593"/>
      <c r="JL42" s="593"/>
      <c r="JM42" s="593"/>
      <c r="JN42" s="593"/>
      <c r="JO42" s="593"/>
      <c r="JP42" s="593"/>
      <c r="JQ42" s="593"/>
      <c r="JR42" s="594"/>
      <c r="JS42" s="594"/>
      <c r="JT42" s="594"/>
      <c r="JU42" s="594"/>
      <c r="JV42" s="594"/>
      <c r="JW42" s="594"/>
      <c r="JX42" s="604"/>
      <c r="JY42" s="593" t="e">
        <f t="array" ref="JY42">PERCENTILE(IF((($B$57:$B$95=$B$37)*(JY$57:JY$95&lt;&gt;0)),JY$57:JY$95),$C42)</f>
        <v>#NUM!</v>
      </c>
      <c r="JZ42" s="594"/>
      <c r="KA42" s="594"/>
      <c r="KB42" s="594"/>
      <c r="KC42" s="594"/>
      <c r="KD42" s="594"/>
      <c r="KE42" s="594"/>
      <c r="KF42" s="604"/>
      <c r="KG42" s="604"/>
      <c r="KH42" s="604"/>
      <c r="KI42" s="593" t="e">
        <f t="array" ref="KI42">PERCENTILE(IF((($B$57:$B$95=$B$37)*(KI$57:KI$95&lt;&gt;0)),KI$57:KI$95),$C42)</f>
        <v>#NUM!</v>
      </c>
      <c r="KJ42" s="605"/>
      <c r="KK42" s="605"/>
      <c r="KL42" s="605"/>
      <c r="KM42" s="605"/>
      <c r="KN42" s="605"/>
      <c r="KO42" s="605"/>
      <c r="KP42" s="605"/>
      <c r="KQ42" s="605"/>
      <c r="KR42" s="605"/>
      <c r="KS42" s="605"/>
      <c r="KT42" s="605"/>
      <c r="KU42" s="605"/>
      <c r="KV42" s="605"/>
      <c r="KW42" s="605"/>
      <c r="KX42" s="108"/>
      <c r="KY42" s="421"/>
      <c r="KZ42" s="421"/>
      <c r="LA42" s="421"/>
      <c r="LB42" s="421"/>
      <c r="LQ42" s="421"/>
      <c r="LR42" s="421"/>
      <c r="LS42" s="421"/>
      <c r="LT42" s="282"/>
      <c r="LU42" s="282"/>
      <c r="LV42" s="282"/>
      <c r="LW42" s="282"/>
      <c r="LX42" s="282"/>
      <c r="LY42" s="282"/>
      <c r="LZ42" s="282"/>
      <c r="MA42" s="282"/>
      <c r="MB42" s="282"/>
      <c r="MC42" s="282"/>
      <c r="MD42" s="282"/>
      <c r="ME42" s="282"/>
      <c r="MF42" s="282"/>
      <c r="MG42" s="282"/>
      <c r="MH42" s="282"/>
      <c r="MI42" s="282"/>
      <c r="MJ42" s="282"/>
      <c r="MK42" s="282"/>
      <c r="ML42" s="282"/>
      <c r="MM42" s="1232"/>
      <c r="MN42" s="1232"/>
      <c r="MO42" s="1232"/>
      <c r="MP42" s="1232"/>
      <c r="MS42" s="421"/>
      <c r="MT42" s="421"/>
      <c r="MU42" s="421"/>
      <c r="MV42" s="421"/>
      <c r="MW42" s="421"/>
      <c r="MX42" s="421"/>
      <c r="MY42" s="421"/>
      <c r="MZ42" s="421"/>
      <c r="NA42" s="421"/>
      <c r="NB42" s="421"/>
      <c r="NC42" s="421"/>
      <c r="ND42" s="421"/>
      <c r="NE42" s="421"/>
      <c r="NF42" s="421"/>
      <c r="NG42" s="421"/>
      <c r="NH42" s="421"/>
      <c r="NI42" s="421"/>
      <c r="NJ42" s="421"/>
      <c r="NK42" s="421"/>
      <c r="NL42" s="421"/>
      <c r="OQ42" s="282"/>
      <c r="OR42" s="282"/>
      <c r="OS42" s="282"/>
      <c r="OT42" s="282"/>
      <c r="OU42" s="282"/>
      <c r="OV42" s="282"/>
      <c r="OW42" s="282"/>
      <c r="OX42" s="282"/>
      <c r="OY42" s="282"/>
      <c r="OZ42" s="282"/>
      <c r="PA42" s="282"/>
      <c r="PB42" s="282"/>
      <c r="PC42" s="282"/>
      <c r="PD42" s="282"/>
      <c r="PE42" s="282"/>
      <c r="PF42" s="282"/>
      <c r="PG42" s="282"/>
      <c r="PH42" s="282"/>
      <c r="PI42" s="282"/>
      <c r="PJ42" s="282"/>
      <c r="PK42" s="282"/>
      <c r="PL42" s="282"/>
      <c r="PM42" s="282"/>
    </row>
    <row r="43" spans="1:429" ht="15.6" outlineLevel="1" collapsed="1">
      <c r="A43" s="2057"/>
      <c r="B43" s="101" t="s">
        <v>548</v>
      </c>
      <c r="C43" s="272" t="s">
        <v>386</v>
      </c>
      <c r="D43" s="101">
        <f>COUNTIF($B$57:$B$270,$B43)</f>
        <v>12</v>
      </c>
      <c r="E43" s="1530"/>
      <c r="F43" s="101">
        <f t="shared" ref="F43:J43" si="434">SUMIF($B$57:$B$270,$B43,F$57:F$270)</f>
        <v>12</v>
      </c>
      <c r="G43" s="101">
        <f t="shared" si="434"/>
        <v>0</v>
      </c>
      <c r="H43" s="103">
        <f t="shared" si="434"/>
        <v>6816</v>
      </c>
      <c r="I43" s="103">
        <f t="shared" si="434"/>
        <v>2371</v>
      </c>
      <c r="J43" s="103">
        <f t="shared" si="434"/>
        <v>9187</v>
      </c>
      <c r="K43" s="830">
        <f>SUMIF($B$57:$B$270,$B43,K$57:K$270)</f>
        <v>8284.4498869912459</v>
      </c>
      <c r="L43" s="1079"/>
      <c r="M43" s="1088"/>
      <c r="N43" s="1089"/>
      <c r="O43" s="1088"/>
      <c r="P43" s="1088"/>
      <c r="Q43" s="106">
        <f>SUMIF($B$57:$B$270,$B43,Q$57:Q$270)</f>
        <v>115100</v>
      </c>
      <c r="R43" s="106">
        <f>SUMIF($B$57:$B$270,$B43,R$57:R$270)</f>
        <v>901500</v>
      </c>
      <c r="S43" s="106">
        <f>SUMIF($B$57:$B$270,$B43,S$57:S$270)</f>
        <v>1016600</v>
      </c>
      <c r="T43" s="1072"/>
      <c r="U43" s="1072"/>
      <c r="V43" s="1072"/>
      <c r="W43" s="106">
        <f>SUMIF($B$57:$B$270,$B43,W$57:W$270)</f>
        <v>102245</v>
      </c>
      <c r="X43" s="106">
        <f>SUMIF($B$57:$B$270,$B43,X$57:X$270)</f>
        <v>84810</v>
      </c>
      <c r="Y43" s="1072"/>
      <c r="Z43" s="1072"/>
      <c r="AA43" s="106">
        <f>SUMIF($B$57:$B$270,$B43,AA$57:AA$270)</f>
        <v>17435</v>
      </c>
      <c r="AB43" s="106">
        <f>SUMIF($B$57:$B$270,$B43,AB$57:AB$270)</f>
        <v>2.6370312147829309</v>
      </c>
      <c r="AC43" s="282"/>
      <c r="AD43" s="1102"/>
      <c r="AE43" s="101">
        <f>SUMIF($B$57:$B$270,$B43,AE$57:AE$270)</f>
        <v>9</v>
      </c>
      <c r="AF43" s="101">
        <f>SUMIF($B$57:$B$270,$B43,AF$57:AF$270)</f>
        <v>13392</v>
      </c>
      <c r="AG43" s="282"/>
      <c r="AH43" s="101">
        <f>SUMIF($B$57:$B$270,$B43,AH$57:AH$270)</f>
        <v>2</v>
      </c>
      <c r="AI43" s="106">
        <f>SUMIF($B$57:$B$270,$B43,AI$57:AI$270)</f>
        <v>2555</v>
      </c>
      <c r="AJ43" s="1072"/>
      <c r="AK43" s="101">
        <f>SUMIF($B$57:$B$270,$B43,AK$57:AK$270)</f>
        <v>6</v>
      </c>
      <c r="AL43" s="101">
        <f>SUMIF($B$57:$B$270,$B43,AL$57:AL$270)</f>
        <v>12152</v>
      </c>
      <c r="AM43" s="403">
        <f>X43+AF43+AI43+AL43</f>
        <v>112909</v>
      </c>
      <c r="AN43" s="1072">
        <f>Z43+AG43+AJ43</f>
        <v>0</v>
      </c>
      <c r="AO43" s="403">
        <f>EL43</f>
        <v>5955</v>
      </c>
      <c r="AP43" s="403">
        <f>ROUND(EP43*12,-2)</f>
        <v>5700</v>
      </c>
      <c r="AQ43" s="403">
        <f>+AM43+AO43+AP43</f>
        <v>124564</v>
      </c>
      <c r="AR43" s="403">
        <f>Z43+AG43+AJ43</f>
        <v>0</v>
      </c>
      <c r="AS43" s="1122"/>
      <c r="AT43" s="1122"/>
      <c r="AU43" s="1122"/>
      <c r="AV43" s="1122"/>
      <c r="AW43" s="1102"/>
      <c r="AX43" s="101">
        <f t="shared" ref="AX43:BK43" si="435">SUMIF($B$57:$B$270,$B43,AX$57:AX$270)</f>
        <v>4</v>
      </c>
      <c r="AY43" s="101">
        <f t="shared" si="435"/>
        <v>2</v>
      </c>
      <c r="AZ43" s="101">
        <f t="shared" si="435"/>
        <v>0</v>
      </c>
      <c r="BA43" s="101">
        <f t="shared" si="435"/>
        <v>0</v>
      </c>
      <c r="BB43" s="101">
        <f t="shared" si="435"/>
        <v>1</v>
      </c>
      <c r="BC43" s="101">
        <f t="shared" si="435"/>
        <v>0</v>
      </c>
      <c r="BD43" s="101">
        <f t="shared" si="435"/>
        <v>1</v>
      </c>
      <c r="BE43" s="101">
        <f t="shared" si="435"/>
        <v>6</v>
      </c>
      <c r="BF43" s="106">
        <f t="shared" si="435"/>
        <v>29390000</v>
      </c>
      <c r="BG43" s="106">
        <f t="shared" si="435"/>
        <v>6005777</v>
      </c>
      <c r="BH43" s="106">
        <f t="shared" si="435"/>
        <v>35395777</v>
      </c>
      <c r="BI43" s="1269">
        <f t="shared" si="435"/>
        <v>227563017</v>
      </c>
      <c r="BJ43" s="106">
        <f t="shared" si="435"/>
        <v>22203297</v>
      </c>
      <c r="BK43" s="106">
        <f t="shared" si="435"/>
        <v>15017287</v>
      </c>
      <c r="BL43" s="435">
        <f>ROUND(BJ43/BK43,2)</f>
        <v>1.48</v>
      </c>
      <c r="BM43" s="101">
        <f>SUMIF($B$57:$B$270,$B43,BM$57:BM$270)</f>
        <v>11</v>
      </c>
      <c r="BN43" s="106">
        <f>SUMIF($B$57:$B$270,$B43,BN$57:BN$270)</f>
        <v>74374399</v>
      </c>
      <c r="BO43" s="282"/>
      <c r="BP43" s="106">
        <f t="shared" ref="BP43:BV43" si="436">SUMIF($B$57:$B$270,$B43,BP$57:BP$270)</f>
        <v>60998292</v>
      </c>
      <c r="BQ43" s="106">
        <f t="shared" si="436"/>
        <v>47718972</v>
      </c>
      <c r="BR43" s="417">
        <f t="shared" si="436"/>
        <v>17.918705842172326</v>
      </c>
      <c r="BS43" s="101">
        <f t="shared" si="436"/>
        <v>9</v>
      </c>
      <c r="BT43" s="106">
        <f t="shared" si="436"/>
        <v>122524375</v>
      </c>
      <c r="BU43" s="106">
        <f t="shared" si="436"/>
        <v>186154977</v>
      </c>
      <c r="BV43" s="417">
        <f t="shared" si="436"/>
        <v>9.4159846326871648</v>
      </c>
      <c r="BW43" s="821">
        <f>IF(BN43=0,0,+IF(K43=0,0,ROUND(BN43/K43,-1)))</f>
        <v>8980</v>
      </c>
      <c r="BX43" s="821">
        <f>IF(BJ43=0,0,+IF(K43=0,0,ROUND(BJ43/K43,-1)))</f>
        <v>2680</v>
      </c>
      <c r="BY43" s="821">
        <f>IF(BH43=0,0,+IF(K43=0,0,ROUND(BH43/K43,-1)))</f>
        <v>4270</v>
      </c>
      <c r="BZ43" s="103">
        <f t="shared" ref="BZ43:CI43" si="437">SUMIF($B$57:$B$270,$B43,BZ$57:BZ$270)</f>
        <v>1511808</v>
      </c>
      <c r="CA43" s="106">
        <f t="shared" si="437"/>
        <v>2010709</v>
      </c>
      <c r="CB43" s="106">
        <f t="shared" si="437"/>
        <v>599764</v>
      </c>
      <c r="CC43" s="106">
        <f t="shared" si="437"/>
        <v>13716040</v>
      </c>
      <c r="CD43" s="106">
        <f t="shared" si="437"/>
        <v>51019351</v>
      </c>
      <c r="CE43" s="106">
        <f t="shared" si="437"/>
        <v>2209739</v>
      </c>
      <c r="CF43" s="106">
        <f t="shared" si="437"/>
        <v>0</v>
      </c>
      <c r="CG43" s="106">
        <f t="shared" si="437"/>
        <v>26521400</v>
      </c>
      <c r="CH43" s="106">
        <f t="shared" si="437"/>
        <v>13908439</v>
      </c>
      <c r="CI43" s="106">
        <f t="shared" si="437"/>
        <v>2878545</v>
      </c>
      <c r="CJ43" s="292">
        <f>SUM(BZ43:CI43)</f>
        <v>114375795</v>
      </c>
      <c r="CK43" s="406">
        <f t="shared" ref="CK43:CU43" si="438">ROUND(BZ43/$CJ43,3)</f>
        <v>1.2999999999999999E-2</v>
      </c>
      <c r="CL43" s="406">
        <f t="shared" si="438"/>
        <v>1.7999999999999999E-2</v>
      </c>
      <c r="CM43" s="406">
        <f t="shared" si="438"/>
        <v>5.0000000000000001E-3</v>
      </c>
      <c r="CN43" s="406">
        <f t="shared" si="438"/>
        <v>0.12</v>
      </c>
      <c r="CO43" s="406">
        <f t="shared" si="438"/>
        <v>0.44600000000000001</v>
      </c>
      <c r="CP43" s="406">
        <f t="shared" si="438"/>
        <v>1.9E-2</v>
      </c>
      <c r="CQ43" s="406">
        <f t="shared" si="438"/>
        <v>0</v>
      </c>
      <c r="CR43" s="406">
        <f t="shared" si="438"/>
        <v>0.23200000000000001</v>
      </c>
      <c r="CS43" s="406">
        <f t="shared" si="438"/>
        <v>0.122</v>
      </c>
      <c r="CT43" s="406">
        <f t="shared" si="438"/>
        <v>2.5000000000000001E-2</v>
      </c>
      <c r="CU43" s="406">
        <f t="shared" si="438"/>
        <v>1</v>
      </c>
      <c r="CV43" s="106">
        <f t="shared" ref="CV43:DB43" si="439">SUMIF($B$57:$B$270,$B43,CV$57:CV$270)</f>
        <v>56398778</v>
      </c>
      <c r="CW43" s="106">
        <f t="shared" si="439"/>
        <v>17114333</v>
      </c>
      <c r="CX43" s="106">
        <f t="shared" si="439"/>
        <v>407788</v>
      </c>
      <c r="CY43" s="106">
        <f t="shared" si="439"/>
        <v>33639354</v>
      </c>
      <c r="CZ43" s="106">
        <f t="shared" si="439"/>
        <v>2333443</v>
      </c>
      <c r="DA43" s="106">
        <f t="shared" si="439"/>
        <v>5380588</v>
      </c>
      <c r="DB43" s="106">
        <f t="shared" si="439"/>
        <v>115274284</v>
      </c>
      <c r="DC43" s="406">
        <f t="shared" ref="DC43:DI43" si="440">ROUND(CV43/$DB43,3)</f>
        <v>0.48899999999999999</v>
      </c>
      <c r="DD43" s="406">
        <f t="shared" si="440"/>
        <v>0.14799999999999999</v>
      </c>
      <c r="DE43" s="406">
        <f t="shared" si="440"/>
        <v>4.0000000000000001E-3</v>
      </c>
      <c r="DF43" s="406">
        <f t="shared" si="440"/>
        <v>0.29199999999999998</v>
      </c>
      <c r="DG43" s="406">
        <f t="shared" si="440"/>
        <v>0.02</v>
      </c>
      <c r="DH43" s="406">
        <f t="shared" si="440"/>
        <v>4.7E-2</v>
      </c>
      <c r="DI43" s="406">
        <f t="shared" si="440"/>
        <v>1</v>
      </c>
      <c r="DJ43" s="301">
        <f>CJ43-DB43</f>
        <v>-898489</v>
      </c>
      <c r="DK43" s="822">
        <f t="shared" ref="DK43:DT43" si="441">IF(BZ43=0,0,+IF($K43=0,0,ROUND(BZ43/$K43,0)))</f>
        <v>182</v>
      </c>
      <c r="DL43" s="822">
        <f t="shared" si="441"/>
        <v>243</v>
      </c>
      <c r="DM43" s="822">
        <f t="shared" si="441"/>
        <v>72</v>
      </c>
      <c r="DN43" s="822">
        <f t="shared" si="441"/>
        <v>1656</v>
      </c>
      <c r="DO43" s="822">
        <f t="shared" si="441"/>
        <v>6158</v>
      </c>
      <c r="DP43" s="822">
        <f t="shared" si="441"/>
        <v>267</v>
      </c>
      <c r="DQ43" s="822">
        <f t="shared" si="441"/>
        <v>0</v>
      </c>
      <c r="DR43" s="822">
        <f t="shared" si="441"/>
        <v>3201</v>
      </c>
      <c r="DS43" s="822">
        <f t="shared" si="441"/>
        <v>1679</v>
      </c>
      <c r="DT43" s="822">
        <f t="shared" si="441"/>
        <v>347</v>
      </c>
      <c r="DU43" s="822">
        <f>SUM(DK43:DT43)</f>
        <v>13805</v>
      </c>
      <c r="DV43" s="822">
        <f t="shared" ref="DV43:EA43" si="442">IF(CV43=0,0,+IF($K43=0,0,ROUND(CV43/$K43,0)))</f>
        <v>6808</v>
      </c>
      <c r="DW43" s="822">
        <f t="shared" si="442"/>
        <v>2066</v>
      </c>
      <c r="DX43" s="822">
        <f t="shared" si="442"/>
        <v>49</v>
      </c>
      <c r="DY43" s="822">
        <f t="shared" si="442"/>
        <v>4061</v>
      </c>
      <c r="DZ43" s="822">
        <f t="shared" si="442"/>
        <v>282</v>
      </c>
      <c r="EA43" s="822">
        <f t="shared" si="442"/>
        <v>649</v>
      </c>
      <c r="EB43" s="822">
        <f>SUM(DV43:EA43)</f>
        <v>13915</v>
      </c>
      <c r="EC43" s="824">
        <f>DU43-EB43</f>
        <v>-110</v>
      </c>
      <c r="ED43" s="106">
        <f t="shared" ref="ED43:EI43" si="443">SUMIF($B$57:$B$270,$B43,ED$57:ED$270)</f>
        <v>958</v>
      </c>
      <c r="EE43" s="101">
        <f t="shared" si="443"/>
        <v>3</v>
      </c>
      <c r="EF43" s="106">
        <f t="shared" si="443"/>
        <v>92</v>
      </c>
      <c r="EG43" s="106">
        <f t="shared" si="443"/>
        <v>1017000</v>
      </c>
      <c r="EH43" s="101">
        <f t="shared" si="443"/>
        <v>9</v>
      </c>
      <c r="EI43" s="101">
        <f t="shared" si="443"/>
        <v>0.93900000000000017</v>
      </c>
      <c r="EJ43" s="823">
        <f>IF(K43=0,0,+IF(ED43=0,0,ROUND(K43/ED43,1)))</f>
        <v>8.6</v>
      </c>
      <c r="EK43" s="101">
        <f t="shared" ref="EK43:ER43" si="444">SUMIF($B$57:$B$270,$B43,EK$57:EK$270)</f>
        <v>7</v>
      </c>
      <c r="EL43" s="106">
        <f t="shared" si="444"/>
        <v>5955</v>
      </c>
      <c r="EM43" s="101">
        <f t="shared" si="444"/>
        <v>6</v>
      </c>
      <c r="EN43" s="101">
        <f t="shared" si="444"/>
        <v>1.24</v>
      </c>
      <c r="EO43" s="101">
        <f t="shared" si="444"/>
        <v>5</v>
      </c>
      <c r="EP43" s="106">
        <f t="shared" si="444"/>
        <v>477.91666666666669</v>
      </c>
      <c r="EQ43" s="101">
        <f t="shared" si="444"/>
        <v>2</v>
      </c>
      <c r="ER43" s="101">
        <f t="shared" si="444"/>
        <v>1</v>
      </c>
      <c r="ES43" s="822">
        <f>IF(FE43=0,0,+IF(K43=0,0,ROUND(FE43/K43,-2)))</f>
        <v>4900</v>
      </c>
      <c r="ET43" s="824">
        <f>IF(FY43=0,0,+IF(K43=0,0,ROUND(FY43/K43,-1)))</f>
        <v>-1330</v>
      </c>
      <c r="EU43" s="101">
        <f>COUNTIFS($B$57:$B$270,$B43,EU$57:EU$270,1)</f>
        <v>2</v>
      </c>
      <c r="EV43" s="106">
        <f>SUMIF($B$57:$B$270,$B43,EV$57:EV$270)</f>
        <v>751297</v>
      </c>
      <c r="EW43" s="101">
        <f>SUMIF($B$57:$B$270,$B43,EW$57:EW$270)</f>
        <v>164641</v>
      </c>
      <c r="EX43" s="101">
        <f>COUNTIFS($B$57:$B$270,$B43,EX$57:EX$270,0)</f>
        <v>5</v>
      </c>
      <c r="EY43" s="101">
        <f>SUMIF($B$57:$B$270,$B43,EY$57:EY$270)</f>
        <v>26521400</v>
      </c>
      <c r="EZ43" s="101">
        <f>SUMIF($B$57:$B$270,$B43,EZ$57:EZ$270)</f>
        <v>12370016</v>
      </c>
      <c r="FA43" s="3">
        <f>EY43-EZ43</f>
        <v>14151384</v>
      </c>
      <c r="FB43" s="101">
        <f>SUMIF($B$57:$B$270,$B43,FB$57:FB$270)</f>
        <v>13908439</v>
      </c>
      <c r="FC43" s="101">
        <f>SUMIF($B$57:$B$270,$B43,FC$57:FC$270)</f>
        <v>4744317</v>
      </c>
      <c r="FD43" s="3">
        <f>FB43-FC43</f>
        <v>9164122</v>
      </c>
      <c r="FE43" s="3">
        <f>EY43+FB43</f>
        <v>40429839</v>
      </c>
      <c r="FF43" s="3">
        <f>EZ43+FC43</f>
        <v>17114333</v>
      </c>
      <c r="FG43" s="3">
        <f>FE43-FF43</f>
        <v>23315506</v>
      </c>
      <c r="FH43" s="303">
        <f>EY43/$EY43</f>
        <v>1</v>
      </c>
      <c r="FI43" s="303">
        <f>ROUND(EZ43/$EY43,3)</f>
        <v>0.46600000000000003</v>
      </c>
      <c r="FJ43" s="303">
        <f>ROUND(FA43/$EY43,3)</f>
        <v>0.53400000000000003</v>
      </c>
      <c r="FK43" s="303">
        <f>ROUND(FB43/$FB43,2)</f>
        <v>1</v>
      </c>
      <c r="FL43" s="303">
        <f>ROUND(FC43/$FB43,3)</f>
        <v>0.34100000000000003</v>
      </c>
      <c r="FM43" s="303">
        <f>ROUND(FD43/$FB43,3)</f>
        <v>0.65900000000000003</v>
      </c>
      <c r="FN43" s="303">
        <f>ROUND(FE43/$FE43,2)</f>
        <v>1</v>
      </c>
      <c r="FO43" s="303">
        <f>ROUND(FF43/$FE43,3)</f>
        <v>0.42299999999999999</v>
      </c>
      <c r="FP43" s="303">
        <f>ROUND(FG43/$FE43,3)</f>
        <v>0.57699999999999996</v>
      </c>
      <c r="FQ43" s="101">
        <f t="shared" ref="FQ43:FW43" si="445">SUMIF($B$57:$B$270,$B43,FQ$57:FQ$270)</f>
        <v>27607475</v>
      </c>
      <c r="FR43" s="408">
        <f t="shared" si="445"/>
        <v>-3782584.8</v>
      </c>
      <c r="FS43" s="101">
        <f t="shared" si="445"/>
        <v>4893528</v>
      </c>
      <c r="FT43" s="101">
        <f t="shared" si="445"/>
        <v>568107</v>
      </c>
      <c r="FU43" s="101">
        <f t="shared" si="445"/>
        <v>387186</v>
      </c>
      <c r="FV43" s="101">
        <f t="shared" si="445"/>
        <v>491208</v>
      </c>
      <c r="FW43" s="101">
        <f t="shared" si="445"/>
        <v>4129582</v>
      </c>
      <c r="FX43" s="409">
        <f>SUM(FQ43:FW43)</f>
        <v>34294501.200000003</v>
      </c>
      <c r="FY43" s="410">
        <f>ROUND(FG43-FX43,-2)</f>
        <v>-10979000</v>
      </c>
      <c r="FZ43" s="303">
        <f t="shared" ref="FZ43:GH43" si="446">ROUND(FQ43/$FE43,3)</f>
        <v>0.68300000000000005</v>
      </c>
      <c r="GA43" s="303">
        <f t="shared" si="446"/>
        <v>-9.4E-2</v>
      </c>
      <c r="GB43" s="303">
        <f t="shared" si="446"/>
        <v>0.121</v>
      </c>
      <c r="GC43" s="303">
        <f t="shared" si="446"/>
        <v>1.4E-2</v>
      </c>
      <c r="GD43" s="303">
        <f t="shared" si="446"/>
        <v>0.01</v>
      </c>
      <c r="GE43" s="303">
        <f t="shared" si="446"/>
        <v>1.2E-2</v>
      </c>
      <c r="GF43" s="303">
        <f t="shared" si="446"/>
        <v>0.10199999999999999</v>
      </c>
      <c r="GG43" s="303">
        <f t="shared" si="446"/>
        <v>0.84799999999999998</v>
      </c>
      <c r="GH43" s="303">
        <f t="shared" si="446"/>
        <v>-0.27200000000000002</v>
      </c>
      <c r="GI43" s="411">
        <f>EY43/FB43</f>
        <v>1.9068566932637085</v>
      </c>
      <c r="GJ43" s="408">
        <f>SUMIF($B$57:$B$270,$B43,GJ$57:GJ$270)</f>
        <v>10</v>
      </c>
      <c r="GK43" s="394">
        <f>SUMIF($B$57:$B$270,$B43,GK$57:GK$270)</f>
        <v>0.74</v>
      </c>
      <c r="GL43" s="408">
        <f>SUMIF($B$57:$B$270,$B43,GL$57:GL$270)</f>
        <v>7</v>
      </c>
      <c r="GM43" s="394">
        <f>SUMIF($B$57:$B$270,$B43,GM$57:GM$270)</f>
        <v>0.58000000000000007</v>
      </c>
      <c r="GW43" s="412"/>
      <c r="GX43" s="7"/>
      <c r="GY43" s="49"/>
      <c r="GZ43" s="20"/>
      <c r="HA43" s="20"/>
      <c r="HB43" s="20"/>
      <c r="HC43" s="20"/>
      <c r="HD43" s="20"/>
      <c r="HE43" s="20"/>
      <c r="HF43" s="20"/>
      <c r="HQ43" s="7"/>
      <c r="HR43" s="49">
        <f>IF(HP43=0,0,HP43/HH43)</f>
        <v>0</v>
      </c>
      <c r="HS43" s="20"/>
      <c r="HT43" s="20"/>
      <c r="HU43" s="20"/>
      <c r="HV43" s="20"/>
      <c r="HW43" s="20"/>
      <c r="HX43" s="20"/>
      <c r="HY43" s="20"/>
      <c r="HZ43" s="51"/>
      <c r="IA43" s="297">
        <f>ROUND(Q43/S43,2)</f>
        <v>0.11</v>
      </c>
      <c r="IB43" s="297"/>
      <c r="IC43" s="438">
        <f>SUMIF($B$57:$B$270,$B43,IC$57:IC$270)</f>
        <v>12</v>
      </c>
      <c r="ID43" s="438"/>
      <c r="IE43" s="438">
        <f>SUMIF($B$57:$B$270,$B43,IE$57:IE$270)</f>
        <v>0</v>
      </c>
      <c r="IF43" s="438"/>
      <c r="IG43" s="284">
        <f>IF(BI43=0,0,+IF(K43=0,0,BI43/K43))</f>
        <v>27468.693770160102</v>
      </c>
      <c r="IH43" s="284">
        <f>IF(BU43=0,0,+IF(K43=0,0,BU43/K43))</f>
        <v>22470.408963703434</v>
      </c>
      <c r="II43" s="417">
        <f t="shared" ref="II43:IN43" si="447">SUMIF($B$57:$B$270,$B43,II$57:II$270)</f>
        <v>15.640997796047541</v>
      </c>
      <c r="IJ43" s="417">
        <f t="shared" si="447"/>
        <v>2.2777080461247889</v>
      </c>
      <c r="IK43" s="413">
        <f t="shared" si="447"/>
        <v>2</v>
      </c>
      <c r="IL43" s="413">
        <f t="shared" si="447"/>
        <v>2</v>
      </c>
      <c r="IM43" s="413">
        <f t="shared" si="447"/>
        <v>5</v>
      </c>
      <c r="IN43" s="413">
        <f t="shared" si="447"/>
        <v>0</v>
      </c>
      <c r="IO43" s="853">
        <f>ROUND(FY43/$J43,-1)</f>
        <v>-1200</v>
      </c>
      <c r="IP43" s="851">
        <f>IF(K43=0,0,ROUND(FY43/K43,-1))</f>
        <v>-1330</v>
      </c>
      <c r="IQ43" s="857">
        <f>IF(FY43=0,0,+IF(CD43=0,0,FY43/CD43))</f>
        <v>-0.21519285888211317</v>
      </c>
      <c r="IR43" s="415">
        <f>EY43</f>
        <v>26521400</v>
      </c>
      <c r="IS43" s="415">
        <f>FB43</f>
        <v>13908439</v>
      </c>
      <c r="IT43" s="415">
        <f>FQ43</f>
        <v>27607475</v>
      </c>
      <c r="IU43" s="415">
        <f>FS43+FT43</f>
        <v>5461635</v>
      </c>
      <c r="IV43" s="415">
        <f>FF43</f>
        <v>17114333</v>
      </c>
      <c r="IW43" s="415">
        <f>SUM(FU43:FW43)+FR43</f>
        <v>1225391.2000000002</v>
      </c>
      <c r="IX43" s="303">
        <f t="shared" ref="IX43:JC43" si="448">IF(IR43=0,0,ROUND(IR43/(SUM($IR43:$IS43)),3))</f>
        <v>0.65600000000000003</v>
      </c>
      <c r="IY43" s="303">
        <f t="shared" si="448"/>
        <v>0.34399999999999997</v>
      </c>
      <c r="IZ43" s="303">
        <f t="shared" si="448"/>
        <v>0.68300000000000005</v>
      </c>
      <c r="JA43" s="303">
        <f t="shared" si="448"/>
        <v>0.13500000000000001</v>
      </c>
      <c r="JB43" s="303">
        <f t="shared" si="448"/>
        <v>0.42299999999999999</v>
      </c>
      <c r="JC43" s="303">
        <f t="shared" si="448"/>
        <v>0.03</v>
      </c>
      <c r="JD43" s="294">
        <f>CD43+CE43+CF43</f>
        <v>53229090</v>
      </c>
      <c r="JE43" s="294">
        <f>BZ43+CA43+CB43+CC43</f>
        <v>17838321</v>
      </c>
      <c r="JF43" s="294">
        <f>JD43+JE43+CG43+CH43+CI43-CJ43</f>
        <v>0</v>
      </c>
      <c r="JG43" s="294">
        <f>CZ43+DA43</f>
        <v>7714031</v>
      </c>
      <c r="JH43" s="413">
        <f t="shared" ref="JH43:JQ43" si="449">SUMIF($B$57:$B$270,$B43,JH$57:JH$270)</f>
        <v>5</v>
      </c>
      <c r="JI43" s="413">
        <f t="shared" si="449"/>
        <v>0</v>
      </c>
      <c r="JJ43" s="300">
        <f t="shared" si="449"/>
        <v>0</v>
      </c>
      <c r="JK43" s="300">
        <f t="shared" si="449"/>
        <v>5.9835153881229513</v>
      </c>
      <c r="JL43" s="300">
        <f t="shared" si="449"/>
        <v>1.7906499051925309</v>
      </c>
      <c r="JM43" s="300">
        <f t="shared" si="449"/>
        <v>2.1793631219744949E-2</v>
      </c>
      <c r="JN43" s="300">
        <f t="shared" si="449"/>
        <v>3.5027928691982746</v>
      </c>
      <c r="JO43" s="300">
        <f t="shared" si="449"/>
        <v>0.24389978154381775</v>
      </c>
      <c r="JP43" s="300">
        <f t="shared" si="449"/>
        <v>0.58119514268419092</v>
      </c>
      <c r="JQ43" s="300">
        <f t="shared" si="449"/>
        <v>12.123846717961511</v>
      </c>
      <c r="JR43" s="292"/>
      <c r="JS43" s="292"/>
      <c r="JT43" s="292"/>
      <c r="JU43" s="292"/>
      <c r="JV43" s="292"/>
      <c r="JW43" s="292"/>
      <c r="JX43" s="292"/>
      <c r="JY43" s="20"/>
      <c r="JZ43" s="292"/>
      <c r="KA43" s="292"/>
      <c r="KB43" s="292"/>
      <c r="KC43" s="292"/>
      <c r="KD43" s="292"/>
      <c r="KE43" s="292"/>
      <c r="KF43" s="292"/>
      <c r="KG43" s="292"/>
      <c r="KH43" s="292"/>
      <c r="KI43" s="20"/>
      <c r="KJ43" s="61"/>
      <c r="KK43" s="61"/>
      <c r="KL43" s="61"/>
      <c r="KM43" s="61"/>
      <c r="KN43" s="61"/>
      <c r="KO43" s="61"/>
      <c r="KP43" s="61"/>
      <c r="KQ43" s="61"/>
      <c r="KR43" s="61"/>
      <c r="KS43" s="61"/>
      <c r="KT43" s="61"/>
      <c r="KU43" s="61"/>
      <c r="KV43" s="61"/>
      <c r="KW43" s="61"/>
      <c r="KX43" s="108"/>
      <c r="KY43" s="421"/>
      <c r="KZ43" s="421"/>
      <c r="LA43" s="421"/>
      <c r="LB43" s="421"/>
      <c r="LQ43" s="421"/>
      <c r="LR43" s="421"/>
      <c r="LS43" s="421"/>
      <c r="LT43" s="282"/>
      <c r="LU43" s="282"/>
      <c r="LV43" s="282"/>
      <c r="LW43" s="282"/>
      <c r="LX43" s="282"/>
      <c r="LY43" s="282"/>
      <c r="LZ43" s="282"/>
      <c r="MA43" s="282"/>
      <c r="MB43" s="282"/>
      <c r="MC43" s="282"/>
      <c r="MD43" s="282"/>
      <c r="ME43" s="282"/>
      <c r="MF43" s="282"/>
      <c r="MG43" s="282"/>
      <c r="MH43" s="282"/>
      <c r="MI43" s="282"/>
      <c r="MJ43" s="282"/>
      <c r="MK43" s="282"/>
      <c r="ML43" s="282"/>
      <c r="MM43" s="1232"/>
      <c r="MN43" s="1232"/>
      <c r="MO43" s="1232"/>
      <c r="MP43" s="1232"/>
      <c r="MS43" s="421"/>
      <c r="MT43" s="421"/>
      <c r="MU43" s="421"/>
      <c r="MV43" s="421"/>
      <c r="MW43" s="421"/>
      <c r="MX43" s="421"/>
      <c r="MY43" s="421"/>
      <c r="MZ43" s="421"/>
      <c r="NA43" s="421"/>
      <c r="NB43" s="421"/>
      <c r="NC43" s="421"/>
      <c r="ND43" s="421"/>
      <c r="NE43" s="421"/>
      <c r="NF43" s="421"/>
      <c r="NG43" s="421"/>
      <c r="NH43" s="421"/>
      <c r="NI43" s="421"/>
      <c r="NJ43" s="421"/>
      <c r="NK43" s="421"/>
      <c r="NL43" s="421"/>
      <c r="OQ43" s="282"/>
      <c r="OR43" s="282"/>
      <c r="OS43" s="282"/>
      <c r="OT43" s="282"/>
      <c r="OU43" s="282"/>
      <c r="OV43" s="282"/>
      <c r="OW43" s="282"/>
      <c r="OX43" s="282"/>
      <c r="OY43" s="282"/>
      <c r="OZ43" s="282"/>
      <c r="PA43" s="282"/>
      <c r="PB43" s="282"/>
      <c r="PC43" s="282"/>
      <c r="PD43" s="282"/>
      <c r="PE43" s="282"/>
      <c r="PF43" s="282"/>
      <c r="PG43" s="282"/>
      <c r="PH43" s="282"/>
      <c r="PI43" s="282"/>
      <c r="PJ43" s="282"/>
      <c r="PK43" s="282"/>
      <c r="PL43" s="282"/>
      <c r="PM43" s="282"/>
    </row>
    <row r="44" spans="1:429" ht="15.6" outlineLevel="1">
      <c r="A44" s="2057"/>
      <c r="C44" s="272" t="s">
        <v>391</v>
      </c>
      <c r="E44" s="1530"/>
      <c r="F44" s="101">
        <f>COUNTIF($B$57:$B$270,$B43)</f>
        <v>12</v>
      </c>
      <c r="G44" s="101">
        <f>COUNTIF($B$57:$B$270,$B43)</f>
        <v>12</v>
      </c>
      <c r="H44" s="103">
        <f>COUNTIFS($B$57:$B$270,$B43,H$57:H$270,"&gt;0")</f>
        <v>12</v>
      </c>
      <c r="I44" s="103">
        <f>COUNTIFS($B$57:$B$270,$B43,I$57:I$270,"&gt;0")</f>
        <v>12</v>
      </c>
      <c r="J44" s="103">
        <f>COUNTIFS($B$57:$B$270,$B43,J$57:J$270,"&gt;0")</f>
        <v>12</v>
      </c>
      <c r="K44" s="830">
        <f>COUNTIFS($B$57:$B$270,$B43,K$57:K$270,"&gt;0")</f>
        <v>12</v>
      </c>
      <c r="L44" s="1088"/>
      <c r="M44" s="1088"/>
      <c r="N44" s="1088"/>
      <c r="O44" s="1088"/>
      <c r="P44" s="1088"/>
      <c r="Q44" s="9">
        <f>$S44</f>
        <v>12</v>
      </c>
      <c r="R44" s="9">
        <f>$S44</f>
        <v>12</v>
      </c>
      <c r="S44" s="106">
        <f>COUNTIFS($B$57:$B$270,$B43,S$57:S$270,"&gt;0")</f>
        <v>12</v>
      </c>
      <c r="T44" s="1072"/>
      <c r="U44" s="1072"/>
      <c r="V44" s="1072"/>
      <c r="W44" s="106">
        <f>COUNTIFS($B$57:$B$270,$B43,W$57:W$270,"&gt;0")</f>
        <v>12</v>
      </c>
      <c r="X44" s="106">
        <f>COUNTIFS($B$57:$B$270,$B43,X$57:X$270,"&gt;0")</f>
        <v>12</v>
      </c>
      <c r="Y44" s="1072"/>
      <c r="Z44" s="1072"/>
      <c r="AA44" s="106">
        <f>COUNTIFS($B$57:$B$270,$B43,AA$57:AA$270,"&lt;&gt;0")</f>
        <v>12</v>
      </c>
      <c r="AB44" s="106">
        <f>COUNTIFS($B$57:$B$270,$B43,AB$57:AB$270,"&lt;&gt;0")</f>
        <v>12</v>
      </c>
      <c r="AC44" s="282"/>
      <c r="AD44" s="282"/>
      <c r="AE44" s="101">
        <f>COUNTIF($B$57:$B$270,$B43)</f>
        <v>12</v>
      </c>
      <c r="AF44" s="101">
        <f>COUNTIFS($B$57:$B$270,$B43,AF$57:AF$270,"&gt;0")</f>
        <v>9</v>
      </c>
      <c r="AG44" s="282"/>
      <c r="AH44" s="101">
        <f>COUNTIF($B$57:$B$270,$B43)</f>
        <v>12</v>
      </c>
      <c r="AI44" s="106">
        <f>COUNTIFS($B$57:$B$270,$B43,AI$57:AI$270,"&gt;0")</f>
        <v>2</v>
      </c>
      <c r="AJ44" s="1072"/>
      <c r="AK44" s="101">
        <f>COUNTIF($B$57:$B$270,$B43)</f>
        <v>12</v>
      </c>
      <c r="AL44" s="101">
        <f>COUNTIFS($B$57:$B$270,$B43,AL$57:AL$270,"&gt;0")</f>
        <v>6</v>
      </c>
      <c r="AM44" s="403"/>
      <c r="AN44" s="1072"/>
      <c r="AO44" s="403"/>
      <c r="AP44" s="403"/>
      <c r="AQ44" s="403"/>
      <c r="AR44" s="403"/>
      <c r="AS44" s="282"/>
      <c r="AT44" s="282"/>
      <c r="AU44" s="282"/>
      <c r="AV44" s="282"/>
      <c r="AW44" s="282"/>
      <c r="AX44" s="101">
        <f t="shared" ref="AX44:BE44" si="450">COUNTIF($B$57:$B$270,$B43)</f>
        <v>12</v>
      </c>
      <c r="AY44" s="101">
        <f t="shared" si="450"/>
        <v>12</v>
      </c>
      <c r="AZ44" s="101">
        <f t="shared" si="450"/>
        <v>12</v>
      </c>
      <c r="BA44" s="101">
        <f t="shared" si="450"/>
        <v>12</v>
      </c>
      <c r="BB44" s="101">
        <f t="shared" si="450"/>
        <v>12</v>
      </c>
      <c r="BC44" s="101">
        <f t="shared" si="450"/>
        <v>12</v>
      </c>
      <c r="BD44" s="101">
        <f t="shared" si="450"/>
        <v>12</v>
      </c>
      <c r="BE44" s="101">
        <f t="shared" si="450"/>
        <v>12</v>
      </c>
      <c r="BF44" s="106">
        <f t="shared" ref="BF44:BK44" si="451">COUNTIFS($B$57:$B$270,$B43,BF$57:BF$270,"&gt;0")</f>
        <v>7</v>
      </c>
      <c r="BG44" s="106">
        <f t="shared" si="451"/>
        <v>11</v>
      </c>
      <c r="BH44" s="106">
        <f t="shared" si="451"/>
        <v>12</v>
      </c>
      <c r="BI44" s="1269">
        <f t="shared" si="451"/>
        <v>12</v>
      </c>
      <c r="BJ44" s="106">
        <f t="shared" si="451"/>
        <v>12</v>
      </c>
      <c r="BK44" s="106">
        <f t="shared" si="451"/>
        <v>12</v>
      </c>
      <c r="BL44" s="292"/>
      <c r="BM44" s="101">
        <f>COUNTIF($B$57:$B$270,$B43)</f>
        <v>12</v>
      </c>
      <c r="BN44" s="106">
        <f>COUNTIFS($B$57:$B$270,$B43,BN$57:BN$270,"&gt;0")</f>
        <v>11</v>
      </c>
      <c r="BO44" s="282"/>
      <c r="BP44" s="106">
        <f>COUNTIFS($B$57:$B$270,$B43,BP$57:BP$270,"&gt;0")</f>
        <v>12</v>
      </c>
      <c r="BQ44" s="106">
        <f>COUNTIFS($B$57:$B$270,$B43,BQ$57:BQ$270,"&gt;0")</f>
        <v>12</v>
      </c>
      <c r="BR44" s="106">
        <f>COUNTIFS($B$57:$B$270,$B43,BR$57:BR$270,"&gt;0")</f>
        <v>12</v>
      </c>
      <c r="BS44" s="101">
        <f>COUNTIF($B$57:$B$270,$B43)</f>
        <v>12</v>
      </c>
      <c r="BT44" s="106">
        <f>COUNTIFS($B$57:$B$270,$B43,BT$57:BT$270,"&gt;0")</f>
        <v>12</v>
      </c>
      <c r="BU44" s="106">
        <f>COUNTIFS($B$57:$B$270,$B43,BU$57:BU$270,"&gt;0")</f>
        <v>12</v>
      </c>
      <c r="BV44" s="106">
        <f>COUNTIFS($B$57:$B$270,$B43,BV$57:BV$270,"&gt;0")</f>
        <v>12</v>
      </c>
      <c r="BW44" s="820"/>
      <c r="BX44" s="820"/>
      <c r="BY44" s="820"/>
      <c r="BZ44" s="405">
        <f t="shared" ref="BZ44:CI44" si="452">$CJ44</f>
        <v>12</v>
      </c>
      <c r="CA44" s="405">
        <f t="shared" si="452"/>
        <v>12</v>
      </c>
      <c r="CB44" s="405">
        <f t="shared" si="452"/>
        <v>12</v>
      </c>
      <c r="CC44" s="405">
        <f t="shared" si="452"/>
        <v>12</v>
      </c>
      <c r="CD44" s="405">
        <f t="shared" si="452"/>
        <v>12</v>
      </c>
      <c r="CE44" s="405">
        <f t="shared" si="452"/>
        <v>12</v>
      </c>
      <c r="CF44" s="405">
        <f t="shared" si="452"/>
        <v>12</v>
      </c>
      <c r="CG44" s="405">
        <f t="shared" si="452"/>
        <v>12</v>
      </c>
      <c r="CH44" s="405">
        <f t="shared" si="452"/>
        <v>12</v>
      </c>
      <c r="CI44" s="405">
        <f t="shared" si="452"/>
        <v>12</v>
      </c>
      <c r="CJ44" s="106">
        <f>COUNTIFS($B$57:$B$270,$B43,CJ$57:CJ$270,"&gt;0")</f>
        <v>12</v>
      </c>
      <c r="CK44" s="563">
        <f>CJ44-EY44</f>
        <v>0</v>
      </c>
      <c r="CL44" s="416"/>
      <c r="CM44" s="416"/>
      <c r="CN44" s="416"/>
      <c r="CO44" s="416"/>
      <c r="CP44" s="416"/>
      <c r="CQ44" s="416"/>
      <c r="CR44" s="416"/>
      <c r="CS44" s="416"/>
      <c r="CT44" s="416"/>
      <c r="CU44" s="416"/>
      <c r="CV44" s="405">
        <f t="shared" ref="CV44:DB44" si="453">$CJ44</f>
        <v>12</v>
      </c>
      <c r="CW44" s="405">
        <f t="shared" si="453"/>
        <v>12</v>
      </c>
      <c r="CX44" s="405">
        <f t="shared" si="453"/>
        <v>12</v>
      </c>
      <c r="CY44" s="405">
        <f t="shared" si="453"/>
        <v>12</v>
      </c>
      <c r="CZ44" s="405">
        <f t="shared" si="453"/>
        <v>12</v>
      </c>
      <c r="DA44" s="405">
        <f t="shared" si="453"/>
        <v>12</v>
      </c>
      <c r="DB44" s="405">
        <f t="shared" si="453"/>
        <v>12</v>
      </c>
      <c r="DC44" s="406"/>
      <c r="DD44" s="406"/>
      <c r="DE44" s="406"/>
      <c r="DF44" s="406"/>
      <c r="DG44" s="406"/>
      <c r="DH44" s="406"/>
      <c r="DI44" s="406"/>
      <c r="DK44" s="822"/>
      <c r="DL44" s="822"/>
      <c r="DM44" s="822"/>
      <c r="DN44" s="822"/>
      <c r="DO44" s="822"/>
      <c r="DP44" s="822"/>
      <c r="DQ44" s="822"/>
      <c r="DR44" s="822"/>
      <c r="DS44" s="822"/>
      <c r="DT44" s="822"/>
      <c r="DU44" s="822"/>
      <c r="DV44" s="822"/>
      <c r="DW44" s="822"/>
      <c r="DX44" s="822"/>
      <c r="DY44" s="822"/>
      <c r="DZ44" s="822"/>
      <c r="EA44" s="822"/>
      <c r="EB44" s="822"/>
      <c r="EC44" s="824"/>
      <c r="ED44" s="106">
        <f>COUNTIFS($B$57:$B$270,$B43,ED$57:ED$270,"&gt;0")</f>
        <v>12</v>
      </c>
      <c r="EE44" s="101">
        <f>COUNTIF($B$57:$B$270,$B43)</f>
        <v>12</v>
      </c>
      <c r="EF44" s="106">
        <f>COUNTIFS($B$57:$B$270,$B43,EF$57:EF$270,"&gt;0")</f>
        <v>3</v>
      </c>
      <c r="EG44" s="106">
        <f>COUNTIFS($B$57:$B$270,$B43,EG$57:EG$270,"&gt;0")</f>
        <v>3</v>
      </c>
      <c r="EH44" s="101">
        <f>COUNTIF($B$57:$B$270,$B43)</f>
        <v>12</v>
      </c>
      <c r="EI44" s="101">
        <f>COUNTIFS($B$57:$B$270,$B43,EI$57:EI$270,"&gt;0")</f>
        <v>9</v>
      </c>
      <c r="EJ44" s="823"/>
      <c r="EK44" s="101">
        <f>COUNTIF($B$57:$B$270,$B43)</f>
        <v>12</v>
      </c>
      <c r="EL44" s="106">
        <f>COUNTIFS($B$57:$B$270,$B43,EL$57:EL$270,"&gt;0")</f>
        <v>7</v>
      </c>
      <c r="EM44" s="101">
        <f>COUNTIF($B$57:$B$270,$B43)</f>
        <v>12</v>
      </c>
      <c r="EN44" s="101">
        <f>COUNTIFS($B$57:$B$270,$B43,EN$57:EN$270,"&gt;0")</f>
        <v>6</v>
      </c>
      <c r="EO44" s="101">
        <f>COUNTIF($B$57:$B$270,$B43)</f>
        <v>12</v>
      </c>
      <c r="EP44" s="106">
        <f>COUNTIFS($B$57:$B$270,$B43,EP$57:EP$270,"&gt;0")</f>
        <v>5</v>
      </c>
      <c r="EQ44" s="101">
        <f>COUNTIF($B$57:$B$270,$B43)</f>
        <v>12</v>
      </c>
      <c r="ER44" s="101">
        <f>COUNTIF($B$57:$B$270,$B43)</f>
        <v>12</v>
      </c>
      <c r="ES44" s="822"/>
      <c r="ET44" s="825"/>
      <c r="EU44" s="101">
        <f>COUNTIFS($B$57:$B$270,$B43,EU$57:EU$270,2)</f>
        <v>9</v>
      </c>
      <c r="EV44" s="106">
        <f>COUNTIFS($B$57:$B$270,$B43,EV$57:EV$270,"&gt;0")</f>
        <v>12</v>
      </c>
      <c r="EW44" s="101">
        <f>COUNTIFS($B$57:$B$270,$B43,EW$57:EW$270,"&gt;0")</f>
        <v>12</v>
      </c>
      <c r="EX44" s="101">
        <f>COUNTIFS($B$57:$B$270,$B43,EX$57:EX$270,1)</f>
        <v>7</v>
      </c>
      <c r="EY44" s="101">
        <f>COUNTIFS($B$57:$B$270,$B43,EY$57:EY$270,"&gt;0")</f>
        <v>12</v>
      </c>
      <c r="EZ44" s="6">
        <f>$EY44</f>
        <v>12</v>
      </c>
      <c r="FA44" s="6"/>
      <c r="FB44" s="6">
        <f>$EY44</f>
        <v>12</v>
      </c>
      <c r="FC44" s="6">
        <f>$EY44</f>
        <v>12</v>
      </c>
      <c r="FD44" s="102"/>
      <c r="FE44" s="102"/>
      <c r="FF44" s="102"/>
      <c r="FG44" s="102"/>
      <c r="FH44" s="416"/>
      <c r="FI44" s="416"/>
      <c r="FJ44" s="416"/>
      <c r="FK44" s="416"/>
      <c r="FL44" s="416"/>
      <c r="FM44" s="416"/>
      <c r="FN44" s="416"/>
      <c r="FO44" s="416"/>
      <c r="FP44" s="416"/>
      <c r="FQ44" s="6">
        <f t="shared" ref="FQ44:FW44" si="454">$EY44</f>
        <v>12</v>
      </c>
      <c r="FR44" s="77">
        <f t="shared" si="454"/>
        <v>12</v>
      </c>
      <c r="FS44" s="6">
        <f t="shared" si="454"/>
        <v>12</v>
      </c>
      <c r="FT44" s="6">
        <f t="shared" si="454"/>
        <v>12</v>
      </c>
      <c r="FU44" s="6">
        <f t="shared" si="454"/>
        <v>12</v>
      </c>
      <c r="FV44" s="6">
        <f t="shared" si="454"/>
        <v>12</v>
      </c>
      <c r="FW44" s="6">
        <f t="shared" si="454"/>
        <v>12</v>
      </c>
      <c r="FX44" s="409"/>
      <c r="FY44" s="410"/>
      <c r="FZ44" s="416"/>
      <c r="GA44" s="416"/>
      <c r="GB44" s="416"/>
      <c r="GC44" s="416"/>
      <c r="GD44" s="416"/>
      <c r="GE44" s="416"/>
      <c r="GF44" s="416"/>
      <c r="GG44" s="416"/>
      <c r="GH44" s="416"/>
      <c r="GI44" s="419"/>
      <c r="GJ44" s="101">
        <f>COUNTIF($B$57:$B$270,$B43)</f>
        <v>12</v>
      </c>
      <c r="GK44" s="101">
        <f>COUNTIFS($B$57:$B$270,$B43,GK$57:GK$270,"&gt;0")</f>
        <v>10</v>
      </c>
      <c r="GL44" s="101">
        <f>COUNTIF($B$57:$B$270,$B43)</f>
        <v>12</v>
      </c>
      <c r="GM44" s="101">
        <f>COUNTIFS($B$57:$B$270,$B43,GM$57:GM$270,"&gt;0")</f>
        <v>7</v>
      </c>
      <c r="GN44" s="7"/>
      <c r="GO44" s="7"/>
      <c r="GP44" s="7"/>
      <c r="GQ44" s="7"/>
      <c r="GR44" s="7"/>
      <c r="GS44" s="7"/>
      <c r="GT44" s="7"/>
      <c r="GU44" s="7"/>
      <c r="GV44" s="7"/>
      <c r="GY44" s="104"/>
      <c r="GZ44" s="20"/>
      <c r="HA44" s="20"/>
      <c r="HB44" s="20"/>
      <c r="HC44" s="105"/>
      <c r="HD44" s="20"/>
      <c r="HE44" s="20"/>
      <c r="HF44" s="105"/>
      <c r="HG44" s="9"/>
      <c r="HH44" s="9"/>
      <c r="HI44" s="9"/>
      <c r="HJ44" s="9"/>
      <c r="HK44" s="9"/>
      <c r="HL44" s="9"/>
      <c r="HM44" s="9"/>
      <c r="HN44" s="9"/>
      <c r="HO44" s="9"/>
      <c r="HR44" s="107"/>
      <c r="HS44" s="105"/>
      <c r="HT44" s="105"/>
      <c r="HU44" s="105"/>
      <c r="HV44" s="105"/>
      <c r="HW44" s="105"/>
      <c r="HX44" s="105"/>
      <c r="HY44" s="105"/>
      <c r="HZ44" s="51"/>
      <c r="IA44" s="414"/>
      <c r="IB44" s="414"/>
      <c r="IC44" s="413">
        <f>COUNTIF($B$57:$B$270,$B43)</f>
        <v>12</v>
      </c>
      <c r="IE44" s="413">
        <f>COUNTIF($B$57:$B$270,$B43)</f>
        <v>12</v>
      </c>
      <c r="IG44" s="820"/>
      <c r="IH44" s="820"/>
      <c r="II44" s="106">
        <f>COUNTIFS($B$57:$B$270,$B43,II$57:II$270,"&gt;0")</f>
        <v>9</v>
      </c>
      <c r="IJ44" s="106">
        <f>COUNTIFS($B$57:$B$270,$B43,IJ$57:IJ$270,"&gt;0")</f>
        <v>3</v>
      </c>
      <c r="IK44" s="413">
        <f>COUNTIF($B$57:$B$270,$B43)</f>
        <v>12</v>
      </c>
      <c r="IL44" s="413">
        <f>COUNTIF($B$57:$B$270,$B43)</f>
        <v>12</v>
      </c>
      <c r="IM44" s="413">
        <f>COUNTIF($B$57:$B$270,$B43)</f>
        <v>12</v>
      </c>
      <c r="IN44" s="413">
        <f>COUNTIF($B$57:$B$270,$B43)</f>
        <v>12</v>
      </c>
      <c r="IO44" s="853"/>
      <c r="IP44" s="851"/>
      <c r="IQ44" s="854"/>
      <c r="IR44" s="414"/>
      <c r="IS44" s="414"/>
      <c r="IT44" s="414"/>
      <c r="IU44" s="414"/>
      <c r="IV44" s="414"/>
      <c r="IW44" s="414"/>
      <c r="IX44" s="416"/>
      <c r="IY44" s="416"/>
      <c r="IZ44" s="416"/>
      <c r="JA44" s="416"/>
      <c r="JB44" s="416"/>
      <c r="JC44" s="416"/>
      <c r="JD44" s="414"/>
      <c r="JE44" s="414"/>
      <c r="JF44" s="414"/>
      <c r="JG44" s="414"/>
      <c r="JH44" s="413">
        <f>COUNTIF($B$57:$B$270,$B43)</f>
        <v>12</v>
      </c>
      <c r="JI44" s="413">
        <f>COUNTIF($B$57:$B$270,$B43)</f>
        <v>12</v>
      </c>
      <c r="JJ44" s="414">
        <f t="shared" ref="JJ44:JQ44" si="455">COUNTIFS($B$57:$B$270,$B43,JJ$57:JJ$270,"&gt;0")</f>
        <v>0</v>
      </c>
      <c r="JK44" s="414">
        <f t="shared" si="455"/>
        <v>12</v>
      </c>
      <c r="JL44" s="414">
        <f t="shared" si="455"/>
        <v>12</v>
      </c>
      <c r="JM44" s="414">
        <f t="shared" si="455"/>
        <v>1</v>
      </c>
      <c r="JN44" s="414">
        <f t="shared" si="455"/>
        <v>12</v>
      </c>
      <c r="JO44" s="414">
        <f t="shared" si="455"/>
        <v>12</v>
      </c>
      <c r="JP44" s="414">
        <f t="shared" si="455"/>
        <v>12</v>
      </c>
      <c r="JQ44" s="414">
        <f t="shared" si="455"/>
        <v>12</v>
      </c>
      <c r="JR44" s="414"/>
      <c r="JS44" s="414"/>
      <c r="JT44" s="414"/>
      <c r="JU44" s="414"/>
      <c r="JV44" s="414"/>
      <c r="JW44" s="414"/>
      <c r="JX44" s="414"/>
      <c r="JY44" s="105"/>
      <c r="JZ44" s="414"/>
      <c r="KA44" s="414"/>
      <c r="KB44" s="414"/>
      <c r="KC44" s="414"/>
      <c r="KD44" s="414"/>
      <c r="KE44" s="414"/>
      <c r="KF44" s="414"/>
      <c r="KG44" s="414"/>
      <c r="KH44" s="414"/>
      <c r="KI44" s="105"/>
      <c r="KJ44" s="61"/>
      <c r="KK44" s="61"/>
      <c r="KL44" s="61"/>
      <c r="KM44" s="61"/>
      <c r="KN44" s="61"/>
      <c r="KO44" s="61"/>
      <c r="KP44" s="61"/>
      <c r="KQ44" s="61"/>
      <c r="KR44" s="61"/>
      <c r="KS44" s="61"/>
      <c r="KT44" s="61"/>
      <c r="KU44" s="61"/>
      <c r="KV44" s="61"/>
      <c r="KW44" s="61"/>
      <c r="KX44" s="108"/>
      <c r="KY44" s="421"/>
      <c r="KZ44" s="421"/>
      <c r="LA44" s="421"/>
      <c r="LB44" s="421"/>
      <c r="LQ44" s="421"/>
      <c r="LR44" s="421"/>
      <c r="LS44" s="421"/>
      <c r="LT44" s="282"/>
      <c r="LU44" s="282"/>
      <c r="LV44" s="282"/>
      <c r="LW44" s="282"/>
      <c r="LX44" s="282"/>
      <c r="LY44" s="282"/>
      <c r="LZ44" s="282"/>
      <c r="MA44" s="282"/>
      <c r="MB44" s="282"/>
      <c r="MC44" s="282"/>
      <c r="MD44" s="282"/>
      <c r="ME44" s="282"/>
      <c r="MF44" s="282"/>
      <c r="MG44" s="282"/>
      <c r="MH44" s="282"/>
      <c r="MI44" s="282"/>
      <c r="MJ44" s="282"/>
      <c r="MK44" s="282"/>
      <c r="ML44" s="282"/>
      <c r="MM44" s="1232"/>
      <c r="MN44" s="1232"/>
      <c r="MO44" s="1232"/>
      <c r="MP44" s="1232"/>
      <c r="MS44" s="421"/>
      <c r="MT44" s="421"/>
      <c r="MU44" s="421"/>
      <c r="MV44" s="421"/>
      <c r="MW44" s="421"/>
      <c r="MX44" s="421"/>
      <c r="MY44" s="421"/>
      <c r="MZ44" s="421"/>
      <c r="NA44" s="421"/>
      <c r="NB44" s="421"/>
      <c r="NC44" s="421"/>
      <c r="ND44" s="421"/>
      <c r="NE44" s="421"/>
      <c r="NF44" s="421"/>
      <c r="NG44" s="421"/>
      <c r="NH44" s="421"/>
      <c r="NI44" s="421"/>
      <c r="NJ44" s="421"/>
      <c r="NK44" s="421"/>
      <c r="NL44" s="421"/>
      <c r="OQ44" s="282"/>
      <c r="OR44" s="282"/>
      <c r="OS44" s="282"/>
      <c r="OT44" s="282"/>
      <c r="OU44" s="282"/>
      <c r="OV44" s="282"/>
      <c r="OW44" s="282"/>
      <c r="OX44" s="282"/>
      <c r="OY44" s="282"/>
      <c r="OZ44" s="282"/>
      <c r="PA44" s="282"/>
      <c r="PB44" s="282"/>
      <c r="PC44" s="282"/>
      <c r="PD44" s="282"/>
      <c r="PE44" s="282"/>
      <c r="PF44" s="282"/>
      <c r="PG44" s="282"/>
      <c r="PH44" s="282"/>
      <c r="PI44" s="282"/>
      <c r="PJ44" s="282"/>
      <c r="PK44" s="282"/>
      <c r="PL44" s="282"/>
      <c r="PM44" s="282"/>
    </row>
    <row r="45" spans="1:429" ht="15.6" outlineLevel="1">
      <c r="A45" s="2057"/>
      <c r="B45" s="897"/>
      <c r="C45" s="898" t="s">
        <v>383</v>
      </c>
      <c r="D45" s="897"/>
      <c r="E45" s="1531"/>
      <c r="F45" s="899">
        <f>ROUND(F43/F44,2)</f>
        <v>1</v>
      </c>
      <c r="G45" s="899">
        <f>ROUND(G43/G44,2)</f>
        <v>0</v>
      </c>
      <c r="H45" s="900">
        <f>ROUND(H43/H44,-1)</f>
        <v>570</v>
      </c>
      <c r="I45" s="900">
        <f>ROUND(I43/I44,-1)</f>
        <v>200</v>
      </c>
      <c r="J45" s="900">
        <f>ROUND(J43/J44,-1)</f>
        <v>770</v>
      </c>
      <c r="K45" s="916">
        <f>ROUND(K43/K44,-1)</f>
        <v>690</v>
      </c>
      <c r="L45" s="1083"/>
      <c r="M45" s="1084"/>
      <c r="N45" s="1085"/>
      <c r="O45" s="1084"/>
      <c r="P45" s="1084"/>
      <c r="Q45" s="901">
        <f t="shared" ref="Q45:X45" si="456">ROUND(Q43/Q44,-2)</f>
        <v>9600</v>
      </c>
      <c r="R45" s="901">
        <f t="shared" si="456"/>
        <v>75100</v>
      </c>
      <c r="S45" s="901">
        <f t="shared" si="456"/>
        <v>84700</v>
      </c>
      <c r="T45" s="1069"/>
      <c r="U45" s="1069"/>
      <c r="V45" s="1069"/>
      <c r="W45" s="901">
        <f t="shared" si="456"/>
        <v>8500</v>
      </c>
      <c r="X45" s="901">
        <f t="shared" si="456"/>
        <v>7100</v>
      </c>
      <c r="Y45" s="1069"/>
      <c r="Z45" s="1069"/>
      <c r="AA45" s="901">
        <f>ROUND(AA43/AA44,-1)</f>
        <v>1450</v>
      </c>
      <c r="AB45" s="901">
        <f>ROUND(AB43/AB44,2)</f>
        <v>0.22</v>
      </c>
      <c r="AC45" s="1053"/>
      <c r="AD45" s="1068"/>
      <c r="AE45" s="899">
        <f>ROUND(AE43/AE44,2)</f>
        <v>0.75</v>
      </c>
      <c r="AF45" s="900">
        <f>ROUND(AF43/AF44,-2)</f>
        <v>1500</v>
      </c>
      <c r="AG45" s="1116"/>
      <c r="AH45" s="899">
        <f>ROUND(AH43/AH44,2)</f>
        <v>0.17</v>
      </c>
      <c r="AI45" s="901">
        <f>IF(AI43=0,0,ROUND(AI43/AI44,-1))</f>
        <v>1280</v>
      </c>
      <c r="AJ45" s="1069"/>
      <c r="AK45" s="899">
        <f>ROUND(AK43/AK44,2)</f>
        <v>0.5</v>
      </c>
      <c r="AL45" s="900">
        <f>IF(AL43=0,0,ROUND(AL43/AL44,-1))</f>
        <v>2030</v>
      </c>
      <c r="AM45" s="902">
        <f>X45+AF45+AI45+AL45</f>
        <v>11910</v>
      </c>
      <c r="AN45" s="1069">
        <f>Z45+AG45+AJ45</f>
        <v>0</v>
      </c>
      <c r="AO45" s="902">
        <f>YB_fb_min_amt</f>
        <v>900</v>
      </c>
      <c r="AP45" s="902">
        <f>ROUND(EP45*12,-2)</f>
        <v>1200</v>
      </c>
      <c r="AQ45" s="902">
        <f>+AM45+AO45+AP45</f>
        <v>14010</v>
      </c>
      <c r="AR45" s="903">
        <f>ROUND(Z45+AG45+AJ45,-2)</f>
        <v>0</v>
      </c>
      <c r="AS45" s="1124"/>
      <c r="AT45" s="1124"/>
      <c r="AU45" s="1124"/>
      <c r="AV45" s="1124"/>
      <c r="AW45" s="1068"/>
      <c r="AX45" s="899">
        <f>ROUND(AX43/AX44,2)</f>
        <v>0.33</v>
      </c>
      <c r="AY45" s="899">
        <f>ROUND(AY43/AY44,2)</f>
        <v>0.17</v>
      </c>
      <c r="AZ45" s="899">
        <f>ROUND(AZ43/AZ44,2)</f>
        <v>0</v>
      </c>
      <c r="BA45" s="899">
        <f>ROUND(BA43/BA44,2)</f>
        <v>0</v>
      </c>
      <c r="BB45" s="899">
        <f t="shared" ref="BB45:BC45" si="457">ROUND(BB43/BB44,2)</f>
        <v>0.08</v>
      </c>
      <c r="BC45" s="899">
        <f t="shared" si="457"/>
        <v>0</v>
      </c>
      <c r="BD45" s="899">
        <f>ROUND(BD43/BD44,2)</f>
        <v>0.08</v>
      </c>
      <c r="BE45" s="899">
        <f t="shared" ref="BE45" si="458">ROUND(BE43/BE44,2)</f>
        <v>0.5</v>
      </c>
      <c r="BF45" s="900">
        <f t="shared" ref="BF45:BK45" si="459">ROUND(BF43/BF44,-2)</f>
        <v>4198600</v>
      </c>
      <c r="BG45" s="901">
        <f t="shared" si="459"/>
        <v>546000</v>
      </c>
      <c r="BH45" s="901">
        <f t="shared" si="459"/>
        <v>2949600</v>
      </c>
      <c r="BI45" s="1266">
        <f t="shared" si="459"/>
        <v>18963600</v>
      </c>
      <c r="BJ45" s="901">
        <f t="shared" si="459"/>
        <v>1850300</v>
      </c>
      <c r="BK45" s="901">
        <f t="shared" si="459"/>
        <v>1251400</v>
      </c>
      <c r="BL45" s="904">
        <f>ROUND(BJ45/BK45,2)</f>
        <v>1.48</v>
      </c>
      <c r="BM45" s="899">
        <f>ROUND(BM43/BM44,2)</f>
        <v>0.92</v>
      </c>
      <c r="BN45" s="901">
        <f>ROUND(BN43/BN44,-2)</f>
        <v>6761300</v>
      </c>
      <c r="BO45" s="1135"/>
      <c r="BP45" s="901">
        <f t="shared" ref="BP45:BQ45" si="460">ROUND(BP43/BP44,-2)</f>
        <v>5083200</v>
      </c>
      <c r="BQ45" s="901">
        <f t="shared" si="460"/>
        <v>3976600</v>
      </c>
      <c r="BR45" s="1219">
        <f>ROUND(BR43/BR44,1)</f>
        <v>1.5</v>
      </c>
      <c r="BS45" s="899">
        <f>ROUND(BS43/BS44,2)</f>
        <v>0.75</v>
      </c>
      <c r="BT45" s="901">
        <f t="shared" ref="BT45:BU45" si="461">ROUND(BT43/BT44,-2)</f>
        <v>10210400</v>
      </c>
      <c r="BU45" s="901">
        <f t="shared" si="461"/>
        <v>15512900</v>
      </c>
      <c r="BV45" s="1219">
        <f>ROUND(BV43/BV44,1)</f>
        <v>0.8</v>
      </c>
      <c r="BW45" s="916">
        <f>IF(BN45=0,0,+IF(K45=0,0,ROUND(BN45/K45,-1)))</f>
        <v>9800</v>
      </c>
      <c r="BX45" s="916">
        <f>IF(BJ45=0,0,+IF(K45=0,0,ROUND(BJ45/K45,-1)))</f>
        <v>2680</v>
      </c>
      <c r="BY45" s="916">
        <f>IF(BH45=0,0,+IF(K45=0,0,ROUND(BH45/K45,-1)))</f>
        <v>4270</v>
      </c>
      <c r="BZ45" s="900">
        <f t="shared" ref="BZ45:CI45" si="462">ROUND(BZ43/BZ44,-3)</f>
        <v>126000</v>
      </c>
      <c r="CA45" s="900">
        <f t="shared" si="462"/>
        <v>168000</v>
      </c>
      <c r="CB45" s="900">
        <f t="shared" si="462"/>
        <v>50000</v>
      </c>
      <c r="CC45" s="900">
        <f t="shared" si="462"/>
        <v>1143000</v>
      </c>
      <c r="CD45" s="900">
        <f t="shared" si="462"/>
        <v>4252000</v>
      </c>
      <c r="CE45" s="900">
        <f t="shared" si="462"/>
        <v>184000</v>
      </c>
      <c r="CF45" s="900">
        <f t="shared" si="462"/>
        <v>0</v>
      </c>
      <c r="CG45" s="900">
        <f t="shared" si="462"/>
        <v>2210000</v>
      </c>
      <c r="CH45" s="900">
        <f t="shared" si="462"/>
        <v>1159000</v>
      </c>
      <c r="CI45" s="900">
        <f t="shared" si="462"/>
        <v>240000</v>
      </c>
      <c r="CJ45" s="905">
        <f>SUM(BZ45:CI45)</f>
        <v>9532000</v>
      </c>
      <c r="CK45" s="906">
        <f t="shared" ref="CK45:CU45" si="463">ROUND(BZ45/$CJ45,3)</f>
        <v>1.2999999999999999E-2</v>
      </c>
      <c r="CL45" s="906">
        <f t="shared" si="463"/>
        <v>1.7999999999999999E-2</v>
      </c>
      <c r="CM45" s="906">
        <f t="shared" si="463"/>
        <v>5.0000000000000001E-3</v>
      </c>
      <c r="CN45" s="906">
        <f t="shared" si="463"/>
        <v>0.12</v>
      </c>
      <c r="CO45" s="906">
        <f t="shared" si="463"/>
        <v>0.44600000000000001</v>
      </c>
      <c r="CP45" s="906">
        <f t="shared" si="463"/>
        <v>1.9E-2</v>
      </c>
      <c r="CQ45" s="906">
        <f t="shared" si="463"/>
        <v>0</v>
      </c>
      <c r="CR45" s="906">
        <f t="shared" si="463"/>
        <v>0.23200000000000001</v>
      </c>
      <c r="CS45" s="906">
        <f t="shared" si="463"/>
        <v>0.122</v>
      </c>
      <c r="CT45" s="906">
        <f>ROUND(CI45/$CJ45,3)</f>
        <v>2.5000000000000001E-2</v>
      </c>
      <c r="CU45" s="906">
        <f t="shared" si="463"/>
        <v>1</v>
      </c>
      <c r="CV45" s="900">
        <f t="shared" ref="CV45:DB45" si="464">ROUND(CV43/CV44,-3)</f>
        <v>4700000</v>
      </c>
      <c r="CW45" s="900">
        <f t="shared" si="464"/>
        <v>1426000</v>
      </c>
      <c r="CX45" s="900">
        <f t="shared" si="464"/>
        <v>34000</v>
      </c>
      <c r="CY45" s="900">
        <f t="shared" si="464"/>
        <v>2803000</v>
      </c>
      <c r="CZ45" s="900">
        <f t="shared" si="464"/>
        <v>194000</v>
      </c>
      <c r="DA45" s="900">
        <f t="shared" si="464"/>
        <v>448000</v>
      </c>
      <c r="DB45" s="900">
        <f t="shared" si="464"/>
        <v>9606000</v>
      </c>
      <c r="DC45" s="906">
        <f t="shared" ref="DC45:DI45" si="465">ROUND(CV45/$DB45,3)</f>
        <v>0.48899999999999999</v>
      </c>
      <c r="DD45" s="906">
        <f t="shared" si="465"/>
        <v>0.14799999999999999</v>
      </c>
      <c r="DE45" s="906">
        <f t="shared" si="465"/>
        <v>4.0000000000000001E-3</v>
      </c>
      <c r="DF45" s="906">
        <f t="shared" si="465"/>
        <v>0.29199999999999998</v>
      </c>
      <c r="DG45" s="906">
        <f t="shared" si="465"/>
        <v>0.02</v>
      </c>
      <c r="DH45" s="906">
        <f t="shared" si="465"/>
        <v>4.7E-2</v>
      </c>
      <c r="DI45" s="906">
        <f t="shared" si="465"/>
        <v>1</v>
      </c>
      <c r="DJ45" s="907">
        <f>CJ45-DB45</f>
        <v>-74000</v>
      </c>
      <c r="DK45" s="917">
        <f t="shared" ref="DK45:DT45" si="466">IF(BZ45=0,0,+IF($K45=0,0,ROUND(BZ45/$K45,-1)))</f>
        <v>180</v>
      </c>
      <c r="DL45" s="917">
        <f t="shared" si="466"/>
        <v>240</v>
      </c>
      <c r="DM45" s="917">
        <f t="shared" si="466"/>
        <v>70</v>
      </c>
      <c r="DN45" s="917">
        <f t="shared" si="466"/>
        <v>1660</v>
      </c>
      <c r="DO45" s="917">
        <f t="shared" si="466"/>
        <v>6160</v>
      </c>
      <c r="DP45" s="917">
        <f t="shared" si="466"/>
        <v>270</v>
      </c>
      <c r="DQ45" s="917">
        <f t="shared" si="466"/>
        <v>0</v>
      </c>
      <c r="DR45" s="917">
        <f t="shared" si="466"/>
        <v>3200</v>
      </c>
      <c r="DS45" s="917">
        <f t="shared" si="466"/>
        <v>1680</v>
      </c>
      <c r="DT45" s="917">
        <f t="shared" si="466"/>
        <v>350</v>
      </c>
      <c r="DU45" s="917">
        <f>SUM(DK45:DT45)</f>
        <v>13810</v>
      </c>
      <c r="DV45" s="917">
        <f t="shared" ref="DV45:EA45" si="467">IF(CV45=0,0,+IF($K45=0,0,ROUND(CV45/$K45,-1)))</f>
        <v>6810</v>
      </c>
      <c r="DW45" s="917">
        <f t="shared" si="467"/>
        <v>2070</v>
      </c>
      <c r="DX45" s="917">
        <f t="shared" si="467"/>
        <v>50</v>
      </c>
      <c r="DY45" s="917">
        <f t="shared" si="467"/>
        <v>4060</v>
      </c>
      <c r="DZ45" s="917">
        <f t="shared" si="467"/>
        <v>280</v>
      </c>
      <c r="EA45" s="917">
        <f t="shared" si="467"/>
        <v>650</v>
      </c>
      <c r="EB45" s="917">
        <f>SUM(DV45:EA45)</f>
        <v>13920</v>
      </c>
      <c r="EC45" s="919">
        <f>DU45-EB45</f>
        <v>-110</v>
      </c>
      <c r="ED45" s="901">
        <f>ROUND(ED43/ED44,0)</f>
        <v>80</v>
      </c>
      <c r="EE45" s="899">
        <f>ROUND(EE43/EE44,2)</f>
        <v>0.25</v>
      </c>
      <c r="EF45" s="901">
        <f>ROUND(EF43/EF44,0)</f>
        <v>31</v>
      </c>
      <c r="EG45" s="901">
        <f>ROUND(EG43/EG44,-1)</f>
        <v>339000</v>
      </c>
      <c r="EH45" s="899">
        <f>ROUND(EH43/EH44,2)</f>
        <v>0.75</v>
      </c>
      <c r="EI45" s="899">
        <f>ROUND(EI43/EI44,2)</f>
        <v>0.1</v>
      </c>
      <c r="EJ45" s="918">
        <f>IF(K45=0,0,+IF(ED45=0,0,ROUND(K45/ED45,1)))</f>
        <v>8.6</v>
      </c>
      <c r="EK45" s="899">
        <f>ROUND(EK43/EK44,2)</f>
        <v>0.57999999999999996</v>
      </c>
      <c r="EL45" s="901">
        <f>ROUND(EL43/EL44,-2)</f>
        <v>900</v>
      </c>
      <c r="EM45" s="899">
        <f>ROUND(EM43/EM44,2)</f>
        <v>0.5</v>
      </c>
      <c r="EN45" s="897">
        <f>ROUND(EN43/EN44,2)</f>
        <v>0.21</v>
      </c>
      <c r="EO45" s="899">
        <f>ROUND(EO43/EO44,2)</f>
        <v>0.42</v>
      </c>
      <c r="EP45" s="901">
        <f>ROUND(EP43/EP44,-1)</f>
        <v>100</v>
      </c>
      <c r="EQ45" s="899">
        <f>ROUND(EQ43/EQ44,2)</f>
        <v>0.17</v>
      </c>
      <c r="ER45" s="899">
        <f>ROUND(ER43/ER44,2)</f>
        <v>0.08</v>
      </c>
      <c r="ES45" s="917">
        <f>IF(FE45=0,0,+IF(K45=0,0,ROUND(FE45/K45,-2)))</f>
        <v>4900</v>
      </c>
      <c r="ET45" s="919">
        <f>IF(FY45=0,0,+IF(K45=0,0,ROUND(FY45/K45,-1)))</f>
        <v>-1330</v>
      </c>
      <c r="EU45" s="900">
        <f>COUNTIFS($B$57:$B$270,$B43,EU$57:EU$270,"&gt;2")</f>
        <v>1</v>
      </c>
      <c r="EV45" s="900">
        <f t="shared" ref="EV45:EZ45" si="468">ROUND(EV43/EV44,-2)</f>
        <v>62600</v>
      </c>
      <c r="EW45" s="900">
        <f t="shared" si="468"/>
        <v>13700</v>
      </c>
      <c r="EX45" s="900">
        <f>COUNTIFS($B$57:$B$270,$B43,EX$57:EX$270,2)</f>
        <v>0</v>
      </c>
      <c r="EY45" s="908">
        <f t="shared" si="468"/>
        <v>2210100</v>
      </c>
      <c r="EZ45" s="908">
        <f t="shared" si="468"/>
        <v>1030800</v>
      </c>
      <c r="FA45" s="909">
        <f>EY45-EZ45</f>
        <v>1179300</v>
      </c>
      <c r="FB45" s="908">
        <f>ROUND(FB43/FB44,-2)</f>
        <v>1159000</v>
      </c>
      <c r="FC45" s="908">
        <f>ROUND(FC43/FC44,-2)</f>
        <v>395400</v>
      </c>
      <c r="FD45" s="909">
        <f>FB45-FC45</f>
        <v>763600</v>
      </c>
      <c r="FE45" s="909">
        <f>EY45+FB45</f>
        <v>3369100</v>
      </c>
      <c r="FF45" s="909">
        <f>EZ45+FC45</f>
        <v>1426200</v>
      </c>
      <c r="FG45" s="909">
        <f>FE45-FF45</f>
        <v>1942900</v>
      </c>
      <c r="FH45" s="906">
        <f>ROUND(EY45/$EY45,3)</f>
        <v>1</v>
      </c>
      <c r="FI45" s="906">
        <f>ROUND(EZ45/$EY45,3)</f>
        <v>0.46600000000000003</v>
      </c>
      <c r="FJ45" s="906">
        <f>ROUND(FA45/$EY45,3)</f>
        <v>0.53400000000000003</v>
      </c>
      <c r="FK45" s="906">
        <f>ROUND(FB45/$FB45,3)</f>
        <v>1</v>
      </c>
      <c r="FL45" s="906">
        <f>ROUND(FC45/$FB45,3)</f>
        <v>0.34100000000000003</v>
      </c>
      <c r="FM45" s="906">
        <f>ROUND(FD45/$FB45,3)</f>
        <v>0.65900000000000003</v>
      </c>
      <c r="FN45" s="906">
        <f>ROUND(FE45/$FE45,3)</f>
        <v>1</v>
      </c>
      <c r="FO45" s="906">
        <f>ROUND(FF45/$FE45,3)</f>
        <v>0.42299999999999999</v>
      </c>
      <c r="FP45" s="906">
        <f>ROUND(FG45/$FE45,3)</f>
        <v>0.57699999999999996</v>
      </c>
      <c r="FQ45" s="908">
        <f t="shared" ref="FQ45:FW45" si="469">ROUND(FQ43/FQ44,-2)</f>
        <v>2300600</v>
      </c>
      <c r="FR45" s="893">
        <f t="shared" si="469"/>
        <v>-315200</v>
      </c>
      <c r="FS45" s="908">
        <f t="shared" si="469"/>
        <v>407800</v>
      </c>
      <c r="FT45" s="908">
        <f t="shared" si="469"/>
        <v>47300</v>
      </c>
      <c r="FU45" s="908">
        <f t="shared" si="469"/>
        <v>32300</v>
      </c>
      <c r="FV45" s="908">
        <f t="shared" si="469"/>
        <v>40900</v>
      </c>
      <c r="FW45" s="908">
        <f t="shared" si="469"/>
        <v>344100</v>
      </c>
      <c r="FX45" s="909">
        <f>SUM(FQ45:FW45)</f>
        <v>2857800</v>
      </c>
      <c r="FY45" s="910">
        <f>ROUND(FG45-FX45,-2)</f>
        <v>-914900</v>
      </c>
      <c r="FZ45" s="906">
        <f t="shared" ref="FZ45:GH45" si="470">ROUND(FQ45/$FE45,3)</f>
        <v>0.68300000000000005</v>
      </c>
      <c r="GA45" s="906">
        <f t="shared" si="470"/>
        <v>-9.4E-2</v>
      </c>
      <c r="GB45" s="906">
        <f t="shared" si="470"/>
        <v>0.121</v>
      </c>
      <c r="GC45" s="906">
        <f t="shared" si="470"/>
        <v>1.4E-2</v>
      </c>
      <c r="GD45" s="906">
        <f t="shared" si="470"/>
        <v>0.01</v>
      </c>
      <c r="GE45" s="906">
        <f t="shared" si="470"/>
        <v>1.2E-2</v>
      </c>
      <c r="GF45" s="906">
        <f t="shared" si="470"/>
        <v>0.10199999999999999</v>
      </c>
      <c r="GG45" s="906">
        <f t="shared" si="470"/>
        <v>0.84799999999999998</v>
      </c>
      <c r="GH45" s="906">
        <f t="shared" si="470"/>
        <v>-0.27200000000000002</v>
      </c>
      <c r="GI45" s="911">
        <f>ROUND(EY45/FB45,2)</f>
        <v>1.91</v>
      </c>
      <c r="GJ45" s="899">
        <f>ROUND(GJ43/GJ44,2)</f>
        <v>0.83</v>
      </c>
      <c r="GK45" s="895">
        <f>ROUND(GK43/GK44,2)</f>
        <v>7.0000000000000007E-2</v>
      </c>
      <c r="GL45" s="899">
        <f>ROUND(GL43/GL44,2)</f>
        <v>0.57999999999999996</v>
      </c>
      <c r="GM45" s="895">
        <f>ROUND(GM43/GM44,2)</f>
        <v>0.08</v>
      </c>
      <c r="GN45" s="900"/>
      <c r="GO45" s="900"/>
      <c r="GP45" s="900"/>
      <c r="GQ45" s="900"/>
      <c r="GR45" s="900"/>
      <c r="GS45" s="900"/>
      <c r="GT45" s="900"/>
      <c r="GU45" s="900"/>
      <c r="GV45" s="900"/>
      <c r="GW45" s="912"/>
      <c r="GX45" s="913"/>
      <c r="GY45" s="914"/>
      <c r="GZ45" s="915"/>
      <c r="HA45" s="915"/>
      <c r="HB45" s="915"/>
      <c r="HC45" s="915"/>
      <c r="HD45" s="915"/>
      <c r="HE45" s="915"/>
      <c r="HF45" s="915"/>
      <c r="HG45" s="900"/>
      <c r="HH45" s="900"/>
      <c r="HI45" s="900"/>
      <c r="HJ45" s="900"/>
      <c r="HK45" s="900"/>
      <c r="HL45" s="900"/>
      <c r="HM45" s="900"/>
      <c r="HN45" s="900"/>
      <c r="HO45" s="900"/>
      <c r="HP45" s="900"/>
      <c r="HQ45" s="913"/>
      <c r="HR45" s="914">
        <f>IF(HP45=0,0,ROUND(HP45/HH45,-1))</f>
        <v>0</v>
      </c>
      <c r="HS45" s="915"/>
      <c r="HT45" s="915"/>
      <c r="HU45" s="915"/>
      <c r="HV45" s="915"/>
      <c r="HW45" s="915"/>
      <c r="HX45" s="915"/>
      <c r="HY45" s="915"/>
      <c r="HZ45" s="51"/>
      <c r="IA45" s="906">
        <f>ROUND(Q45/S45,2)</f>
        <v>0.11</v>
      </c>
      <c r="IB45" s="906"/>
      <c r="IC45" s="892">
        <f>ROUND(IC43/IC44,2)</f>
        <v>1</v>
      </c>
      <c r="ID45" s="892"/>
      <c r="IE45" s="892">
        <f>ROUND(IE43/IE44,2)</f>
        <v>0</v>
      </c>
      <c r="IF45" s="892"/>
      <c r="IG45" s="894">
        <f>ROUND(IF(BI45=0,0,+IF(K45=0,0,BI45/K45)),-1)</f>
        <v>27480</v>
      </c>
      <c r="IH45" s="894">
        <f>ROUND(IF(BU45=0,0,+IF(K45=0,0,BU45/K45)),-1)</f>
        <v>22480</v>
      </c>
      <c r="II45" s="1219">
        <f>ROUND(II43/II44,1)</f>
        <v>1.7</v>
      </c>
      <c r="IJ45" s="1219">
        <f>ROUND(IJ43/IJ44,1)</f>
        <v>0.8</v>
      </c>
      <c r="IK45" s="892">
        <f>ROUND(IK43/IK44,2)</f>
        <v>0.17</v>
      </c>
      <c r="IL45" s="892">
        <f>ROUND(IL43/IL44,2)</f>
        <v>0.17</v>
      </c>
      <c r="IM45" s="892">
        <f>ROUND(IM43/IM44,2)</f>
        <v>0.42</v>
      </c>
      <c r="IN45" s="892">
        <f>ROUND(IN43/IN44,2)</f>
        <v>0</v>
      </c>
      <c r="IO45" s="920">
        <f>ROUND(FY45/$J45,-1)</f>
        <v>-1190</v>
      </c>
      <c r="IP45" s="1188">
        <f>IF(K45=0,0,ROUND(FY45/K45,-1))</f>
        <v>-1330</v>
      </c>
      <c r="IQ45" s="921">
        <f>IF(FY45=0,0,+IF(CD45=0,0,FY45/CD45))</f>
        <v>-0.21516933207902164</v>
      </c>
      <c r="IR45" s="922">
        <f>EY45</f>
        <v>2210100</v>
      </c>
      <c r="IS45" s="922">
        <f>FB45</f>
        <v>1159000</v>
      </c>
      <c r="IT45" s="922">
        <f>FQ45</f>
        <v>2300600</v>
      </c>
      <c r="IU45" s="922">
        <f>FS45+FT45</f>
        <v>455100</v>
      </c>
      <c r="IV45" s="922">
        <f>FF45</f>
        <v>1426200</v>
      </c>
      <c r="IW45" s="922">
        <f>SUM(FU45:FW45)+FR45</f>
        <v>102100</v>
      </c>
      <c r="IX45" s="906">
        <f t="shared" ref="IX45:JC45" si="471">IF(IR45=0,0,ROUND(IR45/(SUM($IR45:$IS45)),3))</f>
        <v>0.65600000000000003</v>
      </c>
      <c r="IY45" s="906">
        <f t="shared" si="471"/>
        <v>0.34399999999999997</v>
      </c>
      <c r="IZ45" s="906">
        <f t="shared" si="471"/>
        <v>0.68300000000000005</v>
      </c>
      <c r="JA45" s="906">
        <f t="shared" si="471"/>
        <v>0.13500000000000001</v>
      </c>
      <c r="JB45" s="906">
        <f t="shared" si="471"/>
        <v>0.42299999999999999</v>
      </c>
      <c r="JC45" s="906">
        <f t="shared" si="471"/>
        <v>0.03</v>
      </c>
      <c r="JD45" s="923">
        <f>CD45+CE45+CF45</f>
        <v>4436000</v>
      </c>
      <c r="JE45" s="923">
        <f>BZ45+CA45+CB45+CC45</f>
        <v>1487000</v>
      </c>
      <c r="JF45" s="923">
        <f>JD45+JE45+CG45+CH45+CI45-CJ45</f>
        <v>0</v>
      </c>
      <c r="JG45" s="923">
        <f>CZ45+DA45</f>
        <v>642000</v>
      </c>
      <c r="JH45" s="892">
        <f t="shared" ref="JH45:JQ45" si="472">ROUND(JH43/JH44,2)</f>
        <v>0.42</v>
      </c>
      <c r="JI45" s="892">
        <f t="shared" si="472"/>
        <v>0</v>
      </c>
      <c r="JJ45" s="924" t="e">
        <f t="shared" si="472"/>
        <v>#DIV/0!</v>
      </c>
      <c r="JK45" s="924">
        <f t="shared" si="472"/>
        <v>0.5</v>
      </c>
      <c r="JL45" s="924">
        <f t="shared" si="472"/>
        <v>0.15</v>
      </c>
      <c r="JM45" s="924">
        <f t="shared" si="472"/>
        <v>0.02</v>
      </c>
      <c r="JN45" s="924">
        <f t="shared" si="472"/>
        <v>0.28999999999999998</v>
      </c>
      <c r="JO45" s="924">
        <f t="shared" si="472"/>
        <v>0.02</v>
      </c>
      <c r="JP45" s="924">
        <f t="shared" si="472"/>
        <v>0.05</v>
      </c>
      <c r="JQ45" s="924">
        <f t="shared" si="472"/>
        <v>1.01</v>
      </c>
      <c r="JR45" s="905"/>
      <c r="JS45" s="905"/>
      <c r="JT45" s="905"/>
      <c r="JU45" s="905"/>
      <c r="JV45" s="905"/>
      <c r="JW45" s="905"/>
      <c r="JX45" s="905"/>
      <c r="JY45" s="906"/>
      <c r="JZ45" s="905"/>
      <c r="KA45" s="905"/>
      <c r="KB45" s="905"/>
      <c r="KC45" s="905"/>
      <c r="KD45" s="905"/>
      <c r="KE45" s="905"/>
      <c r="KF45" s="905"/>
      <c r="KG45" s="905"/>
      <c r="KH45" s="905"/>
      <c r="KI45" s="906"/>
      <c r="KJ45" s="894"/>
      <c r="KK45" s="894"/>
      <c r="KL45" s="894"/>
      <c r="KM45" s="894"/>
      <c r="KN45" s="894"/>
      <c r="KO45" s="894"/>
      <c r="KP45" s="894"/>
      <c r="KQ45" s="894"/>
      <c r="KR45" s="894"/>
      <c r="KS45" s="894"/>
      <c r="KT45" s="894"/>
      <c r="KU45" s="894"/>
      <c r="KV45" s="894"/>
      <c r="KW45" s="927"/>
      <c r="KX45" s="108"/>
      <c r="KY45" s="421"/>
      <c r="KZ45" s="421"/>
      <c r="LA45" s="421"/>
      <c r="LB45" s="421"/>
      <c r="LQ45" s="421"/>
      <c r="LR45" s="421"/>
      <c r="LS45" s="421"/>
      <c r="LT45" s="282"/>
      <c r="LU45" s="282"/>
      <c r="LV45" s="282"/>
      <c r="LW45" s="282"/>
      <c r="LX45" s="282"/>
      <c r="LY45" s="282"/>
      <c r="LZ45" s="282"/>
      <c r="MA45" s="282"/>
      <c r="MB45" s="282"/>
      <c r="MC45" s="282"/>
      <c r="MD45" s="282"/>
      <c r="ME45" s="282"/>
      <c r="MF45" s="282"/>
      <c r="MG45" s="282"/>
      <c r="MH45" s="282"/>
      <c r="MI45" s="282"/>
      <c r="MJ45" s="282"/>
      <c r="MK45" s="282"/>
      <c r="ML45" s="282"/>
      <c r="MM45" s="1232"/>
      <c r="MN45" s="1232"/>
      <c r="MO45" s="1232"/>
      <c r="MP45" s="1232"/>
      <c r="MS45" s="421"/>
      <c r="MT45" s="421"/>
      <c r="MU45" s="421"/>
      <c r="MV45" s="421"/>
      <c r="MW45" s="421"/>
      <c r="MX45" s="421"/>
      <c r="MY45" s="421"/>
      <c r="MZ45" s="421"/>
      <c r="NA45" s="421"/>
      <c r="NB45" s="421"/>
      <c r="NC45" s="421"/>
      <c r="ND45" s="421"/>
      <c r="NE45" s="421"/>
      <c r="NF45" s="421"/>
      <c r="NG45" s="421"/>
      <c r="NH45" s="421"/>
      <c r="NI45" s="421"/>
      <c r="NJ45" s="421"/>
      <c r="NK45" s="421"/>
      <c r="NL45" s="421"/>
      <c r="OQ45" s="282"/>
      <c r="OR45" s="282"/>
      <c r="OS45" s="282"/>
      <c r="OT45" s="282"/>
      <c r="OU45" s="282"/>
      <c r="OV45" s="282"/>
      <c r="OW45" s="282"/>
      <c r="OX45" s="282"/>
      <c r="OY45" s="282"/>
      <c r="OZ45" s="282"/>
      <c r="PA45" s="282"/>
      <c r="PB45" s="282"/>
      <c r="PC45" s="282"/>
      <c r="PD45" s="282"/>
      <c r="PE45" s="282"/>
      <c r="PF45" s="282"/>
      <c r="PG45" s="282"/>
      <c r="PH45" s="282"/>
      <c r="PI45" s="282"/>
      <c r="PJ45" s="282"/>
      <c r="PK45" s="282"/>
      <c r="PL45" s="282"/>
      <c r="PM45" s="282"/>
    </row>
    <row r="46" spans="1:429" ht="15.6" hidden="1" outlineLevel="2">
      <c r="A46" s="2057"/>
      <c r="B46" s="571" t="s">
        <v>647</v>
      </c>
      <c r="C46" s="606">
        <v>0.25</v>
      </c>
      <c r="D46" s="571"/>
      <c r="E46" s="1530"/>
      <c r="F46" s="572"/>
      <c r="G46" s="572"/>
      <c r="H46" s="104"/>
      <c r="I46" s="104"/>
      <c r="J46" s="104">
        <f t="array" ref="J46">PERCENTILE(IF((($B$57:$B$95=$B$43)*(J$57:J$95&lt;&gt;0)),J$57:J$95),$C46)</f>
        <v>703.5</v>
      </c>
      <c r="K46" s="831"/>
      <c r="L46" s="1086"/>
      <c r="M46" s="1086"/>
      <c r="N46" s="1086"/>
      <c r="O46" s="1086"/>
      <c r="P46" s="1086"/>
      <c r="Q46" s="104"/>
      <c r="R46" s="104"/>
      <c r="S46" s="104">
        <f t="array" ref="S46">PERCENTILE(IF((($B$57:$B$95=$B$43)*(S$57:S$95&lt;&gt;0)),S$57:S$95),$C46)</f>
        <v>30000</v>
      </c>
      <c r="T46" s="1070"/>
      <c r="U46" s="1070"/>
      <c r="V46" s="1070"/>
      <c r="W46" s="104">
        <f t="array" ref="W46">PERCENTILE(IF((($B$57:$B$95=$B$43)*(W$57:W$95&lt;&gt;0)),W$57:W$95),$C46)</f>
        <v>4920</v>
      </c>
      <c r="X46" s="104"/>
      <c r="Y46" s="1070"/>
      <c r="Z46" s="1070"/>
      <c r="AA46" s="104"/>
      <c r="AB46" s="104"/>
      <c r="AC46" s="1070"/>
      <c r="AD46" s="1105"/>
      <c r="AE46" s="104"/>
      <c r="AF46" s="104"/>
      <c r="AG46" s="1070"/>
      <c r="AH46" s="573"/>
      <c r="AI46" s="104"/>
      <c r="AJ46" s="1070"/>
      <c r="AK46" s="1070"/>
      <c r="AL46" s="1070"/>
      <c r="AM46" s="104"/>
      <c r="AN46" s="1070"/>
      <c r="AO46" s="104"/>
      <c r="AP46" s="104"/>
      <c r="AQ46" s="104">
        <f t="array" ref="AQ46">PERCENTILE(IF((($B$57:$B$95=$B$43)*(AQ$57:AQ$95&lt;&gt;0)),AQ$57:AQ$95),$C46)</f>
        <v>5768.5</v>
      </c>
      <c r="AR46" s="104" t="e">
        <f t="array" ref="AR46">PERCENTILE(IF((($B$57:$B$95=$B$43)*(AR$57:AR$95&lt;&gt;0)),AR$57:AR$95),$C46)</f>
        <v>#NUM!</v>
      </c>
      <c r="AS46" s="1105"/>
      <c r="AT46" s="1105"/>
      <c r="AU46" s="1105"/>
      <c r="AV46" s="1105"/>
      <c r="AW46" s="1105"/>
      <c r="AX46" s="573"/>
      <c r="AY46" s="573"/>
      <c r="AZ46" s="573"/>
      <c r="BA46" s="573"/>
      <c r="BB46" s="573"/>
      <c r="BC46" s="573"/>
      <c r="BD46" s="573"/>
      <c r="BE46" s="572"/>
      <c r="BF46" s="104"/>
      <c r="BG46" s="104"/>
      <c r="BH46" s="104"/>
      <c r="BI46" s="104"/>
      <c r="BJ46" s="104"/>
      <c r="BK46" s="104"/>
      <c r="BL46" s="572"/>
      <c r="BM46" s="572"/>
      <c r="BN46" s="104"/>
      <c r="BO46" s="1105"/>
      <c r="BP46" s="1105"/>
      <c r="BQ46" s="1105"/>
      <c r="BR46" s="1105"/>
      <c r="BS46" s="572"/>
      <c r="BT46" s="572"/>
      <c r="BU46" s="1105"/>
      <c r="BV46" s="1105"/>
      <c r="BW46" s="831">
        <f t="array" ref="BW46">PERCENTILE(IF((($B$57:$B$95=$B$43)*(BW$57:BW$95&lt;&gt;0)),BW$57:BW$95),$C46)</f>
        <v>4647.6919195141318</v>
      </c>
      <c r="BX46" s="831"/>
      <c r="BY46" s="831"/>
      <c r="BZ46" s="104"/>
      <c r="CA46" s="104"/>
      <c r="CB46" s="104"/>
      <c r="CC46" s="104"/>
      <c r="CD46" s="104"/>
      <c r="CE46" s="104"/>
      <c r="CF46" s="104"/>
      <c r="CG46" s="104"/>
      <c r="CH46" s="104"/>
      <c r="CI46" s="104"/>
      <c r="CJ46" s="104">
        <f t="array" ref="CJ46">PERCENTILE(IF((($B$57:$B$95=$B$43)*(CJ$57:CJ$95&lt;&gt;0)),CJ$57:CJ$95),$C46)</f>
        <v>6214431.75</v>
      </c>
      <c r="CK46" s="575"/>
      <c r="CL46" s="575"/>
      <c r="CM46" s="575"/>
      <c r="CN46" s="575"/>
      <c r="CO46" s="575"/>
      <c r="CP46" s="575"/>
      <c r="CQ46" s="575"/>
      <c r="CR46" s="575"/>
      <c r="CS46" s="575"/>
      <c r="CT46" s="575"/>
      <c r="CU46" s="575"/>
      <c r="CV46" s="104"/>
      <c r="CW46" s="104"/>
      <c r="CX46" s="104"/>
      <c r="CY46" s="104"/>
      <c r="CZ46" s="104"/>
      <c r="DA46" s="104"/>
      <c r="DB46" s="104"/>
      <c r="DC46" s="575"/>
      <c r="DD46" s="575"/>
      <c r="DE46" s="575"/>
      <c r="DF46" s="575"/>
      <c r="DG46" s="575"/>
      <c r="DH46" s="575"/>
      <c r="DI46" s="575"/>
      <c r="DJ46" s="290"/>
      <c r="DK46" s="832"/>
      <c r="DL46" s="832"/>
      <c r="DM46" s="832"/>
      <c r="DN46" s="832"/>
      <c r="DO46" s="832"/>
      <c r="DP46" s="832"/>
      <c r="DQ46" s="832"/>
      <c r="DR46" s="832"/>
      <c r="DS46" s="841"/>
      <c r="DT46" s="832"/>
      <c r="DU46" s="832"/>
      <c r="DV46" s="832"/>
      <c r="DW46" s="832"/>
      <c r="DX46" s="832"/>
      <c r="DY46" s="832"/>
      <c r="DZ46" s="832"/>
      <c r="EA46" s="832"/>
      <c r="EB46" s="832"/>
      <c r="EC46" s="832"/>
      <c r="ED46" s="574"/>
      <c r="EE46" s="572"/>
      <c r="EF46" s="104"/>
      <c r="EG46" s="104"/>
      <c r="EH46" s="104"/>
      <c r="EI46" s="104"/>
      <c r="EJ46" s="833"/>
      <c r="EK46" s="573"/>
      <c r="EL46" s="104"/>
      <c r="EM46" s="572"/>
      <c r="EN46" s="572"/>
      <c r="EO46" s="573"/>
      <c r="EP46" s="574"/>
      <c r="EQ46" s="572"/>
      <c r="ER46" s="572"/>
      <c r="ES46" s="834"/>
      <c r="ET46" s="835"/>
      <c r="EU46" s="576"/>
      <c r="EV46" s="104"/>
      <c r="EW46" s="104"/>
      <c r="EX46" s="104"/>
      <c r="EY46" s="104"/>
      <c r="EZ46" s="104"/>
      <c r="FA46" s="104"/>
      <c r="FB46" s="104"/>
      <c r="FC46" s="104"/>
      <c r="FD46" s="577"/>
      <c r="FE46" s="104">
        <f t="array" ref="FE46">PERCENTILE(IF((($B$57:$B$95=$B$43)*(FE$57:FE$95&lt;&gt;0)),FE$57:FE$95),$C46)</f>
        <v>1758142.25</v>
      </c>
      <c r="FF46" s="577"/>
      <c r="FG46" s="577"/>
      <c r="FH46" s="578"/>
      <c r="FI46" s="578"/>
      <c r="FJ46" s="578"/>
      <c r="FK46" s="578"/>
      <c r="FL46" s="578"/>
      <c r="FM46" s="578"/>
      <c r="FN46" s="578"/>
      <c r="FO46" s="578"/>
      <c r="FP46" s="578"/>
      <c r="FQ46" s="104"/>
      <c r="FR46" s="104"/>
      <c r="FS46" s="104"/>
      <c r="FT46" s="104"/>
      <c r="FU46" s="104"/>
      <c r="FV46" s="104"/>
      <c r="FW46" s="104"/>
      <c r="FX46" s="579"/>
      <c r="FY46" s="742">
        <f t="array" ref="FY46">PERCENTILE(IF((($B$57:$B$95=$B$43)*(FY$57:FY$95&lt;&gt;0)),FY$57:FY$95),$C46)</f>
        <v>-823317.45</v>
      </c>
      <c r="FZ46" s="580"/>
      <c r="GA46" s="580"/>
      <c r="GB46" s="580"/>
      <c r="GC46" s="580"/>
      <c r="GD46" s="580"/>
      <c r="GE46" s="580"/>
      <c r="GF46" s="580"/>
      <c r="GG46" s="580"/>
      <c r="GH46" s="572">
        <f t="array" ref="GH46">PERCENTILE(IF((($B$57:$B$95=$B$43)*(GH$57:GH$95&lt;&gt;0)),GH$57:GH$95),$C46)</f>
        <v>-0.55976771645175771</v>
      </c>
      <c r="GI46" s="572">
        <f t="array" ref="GI46">PERCENTILE(IF((($B$57:$B$95=$B$43)*(GI$57:GI$95&lt;&gt;0)),GI$57:GI$95),$C46)</f>
        <v>1.5169967277164758</v>
      </c>
      <c r="GJ46" s="572"/>
      <c r="GK46" s="572"/>
      <c r="GL46" s="572"/>
      <c r="GM46" s="572"/>
      <c r="GN46" s="104"/>
      <c r="GO46" s="574"/>
      <c r="GP46" s="574"/>
      <c r="GQ46" s="104"/>
      <c r="GR46" s="104"/>
      <c r="GS46" s="104"/>
      <c r="GT46" s="104"/>
      <c r="GU46" s="104"/>
      <c r="GV46" s="104"/>
      <c r="GW46" s="104"/>
      <c r="GX46" s="104"/>
      <c r="GY46" s="574"/>
      <c r="GZ46" s="575"/>
      <c r="HA46" s="575"/>
      <c r="HB46" s="575"/>
      <c r="HC46" s="575"/>
      <c r="HD46" s="575"/>
      <c r="HE46" s="575"/>
      <c r="HF46" s="575"/>
      <c r="HG46" s="104"/>
      <c r="HH46" s="104"/>
      <c r="HI46" s="104"/>
      <c r="HJ46" s="104"/>
      <c r="HK46" s="104"/>
      <c r="HL46" s="104"/>
      <c r="HM46" s="104"/>
      <c r="HN46" s="104"/>
      <c r="HO46" s="104"/>
      <c r="HP46" s="104"/>
      <c r="HQ46" s="104"/>
      <c r="HR46" s="574"/>
      <c r="HS46" s="575"/>
      <c r="HT46" s="575"/>
      <c r="HU46" s="575"/>
      <c r="HV46" s="575"/>
      <c r="HW46" s="575"/>
      <c r="HX46" s="575"/>
      <c r="HY46" s="575"/>
      <c r="HZ46" s="51"/>
      <c r="IA46" s="581"/>
      <c r="IB46" s="581"/>
      <c r="IC46" s="582"/>
      <c r="ID46" s="582"/>
      <c r="IE46" s="583"/>
      <c r="IF46" s="583"/>
      <c r="IG46" s="831"/>
      <c r="IH46" s="831"/>
      <c r="II46" s="831"/>
      <c r="IJ46" s="831"/>
      <c r="IK46" s="583"/>
      <c r="IL46" s="582"/>
      <c r="IM46" s="583"/>
      <c r="IN46" s="583"/>
      <c r="IO46" s="858">
        <f t="array" ref="IO46">PERCENTILE(IF((($B$57:$B$95=$B$43)*(IO$57:IO$95&lt;&gt;0)),IO$57:IO$95),$C46)</f>
        <v>-1207.9077922077922</v>
      </c>
      <c r="IP46" s="851">
        <f t="array" ref="IP46">PERCENTILE(IF((($B$57:$B$95=$B$43)*(IP$57:IP$95&lt;&gt;0)),IP$57:IP$95),$C46)</f>
        <v>-1344.5820304779727</v>
      </c>
      <c r="IQ46" s="862">
        <f t="array" ref="IQ46">PERCENTILE(IF((($B$57:$B$95=$B$43)*(IQ$57:IQ$95&lt;&gt;0)),IQ$57:IQ$95),$C46)</f>
        <v>-0.24485440532802458</v>
      </c>
      <c r="IR46" s="290"/>
      <c r="IS46" s="290"/>
      <c r="IT46" s="290"/>
      <c r="IU46" s="290"/>
      <c r="IV46" s="290"/>
      <c r="IW46" s="290"/>
      <c r="IX46" s="575"/>
      <c r="IY46" s="575"/>
      <c r="IZ46" s="575"/>
      <c r="JA46" s="575"/>
      <c r="JB46" s="575"/>
      <c r="JC46" s="575"/>
      <c r="JD46" s="290"/>
      <c r="JE46" s="290"/>
      <c r="JF46" s="584"/>
      <c r="JG46" s="290"/>
      <c r="JH46" s="583"/>
      <c r="JI46" s="583"/>
      <c r="JJ46" s="583"/>
      <c r="JK46" s="575"/>
      <c r="JL46" s="575"/>
      <c r="JM46" s="575"/>
      <c r="JN46" s="575"/>
      <c r="JO46" s="575"/>
      <c r="JP46" s="575"/>
      <c r="JQ46" s="575"/>
      <c r="JR46" s="290"/>
      <c r="JS46" s="290"/>
      <c r="JT46" s="290"/>
      <c r="JU46" s="290"/>
      <c r="JV46" s="290"/>
      <c r="JW46" s="290"/>
      <c r="JX46" s="585"/>
      <c r="JY46" s="104"/>
      <c r="JZ46" s="290"/>
      <c r="KA46" s="290"/>
      <c r="KB46" s="290"/>
      <c r="KC46" s="290"/>
      <c r="KD46" s="290"/>
      <c r="KE46" s="290"/>
      <c r="KF46" s="585"/>
      <c r="KG46" s="585"/>
      <c r="KH46" s="585"/>
      <c r="KI46" s="104"/>
      <c r="KJ46" s="586"/>
      <c r="KK46" s="587"/>
      <c r="KL46" s="587"/>
      <c r="KM46" s="587"/>
      <c r="KN46" s="586"/>
      <c r="KO46" s="587"/>
      <c r="KP46" s="587"/>
      <c r="KQ46" s="587"/>
      <c r="KR46" s="587"/>
      <c r="KS46" s="587"/>
      <c r="KT46" s="587"/>
      <c r="KU46" s="587"/>
      <c r="KV46" s="587"/>
      <c r="KW46" s="587"/>
      <c r="KX46" s="108"/>
      <c r="KY46" s="421"/>
      <c r="KZ46" s="421"/>
      <c r="LA46" s="421"/>
      <c r="LB46" s="421"/>
      <c r="LQ46" s="421"/>
      <c r="LR46" s="421"/>
      <c r="LS46" s="421"/>
      <c r="LT46" s="282"/>
      <c r="LU46" s="282"/>
      <c r="LV46" s="282"/>
      <c r="LW46" s="282"/>
      <c r="LX46" s="282"/>
      <c r="LY46" s="282"/>
      <c r="LZ46" s="282"/>
      <c r="MA46" s="282"/>
      <c r="MB46" s="282"/>
      <c r="MC46" s="282"/>
      <c r="MD46" s="282"/>
      <c r="ME46" s="282"/>
      <c r="MF46" s="282"/>
      <c r="MG46" s="282"/>
      <c r="MH46" s="282"/>
      <c r="MI46" s="282"/>
      <c r="MJ46" s="282"/>
      <c r="MK46" s="282"/>
      <c r="ML46" s="282"/>
      <c r="MM46" s="1232"/>
      <c r="MN46" s="1232"/>
      <c r="MO46" s="1232"/>
      <c r="MP46" s="1232"/>
      <c r="MS46" s="421"/>
      <c r="MT46" s="421"/>
      <c r="MU46" s="421"/>
      <c r="MV46" s="421"/>
      <c r="MW46" s="421"/>
      <c r="MX46" s="421"/>
      <c r="MY46" s="421"/>
      <c r="MZ46" s="421"/>
      <c r="NA46" s="421"/>
      <c r="NB46" s="421"/>
      <c r="NC46" s="421"/>
      <c r="ND46" s="421"/>
      <c r="NE46" s="421"/>
      <c r="NF46" s="421"/>
      <c r="NG46" s="421"/>
      <c r="NH46" s="421"/>
      <c r="NI46" s="421"/>
      <c r="NJ46" s="421"/>
      <c r="NK46" s="421"/>
      <c r="NL46" s="421"/>
      <c r="OQ46" s="282"/>
      <c r="OR46" s="282"/>
      <c r="OS46" s="282"/>
      <c r="OT46" s="282"/>
      <c r="OU46" s="282"/>
      <c r="OV46" s="282"/>
      <c r="OW46" s="282"/>
      <c r="OX46" s="282"/>
      <c r="OY46" s="282"/>
      <c r="OZ46" s="282"/>
      <c r="PA46" s="282"/>
      <c r="PB46" s="282"/>
      <c r="PC46" s="282"/>
      <c r="PD46" s="282"/>
      <c r="PE46" s="282"/>
      <c r="PF46" s="282"/>
      <c r="PG46" s="282"/>
      <c r="PH46" s="282"/>
      <c r="PI46" s="282"/>
      <c r="PJ46" s="282"/>
      <c r="PK46" s="282"/>
      <c r="PL46" s="282"/>
      <c r="PM46" s="282"/>
    </row>
    <row r="47" spans="1:429" ht="14.25" hidden="1" customHeight="1" outlineLevel="2">
      <c r="A47" s="2057"/>
      <c r="B47" s="571"/>
      <c r="C47" s="606">
        <v>0.5</v>
      </c>
      <c r="D47" s="571"/>
      <c r="E47" s="1530"/>
      <c r="F47" s="572"/>
      <c r="G47" s="572"/>
      <c r="H47" s="104"/>
      <c r="I47" s="104"/>
      <c r="J47" s="104">
        <f t="array" ref="J47">PERCENTILE(IF((($B$57:$B$95=$B$43)*(J$57:J$95&lt;&gt;0)),J$57:J$95),$C47)</f>
        <v>777</v>
      </c>
      <c r="K47" s="831"/>
      <c r="L47" s="1086"/>
      <c r="M47" s="1086"/>
      <c r="N47" s="1086"/>
      <c r="O47" s="1086"/>
      <c r="P47" s="1086"/>
      <c r="Q47" s="104"/>
      <c r="R47" s="104"/>
      <c r="S47" s="104">
        <f t="array" ref="S47">PERCENTILE(IF((($B$57:$B$95=$B$43)*(S$57:S$95&lt;&gt;0)),S$57:S$95),$C47)</f>
        <v>35000</v>
      </c>
      <c r="T47" s="1070"/>
      <c r="U47" s="1070"/>
      <c r="V47" s="1070"/>
      <c r="W47" s="104">
        <f t="array" ref="W47">PERCENTILE(IF((($B$57:$B$95=$B$43)*(W$57:W$95&lt;&gt;0)),W$57:W$95),$C47)</f>
        <v>5740</v>
      </c>
      <c r="X47" s="104"/>
      <c r="Y47" s="1070"/>
      <c r="Z47" s="1070"/>
      <c r="AA47" s="104"/>
      <c r="AB47" s="104"/>
      <c r="AC47" s="1070"/>
      <c r="AD47" s="1105"/>
      <c r="AE47" s="104"/>
      <c r="AF47" s="104"/>
      <c r="AG47" s="1070"/>
      <c r="AH47" s="573"/>
      <c r="AI47" s="104"/>
      <c r="AJ47" s="1070"/>
      <c r="AK47" s="1070"/>
      <c r="AL47" s="1070"/>
      <c r="AM47" s="104"/>
      <c r="AN47" s="1070"/>
      <c r="AO47" s="104"/>
      <c r="AP47" s="104"/>
      <c r="AQ47" s="104">
        <f t="array" ref="AQ47">PERCENTILE(IF((($B$57:$B$95=$B$43)*(AQ$57:AQ$95&lt;&gt;0)),AQ$57:AQ$95),$C47)</f>
        <v>6334</v>
      </c>
      <c r="AR47" s="104" t="e">
        <f t="array" ref="AR47">PERCENTILE(IF((($B$57:$B$95=$B$43)*(AR$57:AR$95&lt;&gt;0)),AR$57:AR$95),$C47)</f>
        <v>#NUM!</v>
      </c>
      <c r="AS47" s="1105"/>
      <c r="AT47" s="1105"/>
      <c r="AU47" s="1105"/>
      <c r="AV47" s="1105"/>
      <c r="AW47" s="1105"/>
      <c r="AX47" s="573"/>
      <c r="AY47" s="573"/>
      <c r="AZ47" s="573"/>
      <c r="BA47" s="573"/>
      <c r="BB47" s="573"/>
      <c r="BC47" s="573"/>
      <c r="BD47" s="573"/>
      <c r="BE47" s="572"/>
      <c r="BF47" s="104"/>
      <c r="BG47" s="104"/>
      <c r="BH47" s="104"/>
      <c r="BI47" s="104"/>
      <c r="BJ47" s="104"/>
      <c r="BK47" s="104"/>
      <c r="BL47" s="572"/>
      <c r="BM47" s="572"/>
      <c r="BN47" s="104"/>
      <c r="BO47" s="1105"/>
      <c r="BP47" s="1105"/>
      <c r="BQ47" s="1105"/>
      <c r="BR47" s="1105"/>
      <c r="BS47" s="572"/>
      <c r="BT47" s="572"/>
      <c r="BU47" s="1105"/>
      <c r="BV47" s="1105"/>
      <c r="BW47" s="831">
        <f t="array" ref="BW47">PERCENTILE(IF((($B$57:$B$95=$B$43)*(BW$57:BW$95&lt;&gt;0)),BW$57:BW$95),$C47)</f>
        <v>8178.7504858908051</v>
      </c>
      <c r="BX47" s="831"/>
      <c r="BY47" s="831"/>
      <c r="BZ47" s="104"/>
      <c r="CA47" s="104"/>
      <c r="CB47" s="104"/>
      <c r="CC47" s="104"/>
      <c r="CD47" s="104"/>
      <c r="CE47" s="104"/>
      <c r="CF47" s="104"/>
      <c r="CG47" s="104"/>
      <c r="CH47" s="104"/>
      <c r="CI47" s="104"/>
      <c r="CJ47" s="104">
        <f t="array" ref="CJ47">PERCENTILE(IF((($B$57:$B$95=$B$43)*(CJ$57:CJ$95&lt;&gt;0)),CJ$57:CJ$95),$C47)</f>
        <v>7003304.5</v>
      </c>
      <c r="CK47" s="575"/>
      <c r="CL47" s="575"/>
      <c r="CM47" s="575"/>
      <c r="CN47" s="575"/>
      <c r="CO47" s="575"/>
      <c r="CP47" s="575"/>
      <c r="CQ47" s="575"/>
      <c r="CR47" s="575"/>
      <c r="CS47" s="575"/>
      <c r="CT47" s="575"/>
      <c r="CU47" s="575"/>
      <c r="CV47" s="104"/>
      <c r="CW47" s="104"/>
      <c r="CX47" s="104"/>
      <c r="CY47" s="104"/>
      <c r="CZ47" s="104"/>
      <c r="DA47" s="104"/>
      <c r="DB47" s="104"/>
      <c r="DC47" s="575"/>
      <c r="DD47" s="575"/>
      <c r="DE47" s="575"/>
      <c r="DF47" s="575"/>
      <c r="DG47" s="575"/>
      <c r="DH47" s="575"/>
      <c r="DI47" s="575"/>
      <c r="DJ47" s="290"/>
      <c r="DK47" s="832"/>
      <c r="DL47" s="832"/>
      <c r="DM47" s="832"/>
      <c r="DN47" s="832"/>
      <c r="DO47" s="832"/>
      <c r="DP47" s="832"/>
      <c r="DQ47" s="832"/>
      <c r="DR47" s="832"/>
      <c r="DS47" s="832"/>
      <c r="DT47" s="832"/>
      <c r="DU47" s="832"/>
      <c r="DV47" s="832"/>
      <c r="DW47" s="832"/>
      <c r="DX47" s="832"/>
      <c r="DY47" s="832"/>
      <c r="DZ47" s="832"/>
      <c r="EA47" s="832"/>
      <c r="EB47" s="832"/>
      <c r="EC47" s="832"/>
      <c r="ED47" s="574"/>
      <c r="EE47" s="572"/>
      <c r="EF47" s="104"/>
      <c r="EG47" s="104"/>
      <c r="EH47" s="104"/>
      <c r="EI47" s="104"/>
      <c r="EJ47" s="833"/>
      <c r="EK47" s="573"/>
      <c r="EL47" s="104"/>
      <c r="EM47" s="572"/>
      <c r="EN47" s="572"/>
      <c r="EO47" s="573"/>
      <c r="EP47" s="574"/>
      <c r="EQ47" s="572"/>
      <c r="ER47" s="572"/>
      <c r="ES47" s="834"/>
      <c r="ET47" s="835"/>
      <c r="EU47" s="576"/>
      <c r="EV47" s="104"/>
      <c r="EW47" s="104"/>
      <c r="EX47" s="104"/>
      <c r="EY47" s="104"/>
      <c r="EZ47" s="104"/>
      <c r="FA47" s="104"/>
      <c r="FB47" s="104"/>
      <c r="FC47" s="104"/>
      <c r="FD47" s="577"/>
      <c r="FE47" s="104">
        <f t="array" ref="FE47">PERCENTILE(IF((($B$57:$B$95=$B$43)*(FE$57:FE$95&lt;&gt;0)),FE$57:FE$95),$C47)</f>
        <v>2260953.5</v>
      </c>
      <c r="FF47" s="577"/>
      <c r="FG47" s="577"/>
      <c r="FH47" s="578"/>
      <c r="FI47" s="578"/>
      <c r="FJ47" s="578"/>
      <c r="FK47" s="578"/>
      <c r="FL47" s="578"/>
      <c r="FM47" s="578"/>
      <c r="FN47" s="578"/>
      <c r="FO47" s="578"/>
      <c r="FP47" s="578"/>
      <c r="FQ47" s="104"/>
      <c r="FR47" s="104"/>
      <c r="FS47" s="104"/>
      <c r="FT47" s="104"/>
      <c r="FU47" s="104"/>
      <c r="FV47" s="104"/>
      <c r="FW47" s="104"/>
      <c r="FX47" s="579"/>
      <c r="FY47" s="742">
        <f t="array" ref="FY47">PERCENTILE(IF((($B$57:$B$95=$B$43)*(FY$57:FY$95&lt;&gt;0)),FY$57:FY$95),$C47)</f>
        <v>-810093.89999999991</v>
      </c>
      <c r="FZ47" s="580"/>
      <c r="GA47" s="580"/>
      <c r="GB47" s="580"/>
      <c r="GC47" s="580"/>
      <c r="GD47" s="580"/>
      <c r="GE47" s="580"/>
      <c r="GF47" s="580"/>
      <c r="GG47" s="580"/>
      <c r="GH47" s="572">
        <f t="array" ref="GH47">PERCENTILE(IF((($B$57:$B$95=$B$43)*(GH$57:GH$95&lt;&gt;0)),GH$57:GH$95),$C47)</f>
        <v>-0.4531446562876269</v>
      </c>
      <c r="GI47" s="572">
        <f t="array" ref="GI47">PERCENTILE(IF((($B$57:$B$95=$B$43)*(GI$57:GI$95&lt;&gt;0)),GI$57:GI$95),$C47)</f>
        <v>1.6171683343540508</v>
      </c>
      <c r="GJ47" s="572"/>
      <c r="GK47" s="572"/>
      <c r="GL47" s="572"/>
      <c r="GM47" s="572"/>
      <c r="GN47" s="104"/>
      <c r="GO47" s="574"/>
      <c r="GP47" s="574"/>
      <c r="GQ47" s="104"/>
      <c r="GR47" s="104"/>
      <c r="GS47" s="104"/>
      <c r="GT47" s="104"/>
      <c r="GU47" s="104"/>
      <c r="GV47" s="104"/>
      <c r="GW47" s="104"/>
      <c r="GX47" s="104"/>
      <c r="GY47" s="574"/>
      <c r="GZ47" s="575"/>
      <c r="HA47" s="575"/>
      <c r="HB47" s="575"/>
      <c r="HC47" s="575"/>
      <c r="HD47" s="575"/>
      <c r="HE47" s="575"/>
      <c r="HF47" s="575"/>
      <c r="HG47" s="104"/>
      <c r="HH47" s="104"/>
      <c r="HI47" s="104"/>
      <c r="HJ47" s="104"/>
      <c r="HK47" s="104"/>
      <c r="HL47" s="104"/>
      <c r="HM47" s="104"/>
      <c r="HN47" s="104"/>
      <c r="HO47" s="104"/>
      <c r="HP47" s="104"/>
      <c r="HQ47" s="104"/>
      <c r="HR47" s="574"/>
      <c r="HS47" s="575"/>
      <c r="HT47" s="575"/>
      <c r="HU47" s="575"/>
      <c r="HV47" s="575"/>
      <c r="HW47" s="575"/>
      <c r="HX47" s="575"/>
      <c r="HY47" s="575"/>
      <c r="HZ47" s="51"/>
      <c r="IA47" s="581"/>
      <c r="IB47" s="581"/>
      <c r="IC47" s="582"/>
      <c r="ID47" s="582"/>
      <c r="IE47" s="583"/>
      <c r="IF47" s="583"/>
      <c r="IG47" s="831"/>
      <c r="IH47" s="831"/>
      <c r="II47" s="831"/>
      <c r="IJ47" s="831"/>
      <c r="IK47" s="583"/>
      <c r="IL47" s="582"/>
      <c r="IM47" s="583"/>
      <c r="IN47" s="583"/>
      <c r="IO47" s="858">
        <f t="array" ref="IO47">PERCENTILE(IF((($B$57:$B$95=$B$43)*(IO$57:IO$95&lt;&gt;0)),IO$57:IO$95),$C47)</f>
        <v>-1087.9727272727273</v>
      </c>
      <c r="IP47" s="851">
        <f t="array" ref="IP47">PERCENTILE(IF((($B$57:$B$95=$B$43)*(IP$57:IP$95&lt;&gt;0)),IP$57:IP$95),$C47)</f>
        <v>-1224.5302870356545</v>
      </c>
      <c r="IQ47" s="862">
        <f t="array" ref="IQ47">PERCENTILE(IF((($B$57:$B$95=$B$43)*(IQ$57:IQ$95&lt;&gt;0)),IQ$57:IQ$95),$C47)</f>
        <v>-0.23487401900421939</v>
      </c>
      <c r="IR47" s="290"/>
      <c r="IS47" s="290"/>
      <c r="IT47" s="290"/>
      <c r="IU47" s="290"/>
      <c r="IV47" s="290"/>
      <c r="IW47" s="290"/>
      <c r="IX47" s="575"/>
      <c r="IY47" s="575"/>
      <c r="IZ47" s="575"/>
      <c r="JA47" s="575"/>
      <c r="JB47" s="575"/>
      <c r="JC47" s="575"/>
      <c r="JD47" s="290"/>
      <c r="JE47" s="290"/>
      <c r="JF47" s="584"/>
      <c r="JG47" s="290"/>
      <c r="JH47" s="583"/>
      <c r="JI47" s="583"/>
      <c r="JJ47" s="583"/>
      <c r="JK47" s="575"/>
      <c r="JL47" s="575"/>
      <c r="JM47" s="575"/>
      <c r="JN47" s="575"/>
      <c r="JO47" s="575"/>
      <c r="JP47" s="575"/>
      <c r="JQ47" s="575"/>
      <c r="JR47" s="290"/>
      <c r="JS47" s="290"/>
      <c r="JT47" s="290"/>
      <c r="JU47" s="290"/>
      <c r="JV47" s="290"/>
      <c r="JW47" s="290"/>
      <c r="JX47" s="585"/>
      <c r="JY47" s="104"/>
      <c r="JZ47" s="290"/>
      <c r="KA47" s="290"/>
      <c r="KB47" s="290"/>
      <c r="KC47" s="290"/>
      <c r="KD47" s="290"/>
      <c r="KE47" s="290"/>
      <c r="KF47" s="585"/>
      <c r="KG47" s="585"/>
      <c r="KH47" s="585"/>
      <c r="KI47" s="104"/>
      <c r="KJ47" s="586"/>
      <c r="KK47" s="587"/>
      <c r="KL47" s="587"/>
      <c r="KM47" s="587"/>
      <c r="KN47" s="586"/>
      <c r="KO47" s="587"/>
      <c r="KP47" s="587"/>
      <c r="KQ47" s="587"/>
      <c r="KR47" s="587"/>
      <c r="KS47" s="587"/>
      <c r="KT47" s="587"/>
      <c r="KU47" s="587"/>
      <c r="KV47" s="587"/>
      <c r="KW47" s="587"/>
      <c r="KX47" s="108"/>
      <c r="KY47" s="421"/>
      <c r="KZ47" s="421"/>
      <c r="LA47" s="421"/>
      <c r="LB47" s="421"/>
      <c r="LQ47" s="421"/>
      <c r="LR47" s="368"/>
      <c r="LS47" s="421"/>
      <c r="LT47" s="282"/>
      <c r="LU47" s="282"/>
      <c r="LV47" s="282"/>
      <c r="LW47" s="282"/>
      <c r="LX47" s="282"/>
      <c r="LY47" s="282"/>
      <c r="LZ47" s="282"/>
      <c r="MA47" s="282"/>
      <c r="MB47" s="282"/>
      <c r="MC47" s="282"/>
      <c r="MD47" s="282"/>
      <c r="ME47" s="282"/>
      <c r="MF47" s="282"/>
      <c r="MG47" s="282"/>
      <c r="MH47" s="282"/>
      <c r="MI47" s="282"/>
      <c r="MJ47" s="282"/>
      <c r="MK47" s="282"/>
      <c r="ML47" s="282"/>
      <c r="MM47" s="1232"/>
      <c r="MN47" s="1232"/>
      <c r="MO47" s="1232"/>
      <c r="MP47" s="1232"/>
      <c r="MS47" s="421"/>
      <c r="MT47" s="368"/>
      <c r="MU47" s="421"/>
      <c r="MV47" s="421"/>
      <c r="MW47" s="421"/>
      <c r="MX47" s="421"/>
      <c r="MY47" s="421"/>
      <c r="MZ47" s="421"/>
      <c r="NA47" s="421"/>
      <c r="NB47" s="421"/>
      <c r="NC47" s="421"/>
      <c r="ND47" s="421"/>
      <c r="NE47" s="421"/>
      <c r="NF47" s="421"/>
      <c r="NG47" s="421"/>
      <c r="NH47" s="421"/>
      <c r="NI47" s="421"/>
      <c r="NJ47" s="421"/>
      <c r="NK47" s="421"/>
      <c r="NL47" s="421"/>
      <c r="OQ47" s="282"/>
      <c r="OR47" s="282"/>
      <c r="OS47" s="282"/>
      <c r="OT47" s="282"/>
      <c r="OU47" s="282"/>
      <c r="OV47" s="282"/>
      <c r="OW47" s="282"/>
      <c r="OX47" s="282"/>
      <c r="OY47" s="282"/>
      <c r="OZ47" s="282"/>
      <c r="PA47" s="282"/>
      <c r="PB47" s="282"/>
      <c r="PC47" s="282"/>
      <c r="PD47" s="282"/>
      <c r="PE47" s="282"/>
      <c r="PF47" s="282"/>
      <c r="PG47" s="282"/>
      <c r="PH47" s="282"/>
      <c r="PI47" s="282"/>
      <c r="PJ47" s="282"/>
      <c r="PK47" s="282"/>
      <c r="PL47" s="282"/>
      <c r="PM47" s="282"/>
    </row>
    <row r="48" spans="1:429" ht="16.2" hidden="1" outlineLevel="2" thickBot="1">
      <c r="A48" s="2057"/>
      <c r="B48" s="588"/>
      <c r="C48" s="607">
        <v>0.75</v>
      </c>
      <c r="D48" s="588"/>
      <c r="E48" s="1530"/>
      <c r="F48" s="589"/>
      <c r="G48" s="589"/>
      <c r="H48" s="590"/>
      <c r="I48" s="590"/>
      <c r="J48" s="590">
        <f t="array" ref="J48">PERCENTILE(IF((($B$57:$B$95=$B$43)*(J$57:J$95&lt;&gt;0)),J$57:J$95),$C48)</f>
        <v>850.5</v>
      </c>
      <c r="K48" s="836"/>
      <c r="L48" s="1087"/>
      <c r="M48" s="1087"/>
      <c r="N48" s="1087"/>
      <c r="O48" s="1087"/>
      <c r="P48" s="1087"/>
      <c r="Q48" s="590"/>
      <c r="R48" s="590"/>
      <c r="S48" s="590">
        <f t="array" ref="S48">PERCENTILE(IF((($B$57:$B$95=$B$43)*(S$57:S$95&lt;&gt;0)),S$57:S$95),$C48)</f>
        <v>40000</v>
      </c>
      <c r="T48" s="1071"/>
      <c r="U48" s="1071"/>
      <c r="V48" s="1071"/>
      <c r="W48" s="590">
        <f t="array" ref="W48">PERCENTILE(IF((($B$57:$B$95=$B$43)*(W$57:W$95&lt;&gt;0)),W$57:W$95),$C48)</f>
        <v>6560</v>
      </c>
      <c r="X48" s="590"/>
      <c r="Y48" s="1071"/>
      <c r="Z48" s="1071"/>
      <c r="AA48" s="590"/>
      <c r="AB48" s="590"/>
      <c r="AC48" s="1071"/>
      <c r="AD48" s="1106"/>
      <c r="AE48" s="590"/>
      <c r="AF48" s="590"/>
      <c r="AG48" s="1071"/>
      <c r="AH48" s="591"/>
      <c r="AI48" s="590"/>
      <c r="AJ48" s="1071"/>
      <c r="AK48" s="1071"/>
      <c r="AL48" s="1071"/>
      <c r="AM48" s="590"/>
      <c r="AN48" s="1071"/>
      <c r="AO48" s="590"/>
      <c r="AP48" s="590"/>
      <c r="AQ48" s="590">
        <f t="array" ref="AQ48">PERCENTILE(IF((($B$57:$B$95=$B$43)*(AQ$57:AQ$95&lt;&gt;0)),AQ$57:AQ$95),$C48)</f>
        <v>6899.5</v>
      </c>
      <c r="AR48" s="590" t="e">
        <f t="array" ref="AR48">PERCENTILE(IF((($B$57:$B$95=$B$43)*(AR$57:AR$95&lt;&gt;0)),AR$57:AR$95),$C48)</f>
        <v>#NUM!</v>
      </c>
      <c r="AS48" s="1106"/>
      <c r="AT48" s="1106"/>
      <c r="AU48" s="1106"/>
      <c r="AV48" s="1106"/>
      <c r="AW48" s="1106"/>
      <c r="AX48" s="591"/>
      <c r="AY48" s="591"/>
      <c r="AZ48" s="591"/>
      <c r="BA48" s="591"/>
      <c r="BB48" s="591"/>
      <c r="BC48" s="591"/>
      <c r="BD48" s="591"/>
      <c r="BE48" s="589"/>
      <c r="BF48" s="590"/>
      <c r="BG48" s="590"/>
      <c r="BH48" s="590"/>
      <c r="BI48" s="590"/>
      <c r="BJ48" s="590"/>
      <c r="BK48" s="590"/>
      <c r="BL48" s="589"/>
      <c r="BM48" s="589"/>
      <c r="BN48" s="590"/>
      <c r="BO48" s="1106"/>
      <c r="BP48" s="1106"/>
      <c r="BQ48" s="1106"/>
      <c r="BR48" s="1106"/>
      <c r="BS48" s="589"/>
      <c r="BT48" s="589"/>
      <c r="BU48" s="1106"/>
      <c r="BV48" s="1106"/>
      <c r="BW48" s="836">
        <f t="array" ref="BW48">PERCENTILE(IF((($B$57:$B$95=$B$43)*(BW$57:BW$95&lt;&gt;0)),BW$57:BW$95),$C48)</f>
        <v>11709.809052267479</v>
      </c>
      <c r="BX48" s="836"/>
      <c r="BY48" s="836"/>
      <c r="BZ48" s="590"/>
      <c r="CA48" s="590"/>
      <c r="CB48" s="590"/>
      <c r="CC48" s="590"/>
      <c r="CD48" s="590"/>
      <c r="CE48" s="590"/>
      <c r="CF48" s="590"/>
      <c r="CG48" s="590"/>
      <c r="CH48" s="590"/>
      <c r="CI48" s="590"/>
      <c r="CJ48" s="590">
        <f t="array" ref="CJ48">PERCENTILE(IF((($B$57:$B$95=$B$43)*(CJ$57:CJ$95&lt;&gt;0)),CJ$57:CJ$95),$C48)</f>
        <v>7792177.25</v>
      </c>
      <c r="CK48" s="593"/>
      <c r="CL48" s="593"/>
      <c r="CM48" s="593"/>
      <c r="CN48" s="593"/>
      <c r="CO48" s="593"/>
      <c r="CP48" s="593"/>
      <c r="CQ48" s="593"/>
      <c r="CR48" s="593"/>
      <c r="CS48" s="593"/>
      <c r="CT48" s="593"/>
      <c r="CU48" s="593"/>
      <c r="CV48" s="590"/>
      <c r="CW48" s="590"/>
      <c r="CX48" s="590"/>
      <c r="CY48" s="590"/>
      <c r="CZ48" s="590"/>
      <c r="DA48" s="590"/>
      <c r="DB48" s="590"/>
      <c r="DC48" s="593"/>
      <c r="DD48" s="593"/>
      <c r="DE48" s="593"/>
      <c r="DF48" s="593"/>
      <c r="DG48" s="593"/>
      <c r="DH48" s="593"/>
      <c r="DI48" s="593"/>
      <c r="DJ48" s="594"/>
      <c r="DK48" s="837"/>
      <c r="DL48" s="837"/>
      <c r="DM48" s="837"/>
      <c r="DN48" s="837"/>
      <c r="DO48" s="837"/>
      <c r="DP48" s="837"/>
      <c r="DQ48" s="837"/>
      <c r="DR48" s="837"/>
      <c r="DS48" s="837"/>
      <c r="DT48" s="837"/>
      <c r="DU48" s="837"/>
      <c r="DV48" s="837"/>
      <c r="DW48" s="837"/>
      <c r="DX48" s="837"/>
      <c r="DY48" s="837"/>
      <c r="DZ48" s="837"/>
      <c r="EA48" s="837"/>
      <c r="EB48" s="837"/>
      <c r="EC48" s="837"/>
      <c r="ED48" s="592"/>
      <c r="EE48" s="589"/>
      <c r="EF48" s="590"/>
      <c r="EG48" s="590"/>
      <c r="EH48" s="590"/>
      <c r="EI48" s="590"/>
      <c r="EJ48" s="838"/>
      <c r="EK48" s="591"/>
      <c r="EL48" s="590"/>
      <c r="EM48" s="589"/>
      <c r="EN48" s="589"/>
      <c r="EO48" s="591"/>
      <c r="EP48" s="592"/>
      <c r="EQ48" s="589"/>
      <c r="ER48" s="589"/>
      <c r="ES48" s="839"/>
      <c r="ET48" s="840"/>
      <c r="EU48" s="595"/>
      <c r="EV48" s="590"/>
      <c r="EW48" s="590"/>
      <c r="EX48" s="590"/>
      <c r="EY48" s="590"/>
      <c r="EZ48" s="590"/>
      <c r="FA48" s="590"/>
      <c r="FB48" s="590"/>
      <c r="FC48" s="590"/>
      <c r="FD48" s="596"/>
      <c r="FE48" s="590">
        <f t="array" ref="FE48">PERCENTILE(IF((($B$57:$B$95=$B$43)*(FE$57:FE$95&lt;&gt;0)),FE$57:FE$95),$C48)</f>
        <v>2763764.75</v>
      </c>
      <c r="FF48" s="596"/>
      <c r="FG48" s="596"/>
      <c r="FH48" s="597"/>
      <c r="FI48" s="597"/>
      <c r="FJ48" s="597"/>
      <c r="FK48" s="597"/>
      <c r="FL48" s="597"/>
      <c r="FM48" s="597"/>
      <c r="FN48" s="597"/>
      <c r="FO48" s="597"/>
      <c r="FP48" s="597"/>
      <c r="FQ48" s="590"/>
      <c r="FR48" s="590"/>
      <c r="FS48" s="590"/>
      <c r="FT48" s="590"/>
      <c r="FU48" s="590"/>
      <c r="FV48" s="590"/>
      <c r="FW48" s="590"/>
      <c r="FX48" s="598"/>
      <c r="FY48" s="743">
        <f t="array" ref="FY48">PERCENTILE(IF((($B$57:$B$95=$B$43)*(FY$57:FY$95&lt;&gt;0)),FY$57:FY$95),$C48)</f>
        <v>-796870.34999999986</v>
      </c>
      <c r="FZ48" s="599"/>
      <c r="GA48" s="599"/>
      <c r="GB48" s="599"/>
      <c r="GC48" s="599"/>
      <c r="GD48" s="599"/>
      <c r="GE48" s="599"/>
      <c r="GF48" s="599"/>
      <c r="GG48" s="599"/>
      <c r="GH48" s="589">
        <f t="array" ref="GH48">PERCENTILE(IF((($B$57:$B$95=$B$43)*(GH$57:GH$95&lt;&gt;0)),GH$57:GH$95),$C48)</f>
        <v>-0.34652159612349615</v>
      </c>
      <c r="GI48" s="589">
        <f t="array" ref="GI48">PERCENTILE(IF((($B$57:$B$95=$B$43)*(GI$57:GI$95&lt;&gt;0)),GI$57:GI$95),$C48)</f>
        <v>1.7173399409916259</v>
      </c>
      <c r="GJ48" s="589"/>
      <c r="GK48" s="589"/>
      <c r="GL48" s="589"/>
      <c r="GM48" s="589"/>
      <c r="GN48" s="590"/>
      <c r="GO48" s="592"/>
      <c r="GP48" s="592"/>
      <c r="GQ48" s="590"/>
      <c r="GR48" s="590"/>
      <c r="GS48" s="590"/>
      <c r="GT48" s="590"/>
      <c r="GU48" s="590"/>
      <c r="GV48" s="590"/>
      <c r="GW48" s="590"/>
      <c r="GX48" s="590"/>
      <c r="GY48" s="592"/>
      <c r="GZ48" s="593"/>
      <c r="HA48" s="593"/>
      <c r="HB48" s="593"/>
      <c r="HC48" s="593"/>
      <c r="HD48" s="593"/>
      <c r="HE48" s="593"/>
      <c r="HF48" s="593"/>
      <c r="HG48" s="590"/>
      <c r="HH48" s="590"/>
      <c r="HI48" s="590"/>
      <c r="HJ48" s="590"/>
      <c r="HK48" s="590"/>
      <c r="HL48" s="590"/>
      <c r="HM48" s="590"/>
      <c r="HN48" s="590"/>
      <c r="HO48" s="590"/>
      <c r="HP48" s="590"/>
      <c r="HQ48" s="590"/>
      <c r="HR48" s="592"/>
      <c r="HS48" s="593"/>
      <c r="HT48" s="593"/>
      <c r="HU48" s="593"/>
      <c r="HV48" s="593"/>
      <c r="HW48" s="593"/>
      <c r="HX48" s="593"/>
      <c r="HY48" s="593"/>
      <c r="HZ48" s="51"/>
      <c r="IA48" s="600"/>
      <c r="IB48" s="600"/>
      <c r="IC48" s="601"/>
      <c r="ID48" s="601"/>
      <c r="IE48" s="602"/>
      <c r="IF48" s="602"/>
      <c r="IG48" s="836"/>
      <c r="IH48" s="836"/>
      <c r="II48" s="836"/>
      <c r="IJ48" s="836"/>
      <c r="IK48" s="602"/>
      <c r="IL48" s="601"/>
      <c r="IM48" s="602"/>
      <c r="IN48" s="602"/>
      <c r="IO48" s="860">
        <f t="array" ref="IO48">PERCENTILE(IF((($B$57:$B$95=$B$43)*(IO$57:IO$95&lt;&gt;0)),IO$57:IO$95),$C48)</f>
        <v>-968.03766233766214</v>
      </c>
      <c r="IP48" s="852">
        <f t="array" ref="IP48">PERCENTILE(IF((($B$57:$B$95=$B$43)*(IP$57:IP$95&lt;&gt;0)),IP$57:IP$95),$C48)</f>
        <v>-1104.4785435933363</v>
      </c>
      <c r="IQ48" s="863">
        <f t="array" ref="IQ48">PERCENTILE(IF((($B$57:$B$95=$B$43)*(IQ$57:IQ$95&lt;&gt;0)),IQ$57:IQ$95),$C48)</f>
        <v>-0.22489363268041421</v>
      </c>
      <c r="IR48" s="594"/>
      <c r="IS48" s="594"/>
      <c r="IT48" s="594"/>
      <c r="IU48" s="594"/>
      <c r="IV48" s="594"/>
      <c r="IW48" s="594"/>
      <c r="IX48" s="593"/>
      <c r="IY48" s="593"/>
      <c r="IZ48" s="593"/>
      <c r="JA48" s="593"/>
      <c r="JB48" s="593"/>
      <c r="JC48" s="593"/>
      <c r="JD48" s="594"/>
      <c r="JE48" s="594"/>
      <c r="JF48" s="603"/>
      <c r="JG48" s="594"/>
      <c r="JH48" s="602"/>
      <c r="JI48" s="602"/>
      <c r="JJ48" s="602"/>
      <c r="JK48" s="593"/>
      <c r="JL48" s="593"/>
      <c r="JM48" s="593"/>
      <c r="JN48" s="593"/>
      <c r="JO48" s="593"/>
      <c r="JP48" s="593"/>
      <c r="JQ48" s="593"/>
      <c r="JR48" s="594"/>
      <c r="JS48" s="594"/>
      <c r="JT48" s="594"/>
      <c r="JU48" s="594"/>
      <c r="JV48" s="594"/>
      <c r="JW48" s="594"/>
      <c r="JX48" s="604"/>
      <c r="JY48" s="590"/>
      <c r="JZ48" s="594"/>
      <c r="KA48" s="594"/>
      <c r="KB48" s="594"/>
      <c r="KC48" s="594"/>
      <c r="KD48" s="594"/>
      <c r="KE48" s="594"/>
      <c r="KF48" s="604"/>
      <c r="KG48" s="604"/>
      <c r="KH48" s="604"/>
      <c r="KI48" s="590"/>
      <c r="KJ48" s="605"/>
      <c r="KK48" s="605"/>
      <c r="KL48" s="605"/>
      <c r="KM48" s="605"/>
      <c r="KN48" s="605"/>
      <c r="KO48" s="605"/>
      <c r="KP48" s="605"/>
      <c r="KQ48" s="605"/>
      <c r="KR48" s="605"/>
      <c r="KS48" s="605"/>
      <c r="KT48" s="605"/>
      <c r="KU48" s="605"/>
      <c r="KV48" s="605"/>
      <c r="KW48" s="605"/>
      <c r="KX48" s="108"/>
      <c r="KY48" s="421"/>
      <c r="KZ48" s="421"/>
      <c r="LA48" s="421"/>
      <c r="LB48" s="421"/>
      <c r="LQ48" s="421"/>
      <c r="LR48" s="421"/>
      <c r="LS48" s="421"/>
      <c r="LT48" s="282"/>
      <c r="LU48" s="282"/>
      <c r="LV48" s="282"/>
      <c r="LW48" s="282"/>
      <c r="LX48" s="282"/>
      <c r="LY48" s="282"/>
      <c r="LZ48" s="282"/>
      <c r="MA48" s="282"/>
      <c r="MB48" s="282"/>
      <c r="MC48" s="282"/>
      <c r="MD48" s="282"/>
      <c r="ME48" s="282"/>
      <c r="MF48" s="282"/>
      <c r="MG48" s="282"/>
      <c r="MH48" s="282"/>
      <c r="MI48" s="282"/>
      <c r="MJ48" s="282"/>
      <c r="MK48" s="282"/>
      <c r="ML48" s="282"/>
      <c r="MM48" s="1232"/>
      <c r="MN48" s="1232"/>
      <c r="MO48" s="1232"/>
      <c r="MP48" s="1232"/>
      <c r="MS48" s="421"/>
      <c r="MT48" s="421"/>
      <c r="MU48" s="421"/>
      <c r="MV48" s="421"/>
      <c r="MW48" s="421"/>
      <c r="MX48" s="421"/>
      <c r="MY48" s="421"/>
      <c r="MZ48" s="421"/>
      <c r="NA48" s="421"/>
      <c r="NB48" s="421"/>
      <c r="NC48" s="421"/>
      <c r="ND48" s="421"/>
      <c r="NE48" s="421"/>
      <c r="NF48" s="421"/>
      <c r="NG48" s="421"/>
      <c r="NH48" s="421"/>
      <c r="NI48" s="421"/>
      <c r="NJ48" s="421"/>
      <c r="NK48" s="421"/>
      <c r="NL48" s="421"/>
      <c r="OQ48" s="282"/>
      <c r="OR48" s="282"/>
      <c r="OS48" s="282"/>
      <c r="OT48" s="282"/>
      <c r="OU48" s="282"/>
      <c r="OV48" s="282"/>
      <c r="OW48" s="282"/>
      <c r="OX48" s="282"/>
      <c r="OY48" s="282"/>
      <c r="OZ48" s="282"/>
      <c r="PA48" s="282"/>
      <c r="PB48" s="282"/>
      <c r="PC48" s="282"/>
      <c r="PD48" s="282"/>
      <c r="PE48" s="282"/>
      <c r="PF48" s="282"/>
      <c r="PG48" s="282"/>
      <c r="PH48" s="282"/>
      <c r="PI48" s="282"/>
      <c r="PJ48" s="282"/>
      <c r="PK48" s="282"/>
      <c r="PL48" s="282"/>
      <c r="PM48" s="282"/>
    </row>
    <row r="49" spans="1:431" ht="15.6">
      <c r="B49" s="272"/>
      <c r="E49" s="1530"/>
      <c r="F49" s="103"/>
      <c r="G49" s="103"/>
      <c r="K49" s="842"/>
      <c r="L49" s="1090"/>
      <c r="M49" s="1088"/>
      <c r="N49" s="1088"/>
      <c r="O49" s="1088"/>
      <c r="P49" s="1088"/>
      <c r="T49" s="1072"/>
      <c r="U49" s="1072"/>
      <c r="V49" s="1072"/>
      <c r="Y49" s="1072"/>
      <c r="Z49" s="1072"/>
      <c r="AA49" s="396"/>
      <c r="AB49" s="396"/>
      <c r="AC49" s="1107"/>
      <c r="AD49" s="1073"/>
      <c r="AE49" s="439"/>
      <c r="AF49" s="106"/>
      <c r="AG49" s="1107"/>
      <c r="AH49" s="439"/>
      <c r="AJ49" s="421"/>
      <c r="AK49" s="421"/>
      <c r="AL49" s="421"/>
      <c r="AM49" s="103"/>
      <c r="AN49" s="421"/>
      <c r="AQ49" s="103"/>
      <c r="AR49" s="103"/>
      <c r="AS49" s="1122"/>
      <c r="AT49" s="1122"/>
      <c r="AU49" s="1122"/>
      <c r="AV49" s="1122"/>
      <c r="AW49" s="1102"/>
      <c r="AX49" s="439"/>
      <c r="AY49" s="439"/>
      <c r="AZ49" s="439"/>
      <c r="BA49" s="439"/>
      <c r="BB49" s="439"/>
      <c r="BC49" s="439"/>
      <c r="BD49" s="439"/>
      <c r="BE49" s="439"/>
      <c r="BF49" s="103"/>
      <c r="BG49" s="103"/>
      <c r="BH49" s="103"/>
      <c r="BI49" s="103"/>
      <c r="BJ49" s="103"/>
      <c r="BK49" s="103"/>
      <c r="BL49" s="440"/>
      <c r="BM49" s="439"/>
      <c r="BN49" s="103"/>
      <c r="BO49" s="1073"/>
      <c r="BP49" s="1073"/>
      <c r="BQ49" s="1073"/>
      <c r="BR49" s="1073"/>
      <c r="BS49" s="439"/>
      <c r="BT49" s="439"/>
      <c r="BU49" s="1073"/>
      <c r="BV49" s="1073"/>
      <c r="BW49" s="842"/>
      <c r="BX49" s="842"/>
      <c r="BY49" s="842"/>
      <c r="CA49" s="103"/>
      <c r="CB49" s="103"/>
      <c r="CC49" s="103"/>
      <c r="CD49" s="103"/>
      <c r="CE49" s="103"/>
      <c r="CF49" s="103"/>
      <c r="CG49" s="103"/>
      <c r="CH49" s="103"/>
      <c r="CI49" s="103"/>
      <c r="CJ49" s="103"/>
      <c r="CK49" s="440"/>
      <c r="CL49" s="440"/>
      <c r="CM49" s="440"/>
      <c r="CN49" s="407"/>
      <c r="CO49" s="440"/>
      <c r="CP49" s="440"/>
      <c r="CQ49" s="440"/>
      <c r="CR49" s="440"/>
      <c r="CS49" s="440"/>
      <c r="CT49" s="440"/>
      <c r="CU49" s="440"/>
      <c r="CV49" s="103"/>
      <c r="CW49" s="103"/>
      <c r="CX49" s="103"/>
      <c r="CY49" s="103"/>
      <c r="CZ49" s="103"/>
      <c r="DA49" s="103"/>
      <c r="DB49" s="103"/>
      <c r="DC49" s="407"/>
      <c r="DD49" s="407"/>
      <c r="DE49" s="407"/>
      <c r="DF49" s="407"/>
      <c r="DG49" s="407"/>
      <c r="DH49" s="407"/>
      <c r="DI49" s="407"/>
      <c r="DJ49" s="441"/>
      <c r="DK49" s="842"/>
      <c r="DL49" s="842"/>
      <c r="DM49" s="842"/>
      <c r="DN49" s="842"/>
      <c r="DO49" s="842"/>
      <c r="DP49" s="842"/>
      <c r="DQ49" s="842"/>
      <c r="DR49" s="842"/>
      <c r="DS49" s="842"/>
      <c r="DT49" s="842"/>
      <c r="DU49" s="842"/>
      <c r="DV49" s="842"/>
      <c r="DW49" s="842"/>
      <c r="DX49" s="842"/>
      <c r="DY49" s="842"/>
      <c r="DZ49" s="842"/>
      <c r="EA49" s="842"/>
      <c r="EB49" s="842"/>
      <c r="EC49" s="842"/>
      <c r="ED49" s="103"/>
      <c r="EE49" s="439"/>
      <c r="EF49" s="103"/>
      <c r="EG49" s="103"/>
      <c r="EH49" s="103"/>
      <c r="EI49" s="103"/>
      <c r="EJ49" s="842"/>
      <c r="EK49" s="439"/>
      <c r="EL49" s="103"/>
      <c r="EM49" s="439"/>
      <c r="EN49" s="394"/>
      <c r="EO49" s="439"/>
      <c r="EP49" s="103"/>
      <c r="EQ49" s="439"/>
      <c r="ER49" s="439"/>
      <c r="ES49" s="842"/>
      <c r="ET49" s="842"/>
      <c r="EV49" s="103"/>
      <c r="EW49" s="112"/>
      <c r="EX49" s="112"/>
      <c r="EY49" s="112"/>
      <c r="EZ49" s="112"/>
      <c r="FA49" s="5"/>
      <c r="FB49" s="112"/>
      <c r="FC49" s="112"/>
      <c r="FD49" s="5"/>
      <c r="FE49" s="5"/>
      <c r="FF49" s="5"/>
      <c r="FG49" s="5"/>
      <c r="FH49" s="8"/>
      <c r="FI49" s="8"/>
      <c r="FJ49" s="8"/>
      <c r="FK49" s="8"/>
      <c r="FL49" s="8"/>
      <c r="FM49" s="8"/>
      <c r="FN49" s="8"/>
      <c r="FO49" s="8"/>
      <c r="FP49" s="8"/>
      <c r="FQ49" s="112"/>
      <c r="FR49" s="113"/>
      <c r="FS49" s="112"/>
      <c r="FT49" s="112"/>
      <c r="FU49" s="112"/>
      <c r="FV49" s="112"/>
      <c r="FW49" s="112"/>
      <c r="FX49" s="5"/>
      <c r="FY49" s="70"/>
      <c r="FZ49" s="300"/>
      <c r="GA49" s="300"/>
      <c r="GB49" s="300"/>
      <c r="GC49" s="300"/>
      <c r="GD49" s="300"/>
      <c r="GE49" s="300"/>
      <c r="GF49" s="300"/>
      <c r="GG49" s="300"/>
      <c r="GH49" s="300"/>
      <c r="GI49" s="114"/>
      <c r="GJ49" s="439"/>
      <c r="GK49" s="394"/>
      <c r="GL49" s="439"/>
      <c r="GM49" s="394"/>
      <c r="GX49" s="7"/>
      <c r="GY49" s="7"/>
      <c r="GZ49" s="8"/>
      <c r="HA49" s="8"/>
      <c r="HB49" s="8"/>
      <c r="HC49" s="8"/>
      <c r="HD49" s="8"/>
      <c r="HE49" s="8"/>
      <c r="HF49" s="8"/>
      <c r="HG49" s="103"/>
      <c r="HH49" s="103"/>
      <c r="HI49" s="103"/>
      <c r="HJ49" s="103"/>
      <c r="HK49" s="103"/>
      <c r="HL49" s="103"/>
      <c r="HM49" s="103"/>
      <c r="HN49" s="103"/>
      <c r="HO49" s="103"/>
      <c r="HP49" s="103"/>
      <c r="HQ49" s="7"/>
      <c r="HR49" s="7"/>
      <c r="HS49" s="8"/>
      <c r="HT49" s="8"/>
      <c r="HU49" s="8"/>
      <c r="HV49" s="8"/>
      <c r="HW49" s="8"/>
      <c r="HX49" s="8"/>
      <c r="HY49" s="8"/>
      <c r="HZ49" s="51"/>
      <c r="IK49" s="59"/>
      <c r="IL49" s="59"/>
      <c r="IM49" s="59"/>
      <c r="IN49" s="59"/>
      <c r="IO49" s="750"/>
      <c r="IP49" s="750"/>
      <c r="IQ49" s="114"/>
      <c r="IR49" s="413"/>
      <c r="IS49" s="413"/>
      <c r="IT49" s="413"/>
      <c r="IU49" s="413"/>
      <c r="IV49" s="413"/>
      <c r="IW49" s="413"/>
      <c r="IX49" s="442"/>
      <c r="IY49" s="442"/>
      <c r="IZ49" s="442"/>
      <c r="JA49" s="442"/>
      <c r="JB49" s="442"/>
      <c r="JC49" s="442"/>
      <c r="JK49" s="420"/>
      <c r="JL49" s="420"/>
      <c r="JM49" s="420"/>
      <c r="JN49" s="420"/>
      <c r="JO49" s="420"/>
      <c r="JP49" s="420"/>
      <c r="JQ49" s="420"/>
      <c r="JY49" s="114"/>
      <c r="JZ49" s="413"/>
      <c r="KA49" s="413"/>
      <c r="KB49" s="413"/>
      <c r="KC49" s="413"/>
      <c r="KD49" s="413"/>
      <c r="KE49" s="413"/>
      <c r="KF49" s="413"/>
      <c r="KG49" s="413"/>
      <c r="KH49" s="413"/>
      <c r="KI49" s="114"/>
      <c r="KJ49" s="413"/>
      <c r="KK49" s="413"/>
      <c r="KL49" s="413"/>
      <c r="KM49" s="413"/>
      <c r="KN49" s="413"/>
      <c r="KO49" s="413"/>
      <c r="KP49" s="413"/>
      <c r="KQ49" s="413"/>
      <c r="KR49" s="413"/>
      <c r="KS49" s="413"/>
      <c r="KT49" s="413"/>
      <c r="KU49" s="413"/>
      <c r="KV49" s="413"/>
      <c r="KW49" s="413"/>
      <c r="KX49" s="108"/>
      <c r="KY49" s="421"/>
      <c r="KZ49" s="421"/>
      <c r="LA49" s="421"/>
      <c r="LB49" s="421"/>
      <c r="LQ49" s="421"/>
      <c r="LR49" s="421"/>
      <c r="LS49" s="421"/>
      <c r="LT49" s="282"/>
      <c r="LU49" s="282"/>
      <c r="LV49" s="282"/>
      <c r="LW49" s="282"/>
      <c r="LX49" s="282"/>
      <c r="LY49" s="282"/>
      <c r="LZ49" s="282"/>
      <c r="MA49" s="282"/>
      <c r="MB49" s="282"/>
      <c r="MC49" s="282"/>
      <c r="MD49" s="282"/>
      <c r="ME49" s="282"/>
      <c r="MF49" s="282"/>
      <c r="MG49" s="282"/>
      <c r="MH49" s="282"/>
      <c r="MI49" s="282"/>
      <c r="MJ49" s="282"/>
      <c r="MK49" s="282"/>
      <c r="ML49" s="282"/>
      <c r="MM49" s="1232"/>
      <c r="MN49" s="1232"/>
      <c r="MO49" s="1232"/>
      <c r="MP49" s="1232"/>
      <c r="MS49" s="421"/>
      <c r="MT49" s="421"/>
      <c r="MU49" s="421"/>
      <c r="MV49" s="421"/>
      <c r="MW49" s="421"/>
      <c r="MX49" s="421"/>
      <c r="MY49" s="421"/>
      <c r="MZ49" s="421"/>
      <c r="NA49" s="421"/>
      <c r="NB49" s="421"/>
      <c r="NC49" s="421"/>
      <c r="ND49" s="421"/>
      <c r="NE49" s="421"/>
      <c r="NF49" s="421"/>
      <c r="NG49" s="421"/>
      <c r="NH49" s="421"/>
      <c r="NI49" s="421"/>
      <c r="NJ49" s="421"/>
      <c r="NK49" s="421"/>
      <c r="NL49" s="421"/>
      <c r="OQ49" s="282"/>
      <c r="OR49" s="282"/>
      <c r="OS49" s="282"/>
      <c r="OT49" s="282"/>
      <c r="OU49" s="282"/>
      <c r="OV49" s="282"/>
      <c r="OW49" s="282"/>
      <c r="OX49" s="282"/>
      <c r="OY49" s="282"/>
      <c r="OZ49" s="282"/>
      <c r="PA49" s="282"/>
      <c r="PB49" s="282"/>
      <c r="PC49" s="282"/>
      <c r="PD49" s="282"/>
      <c r="PE49" s="282"/>
      <c r="PF49" s="282"/>
      <c r="PG49" s="282"/>
      <c r="PH49" s="282"/>
      <c r="PI49" s="282"/>
      <c r="PJ49" s="282"/>
      <c r="PK49" s="282"/>
      <c r="PL49" s="282"/>
      <c r="PM49" s="282"/>
    </row>
    <row r="50" spans="1:431" s="103" customFormat="1" ht="15" customHeight="1" outlineLevel="1">
      <c r="A50" s="2061"/>
      <c r="B50" s="443" t="s">
        <v>387</v>
      </c>
      <c r="C50" s="443"/>
      <c r="D50" s="443">
        <f ca="1">SUM(F50:KW50)</f>
        <v>-1.0000000000000009E-3</v>
      </c>
      <c r="E50" s="1530"/>
      <c r="F50" s="444">
        <f ca="1">F4-F53</f>
        <v>0</v>
      </c>
      <c r="G50" s="444">
        <f t="shared" ref="G50:CI50" ca="1" si="473">G4-G53</f>
        <v>0</v>
      </c>
      <c r="H50" s="445">
        <f>H4-H53</f>
        <v>0</v>
      </c>
      <c r="I50" s="445">
        <f t="shared" si="473"/>
        <v>0</v>
      </c>
      <c r="J50" s="445">
        <f t="shared" si="473"/>
        <v>0</v>
      </c>
      <c r="K50" s="843">
        <f>K4-K53</f>
        <v>0</v>
      </c>
      <c r="L50" s="1091"/>
      <c r="M50" s="1091"/>
      <c r="N50" s="1091"/>
      <c r="O50" s="1091"/>
      <c r="P50" s="1091"/>
      <c r="Q50" s="446">
        <f t="shared" si="473"/>
        <v>0</v>
      </c>
      <c r="R50" s="446">
        <f t="shared" si="473"/>
        <v>0</v>
      </c>
      <c r="S50" s="446">
        <f t="shared" si="473"/>
        <v>0</v>
      </c>
      <c r="T50" s="1108"/>
      <c r="U50" s="1108"/>
      <c r="V50" s="1108"/>
      <c r="W50" s="446">
        <f t="shared" si="473"/>
        <v>0</v>
      </c>
      <c r="X50" s="446">
        <f t="shared" si="473"/>
        <v>0</v>
      </c>
      <c r="Y50" s="1108"/>
      <c r="Z50" s="1108"/>
      <c r="AA50" s="446">
        <f t="shared" si="473"/>
        <v>0</v>
      </c>
      <c r="AB50" s="446">
        <f t="shared" si="473"/>
        <v>0</v>
      </c>
      <c r="AC50" s="1108"/>
      <c r="AD50" s="1108"/>
      <c r="AE50" s="446">
        <f t="shared" ca="1" si="473"/>
        <v>0</v>
      </c>
      <c r="AF50" s="446">
        <f t="shared" si="473"/>
        <v>0</v>
      </c>
      <c r="AG50" s="1108"/>
      <c r="AH50" s="446">
        <f t="shared" ca="1" si="473"/>
        <v>0</v>
      </c>
      <c r="AI50" s="446">
        <f t="shared" ref="AI50" si="474">AI4-AI53</f>
        <v>0</v>
      </c>
      <c r="AJ50" s="1108"/>
      <c r="AK50" s="446">
        <f t="shared" ref="AK50:AL50" ca="1" si="475">AK4-AK53</f>
        <v>0</v>
      </c>
      <c r="AL50" s="446">
        <f t="shared" si="475"/>
        <v>0</v>
      </c>
      <c r="AM50" s="446">
        <f>AM4-AM53</f>
        <v>0</v>
      </c>
      <c r="AN50" s="1108">
        <f t="shared" si="473"/>
        <v>0</v>
      </c>
      <c r="AO50" s="446">
        <f t="shared" si="473"/>
        <v>0</v>
      </c>
      <c r="AP50" s="446">
        <f t="shared" si="473"/>
        <v>0</v>
      </c>
      <c r="AQ50" s="446">
        <f t="shared" si="473"/>
        <v>0</v>
      </c>
      <c r="AR50" s="446">
        <f t="shared" si="473"/>
        <v>0</v>
      </c>
      <c r="AS50" s="1125"/>
      <c r="AT50" s="1125"/>
      <c r="AU50" s="1125"/>
      <c r="AV50" s="1125"/>
      <c r="AW50" s="1125"/>
      <c r="AX50" s="447">
        <f t="shared" ref="AX50:BD50" ca="1" si="476">AX4-AX53</f>
        <v>0</v>
      </c>
      <c r="AY50" s="447">
        <f t="shared" ca="1" si="476"/>
        <v>0</v>
      </c>
      <c r="AZ50" s="447">
        <f t="shared" ca="1" si="476"/>
        <v>0</v>
      </c>
      <c r="BA50" s="447">
        <f t="shared" ca="1" si="476"/>
        <v>0</v>
      </c>
      <c r="BB50" s="447">
        <f t="shared" ca="1" si="476"/>
        <v>0</v>
      </c>
      <c r="BC50" s="447">
        <f t="shared" ca="1" si="476"/>
        <v>0</v>
      </c>
      <c r="BD50" s="447">
        <f t="shared" ca="1" si="476"/>
        <v>0</v>
      </c>
      <c r="BE50" s="447">
        <f t="shared" ca="1" si="473"/>
        <v>0</v>
      </c>
      <c r="BF50" s="447">
        <f t="shared" si="473"/>
        <v>0</v>
      </c>
      <c r="BG50" s="447">
        <f>BG4-BG53</f>
        <v>0</v>
      </c>
      <c r="BH50" s="447">
        <f t="shared" si="473"/>
        <v>0</v>
      </c>
      <c r="BI50" s="447">
        <f t="shared" ref="BI50" si="477">BI4-BI53</f>
        <v>0</v>
      </c>
      <c r="BJ50" s="447">
        <f t="shared" si="473"/>
        <v>0</v>
      </c>
      <c r="BK50" s="447">
        <f t="shared" si="473"/>
        <v>0</v>
      </c>
      <c r="BL50" s="447">
        <f t="shared" si="473"/>
        <v>0</v>
      </c>
      <c r="BM50" s="447">
        <f t="shared" ca="1" si="473"/>
        <v>0</v>
      </c>
      <c r="BN50" s="447">
        <f t="shared" si="473"/>
        <v>0</v>
      </c>
      <c r="BO50" s="447"/>
      <c r="BP50" s="447">
        <f t="shared" ref="BP50" si="478">BP4-BP53</f>
        <v>0</v>
      </c>
      <c r="BQ50" s="447">
        <f>BQ4-BQ53</f>
        <v>0</v>
      </c>
      <c r="BR50" s="1125"/>
      <c r="BS50" s="447">
        <f ca="1">BS4-BS53</f>
        <v>0</v>
      </c>
      <c r="BT50" s="447">
        <f t="shared" si="473"/>
        <v>0</v>
      </c>
      <c r="BU50" s="447">
        <f t="shared" si="473"/>
        <v>0</v>
      </c>
      <c r="BV50" s="1125"/>
      <c r="BW50" s="1165">
        <f t="shared" ref="BW50:BY52" si="479">BW4-BW53</f>
        <v>0</v>
      </c>
      <c r="BX50" s="1165">
        <f t="shared" si="479"/>
        <v>0</v>
      </c>
      <c r="BY50" s="1165">
        <f t="shared" si="479"/>
        <v>0</v>
      </c>
      <c r="BZ50" s="448">
        <f t="shared" si="473"/>
        <v>0</v>
      </c>
      <c r="CA50" s="448">
        <f t="shared" si="473"/>
        <v>0</v>
      </c>
      <c r="CB50" s="448">
        <f t="shared" si="473"/>
        <v>0</v>
      </c>
      <c r="CC50" s="448">
        <f t="shared" si="473"/>
        <v>0</v>
      </c>
      <c r="CD50" s="448">
        <f t="shared" si="473"/>
        <v>0</v>
      </c>
      <c r="CE50" s="448">
        <f t="shared" si="473"/>
        <v>0</v>
      </c>
      <c r="CF50" s="448">
        <f t="shared" si="473"/>
        <v>0</v>
      </c>
      <c r="CG50" s="448">
        <f t="shared" si="473"/>
        <v>0</v>
      </c>
      <c r="CH50" s="448">
        <f t="shared" si="473"/>
        <v>0</v>
      </c>
      <c r="CI50" s="448">
        <f t="shared" si="473"/>
        <v>0</v>
      </c>
      <c r="CJ50" s="448">
        <f t="shared" ref="CJ50:FA50" si="480">CJ4-CJ53</f>
        <v>0</v>
      </c>
      <c r="CK50" s="448">
        <f t="shared" si="480"/>
        <v>0</v>
      </c>
      <c r="CL50" s="448">
        <f t="shared" si="480"/>
        <v>0</v>
      </c>
      <c r="CM50" s="448">
        <f t="shared" si="480"/>
        <v>0</v>
      </c>
      <c r="CN50" s="448">
        <f t="shared" si="480"/>
        <v>0</v>
      </c>
      <c r="CO50" s="448">
        <f t="shared" si="480"/>
        <v>0</v>
      </c>
      <c r="CP50" s="448">
        <f t="shared" si="480"/>
        <v>0</v>
      </c>
      <c r="CQ50" s="448">
        <f t="shared" si="480"/>
        <v>0</v>
      </c>
      <c r="CR50" s="448">
        <f t="shared" si="480"/>
        <v>0</v>
      </c>
      <c r="CS50" s="448">
        <f t="shared" si="480"/>
        <v>0</v>
      </c>
      <c r="CT50" s="448">
        <f t="shared" si="480"/>
        <v>0</v>
      </c>
      <c r="CU50" s="448">
        <f t="shared" si="480"/>
        <v>0</v>
      </c>
      <c r="CV50" s="448">
        <f t="shared" si="480"/>
        <v>0</v>
      </c>
      <c r="CW50" s="448">
        <f t="shared" si="480"/>
        <v>0</v>
      </c>
      <c r="CX50" s="448">
        <f t="shared" si="480"/>
        <v>0</v>
      </c>
      <c r="CY50" s="448">
        <f t="shared" si="480"/>
        <v>0</v>
      </c>
      <c r="CZ50" s="448">
        <f>CZ4-CZ53</f>
        <v>0</v>
      </c>
      <c r="DA50" s="448">
        <f t="shared" si="480"/>
        <v>0</v>
      </c>
      <c r="DB50" s="448">
        <f t="shared" si="480"/>
        <v>0</v>
      </c>
      <c r="DC50" s="448">
        <f t="shared" si="480"/>
        <v>0</v>
      </c>
      <c r="DD50" s="448">
        <f t="shared" si="480"/>
        <v>0</v>
      </c>
      <c r="DE50" s="448">
        <f t="shared" si="480"/>
        <v>0</v>
      </c>
      <c r="DF50" s="448">
        <f t="shared" si="480"/>
        <v>0</v>
      </c>
      <c r="DG50" s="448">
        <f t="shared" si="480"/>
        <v>0</v>
      </c>
      <c r="DH50" s="448">
        <f t="shared" si="480"/>
        <v>0</v>
      </c>
      <c r="DI50" s="448">
        <f t="shared" si="480"/>
        <v>0</v>
      </c>
      <c r="DJ50" s="448">
        <f t="shared" si="480"/>
        <v>0</v>
      </c>
      <c r="DK50" s="1171">
        <f t="shared" ref="DK50:EC50" si="481">DK4-DK53</f>
        <v>0</v>
      </c>
      <c r="DL50" s="1171">
        <f t="shared" si="481"/>
        <v>0</v>
      </c>
      <c r="DM50" s="1171">
        <f t="shared" si="481"/>
        <v>0</v>
      </c>
      <c r="DN50" s="1171">
        <f t="shared" si="481"/>
        <v>0</v>
      </c>
      <c r="DO50" s="1171">
        <f t="shared" si="481"/>
        <v>0</v>
      </c>
      <c r="DP50" s="1171">
        <f t="shared" si="481"/>
        <v>0</v>
      </c>
      <c r="DQ50" s="1171">
        <f t="shared" si="481"/>
        <v>0</v>
      </c>
      <c r="DR50" s="1171">
        <f t="shared" si="481"/>
        <v>0</v>
      </c>
      <c r="DS50" s="1171">
        <f t="shared" si="481"/>
        <v>0</v>
      </c>
      <c r="DT50" s="1171">
        <f t="shared" si="481"/>
        <v>0</v>
      </c>
      <c r="DU50" s="1171">
        <f t="shared" si="481"/>
        <v>0</v>
      </c>
      <c r="DV50" s="1171">
        <f t="shared" si="481"/>
        <v>0</v>
      </c>
      <c r="DW50" s="1171">
        <f t="shared" si="481"/>
        <v>0</v>
      </c>
      <c r="DX50" s="1171">
        <f t="shared" si="481"/>
        <v>0</v>
      </c>
      <c r="DY50" s="1171">
        <f t="shared" si="481"/>
        <v>0</v>
      </c>
      <c r="DZ50" s="1171">
        <f t="shared" si="481"/>
        <v>0</v>
      </c>
      <c r="EA50" s="1171">
        <f t="shared" si="481"/>
        <v>0</v>
      </c>
      <c r="EB50" s="1171">
        <f t="shared" si="481"/>
        <v>0</v>
      </c>
      <c r="EC50" s="1171">
        <f t="shared" si="481"/>
        <v>0</v>
      </c>
      <c r="ED50" s="449">
        <f t="shared" si="480"/>
        <v>0</v>
      </c>
      <c r="EE50" s="449">
        <f t="shared" si="480"/>
        <v>0</v>
      </c>
      <c r="EF50" s="449">
        <f t="shared" si="480"/>
        <v>0</v>
      </c>
      <c r="EG50" s="449">
        <f t="shared" ref="EG50" si="482">EG4-EG53</f>
        <v>0</v>
      </c>
      <c r="EH50" s="449">
        <f t="shared" ref="EH50:EI50" ca="1" si="483">EH4-EH53</f>
        <v>0</v>
      </c>
      <c r="EI50" s="449">
        <f t="shared" si="483"/>
        <v>0</v>
      </c>
      <c r="EJ50" s="1171">
        <f>EJ4-EJ53</f>
        <v>0</v>
      </c>
      <c r="EK50" s="444">
        <f t="shared" si="480"/>
        <v>0</v>
      </c>
      <c r="EL50" s="444">
        <f t="shared" si="480"/>
        <v>0</v>
      </c>
      <c r="EM50" s="444">
        <f t="shared" si="480"/>
        <v>0</v>
      </c>
      <c r="EN50" s="444">
        <f t="shared" si="480"/>
        <v>0</v>
      </c>
      <c r="EO50" s="444">
        <f t="shared" si="480"/>
        <v>0</v>
      </c>
      <c r="EP50" s="444">
        <f t="shared" si="480"/>
        <v>0</v>
      </c>
      <c r="EQ50" s="444">
        <f t="shared" si="480"/>
        <v>0</v>
      </c>
      <c r="ER50" s="444">
        <f t="shared" ref="ER50" si="484">ER4-ER53</f>
        <v>0</v>
      </c>
      <c r="ES50" s="1180">
        <f t="shared" ref="ES50:ET52" si="485">ES4-ES53</f>
        <v>0</v>
      </c>
      <c r="ET50" s="1180">
        <f t="shared" si="485"/>
        <v>0</v>
      </c>
      <c r="EU50" s="444"/>
      <c r="EV50" s="444">
        <f t="shared" si="480"/>
        <v>0</v>
      </c>
      <c r="EW50" s="444">
        <f t="shared" si="480"/>
        <v>0</v>
      </c>
      <c r="EX50" s="444"/>
      <c r="EY50" s="444">
        <f t="shared" si="480"/>
        <v>0</v>
      </c>
      <c r="EZ50" s="444">
        <f t="shared" si="480"/>
        <v>0</v>
      </c>
      <c r="FA50" s="444">
        <f t="shared" si="480"/>
        <v>0</v>
      </c>
      <c r="FB50" s="444">
        <f t="shared" ref="FB50:HL50" si="486">FB4-FB53</f>
        <v>0</v>
      </c>
      <c r="FC50" s="444">
        <f t="shared" si="486"/>
        <v>0</v>
      </c>
      <c r="FD50" s="444">
        <f t="shared" si="486"/>
        <v>0</v>
      </c>
      <c r="FE50" s="444">
        <f t="shared" si="486"/>
        <v>0</v>
      </c>
      <c r="FF50" s="444">
        <f t="shared" si="486"/>
        <v>0</v>
      </c>
      <c r="FG50" s="444">
        <f t="shared" si="486"/>
        <v>0</v>
      </c>
      <c r="FH50" s="444">
        <f t="shared" si="486"/>
        <v>0</v>
      </c>
      <c r="FI50" s="444">
        <f t="shared" si="486"/>
        <v>0</v>
      </c>
      <c r="FJ50" s="444">
        <f t="shared" si="486"/>
        <v>0</v>
      </c>
      <c r="FK50" s="444">
        <f t="shared" si="486"/>
        <v>0</v>
      </c>
      <c r="FL50" s="444">
        <f t="shared" si="486"/>
        <v>0</v>
      </c>
      <c r="FM50" s="444">
        <f t="shared" si="486"/>
        <v>0</v>
      </c>
      <c r="FN50" s="444">
        <f t="shared" si="486"/>
        <v>0</v>
      </c>
      <c r="FO50" s="444">
        <f t="shared" si="486"/>
        <v>0</v>
      </c>
      <c r="FP50" s="444">
        <f t="shared" si="486"/>
        <v>0</v>
      </c>
      <c r="FQ50" s="444">
        <f t="shared" si="486"/>
        <v>0</v>
      </c>
      <c r="FR50" s="444">
        <f t="shared" si="486"/>
        <v>0</v>
      </c>
      <c r="FS50" s="444">
        <f t="shared" si="486"/>
        <v>0</v>
      </c>
      <c r="FT50" s="444">
        <f t="shared" si="486"/>
        <v>0</v>
      </c>
      <c r="FU50" s="444">
        <f t="shared" si="486"/>
        <v>0</v>
      </c>
      <c r="FV50" s="444">
        <f t="shared" si="486"/>
        <v>0</v>
      </c>
      <c r="FW50" s="444">
        <f t="shared" si="486"/>
        <v>0</v>
      </c>
      <c r="FX50" s="444">
        <f t="shared" si="486"/>
        <v>0</v>
      </c>
      <c r="FY50" s="444">
        <f t="shared" si="486"/>
        <v>0</v>
      </c>
      <c r="FZ50" s="444">
        <f t="shared" si="486"/>
        <v>0</v>
      </c>
      <c r="GA50" s="444">
        <f t="shared" si="486"/>
        <v>0</v>
      </c>
      <c r="GB50" s="444">
        <f t="shared" si="486"/>
        <v>0</v>
      </c>
      <c r="GC50" s="444">
        <f t="shared" si="486"/>
        <v>0</v>
      </c>
      <c r="GD50" s="444">
        <f t="shared" si="486"/>
        <v>0</v>
      </c>
      <c r="GE50" s="444">
        <f t="shared" si="486"/>
        <v>0</v>
      </c>
      <c r="GF50" s="444">
        <f t="shared" si="486"/>
        <v>0</v>
      </c>
      <c r="GG50" s="444">
        <f t="shared" si="486"/>
        <v>0</v>
      </c>
      <c r="GH50" s="444">
        <f t="shared" si="486"/>
        <v>0</v>
      </c>
      <c r="GI50" s="444">
        <f t="shared" si="486"/>
        <v>0</v>
      </c>
      <c r="GJ50" s="444">
        <f t="shared" si="486"/>
        <v>0</v>
      </c>
      <c r="GK50" s="444">
        <f>GK4-GK53</f>
        <v>0</v>
      </c>
      <c r="GL50" s="444">
        <f t="shared" si="486"/>
        <v>0</v>
      </c>
      <c r="GM50" s="444">
        <f t="shared" si="486"/>
        <v>0</v>
      </c>
      <c r="GN50" s="450">
        <f>GN4-GN53</f>
        <v>0</v>
      </c>
      <c r="GO50" s="450">
        <f t="shared" si="486"/>
        <v>0</v>
      </c>
      <c r="GP50" s="450">
        <f t="shared" si="486"/>
        <v>0</v>
      </c>
      <c r="GQ50" s="450">
        <f t="shared" si="486"/>
        <v>0</v>
      </c>
      <c r="GR50" s="450">
        <f t="shared" si="486"/>
        <v>0</v>
      </c>
      <c r="GS50" s="450">
        <f t="shared" si="486"/>
        <v>0</v>
      </c>
      <c r="GT50" s="450">
        <f t="shared" si="486"/>
        <v>0</v>
      </c>
      <c r="GU50" s="450">
        <f t="shared" si="486"/>
        <v>0</v>
      </c>
      <c r="GV50" s="450">
        <f t="shared" si="486"/>
        <v>0</v>
      </c>
      <c r="GW50" s="1418">
        <f>GW4-GW53</f>
        <v>0</v>
      </c>
      <c r="GX50" s="450">
        <f t="shared" si="486"/>
        <v>0</v>
      </c>
      <c r="GY50" s="450">
        <f>GY4-GY53</f>
        <v>0</v>
      </c>
      <c r="GZ50" s="450">
        <f t="shared" si="486"/>
        <v>0</v>
      </c>
      <c r="HA50" s="450">
        <f t="shared" si="486"/>
        <v>0</v>
      </c>
      <c r="HB50" s="450">
        <f t="shared" si="486"/>
        <v>0</v>
      </c>
      <c r="HC50" s="450">
        <f t="shared" si="486"/>
        <v>0</v>
      </c>
      <c r="HD50" s="450">
        <f t="shared" si="486"/>
        <v>0</v>
      </c>
      <c r="HE50" s="450">
        <f t="shared" si="486"/>
        <v>0</v>
      </c>
      <c r="HF50" s="450">
        <f>HF4-HF53</f>
        <v>0</v>
      </c>
      <c r="HG50" s="450">
        <f t="shared" si="486"/>
        <v>0</v>
      </c>
      <c r="HH50" s="450">
        <f t="shared" si="486"/>
        <v>0</v>
      </c>
      <c r="HI50" s="450">
        <f t="shared" si="486"/>
        <v>0</v>
      </c>
      <c r="HJ50" s="450">
        <f t="shared" si="486"/>
        <v>0</v>
      </c>
      <c r="HK50" s="450">
        <f t="shared" si="486"/>
        <v>0</v>
      </c>
      <c r="HL50" s="450">
        <f t="shared" si="486"/>
        <v>0</v>
      </c>
      <c r="HM50" s="450">
        <f t="shared" ref="HM50:HY50" si="487">HM4-HM53</f>
        <v>0</v>
      </c>
      <c r="HN50" s="450">
        <f t="shared" si="487"/>
        <v>0</v>
      </c>
      <c r="HO50" s="450">
        <f t="shared" si="487"/>
        <v>0</v>
      </c>
      <c r="HP50" s="450">
        <f t="shared" si="487"/>
        <v>0</v>
      </c>
      <c r="HQ50" s="450">
        <f t="shared" si="487"/>
        <v>0</v>
      </c>
      <c r="HR50" s="450">
        <f t="shared" si="487"/>
        <v>0</v>
      </c>
      <c r="HS50" s="450">
        <f t="shared" si="487"/>
        <v>0</v>
      </c>
      <c r="HT50" s="450">
        <f t="shared" si="487"/>
        <v>0</v>
      </c>
      <c r="HU50" s="450">
        <f t="shared" si="487"/>
        <v>0</v>
      </c>
      <c r="HV50" s="450">
        <f t="shared" si="487"/>
        <v>0</v>
      </c>
      <c r="HW50" s="450">
        <f t="shared" si="487"/>
        <v>0</v>
      </c>
      <c r="HX50" s="450">
        <f t="shared" si="487"/>
        <v>0</v>
      </c>
      <c r="HY50" s="450">
        <f t="shared" si="487"/>
        <v>-1.0000000000000009E-3</v>
      </c>
      <c r="HZ50" s="51"/>
      <c r="IA50" s="451">
        <f t="shared" ref="IA50:JJ52" si="488">IA4-IA53</f>
        <v>0</v>
      </c>
      <c r="IB50" s="451"/>
      <c r="IC50" s="451">
        <f>IC4-IC53</f>
        <v>0</v>
      </c>
      <c r="ID50" s="451"/>
      <c r="IE50" s="451">
        <f t="shared" si="488"/>
        <v>0</v>
      </c>
      <c r="IF50" s="451"/>
      <c r="IG50" s="1274">
        <f>IG4-IG53</f>
        <v>0</v>
      </c>
      <c r="IH50" s="1274">
        <f>IH4-IH53</f>
        <v>0</v>
      </c>
      <c r="II50" s="1282"/>
      <c r="IJ50" s="1282"/>
      <c r="IK50" s="452">
        <f t="shared" si="488"/>
        <v>0</v>
      </c>
      <c r="IL50" s="452">
        <f t="shared" si="488"/>
        <v>0</v>
      </c>
      <c r="IM50" s="452">
        <f t="shared" si="488"/>
        <v>0</v>
      </c>
      <c r="IN50" s="452">
        <f t="shared" si="488"/>
        <v>0</v>
      </c>
      <c r="IO50" s="452">
        <f t="shared" ref="IO50:IQ52" si="489">IO4-IO53</f>
        <v>0</v>
      </c>
      <c r="IP50" s="452">
        <f>IP4-IP53</f>
        <v>0</v>
      </c>
      <c r="IQ50" s="444">
        <f t="shared" si="489"/>
        <v>0</v>
      </c>
      <c r="IR50" s="452">
        <f t="shared" si="488"/>
        <v>0</v>
      </c>
      <c r="IS50" s="452">
        <f t="shared" si="488"/>
        <v>0</v>
      </c>
      <c r="IT50" s="452">
        <f t="shared" si="488"/>
        <v>0</v>
      </c>
      <c r="IU50" s="452">
        <f t="shared" si="488"/>
        <v>0</v>
      </c>
      <c r="IV50" s="452">
        <f t="shared" si="488"/>
        <v>0</v>
      </c>
      <c r="IW50" s="452">
        <f t="shared" si="488"/>
        <v>0</v>
      </c>
      <c r="IX50" s="452">
        <f t="shared" si="488"/>
        <v>0</v>
      </c>
      <c r="IY50" s="452">
        <f t="shared" si="488"/>
        <v>0</v>
      </c>
      <c r="IZ50" s="452">
        <f t="shared" si="488"/>
        <v>0</v>
      </c>
      <c r="JA50" s="452">
        <f t="shared" si="488"/>
        <v>0</v>
      </c>
      <c r="JB50" s="452">
        <f t="shared" si="488"/>
        <v>0</v>
      </c>
      <c r="JC50" s="452">
        <f t="shared" si="488"/>
        <v>0</v>
      </c>
      <c r="JD50" s="453">
        <f t="shared" si="488"/>
        <v>0</v>
      </c>
      <c r="JE50" s="453">
        <f t="shared" si="488"/>
        <v>0</v>
      </c>
      <c r="JF50" s="453">
        <f t="shared" si="488"/>
        <v>0</v>
      </c>
      <c r="JG50" s="453">
        <f t="shared" si="488"/>
        <v>0</v>
      </c>
      <c r="JH50" s="453">
        <f t="shared" si="488"/>
        <v>0</v>
      </c>
      <c r="JI50" s="453">
        <f t="shared" si="488"/>
        <v>0</v>
      </c>
      <c r="JJ50" s="453">
        <f>JJ4-JJ53</f>
        <v>0</v>
      </c>
      <c r="JK50" s="453">
        <f>JK4-JK53</f>
        <v>0</v>
      </c>
      <c r="JL50" s="453">
        <f t="shared" ref="JL50:JQ50" si="490">JL4-JL53</f>
        <v>0</v>
      </c>
      <c r="JM50" s="453">
        <f t="shared" si="490"/>
        <v>0</v>
      </c>
      <c r="JN50" s="453">
        <f t="shared" si="490"/>
        <v>0</v>
      </c>
      <c r="JO50" s="453">
        <f t="shared" si="490"/>
        <v>0</v>
      </c>
      <c r="JP50" s="453">
        <f t="shared" si="490"/>
        <v>0</v>
      </c>
      <c r="JQ50" s="453">
        <f t="shared" si="490"/>
        <v>0</v>
      </c>
      <c r="JR50" s="454">
        <f t="shared" ref="JR50:KT50" si="491">JR4-JR53</f>
        <v>0</v>
      </c>
      <c r="JS50" s="454">
        <f t="shared" si="491"/>
        <v>0</v>
      </c>
      <c r="JT50" s="454">
        <f t="shared" si="491"/>
        <v>0</v>
      </c>
      <c r="JU50" s="454">
        <f t="shared" si="491"/>
        <v>0</v>
      </c>
      <c r="JV50" s="454">
        <f t="shared" si="491"/>
        <v>0</v>
      </c>
      <c r="JW50" s="454">
        <f t="shared" si="491"/>
        <v>0</v>
      </c>
      <c r="JX50" s="454">
        <f>JX4-JX53</f>
        <v>0</v>
      </c>
      <c r="JY50" s="454">
        <f>JY4-JY53</f>
        <v>0</v>
      </c>
      <c r="JZ50" s="454">
        <f t="shared" si="491"/>
        <v>0</v>
      </c>
      <c r="KA50" s="454">
        <f t="shared" si="491"/>
        <v>0</v>
      </c>
      <c r="KB50" s="454">
        <f t="shared" si="491"/>
        <v>0</v>
      </c>
      <c r="KC50" s="454">
        <f t="shared" si="491"/>
        <v>0</v>
      </c>
      <c r="KD50" s="454">
        <f t="shared" si="491"/>
        <v>0</v>
      </c>
      <c r="KE50" s="454">
        <f t="shared" si="491"/>
        <v>0</v>
      </c>
      <c r="KF50" s="454">
        <f t="shared" si="491"/>
        <v>0</v>
      </c>
      <c r="KG50" s="454">
        <f t="shared" si="491"/>
        <v>0</v>
      </c>
      <c r="KH50" s="454">
        <f t="shared" si="491"/>
        <v>0</v>
      </c>
      <c r="KI50" s="454">
        <f>KI4-KI53</f>
        <v>0</v>
      </c>
      <c r="KJ50" s="454">
        <f>KJ4-KJ53</f>
        <v>0</v>
      </c>
      <c r="KK50" s="454">
        <f t="shared" si="491"/>
        <v>0</v>
      </c>
      <c r="KL50" s="454">
        <f t="shared" si="491"/>
        <v>0</v>
      </c>
      <c r="KM50" s="454">
        <f t="shared" si="491"/>
        <v>0</v>
      </c>
      <c r="KN50" s="454">
        <f t="shared" si="491"/>
        <v>0</v>
      </c>
      <c r="KO50" s="454">
        <f t="shared" si="491"/>
        <v>0</v>
      </c>
      <c r="KP50" s="454">
        <f t="shared" si="491"/>
        <v>0</v>
      </c>
      <c r="KQ50" s="454">
        <f t="shared" si="491"/>
        <v>0</v>
      </c>
      <c r="KR50" s="454">
        <f t="shared" si="491"/>
        <v>0</v>
      </c>
      <c r="KS50" s="454">
        <f t="shared" si="491"/>
        <v>0</v>
      </c>
      <c r="KT50" s="454">
        <f t="shared" si="491"/>
        <v>0</v>
      </c>
      <c r="KU50" s="454">
        <f t="shared" ref="KU50" si="492">KU4-KU53</f>
        <v>0</v>
      </c>
      <c r="KV50" s="454">
        <f t="shared" ref="KV50:KW52" si="493">KV4-KV53</f>
        <v>0</v>
      </c>
      <c r="KW50" s="454">
        <f t="shared" si="493"/>
        <v>0</v>
      </c>
      <c r="KX50" s="108"/>
      <c r="KY50" s="421"/>
      <c r="KZ50" s="421"/>
      <c r="LA50" s="421"/>
      <c r="LB50" s="421"/>
      <c r="LC50" s="421"/>
      <c r="LD50" s="421"/>
      <c r="LE50" s="421"/>
      <c r="LF50" s="421"/>
      <c r="LG50" s="421"/>
      <c r="LH50" s="421"/>
      <c r="LI50" s="421"/>
      <c r="LJ50" s="421"/>
      <c r="LK50" s="421"/>
      <c r="LL50" s="421"/>
      <c r="LM50" s="421"/>
      <c r="LN50" s="421"/>
      <c r="LO50" s="421"/>
      <c r="LP50" s="421"/>
      <c r="LQ50" s="421"/>
      <c r="LR50" s="421"/>
      <c r="LS50" s="421"/>
      <c r="LT50" s="421"/>
      <c r="LU50" s="421"/>
      <c r="LV50" s="421"/>
      <c r="LW50" s="421"/>
      <c r="LX50" s="421"/>
      <c r="LY50" s="421"/>
      <c r="LZ50" s="421"/>
      <c r="MA50" s="421"/>
      <c r="MB50" s="421"/>
      <c r="MC50" s="421"/>
      <c r="MD50" s="421"/>
      <c r="ME50" s="421"/>
      <c r="MF50" s="421"/>
      <c r="MG50" s="421"/>
      <c r="MH50" s="421"/>
      <c r="MI50" s="421"/>
      <c r="MJ50" s="421"/>
      <c r="MK50" s="421"/>
      <c r="ML50" s="421"/>
      <c r="MM50" s="1233"/>
      <c r="MN50" s="1233"/>
      <c r="MO50" s="1233"/>
      <c r="MP50" s="1233"/>
      <c r="MQ50" s="421"/>
      <c r="MR50" s="421"/>
      <c r="MS50" s="421"/>
      <c r="MT50" s="421"/>
      <c r="MU50" s="421"/>
      <c r="MV50" s="421"/>
      <c r="MW50" s="421"/>
      <c r="MX50" s="421"/>
      <c r="MY50" s="421"/>
      <c r="MZ50" s="421"/>
      <c r="NA50" s="421"/>
      <c r="NB50" s="421"/>
      <c r="NC50" s="421"/>
      <c r="ND50" s="421"/>
      <c r="NE50" s="421"/>
      <c r="NF50" s="421"/>
      <c r="NG50" s="421"/>
      <c r="NH50" s="421"/>
      <c r="NI50" s="421"/>
      <c r="NJ50" s="421"/>
      <c r="NK50" s="421"/>
      <c r="NL50" s="421"/>
      <c r="NM50" s="421"/>
      <c r="NN50" s="421"/>
      <c r="NO50" s="421"/>
      <c r="NP50" s="421"/>
      <c r="NQ50" s="421"/>
      <c r="NR50" s="421"/>
      <c r="NS50" s="421"/>
      <c r="NT50" s="421"/>
      <c r="NU50" s="421"/>
      <c r="NV50" s="421"/>
      <c r="NW50" s="421"/>
      <c r="NX50" s="421"/>
      <c r="NY50" s="421"/>
      <c r="NZ50" s="421"/>
      <c r="OA50" s="421"/>
      <c r="OB50" s="421"/>
      <c r="OC50" s="421"/>
      <c r="OD50" s="421"/>
      <c r="OE50" s="421"/>
      <c r="OF50" s="421"/>
      <c r="OG50" s="421"/>
      <c r="OH50" s="421"/>
      <c r="OI50" s="421"/>
      <c r="OJ50" s="421"/>
      <c r="OK50" s="421"/>
      <c r="OL50" s="421"/>
      <c r="OM50" s="421"/>
      <c r="ON50" s="421"/>
      <c r="OO50" s="421"/>
      <c r="OP50" s="421"/>
      <c r="OQ50" s="421"/>
      <c r="OR50" s="421"/>
      <c r="OS50" s="421"/>
      <c r="OT50" s="421"/>
      <c r="OU50" s="421"/>
      <c r="OV50" s="421"/>
      <c r="OW50" s="421"/>
      <c r="OX50" s="421"/>
      <c r="OY50" s="421"/>
      <c r="OZ50" s="421"/>
      <c r="PA50" s="421"/>
      <c r="PB50" s="421"/>
      <c r="PC50" s="421"/>
      <c r="PD50" s="421"/>
      <c r="PE50" s="421"/>
      <c r="PF50" s="421"/>
      <c r="PG50" s="421"/>
      <c r="PH50" s="421"/>
      <c r="PI50" s="421"/>
      <c r="PJ50" s="421"/>
      <c r="PK50" s="421"/>
      <c r="PL50" s="421"/>
      <c r="PM50" s="421"/>
    </row>
    <row r="51" spans="1:431" s="103" customFormat="1" ht="15" customHeight="1" outlineLevel="1">
      <c r="A51" s="2062"/>
      <c r="B51" s="455"/>
      <c r="C51" s="455"/>
      <c r="D51" s="455">
        <f ca="1">SUM(F51:KW51)</f>
        <v>0</v>
      </c>
      <c r="E51" s="1530"/>
      <c r="F51" s="456">
        <f>F5-F54</f>
        <v>0</v>
      </c>
      <c r="G51" s="456">
        <f>G5-G54</f>
        <v>0</v>
      </c>
      <c r="H51" s="457">
        <f t="shared" ref="H51:CI51" ca="1" si="494">H5-H54</f>
        <v>0</v>
      </c>
      <c r="I51" s="457">
        <f t="shared" ca="1" si="494"/>
        <v>0</v>
      </c>
      <c r="J51" s="457">
        <f t="shared" ca="1" si="494"/>
        <v>0</v>
      </c>
      <c r="K51" s="844">
        <f ca="1">K5-K54</f>
        <v>0</v>
      </c>
      <c r="L51" s="1092"/>
      <c r="M51" s="1092"/>
      <c r="N51" s="1092"/>
      <c r="O51" s="1092"/>
      <c r="P51" s="1092"/>
      <c r="Q51" s="458">
        <f t="shared" ca="1" si="494"/>
        <v>0</v>
      </c>
      <c r="R51" s="458">
        <f t="shared" ca="1" si="494"/>
        <v>0</v>
      </c>
      <c r="S51" s="458">
        <f t="shared" ca="1" si="494"/>
        <v>0</v>
      </c>
      <c r="T51" s="1109"/>
      <c r="U51" s="1109"/>
      <c r="V51" s="1109"/>
      <c r="W51" s="458">
        <f t="shared" ca="1" si="494"/>
        <v>0</v>
      </c>
      <c r="X51" s="458">
        <f t="shared" ca="1" si="494"/>
        <v>0</v>
      </c>
      <c r="Y51" s="1109"/>
      <c r="Z51" s="1109"/>
      <c r="AA51" s="458">
        <f t="shared" ca="1" si="494"/>
        <v>0</v>
      </c>
      <c r="AB51" s="458">
        <f t="shared" ca="1" si="494"/>
        <v>0</v>
      </c>
      <c r="AC51" s="1109"/>
      <c r="AD51" s="1109"/>
      <c r="AE51" s="458">
        <v>0</v>
      </c>
      <c r="AF51" s="458">
        <f t="shared" ca="1" si="494"/>
        <v>0</v>
      </c>
      <c r="AG51" s="1109"/>
      <c r="AH51" s="458">
        <f t="shared" si="494"/>
        <v>0</v>
      </c>
      <c r="AI51" s="458">
        <f t="shared" ref="AI51" ca="1" si="495">AI5-AI54</f>
        <v>0</v>
      </c>
      <c r="AJ51" s="1109"/>
      <c r="AK51" s="458">
        <f t="shared" ref="AK51:AL51" si="496">AK5-AK54</f>
        <v>0</v>
      </c>
      <c r="AL51" s="458">
        <f t="shared" ca="1" si="496"/>
        <v>0</v>
      </c>
      <c r="AM51" s="458">
        <f t="shared" si="494"/>
        <v>0</v>
      </c>
      <c r="AN51" s="1109">
        <f t="shared" si="494"/>
        <v>0</v>
      </c>
      <c r="AO51" s="458">
        <f t="shared" si="494"/>
        <v>0</v>
      </c>
      <c r="AP51" s="458">
        <f t="shared" si="494"/>
        <v>0</v>
      </c>
      <c r="AQ51" s="458">
        <f t="shared" si="494"/>
        <v>0</v>
      </c>
      <c r="AR51" s="458">
        <f t="shared" si="494"/>
        <v>0</v>
      </c>
      <c r="AS51" s="1126"/>
      <c r="AT51" s="1126"/>
      <c r="AU51" s="1126"/>
      <c r="AV51" s="1126"/>
      <c r="AW51" s="1126"/>
      <c r="AX51" s="459">
        <f t="shared" ref="AX51:BD51" si="497">AX5-AX54</f>
        <v>0</v>
      </c>
      <c r="AY51" s="459">
        <f t="shared" si="497"/>
        <v>0</v>
      </c>
      <c r="AZ51" s="459">
        <f t="shared" si="497"/>
        <v>0</v>
      </c>
      <c r="BA51" s="459">
        <f t="shared" si="497"/>
        <v>0</v>
      </c>
      <c r="BB51" s="459">
        <f t="shared" si="497"/>
        <v>0</v>
      </c>
      <c r="BC51" s="459">
        <f t="shared" si="497"/>
        <v>0</v>
      </c>
      <c r="BD51" s="459">
        <f t="shared" si="497"/>
        <v>0</v>
      </c>
      <c r="BE51" s="459">
        <f t="shared" si="494"/>
        <v>0</v>
      </c>
      <c r="BF51" s="459">
        <f ca="1">BF5-BF54</f>
        <v>0</v>
      </c>
      <c r="BG51" s="459">
        <f ca="1">BG5-BG54</f>
        <v>0</v>
      </c>
      <c r="BH51" s="459">
        <f t="shared" ca="1" si="494"/>
        <v>0</v>
      </c>
      <c r="BI51" s="459">
        <f t="shared" ref="BI51" ca="1" si="498">BI5-BI54</f>
        <v>0</v>
      </c>
      <c r="BJ51" s="459">
        <f t="shared" ca="1" si="494"/>
        <v>0</v>
      </c>
      <c r="BK51" s="459">
        <f t="shared" ca="1" si="494"/>
        <v>0</v>
      </c>
      <c r="BL51" s="459">
        <f t="shared" si="494"/>
        <v>0</v>
      </c>
      <c r="BM51" s="459">
        <f t="shared" si="494"/>
        <v>0</v>
      </c>
      <c r="BN51" s="459">
        <f t="shared" ca="1" si="494"/>
        <v>0</v>
      </c>
      <c r="BO51" s="459"/>
      <c r="BP51" s="459">
        <f t="shared" ref="BP51:BQ51" ca="1" si="499">BP5-BP54</f>
        <v>0</v>
      </c>
      <c r="BQ51" s="459">
        <f t="shared" ca="1" si="499"/>
        <v>0</v>
      </c>
      <c r="BR51" s="1126"/>
      <c r="BS51" s="459">
        <f t="shared" ref="BS51" si="500">BS5-BS54</f>
        <v>0</v>
      </c>
      <c r="BT51" s="459">
        <f t="shared" ca="1" si="494"/>
        <v>0</v>
      </c>
      <c r="BU51" s="459">
        <f t="shared" ca="1" si="494"/>
        <v>0</v>
      </c>
      <c r="BV51" s="1126"/>
      <c r="BW51" s="1166">
        <f t="shared" si="479"/>
        <v>0</v>
      </c>
      <c r="BX51" s="1166">
        <f t="shared" si="479"/>
        <v>0</v>
      </c>
      <c r="BY51" s="1166">
        <f t="shared" si="479"/>
        <v>0</v>
      </c>
      <c r="BZ51" s="460">
        <f t="shared" ca="1" si="494"/>
        <v>0</v>
      </c>
      <c r="CA51" s="460">
        <f t="shared" ca="1" si="494"/>
        <v>0</v>
      </c>
      <c r="CB51" s="460">
        <f t="shared" ca="1" si="494"/>
        <v>0</v>
      </c>
      <c r="CC51" s="460">
        <f t="shared" ca="1" si="494"/>
        <v>0</v>
      </c>
      <c r="CD51" s="460">
        <f t="shared" ca="1" si="494"/>
        <v>0</v>
      </c>
      <c r="CE51" s="460">
        <f t="shared" ca="1" si="494"/>
        <v>0</v>
      </c>
      <c r="CF51" s="460">
        <f t="shared" ca="1" si="494"/>
        <v>0</v>
      </c>
      <c r="CG51" s="460">
        <f t="shared" ca="1" si="494"/>
        <v>0</v>
      </c>
      <c r="CH51" s="460">
        <f t="shared" ca="1" si="494"/>
        <v>0</v>
      </c>
      <c r="CI51" s="460">
        <f t="shared" ca="1" si="494"/>
        <v>0</v>
      </c>
      <c r="CJ51" s="460">
        <f t="shared" ref="CJ51:FA51" ca="1" si="501">CJ5-CJ54</f>
        <v>0</v>
      </c>
      <c r="CK51" s="460">
        <f t="shared" si="501"/>
        <v>0</v>
      </c>
      <c r="CL51" s="460">
        <f t="shared" si="501"/>
        <v>0</v>
      </c>
      <c r="CM51" s="460">
        <f t="shared" si="501"/>
        <v>0</v>
      </c>
      <c r="CN51" s="460">
        <f t="shared" si="501"/>
        <v>0</v>
      </c>
      <c r="CO51" s="460">
        <f t="shared" si="501"/>
        <v>0</v>
      </c>
      <c r="CP51" s="460">
        <f t="shared" si="501"/>
        <v>0</v>
      </c>
      <c r="CQ51" s="460">
        <f t="shared" si="501"/>
        <v>0</v>
      </c>
      <c r="CR51" s="460">
        <f t="shared" si="501"/>
        <v>0</v>
      </c>
      <c r="CS51" s="460">
        <f t="shared" si="501"/>
        <v>0</v>
      </c>
      <c r="CT51" s="460">
        <f t="shared" si="501"/>
        <v>0</v>
      </c>
      <c r="CU51" s="460">
        <f t="shared" si="501"/>
        <v>0</v>
      </c>
      <c r="CV51" s="460">
        <f t="shared" ca="1" si="501"/>
        <v>0</v>
      </c>
      <c r="CW51" s="460">
        <f t="shared" ca="1" si="501"/>
        <v>0</v>
      </c>
      <c r="CX51" s="460">
        <f t="shared" ca="1" si="501"/>
        <v>0</v>
      </c>
      <c r="CY51" s="460">
        <f t="shared" ca="1" si="501"/>
        <v>0</v>
      </c>
      <c r="CZ51" s="460">
        <f t="shared" ca="1" si="501"/>
        <v>0</v>
      </c>
      <c r="DA51" s="460">
        <f t="shared" ca="1" si="501"/>
        <v>0</v>
      </c>
      <c r="DB51" s="460">
        <f t="shared" ca="1" si="501"/>
        <v>0</v>
      </c>
      <c r="DC51" s="460">
        <f t="shared" si="501"/>
        <v>0</v>
      </c>
      <c r="DD51" s="460">
        <f t="shared" si="501"/>
        <v>0</v>
      </c>
      <c r="DE51" s="460">
        <f t="shared" si="501"/>
        <v>0</v>
      </c>
      <c r="DF51" s="460">
        <f t="shared" si="501"/>
        <v>0</v>
      </c>
      <c r="DG51" s="460">
        <f t="shared" si="501"/>
        <v>0</v>
      </c>
      <c r="DH51" s="460">
        <f t="shared" si="501"/>
        <v>0</v>
      </c>
      <c r="DI51" s="460">
        <f t="shared" si="501"/>
        <v>0</v>
      </c>
      <c r="DJ51" s="460">
        <f t="shared" si="501"/>
        <v>0</v>
      </c>
      <c r="DK51" s="1172">
        <f t="shared" si="501"/>
        <v>0</v>
      </c>
      <c r="DL51" s="1172">
        <f t="shared" si="501"/>
        <v>0</v>
      </c>
      <c r="DM51" s="1172">
        <f t="shared" si="501"/>
        <v>0</v>
      </c>
      <c r="DN51" s="1172">
        <f t="shared" si="501"/>
        <v>0</v>
      </c>
      <c r="DO51" s="1172">
        <f t="shared" si="501"/>
        <v>0</v>
      </c>
      <c r="DP51" s="1172">
        <f t="shared" si="501"/>
        <v>0</v>
      </c>
      <c r="DQ51" s="1172">
        <f t="shared" si="501"/>
        <v>0</v>
      </c>
      <c r="DR51" s="1172">
        <f t="shared" si="501"/>
        <v>0</v>
      </c>
      <c r="DS51" s="1172">
        <f t="shared" si="501"/>
        <v>0</v>
      </c>
      <c r="DT51" s="1172">
        <f t="shared" si="501"/>
        <v>0</v>
      </c>
      <c r="DU51" s="1172">
        <f t="shared" si="501"/>
        <v>0</v>
      </c>
      <c r="DV51" s="1172">
        <f t="shared" si="501"/>
        <v>0</v>
      </c>
      <c r="DW51" s="1172">
        <f t="shared" si="501"/>
        <v>0</v>
      </c>
      <c r="DX51" s="1172">
        <f t="shared" si="501"/>
        <v>0</v>
      </c>
      <c r="DY51" s="1172">
        <f t="shared" si="501"/>
        <v>0</v>
      </c>
      <c r="DZ51" s="1172">
        <f t="shared" si="501"/>
        <v>0</v>
      </c>
      <c r="EA51" s="1172">
        <f t="shared" si="501"/>
        <v>0</v>
      </c>
      <c r="EB51" s="1172">
        <f t="shared" si="501"/>
        <v>0</v>
      </c>
      <c r="EC51" s="1172">
        <f t="shared" si="501"/>
        <v>0</v>
      </c>
      <c r="ED51" s="461">
        <f ca="1">ED5-ED54</f>
        <v>0</v>
      </c>
      <c r="EE51" s="461">
        <f t="shared" si="501"/>
        <v>0</v>
      </c>
      <c r="EF51" s="461">
        <f t="shared" ca="1" si="501"/>
        <v>0</v>
      </c>
      <c r="EG51" s="461">
        <f ca="1">EG5-EG54</f>
        <v>0</v>
      </c>
      <c r="EH51" s="461">
        <f t="shared" ref="EH51:EI51" si="502">EH5-EH54</f>
        <v>0</v>
      </c>
      <c r="EI51" s="461">
        <f t="shared" ca="1" si="502"/>
        <v>0</v>
      </c>
      <c r="EJ51" s="1172">
        <f>EJ5-EJ54</f>
        <v>0</v>
      </c>
      <c r="EK51" s="456">
        <f t="shared" si="501"/>
        <v>0</v>
      </c>
      <c r="EL51" s="456">
        <f ca="1">EL5-EL54</f>
        <v>0</v>
      </c>
      <c r="EM51" s="456">
        <f t="shared" si="501"/>
        <v>0</v>
      </c>
      <c r="EN51" s="456">
        <f t="shared" ca="1" si="501"/>
        <v>0</v>
      </c>
      <c r="EO51" s="456">
        <f t="shared" si="501"/>
        <v>0</v>
      </c>
      <c r="EP51" s="456">
        <f t="shared" ca="1" si="501"/>
        <v>0</v>
      </c>
      <c r="EQ51" s="456">
        <f t="shared" si="501"/>
        <v>0</v>
      </c>
      <c r="ER51" s="456">
        <f>ER5-ER54</f>
        <v>0</v>
      </c>
      <c r="ES51" s="1181">
        <f t="shared" si="485"/>
        <v>0</v>
      </c>
      <c r="ET51" s="1181">
        <f t="shared" si="485"/>
        <v>0</v>
      </c>
      <c r="EU51" s="456"/>
      <c r="EV51" s="456">
        <f ca="1">EV5-EV54</f>
        <v>0</v>
      </c>
      <c r="EW51" s="456">
        <f ca="1">EW5-EW54</f>
        <v>0</v>
      </c>
      <c r="EX51" s="456">
        <f>SUM(EX4:EX6)-EX54</f>
        <v>0</v>
      </c>
      <c r="EY51" s="456">
        <f t="shared" ca="1" si="501"/>
        <v>0</v>
      </c>
      <c r="EZ51" s="456">
        <f t="shared" ca="1" si="501"/>
        <v>0</v>
      </c>
      <c r="FA51" s="456">
        <f t="shared" si="501"/>
        <v>0</v>
      </c>
      <c r="FB51" s="456">
        <f t="shared" ref="FB51:HL51" ca="1" si="503">FB5-FB54</f>
        <v>0</v>
      </c>
      <c r="FC51" s="456">
        <f t="shared" ca="1" si="503"/>
        <v>0</v>
      </c>
      <c r="FD51" s="456">
        <f t="shared" si="503"/>
        <v>0</v>
      </c>
      <c r="FE51" s="456">
        <f t="shared" si="503"/>
        <v>0</v>
      </c>
      <c r="FF51" s="456">
        <f t="shared" si="503"/>
        <v>0</v>
      </c>
      <c r="FG51" s="456">
        <f t="shared" si="503"/>
        <v>0</v>
      </c>
      <c r="FH51" s="456">
        <f t="shared" si="503"/>
        <v>0</v>
      </c>
      <c r="FI51" s="456">
        <f t="shared" si="503"/>
        <v>0</v>
      </c>
      <c r="FJ51" s="456">
        <f t="shared" si="503"/>
        <v>0</v>
      </c>
      <c r="FK51" s="456">
        <f t="shared" si="503"/>
        <v>0</v>
      </c>
      <c r="FL51" s="456">
        <f t="shared" si="503"/>
        <v>0</v>
      </c>
      <c r="FM51" s="456">
        <f t="shared" si="503"/>
        <v>0</v>
      </c>
      <c r="FN51" s="456">
        <f t="shared" si="503"/>
        <v>0</v>
      </c>
      <c r="FO51" s="456">
        <f t="shared" si="503"/>
        <v>0</v>
      </c>
      <c r="FP51" s="456">
        <f t="shared" si="503"/>
        <v>0</v>
      </c>
      <c r="FQ51" s="456">
        <f t="shared" ca="1" si="503"/>
        <v>0</v>
      </c>
      <c r="FR51" s="456">
        <f t="shared" ca="1" si="503"/>
        <v>0</v>
      </c>
      <c r="FS51" s="456">
        <f t="shared" ca="1" si="503"/>
        <v>0</v>
      </c>
      <c r="FT51" s="456">
        <f t="shared" ca="1" si="503"/>
        <v>0</v>
      </c>
      <c r="FU51" s="456">
        <f t="shared" ca="1" si="503"/>
        <v>0</v>
      </c>
      <c r="FV51" s="456">
        <f t="shared" ca="1" si="503"/>
        <v>0</v>
      </c>
      <c r="FW51" s="456">
        <f t="shared" ca="1" si="503"/>
        <v>0</v>
      </c>
      <c r="FX51" s="456">
        <f t="shared" si="503"/>
        <v>0</v>
      </c>
      <c r="FY51" s="456">
        <f t="shared" si="503"/>
        <v>0</v>
      </c>
      <c r="FZ51" s="456">
        <f t="shared" si="503"/>
        <v>0</v>
      </c>
      <c r="GA51" s="456">
        <f t="shared" si="503"/>
        <v>0</v>
      </c>
      <c r="GB51" s="456">
        <f t="shared" si="503"/>
        <v>0</v>
      </c>
      <c r="GC51" s="456">
        <f t="shared" si="503"/>
        <v>0</v>
      </c>
      <c r="GD51" s="456">
        <f t="shared" si="503"/>
        <v>0</v>
      </c>
      <c r="GE51" s="456">
        <f t="shared" si="503"/>
        <v>0</v>
      </c>
      <c r="GF51" s="456">
        <f t="shared" si="503"/>
        <v>0</v>
      </c>
      <c r="GG51" s="456">
        <f t="shared" si="503"/>
        <v>0</v>
      </c>
      <c r="GH51" s="456">
        <f t="shared" si="503"/>
        <v>0</v>
      </c>
      <c r="GI51" s="456">
        <f t="shared" si="503"/>
        <v>0</v>
      </c>
      <c r="GJ51" s="456">
        <f t="shared" si="503"/>
        <v>0</v>
      </c>
      <c r="GK51" s="456">
        <f ca="1">GK5-GK54</f>
        <v>0</v>
      </c>
      <c r="GL51" s="456">
        <f t="shared" si="503"/>
        <v>0</v>
      </c>
      <c r="GM51" s="456">
        <f t="shared" ca="1" si="503"/>
        <v>0</v>
      </c>
      <c r="GN51" s="462">
        <f ca="1">GN5-GN54</f>
        <v>0</v>
      </c>
      <c r="GO51" s="462">
        <f t="shared" ca="1" si="503"/>
        <v>0</v>
      </c>
      <c r="GP51" s="462">
        <f t="shared" ca="1" si="503"/>
        <v>0</v>
      </c>
      <c r="GQ51" s="462">
        <f t="shared" ca="1" si="503"/>
        <v>0</v>
      </c>
      <c r="GR51" s="462">
        <f t="shared" ca="1" si="503"/>
        <v>0</v>
      </c>
      <c r="GS51" s="462">
        <f t="shared" ca="1" si="503"/>
        <v>0</v>
      </c>
      <c r="GT51" s="462">
        <f t="shared" ca="1" si="503"/>
        <v>0</v>
      </c>
      <c r="GU51" s="462">
        <f t="shared" ca="1" si="503"/>
        <v>0</v>
      </c>
      <c r="GV51" s="462">
        <f t="shared" ca="1" si="503"/>
        <v>0</v>
      </c>
      <c r="GW51" s="462">
        <f t="shared" ca="1" si="503"/>
        <v>0</v>
      </c>
      <c r="GX51" s="462">
        <f t="shared" si="503"/>
        <v>0</v>
      </c>
      <c r="GY51" s="462">
        <f t="shared" si="503"/>
        <v>0</v>
      </c>
      <c r="GZ51" s="462">
        <f t="shared" si="503"/>
        <v>0</v>
      </c>
      <c r="HA51" s="462">
        <f t="shared" si="503"/>
        <v>0</v>
      </c>
      <c r="HB51" s="462">
        <f t="shared" si="503"/>
        <v>0</v>
      </c>
      <c r="HC51" s="462">
        <f t="shared" si="503"/>
        <v>0</v>
      </c>
      <c r="HD51" s="462">
        <f t="shared" si="503"/>
        <v>0</v>
      </c>
      <c r="HE51" s="462">
        <f t="shared" si="503"/>
        <v>0</v>
      </c>
      <c r="HF51" s="462">
        <f t="shared" si="503"/>
        <v>0</v>
      </c>
      <c r="HG51" s="462">
        <f t="shared" ca="1" si="503"/>
        <v>0</v>
      </c>
      <c r="HH51" s="462">
        <f t="shared" ca="1" si="503"/>
        <v>0</v>
      </c>
      <c r="HI51" s="462">
        <f t="shared" ca="1" si="503"/>
        <v>0</v>
      </c>
      <c r="HJ51" s="462">
        <f t="shared" ca="1" si="503"/>
        <v>0</v>
      </c>
      <c r="HK51" s="462">
        <f t="shared" ca="1" si="503"/>
        <v>0</v>
      </c>
      <c r="HL51" s="462">
        <f t="shared" ca="1" si="503"/>
        <v>0</v>
      </c>
      <c r="HM51" s="462">
        <f t="shared" ref="HM51:HY51" ca="1" si="504">HM5-HM54</f>
        <v>0</v>
      </c>
      <c r="HN51" s="462">
        <f t="shared" ca="1" si="504"/>
        <v>0</v>
      </c>
      <c r="HO51" s="462">
        <f t="shared" ca="1" si="504"/>
        <v>0</v>
      </c>
      <c r="HP51" s="462">
        <f ca="1">HP5-HP54</f>
        <v>0</v>
      </c>
      <c r="HQ51" s="462">
        <f t="shared" si="504"/>
        <v>0</v>
      </c>
      <c r="HR51" s="462">
        <f t="shared" si="504"/>
        <v>0</v>
      </c>
      <c r="HS51" s="462">
        <f t="shared" si="504"/>
        <v>0</v>
      </c>
      <c r="HT51" s="462">
        <f t="shared" si="504"/>
        <v>0</v>
      </c>
      <c r="HU51" s="462">
        <f t="shared" si="504"/>
        <v>0</v>
      </c>
      <c r="HV51" s="462">
        <f t="shared" si="504"/>
        <v>0</v>
      </c>
      <c r="HW51" s="462">
        <f t="shared" si="504"/>
        <v>0</v>
      </c>
      <c r="HX51" s="462">
        <f t="shared" si="504"/>
        <v>0</v>
      </c>
      <c r="HY51" s="462">
        <f t="shared" si="504"/>
        <v>0</v>
      </c>
      <c r="HZ51" s="51"/>
      <c r="IA51" s="463">
        <f>IA5-IA54</f>
        <v>0</v>
      </c>
      <c r="IB51" s="463"/>
      <c r="IC51" s="463">
        <f>IC5-IC54</f>
        <v>0</v>
      </c>
      <c r="ID51" s="463"/>
      <c r="IE51" s="463">
        <f t="shared" ref="IE51:IE52" si="505">IE5-IE54</f>
        <v>0</v>
      </c>
      <c r="IF51" s="463"/>
      <c r="IG51" s="1271">
        <f t="shared" ref="IG51:IH51" si="506">IG5-IG54</f>
        <v>0</v>
      </c>
      <c r="IH51" s="1271">
        <f t="shared" si="506"/>
        <v>0</v>
      </c>
      <c r="II51" s="1283"/>
      <c r="IJ51" s="1283"/>
      <c r="IK51" s="464">
        <f t="shared" ref="IK51:IN52" si="507">IK5-IK54</f>
        <v>0</v>
      </c>
      <c r="IL51" s="464">
        <f t="shared" si="507"/>
        <v>0</v>
      </c>
      <c r="IM51" s="464">
        <f t="shared" si="507"/>
        <v>0</v>
      </c>
      <c r="IN51" s="464">
        <f t="shared" si="507"/>
        <v>0</v>
      </c>
      <c r="IO51" s="464">
        <f t="shared" si="489"/>
        <v>0</v>
      </c>
      <c r="IP51" s="464">
        <f>IP5-IP54</f>
        <v>0</v>
      </c>
      <c r="IQ51" s="456">
        <f t="shared" si="489"/>
        <v>0</v>
      </c>
      <c r="IR51" s="464">
        <f t="shared" ref="IR51:JC51" si="508">IR5-IR54</f>
        <v>0</v>
      </c>
      <c r="IS51" s="464">
        <f t="shared" si="508"/>
        <v>0</v>
      </c>
      <c r="IT51" s="464">
        <f t="shared" si="508"/>
        <v>0</v>
      </c>
      <c r="IU51" s="464">
        <f t="shared" si="508"/>
        <v>0</v>
      </c>
      <c r="IV51" s="464">
        <f t="shared" si="508"/>
        <v>0</v>
      </c>
      <c r="IW51" s="464">
        <f t="shared" si="508"/>
        <v>0</v>
      </c>
      <c r="IX51" s="464">
        <f t="shared" si="508"/>
        <v>0</v>
      </c>
      <c r="IY51" s="464">
        <f t="shared" si="508"/>
        <v>0</v>
      </c>
      <c r="IZ51" s="464">
        <f t="shared" si="508"/>
        <v>0</v>
      </c>
      <c r="JA51" s="464">
        <f t="shared" si="508"/>
        <v>0</v>
      </c>
      <c r="JB51" s="464">
        <f t="shared" si="508"/>
        <v>0</v>
      </c>
      <c r="JC51" s="464">
        <f t="shared" si="508"/>
        <v>0</v>
      </c>
      <c r="JD51" s="465">
        <f t="shared" si="488"/>
        <v>0</v>
      </c>
      <c r="JE51" s="465">
        <f t="shared" si="488"/>
        <v>0</v>
      </c>
      <c r="JF51" s="465">
        <f t="shared" si="488"/>
        <v>0</v>
      </c>
      <c r="JG51" s="465">
        <f t="shared" si="488"/>
        <v>0</v>
      </c>
      <c r="JH51" s="465">
        <f t="shared" si="488"/>
        <v>0</v>
      </c>
      <c r="JI51" s="465">
        <f t="shared" si="488"/>
        <v>0</v>
      </c>
      <c r="JJ51" s="465">
        <f t="shared" ca="1" si="488"/>
        <v>0</v>
      </c>
      <c r="JK51" s="465">
        <f ca="1">JK5-JK54</f>
        <v>0</v>
      </c>
      <c r="JL51" s="465">
        <f t="shared" ref="JL51:JQ51" ca="1" si="509">JL5-JL54</f>
        <v>0</v>
      </c>
      <c r="JM51" s="465">
        <f t="shared" ca="1" si="509"/>
        <v>0</v>
      </c>
      <c r="JN51" s="465">
        <f t="shared" ca="1" si="509"/>
        <v>0</v>
      </c>
      <c r="JO51" s="465">
        <f ca="1">JO5-JO54</f>
        <v>0</v>
      </c>
      <c r="JP51" s="465">
        <f t="shared" ca="1" si="509"/>
        <v>0</v>
      </c>
      <c r="JQ51" s="465">
        <f t="shared" ca="1" si="509"/>
        <v>0</v>
      </c>
      <c r="JR51" s="466">
        <f t="shared" ref="JR51:KS51" si="510">JR5-JR54</f>
        <v>0</v>
      </c>
      <c r="JS51" s="466">
        <f t="shared" si="510"/>
        <v>0</v>
      </c>
      <c r="JT51" s="466">
        <f t="shared" si="510"/>
        <v>0</v>
      </c>
      <c r="JU51" s="466">
        <f t="shared" si="510"/>
        <v>0</v>
      </c>
      <c r="JV51" s="466">
        <f t="shared" si="510"/>
        <v>0</v>
      </c>
      <c r="JW51" s="466">
        <f t="shared" si="510"/>
        <v>0</v>
      </c>
      <c r="JX51" s="466">
        <f t="shared" si="510"/>
        <v>0</v>
      </c>
      <c r="JY51" s="466">
        <f ca="1">JY5-JY54</f>
        <v>0</v>
      </c>
      <c r="JZ51" s="466">
        <f t="shared" si="510"/>
        <v>0</v>
      </c>
      <c r="KA51" s="466">
        <f t="shared" si="510"/>
        <v>0</v>
      </c>
      <c r="KB51" s="466">
        <f t="shared" si="510"/>
        <v>0</v>
      </c>
      <c r="KC51" s="466">
        <f t="shared" si="510"/>
        <v>0</v>
      </c>
      <c r="KD51" s="466">
        <f t="shared" si="510"/>
        <v>0</v>
      </c>
      <c r="KE51" s="466">
        <f t="shared" si="510"/>
        <v>0</v>
      </c>
      <c r="KF51" s="466">
        <f t="shared" si="510"/>
        <v>0</v>
      </c>
      <c r="KG51" s="466">
        <f t="shared" si="510"/>
        <v>0</v>
      </c>
      <c r="KH51" s="466">
        <f t="shared" si="510"/>
        <v>0</v>
      </c>
      <c r="KI51" s="466">
        <f ca="1">KI5-KI54</f>
        <v>0</v>
      </c>
      <c r="KJ51" s="466">
        <f t="shared" ca="1" si="510"/>
        <v>0</v>
      </c>
      <c r="KK51" s="466">
        <f t="shared" ca="1" si="510"/>
        <v>0</v>
      </c>
      <c r="KL51" s="466">
        <f t="shared" ca="1" si="510"/>
        <v>0</v>
      </c>
      <c r="KM51" s="466">
        <f t="shared" ca="1" si="510"/>
        <v>0</v>
      </c>
      <c r="KN51" s="466">
        <f t="shared" ca="1" si="510"/>
        <v>0</v>
      </c>
      <c r="KO51" s="466">
        <f t="shared" ca="1" si="510"/>
        <v>0</v>
      </c>
      <c r="KP51" s="466">
        <f t="shared" ca="1" si="510"/>
        <v>0</v>
      </c>
      <c r="KQ51" s="466">
        <f t="shared" ca="1" si="510"/>
        <v>0</v>
      </c>
      <c r="KR51" s="466">
        <f t="shared" ca="1" si="510"/>
        <v>0</v>
      </c>
      <c r="KS51" s="466">
        <f t="shared" ca="1" si="510"/>
        <v>0</v>
      </c>
      <c r="KT51" s="466">
        <f ca="1">KT5-KT54</f>
        <v>0</v>
      </c>
      <c r="KU51" s="466">
        <f t="shared" ref="KU51" ca="1" si="511">KU5-KU54</f>
        <v>0</v>
      </c>
      <c r="KV51" s="466">
        <f t="shared" ca="1" si="493"/>
        <v>0</v>
      </c>
      <c r="KW51" s="466">
        <f t="shared" ca="1" si="493"/>
        <v>0</v>
      </c>
      <c r="KX51" s="108"/>
      <c r="KY51" s="421"/>
      <c r="KZ51" s="421"/>
      <c r="LA51" s="421"/>
      <c r="LB51" s="421"/>
      <c r="LC51" s="421"/>
      <c r="LD51" s="421"/>
      <c r="LE51" s="421"/>
      <c r="LF51" s="421"/>
      <c r="LG51" s="421"/>
      <c r="LH51" s="421"/>
      <c r="LI51" s="421"/>
      <c r="LJ51" s="421"/>
      <c r="LK51" s="421"/>
      <c r="LL51" s="421"/>
      <c r="LM51" s="421"/>
      <c r="LN51" s="421"/>
      <c r="LO51" s="421"/>
      <c r="LP51" s="421"/>
      <c r="LQ51" s="421"/>
      <c r="LR51" s="421"/>
      <c r="LS51" s="421"/>
      <c r="LT51" s="421"/>
      <c r="LU51" s="421"/>
      <c r="LV51" s="421"/>
      <c r="LW51" s="421"/>
      <c r="LX51" s="421"/>
      <c r="LY51" s="421"/>
      <c r="LZ51" s="421"/>
      <c r="MA51" s="421"/>
      <c r="MB51" s="421"/>
      <c r="MC51" s="421"/>
      <c r="MD51" s="421"/>
      <c r="ME51" s="421"/>
      <c r="MF51" s="421"/>
      <c r="MG51" s="421"/>
      <c r="MH51" s="421"/>
      <c r="MI51" s="421"/>
      <c r="MJ51" s="421"/>
      <c r="MK51" s="421"/>
      <c r="ML51" s="421"/>
      <c r="MM51" s="1233"/>
      <c r="MN51" s="1233"/>
      <c r="MO51" s="1233"/>
      <c r="MP51" s="1233"/>
      <c r="MQ51" s="421"/>
      <c r="MR51" s="421"/>
      <c r="MS51" s="421"/>
      <c r="MT51" s="421"/>
      <c r="MU51" s="421"/>
      <c r="MV51" s="421"/>
      <c r="MW51" s="421"/>
      <c r="MX51" s="421"/>
      <c r="MY51" s="421"/>
      <c r="MZ51" s="421"/>
      <c r="NA51" s="421"/>
      <c r="NB51" s="421"/>
      <c r="NC51" s="421"/>
      <c r="ND51" s="421"/>
      <c r="NE51" s="421"/>
      <c r="NF51" s="421"/>
      <c r="NG51" s="421"/>
      <c r="NH51" s="421"/>
      <c r="NI51" s="421"/>
      <c r="NJ51" s="421"/>
      <c r="NK51" s="421"/>
      <c r="NL51" s="421"/>
      <c r="NM51" s="421"/>
      <c r="NN51" s="421"/>
      <c r="NO51" s="421"/>
      <c r="NP51" s="421"/>
      <c r="NQ51" s="421"/>
      <c r="NR51" s="421"/>
      <c r="NS51" s="421"/>
      <c r="NT51" s="421"/>
      <c r="NU51" s="421"/>
      <c r="NV51" s="421"/>
      <c r="NW51" s="421"/>
      <c r="NX51" s="421"/>
      <c r="NY51" s="421"/>
      <c r="NZ51" s="421"/>
      <c r="OA51" s="421"/>
      <c r="OB51" s="421"/>
      <c r="OC51" s="421"/>
      <c r="OD51" s="421"/>
      <c r="OE51" s="421"/>
      <c r="OF51" s="421"/>
      <c r="OG51" s="421"/>
      <c r="OH51" s="421"/>
      <c r="OI51" s="421"/>
      <c r="OJ51" s="421"/>
      <c r="OK51" s="421"/>
      <c r="OL51" s="421"/>
      <c r="OM51" s="421"/>
      <c r="ON51" s="421"/>
      <c r="OO51" s="421"/>
      <c r="OP51" s="421"/>
      <c r="OQ51" s="421"/>
      <c r="OR51" s="421"/>
      <c r="OS51" s="421"/>
      <c r="OT51" s="421"/>
      <c r="OU51" s="421"/>
      <c r="OV51" s="421"/>
      <c r="OW51" s="421"/>
      <c r="OX51" s="421"/>
      <c r="OY51" s="421"/>
      <c r="OZ51" s="421"/>
      <c r="PA51" s="421"/>
      <c r="PB51" s="421"/>
      <c r="PC51" s="421"/>
      <c r="PD51" s="421"/>
      <c r="PE51" s="421"/>
      <c r="PF51" s="421"/>
      <c r="PG51" s="421"/>
      <c r="PH51" s="421"/>
      <c r="PI51" s="421"/>
      <c r="PJ51" s="421"/>
      <c r="PK51" s="421"/>
      <c r="PL51" s="421"/>
      <c r="PM51" s="421"/>
    </row>
    <row r="52" spans="1:431" s="103" customFormat="1" ht="15" customHeight="1" outlineLevel="1">
      <c r="A52" s="2063"/>
      <c r="B52" s="467"/>
      <c r="C52" s="467"/>
      <c r="D52" s="467">
        <f ca="1">SUM(F52:KW52)</f>
        <v>-1.0000000000000009E-3</v>
      </c>
      <c r="E52" s="1530"/>
      <c r="F52" s="468">
        <f t="shared" ref="F52:CI52" ca="1" si="512">F6-F55</f>
        <v>0</v>
      </c>
      <c r="G52" s="468">
        <f t="shared" ca="1" si="512"/>
        <v>0</v>
      </c>
      <c r="H52" s="469">
        <f t="shared" ca="1" si="512"/>
        <v>0</v>
      </c>
      <c r="I52" s="469">
        <f ca="1">I6-I55</f>
        <v>0</v>
      </c>
      <c r="J52" s="469">
        <f t="shared" ca="1" si="512"/>
        <v>0</v>
      </c>
      <c r="K52" s="845">
        <f ca="1">K6-K55</f>
        <v>0</v>
      </c>
      <c r="L52" s="1093"/>
      <c r="M52" s="1093"/>
      <c r="N52" s="1093"/>
      <c r="O52" s="1093"/>
      <c r="P52" s="1093"/>
      <c r="Q52" s="470">
        <f t="shared" ca="1" si="512"/>
        <v>0</v>
      </c>
      <c r="R52" s="470">
        <f t="shared" ca="1" si="512"/>
        <v>0</v>
      </c>
      <c r="S52" s="470">
        <f t="shared" ca="1" si="512"/>
        <v>0</v>
      </c>
      <c r="T52" s="1110"/>
      <c r="U52" s="1110"/>
      <c r="V52" s="1110"/>
      <c r="W52" s="470">
        <f t="shared" ca="1" si="512"/>
        <v>0</v>
      </c>
      <c r="X52" s="470">
        <f t="shared" ca="1" si="512"/>
        <v>0</v>
      </c>
      <c r="Y52" s="1110"/>
      <c r="Z52" s="1110"/>
      <c r="AA52" s="470">
        <f t="shared" ca="1" si="512"/>
        <v>0</v>
      </c>
      <c r="AB52" s="470">
        <f t="shared" ca="1" si="512"/>
        <v>0</v>
      </c>
      <c r="AC52" s="1110"/>
      <c r="AD52" s="1110"/>
      <c r="AE52" s="470">
        <f t="shared" ca="1" si="512"/>
        <v>0</v>
      </c>
      <c r="AF52" s="470">
        <f t="shared" ca="1" si="512"/>
        <v>0</v>
      </c>
      <c r="AG52" s="1110"/>
      <c r="AH52" s="470">
        <f t="shared" ca="1" si="512"/>
        <v>0</v>
      </c>
      <c r="AI52" s="470">
        <f t="shared" ref="AI52" ca="1" si="513">AI6-AI55</f>
        <v>0</v>
      </c>
      <c r="AJ52" s="1110"/>
      <c r="AK52" s="470">
        <f t="shared" ref="AK52" ca="1" si="514">AK6-AK55</f>
        <v>0</v>
      </c>
      <c r="AL52" s="470">
        <f ca="1">AL6-AL55</f>
        <v>0</v>
      </c>
      <c r="AM52" s="470">
        <f ca="1">AM6-AM55</f>
        <v>0</v>
      </c>
      <c r="AN52" s="1110">
        <f t="shared" si="512"/>
        <v>0</v>
      </c>
      <c r="AO52" s="470">
        <f ca="1">AO6-AO55</f>
        <v>0</v>
      </c>
      <c r="AP52" s="470">
        <f t="shared" ca="1" si="512"/>
        <v>0</v>
      </c>
      <c r="AQ52" s="470">
        <f t="shared" ca="1" si="512"/>
        <v>0</v>
      </c>
      <c r="AR52" s="470">
        <f t="shared" si="512"/>
        <v>0</v>
      </c>
      <c r="AS52" s="1127"/>
      <c r="AT52" s="1127"/>
      <c r="AU52" s="1127"/>
      <c r="AV52" s="1127"/>
      <c r="AW52" s="1127"/>
      <c r="AX52" s="471">
        <f t="shared" ref="AX52:BD52" ca="1" si="515">AX6-AX55</f>
        <v>0</v>
      </c>
      <c r="AY52" s="471">
        <f t="shared" ca="1" si="515"/>
        <v>0</v>
      </c>
      <c r="AZ52" s="471">
        <f t="shared" ca="1" si="515"/>
        <v>0</v>
      </c>
      <c r="BA52" s="471">
        <f t="shared" ca="1" si="515"/>
        <v>0</v>
      </c>
      <c r="BB52" s="471">
        <f t="shared" ca="1" si="515"/>
        <v>0</v>
      </c>
      <c r="BC52" s="471">
        <f t="shared" ca="1" si="515"/>
        <v>0</v>
      </c>
      <c r="BD52" s="471">
        <f t="shared" ca="1" si="515"/>
        <v>0</v>
      </c>
      <c r="BE52" s="471">
        <f t="shared" ca="1" si="512"/>
        <v>0</v>
      </c>
      <c r="BF52" s="471">
        <f t="shared" ca="1" si="512"/>
        <v>0</v>
      </c>
      <c r="BG52" s="471">
        <f ca="1">BG6-BG55</f>
        <v>0</v>
      </c>
      <c r="BH52" s="471">
        <f t="shared" ca="1" si="512"/>
        <v>0</v>
      </c>
      <c r="BI52" s="471">
        <f t="shared" ref="BI52" ca="1" si="516">BI6-BI55</f>
        <v>0</v>
      </c>
      <c r="BJ52" s="471">
        <f t="shared" ca="1" si="512"/>
        <v>0</v>
      </c>
      <c r="BK52" s="471">
        <f t="shared" ca="1" si="512"/>
        <v>0</v>
      </c>
      <c r="BL52" s="471">
        <f t="shared" ca="1" si="512"/>
        <v>0</v>
      </c>
      <c r="BM52" s="471">
        <f t="shared" ca="1" si="512"/>
        <v>0</v>
      </c>
      <c r="BN52" s="471">
        <f t="shared" ca="1" si="512"/>
        <v>0</v>
      </c>
      <c r="BO52" s="471"/>
      <c r="BP52" s="471">
        <f t="shared" ref="BP52:BQ52" ca="1" si="517">BP6-BP55</f>
        <v>0</v>
      </c>
      <c r="BQ52" s="471">
        <f t="shared" ca="1" si="517"/>
        <v>0</v>
      </c>
      <c r="BR52" s="1127"/>
      <c r="BS52" s="471">
        <f ca="1">BS6-BS55</f>
        <v>0</v>
      </c>
      <c r="BT52" s="471">
        <f t="shared" ca="1" si="512"/>
        <v>0</v>
      </c>
      <c r="BU52" s="471">
        <f t="shared" ca="1" si="512"/>
        <v>0</v>
      </c>
      <c r="BV52" s="1127"/>
      <c r="BW52" s="1167">
        <f t="shared" ca="1" si="479"/>
        <v>0</v>
      </c>
      <c r="BX52" s="1167">
        <f t="shared" ca="1" si="479"/>
        <v>0</v>
      </c>
      <c r="BY52" s="1167">
        <f t="shared" ca="1" si="479"/>
        <v>0</v>
      </c>
      <c r="BZ52" s="472">
        <f t="shared" ca="1" si="512"/>
        <v>0</v>
      </c>
      <c r="CA52" s="472">
        <f t="shared" ca="1" si="512"/>
        <v>0</v>
      </c>
      <c r="CB52" s="472">
        <f t="shared" ca="1" si="512"/>
        <v>0</v>
      </c>
      <c r="CC52" s="472">
        <f t="shared" ca="1" si="512"/>
        <v>0</v>
      </c>
      <c r="CD52" s="472">
        <f t="shared" ca="1" si="512"/>
        <v>0</v>
      </c>
      <c r="CE52" s="472">
        <f t="shared" ca="1" si="512"/>
        <v>0</v>
      </c>
      <c r="CF52" s="472">
        <f t="shared" ca="1" si="512"/>
        <v>0</v>
      </c>
      <c r="CG52" s="472">
        <f t="shared" ca="1" si="512"/>
        <v>0</v>
      </c>
      <c r="CH52" s="472">
        <f t="shared" ca="1" si="512"/>
        <v>0</v>
      </c>
      <c r="CI52" s="472">
        <f t="shared" ca="1" si="512"/>
        <v>0</v>
      </c>
      <c r="CJ52" s="472">
        <f t="shared" ref="CJ52:FA52" ca="1" si="518">CJ6-CJ55</f>
        <v>0</v>
      </c>
      <c r="CK52" s="472">
        <f t="shared" ca="1" si="518"/>
        <v>0</v>
      </c>
      <c r="CL52" s="472">
        <f t="shared" ca="1" si="518"/>
        <v>0</v>
      </c>
      <c r="CM52" s="472">
        <f t="shared" ca="1" si="518"/>
        <v>0</v>
      </c>
      <c r="CN52" s="472">
        <f t="shared" ca="1" si="518"/>
        <v>0</v>
      </c>
      <c r="CO52" s="472">
        <f t="shared" ca="1" si="518"/>
        <v>0</v>
      </c>
      <c r="CP52" s="472">
        <f t="shared" ca="1" si="518"/>
        <v>0</v>
      </c>
      <c r="CQ52" s="472">
        <f t="shared" ca="1" si="518"/>
        <v>0</v>
      </c>
      <c r="CR52" s="472">
        <f t="shared" ca="1" si="518"/>
        <v>0</v>
      </c>
      <c r="CS52" s="472">
        <f t="shared" ca="1" si="518"/>
        <v>0</v>
      </c>
      <c r="CT52" s="472">
        <f t="shared" ca="1" si="518"/>
        <v>0</v>
      </c>
      <c r="CU52" s="472">
        <f t="shared" ca="1" si="518"/>
        <v>0</v>
      </c>
      <c r="CV52" s="472">
        <f t="shared" ca="1" si="518"/>
        <v>0</v>
      </c>
      <c r="CW52" s="472">
        <f t="shared" ca="1" si="518"/>
        <v>0</v>
      </c>
      <c r="CX52" s="472">
        <f t="shared" ca="1" si="518"/>
        <v>0</v>
      </c>
      <c r="CY52" s="472">
        <f t="shared" ca="1" si="518"/>
        <v>0</v>
      </c>
      <c r="CZ52" s="472">
        <f t="shared" ca="1" si="518"/>
        <v>0</v>
      </c>
      <c r="DA52" s="472">
        <f t="shared" ca="1" si="518"/>
        <v>0</v>
      </c>
      <c r="DB52" s="472">
        <f t="shared" ca="1" si="518"/>
        <v>0</v>
      </c>
      <c r="DC52" s="472">
        <f t="shared" ca="1" si="518"/>
        <v>0</v>
      </c>
      <c r="DD52" s="472">
        <f t="shared" ca="1" si="518"/>
        <v>0</v>
      </c>
      <c r="DE52" s="472">
        <f t="shared" ca="1" si="518"/>
        <v>0</v>
      </c>
      <c r="DF52" s="472">
        <f t="shared" ca="1" si="518"/>
        <v>0</v>
      </c>
      <c r="DG52" s="472">
        <f t="shared" ca="1" si="518"/>
        <v>0</v>
      </c>
      <c r="DH52" s="472">
        <f t="shared" ca="1" si="518"/>
        <v>0</v>
      </c>
      <c r="DI52" s="472">
        <f t="shared" ca="1" si="518"/>
        <v>0</v>
      </c>
      <c r="DJ52" s="472">
        <f t="shared" ca="1" si="518"/>
        <v>0</v>
      </c>
      <c r="DK52" s="1173">
        <f ca="1">DK6-DK55</f>
        <v>0</v>
      </c>
      <c r="DL52" s="1173">
        <f t="shared" ca="1" si="518"/>
        <v>0</v>
      </c>
      <c r="DM52" s="1173">
        <f t="shared" ca="1" si="518"/>
        <v>0</v>
      </c>
      <c r="DN52" s="1173">
        <f t="shared" ca="1" si="518"/>
        <v>0</v>
      </c>
      <c r="DO52" s="1173">
        <f t="shared" ca="1" si="518"/>
        <v>0</v>
      </c>
      <c r="DP52" s="1173">
        <f t="shared" ca="1" si="518"/>
        <v>0</v>
      </c>
      <c r="DQ52" s="1173">
        <f t="shared" ca="1" si="518"/>
        <v>0</v>
      </c>
      <c r="DR52" s="1173">
        <f t="shared" ca="1" si="518"/>
        <v>0</v>
      </c>
      <c r="DS52" s="1173">
        <f t="shared" ca="1" si="518"/>
        <v>0</v>
      </c>
      <c r="DT52" s="1173">
        <f t="shared" ca="1" si="518"/>
        <v>0</v>
      </c>
      <c r="DU52" s="1173">
        <f t="shared" ca="1" si="518"/>
        <v>0</v>
      </c>
      <c r="DV52" s="1173">
        <f t="shared" ca="1" si="518"/>
        <v>0</v>
      </c>
      <c r="DW52" s="1173">
        <f t="shared" ca="1" si="518"/>
        <v>0</v>
      </c>
      <c r="DX52" s="1173">
        <f t="shared" ca="1" si="518"/>
        <v>0</v>
      </c>
      <c r="DY52" s="1173">
        <f t="shared" ca="1" si="518"/>
        <v>0</v>
      </c>
      <c r="DZ52" s="1173">
        <f t="shared" ca="1" si="518"/>
        <v>0</v>
      </c>
      <c r="EA52" s="1173">
        <f t="shared" ca="1" si="518"/>
        <v>0</v>
      </c>
      <c r="EB52" s="1173">
        <f t="shared" ca="1" si="518"/>
        <v>0</v>
      </c>
      <c r="EC52" s="1173">
        <f t="shared" ca="1" si="518"/>
        <v>0</v>
      </c>
      <c r="ED52" s="473">
        <f ca="1">ED6-ED55</f>
        <v>0</v>
      </c>
      <c r="EE52" s="473">
        <f t="shared" si="518"/>
        <v>0</v>
      </c>
      <c r="EF52" s="473">
        <f t="shared" ca="1" si="518"/>
        <v>0</v>
      </c>
      <c r="EG52" s="473">
        <f ca="1">EG6-EG55</f>
        <v>0</v>
      </c>
      <c r="EH52" s="473">
        <f t="shared" ref="EH52:EI52" ca="1" si="519">EH6-EH55</f>
        <v>0</v>
      </c>
      <c r="EI52" s="473">
        <f t="shared" ca="1" si="519"/>
        <v>0</v>
      </c>
      <c r="EJ52" s="1173">
        <f ca="1">EJ6-EJ55</f>
        <v>0</v>
      </c>
      <c r="EK52" s="468">
        <f t="shared" si="518"/>
        <v>0</v>
      </c>
      <c r="EL52" s="468">
        <f t="shared" ca="1" si="518"/>
        <v>0</v>
      </c>
      <c r="EM52" s="468">
        <f t="shared" si="518"/>
        <v>0</v>
      </c>
      <c r="EN52" s="468">
        <f t="shared" ca="1" si="518"/>
        <v>0</v>
      </c>
      <c r="EO52" s="468">
        <f t="shared" si="518"/>
        <v>0</v>
      </c>
      <c r="EP52" s="468">
        <f t="shared" ca="1" si="518"/>
        <v>0</v>
      </c>
      <c r="EQ52" s="468">
        <f t="shared" si="518"/>
        <v>0</v>
      </c>
      <c r="ER52" s="468">
        <f t="shared" ref="ER52" si="520">ER6-ER55</f>
        <v>0</v>
      </c>
      <c r="ES52" s="1182">
        <f t="shared" ca="1" si="485"/>
        <v>0</v>
      </c>
      <c r="ET52" s="1182">
        <f t="shared" ca="1" si="485"/>
        <v>0</v>
      </c>
      <c r="EU52" s="468"/>
      <c r="EV52" s="468">
        <f t="shared" ca="1" si="518"/>
        <v>0</v>
      </c>
      <c r="EW52" s="468">
        <f t="shared" ca="1" si="518"/>
        <v>0</v>
      </c>
      <c r="EX52" s="468"/>
      <c r="EY52" s="468">
        <f t="shared" ca="1" si="518"/>
        <v>0</v>
      </c>
      <c r="EZ52" s="468">
        <f t="shared" ca="1" si="518"/>
        <v>0</v>
      </c>
      <c r="FA52" s="468">
        <f t="shared" ca="1" si="518"/>
        <v>0</v>
      </c>
      <c r="FB52" s="468">
        <f t="shared" ref="FB52:HL52" ca="1" si="521">FB6-FB55</f>
        <v>0</v>
      </c>
      <c r="FC52" s="468">
        <f t="shared" ca="1" si="521"/>
        <v>0</v>
      </c>
      <c r="FD52" s="468">
        <f t="shared" ca="1" si="521"/>
        <v>0</v>
      </c>
      <c r="FE52" s="468">
        <f t="shared" ca="1" si="521"/>
        <v>0</v>
      </c>
      <c r="FF52" s="468">
        <f t="shared" ca="1" si="521"/>
        <v>0</v>
      </c>
      <c r="FG52" s="468">
        <f t="shared" ca="1" si="521"/>
        <v>0</v>
      </c>
      <c r="FH52" s="468">
        <f t="shared" ca="1" si="521"/>
        <v>0</v>
      </c>
      <c r="FI52" s="468">
        <f t="shared" ca="1" si="521"/>
        <v>0</v>
      </c>
      <c r="FJ52" s="468">
        <f t="shared" ca="1" si="521"/>
        <v>0</v>
      </c>
      <c r="FK52" s="468">
        <f t="shared" ca="1" si="521"/>
        <v>0</v>
      </c>
      <c r="FL52" s="468">
        <f t="shared" ca="1" si="521"/>
        <v>0</v>
      </c>
      <c r="FM52" s="468">
        <f t="shared" ca="1" si="521"/>
        <v>0</v>
      </c>
      <c r="FN52" s="468">
        <f t="shared" ca="1" si="521"/>
        <v>0</v>
      </c>
      <c r="FO52" s="468">
        <f t="shared" ca="1" si="521"/>
        <v>0</v>
      </c>
      <c r="FP52" s="468">
        <f t="shared" ca="1" si="521"/>
        <v>0</v>
      </c>
      <c r="FQ52" s="468">
        <f t="shared" ca="1" si="521"/>
        <v>0</v>
      </c>
      <c r="FR52" s="468">
        <f t="shared" ca="1" si="521"/>
        <v>0</v>
      </c>
      <c r="FS52" s="468">
        <f t="shared" ca="1" si="521"/>
        <v>0</v>
      </c>
      <c r="FT52" s="468">
        <f t="shared" ca="1" si="521"/>
        <v>0</v>
      </c>
      <c r="FU52" s="468">
        <f t="shared" ca="1" si="521"/>
        <v>0</v>
      </c>
      <c r="FV52" s="468">
        <f t="shared" ca="1" si="521"/>
        <v>0</v>
      </c>
      <c r="FW52" s="468">
        <f t="shared" ca="1" si="521"/>
        <v>0</v>
      </c>
      <c r="FX52" s="468">
        <f t="shared" ca="1" si="521"/>
        <v>0</v>
      </c>
      <c r="FY52" s="468">
        <f t="shared" ca="1" si="521"/>
        <v>0</v>
      </c>
      <c r="FZ52" s="468">
        <f t="shared" ca="1" si="521"/>
        <v>0</v>
      </c>
      <c r="GA52" s="468">
        <f t="shared" ca="1" si="521"/>
        <v>0</v>
      </c>
      <c r="GB52" s="468">
        <f t="shared" ca="1" si="521"/>
        <v>0</v>
      </c>
      <c r="GC52" s="468">
        <f t="shared" ca="1" si="521"/>
        <v>0</v>
      </c>
      <c r="GD52" s="468">
        <f t="shared" ca="1" si="521"/>
        <v>0</v>
      </c>
      <c r="GE52" s="468">
        <f t="shared" ca="1" si="521"/>
        <v>0</v>
      </c>
      <c r="GF52" s="468">
        <f t="shared" ca="1" si="521"/>
        <v>0</v>
      </c>
      <c r="GG52" s="468">
        <f t="shared" ca="1" si="521"/>
        <v>0</v>
      </c>
      <c r="GH52" s="468">
        <f t="shared" ca="1" si="521"/>
        <v>0</v>
      </c>
      <c r="GI52" s="468">
        <f t="shared" ca="1" si="521"/>
        <v>0</v>
      </c>
      <c r="GJ52" s="468">
        <f t="shared" si="521"/>
        <v>0</v>
      </c>
      <c r="GK52" s="468">
        <f t="shared" ca="1" si="521"/>
        <v>0</v>
      </c>
      <c r="GL52" s="468">
        <f t="shared" si="521"/>
        <v>0</v>
      </c>
      <c r="GM52" s="468">
        <f t="shared" ca="1" si="521"/>
        <v>0</v>
      </c>
      <c r="GN52" s="474">
        <f t="shared" ca="1" si="521"/>
        <v>0</v>
      </c>
      <c r="GO52" s="474">
        <f t="shared" ca="1" si="521"/>
        <v>0</v>
      </c>
      <c r="GP52" s="474">
        <f t="shared" ca="1" si="521"/>
        <v>0</v>
      </c>
      <c r="GQ52" s="474">
        <f t="shared" ca="1" si="521"/>
        <v>0</v>
      </c>
      <c r="GR52" s="474">
        <f t="shared" ca="1" si="521"/>
        <v>0</v>
      </c>
      <c r="GS52" s="474">
        <f t="shared" ca="1" si="521"/>
        <v>0</v>
      </c>
      <c r="GT52" s="474">
        <f t="shared" ca="1" si="521"/>
        <v>0</v>
      </c>
      <c r="GU52" s="474">
        <f t="shared" ca="1" si="521"/>
        <v>0</v>
      </c>
      <c r="GV52" s="474">
        <f t="shared" ca="1" si="521"/>
        <v>0</v>
      </c>
      <c r="GW52" s="474">
        <f t="shared" ca="1" si="521"/>
        <v>0</v>
      </c>
      <c r="GX52" s="474">
        <f t="shared" ca="1" si="521"/>
        <v>0</v>
      </c>
      <c r="GY52" s="474">
        <f t="shared" ca="1" si="521"/>
        <v>0</v>
      </c>
      <c r="GZ52" s="474">
        <f t="shared" ca="1" si="521"/>
        <v>0</v>
      </c>
      <c r="HA52" s="474">
        <f t="shared" ca="1" si="521"/>
        <v>0</v>
      </c>
      <c r="HB52" s="474">
        <f t="shared" ca="1" si="521"/>
        <v>0</v>
      </c>
      <c r="HC52" s="474">
        <f t="shared" ca="1" si="521"/>
        <v>0</v>
      </c>
      <c r="HD52" s="474">
        <f t="shared" ca="1" si="521"/>
        <v>0</v>
      </c>
      <c r="HE52" s="474">
        <f t="shared" ca="1" si="521"/>
        <v>0</v>
      </c>
      <c r="HF52" s="474">
        <f t="shared" ca="1" si="521"/>
        <v>0</v>
      </c>
      <c r="HG52" s="474">
        <f ca="1">HG6-HG55</f>
        <v>0</v>
      </c>
      <c r="HH52" s="474">
        <f t="shared" ca="1" si="521"/>
        <v>0</v>
      </c>
      <c r="HI52" s="474">
        <f t="shared" ca="1" si="521"/>
        <v>0</v>
      </c>
      <c r="HJ52" s="474">
        <f t="shared" ca="1" si="521"/>
        <v>0</v>
      </c>
      <c r="HK52" s="474">
        <f t="shared" ca="1" si="521"/>
        <v>0</v>
      </c>
      <c r="HL52" s="474">
        <f t="shared" ca="1" si="521"/>
        <v>0</v>
      </c>
      <c r="HM52" s="474">
        <f t="shared" ref="HM52:HY52" ca="1" si="522">HM6-HM55</f>
        <v>0</v>
      </c>
      <c r="HN52" s="474">
        <f t="shared" ca="1" si="522"/>
        <v>0</v>
      </c>
      <c r="HO52" s="474">
        <f t="shared" ca="1" si="522"/>
        <v>0</v>
      </c>
      <c r="HP52" s="474">
        <f t="shared" ca="1" si="522"/>
        <v>0</v>
      </c>
      <c r="HQ52" s="474">
        <f t="shared" ca="1" si="522"/>
        <v>0</v>
      </c>
      <c r="HR52" s="474">
        <f t="shared" ca="1" si="522"/>
        <v>0</v>
      </c>
      <c r="HS52" s="474">
        <f t="shared" ca="1" si="522"/>
        <v>0</v>
      </c>
      <c r="HT52" s="474">
        <f t="shared" ca="1" si="522"/>
        <v>0</v>
      </c>
      <c r="HU52" s="474">
        <f t="shared" ca="1" si="522"/>
        <v>0</v>
      </c>
      <c r="HV52" s="474">
        <f t="shared" ca="1" si="522"/>
        <v>0</v>
      </c>
      <c r="HW52" s="474">
        <f t="shared" ca="1" si="522"/>
        <v>0</v>
      </c>
      <c r="HX52" s="474">
        <f t="shared" ca="1" si="522"/>
        <v>0</v>
      </c>
      <c r="HY52" s="474">
        <f t="shared" ca="1" si="522"/>
        <v>-1.0000000000000009E-3</v>
      </c>
      <c r="HZ52" s="51"/>
      <c r="IA52" s="475">
        <f ca="1">IA6-IA55</f>
        <v>0</v>
      </c>
      <c r="IB52" s="475"/>
      <c r="IC52" s="475">
        <f>IC6-IC55</f>
        <v>0</v>
      </c>
      <c r="ID52" s="475"/>
      <c r="IE52" s="475">
        <f t="shared" si="505"/>
        <v>0</v>
      </c>
      <c r="IF52" s="475"/>
      <c r="IG52" s="1272">
        <f>IG6-IG55</f>
        <v>0</v>
      </c>
      <c r="IH52" s="1272">
        <f ca="1">IH6-IH55</f>
        <v>0</v>
      </c>
      <c r="II52" s="1284"/>
      <c r="IJ52" s="1284"/>
      <c r="IK52" s="476">
        <f t="shared" si="507"/>
        <v>0</v>
      </c>
      <c r="IL52" s="476">
        <f t="shared" si="507"/>
        <v>0</v>
      </c>
      <c r="IM52" s="476">
        <f t="shared" si="507"/>
        <v>0</v>
      </c>
      <c r="IN52" s="476">
        <f t="shared" si="507"/>
        <v>0</v>
      </c>
      <c r="IO52" s="476">
        <f t="shared" ca="1" si="489"/>
        <v>0</v>
      </c>
      <c r="IP52" s="476">
        <f ca="1">IP6-IP55</f>
        <v>0</v>
      </c>
      <c r="IQ52" s="468">
        <f t="shared" ca="1" si="489"/>
        <v>0</v>
      </c>
      <c r="IR52" s="476">
        <f t="shared" ref="IR52:JC52" ca="1" si="523">IR6-IR55</f>
        <v>0</v>
      </c>
      <c r="IS52" s="476">
        <f t="shared" ca="1" si="523"/>
        <v>0</v>
      </c>
      <c r="IT52" s="476">
        <f t="shared" ca="1" si="523"/>
        <v>0</v>
      </c>
      <c r="IU52" s="476">
        <f t="shared" ca="1" si="523"/>
        <v>0</v>
      </c>
      <c r="IV52" s="476">
        <f t="shared" ca="1" si="523"/>
        <v>0</v>
      </c>
      <c r="IW52" s="476">
        <f t="shared" ca="1" si="523"/>
        <v>0</v>
      </c>
      <c r="IX52" s="476">
        <f t="shared" ca="1" si="523"/>
        <v>0</v>
      </c>
      <c r="IY52" s="476">
        <f t="shared" ca="1" si="523"/>
        <v>0</v>
      </c>
      <c r="IZ52" s="476">
        <f t="shared" ca="1" si="523"/>
        <v>0</v>
      </c>
      <c r="JA52" s="476">
        <f t="shared" ca="1" si="523"/>
        <v>0</v>
      </c>
      <c r="JB52" s="476">
        <f t="shared" ca="1" si="523"/>
        <v>0</v>
      </c>
      <c r="JC52" s="476">
        <f t="shared" ca="1" si="523"/>
        <v>0</v>
      </c>
      <c r="JD52" s="477">
        <f t="shared" ca="1" si="488"/>
        <v>0</v>
      </c>
      <c r="JE52" s="477">
        <f t="shared" ca="1" si="488"/>
        <v>0</v>
      </c>
      <c r="JF52" s="477">
        <f t="shared" ca="1" si="488"/>
        <v>0</v>
      </c>
      <c r="JG52" s="477">
        <f t="shared" ca="1" si="488"/>
        <v>0</v>
      </c>
      <c r="JH52" s="477">
        <f t="shared" si="488"/>
        <v>0</v>
      </c>
      <c r="JI52" s="477">
        <f t="shared" si="488"/>
        <v>0</v>
      </c>
      <c r="JJ52" s="477">
        <f t="shared" ca="1" si="488"/>
        <v>0</v>
      </c>
      <c r="JK52" s="477">
        <f t="shared" ref="JK52:JQ52" ca="1" si="524">JK6-JK55</f>
        <v>0</v>
      </c>
      <c r="JL52" s="477">
        <f t="shared" ca="1" si="524"/>
        <v>0</v>
      </c>
      <c r="JM52" s="477">
        <f t="shared" ca="1" si="524"/>
        <v>0</v>
      </c>
      <c r="JN52" s="477">
        <f t="shared" ca="1" si="524"/>
        <v>0</v>
      </c>
      <c r="JO52" s="477">
        <f t="shared" ca="1" si="524"/>
        <v>0</v>
      </c>
      <c r="JP52" s="477">
        <f t="shared" ca="1" si="524"/>
        <v>0</v>
      </c>
      <c r="JQ52" s="477">
        <f t="shared" ca="1" si="524"/>
        <v>0</v>
      </c>
      <c r="JR52" s="478">
        <f t="shared" ref="JR52:KT52" ca="1" si="525">JR6-JR55</f>
        <v>0</v>
      </c>
      <c r="JS52" s="478">
        <f t="shared" ca="1" si="525"/>
        <v>0</v>
      </c>
      <c r="JT52" s="478">
        <f t="shared" ca="1" si="525"/>
        <v>0</v>
      </c>
      <c r="JU52" s="478">
        <f t="shared" ca="1" si="525"/>
        <v>0</v>
      </c>
      <c r="JV52" s="478">
        <f t="shared" ca="1" si="525"/>
        <v>0</v>
      </c>
      <c r="JW52" s="478">
        <f t="shared" ca="1" si="525"/>
        <v>0</v>
      </c>
      <c r="JX52" s="478">
        <f t="shared" ca="1" si="525"/>
        <v>0</v>
      </c>
      <c r="JY52" s="478">
        <f ca="1">JY6-JY55</f>
        <v>0</v>
      </c>
      <c r="JZ52" s="478">
        <f t="shared" ca="1" si="525"/>
        <v>0</v>
      </c>
      <c r="KA52" s="478">
        <f t="shared" ca="1" si="525"/>
        <v>0</v>
      </c>
      <c r="KB52" s="478">
        <f t="shared" ca="1" si="525"/>
        <v>0</v>
      </c>
      <c r="KC52" s="478">
        <f t="shared" ca="1" si="525"/>
        <v>0</v>
      </c>
      <c r="KD52" s="478">
        <f t="shared" ca="1" si="525"/>
        <v>0</v>
      </c>
      <c r="KE52" s="478">
        <f t="shared" ca="1" si="525"/>
        <v>0</v>
      </c>
      <c r="KF52" s="478">
        <f t="shared" ca="1" si="525"/>
        <v>0</v>
      </c>
      <c r="KG52" s="478">
        <f t="shared" ca="1" si="525"/>
        <v>0</v>
      </c>
      <c r="KH52" s="478">
        <f t="shared" ca="1" si="525"/>
        <v>0</v>
      </c>
      <c r="KI52" s="478">
        <f ca="1">KI6-KI55</f>
        <v>0</v>
      </c>
      <c r="KJ52" s="478">
        <f t="shared" ca="1" si="525"/>
        <v>0</v>
      </c>
      <c r="KK52" s="478">
        <f t="shared" ca="1" si="525"/>
        <v>0</v>
      </c>
      <c r="KL52" s="478">
        <f t="shared" ca="1" si="525"/>
        <v>0</v>
      </c>
      <c r="KM52" s="478">
        <f t="shared" ca="1" si="525"/>
        <v>0</v>
      </c>
      <c r="KN52" s="478">
        <f t="shared" ca="1" si="525"/>
        <v>0</v>
      </c>
      <c r="KO52" s="478">
        <f t="shared" ca="1" si="525"/>
        <v>0</v>
      </c>
      <c r="KP52" s="478">
        <f t="shared" ca="1" si="525"/>
        <v>0</v>
      </c>
      <c r="KQ52" s="478">
        <f t="shared" ca="1" si="525"/>
        <v>0</v>
      </c>
      <c r="KR52" s="478">
        <f t="shared" ca="1" si="525"/>
        <v>0</v>
      </c>
      <c r="KS52" s="478">
        <f t="shared" ca="1" si="525"/>
        <v>0</v>
      </c>
      <c r="KT52" s="478">
        <f t="shared" ca="1" si="525"/>
        <v>0</v>
      </c>
      <c r="KU52" s="478">
        <f t="shared" ref="KU52" ca="1" si="526">KU6-KU55</f>
        <v>0</v>
      </c>
      <c r="KV52" s="478">
        <f t="shared" ca="1" si="493"/>
        <v>0</v>
      </c>
      <c r="KW52" s="478">
        <f t="shared" ca="1" si="493"/>
        <v>0</v>
      </c>
      <c r="KX52" s="108"/>
      <c r="KY52" s="421"/>
      <c r="KZ52" s="421"/>
      <c r="LA52" s="421"/>
      <c r="LB52" s="421"/>
      <c r="LC52" s="421"/>
      <c r="LD52" s="421"/>
      <c r="LE52" s="421"/>
      <c r="LF52" s="421"/>
      <c r="LG52" s="421"/>
      <c r="LH52" s="421"/>
      <c r="LI52" s="421"/>
      <c r="LJ52" s="421"/>
      <c r="LK52" s="421"/>
      <c r="LL52" s="421"/>
      <c r="LM52" s="421"/>
      <c r="LN52" s="421"/>
      <c r="LO52" s="421"/>
      <c r="LP52" s="421"/>
      <c r="LQ52" s="421"/>
      <c r="LR52" s="421"/>
      <c r="LS52" s="421"/>
      <c r="LT52" s="421"/>
      <c r="LU52" s="421"/>
      <c r="LV52" s="421"/>
      <c r="LW52" s="421"/>
      <c r="LX52" s="421"/>
      <c r="LY52" s="421"/>
      <c r="LZ52" s="421"/>
      <c r="MA52" s="421"/>
      <c r="MB52" s="421"/>
      <c r="MC52" s="421"/>
      <c r="MD52" s="421"/>
      <c r="ME52" s="421"/>
      <c r="MF52" s="421"/>
      <c r="MG52" s="421"/>
      <c r="MH52" s="421"/>
      <c r="MI52" s="421"/>
      <c r="MJ52" s="421"/>
      <c r="MK52" s="421"/>
      <c r="ML52" s="421"/>
      <c r="MM52" s="1233"/>
      <c r="MN52" s="1233"/>
      <c r="MO52" s="1233"/>
      <c r="MP52" s="1233"/>
      <c r="MQ52" s="421"/>
      <c r="MR52" s="421"/>
      <c r="MS52" s="421"/>
      <c r="MT52" s="421"/>
      <c r="MU52" s="421"/>
      <c r="MV52" s="421"/>
      <c r="MW52" s="421"/>
      <c r="MX52" s="421"/>
      <c r="MY52" s="421"/>
      <c r="MZ52" s="421"/>
      <c r="NA52" s="421"/>
      <c r="NB52" s="421"/>
      <c r="NC52" s="421"/>
      <c r="ND52" s="421"/>
      <c r="NE52" s="421"/>
      <c r="NF52" s="421"/>
      <c r="NG52" s="421"/>
      <c r="NH52" s="421"/>
      <c r="NI52" s="421"/>
      <c r="NJ52" s="421"/>
      <c r="NK52" s="421"/>
      <c r="NL52" s="421"/>
      <c r="NM52" s="421"/>
      <c r="NN52" s="421"/>
      <c r="NO52" s="421"/>
      <c r="NP52" s="421"/>
      <c r="NQ52" s="421"/>
      <c r="NR52" s="421"/>
      <c r="NS52" s="421"/>
      <c r="NT52" s="421"/>
      <c r="NU52" s="421"/>
      <c r="NV52" s="421"/>
      <c r="NW52" s="421"/>
      <c r="NX52" s="421"/>
      <c r="NY52" s="421"/>
      <c r="NZ52" s="421"/>
      <c r="OA52" s="421"/>
      <c r="OB52" s="421"/>
      <c r="OC52" s="421"/>
      <c r="OD52" s="421"/>
      <c r="OE52" s="421"/>
      <c r="OF52" s="421"/>
      <c r="OG52" s="421"/>
      <c r="OH52" s="421"/>
      <c r="OI52" s="421"/>
      <c r="OJ52" s="421"/>
      <c r="OK52" s="421"/>
      <c r="OL52" s="421"/>
      <c r="OM52" s="421"/>
      <c r="ON52" s="421"/>
      <c r="OO52" s="421"/>
      <c r="OP52" s="421"/>
      <c r="OQ52" s="421"/>
      <c r="OR52" s="421"/>
      <c r="OS52" s="421"/>
      <c r="OT52" s="421"/>
      <c r="OU52" s="421"/>
      <c r="OV52" s="421"/>
      <c r="OW52" s="421"/>
      <c r="OX52" s="421"/>
      <c r="OY52" s="421"/>
      <c r="OZ52" s="421"/>
      <c r="PA52" s="421"/>
      <c r="PB52" s="421"/>
      <c r="PC52" s="421"/>
      <c r="PD52" s="421"/>
      <c r="PE52" s="421"/>
      <c r="PF52" s="421"/>
      <c r="PG52" s="421"/>
      <c r="PH52" s="421"/>
      <c r="PI52" s="421"/>
      <c r="PJ52" s="421"/>
      <c r="PK52" s="421"/>
      <c r="PL52" s="421"/>
      <c r="PM52" s="421"/>
    </row>
    <row r="53" spans="1:431" s="511" customFormat="1" ht="15.75" customHeight="1" outlineLevel="1">
      <c r="A53" s="2064" t="s">
        <v>386</v>
      </c>
      <c r="B53" s="479" t="s">
        <v>537</v>
      </c>
      <c r="C53" s="513"/>
      <c r="D53" s="480"/>
      <c r="E53" s="1530"/>
      <c r="F53" s="481">
        <f ca="1">SUMPRODUCT(SUBTOTAL(3,OFFSET(F57:F270,ROW(F57:F270)-MIN(ROW(F57:F270)),0,1)),--(F57:F270&gt;0))</f>
        <v>84</v>
      </c>
      <c r="G53" s="481">
        <f ca="1">SUMPRODUCT(SUBTOTAL(3,OFFSET(G57:G270,ROW(G57:G270)-MIN(ROW(G57:G270)),0,1)),--(G57:G270&gt;0))</f>
        <v>61</v>
      </c>
      <c r="H53" s="482">
        <f>SUBTOTAL(9,H57:H270)</f>
        <v>66365</v>
      </c>
      <c r="I53" s="482">
        <f>SUBTOTAL(9,I57:I270)</f>
        <v>34276</v>
      </c>
      <c r="J53" s="482">
        <f>SUBTOTAL(9,J57:J270)</f>
        <v>100641</v>
      </c>
      <c r="K53" s="846">
        <f>SUBTOTAL(9,K57:K270)</f>
        <v>86198.459346032367</v>
      </c>
      <c r="L53" s="1094"/>
      <c r="M53" s="1095"/>
      <c r="N53" s="1095"/>
      <c r="O53" s="1095"/>
      <c r="P53" s="1095"/>
      <c r="Q53" s="483">
        <f>SUBTOTAL(9,Q57:Q270)</f>
        <v>960802</v>
      </c>
      <c r="R53" s="483">
        <f>SUBTOTAL(9,R57:R270)</f>
        <v>11123514</v>
      </c>
      <c r="S53" s="483">
        <f>SUBTOTAL(9,S57:S270)</f>
        <v>12084316</v>
      </c>
      <c r="T53" s="1113"/>
      <c r="U53" s="1113"/>
      <c r="V53" s="1113"/>
      <c r="W53" s="483">
        <f>SUBTOTAL(9,W57:W270)</f>
        <v>1831814.26</v>
      </c>
      <c r="X53" s="483">
        <f>SUBTOTAL(9,X57:X270)</f>
        <v>1644729</v>
      </c>
      <c r="Y53" s="1113"/>
      <c r="Z53" s="1113"/>
      <c r="AA53" s="483">
        <f>SUBTOTAL(9,AA57:AA270)</f>
        <v>187085.26</v>
      </c>
      <c r="AB53" s="483">
        <f>SUBTOTAL(9,AB57:AB270)</f>
        <v>13.818618521041188</v>
      </c>
      <c r="AC53" s="1112"/>
      <c r="AD53" s="1111"/>
      <c r="AE53" s="485">
        <f ca="1">SUMPRODUCT(SUBTOTAL(3,OFFSET(AE57:AE270,ROW(AE57:AE270)-MIN(ROW(AE57:AE270)),0,1)),--(AE57:AE270&gt;0))</f>
        <v>86</v>
      </c>
      <c r="AF53" s="484">
        <f>SUBTOTAL(9,AF57:AF270)</f>
        <v>172290.57</v>
      </c>
      <c r="AG53" s="1112"/>
      <c r="AH53" s="484">
        <f ca="1">SUMPRODUCT(SUBTOTAL(3,OFFSET(AH57:AH270,ROW(AH57:AH270)-MIN(ROW(AH57:AH270)),0,1)),--(AH57:AH270&gt;0))</f>
        <v>5</v>
      </c>
      <c r="AI53" s="484">
        <f>SUBTOTAL(9,AI57:AI270)</f>
        <v>8293</v>
      </c>
      <c r="AJ53" s="1113"/>
      <c r="AK53" s="484">
        <f ca="1">SUMPRODUCT(SUBTOTAL(3,OFFSET(AK57:AK270,ROW(AK57:AK270)-MIN(ROW(AK57:AK270)),0,1)),--(AK57:AK270&gt;0))</f>
        <v>62</v>
      </c>
      <c r="AL53" s="484">
        <f>SUBTOTAL(9,AL57:AL270)</f>
        <v>151695.48000000001</v>
      </c>
      <c r="AM53" s="486">
        <f>X53+AF53+AI53+AL53</f>
        <v>1977008.05</v>
      </c>
      <c r="AN53" s="1113">
        <f>Z53+AG53+AJ53</f>
        <v>0</v>
      </c>
      <c r="AO53" s="486">
        <f>EL53</f>
        <v>73164</v>
      </c>
      <c r="AP53" s="486">
        <f>ROUND(EP53*12,-2)</f>
        <v>40100</v>
      </c>
      <c r="AQ53" s="486">
        <f>+AM53+AO53+AP53</f>
        <v>2090272.05</v>
      </c>
      <c r="AR53" s="486">
        <f>Z53+AG53+AJ53</f>
        <v>0</v>
      </c>
      <c r="AS53" s="1128"/>
      <c r="AT53" s="1128"/>
      <c r="AU53" s="1128"/>
      <c r="AV53" s="1128"/>
      <c r="AW53" s="1129"/>
      <c r="AX53" s="487">
        <f t="shared" ref="AX53:BE53" ca="1" si="527">SUMPRODUCT(SUBTOTAL(3,OFFSET(AX57:AX270,ROW(AX57:AX270)-MIN(ROW(AX57:AX270)),0,1)),--(AX57:AX270&gt;0))</f>
        <v>56</v>
      </c>
      <c r="AY53" s="487">
        <f t="shared" ca="1" si="527"/>
        <v>27</v>
      </c>
      <c r="AZ53" s="487">
        <f t="shared" ca="1" si="527"/>
        <v>23</v>
      </c>
      <c r="BA53" s="487">
        <f t="shared" ca="1" si="527"/>
        <v>9</v>
      </c>
      <c r="BB53" s="487">
        <f t="shared" ca="1" si="527"/>
        <v>2</v>
      </c>
      <c r="BC53" s="487">
        <f t="shared" ca="1" si="527"/>
        <v>10</v>
      </c>
      <c r="BD53" s="487">
        <f t="shared" ca="1" si="527"/>
        <v>10</v>
      </c>
      <c r="BE53" s="487">
        <f t="shared" ca="1" si="527"/>
        <v>65</v>
      </c>
      <c r="BF53" s="488">
        <f t="shared" ref="BF53:BK53" si="528">SUBTOTAL(9,BF57:BF270)</f>
        <v>545478470</v>
      </c>
      <c r="BG53" s="814">
        <f t="shared" si="528"/>
        <v>192620866</v>
      </c>
      <c r="BH53" s="488">
        <f t="shared" si="528"/>
        <v>738099336</v>
      </c>
      <c r="BI53" s="488">
        <f t="shared" si="528"/>
        <v>3285545021</v>
      </c>
      <c r="BJ53" s="488">
        <f t="shared" si="528"/>
        <v>444477754</v>
      </c>
      <c r="BK53" s="488">
        <f t="shared" si="528"/>
        <v>259416063</v>
      </c>
      <c r="BL53" s="489">
        <f>ROUND(BJ53/BK53,2)</f>
        <v>1.71</v>
      </c>
      <c r="BM53" s="487">
        <f ca="1">SUMPRODUCT(SUBTOTAL(3,OFFSET(BM57:BM270,ROW(BM57:BM270)-MIN(ROW(BM57:BM270)),0,1)),--(BM57:BM270&gt;0))</f>
        <v>99</v>
      </c>
      <c r="BN53" s="488">
        <f>SUBTOTAL(9,BN57:BN270)</f>
        <v>629108076</v>
      </c>
      <c r="BO53" s="488"/>
      <c r="BP53" s="488">
        <f>SUBTOTAL(9,BP57:BP270)</f>
        <v>909815863</v>
      </c>
      <c r="BQ53" s="488">
        <f>SUBTOTAL(9,BQ57:BQ270)</f>
        <v>851711627</v>
      </c>
      <c r="BR53" s="1216">
        <f>SUBTOTAL(9,BR57:BR270)</f>
        <v>153.13316341204055</v>
      </c>
      <c r="BS53" s="487">
        <f ca="1">SUMPRODUCT(SUBTOTAL(3,OFFSET(BS57:BS270,ROW(BS57:BS270)-MIN(ROW(BS57:BS270)),0,1)),--(BS57:BS270&gt;0))</f>
        <v>65</v>
      </c>
      <c r="BT53" s="488">
        <f>SUBTOTAL(9,BT57:BT270)</f>
        <v>1504996061</v>
      </c>
      <c r="BU53" s="488">
        <f>SUBTOTAL(9,BU57:BU270)</f>
        <v>3307026705</v>
      </c>
      <c r="BV53" s="1216">
        <f>SUBTOTAL(9,BV57:BV270)</f>
        <v>60.387093246770192</v>
      </c>
      <c r="BW53" s="1168">
        <f>IF(BN53=0,0,+IF(K53=0,0,ROUND(BN53/K53,-1)))</f>
        <v>7300</v>
      </c>
      <c r="BX53" s="1168">
        <f>IF(BJ53=0,0,+IF(K53=0,0,ROUND(BJ53/K53,-1)))</f>
        <v>5160</v>
      </c>
      <c r="BY53" s="1168">
        <f>IF(BH53=0,0,+IF(K53=0,0,ROUND(BH53/K53,-1)))</f>
        <v>8560</v>
      </c>
      <c r="BZ53" s="490">
        <f t="shared" ref="BZ53:CI53" si="529">SUBTOTAL(9,BZ57:BZ270)</f>
        <v>160804744</v>
      </c>
      <c r="CA53" s="491">
        <f t="shared" si="529"/>
        <v>20859803</v>
      </c>
      <c r="CB53" s="491">
        <f t="shared" si="529"/>
        <v>62941377</v>
      </c>
      <c r="CC53" s="491">
        <f t="shared" si="529"/>
        <v>63461505</v>
      </c>
      <c r="CD53" s="491">
        <f t="shared" si="529"/>
        <v>1124344942</v>
      </c>
      <c r="CE53" s="491">
        <f t="shared" si="529"/>
        <v>7061509</v>
      </c>
      <c r="CF53" s="491">
        <f t="shared" si="529"/>
        <v>1131000</v>
      </c>
      <c r="CG53" s="491">
        <f t="shared" si="529"/>
        <v>258399167</v>
      </c>
      <c r="CH53" s="491">
        <f t="shared" si="529"/>
        <v>107890576</v>
      </c>
      <c r="CI53" s="491">
        <f t="shared" si="529"/>
        <v>68051096</v>
      </c>
      <c r="CJ53" s="492">
        <f>SUM(BZ53:CI53)</f>
        <v>1874945719</v>
      </c>
      <c r="CK53" s="493">
        <f t="shared" ref="CK53:CU53" si="530">ROUND(BZ53/$CJ53,3)</f>
        <v>8.5999999999999993E-2</v>
      </c>
      <c r="CL53" s="493">
        <f t="shared" si="530"/>
        <v>1.0999999999999999E-2</v>
      </c>
      <c r="CM53" s="493">
        <f t="shared" si="530"/>
        <v>3.4000000000000002E-2</v>
      </c>
      <c r="CN53" s="493">
        <f t="shared" si="530"/>
        <v>3.4000000000000002E-2</v>
      </c>
      <c r="CO53" s="493">
        <f t="shared" si="530"/>
        <v>0.6</v>
      </c>
      <c r="CP53" s="493">
        <f t="shared" si="530"/>
        <v>4.0000000000000001E-3</v>
      </c>
      <c r="CQ53" s="493">
        <f t="shared" si="530"/>
        <v>1E-3</v>
      </c>
      <c r="CR53" s="493">
        <f t="shared" si="530"/>
        <v>0.13800000000000001</v>
      </c>
      <c r="CS53" s="493">
        <f t="shared" si="530"/>
        <v>5.8000000000000003E-2</v>
      </c>
      <c r="CT53" s="493">
        <f t="shared" si="530"/>
        <v>3.5999999999999997E-2</v>
      </c>
      <c r="CU53" s="493">
        <f t="shared" si="530"/>
        <v>1</v>
      </c>
      <c r="CV53" s="491">
        <f t="shared" ref="CV53:DB53" si="531">SUBTOTAL(9,CV57:CV270)</f>
        <v>958369527</v>
      </c>
      <c r="CW53" s="491">
        <f t="shared" si="531"/>
        <v>177721053</v>
      </c>
      <c r="CX53" s="491">
        <f t="shared" si="531"/>
        <v>45890162</v>
      </c>
      <c r="CY53" s="491">
        <f t="shared" si="531"/>
        <v>610292768</v>
      </c>
      <c r="CZ53" s="491">
        <f t="shared" si="531"/>
        <v>25529372</v>
      </c>
      <c r="DA53" s="491">
        <f t="shared" si="531"/>
        <v>53406074</v>
      </c>
      <c r="DB53" s="491">
        <f t="shared" si="531"/>
        <v>1871208956</v>
      </c>
      <c r="DC53" s="493">
        <f t="shared" ref="DC53:DI53" si="532">ROUND(CV53/$DB53,3)</f>
        <v>0.51200000000000001</v>
      </c>
      <c r="DD53" s="493">
        <f t="shared" si="532"/>
        <v>9.5000000000000001E-2</v>
      </c>
      <c r="DE53" s="493">
        <f t="shared" si="532"/>
        <v>2.5000000000000001E-2</v>
      </c>
      <c r="DF53" s="493">
        <f t="shared" si="532"/>
        <v>0.32600000000000001</v>
      </c>
      <c r="DG53" s="493">
        <f t="shared" si="532"/>
        <v>1.4E-2</v>
      </c>
      <c r="DH53" s="493">
        <f t="shared" si="532"/>
        <v>2.9000000000000001E-2</v>
      </c>
      <c r="DI53" s="493">
        <f t="shared" si="532"/>
        <v>1</v>
      </c>
      <c r="DJ53" s="492">
        <f>CJ53-DB53</f>
        <v>3736763</v>
      </c>
      <c r="DK53" s="1174">
        <f t="shared" ref="DK53:DT53" si="533">IF(BZ53=0,0,+IF($K53=0,0,ROUND(BZ53/$K53,0)))</f>
        <v>1866</v>
      </c>
      <c r="DL53" s="1174">
        <f t="shared" si="533"/>
        <v>242</v>
      </c>
      <c r="DM53" s="1174">
        <f t="shared" si="533"/>
        <v>730</v>
      </c>
      <c r="DN53" s="1174">
        <f t="shared" si="533"/>
        <v>736</v>
      </c>
      <c r="DO53" s="1174">
        <f t="shared" si="533"/>
        <v>13044</v>
      </c>
      <c r="DP53" s="1174">
        <f t="shared" si="533"/>
        <v>82</v>
      </c>
      <c r="DQ53" s="1174">
        <f t="shared" si="533"/>
        <v>13</v>
      </c>
      <c r="DR53" s="1174">
        <f t="shared" si="533"/>
        <v>2998</v>
      </c>
      <c r="DS53" s="1174">
        <f t="shared" si="533"/>
        <v>1252</v>
      </c>
      <c r="DT53" s="1174">
        <f t="shared" si="533"/>
        <v>789</v>
      </c>
      <c r="DU53" s="1174">
        <f>SUM(DK53:DT53)</f>
        <v>21752</v>
      </c>
      <c r="DV53" s="1174">
        <f t="shared" ref="DV53:EA53" si="534">IF(CV53=0,0,+IF($K53=0,0,ROUND(CV53/$K53,0)))</f>
        <v>11118</v>
      </c>
      <c r="DW53" s="1174">
        <f t="shared" si="534"/>
        <v>2062</v>
      </c>
      <c r="DX53" s="1174">
        <f t="shared" si="534"/>
        <v>532</v>
      </c>
      <c r="DY53" s="1174">
        <f t="shared" si="534"/>
        <v>7080</v>
      </c>
      <c r="DZ53" s="1174">
        <f t="shared" si="534"/>
        <v>296</v>
      </c>
      <c r="EA53" s="1174">
        <f t="shared" si="534"/>
        <v>620</v>
      </c>
      <c r="EB53" s="1174">
        <f>SUM(DV53:EA53)</f>
        <v>21708</v>
      </c>
      <c r="EC53" s="1174">
        <f>DU53-EB53</f>
        <v>44</v>
      </c>
      <c r="ED53" s="494">
        <f>SUBTOTAL(9,ED57:ED270)</f>
        <v>18300</v>
      </c>
      <c r="EE53" s="495">
        <f>SUBTOTAL(9,EE57:EE270)</f>
        <v>72</v>
      </c>
      <c r="EF53" s="496">
        <f>SUBTOTAL(9,EF57:EF270)</f>
        <v>3166</v>
      </c>
      <c r="EG53" s="494">
        <f>SUBTOTAL(9,EG57:EG270)</f>
        <v>25839521.77</v>
      </c>
      <c r="EH53" s="1222">
        <f ca="1">SUMPRODUCT(SUBTOTAL(3,OFFSET(EH57:EH270,ROW(EH57:EH270)-MIN(ROW(EH57:EH270)),0,1)),--(EH57:EH270&gt;0))</f>
        <v>106</v>
      </c>
      <c r="EI53" s="1222">
        <f>SUBTOTAL(9,EI57:EI270)</f>
        <v>9.3560000000000034</v>
      </c>
      <c r="EJ53" s="1178">
        <f>IF(K53=0,0,+IF(ED53=0,0,ROUND(K53/ED53,1)))</f>
        <v>4.7</v>
      </c>
      <c r="EK53" s="497">
        <f t="shared" ref="EK53:ER53" si="535">SUBTOTAL(9,EK57:EK270)</f>
        <v>64</v>
      </c>
      <c r="EL53" s="498">
        <f t="shared" si="535"/>
        <v>73164</v>
      </c>
      <c r="EM53" s="497">
        <f t="shared" si="535"/>
        <v>63</v>
      </c>
      <c r="EN53" s="499">
        <f t="shared" si="535"/>
        <v>12.53999999999999</v>
      </c>
      <c r="EO53" s="497">
        <f t="shared" si="535"/>
        <v>32</v>
      </c>
      <c r="EP53" s="498">
        <f t="shared" si="535"/>
        <v>3339.4333333333334</v>
      </c>
      <c r="EQ53" s="497">
        <f t="shared" si="535"/>
        <v>14</v>
      </c>
      <c r="ER53" s="497">
        <f t="shared" si="535"/>
        <v>24</v>
      </c>
      <c r="ES53" s="1183">
        <f>IF(FE53=0,0,+IF(K53=0,0,ROUND(FE53/K53,-2)))</f>
        <v>4200</v>
      </c>
      <c r="ET53" s="1184">
        <f>IF(FY53=0,0,+IF(K53=0,0,ROUND(FY53/K53,-1)))</f>
        <v>-2520</v>
      </c>
      <c r="EU53" s="1238"/>
      <c r="EV53" s="498">
        <f>SUBTOTAL(9,EV57:EV270)</f>
        <v>9645015</v>
      </c>
      <c r="EW53" s="497">
        <f>SUBTOTAL(9,EW57:EW270)</f>
        <v>952491</v>
      </c>
      <c r="EX53" s="497"/>
      <c r="EY53" s="497">
        <f>SUBTOTAL(9,EY57:EY270)</f>
        <v>258399167</v>
      </c>
      <c r="EZ53" s="497">
        <f>SUBTOTAL(9,EZ57:EZ270)</f>
        <v>138054743</v>
      </c>
      <c r="FA53" s="80">
        <f>EY53-EZ53</f>
        <v>120344424</v>
      </c>
      <c r="FB53" s="497">
        <f>SUBTOTAL(9,FB57:FB270)</f>
        <v>107890576</v>
      </c>
      <c r="FC53" s="497">
        <f>SUBTOTAL(9,FC57:FC270)</f>
        <v>39666310</v>
      </c>
      <c r="FD53" s="80">
        <f>FB53-FC53</f>
        <v>68224266</v>
      </c>
      <c r="FE53" s="80">
        <f>EY53+FB53</f>
        <v>366289743</v>
      </c>
      <c r="FF53" s="80">
        <f>EZ53+FC53</f>
        <v>177721053</v>
      </c>
      <c r="FG53" s="80">
        <f>FE53-FF53</f>
        <v>188568690</v>
      </c>
      <c r="FH53" s="76">
        <f>ROUND(EY53/$EY53,2)</f>
        <v>1</v>
      </c>
      <c r="FI53" s="76">
        <f>ROUND(EZ53/$EY53,3)</f>
        <v>0.53400000000000003</v>
      </c>
      <c r="FJ53" s="76">
        <f>ROUND(FA53/$EY53,3)</f>
        <v>0.46600000000000003</v>
      </c>
      <c r="FK53" s="76">
        <f>ROUND(FB53/$FB53,2)</f>
        <v>1</v>
      </c>
      <c r="FL53" s="76">
        <f>ROUND(FC53/$FB53,3)</f>
        <v>0.36799999999999999</v>
      </c>
      <c r="FM53" s="76">
        <f>ROUND(FD53/$FB53,3)</f>
        <v>0.63200000000000001</v>
      </c>
      <c r="FN53" s="76">
        <f>ROUND(FE53/$FE53,2)</f>
        <v>1</v>
      </c>
      <c r="FO53" s="76">
        <f>ROUND(FF53/$FE53,3)</f>
        <v>0.48499999999999999</v>
      </c>
      <c r="FP53" s="76">
        <f>ROUND(FG53/$FE53,3)</f>
        <v>0.51500000000000001</v>
      </c>
      <c r="FQ53" s="497">
        <f t="shared" ref="FQ53:FW53" si="536">SUBTOTAL(9,FQ57:FQ270)</f>
        <v>285762198.39999998</v>
      </c>
      <c r="FR53" s="500">
        <f t="shared" si="536"/>
        <v>-19631129.200000003</v>
      </c>
      <c r="FS53" s="497">
        <f t="shared" si="536"/>
        <v>55265561</v>
      </c>
      <c r="FT53" s="497">
        <f t="shared" si="536"/>
        <v>7892806</v>
      </c>
      <c r="FU53" s="497">
        <f t="shared" si="536"/>
        <v>5145086</v>
      </c>
      <c r="FV53" s="497">
        <f t="shared" si="536"/>
        <v>3870631</v>
      </c>
      <c r="FW53" s="497">
        <f t="shared" si="536"/>
        <v>67545165</v>
      </c>
      <c r="FX53" s="501">
        <f>SUM(FQ53:FW53)</f>
        <v>405850318.19999999</v>
      </c>
      <c r="FY53" s="502">
        <f>ROUND(FG53-FX53,-2)</f>
        <v>-217281600</v>
      </c>
      <c r="FZ53" s="76">
        <f t="shared" ref="FZ53:GH53" si="537">ROUND(FQ53/$FE53,3)</f>
        <v>0.78</v>
      </c>
      <c r="GA53" s="76">
        <f t="shared" si="537"/>
        <v>-5.3999999999999999E-2</v>
      </c>
      <c r="GB53" s="76">
        <f t="shared" si="537"/>
        <v>0.151</v>
      </c>
      <c r="GC53" s="76">
        <f t="shared" si="537"/>
        <v>2.1999999999999999E-2</v>
      </c>
      <c r="GD53" s="76">
        <f t="shared" si="537"/>
        <v>1.4E-2</v>
      </c>
      <c r="GE53" s="76">
        <f t="shared" si="537"/>
        <v>1.0999999999999999E-2</v>
      </c>
      <c r="GF53" s="76">
        <f t="shared" si="537"/>
        <v>0.184</v>
      </c>
      <c r="GG53" s="76">
        <f t="shared" si="537"/>
        <v>1.1080000000000001</v>
      </c>
      <c r="GH53" s="76">
        <f t="shared" si="537"/>
        <v>-0.59299999999999997</v>
      </c>
      <c r="GI53" s="503">
        <f>EY53/FB53</f>
        <v>2.3950114697691482</v>
      </c>
      <c r="GJ53" s="497">
        <f t="shared" ref="GJ53:GW53" si="538">SUBTOTAL(9,GJ57:GJ270)</f>
        <v>94</v>
      </c>
      <c r="GK53" s="499">
        <f t="shared" si="538"/>
        <v>6.8979999999999961</v>
      </c>
      <c r="GL53" s="497">
        <f t="shared" si="538"/>
        <v>75</v>
      </c>
      <c r="GM53" s="499">
        <f t="shared" si="538"/>
        <v>4.9549999999999947</v>
      </c>
      <c r="GN53" s="504">
        <f t="shared" si="538"/>
        <v>1098</v>
      </c>
      <c r="GO53" s="504">
        <f t="shared" si="538"/>
        <v>6809.18</v>
      </c>
      <c r="GP53" s="504">
        <f t="shared" si="538"/>
        <v>1954575</v>
      </c>
      <c r="GQ53" s="504">
        <f t="shared" si="538"/>
        <v>60230938</v>
      </c>
      <c r="GR53" s="504">
        <f t="shared" si="538"/>
        <v>11784255</v>
      </c>
      <c r="GS53" s="504">
        <f t="shared" si="538"/>
        <v>32698357</v>
      </c>
      <c r="GT53" s="504">
        <f t="shared" si="538"/>
        <v>9307326</v>
      </c>
      <c r="GU53" s="504">
        <f t="shared" si="538"/>
        <v>3048549</v>
      </c>
      <c r="GV53" s="504">
        <f t="shared" si="538"/>
        <v>12900878.800000001</v>
      </c>
      <c r="GW53" s="504">
        <f t="shared" si="538"/>
        <v>129970303.8</v>
      </c>
      <c r="GX53" s="71">
        <f>ROUND(GW53/$GN53,-2)</f>
        <v>118400</v>
      </c>
      <c r="GY53" s="71">
        <f>ROUND(GW53/GO53,-2)</f>
        <v>19100</v>
      </c>
      <c r="GZ53" s="73">
        <f t="shared" ref="GZ53:HF53" si="539">ROUND(GQ53/$GW53,3)</f>
        <v>0.46300000000000002</v>
      </c>
      <c r="HA53" s="73">
        <f t="shared" si="539"/>
        <v>9.0999999999999998E-2</v>
      </c>
      <c r="HB53" s="73">
        <f t="shared" si="539"/>
        <v>0.252</v>
      </c>
      <c r="HC53" s="73">
        <f t="shared" si="539"/>
        <v>7.1999999999999995E-2</v>
      </c>
      <c r="HD53" s="73">
        <f t="shared" si="539"/>
        <v>2.3E-2</v>
      </c>
      <c r="HE53" s="73">
        <f t="shared" si="539"/>
        <v>9.9000000000000005E-2</v>
      </c>
      <c r="HF53" s="73">
        <f t="shared" si="539"/>
        <v>1</v>
      </c>
      <c r="HG53" s="504">
        <f t="shared" ref="HG53:HP53" si="540">SUBTOTAL(9,HG57:HG270)</f>
        <v>1705</v>
      </c>
      <c r="HH53" s="504">
        <f t="shared" si="540"/>
        <v>11905</v>
      </c>
      <c r="HI53" s="504">
        <f t="shared" si="540"/>
        <v>2687711</v>
      </c>
      <c r="HJ53" s="504">
        <f t="shared" si="540"/>
        <v>87228086</v>
      </c>
      <c r="HK53" s="504">
        <f t="shared" si="540"/>
        <v>15133697</v>
      </c>
      <c r="HL53" s="504">
        <f t="shared" si="540"/>
        <v>47389995</v>
      </c>
      <c r="HM53" s="504">
        <f t="shared" si="540"/>
        <v>11960276</v>
      </c>
      <c r="HN53" s="504">
        <f t="shared" si="540"/>
        <v>3385553</v>
      </c>
      <c r="HO53" s="504">
        <f t="shared" si="540"/>
        <v>19235591</v>
      </c>
      <c r="HP53" s="504">
        <f t="shared" si="540"/>
        <v>184333198</v>
      </c>
      <c r="HQ53" s="71">
        <f>ROUND(HP53/$HG53,-2)</f>
        <v>108100</v>
      </c>
      <c r="HR53" s="71">
        <f>IF(HP53=0,0,ROUND(HP53/HH53,-1))</f>
        <v>15480</v>
      </c>
      <c r="HS53" s="73">
        <f t="shared" ref="HS53:HY53" si="541">ROUND(HJ53/$HP53,3)</f>
        <v>0.47299999999999998</v>
      </c>
      <c r="HT53" s="73">
        <f t="shared" si="541"/>
        <v>8.2000000000000003E-2</v>
      </c>
      <c r="HU53" s="73">
        <f t="shared" si="541"/>
        <v>0.25700000000000001</v>
      </c>
      <c r="HV53" s="73">
        <f t="shared" si="541"/>
        <v>6.5000000000000002E-2</v>
      </c>
      <c r="HW53" s="73">
        <f t="shared" si="541"/>
        <v>1.7999999999999999E-2</v>
      </c>
      <c r="HX53" s="73">
        <f t="shared" si="541"/>
        <v>0.104</v>
      </c>
      <c r="HY53" s="73">
        <f t="shared" si="541"/>
        <v>1</v>
      </c>
      <c r="HZ53" s="51"/>
      <c r="IA53" s="274">
        <f>ROUND(Q53/S53,2)</f>
        <v>0.08</v>
      </c>
      <c r="IB53" s="274"/>
      <c r="IC53" s="505">
        <f>SUBTOTAL(9,IC57:IC270)</f>
        <v>113</v>
      </c>
      <c r="ID53" s="505"/>
      <c r="IE53" s="505">
        <f>SUBTOTAL(9,IE57:IE270)</f>
        <v>2</v>
      </c>
      <c r="IF53" s="505"/>
      <c r="IG53" s="1273">
        <f>IF(BI53=0,0,+IF(K53=0,0,BI53/K53))</f>
        <v>38116.05272213291</v>
      </c>
      <c r="IH53" s="1273">
        <f>IF(BU53=0,0,+IF(K53=0,0,BU53/K53))</f>
        <v>38365.264647299286</v>
      </c>
      <c r="II53" s="1285">
        <f t="shared" ref="II53:IN53" si="542">SUBTOTAL(9,II57:II270)</f>
        <v>111.56812189633921</v>
      </c>
      <c r="IJ53" s="1285">
        <f t="shared" si="542"/>
        <v>41.565041515701338</v>
      </c>
      <c r="IK53" s="506">
        <f t="shared" si="542"/>
        <v>37</v>
      </c>
      <c r="IL53" s="506">
        <f t="shared" si="542"/>
        <v>14</v>
      </c>
      <c r="IM53" s="506">
        <f t="shared" si="542"/>
        <v>42</v>
      </c>
      <c r="IN53" s="506">
        <f t="shared" si="542"/>
        <v>0</v>
      </c>
      <c r="IO53" s="751">
        <f>ROUND(FY53/$J53,-1)</f>
        <v>-2160</v>
      </c>
      <c r="IP53" s="751">
        <f>IF(K53=0,0,ROUND(FY53/K53,-1))</f>
        <v>-2520</v>
      </c>
      <c r="IQ53" s="76">
        <f>IF(FY53=0,0,+IF(CD53=0,0,FY53/CD53))</f>
        <v>-0.19325172541221786</v>
      </c>
      <c r="IR53" s="502">
        <f>EY53</f>
        <v>258399167</v>
      </c>
      <c r="IS53" s="502">
        <f>FB53</f>
        <v>107890576</v>
      </c>
      <c r="IT53" s="502">
        <f>FQ53</f>
        <v>285762198.39999998</v>
      </c>
      <c r="IU53" s="502">
        <f>FS53+FT53</f>
        <v>63158367</v>
      </c>
      <c r="IV53" s="502">
        <f>FF53</f>
        <v>177721053</v>
      </c>
      <c r="IW53" s="502">
        <f>SUM(FU53:FW53)+FR53</f>
        <v>56929752.799999997</v>
      </c>
      <c r="IX53" s="507">
        <f t="shared" ref="IX53:JC53" si="543">IF(IR53=0,0,ROUND(IR53/(SUM($IR53:$IS53)),3))</f>
        <v>0.70499999999999996</v>
      </c>
      <c r="IY53" s="507">
        <f t="shared" si="543"/>
        <v>0.29499999999999998</v>
      </c>
      <c r="IZ53" s="507">
        <f t="shared" si="543"/>
        <v>0.78</v>
      </c>
      <c r="JA53" s="507">
        <f t="shared" si="543"/>
        <v>0.17199999999999999</v>
      </c>
      <c r="JB53" s="507">
        <f t="shared" si="543"/>
        <v>0.48499999999999999</v>
      </c>
      <c r="JC53" s="507">
        <f t="shared" si="543"/>
        <v>0.155</v>
      </c>
      <c r="JD53" s="277">
        <f>CD53+CE53+CF53</f>
        <v>1132537451</v>
      </c>
      <c r="JE53" s="277">
        <f>BZ53+CA53+CB53+CC53</f>
        <v>308067429</v>
      </c>
      <c r="JF53" s="277">
        <f>JD53+JE53+CG53+CH53+CI53-CJ53</f>
        <v>0</v>
      </c>
      <c r="JG53" s="277">
        <f>CZ53+DA53</f>
        <v>78935446</v>
      </c>
      <c r="JH53" s="508">
        <f t="shared" ref="JH53:JQ53" si="544">SUBTOTAL(9,JH57:JH270)</f>
        <v>61</v>
      </c>
      <c r="JI53" s="508">
        <f t="shared" si="544"/>
        <v>90</v>
      </c>
      <c r="JJ53" s="508">
        <f t="shared" si="544"/>
        <v>67.120715885276709</v>
      </c>
      <c r="JK53" s="508">
        <f t="shared" si="544"/>
        <v>61.134560090601482</v>
      </c>
      <c r="JL53" s="508">
        <f t="shared" si="544"/>
        <v>11.087133185256395</v>
      </c>
      <c r="JM53" s="508">
        <f t="shared" si="544"/>
        <v>2.786655821105072</v>
      </c>
      <c r="JN53" s="508">
        <f t="shared" si="544"/>
        <v>38.771834450770996</v>
      </c>
      <c r="JO53" s="508">
        <f t="shared" si="544"/>
        <v>1.6638219456468919</v>
      </c>
      <c r="JP53" s="508">
        <f t="shared" si="544"/>
        <v>3.6786131429918756</v>
      </c>
      <c r="JQ53" s="508">
        <f t="shared" si="544"/>
        <v>119.12261863637264</v>
      </c>
      <c r="JR53" s="509">
        <f t="shared" ref="JR53:JW53" si="545">ROUND(GQ53/$GN53,-2)</f>
        <v>54900</v>
      </c>
      <c r="JS53" s="509">
        <f t="shared" si="545"/>
        <v>10700</v>
      </c>
      <c r="JT53" s="509">
        <f t="shared" si="545"/>
        <v>29800</v>
      </c>
      <c r="JU53" s="509">
        <f t="shared" si="545"/>
        <v>8500</v>
      </c>
      <c r="JV53" s="509">
        <f t="shared" si="545"/>
        <v>2800</v>
      </c>
      <c r="JW53" s="509">
        <f t="shared" si="545"/>
        <v>11700</v>
      </c>
      <c r="JX53" s="509">
        <f>GW53/GP53</f>
        <v>66.495429338858827</v>
      </c>
      <c r="JY53" s="769">
        <f>SUBTOTAL(9,JY57:JY270)</f>
        <v>13.437576051209815</v>
      </c>
      <c r="JZ53" s="509">
        <f t="shared" ref="JZ53:KE53" si="546">ROUND(HJ53/$HG53,-2)</f>
        <v>51200</v>
      </c>
      <c r="KA53" s="509">
        <f t="shared" si="546"/>
        <v>8900</v>
      </c>
      <c r="KB53" s="509">
        <f t="shared" si="546"/>
        <v>27800</v>
      </c>
      <c r="KC53" s="509">
        <f t="shared" si="546"/>
        <v>7000</v>
      </c>
      <c r="KD53" s="509">
        <f t="shared" si="546"/>
        <v>2000</v>
      </c>
      <c r="KE53" s="509">
        <f t="shared" si="546"/>
        <v>11300</v>
      </c>
      <c r="KF53" s="509">
        <f>ROUND(HI53/HG53*18,-2)</f>
        <v>28400</v>
      </c>
      <c r="KG53" s="509">
        <f>ROUND(HH53/HG53*36,0)</f>
        <v>251</v>
      </c>
      <c r="KH53" s="509">
        <f>ROUND(HP53/HI53,0)</f>
        <v>69</v>
      </c>
      <c r="KI53" s="769">
        <f t="shared" ref="KI53:KW53" si="547">SUBTOTAL(9,KI57:KI270)</f>
        <v>9.0610479444176981</v>
      </c>
      <c r="KJ53" s="510">
        <f t="shared" si="547"/>
        <v>2803</v>
      </c>
      <c r="KK53" s="510">
        <f t="shared" si="547"/>
        <v>4642286</v>
      </c>
      <c r="KL53" s="510">
        <f t="shared" si="547"/>
        <v>18714.18</v>
      </c>
      <c r="KM53" s="510">
        <f t="shared" si="547"/>
        <v>11756018.47858892</v>
      </c>
      <c r="KN53" s="510">
        <f t="shared" si="547"/>
        <v>8336.7388184948231</v>
      </c>
      <c r="KO53" s="510">
        <f t="shared" si="547"/>
        <v>1942110.4881760448</v>
      </c>
      <c r="KP53" s="510">
        <f t="shared" si="547"/>
        <v>147459024</v>
      </c>
      <c r="KQ53" s="510">
        <f t="shared" si="547"/>
        <v>26917952</v>
      </c>
      <c r="KR53" s="510">
        <f t="shared" si="547"/>
        <v>80088352</v>
      </c>
      <c r="KS53" s="510">
        <f t="shared" si="547"/>
        <v>21267602</v>
      </c>
      <c r="KT53" s="510">
        <f t="shared" si="547"/>
        <v>6434102</v>
      </c>
      <c r="KU53" s="510">
        <f t="shared" si="547"/>
        <v>32136469.800000001</v>
      </c>
      <c r="KV53" s="510">
        <f t="shared" si="547"/>
        <v>22.498623995627515</v>
      </c>
      <c r="KW53" s="510">
        <f t="shared" si="547"/>
        <v>-33.838004715618048</v>
      </c>
      <c r="KX53" s="108"/>
      <c r="KY53" s="421"/>
      <c r="KZ53" s="421"/>
      <c r="LA53" s="421"/>
      <c r="LB53" s="421"/>
      <c r="LC53" s="282"/>
      <c r="LD53" s="282"/>
      <c r="LE53" s="282"/>
      <c r="LF53" s="282"/>
      <c r="LG53" s="282"/>
      <c r="LH53" s="282"/>
      <c r="LI53" s="282"/>
      <c r="LJ53" s="282"/>
      <c r="LK53" s="282"/>
      <c r="LL53" s="282"/>
      <c r="LM53" s="282"/>
      <c r="LN53" s="282"/>
      <c r="LO53" s="282"/>
      <c r="LP53" s="282"/>
      <c r="LQ53" s="421"/>
      <c r="LR53" s="421"/>
      <c r="LS53" s="421"/>
      <c r="LT53" s="282"/>
      <c r="LU53" s="282"/>
      <c r="LV53" s="282"/>
      <c r="LW53" s="282"/>
      <c r="LX53" s="282"/>
      <c r="LY53" s="282"/>
      <c r="LZ53" s="282"/>
      <c r="MA53" s="282"/>
      <c r="MB53" s="282"/>
      <c r="MC53" s="282"/>
      <c r="MD53" s="282"/>
      <c r="ME53" s="282"/>
      <c r="MF53" s="282"/>
      <c r="MG53" s="282"/>
      <c r="MH53" s="282"/>
      <c r="MI53" s="282"/>
      <c r="MJ53" s="282"/>
      <c r="MK53" s="282"/>
      <c r="ML53" s="282"/>
      <c r="MM53" s="1232"/>
      <c r="MN53" s="1232"/>
      <c r="MO53" s="1232"/>
      <c r="MP53" s="1232"/>
      <c r="MQ53" s="421"/>
      <c r="MR53" s="421"/>
      <c r="MS53" s="421"/>
      <c r="MT53" s="421"/>
      <c r="MU53" s="421"/>
      <c r="MV53" s="421"/>
      <c r="MW53" s="421"/>
      <c r="MX53" s="421"/>
      <c r="MY53" s="421"/>
      <c r="MZ53" s="421"/>
      <c r="NA53" s="421"/>
      <c r="NB53" s="421"/>
      <c r="NC53" s="421"/>
      <c r="ND53" s="421"/>
      <c r="NE53" s="421"/>
      <c r="NF53" s="421"/>
      <c r="NG53" s="421"/>
      <c r="NH53" s="421"/>
      <c r="NI53" s="421"/>
      <c r="NJ53" s="421"/>
      <c r="NK53" s="421"/>
      <c r="NL53" s="421"/>
      <c r="NM53" s="282"/>
      <c r="NN53" s="282"/>
      <c r="NO53" s="282"/>
      <c r="NP53" s="282"/>
      <c r="NQ53" s="282"/>
      <c r="NR53" s="282"/>
      <c r="NS53" s="282"/>
      <c r="NT53" s="282"/>
      <c r="NU53" s="282"/>
      <c r="NV53" s="282"/>
      <c r="NW53" s="282"/>
      <c r="NX53" s="282"/>
      <c r="NY53" s="282"/>
      <c r="NZ53" s="282"/>
      <c r="OA53" s="282"/>
      <c r="OB53" s="282"/>
      <c r="OC53" s="282"/>
      <c r="OD53" s="282"/>
      <c r="OE53" s="282"/>
      <c r="OF53" s="282"/>
      <c r="OG53" s="282"/>
      <c r="OH53" s="282"/>
      <c r="OI53" s="282"/>
      <c r="OJ53" s="282"/>
      <c r="OK53" s="282"/>
      <c r="OL53" s="282"/>
      <c r="OM53" s="282"/>
      <c r="ON53" s="282"/>
      <c r="OO53" s="282"/>
      <c r="OP53" s="282"/>
      <c r="OQ53" s="282"/>
      <c r="OR53" s="282"/>
      <c r="OS53" s="282"/>
      <c r="OT53" s="282"/>
      <c r="OU53" s="282"/>
      <c r="OV53" s="282"/>
      <c r="OW53" s="282"/>
      <c r="OX53" s="282"/>
      <c r="OY53" s="282"/>
      <c r="OZ53" s="282"/>
      <c r="PA53" s="282"/>
      <c r="PB53" s="282"/>
      <c r="PC53" s="282"/>
      <c r="PD53" s="282"/>
      <c r="PE53" s="282"/>
      <c r="PF53" s="282"/>
      <c r="PG53" s="282"/>
      <c r="PH53" s="282"/>
      <c r="PI53" s="282"/>
      <c r="PJ53" s="282"/>
      <c r="PK53" s="282"/>
      <c r="PL53" s="282"/>
      <c r="PM53" s="282"/>
    </row>
    <row r="54" spans="1:431" s="511" customFormat="1" ht="15.75" customHeight="1" outlineLevel="1">
      <c r="A54" s="2064" t="s">
        <v>384</v>
      </c>
      <c r="B54" s="512" t="s">
        <v>538</v>
      </c>
      <c r="C54" s="570" t="s">
        <v>646</v>
      </c>
      <c r="D54" s="480"/>
      <c r="E54" s="1530"/>
      <c r="F54" s="481">
        <f>SUBTOTAL(3,F57:F270)</f>
        <v>119</v>
      </c>
      <c r="G54" s="481">
        <f>SUBTOTAL(3,G57:G270)</f>
        <v>119</v>
      </c>
      <c r="H54" s="482">
        <f ca="1">SUMPRODUCT(SUBTOTAL(3,OFFSET(H57:H270,ROW(H57:H270)-MIN(ROW(H57:H270)),0,1)),--(H57:H270&lt;&gt;0))</f>
        <v>119</v>
      </c>
      <c r="I54" s="482">
        <f ca="1">SUMPRODUCT(SUBTOTAL(3,OFFSET(I57:I270,ROW(I57:I270)-MIN(ROW(I57:I270)),0,1)),--(I57:I270&lt;&gt;0))</f>
        <v>104</v>
      </c>
      <c r="J54" s="482">
        <f ca="1">SUMPRODUCT(SUBTOTAL(3,OFFSET(J57:J270,ROW(J57:J270)-MIN(ROW(J57:J270)),0,1)),--(J57:J270&lt;&gt;0))</f>
        <v>119</v>
      </c>
      <c r="K54" s="846">
        <f ca="1">SUMPRODUCT(SUBTOTAL(3,OFFSET(K57:K270,ROW(K57:K270)-MIN(ROW(K57:K270)),0,1)),--(K57:K270&lt;&gt;0))</f>
        <v>119</v>
      </c>
      <c r="L54" s="1096"/>
      <c r="M54" s="1095"/>
      <c r="N54" s="1095"/>
      <c r="O54" s="1095"/>
      <c r="P54" s="1095"/>
      <c r="Q54" s="514">
        <f ca="1">$S54</f>
        <v>115</v>
      </c>
      <c r="R54" s="514">
        <f ca="1">$S54</f>
        <v>115</v>
      </c>
      <c r="S54" s="483">
        <f ca="1">SUMPRODUCT(SUBTOTAL(3,OFFSET(S57:S270,ROW(S57:S270)-MIN(ROW(S57:S270)),0,1)),--(S57:S270&lt;&gt;0))</f>
        <v>115</v>
      </c>
      <c r="T54" s="1118"/>
      <c r="U54" s="1118"/>
      <c r="V54" s="1113"/>
      <c r="W54" s="483">
        <f ca="1">SUMPRODUCT(SUBTOTAL(3,OFFSET(W57:W270,ROW(W57:W270)-MIN(ROW(W57:W270)),0,1)),--(W57:W270&lt;&gt;0))</f>
        <v>116</v>
      </c>
      <c r="X54" s="483">
        <f ca="1">SUMPRODUCT(SUBTOTAL(3,OFFSET(X57:X270,ROW(X57:X270)-MIN(ROW(X57:X270)),0,1)),--(X57:X270&lt;&gt;0))</f>
        <v>116</v>
      </c>
      <c r="Y54" s="1113"/>
      <c r="Z54" s="1113"/>
      <c r="AA54" s="483">
        <f ca="1">SUMPRODUCT(SUBTOTAL(3,OFFSET(AA57:AA270,ROW(AA57:AA270)-MIN(ROW(AA57:AA270)),0,1)),--(AA57:AA270&lt;&gt;0))</f>
        <v>115</v>
      </c>
      <c r="AB54" s="483">
        <f ca="1">SUMPRODUCT(SUBTOTAL(3,OFFSET(AB57:AB270,ROW(AB57:AB270)-MIN(ROW(AB57:AB270)),0,1)),--(AB57:AB270&lt;&gt;0))</f>
        <v>115</v>
      </c>
      <c r="AC54" s="1113"/>
      <c r="AD54" s="1113"/>
      <c r="AE54" s="485">
        <f>SUBTOTAL(3,AE57:AE270)</f>
        <v>119</v>
      </c>
      <c r="AF54" s="484">
        <f ca="1">SUMPRODUCT(SUBTOTAL(3,OFFSET(AF57:AF270,ROW(AF57:AF270)-MIN(ROW(AF57:AF270)),-1,1)),--(AF57:AF270&lt;&gt;0))</f>
        <v>86</v>
      </c>
      <c r="AG54" s="1112"/>
      <c r="AH54" s="484">
        <f>SUBTOTAL(3,AH57:AH270)</f>
        <v>119</v>
      </c>
      <c r="AI54" s="484">
        <f ca="1">SUMPRODUCT(SUBTOTAL(3,OFFSET(AI57:AI270,ROW(AI57:AI270)-MIN(ROW(AI57:AI270)),-1,1)),--(AI57:AI270&lt;&gt;0))</f>
        <v>5</v>
      </c>
      <c r="AJ54" s="1113"/>
      <c r="AK54" s="484">
        <f>SUBTOTAL(3,AK57:AK270)</f>
        <v>119</v>
      </c>
      <c r="AL54" s="484">
        <f ca="1">SUMPRODUCT(SUBTOTAL(3,OFFSET(AL57:AL270,ROW(AL57:AL270)-MIN(ROW(AL57:AL270)),-1,1)),--(AL57:AL270&lt;&gt;0))</f>
        <v>62</v>
      </c>
      <c r="AM54" s="483"/>
      <c r="AN54" s="1113"/>
      <c r="AO54" s="483"/>
      <c r="AP54" s="483"/>
      <c r="AQ54" s="483"/>
      <c r="AR54" s="483"/>
      <c r="AS54" s="1130"/>
      <c r="AT54" s="1130"/>
      <c r="AU54" s="1130"/>
      <c r="AV54" s="1130"/>
      <c r="AW54" s="1130"/>
      <c r="AX54" s="487">
        <f t="shared" ref="AX54:BE54" si="548">SUBTOTAL(3,AX57:AX270)</f>
        <v>119</v>
      </c>
      <c r="AY54" s="487">
        <f t="shared" si="548"/>
        <v>119</v>
      </c>
      <c r="AZ54" s="487">
        <f t="shared" si="548"/>
        <v>119</v>
      </c>
      <c r="BA54" s="487">
        <f t="shared" si="548"/>
        <v>119</v>
      </c>
      <c r="BB54" s="487">
        <f t="shared" si="548"/>
        <v>119</v>
      </c>
      <c r="BC54" s="487">
        <f t="shared" si="548"/>
        <v>119</v>
      </c>
      <c r="BD54" s="487">
        <f t="shared" si="548"/>
        <v>119</v>
      </c>
      <c r="BE54" s="487">
        <f t="shared" si="548"/>
        <v>119</v>
      </c>
      <c r="BF54" s="488">
        <f t="shared" ref="BF54:BK54" ca="1" si="549">SUMPRODUCT(SUBTOTAL(3,OFFSET(BF57:BF270,ROW(BF57:BF270)-MIN(ROW(BF57:BF270)),0,1)),--(BF57:BF270&lt;&gt;0))</f>
        <v>66</v>
      </c>
      <c r="BG54" s="488">
        <f t="shared" ca="1" si="549"/>
        <v>109</v>
      </c>
      <c r="BH54" s="488">
        <f t="shared" ca="1" si="549"/>
        <v>113</v>
      </c>
      <c r="BI54" s="488">
        <f t="shared" ca="1" si="549"/>
        <v>119</v>
      </c>
      <c r="BJ54" s="488">
        <f t="shared" ca="1" si="549"/>
        <v>119</v>
      </c>
      <c r="BK54" s="488">
        <f t="shared" ca="1" si="549"/>
        <v>118</v>
      </c>
      <c r="BL54" s="487"/>
      <c r="BM54" s="487">
        <f>SUBTOTAL(3,BM57:BM270)</f>
        <v>119</v>
      </c>
      <c r="BN54" s="488">
        <f ca="1">SUMPRODUCT(SUBTOTAL(3,OFFSET(BN57:BN270,ROW(BN57:BN270)-MIN(ROW(BN57:BN270)),0,1)),--(BN57:BN270&lt;&gt;0))</f>
        <v>99</v>
      </c>
      <c r="BO54" s="488"/>
      <c r="BP54" s="488">
        <f ca="1">SUMPRODUCT(SUBTOTAL(3,OFFSET(BP57:BP270,ROW(BP57:BP270)-MIN(ROW(BP57:BP270)),0,1)),--(BP57:BP270&lt;&gt;0))</f>
        <v>119</v>
      </c>
      <c r="BQ54" s="488">
        <f ca="1">SUMPRODUCT(SUBTOTAL(3,OFFSET(BQ57:BQ270,ROW(BQ57:BQ270)-MIN(ROW(BQ57:BQ270)),0,1)),--(BQ57:BQ270&lt;&gt;0))</f>
        <v>119</v>
      </c>
      <c r="BR54" s="488">
        <f ca="1">SUMPRODUCT(SUBTOTAL(3,OFFSET(BR57:BR270,ROW(BR57:BR270)-MIN(ROW(BR57:BR270)),0,1)),--(BR57:BR270&lt;&gt;0))</f>
        <v>119</v>
      </c>
      <c r="BS54" s="487">
        <f>SUBTOTAL(3,BS57:BS270)</f>
        <v>119</v>
      </c>
      <c r="BT54" s="488">
        <f ca="1">SUMPRODUCT(SUBTOTAL(3,OFFSET(BT57:BT270,ROW(BT57:BT270)-MIN(ROW(BT57:BT270)),0,1)),--(BT57:BT270&lt;&gt;0))</f>
        <v>119</v>
      </c>
      <c r="BU54" s="488">
        <f ca="1">SUMPRODUCT(SUBTOTAL(3,OFFSET(BU57:BU270,ROW(BU57:BU270)-MIN(ROW(BU57:BU270)),0,1)),--(BU57:BU270&lt;&gt;0))</f>
        <v>119</v>
      </c>
      <c r="BV54" s="488">
        <f ca="1">SUMPRODUCT(SUBTOTAL(3,OFFSET(BV57:BV270,ROW(BV57:BV270)-MIN(ROW(BV57:BV270)),0,1)),--(BV57:BV270&lt;&gt;0))</f>
        <v>119</v>
      </c>
      <c r="BW54" s="1168"/>
      <c r="BX54" s="1168"/>
      <c r="BY54" s="1168"/>
      <c r="BZ54" s="515">
        <f t="shared" ref="BZ54:CI54" ca="1" si="550">$CJ$54</f>
        <v>119</v>
      </c>
      <c r="CA54" s="492">
        <f t="shared" ca="1" si="550"/>
        <v>119</v>
      </c>
      <c r="CB54" s="492">
        <f t="shared" ca="1" si="550"/>
        <v>119</v>
      </c>
      <c r="CC54" s="492">
        <f t="shared" ca="1" si="550"/>
        <v>119</v>
      </c>
      <c r="CD54" s="492">
        <f t="shared" ca="1" si="550"/>
        <v>119</v>
      </c>
      <c r="CE54" s="492">
        <f t="shared" ca="1" si="550"/>
        <v>119</v>
      </c>
      <c r="CF54" s="492">
        <f t="shared" ca="1" si="550"/>
        <v>119</v>
      </c>
      <c r="CG54" s="492">
        <f t="shared" ca="1" si="550"/>
        <v>119</v>
      </c>
      <c r="CH54" s="492">
        <f t="shared" ca="1" si="550"/>
        <v>119</v>
      </c>
      <c r="CI54" s="492">
        <f t="shared" ca="1" si="550"/>
        <v>119</v>
      </c>
      <c r="CJ54" s="491">
        <f ca="1">SUMPRODUCT(SUBTOTAL(3,OFFSET(CJ57:CJ270,ROW(CJ57:CJ270)-MIN(ROW(CJ57:CJ270)),0,1)),--(CJ57:CJ270&lt;&gt;0))</f>
        <v>119</v>
      </c>
      <c r="CK54" s="516"/>
      <c r="CL54" s="516"/>
      <c r="CM54" s="516"/>
      <c r="CN54" s="516"/>
      <c r="CO54" s="516"/>
      <c r="CP54" s="516"/>
      <c r="CQ54" s="516"/>
      <c r="CR54" s="516"/>
      <c r="CS54" s="516"/>
      <c r="CT54" s="516"/>
      <c r="CU54" s="516"/>
      <c r="CV54" s="492">
        <f t="shared" ref="CV54:DB54" ca="1" si="551">$CJ$54</f>
        <v>119</v>
      </c>
      <c r="CW54" s="492">
        <f t="shared" ca="1" si="551"/>
        <v>119</v>
      </c>
      <c r="CX54" s="492">
        <f t="shared" ca="1" si="551"/>
        <v>119</v>
      </c>
      <c r="CY54" s="492">
        <f t="shared" ca="1" si="551"/>
        <v>119</v>
      </c>
      <c r="CZ54" s="492">
        <f ca="1">$CJ$54</f>
        <v>119</v>
      </c>
      <c r="DA54" s="492">
        <f t="shared" ca="1" si="551"/>
        <v>119</v>
      </c>
      <c r="DB54" s="492">
        <f t="shared" ca="1" si="551"/>
        <v>119</v>
      </c>
      <c r="DC54" s="493"/>
      <c r="DD54" s="493"/>
      <c r="DE54" s="493"/>
      <c r="DF54" s="493"/>
      <c r="DG54" s="493"/>
      <c r="DH54" s="493"/>
      <c r="DI54" s="493"/>
      <c r="DJ54" s="492"/>
      <c r="DK54" s="1174"/>
      <c r="DL54" s="1174"/>
      <c r="DM54" s="1174"/>
      <c r="DN54" s="1174"/>
      <c r="DO54" s="1174"/>
      <c r="DP54" s="1174"/>
      <c r="DQ54" s="1174"/>
      <c r="DR54" s="1174"/>
      <c r="DS54" s="1174"/>
      <c r="DT54" s="1174"/>
      <c r="DU54" s="1174"/>
      <c r="DV54" s="1175"/>
      <c r="DW54" s="1175"/>
      <c r="DX54" s="1175"/>
      <c r="DY54" s="1175"/>
      <c r="DZ54" s="1175"/>
      <c r="EA54" s="1175"/>
      <c r="EB54" s="1175"/>
      <c r="EC54" s="1175"/>
      <c r="ED54" s="496">
        <f ca="1">SUMPRODUCT(SUBTOTAL(3,OFFSET(ED57:ED270,ROW(ED57:ED270)-MIN(ROW(ED57:ED270)),0,1)),--(ED57:ED270&lt;&gt;0))</f>
        <v>119</v>
      </c>
      <c r="EE54" s="495">
        <f>SUBTOTAL(3,EE57:EE270)</f>
        <v>119</v>
      </c>
      <c r="EF54" s="496">
        <f ca="1">SUMPRODUCT(SUBTOTAL(3,OFFSET(EF57:EF270,ROW(EF57:EF270)-MIN(ROW(EF57:EF270)),0,1)),--(EF57:EF270&lt;&gt;0))</f>
        <v>72</v>
      </c>
      <c r="EG54" s="496">
        <f ca="1">SUMPRODUCT(SUBTOTAL(3,OFFSET(EG57:EG270,ROW(EG57:EG270)-MIN(ROW(EG57:EG270)),0,1)),--(EG57:EG270&lt;&gt;0))</f>
        <v>69</v>
      </c>
      <c r="EH54" s="1222">
        <f>SUBTOTAL(3,EH57:EH270)</f>
        <v>119</v>
      </c>
      <c r="EI54" s="1222">
        <f ca="1">SUMPRODUCT(SUBTOTAL(3,OFFSET(EI57:EI270,ROW(EI57:EI270)-MIN(ROW(EI57:EI270)),0,1)),--(EI57:EI270&lt;&gt;0))</f>
        <v>105</v>
      </c>
      <c r="EJ54" s="1175"/>
      <c r="EK54" s="497">
        <f>SUBTOTAL(3,EK57:EK270)</f>
        <v>119</v>
      </c>
      <c r="EL54" s="498">
        <f ca="1">SUMPRODUCT(SUBTOTAL(3,OFFSET(EL57:EL270,ROW(EL57:EL270)-MIN(ROW(EL57:EL270)),0,1)),--(EL57:EL270&lt;&gt;0))</f>
        <v>64</v>
      </c>
      <c r="EM54" s="497">
        <f>SUBTOTAL(3,EM57:EM270)</f>
        <v>119</v>
      </c>
      <c r="EN54" s="497">
        <f ca="1">SUMPRODUCT(SUBTOTAL(3,OFFSET(EN57:EN270,ROW(EN57:EN270)-MIN(ROW(EN57:EN270)),0,1)),--(EN57:EN270&lt;&gt;0))</f>
        <v>63</v>
      </c>
      <c r="EO54" s="497">
        <f>SUBTOTAL(3,EO57:EO270)</f>
        <v>119</v>
      </c>
      <c r="EP54" s="498">
        <f ca="1">SUMPRODUCT(SUBTOTAL(3,OFFSET(EP57:EP270,ROW(EP57:EP270)-MIN(ROW(EP57:EP270)),0,1)),--(EP57:EP270&lt;&gt;0))</f>
        <v>32</v>
      </c>
      <c r="EQ54" s="497">
        <f>SUBTOTAL(3,EQ57:EQ270)</f>
        <v>119</v>
      </c>
      <c r="ER54" s="497">
        <f>SUBTOTAL(3,ER57:ER270)</f>
        <v>119</v>
      </c>
      <c r="ES54" s="1185"/>
      <c r="ET54" s="1184"/>
      <c r="EU54" s="1239"/>
      <c r="EV54" s="498">
        <f ca="1">SUMPRODUCT(SUBTOTAL(3,OFFSET(EV57:EV270,ROW(EV57:EV270)-MIN(ROW(EV57:EV270)),0,1)),--(EV57:EV270&lt;&gt;0))</f>
        <v>112</v>
      </c>
      <c r="EW54" s="497">
        <f ca="1">SUMPRODUCT(SUBTOTAL(3,OFFSET(EW57:EW270,ROW(EW57:EW270)-MIN(ROW(EW57:EW270)),0,1)),--(EW57:EW270&lt;&gt;0))</f>
        <v>100</v>
      </c>
      <c r="EX54" s="497">
        <f>SUBTOTAL(3,EX57:EX270)</f>
        <v>119</v>
      </c>
      <c r="EY54" s="497">
        <f ca="1">SUMPRODUCT(SUBTOTAL(3,OFFSET(EY57:EY270,ROW(EY57:EY270)-MIN(ROW(EY57:EY270)),0,1)),--(EY57:EY270&lt;&gt;0))</f>
        <v>118</v>
      </c>
      <c r="EZ54" s="517">
        <f ca="1">$EY$54</f>
        <v>118</v>
      </c>
      <c r="FA54" s="80"/>
      <c r="FB54" s="517">
        <f ca="1">$EY$54</f>
        <v>118</v>
      </c>
      <c r="FC54" s="517">
        <f ca="1">$EY$54</f>
        <v>118</v>
      </c>
      <c r="FD54" s="81"/>
      <c r="FE54" s="81"/>
      <c r="FF54" s="81"/>
      <c r="FG54" s="81"/>
      <c r="FH54" s="518"/>
      <c r="FI54" s="518"/>
      <c r="FJ54" s="518"/>
      <c r="FK54" s="518"/>
      <c r="FL54" s="518"/>
      <c r="FM54" s="518"/>
      <c r="FN54" s="518"/>
      <c r="FO54" s="518"/>
      <c r="FP54" s="518"/>
      <c r="FQ54" s="517">
        <f t="shared" ref="FQ54:FW54" ca="1" si="552">$EY$54</f>
        <v>118</v>
      </c>
      <c r="FR54" s="519">
        <f t="shared" ca="1" si="552"/>
        <v>118</v>
      </c>
      <c r="FS54" s="517">
        <f t="shared" ca="1" si="552"/>
        <v>118</v>
      </c>
      <c r="FT54" s="517">
        <f t="shared" ca="1" si="552"/>
        <v>118</v>
      </c>
      <c r="FU54" s="517">
        <f t="shared" ca="1" si="552"/>
        <v>118</v>
      </c>
      <c r="FV54" s="517">
        <f t="shared" ca="1" si="552"/>
        <v>118</v>
      </c>
      <c r="FW54" s="517">
        <f t="shared" ca="1" si="552"/>
        <v>118</v>
      </c>
      <c r="FX54" s="501"/>
      <c r="FY54" s="502"/>
      <c r="FZ54" s="518"/>
      <c r="GA54" s="518"/>
      <c r="GB54" s="518"/>
      <c r="GC54" s="518"/>
      <c r="GD54" s="518"/>
      <c r="GE54" s="518"/>
      <c r="GF54" s="518"/>
      <c r="GG54" s="518"/>
      <c r="GH54" s="518"/>
      <c r="GI54" s="520"/>
      <c r="GJ54" s="481">
        <f>SUBTOTAL(3,GJ57:GJ270)</f>
        <v>119</v>
      </c>
      <c r="GK54" s="497">
        <f ca="1">SUMPRODUCT(SUBTOTAL(3,OFFSET(GK57:GK270,ROW(GK57:GK270)-MIN(ROW(GK57:GK270)),0,1)),--(GK57:GK270&lt;&gt;0))</f>
        <v>94</v>
      </c>
      <c r="GL54" s="481">
        <f>SUBTOTAL(3,GL57:GL270)</f>
        <v>119</v>
      </c>
      <c r="GM54" s="497">
        <f ca="1">SUMPRODUCT(SUBTOTAL(3,OFFSET(GM57:GM270,ROW(GM57:GM270)-MIN(ROW(GM57:GM270)),0,1)),--(GM57:GM270&lt;&gt;0))</f>
        <v>75</v>
      </c>
      <c r="GN54" s="521">
        <f ca="1">$GW$54</f>
        <v>61</v>
      </c>
      <c r="GO54" s="521">
        <f t="shared" ref="GO54:GV54" ca="1" si="553">$GW$54</f>
        <v>61</v>
      </c>
      <c r="GP54" s="521">
        <f t="shared" ca="1" si="553"/>
        <v>61</v>
      </c>
      <c r="GQ54" s="521">
        <f t="shared" ca="1" si="553"/>
        <v>61</v>
      </c>
      <c r="GR54" s="521">
        <f t="shared" ca="1" si="553"/>
        <v>61</v>
      </c>
      <c r="GS54" s="521">
        <f t="shared" ca="1" si="553"/>
        <v>61</v>
      </c>
      <c r="GT54" s="521">
        <f t="shared" ca="1" si="553"/>
        <v>61</v>
      </c>
      <c r="GU54" s="521">
        <f t="shared" ca="1" si="553"/>
        <v>61</v>
      </c>
      <c r="GV54" s="521">
        <f t="shared" ca="1" si="553"/>
        <v>61</v>
      </c>
      <c r="GW54" s="504">
        <f ca="1">SUMPRODUCT(SUBTOTAL(3,OFFSET(GW57:GW270,ROW(GW57:GW270)-MIN(ROW(GW57:GW270)),0,1)),--(GW57:GW270&lt;&gt;0))</f>
        <v>61</v>
      </c>
      <c r="GX54" s="115"/>
      <c r="GY54" s="115"/>
      <c r="GZ54" s="75"/>
      <c r="HA54" s="75"/>
      <c r="HB54" s="75"/>
      <c r="HC54" s="75"/>
      <c r="HD54" s="75"/>
      <c r="HE54" s="75"/>
      <c r="HF54" s="75"/>
      <c r="HG54" s="509">
        <f ca="1">$HP$54</f>
        <v>43</v>
      </c>
      <c r="HH54" s="509">
        <f t="shared" ref="HH54:HO54" ca="1" si="554">$HP$54</f>
        <v>43</v>
      </c>
      <c r="HI54" s="509">
        <f t="shared" ca="1" si="554"/>
        <v>43</v>
      </c>
      <c r="HJ54" s="509">
        <f ca="1">$HP$54</f>
        <v>43</v>
      </c>
      <c r="HK54" s="509">
        <f t="shared" ca="1" si="554"/>
        <v>43</v>
      </c>
      <c r="HL54" s="509">
        <f t="shared" ca="1" si="554"/>
        <v>43</v>
      </c>
      <c r="HM54" s="509">
        <f t="shared" ca="1" si="554"/>
        <v>43</v>
      </c>
      <c r="HN54" s="509">
        <f t="shared" ca="1" si="554"/>
        <v>43</v>
      </c>
      <c r="HO54" s="509">
        <f t="shared" ca="1" si="554"/>
        <v>43</v>
      </c>
      <c r="HP54" s="522">
        <f ca="1">SUMPRODUCT(SUBTOTAL(3,OFFSET(HP57:HP270,ROW(HP57:HP270)-MIN(ROW(HP57:HP270)),0,1)),--(HP57:HP270&lt;&gt;0))</f>
        <v>43</v>
      </c>
      <c r="HQ54" s="71"/>
      <c r="HR54" s="366"/>
      <c r="HS54" s="75"/>
      <c r="HT54" s="75"/>
      <c r="HU54" s="75"/>
      <c r="HV54" s="75"/>
      <c r="HW54" s="75"/>
      <c r="HX54" s="75"/>
      <c r="HY54" s="75"/>
      <c r="HZ54" s="51"/>
      <c r="IA54" s="523"/>
      <c r="IB54" s="523"/>
      <c r="IC54" s="505">
        <f>SUBTOTAL(3,IC57:IC270)</f>
        <v>119</v>
      </c>
      <c r="ID54" s="505"/>
      <c r="IE54" s="505">
        <f>SUBTOTAL(3,IE57:IE270)</f>
        <v>119</v>
      </c>
      <c r="IF54" s="505"/>
      <c r="IG54" s="1273"/>
      <c r="IH54" s="1273"/>
      <c r="II54" s="1286">
        <f ca="1">SUMPRODUCT(SUBTOTAL(3,OFFSET(II57:II270,ROW(II57:II270)-MIN(ROW(II57:II270)),0,1)),--(II57:II270&lt;&gt;0))</f>
        <v>65</v>
      </c>
      <c r="IJ54" s="1286">
        <f ca="1">SUMPRODUCT(SUBTOTAL(3,OFFSET(IJ57:IJ270,ROW(IJ57:IJ270)-MIN(ROW(IJ57:IJ270)),0,1)),--(IJ57:IJ270&lt;&gt;0))</f>
        <v>54</v>
      </c>
      <c r="IK54" s="506">
        <f>SUBTOTAL(3,IK57:IK270)</f>
        <v>119</v>
      </c>
      <c r="IL54" s="506">
        <f>SUBTOTAL(3,IL57:IL270)</f>
        <v>119</v>
      </c>
      <c r="IM54" s="506">
        <f>SUBTOTAL(3,IM57:IM270)</f>
        <v>119</v>
      </c>
      <c r="IN54" s="506">
        <f>SUBTOTAL(3,IN57:IN270)</f>
        <v>119</v>
      </c>
      <c r="IO54" s="751"/>
      <c r="IP54" s="751"/>
      <c r="IQ54" s="518"/>
      <c r="IR54" s="501"/>
      <c r="IS54" s="501"/>
      <c r="IT54" s="501"/>
      <c r="IU54" s="501"/>
      <c r="IV54" s="501"/>
      <c r="IW54" s="501"/>
      <c r="IX54" s="524"/>
      <c r="IY54" s="524"/>
      <c r="IZ54" s="524"/>
      <c r="JA54" s="524"/>
      <c r="JB54" s="524"/>
      <c r="JC54" s="524"/>
      <c r="JD54" s="525"/>
      <c r="JE54" s="525"/>
      <c r="JF54" s="525"/>
      <c r="JG54" s="525"/>
      <c r="JH54" s="508">
        <f>SUBTOTAL(3,JH57:JH270)</f>
        <v>119</v>
      </c>
      <c r="JI54" s="508">
        <f>SUBTOTAL(3,JI57:JI270)</f>
        <v>119</v>
      </c>
      <c r="JJ54" s="508">
        <f t="shared" ref="JJ54:JQ54" ca="1" si="555">SUMPRODUCT(SUBTOTAL(3,OFFSET(JJ57:JJ270,ROW(JJ57:JJ270)-MIN(ROW(JJ57:JJ270)),0,1)),--(JJ57:JJ270&lt;&gt;0))</f>
        <v>90</v>
      </c>
      <c r="JK54" s="508">
        <f t="shared" ca="1" si="555"/>
        <v>119</v>
      </c>
      <c r="JL54" s="508">
        <f t="shared" ca="1" si="555"/>
        <v>118</v>
      </c>
      <c r="JM54" s="508">
        <f t="shared" ca="1" si="555"/>
        <v>91</v>
      </c>
      <c r="JN54" s="508">
        <f t="shared" ca="1" si="555"/>
        <v>119</v>
      </c>
      <c r="JO54" s="508">
        <f t="shared" ca="1" si="555"/>
        <v>103</v>
      </c>
      <c r="JP54" s="508">
        <f t="shared" ca="1" si="555"/>
        <v>119</v>
      </c>
      <c r="JQ54" s="508">
        <f t="shared" ca="1" si="555"/>
        <v>119</v>
      </c>
      <c r="JR54" s="526"/>
      <c r="JS54" s="526"/>
      <c r="JT54" s="526"/>
      <c r="JU54" s="526"/>
      <c r="JV54" s="526"/>
      <c r="JW54" s="526"/>
      <c r="JX54" s="526"/>
      <c r="JY54" s="526">
        <f ca="1">SUMPRODUCT(SUBTOTAL(3,OFFSET(JY57:JY270,ROW(JY57:JY270)-MIN(ROW(JY57:JY270)),0,1)),--(JY57:JY270&gt;0))</f>
        <v>61</v>
      </c>
      <c r="JZ54" s="526"/>
      <c r="KA54" s="526"/>
      <c r="KB54" s="526"/>
      <c r="KC54" s="526"/>
      <c r="KD54" s="526"/>
      <c r="KE54" s="526"/>
      <c r="KF54" s="526"/>
      <c r="KG54" s="526"/>
      <c r="KH54" s="526"/>
      <c r="KI54" s="526">
        <f ca="1">SUMPRODUCT(SUBTOTAL(3,OFFSET(KI57:KI270,ROW(KI57:KI270)-MIN(ROW(KI57:KI270)),0,1)),--(KI57:KI270&gt;0))</f>
        <v>43</v>
      </c>
      <c r="KJ54" s="526">
        <f t="shared" ref="KJ54:KW54" ca="1" si="556">SUMPRODUCT(SUBTOTAL(3,OFFSET(KJ57:KJ270,ROW(KJ57:KJ270)-MIN(ROW(KJ57:KJ270)),0,1)),--(KJ57:KJ270&lt;&gt;0))</f>
        <v>104</v>
      </c>
      <c r="KK54" s="526">
        <f t="shared" ca="1" si="556"/>
        <v>104</v>
      </c>
      <c r="KL54" s="526">
        <f t="shared" ca="1" si="556"/>
        <v>104</v>
      </c>
      <c r="KM54" s="526">
        <f t="shared" ca="1" si="556"/>
        <v>104</v>
      </c>
      <c r="KN54" s="526">
        <f t="shared" ca="1" si="556"/>
        <v>104</v>
      </c>
      <c r="KO54" s="526">
        <f t="shared" ca="1" si="556"/>
        <v>104</v>
      </c>
      <c r="KP54" s="526">
        <f t="shared" ca="1" si="556"/>
        <v>104</v>
      </c>
      <c r="KQ54" s="526">
        <f t="shared" ca="1" si="556"/>
        <v>104</v>
      </c>
      <c r="KR54" s="526">
        <f t="shared" ca="1" si="556"/>
        <v>104</v>
      </c>
      <c r="KS54" s="526">
        <f t="shared" ca="1" si="556"/>
        <v>104</v>
      </c>
      <c r="KT54" s="526">
        <f t="shared" ca="1" si="556"/>
        <v>49</v>
      </c>
      <c r="KU54" s="526">
        <f t="shared" ca="1" si="556"/>
        <v>104</v>
      </c>
      <c r="KV54" s="526">
        <f t="shared" ca="1" si="556"/>
        <v>104</v>
      </c>
      <c r="KW54" s="526">
        <f t="shared" ca="1" si="556"/>
        <v>104</v>
      </c>
      <c r="KX54" s="108"/>
      <c r="KY54" s="421"/>
      <c r="KZ54" s="421"/>
      <c r="LA54" s="421"/>
      <c r="LB54" s="421"/>
      <c r="LC54" s="282"/>
      <c r="LD54" s="282"/>
      <c r="LE54" s="282"/>
      <c r="LF54" s="282"/>
      <c r="LG54" s="282"/>
      <c r="LH54" s="282"/>
      <c r="LI54" s="282"/>
      <c r="LJ54" s="282"/>
      <c r="LK54" s="282"/>
      <c r="LL54" s="282"/>
      <c r="LM54" s="282"/>
      <c r="LN54" s="282"/>
      <c r="LO54" s="282"/>
      <c r="LP54" s="282"/>
      <c r="LQ54" s="421"/>
      <c r="LR54" s="421"/>
      <c r="LS54" s="421"/>
      <c r="LT54" s="282"/>
      <c r="LU54" s="282"/>
      <c r="LV54" s="282"/>
      <c r="LW54" s="282"/>
      <c r="LX54" s="282"/>
      <c r="LY54" s="282"/>
      <c r="LZ54" s="282"/>
      <c r="MA54" s="282"/>
      <c r="MB54" s="282"/>
      <c r="MC54" s="282"/>
      <c r="MD54" s="282"/>
      <c r="ME54" s="282"/>
      <c r="MF54" s="282"/>
      <c r="MG54" s="282"/>
      <c r="MH54" s="282"/>
      <c r="MI54" s="282"/>
      <c r="MJ54" s="282"/>
      <c r="MK54" s="282"/>
      <c r="ML54" s="282"/>
      <c r="MM54" s="1232"/>
      <c r="MN54" s="1232"/>
      <c r="MO54" s="1232"/>
      <c r="MP54" s="1232"/>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282"/>
      <c r="NN54" s="282"/>
      <c r="NO54" s="282"/>
      <c r="NP54" s="282"/>
      <c r="NQ54" s="282"/>
      <c r="NR54" s="282"/>
      <c r="NS54" s="282"/>
      <c r="NT54" s="282"/>
      <c r="NU54" s="282"/>
      <c r="NV54" s="282"/>
      <c r="NW54" s="282"/>
      <c r="NX54" s="282"/>
      <c r="NY54" s="282"/>
      <c r="NZ54" s="282"/>
      <c r="OA54" s="282"/>
      <c r="OB54" s="282"/>
      <c r="OC54" s="282"/>
      <c r="OD54" s="282"/>
      <c r="OE54" s="282"/>
      <c r="OF54" s="282"/>
      <c r="OG54" s="282"/>
      <c r="OH54" s="282"/>
      <c r="OI54" s="282"/>
      <c r="OJ54" s="282"/>
      <c r="OK54" s="282"/>
      <c r="OL54" s="282"/>
      <c r="OM54" s="282"/>
      <c r="ON54" s="282"/>
      <c r="OO54" s="282"/>
      <c r="OP54" s="282"/>
      <c r="OQ54" s="282"/>
      <c r="OR54" s="282"/>
      <c r="OS54" s="282"/>
      <c r="OT54" s="282"/>
      <c r="OU54" s="282"/>
      <c r="OV54" s="282"/>
      <c r="OW54" s="282"/>
      <c r="OX54" s="282"/>
      <c r="OY54" s="282"/>
      <c r="OZ54" s="282"/>
      <c r="PA54" s="282"/>
      <c r="PB54" s="282"/>
      <c r="PC54" s="282"/>
      <c r="PD54" s="282"/>
      <c r="PE54" s="282"/>
      <c r="PF54" s="282"/>
      <c r="PG54" s="282"/>
      <c r="PH54" s="282"/>
      <c r="PI54" s="282"/>
      <c r="PJ54" s="282"/>
      <c r="PK54" s="282"/>
      <c r="PL54" s="282"/>
      <c r="PM54" s="282"/>
    </row>
    <row r="55" spans="1:431" s="511" customFormat="1" ht="15.75" customHeight="1" outlineLevel="1">
      <c r="A55" s="2065" t="s">
        <v>383</v>
      </c>
      <c r="B55" s="527" t="s">
        <v>539</v>
      </c>
      <c r="C55" s="528"/>
      <c r="D55" s="529"/>
      <c r="E55" s="1530"/>
      <c r="F55" s="530">
        <f ca="1">ROUND(F53/F54,2)</f>
        <v>0.71</v>
      </c>
      <c r="G55" s="531">
        <f ca="1">ROUND(G53/G54,2)</f>
        <v>0.51</v>
      </c>
      <c r="H55" s="532">
        <f ca="1">ROUND(H53/H54,-1)</f>
        <v>560</v>
      </c>
      <c r="I55" s="532">
        <f ca="1">ROUND(I53/I54,-1)</f>
        <v>330</v>
      </c>
      <c r="J55" s="532">
        <f ca="1">ROUND(J53/J54,-1)</f>
        <v>850</v>
      </c>
      <c r="K55" s="847">
        <f ca="1">ROUND(K53/K54,-1)</f>
        <v>720</v>
      </c>
      <c r="L55" s="1097"/>
      <c r="M55" s="1098"/>
      <c r="N55" s="1099"/>
      <c r="O55" s="1098"/>
      <c r="P55" s="1098"/>
      <c r="Q55" s="533">
        <f t="shared" ref="Q55:X55" ca="1" si="557">ROUND(Q53/Q54,-2)</f>
        <v>8400</v>
      </c>
      <c r="R55" s="533">
        <f t="shared" ca="1" si="557"/>
        <v>96700</v>
      </c>
      <c r="S55" s="533">
        <f t="shared" ca="1" si="557"/>
        <v>105100</v>
      </c>
      <c r="T55" s="1115"/>
      <c r="U55" s="1115"/>
      <c r="V55" s="1115"/>
      <c r="W55" s="533">
        <f t="shared" ca="1" si="557"/>
        <v>15800</v>
      </c>
      <c r="X55" s="533">
        <f t="shared" ca="1" si="557"/>
        <v>14200</v>
      </c>
      <c r="Y55" s="1115"/>
      <c r="Z55" s="1115"/>
      <c r="AA55" s="533">
        <f ca="1">ROUND(AA53/AA54,-1)</f>
        <v>1630</v>
      </c>
      <c r="AB55" s="533">
        <f ca="1">ROUND(AB53/AB54,2)</f>
        <v>0.12</v>
      </c>
      <c r="AC55" s="1115"/>
      <c r="AD55" s="1114"/>
      <c r="AE55" s="534">
        <f ca="1">ROUND(AE53/AE54,2)</f>
        <v>0.72</v>
      </c>
      <c r="AF55" s="533">
        <f ca="1">ROUND(AF53/AF54,-1)</f>
        <v>2000</v>
      </c>
      <c r="AG55" s="1115"/>
      <c r="AH55" s="534">
        <f ca="1">ROUND(AH53/AH54,2)</f>
        <v>0.04</v>
      </c>
      <c r="AI55" s="533">
        <f ca="1">ROUND(AI53/AI54,-1)</f>
        <v>1660</v>
      </c>
      <c r="AJ55" s="1115"/>
      <c r="AK55" s="534">
        <f ca="1">ROUND(AK53/AK54,2)</f>
        <v>0.52</v>
      </c>
      <c r="AL55" s="533">
        <f ca="1">ROUND(AL53/AL54,-1)</f>
        <v>2450</v>
      </c>
      <c r="AM55" s="535">
        <f ca="1">X55+AF55+AI55+AL55</f>
        <v>20310</v>
      </c>
      <c r="AN55" s="1115">
        <f>Z55+AG55+AJ55</f>
        <v>0</v>
      </c>
      <c r="AO55" s="535">
        <f ca="1">EL55</f>
        <v>1100</v>
      </c>
      <c r="AP55" s="535">
        <f ca="1">ROUND(EP55*12,-2)</f>
        <v>1200</v>
      </c>
      <c r="AQ55" s="535">
        <f ca="1">+AM55+AO55+AP55</f>
        <v>22610</v>
      </c>
      <c r="AR55" s="535">
        <f>ROUND(Z55+AG55+AJ55,-2)</f>
        <v>0</v>
      </c>
      <c r="AS55" s="1131"/>
      <c r="AT55" s="1131"/>
      <c r="AU55" s="1131"/>
      <c r="AV55" s="1131"/>
      <c r="AW55" s="1132"/>
      <c r="AX55" s="536">
        <f ca="1">ROUND(AX53/AX54,2)</f>
        <v>0.47</v>
      </c>
      <c r="AY55" s="536">
        <f ca="1">ROUND(AY53/AY54,2)</f>
        <v>0.23</v>
      </c>
      <c r="AZ55" s="536">
        <f ca="1">ROUND(AZ53/AZ54,2)</f>
        <v>0.19</v>
      </c>
      <c r="BA55" s="536">
        <f ca="1">ROUND(BA53/BA54,2)</f>
        <v>0.08</v>
      </c>
      <c r="BB55" s="536">
        <f t="shared" ref="BB55:BC55" ca="1" si="558">ROUND(BB53/BB54,2)</f>
        <v>0.02</v>
      </c>
      <c r="BC55" s="536">
        <f t="shared" ca="1" si="558"/>
        <v>0.08</v>
      </c>
      <c r="BD55" s="536">
        <f ca="1">ROUND(BD53/BD54,2)</f>
        <v>0.08</v>
      </c>
      <c r="BE55" s="536">
        <f t="shared" ref="BE55" ca="1" si="559">ROUND(BE53/BE54,2)</f>
        <v>0.55000000000000004</v>
      </c>
      <c r="BF55" s="537">
        <f ca="1">ROUND(BF53/BF54,-2)</f>
        <v>8264800</v>
      </c>
      <c r="BG55" s="537">
        <f ca="1">IF(BG53=0,0,ROUND(BG53/BG54,-2))</f>
        <v>1767200</v>
      </c>
      <c r="BH55" s="537">
        <f ca="1">ROUND(BH53/BH54,-2)</f>
        <v>6531900</v>
      </c>
      <c r="BI55" s="537">
        <f ca="1">ROUND(BI53/BI54,-2)</f>
        <v>27609600</v>
      </c>
      <c r="BJ55" s="537">
        <f ca="1">ROUND(BJ53/BJ54,-2)</f>
        <v>3735100</v>
      </c>
      <c r="BK55" s="537">
        <f ca="1">ROUND(BK53/BK54,-2)</f>
        <v>2198400</v>
      </c>
      <c r="BL55" s="538">
        <f ca="1">ROUND(BJ55/BK55,2)</f>
        <v>1.7</v>
      </c>
      <c r="BM55" s="539">
        <f ca="1">ROUND(BM53/BM54,2)</f>
        <v>0.83</v>
      </c>
      <c r="BN55" s="537">
        <f ca="1">ROUND(BN53/BN54,-2)</f>
        <v>6354600</v>
      </c>
      <c r="BO55" s="537"/>
      <c r="BP55" s="537">
        <f t="shared" ref="BP55:BQ55" ca="1" si="560">ROUND(BP53/BP54,-2)</f>
        <v>7645500</v>
      </c>
      <c r="BQ55" s="537">
        <f t="shared" ca="1" si="560"/>
        <v>7157200</v>
      </c>
      <c r="BR55" s="1217">
        <f ca="1">ROUND(BR53/BR54,)</f>
        <v>1</v>
      </c>
      <c r="BS55" s="539">
        <f ca="1">ROUND(BS53/BS54,2)</f>
        <v>0.55000000000000004</v>
      </c>
      <c r="BT55" s="537">
        <f t="shared" ref="BT55" ca="1" si="561">ROUND(BT53/BT54,-2)</f>
        <v>12647000</v>
      </c>
      <c r="BU55" s="537">
        <f t="shared" ref="BU55" ca="1" si="562">ROUND(BU53/BU54,-2)</f>
        <v>27790100</v>
      </c>
      <c r="BV55" s="1217">
        <f ca="1">ROUND(BV53/BV54,)</f>
        <v>1</v>
      </c>
      <c r="BW55" s="1169">
        <f ca="1">IF(BN55=0,0,+IF(K55=0,0,ROUND(BN55/K55,-1)))</f>
        <v>8830</v>
      </c>
      <c r="BX55" s="1169">
        <f ca="1">IF(BJ55=0,0,+IF(K55=0,0,ROUND(BJ55/K55,-1)))</f>
        <v>5190</v>
      </c>
      <c r="BY55" s="1169">
        <f ca="1">IF(BH55=0,0,+IF(K55=0,0,ROUND(BH55/K55,-1)))</f>
        <v>9070</v>
      </c>
      <c r="BZ55" s="540">
        <f t="shared" ref="BZ55:CI55" ca="1" si="563">ROUND(BZ53/BZ54,-3)</f>
        <v>1351000</v>
      </c>
      <c r="CA55" s="541">
        <f t="shared" ca="1" si="563"/>
        <v>175000</v>
      </c>
      <c r="CB55" s="541">
        <f t="shared" ca="1" si="563"/>
        <v>529000</v>
      </c>
      <c r="CC55" s="541">
        <f t="shared" ca="1" si="563"/>
        <v>533000</v>
      </c>
      <c r="CD55" s="541">
        <f t="shared" ca="1" si="563"/>
        <v>9448000</v>
      </c>
      <c r="CE55" s="541">
        <f t="shared" ca="1" si="563"/>
        <v>59000</v>
      </c>
      <c r="CF55" s="541">
        <f t="shared" ca="1" si="563"/>
        <v>10000</v>
      </c>
      <c r="CG55" s="541">
        <f t="shared" ca="1" si="563"/>
        <v>2171000</v>
      </c>
      <c r="CH55" s="541">
        <f t="shared" ca="1" si="563"/>
        <v>907000</v>
      </c>
      <c r="CI55" s="541">
        <f t="shared" ca="1" si="563"/>
        <v>572000</v>
      </c>
      <c r="CJ55" s="542">
        <f ca="1">SUM(BZ55:CI55)</f>
        <v>15755000</v>
      </c>
      <c r="CK55" s="543">
        <f t="shared" ref="CK55:CU55" ca="1" si="564">ROUND(BZ55/$CJ55,3)</f>
        <v>8.5999999999999993E-2</v>
      </c>
      <c r="CL55" s="543">
        <f t="shared" ca="1" si="564"/>
        <v>1.0999999999999999E-2</v>
      </c>
      <c r="CM55" s="543">
        <f t="shared" ca="1" si="564"/>
        <v>3.4000000000000002E-2</v>
      </c>
      <c r="CN55" s="543">
        <f t="shared" ca="1" si="564"/>
        <v>3.4000000000000002E-2</v>
      </c>
      <c r="CO55" s="543">
        <f t="shared" ca="1" si="564"/>
        <v>0.6</v>
      </c>
      <c r="CP55" s="543">
        <f t="shared" ca="1" si="564"/>
        <v>4.0000000000000001E-3</v>
      </c>
      <c r="CQ55" s="543">
        <f t="shared" ca="1" si="564"/>
        <v>1E-3</v>
      </c>
      <c r="CR55" s="543">
        <f t="shared" ca="1" si="564"/>
        <v>0.13800000000000001</v>
      </c>
      <c r="CS55" s="543">
        <f t="shared" ca="1" si="564"/>
        <v>5.8000000000000003E-2</v>
      </c>
      <c r="CT55" s="543">
        <f t="shared" ca="1" si="564"/>
        <v>3.5999999999999997E-2</v>
      </c>
      <c r="CU55" s="543">
        <f t="shared" ca="1" si="564"/>
        <v>1</v>
      </c>
      <c r="CV55" s="541">
        <f t="shared" ref="CV55:DB55" ca="1" si="565">ROUND(CV53/CV54,-3)</f>
        <v>8054000</v>
      </c>
      <c r="CW55" s="541">
        <f t="shared" ca="1" si="565"/>
        <v>1493000</v>
      </c>
      <c r="CX55" s="541">
        <f t="shared" ca="1" si="565"/>
        <v>386000</v>
      </c>
      <c r="CY55" s="541">
        <f t="shared" ca="1" si="565"/>
        <v>5129000</v>
      </c>
      <c r="CZ55" s="541">
        <f t="shared" ca="1" si="565"/>
        <v>215000</v>
      </c>
      <c r="DA55" s="541">
        <f t="shared" ca="1" si="565"/>
        <v>449000</v>
      </c>
      <c r="DB55" s="541">
        <f t="shared" ca="1" si="565"/>
        <v>15724000</v>
      </c>
      <c r="DC55" s="543">
        <f t="shared" ref="DC55:DI55" ca="1" si="566">ROUND(CV55/$DB55,3)</f>
        <v>0.51200000000000001</v>
      </c>
      <c r="DD55" s="543">
        <f t="shared" ca="1" si="566"/>
        <v>9.5000000000000001E-2</v>
      </c>
      <c r="DE55" s="543">
        <f t="shared" ca="1" si="566"/>
        <v>2.5000000000000001E-2</v>
      </c>
      <c r="DF55" s="543">
        <f t="shared" ca="1" si="566"/>
        <v>0.32600000000000001</v>
      </c>
      <c r="DG55" s="543">
        <f t="shared" ca="1" si="566"/>
        <v>1.4E-2</v>
      </c>
      <c r="DH55" s="543">
        <f t="shared" ca="1" si="566"/>
        <v>2.9000000000000001E-2</v>
      </c>
      <c r="DI55" s="543">
        <f t="shared" ca="1" si="566"/>
        <v>1</v>
      </c>
      <c r="DJ55" s="544">
        <f ca="1">CJ55-DB55</f>
        <v>31000</v>
      </c>
      <c r="DK55" s="1176">
        <f t="shared" ref="DK55:DT55" ca="1" si="567">IF(BZ55=0,0,+IF($K55=0,0,ROUND(BZ55/$K55,-1)))</f>
        <v>1880</v>
      </c>
      <c r="DL55" s="1176">
        <f t="shared" ca="1" si="567"/>
        <v>240</v>
      </c>
      <c r="DM55" s="1176">
        <f t="shared" ca="1" si="567"/>
        <v>730</v>
      </c>
      <c r="DN55" s="1176">
        <f t="shared" ca="1" si="567"/>
        <v>740</v>
      </c>
      <c r="DO55" s="1176">
        <f t="shared" ca="1" si="567"/>
        <v>13120</v>
      </c>
      <c r="DP55" s="1176">
        <f t="shared" ca="1" si="567"/>
        <v>80</v>
      </c>
      <c r="DQ55" s="1176">
        <f t="shared" ca="1" si="567"/>
        <v>10</v>
      </c>
      <c r="DR55" s="1176">
        <f t="shared" ca="1" si="567"/>
        <v>3020</v>
      </c>
      <c r="DS55" s="1176">
        <f t="shared" ca="1" si="567"/>
        <v>1260</v>
      </c>
      <c r="DT55" s="1176">
        <f t="shared" ca="1" si="567"/>
        <v>790</v>
      </c>
      <c r="DU55" s="1176">
        <f ca="1">SUM(DK55:DT55)</f>
        <v>21870</v>
      </c>
      <c r="DV55" s="1176">
        <f t="shared" ref="DV55:EA55" ca="1" si="568">IF(CV55=0,0,+IF($K55=0,0,ROUND(CV55/$K55,-1)))</f>
        <v>11190</v>
      </c>
      <c r="DW55" s="1176">
        <f t="shared" ca="1" si="568"/>
        <v>2070</v>
      </c>
      <c r="DX55" s="1176">
        <f t="shared" ca="1" si="568"/>
        <v>540</v>
      </c>
      <c r="DY55" s="1176">
        <f t="shared" ca="1" si="568"/>
        <v>7120</v>
      </c>
      <c r="DZ55" s="1176">
        <f t="shared" ca="1" si="568"/>
        <v>300</v>
      </c>
      <c r="EA55" s="1176">
        <f t="shared" ca="1" si="568"/>
        <v>620</v>
      </c>
      <c r="EB55" s="1176">
        <f ca="1">SUM(DV55:EA55)</f>
        <v>21840</v>
      </c>
      <c r="EC55" s="1176">
        <f ca="1">DU55-EB55</f>
        <v>30</v>
      </c>
      <c r="ED55" s="545">
        <f ca="1">ROUND(ED53/ED54,0)</f>
        <v>154</v>
      </c>
      <c r="EE55" s="546">
        <f>ROUND(EE53/EE54,2)</f>
        <v>0.61</v>
      </c>
      <c r="EF55" s="545">
        <f ca="1">ROUND(EF53/EF54,0)</f>
        <v>44</v>
      </c>
      <c r="EG55" s="545">
        <f ca="1">ROUND(EG53/EG54,0)</f>
        <v>374486</v>
      </c>
      <c r="EH55" s="1223">
        <f ca="1">ROUND(EH53/EH54,2)</f>
        <v>0.89</v>
      </c>
      <c r="EI55" s="1223">
        <f ca="1">ROUND(EI53/EI54,2)</f>
        <v>0.09</v>
      </c>
      <c r="EJ55" s="1177">
        <f ca="1">IF(K55=0,0,+IF(ED55=0,0,ROUND(K55/ED55,1)))</f>
        <v>4.7</v>
      </c>
      <c r="EK55" s="547">
        <f>ROUND(EK53/EK54,2)</f>
        <v>0.54</v>
      </c>
      <c r="EL55" s="548">
        <f ca="1">ROUND(EL53/EL54,-2)</f>
        <v>1100</v>
      </c>
      <c r="EM55" s="547">
        <f>ROUND(EM53/EM54,2)</f>
        <v>0.53</v>
      </c>
      <c r="EN55" s="547">
        <f ca="1">ROUND(EN53/EN54,2)</f>
        <v>0.2</v>
      </c>
      <c r="EO55" s="547">
        <f>ROUND(EO53/EO54,2)</f>
        <v>0.27</v>
      </c>
      <c r="EP55" s="548">
        <f ca="1">ROUND(EP53/EP54,-1)</f>
        <v>100</v>
      </c>
      <c r="EQ55" s="547">
        <f>ROUND(EQ53/EQ54,2)</f>
        <v>0.12</v>
      </c>
      <c r="ER55" s="547">
        <f>ROUND(ER53/ER54,2)</f>
        <v>0.2</v>
      </c>
      <c r="ES55" s="1186">
        <f ca="1">IF(FE55=0,0,+IF(K55=0,0,ROUND(FE55/K55,-2)))</f>
        <v>4300</v>
      </c>
      <c r="ET55" s="1179">
        <f ca="1">IF(FY55=0,0,+IF(K55=0,0,ROUND(FY55/K55,-1)))</f>
        <v>-2560</v>
      </c>
      <c r="EU55" s="1240"/>
      <c r="EV55" s="549">
        <f t="shared" ref="EV55:FC55" ca="1" si="569">ROUND(EV53/EV54,-2)</f>
        <v>86100</v>
      </c>
      <c r="EW55" s="549">
        <f t="shared" ca="1" si="569"/>
        <v>9500</v>
      </c>
      <c r="EX55" s="549"/>
      <c r="EY55" s="549">
        <f t="shared" ca="1" si="569"/>
        <v>2189800</v>
      </c>
      <c r="EZ55" s="549">
        <f t="shared" ca="1" si="569"/>
        <v>1170000</v>
      </c>
      <c r="FA55" s="78">
        <f ca="1">EY55-EZ55</f>
        <v>1019800</v>
      </c>
      <c r="FB55" s="549">
        <f t="shared" ca="1" si="569"/>
        <v>914300</v>
      </c>
      <c r="FC55" s="549">
        <f t="shared" ca="1" si="569"/>
        <v>336200</v>
      </c>
      <c r="FD55" s="78">
        <f ca="1">FB55-FC55</f>
        <v>578100</v>
      </c>
      <c r="FE55" s="78">
        <f ca="1">EY55+FB55</f>
        <v>3104100</v>
      </c>
      <c r="FF55" s="78">
        <f ca="1">EZ55+FC55</f>
        <v>1506200</v>
      </c>
      <c r="FG55" s="78">
        <f ca="1">FE55-FF55</f>
        <v>1597900</v>
      </c>
      <c r="FH55" s="365">
        <f ca="1">ROUND(EY55/$EY55,3)</f>
        <v>1</v>
      </c>
      <c r="FI55" s="365">
        <f ca="1">ROUND(EZ55/$EY55,3)</f>
        <v>0.53400000000000003</v>
      </c>
      <c r="FJ55" s="365">
        <f ca="1">ROUND(FA55/$EY55,3)</f>
        <v>0.46600000000000003</v>
      </c>
      <c r="FK55" s="365">
        <f ca="1">ROUND(FB55/$FB55,3)</f>
        <v>1</v>
      </c>
      <c r="FL55" s="365">
        <f ca="1">ROUND(FC55/$FB55,3)</f>
        <v>0.36799999999999999</v>
      </c>
      <c r="FM55" s="365">
        <f ca="1">ROUND(FD55/$FB55,3)</f>
        <v>0.63200000000000001</v>
      </c>
      <c r="FN55" s="365">
        <f ca="1">ROUND(FE55/$FE55,3)</f>
        <v>1</v>
      </c>
      <c r="FO55" s="365">
        <f ca="1">ROUND(FF55/$FE55,3)</f>
        <v>0.48499999999999999</v>
      </c>
      <c r="FP55" s="365">
        <f ca="1">ROUND(FG55/$FE55,3)</f>
        <v>0.51500000000000001</v>
      </c>
      <c r="FQ55" s="549">
        <f t="shared" ref="FQ55:FW55" ca="1" si="570">ROUND(FQ53/FQ54,-2)</f>
        <v>2421700</v>
      </c>
      <c r="FR55" s="550">
        <f t="shared" ca="1" si="570"/>
        <v>-166400</v>
      </c>
      <c r="FS55" s="549">
        <f t="shared" ca="1" si="570"/>
        <v>468400</v>
      </c>
      <c r="FT55" s="549">
        <f t="shared" ca="1" si="570"/>
        <v>66900</v>
      </c>
      <c r="FU55" s="549">
        <f t="shared" ca="1" si="570"/>
        <v>43600</v>
      </c>
      <c r="FV55" s="549">
        <f t="shared" ca="1" si="570"/>
        <v>32800</v>
      </c>
      <c r="FW55" s="549">
        <f t="shared" ca="1" si="570"/>
        <v>572400</v>
      </c>
      <c r="FX55" s="78">
        <f ca="1">SUM(FQ55:FW55)</f>
        <v>3439400</v>
      </c>
      <c r="FY55" s="79">
        <f ca="1">ROUND(FG55-FX55,-2)</f>
        <v>-1841500</v>
      </c>
      <c r="FZ55" s="551">
        <f t="shared" ref="FZ55:GH55" ca="1" si="571">ROUND(FQ55/$FE55,3)</f>
        <v>0.78</v>
      </c>
      <c r="GA55" s="551">
        <f t="shared" ca="1" si="571"/>
        <v>-5.3999999999999999E-2</v>
      </c>
      <c r="GB55" s="551">
        <f t="shared" ca="1" si="571"/>
        <v>0.151</v>
      </c>
      <c r="GC55" s="551">
        <f t="shared" ca="1" si="571"/>
        <v>2.1999999999999999E-2</v>
      </c>
      <c r="GD55" s="551">
        <f t="shared" ca="1" si="571"/>
        <v>1.4E-2</v>
      </c>
      <c r="GE55" s="551">
        <f t="shared" ca="1" si="571"/>
        <v>1.0999999999999999E-2</v>
      </c>
      <c r="GF55" s="551">
        <f t="shared" ca="1" si="571"/>
        <v>0.184</v>
      </c>
      <c r="GG55" s="551">
        <f t="shared" ca="1" si="571"/>
        <v>1.1080000000000001</v>
      </c>
      <c r="GH55" s="551">
        <f t="shared" ca="1" si="571"/>
        <v>-0.59299999999999997</v>
      </c>
      <c r="GI55" s="569">
        <f ca="1">EY55/FB55</f>
        <v>2.3950563272448866</v>
      </c>
      <c r="GJ55" s="547">
        <f>ROUND(GJ53/GJ54,2)</f>
        <v>0.79</v>
      </c>
      <c r="GK55" s="547">
        <f ca="1">ROUND(GK53/GK54,2)</f>
        <v>7.0000000000000007E-2</v>
      </c>
      <c r="GL55" s="547">
        <f>ROUND(GL53/GL54,2)</f>
        <v>0.63</v>
      </c>
      <c r="GM55" s="547">
        <f ca="1">ROUND(GM53/GM54,2)</f>
        <v>7.0000000000000007E-2</v>
      </c>
      <c r="GN55" s="552">
        <f ca="1">ROUND(GN53/GN54,0)</f>
        <v>18</v>
      </c>
      <c r="GO55" s="552">
        <f ca="1">ROUND(GO53/GO54,0)</f>
        <v>112</v>
      </c>
      <c r="GP55" s="552">
        <f t="shared" ref="GP55:GV55" ca="1" si="572">ROUND(GP53/GP54,-2)</f>
        <v>32000</v>
      </c>
      <c r="GQ55" s="552">
        <f t="shared" ca="1" si="572"/>
        <v>987400</v>
      </c>
      <c r="GR55" s="552">
        <f t="shared" ca="1" si="572"/>
        <v>193200</v>
      </c>
      <c r="GS55" s="552">
        <f t="shared" ca="1" si="572"/>
        <v>536000</v>
      </c>
      <c r="GT55" s="552">
        <f t="shared" ca="1" si="572"/>
        <v>152600</v>
      </c>
      <c r="GU55" s="552">
        <f t="shared" ca="1" si="572"/>
        <v>50000</v>
      </c>
      <c r="GV55" s="552">
        <f t="shared" ca="1" si="572"/>
        <v>211500</v>
      </c>
      <c r="GW55" s="72">
        <f ca="1">SUM(GQ55:GV55)</f>
        <v>2130700</v>
      </c>
      <c r="GX55" s="72">
        <f ca="1">ROUND(GW55/GN55,-2)</f>
        <v>118400</v>
      </c>
      <c r="GY55" s="72">
        <f ca="1">ROUND(GW55/GO55,-2)</f>
        <v>19000</v>
      </c>
      <c r="GZ55" s="74">
        <f t="shared" ref="GZ55:HF55" ca="1" si="573">ROUND(GQ55/$GW55,3)</f>
        <v>0.46300000000000002</v>
      </c>
      <c r="HA55" s="74">
        <f t="shared" ca="1" si="573"/>
        <v>9.0999999999999998E-2</v>
      </c>
      <c r="HB55" s="74">
        <f t="shared" ca="1" si="573"/>
        <v>0.252</v>
      </c>
      <c r="HC55" s="74">
        <f ca="1">ROUND(GT55/$GW55,3)</f>
        <v>7.1999999999999995E-2</v>
      </c>
      <c r="HD55" s="74">
        <f t="shared" ca="1" si="573"/>
        <v>2.3E-2</v>
      </c>
      <c r="HE55" s="74">
        <f t="shared" ca="1" si="573"/>
        <v>9.9000000000000005E-2</v>
      </c>
      <c r="HF55" s="74">
        <f t="shared" ca="1" si="573"/>
        <v>1</v>
      </c>
      <c r="HG55" s="553">
        <f ca="1">ROUND(HG53/HG54,0)</f>
        <v>40</v>
      </c>
      <c r="HH55" s="553">
        <f ca="1">ROUND(HH53/HH54,0)</f>
        <v>277</v>
      </c>
      <c r="HI55" s="553">
        <f t="shared" ref="HI55:HP55" ca="1" si="574">ROUND(HI53/HI54,-2)</f>
        <v>62500</v>
      </c>
      <c r="HJ55" s="553">
        <f t="shared" ca="1" si="574"/>
        <v>2028600</v>
      </c>
      <c r="HK55" s="553">
        <f t="shared" ca="1" si="574"/>
        <v>351900</v>
      </c>
      <c r="HL55" s="553">
        <f t="shared" ca="1" si="574"/>
        <v>1102100</v>
      </c>
      <c r="HM55" s="553">
        <f t="shared" ca="1" si="574"/>
        <v>278100</v>
      </c>
      <c r="HN55" s="553">
        <f t="shared" ca="1" si="574"/>
        <v>78700</v>
      </c>
      <c r="HO55" s="553">
        <f t="shared" ca="1" si="574"/>
        <v>447300</v>
      </c>
      <c r="HP55" s="553">
        <f t="shared" ca="1" si="574"/>
        <v>4286800</v>
      </c>
      <c r="HQ55" s="72">
        <f ca="1">ROUND(HP55/HG55,-2)</f>
        <v>107200</v>
      </c>
      <c r="HR55" s="72">
        <f ca="1">IF(HP55=0,0,ROUND(HP55/HH55,-1))</f>
        <v>15480</v>
      </c>
      <c r="HS55" s="74">
        <f t="shared" ref="HS55:HY55" ca="1" si="575">ROUND(HJ55/$HP55,3)</f>
        <v>0.47299999999999998</v>
      </c>
      <c r="HT55" s="74">
        <f t="shared" ca="1" si="575"/>
        <v>8.2000000000000003E-2</v>
      </c>
      <c r="HU55" s="74">
        <f t="shared" ca="1" si="575"/>
        <v>0.25700000000000001</v>
      </c>
      <c r="HV55" s="74">
        <f t="shared" ca="1" si="575"/>
        <v>6.5000000000000002E-2</v>
      </c>
      <c r="HW55" s="74">
        <f t="shared" ca="1" si="575"/>
        <v>1.7999999999999999E-2</v>
      </c>
      <c r="HX55" s="74">
        <f t="shared" ca="1" si="575"/>
        <v>0.104</v>
      </c>
      <c r="HY55" s="74">
        <f t="shared" ca="1" si="575"/>
        <v>1</v>
      </c>
      <c r="HZ55" s="51"/>
      <c r="IA55" s="276">
        <f ca="1">ROUND(Q55/S55,2)</f>
        <v>0.08</v>
      </c>
      <c r="IB55" s="275"/>
      <c r="IC55" s="554">
        <f>ROUND(IC53/IC54,2)</f>
        <v>0.95</v>
      </c>
      <c r="ID55" s="554"/>
      <c r="IE55" s="554">
        <f>ROUND(IE53/IE54,2)</f>
        <v>0.02</v>
      </c>
      <c r="IF55" s="554"/>
      <c r="IG55" s="1275">
        <f>ROUND(IF(BI6=0,0,+IF(K6=0,0,BI6/K6)),-1)</f>
        <v>38350</v>
      </c>
      <c r="IH55" s="1275">
        <f ca="1">ROUND(IF(BU55=0,0,+IF(K55=0,0,BU55/K55)),-1)</f>
        <v>38600</v>
      </c>
      <c r="II55" s="1287">
        <f ca="1">ROUND(II53/II54,)</f>
        <v>2</v>
      </c>
      <c r="IJ55" s="1287">
        <f ca="1">ROUND(IJ53/IJ54,)</f>
        <v>1</v>
      </c>
      <c r="IK55" s="555">
        <f>ROUND(IK53/IK54,2)</f>
        <v>0.31</v>
      </c>
      <c r="IL55" s="555">
        <f>ROUND(IL53/IL54,2)</f>
        <v>0.12</v>
      </c>
      <c r="IM55" s="555">
        <f>ROUND(IM53/IM54,2)</f>
        <v>0.35</v>
      </c>
      <c r="IN55" s="555">
        <f>ROUND(IN53/IN54,2)</f>
        <v>0</v>
      </c>
      <c r="IO55" s="752">
        <f ca="1">ROUND(FY55/$J55,-1)</f>
        <v>-2170</v>
      </c>
      <c r="IP55" s="752">
        <f ca="1">IF(K55=0,0,ROUND(FY55/K55,-1))</f>
        <v>-2560</v>
      </c>
      <c r="IQ55" s="551">
        <f ca="1">IF(FY55=0,0,+IF(CD55=0,0,FY55/CD55))</f>
        <v>-0.19490897544453853</v>
      </c>
      <c r="IR55" s="556">
        <f ca="1">EY55</f>
        <v>2189800</v>
      </c>
      <c r="IS55" s="556">
        <f ca="1">FB55</f>
        <v>914300</v>
      </c>
      <c r="IT55" s="556">
        <f ca="1">FQ55</f>
        <v>2421700</v>
      </c>
      <c r="IU55" s="556">
        <f ca="1">FS55+FT55</f>
        <v>535300</v>
      </c>
      <c r="IV55" s="556">
        <f ca="1">FF55</f>
        <v>1506200</v>
      </c>
      <c r="IW55" s="556">
        <f ca="1">SUM(FU55:FW55)+FR55</f>
        <v>482400</v>
      </c>
      <c r="IX55" s="365">
        <f t="shared" ref="IX55:JC55" ca="1" si="576">IF(IR55=0,0,ROUND(IR55/(SUM($IR55:$IS55)),3))</f>
        <v>0.70499999999999996</v>
      </c>
      <c r="IY55" s="365">
        <f t="shared" ca="1" si="576"/>
        <v>0.29499999999999998</v>
      </c>
      <c r="IZ55" s="365">
        <f t="shared" ca="1" si="576"/>
        <v>0.78</v>
      </c>
      <c r="JA55" s="365">
        <f t="shared" ca="1" si="576"/>
        <v>0.17199999999999999</v>
      </c>
      <c r="JB55" s="365">
        <f t="shared" ca="1" si="576"/>
        <v>0.48499999999999999</v>
      </c>
      <c r="JC55" s="365">
        <f t="shared" ca="1" si="576"/>
        <v>0.155</v>
      </c>
      <c r="JD55" s="296">
        <f ca="1">CD55+CE55+CF55</f>
        <v>9517000</v>
      </c>
      <c r="JE55" s="278">
        <f ca="1">BZ55+CA55+CB55+CC55</f>
        <v>2588000</v>
      </c>
      <c r="JF55" s="278">
        <f ca="1">JD55+JE55+CG55+CH55+CI55-CJ55</f>
        <v>0</v>
      </c>
      <c r="JG55" s="278">
        <f ca="1">CZ55+DA55</f>
        <v>664000</v>
      </c>
      <c r="JH55" s="557">
        <f>ROUND(JH53/JH54,2)</f>
        <v>0.51</v>
      </c>
      <c r="JI55" s="557">
        <f>ROUND(JI53/JI54,2)</f>
        <v>0.76</v>
      </c>
      <c r="JJ55" s="557">
        <f ca="1">ROUND(JJ53/JJ54,2)</f>
        <v>0.75</v>
      </c>
      <c r="JK55" s="557">
        <f t="shared" ref="JK55:JQ55" ca="1" si="577">ROUND(JK53/JK54,2)</f>
        <v>0.51</v>
      </c>
      <c r="JL55" s="557">
        <f t="shared" ca="1" si="577"/>
        <v>0.09</v>
      </c>
      <c r="JM55" s="557">
        <f t="shared" ca="1" si="577"/>
        <v>0.03</v>
      </c>
      <c r="JN55" s="557">
        <f t="shared" ca="1" si="577"/>
        <v>0.33</v>
      </c>
      <c r="JO55" s="557">
        <f t="shared" ca="1" si="577"/>
        <v>0.02</v>
      </c>
      <c r="JP55" s="557">
        <f t="shared" ca="1" si="577"/>
        <v>0.03</v>
      </c>
      <c r="JQ55" s="557">
        <f t="shared" ca="1" si="577"/>
        <v>1</v>
      </c>
      <c r="JR55" s="558">
        <f t="shared" ref="JR55:JW55" ca="1" si="578">ROUND(GQ55/$GN55,-2)</f>
        <v>54900</v>
      </c>
      <c r="JS55" s="558">
        <f t="shared" ca="1" si="578"/>
        <v>10700</v>
      </c>
      <c r="JT55" s="558">
        <f t="shared" ca="1" si="578"/>
        <v>29800</v>
      </c>
      <c r="JU55" s="558">
        <f t="shared" ca="1" si="578"/>
        <v>8500</v>
      </c>
      <c r="JV55" s="558">
        <f t="shared" ca="1" si="578"/>
        <v>2800</v>
      </c>
      <c r="JW55" s="558">
        <f t="shared" ca="1" si="578"/>
        <v>11800</v>
      </c>
      <c r="JX55" s="558">
        <f ca="1">GW55/GP55</f>
        <v>66.584374999999994</v>
      </c>
      <c r="JY55" s="770">
        <f ca="1">ROUND(JY53/JY54,2)</f>
        <v>0.22</v>
      </c>
      <c r="JZ55" s="558">
        <f t="shared" ref="JZ55:KE55" ca="1" si="579">ROUND(HJ55/$HG55,-2)</f>
        <v>50700</v>
      </c>
      <c r="KA55" s="558">
        <f t="shared" ca="1" si="579"/>
        <v>8800</v>
      </c>
      <c r="KB55" s="558">
        <f t="shared" ca="1" si="579"/>
        <v>27600</v>
      </c>
      <c r="KC55" s="558">
        <f t="shared" ca="1" si="579"/>
        <v>7000</v>
      </c>
      <c r="KD55" s="558">
        <f t="shared" ca="1" si="579"/>
        <v>2000</v>
      </c>
      <c r="KE55" s="558">
        <f t="shared" ca="1" si="579"/>
        <v>11200</v>
      </c>
      <c r="KF55" s="558">
        <f ca="1">ROUND(HI55/HG55*18,-2)</f>
        <v>28100</v>
      </c>
      <c r="KG55" s="558">
        <f ca="1">ROUND(HH55/HG55*36,0)</f>
        <v>249</v>
      </c>
      <c r="KH55" s="558">
        <f ca="1">ROUND(HP55/HI55,0)</f>
        <v>69</v>
      </c>
      <c r="KI55" s="770">
        <f ca="1">ROUND(KI53/KI54,2)</f>
        <v>0.21</v>
      </c>
      <c r="KJ55" s="559">
        <f ca="1">ROUND(KJ53/KJ54,0)</f>
        <v>27</v>
      </c>
      <c r="KK55" s="559">
        <f ca="1">ROUND(KK53/KK54,-2)</f>
        <v>44600</v>
      </c>
      <c r="KL55" s="559">
        <f ca="1">ROUND(KL53/KL54,-1)</f>
        <v>180</v>
      </c>
      <c r="KM55" s="559">
        <f ca="1">ROUND(KM53/KM54,-2)</f>
        <v>113000</v>
      </c>
      <c r="KN55" s="559">
        <f ca="1">ROUND(KN53/KN54,0)</f>
        <v>80</v>
      </c>
      <c r="KO55" s="559">
        <f t="shared" ref="KO55:KT55" ca="1" si="580">ROUND(KO53/KO54,-2)</f>
        <v>18700</v>
      </c>
      <c r="KP55" s="559">
        <f t="shared" ca="1" si="580"/>
        <v>1417900</v>
      </c>
      <c r="KQ55" s="559">
        <f t="shared" ca="1" si="580"/>
        <v>258800</v>
      </c>
      <c r="KR55" s="559">
        <f t="shared" ca="1" si="580"/>
        <v>770100</v>
      </c>
      <c r="KS55" s="559">
        <f t="shared" ca="1" si="580"/>
        <v>204500</v>
      </c>
      <c r="KT55" s="559">
        <f t="shared" ca="1" si="580"/>
        <v>131300</v>
      </c>
      <c r="KU55" s="559">
        <f ca="1">ROUND(KU53/KU54,-2)</f>
        <v>309000</v>
      </c>
      <c r="KV55" s="773">
        <f ca="1">ROUND(KV53/KV54,3)</f>
        <v>0.216</v>
      </c>
      <c r="KW55" s="774">
        <f ca="1">ROUND(KW53/KW54,3)</f>
        <v>-0.32500000000000001</v>
      </c>
      <c r="KX55" s="108"/>
      <c r="KY55" s="421"/>
      <c r="KZ55" s="421"/>
      <c r="LA55" s="421"/>
      <c r="LB55" s="421"/>
      <c r="LC55" s="282"/>
      <c r="LD55" s="282"/>
      <c r="LE55" s="282"/>
      <c r="LF55" s="282"/>
      <c r="LG55" s="282"/>
      <c r="LH55" s="282"/>
      <c r="LI55" s="282"/>
      <c r="LJ55" s="282"/>
      <c r="LK55" s="282"/>
      <c r="LL55" s="282"/>
      <c r="LM55" s="282"/>
      <c r="LN55" s="282"/>
      <c r="LO55" s="282"/>
      <c r="LP55" s="282"/>
      <c r="LQ55" s="421"/>
      <c r="LR55" s="421"/>
      <c r="LS55" s="421"/>
      <c r="LT55" s="282"/>
      <c r="LU55" s="282"/>
      <c r="LV55" s="282"/>
      <c r="LW55" s="282"/>
      <c r="LX55" s="282"/>
      <c r="LY55" s="282"/>
      <c r="LZ55" s="282"/>
      <c r="MA55" s="282"/>
      <c r="MB55" s="282"/>
      <c r="MC55" s="282"/>
      <c r="MD55" s="282"/>
      <c r="ME55" s="282"/>
      <c r="MF55" s="282"/>
      <c r="MG55" s="282"/>
      <c r="MH55" s="282"/>
      <c r="MI55" s="282"/>
      <c r="MJ55" s="282"/>
      <c r="MK55" s="282"/>
      <c r="ML55" s="282"/>
      <c r="MM55" s="1232"/>
      <c r="MN55" s="1232"/>
      <c r="MO55" s="1232"/>
      <c r="MP55" s="1232"/>
      <c r="MQ55" s="421"/>
      <c r="MR55" s="421"/>
      <c r="MS55" s="421"/>
      <c r="MT55" s="421"/>
      <c r="MU55" s="421"/>
      <c r="MV55" s="421"/>
      <c r="MW55" s="421"/>
      <c r="MX55" s="421"/>
      <c r="MY55" s="421"/>
      <c r="MZ55" s="421"/>
      <c r="NA55" s="421"/>
      <c r="NB55" s="421"/>
      <c r="NC55" s="421"/>
      <c r="ND55" s="421"/>
      <c r="NE55" s="421"/>
      <c r="NF55" s="421"/>
      <c r="NG55" s="421"/>
      <c r="NH55" s="421"/>
      <c r="NI55" s="421"/>
      <c r="NJ55" s="421"/>
      <c r="NK55" s="421"/>
      <c r="NL55" s="421"/>
      <c r="NM55" s="282"/>
      <c r="NN55" s="282"/>
      <c r="NO55" s="282"/>
      <c r="NP55" s="282"/>
      <c r="NQ55" s="282"/>
      <c r="NR55" s="282"/>
      <c r="NS55" s="282"/>
      <c r="NT55" s="282"/>
      <c r="NU55" s="282"/>
      <c r="NV55" s="282"/>
      <c r="NW55" s="282"/>
      <c r="NX55" s="282"/>
      <c r="NY55" s="282"/>
      <c r="NZ55" s="282"/>
      <c r="OA55" s="282"/>
      <c r="OB55" s="282"/>
      <c r="OC55" s="282"/>
      <c r="OD55" s="282"/>
      <c r="OE55" s="282"/>
      <c r="OF55" s="282"/>
      <c r="OG55" s="282"/>
      <c r="OH55" s="282"/>
      <c r="OI55" s="282"/>
      <c r="OJ55" s="282"/>
      <c r="OK55" s="282"/>
      <c r="OL55" s="282"/>
      <c r="OM55" s="282"/>
      <c r="ON55" s="282"/>
      <c r="OO55" s="282"/>
      <c r="OP55" s="282"/>
      <c r="OQ55" s="282"/>
      <c r="OR55" s="282"/>
      <c r="OS55" s="282"/>
      <c r="OT55" s="282"/>
      <c r="OU55" s="282"/>
      <c r="OV55" s="282"/>
      <c r="OW55" s="282"/>
      <c r="OX55" s="282"/>
      <c r="OY55" s="282"/>
      <c r="OZ55" s="282"/>
      <c r="PA55" s="282"/>
      <c r="PB55" s="282"/>
      <c r="PC55" s="282"/>
      <c r="PD55" s="282"/>
      <c r="PE55" s="282"/>
      <c r="PF55" s="282"/>
      <c r="PG55" s="282"/>
      <c r="PH55" s="282"/>
      <c r="PI55" s="282"/>
      <c r="PJ55" s="282"/>
      <c r="PK55" s="282"/>
      <c r="PL55" s="282"/>
      <c r="PM55" s="282"/>
    </row>
    <row r="56" spans="1:431" s="1214" customFormat="1" ht="87" customHeight="1">
      <c r="A56" s="1210" t="s">
        <v>0</v>
      </c>
      <c r="B56" s="1210" t="s">
        <v>257</v>
      </c>
      <c r="C56" s="1210"/>
      <c r="D56" s="1211" t="s">
        <v>47</v>
      </c>
      <c r="E56" s="1532"/>
      <c r="F56" s="32" t="s">
        <v>99</v>
      </c>
      <c r="G56" s="32" t="s">
        <v>100</v>
      </c>
      <c r="H56" s="33" t="s">
        <v>81</v>
      </c>
      <c r="I56" s="33" t="s">
        <v>71</v>
      </c>
      <c r="J56" s="33" t="s">
        <v>4</v>
      </c>
      <c r="K56" s="1100" t="s">
        <v>1041</v>
      </c>
      <c r="L56" s="1076" t="s">
        <v>101</v>
      </c>
      <c r="M56" s="1077" t="s">
        <v>102</v>
      </c>
      <c r="N56" s="1077" t="s">
        <v>103</v>
      </c>
      <c r="O56" s="1077" t="s">
        <v>104</v>
      </c>
      <c r="P56" s="1077" t="s">
        <v>105</v>
      </c>
      <c r="Q56" s="36" t="s">
        <v>106</v>
      </c>
      <c r="R56" s="36" t="s">
        <v>107</v>
      </c>
      <c r="S56" s="36" t="s">
        <v>108</v>
      </c>
      <c r="T56" s="91" t="s">
        <v>109</v>
      </c>
      <c r="U56" s="91" t="s">
        <v>110</v>
      </c>
      <c r="V56" s="91" t="s">
        <v>111</v>
      </c>
      <c r="W56" s="36" t="s">
        <v>120</v>
      </c>
      <c r="X56" s="36" t="s">
        <v>121</v>
      </c>
      <c r="Y56" s="91" t="s">
        <v>122</v>
      </c>
      <c r="Z56" s="91" t="s">
        <v>123</v>
      </c>
      <c r="AA56" s="36" t="s">
        <v>115</v>
      </c>
      <c r="AB56" s="36" t="s">
        <v>114</v>
      </c>
      <c r="AC56" s="91" t="s">
        <v>113</v>
      </c>
      <c r="AD56" s="91" t="s">
        <v>112</v>
      </c>
      <c r="AE56" s="37" t="s">
        <v>116</v>
      </c>
      <c r="AF56" s="37" t="s">
        <v>124</v>
      </c>
      <c r="AG56" s="91" t="s">
        <v>125</v>
      </c>
      <c r="AH56" s="37" t="s">
        <v>117</v>
      </c>
      <c r="AI56" s="36" t="s">
        <v>127</v>
      </c>
      <c r="AJ56" s="91" t="s">
        <v>126</v>
      </c>
      <c r="AK56" s="1133" t="s">
        <v>1296</v>
      </c>
      <c r="AL56" s="1209" t="s">
        <v>1167</v>
      </c>
      <c r="AM56" s="36" t="s">
        <v>118</v>
      </c>
      <c r="AN56" s="91" t="s">
        <v>119</v>
      </c>
      <c r="AO56" s="36" t="s">
        <v>128</v>
      </c>
      <c r="AP56" s="36" t="s">
        <v>61</v>
      </c>
      <c r="AQ56" s="36" t="s">
        <v>129</v>
      </c>
      <c r="AR56" s="36" t="s">
        <v>130</v>
      </c>
      <c r="AS56" s="1120" t="s">
        <v>53</v>
      </c>
      <c r="AT56" s="1120" t="s">
        <v>54</v>
      </c>
      <c r="AU56" s="1120" t="s">
        <v>55</v>
      </c>
      <c r="AV56" s="1120" t="s">
        <v>56</v>
      </c>
      <c r="AW56" s="92" t="s">
        <v>131</v>
      </c>
      <c r="AX56" s="1134" t="s">
        <v>1174</v>
      </c>
      <c r="AY56" s="1134" t="s">
        <v>1168</v>
      </c>
      <c r="AZ56" s="1134" t="s">
        <v>1169</v>
      </c>
      <c r="BA56" s="1134" t="s">
        <v>1170</v>
      </c>
      <c r="BB56" s="1134" t="s">
        <v>1171</v>
      </c>
      <c r="BC56" s="1134" t="s">
        <v>1172</v>
      </c>
      <c r="BD56" s="1134" t="s">
        <v>1173</v>
      </c>
      <c r="BE56" s="39" t="s">
        <v>132</v>
      </c>
      <c r="BF56" s="39" t="s">
        <v>133</v>
      </c>
      <c r="BG56" s="39" t="s">
        <v>896</v>
      </c>
      <c r="BH56" s="39" t="s">
        <v>897</v>
      </c>
      <c r="BI56" s="1134" t="s">
        <v>1175</v>
      </c>
      <c r="BJ56" s="39" t="s">
        <v>134</v>
      </c>
      <c r="BK56" s="39" t="s">
        <v>135</v>
      </c>
      <c r="BL56" s="38" t="s">
        <v>136</v>
      </c>
      <c r="BM56" s="38" t="s">
        <v>137</v>
      </c>
      <c r="BN56" s="39" t="s">
        <v>140</v>
      </c>
      <c r="BO56" s="92"/>
      <c r="BP56" s="1134" t="s">
        <v>1176</v>
      </c>
      <c r="BQ56" s="1134" t="s">
        <v>1177</v>
      </c>
      <c r="BR56" s="1134" t="s">
        <v>1178</v>
      </c>
      <c r="BS56" s="1403" t="s">
        <v>139</v>
      </c>
      <c r="BT56" s="1134" t="s">
        <v>1231</v>
      </c>
      <c r="BU56" s="1134" t="s">
        <v>1179</v>
      </c>
      <c r="BV56" s="1134" t="s">
        <v>1267</v>
      </c>
      <c r="BW56" s="1134" t="s">
        <v>1234</v>
      </c>
      <c r="BX56" s="1134" t="s">
        <v>1268</v>
      </c>
      <c r="BY56" s="1134" t="s">
        <v>1269</v>
      </c>
      <c r="BZ56" s="41" t="s">
        <v>7</v>
      </c>
      <c r="CA56" s="42" t="s">
        <v>8</v>
      </c>
      <c r="CB56" s="42" t="s">
        <v>9</v>
      </c>
      <c r="CC56" s="43" t="s">
        <v>141</v>
      </c>
      <c r="CD56" s="42" t="s">
        <v>45</v>
      </c>
      <c r="CE56" s="42" t="s">
        <v>142</v>
      </c>
      <c r="CF56" s="42" t="s">
        <v>143</v>
      </c>
      <c r="CG56" s="42" t="s">
        <v>144</v>
      </c>
      <c r="CH56" s="42" t="s">
        <v>12</v>
      </c>
      <c r="CI56" s="42" t="s">
        <v>145</v>
      </c>
      <c r="CJ56" s="42" t="s">
        <v>58</v>
      </c>
      <c r="CK56" s="84" t="s">
        <v>184</v>
      </c>
      <c r="CL56" s="84" t="s">
        <v>185</v>
      </c>
      <c r="CM56" s="84" t="s">
        <v>186</v>
      </c>
      <c r="CN56" s="84" t="s">
        <v>187</v>
      </c>
      <c r="CO56" s="84" t="s">
        <v>188</v>
      </c>
      <c r="CP56" s="84" t="s">
        <v>189</v>
      </c>
      <c r="CQ56" s="84" t="s">
        <v>190</v>
      </c>
      <c r="CR56" s="84" t="s">
        <v>191</v>
      </c>
      <c r="CS56" s="84" t="s">
        <v>192</v>
      </c>
      <c r="CT56" s="84" t="s">
        <v>193</v>
      </c>
      <c r="CU56" s="84" t="s">
        <v>194</v>
      </c>
      <c r="CV56" s="42" t="s">
        <v>16</v>
      </c>
      <c r="CW56" s="42" t="s">
        <v>17</v>
      </c>
      <c r="CX56" s="42" t="s">
        <v>18</v>
      </c>
      <c r="CY56" s="42" t="s">
        <v>19</v>
      </c>
      <c r="CZ56" s="42" t="s">
        <v>41</v>
      </c>
      <c r="DA56" s="42" t="s">
        <v>20</v>
      </c>
      <c r="DB56" s="42" t="s">
        <v>59</v>
      </c>
      <c r="DC56" s="85" t="s">
        <v>195</v>
      </c>
      <c r="DD56" s="85" t="s">
        <v>196</v>
      </c>
      <c r="DE56" s="85" t="s">
        <v>197</v>
      </c>
      <c r="DF56" s="85" t="s">
        <v>198</v>
      </c>
      <c r="DG56" s="85" t="s">
        <v>199</v>
      </c>
      <c r="DH56" s="85" t="s">
        <v>200</v>
      </c>
      <c r="DI56" s="85" t="s">
        <v>201</v>
      </c>
      <c r="DJ56" s="42" t="s">
        <v>146</v>
      </c>
      <c r="DK56" s="44" t="s">
        <v>1270</v>
      </c>
      <c r="DL56" s="44" t="s">
        <v>1271</v>
      </c>
      <c r="DM56" s="44" t="s">
        <v>1272</v>
      </c>
      <c r="DN56" s="45" t="s">
        <v>1273</v>
      </c>
      <c r="DO56" s="44" t="s">
        <v>1274</v>
      </c>
      <c r="DP56" s="44" t="s">
        <v>1275</v>
      </c>
      <c r="DQ56" s="44" t="s">
        <v>1276</v>
      </c>
      <c r="DR56" s="44" t="s">
        <v>1277</v>
      </c>
      <c r="DS56" s="44" t="s">
        <v>1278</v>
      </c>
      <c r="DT56" s="44" t="s">
        <v>1279</v>
      </c>
      <c r="DU56" s="44" t="s">
        <v>1280</v>
      </c>
      <c r="DV56" s="44" t="s">
        <v>1281</v>
      </c>
      <c r="DW56" s="44" t="s">
        <v>1282</v>
      </c>
      <c r="DX56" s="44" t="s">
        <v>1283</v>
      </c>
      <c r="DY56" s="44" t="s">
        <v>1284</v>
      </c>
      <c r="DZ56" s="44" t="s">
        <v>1285</v>
      </c>
      <c r="EA56" s="44" t="s">
        <v>1286</v>
      </c>
      <c r="EB56" s="44" t="s">
        <v>1287</v>
      </c>
      <c r="EC56" s="44" t="s">
        <v>1288</v>
      </c>
      <c r="ED56" s="44" t="s">
        <v>166</v>
      </c>
      <c r="EE56" s="44" t="s">
        <v>167</v>
      </c>
      <c r="EF56" s="44" t="s">
        <v>168</v>
      </c>
      <c r="EG56" s="1212" t="s">
        <v>1180</v>
      </c>
      <c r="EH56" s="1212" t="s">
        <v>1181</v>
      </c>
      <c r="EI56" s="1212" t="s">
        <v>1182</v>
      </c>
      <c r="EJ56" s="44" t="s">
        <v>1246</v>
      </c>
      <c r="EK56" s="32" t="s">
        <v>169</v>
      </c>
      <c r="EL56" s="48" t="s">
        <v>170</v>
      </c>
      <c r="EM56" s="32" t="s">
        <v>171</v>
      </c>
      <c r="EN56" s="32" t="s">
        <v>172</v>
      </c>
      <c r="EO56" s="1010" t="s">
        <v>183</v>
      </c>
      <c r="EP56" s="48" t="s">
        <v>173</v>
      </c>
      <c r="EQ56" s="32" t="s">
        <v>174</v>
      </c>
      <c r="ER56" s="1136" t="s">
        <v>1183</v>
      </c>
      <c r="ES56" s="1136" t="s">
        <v>1252</v>
      </c>
      <c r="ET56" s="1136" t="s">
        <v>1253</v>
      </c>
      <c r="EU56" s="1136" t="s">
        <v>1184</v>
      </c>
      <c r="EV56" s="48" t="s">
        <v>175</v>
      </c>
      <c r="EW56" s="32" t="s">
        <v>176</v>
      </c>
      <c r="EX56" s="1136" t="s">
        <v>1185</v>
      </c>
      <c r="EY56" s="32" t="s">
        <v>177</v>
      </c>
      <c r="EZ56" s="32" t="s">
        <v>22</v>
      </c>
      <c r="FA56" s="32" t="s">
        <v>23</v>
      </c>
      <c r="FB56" s="32" t="s">
        <v>12</v>
      </c>
      <c r="FC56" s="32" t="s">
        <v>24</v>
      </c>
      <c r="FD56" s="32" t="s">
        <v>25</v>
      </c>
      <c r="FE56" s="32" t="s">
        <v>178</v>
      </c>
      <c r="FF56" s="32" t="s">
        <v>508</v>
      </c>
      <c r="FG56" s="32" t="s">
        <v>509</v>
      </c>
      <c r="FH56" s="86" t="s">
        <v>202</v>
      </c>
      <c r="FI56" s="86" t="s">
        <v>203</v>
      </c>
      <c r="FJ56" s="86" t="s">
        <v>204</v>
      </c>
      <c r="FK56" s="86" t="s">
        <v>192</v>
      </c>
      <c r="FL56" s="86" t="s">
        <v>205</v>
      </c>
      <c r="FM56" s="86" t="s">
        <v>206</v>
      </c>
      <c r="FN56" s="86" t="s">
        <v>207</v>
      </c>
      <c r="FO56" s="86" t="s">
        <v>208</v>
      </c>
      <c r="FP56" s="86" t="s">
        <v>209</v>
      </c>
      <c r="FQ56" s="32" t="s">
        <v>1289</v>
      </c>
      <c r="FR56" s="68" t="s">
        <v>1290</v>
      </c>
      <c r="FS56" s="32" t="s">
        <v>31</v>
      </c>
      <c r="FT56" s="32" t="s">
        <v>32</v>
      </c>
      <c r="FU56" s="32" t="s">
        <v>48</v>
      </c>
      <c r="FV56" s="32" t="s">
        <v>70</v>
      </c>
      <c r="FW56" s="32" t="s">
        <v>42</v>
      </c>
      <c r="FX56" s="32" t="s">
        <v>33</v>
      </c>
      <c r="FY56" s="68" t="s">
        <v>34</v>
      </c>
      <c r="FZ56" s="32" t="s">
        <v>210</v>
      </c>
      <c r="GA56" s="32" t="s">
        <v>211</v>
      </c>
      <c r="GB56" s="32" t="s">
        <v>212</v>
      </c>
      <c r="GC56" s="32" t="s">
        <v>213</v>
      </c>
      <c r="GD56" s="32" t="s">
        <v>214</v>
      </c>
      <c r="GE56" s="32" t="s">
        <v>215</v>
      </c>
      <c r="GF56" s="32" t="s">
        <v>216</v>
      </c>
      <c r="GG56" s="32" t="s">
        <v>217</v>
      </c>
      <c r="GH56" s="32" t="s">
        <v>218</v>
      </c>
      <c r="GI56" s="32" t="s">
        <v>35</v>
      </c>
      <c r="GJ56" s="32" t="s">
        <v>180</v>
      </c>
      <c r="GK56" s="32" t="s">
        <v>181</v>
      </c>
      <c r="GL56" s="32" t="s">
        <v>179</v>
      </c>
      <c r="GM56" s="32" t="s">
        <v>182</v>
      </c>
      <c r="GN56" s="87" t="s">
        <v>237</v>
      </c>
      <c r="GO56" s="1644" t="s">
        <v>1734</v>
      </c>
      <c r="GP56" s="87" t="s">
        <v>220</v>
      </c>
      <c r="GQ56" s="87" t="s">
        <v>221</v>
      </c>
      <c r="GR56" s="87" t="s">
        <v>222</v>
      </c>
      <c r="GS56" s="87" t="s">
        <v>223</v>
      </c>
      <c r="GT56" s="87" t="s">
        <v>224</v>
      </c>
      <c r="GU56" s="87" t="s">
        <v>225</v>
      </c>
      <c r="GV56" s="87" t="s">
        <v>226</v>
      </c>
      <c r="GW56" s="87" t="s">
        <v>227</v>
      </c>
      <c r="GX56" s="87" t="s">
        <v>228</v>
      </c>
      <c r="GY56" s="1644" t="s">
        <v>229</v>
      </c>
      <c r="GZ56" s="88" t="s">
        <v>230</v>
      </c>
      <c r="HA56" s="88" t="s">
        <v>231</v>
      </c>
      <c r="HB56" s="88" t="s">
        <v>232</v>
      </c>
      <c r="HC56" s="88" t="s">
        <v>233</v>
      </c>
      <c r="HD56" s="88" t="s">
        <v>234</v>
      </c>
      <c r="HE56" s="88" t="s">
        <v>235</v>
      </c>
      <c r="HF56" s="88" t="s">
        <v>236</v>
      </c>
      <c r="HG56" s="89" t="s">
        <v>238</v>
      </c>
      <c r="HH56" s="1644" t="s">
        <v>1735</v>
      </c>
      <c r="HI56" s="89" t="s">
        <v>240</v>
      </c>
      <c r="HJ56" s="89" t="s">
        <v>241</v>
      </c>
      <c r="HK56" s="89" t="s">
        <v>242</v>
      </c>
      <c r="HL56" s="89" t="s">
        <v>243</v>
      </c>
      <c r="HM56" s="89" t="s">
        <v>244</v>
      </c>
      <c r="HN56" s="89" t="s">
        <v>245</v>
      </c>
      <c r="HO56" s="89" t="s">
        <v>246</v>
      </c>
      <c r="HP56" s="89" t="s">
        <v>247</v>
      </c>
      <c r="HQ56" s="89" t="s">
        <v>248</v>
      </c>
      <c r="HR56" s="1645" t="s">
        <v>249</v>
      </c>
      <c r="HS56" s="88" t="s">
        <v>250</v>
      </c>
      <c r="HT56" s="88" t="s">
        <v>251</v>
      </c>
      <c r="HU56" s="88" t="s">
        <v>252</v>
      </c>
      <c r="HV56" s="88" t="s">
        <v>253</v>
      </c>
      <c r="HW56" s="88" t="s">
        <v>254</v>
      </c>
      <c r="HX56" s="88" t="s">
        <v>255</v>
      </c>
      <c r="HY56" s="88" t="s">
        <v>256</v>
      </c>
      <c r="HZ56" s="51"/>
      <c r="IA56" s="55" t="s">
        <v>405</v>
      </c>
      <c r="IB56" s="55"/>
      <c r="IC56" s="55" t="s">
        <v>457</v>
      </c>
      <c r="ID56" s="55"/>
      <c r="IE56" s="55" t="s">
        <v>563</v>
      </c>
      <c r="IF56" s="55"/>
      <c r="IG56" s="1270" t="s">
        <v>1378</v>
      </c>
      <c r="IH56" s="1270"/>
      <c r="II56" s="1281" t="s">
        <v>1388</v>
      </c>
      <c r="IJ56" s="1281" t="s">
        <v>1389</v>
      </c>
      <c r="IK56" s="56" t="s">
        <v>473</v>
      </c>
      <c r="IL56" s="56" t="s">
        <v>390</v>
      </c>
      <c r="IM56" s="56" t="s">
        <v>475</v>
      </c>
      <c r="IN56" s="56" t="s">
        <v>474</v>
      </c>
      <c r="IO56" s="748" t="s">
        <v>427</v>
      </c>
      <c r="IP56" s="819" t="s">
        <v>427</v>
      </c>
      <c r="IQ56" s="568" t="s">
        <v>645</v>
      </c>
      <c r="IR56" s="273" t="s">
        <v>525</v>
      </c>
      <c r="IS56" s="273" t="s">
        <v>526</v>
      </c>
      <c r="IT56" s="273" t="s">
        <v>527</v>
      </c>
      <c r="IU56" s="273" t="s">
        <v>528</v>
      </c>
      <c r="IV56" s="273" t="s">
        <v>529</v>
      </c>
      <c r="IW56" s="273" t="s">
        <v>530</v>
      </c>
      <c r="IX56" s="273" t="s">
        <v>531</v>
      </c>
      <c r="IY56" s="273" t="s">
        <v>532</v>
      </c>
      <c r="IZ56" s="273" t="s">
        <v>533</v>
      </c>
      <c r="JA56" s="273" t="s">
        <v>534</v>
      </c>
      <c r="JB56" s="273" t="s">
        <v>535</v>
      </c>
      <c r="JC56" s="273" t="s">
        <v>536</v>
      </c>
      <c r="JD56" s="90" t="s">
        <v>470</v>
      </c>
      <c r="JE56" s="90" t="s">
        <v>311</v>
      </c>
      <c r="JF56" s="90" t="s">
        <v>471</v>
      </c>
      <c r="JG56" s="90" t="s">
        <v>472</v>
      </c>
      <c r="JH56" s="90" t="s">
        <v>411</v>
      </c>
      <c r="JI56" s="90" t="s">
        <v>446</v>
      </c>
      <c r="JJ56" s="90" t="s">
        <v>447</v>
      </c>
      <c r="JK56" s="380" t="s">
        <v>601</v>
      </c>
      <c r="JL56" s="380" t="s">
        <v>602</v>
      </c>
      <c r="JM56" s="380" t="s">
        <v>603</v>
      </c>
      <c r="JN56" s="380" t="s">
        <v>604</v>
      </c>
      <c r="JO56" s="380" t="s">
        <v>605</v>
      </c>
      <c r="JP56" s="380" t="s">
        <v>606</v>
      </c>
      <c r="JQ56" s="380" t="s">
        <v>607</v>
      </c>
      <c r="JR56" s="57" t="s">
        <v>392</v>
      </c>
      <c r="JS56" s="57" t="s">
        <v>393</v>
      </c>
      <c r="JT56" s="57" t="s">
        <v>394</v>
      </c>
      <c r="JU56" s="57" t="s">
        <v>395</v>
      </c>
      <c r="JV56" s="57" t="s">
        <v>396</v>
      </c>
      <c r="JW56" s="57" t="s">
        <v>397</v>
      </c>
      <c r="JX56" s="57" t="s">
        <v>441</v>
      </c>
      <c r="JY56" s="673" t="s">
        <v>731</v>
      </c>
      <c r="JZ56" s="57" t="s">
        <v>398</v>
      </c>
      <c r="KA56" s="57" t="s">
        <v>399</v>
      </c>
      <c r="KB56" s="57" t="s">
        <v>400</v>
      </c>
      <c r="KC56" s="57" t="s">
        <v>401</v>
      </c>
      <c r="KD56" s="57" t="s">
        <v>402</v>
      </c>
      <c r="KE56" s="57" t="s">
        <v>403</v>
      </c>
      <c r="KF56" s="57" t="s">
        <v>409</v>
      </c>
      <c r="KG56" s="57" t="s">
        <v>410</v>
      </c>
      <c r="KH56" s="57" t="s">
        <v>442</v>
      </c>
      <c r="KI56" s="673" t="s">
        <v>730</v>
      </c>
      <c r="KJ56" s="58" t="s">
        <v>477</v>
      </c>
      <c r="KK56" s="58" t="s">
        <v>478</v>
      </c>
      <c r="KL56" s="58" t="s">
        <v>479</v>
      </c>
      <c r="KM56" s="58" t="s">
        <v>480</v>
      </c>
      <c r="KN56" s="58" t="s">
        <v>481</v>
      </c>
      <c r="KO56" s="58" t="s">
        <v>482</v>
      </c>
      <c r="KP56" s="58" t="s">
        <v>483</v>
      </c>
      <c r="KQ56" s="58" t="s">
        <v>484</v>
      </c>
      <c r="KR56" s="58" t="s">
        <v>485</v>
      </c>
      <c r="KS56" s="58" t="s">
        <v>486</v>
      </c>
      <c r="KT56" s="58" t="s">
        <v>983</v>
      </c>
      <c r="KU56" s="58" t="s">
        <v>984</v>
      </c>
      <c r="KV56" s="58" t="s">
        <v>876</v>
      </c>
      <c r="KW56" s="772" t="s">
        <v>875</v>
      </c>
      <c r="KX56" s="1213"/>
      <c r="KY56" s="91" t="s">
        <v>487</v>
      </c>
      <c r="KZ56" s="91"/>
      <c r="LA56" s="91" t="s">
        <v>489</v>
      </c>
      <c r="LB56" s="91"/>
      <c r="LC56" s="91" t="s">
        <v>488</v>
      </c>
      <c r="LD56" s="91"/>
      <c r="LE56" s="91" t="s">
        <v>490</v>
      </c>
      <c r="LF56" s="91"/>
      <c r="LG56" s="91" t="s">
        <v>491</v>
      </c>
      <c r="LH56" s="91" t="s">
        <v>494</v>
      </c>
      <c r="LI56" s="91" t="s">
        <v>492</v>
      </c>
      <c r="LJ56" s="91" t="s">
        <v>493</v>
      </c>
      <c r="LK56" s="91"/>
      <c r="LL56" s="91" t="s">
        <v>542</v>
      </c>
      <c r="LM56" s="91" t="s">
        <v>1295</v>
      </c>
      <c r="LN56" s="92" t="s">
        <v>1837</v>
      </c>
      <c r="LO56" s="92" t="s">
        <v>898</v>
      </c>
      <c r="LP56" s="92" t="s">
        <v>136</v>
      </c>
      <c r="LQ56" s="1208" t="s">
        <v>1234</v>
      </c>
      <c r="LR56" s="1208" t="s">
        <v>1268</v>
      </c>
      <c r="LS56" s="1208" t="s">
        <v>1269</v>
      </c>
      <c r="LT56" s="93" t="s">
        <v>184</v>
      </c>
      <c r="LU56" s="93" t="s">
        <v>185</v>
      </c>
      <c r="LV56" s="93" t="s">
        <v>186</v>
      </c>
      <c r="LW56" s="93" t="s">
        <v>187</v>
      </c>
      <c r="LX56" s="93" t="s">
        <v>188</v>
      </c>
      <c r="LY56" s="93" t="s">
        <v>189</v>
      </c>
      <c r="LZ56" s="93" t="s">
        <v>190</v>
      </c>
      <c r="MA56" s="93" t="s">
        <v>191</v>
      </c>
      <c r="MB56" s="93" t="s">
        <v>192</v>
      </c>
      <c r="MC56" s="93" t="s">
        <v>193</v>
      </c>
      <c r="MD56" s="93" t="s">
        <v>194</v>
      </c>
      <c r="ME56" s="93" t="s">
        <v>195</v>
      </c>
      <c r="MF56" s="93" t="s">
        <v>196</v>
      </c>
      <c r="MG56" s="93" t="s">
        <v>197</v>
      </c>
      <c r="MH56" s="93" t="s">
        <v>198</v>
      </c>
      <c r="MI56" s="93" t="s">
        <v>199</v>
      </c>
      <c r="MJ56" s="93" t="s">
        <v>200</v>
      </c>
      <c r="MK56" s="93" t="s">
        <v>201</v>
      </c>
      <c r="ML56" s="93" t="s">
        <v>146</v>
      </c>
      <c r="MM56" s="93" t="s">
        <v>1294</v>
      </c>
      <c r="MN56" s="93" t="s">
        <v>1347</v>
      </c>
      <c r="MO56" s="93" t="s">
        <v>1348</v>
      </c>
      <c r="MP56" s="93" t="s">
        <v>1350</v>
      </c>
      <c r="MQ56" s="1204" t="s">
        <v>1041</v>
      </c>
      <c r="MR56" s="1206" t="s">
        <v>1270</v>
      </c>
      <c r="MS56" s="1206" t="s">
        <v>1271</v>
      </c>
      <c r="MT56" s="1206" t="s">
        <v>1272</v>
      </c>
      <c r="MU56" s="1207" t="s">
        <v>1273</v>
      </c>
      <c r="MV56" s="1206" t="s">
        <v>1274</v>
      </c>
      <c r="MW56" s="1206" t="s">
        <v>1275</v>
      </c>
      <c r="MX56" s="1206" t="s">
        <v>1276</v>
      </c>
      <c r="MY56" s="1206" t="s">
        <v>1277</v>
      </c>
      <c r="MZ56" s="1206" t="s">
        <v>1278</v>
      </c>
      <c r="NA56" s="1206" t="s">
        <v>1279</v>
      </c>
      <c r="NB56" s="1206" t="s">
        <v>1280</v>
      </c>
      <c r="NC56" s="1321" t="s">
        <v>500</v>
      </c>
      <c r="ND56" s="1206" t="s">
        <v>1281</v>
      </c>
      <c r="NE56" s="1206" t="s">
        <v>1282</v>
      </c>
      <c r="NF56" s="1206" t="s">
        <v>1283</v>
      </c>
      <c r="NG56" s="1206" t="s">
        <v>1284</v>
      </c>
      <c r="NH56" s="1206" t="s">
        <v>1285</v>
      </c>
      <c r="NI56" s="1206" t="s">
        <v>1286</v>
      </c>
      <c r="NJ56" s="1206" t="s">
        <v>1287</v>
      </c>
      <c r="NK56" s="94" t="s">
        <v>560</v>
      </c>
      <c r="NL56" s="94" t="s">
        <v>165</v>
      </c>
      <c r="NM56" s="1206" t="s">
        <v>1246</v>
      </c>
      <c r="NN56" s="95" t="s">
        <v>513</v>
      </c>
      <c r="NO56" s="1136" t="s">
        <v>1252</v>
      </c>
      <c r="NP56" s="1136" t="s">
        <v>1253</v>
      </c>
      <c r="NQ56" s="95" t="s">
        <v>503</v>
      </c>
      <c r="NR56" s="95" t="s">
        <v>504</v>
      </c>
      <c r="NS56" s="95" t="s">
        <v>505</v>
      </c>
      <c r="NT56" s="95" t="s">
        <v>506</v>
      </c>
      <c r="NU56" s="95" t="s">
        <v>507</v>
      </c>
      <c r="NV56" s="96" t="s">
        <v>202</v>
      </c>
      <c r="NW56" s="96" t="s">
        <v>203</v>
      </c>
      <c r="NX56" s="96" t="s">
        <v>204</v>
      </c>
      <c r="NY56" s="96" t="s">
        <v>192</v>
      </c>
      <c r="NZ56" s="96" t="s">
        <v>205</v>
      </c>
      <c r="OA56" s="96" t="s">
        <v>206</v>
      </c>
      <c r="OB56" s="96" t="s">
        <v>207</v>
      </c>
      <c r="OC56" s="96" t="s">
        <v>208</v>
      </c>
      <c r="OD56" s="96" t="s">
        <v>209</v>
      </c>
      <c r="OE56" s="96" t="s">
        <v>511</v>
      </c>
      <c r="OF56" s="96" t="s">
        <v>510</v>
      </c>
      <c r="OG56" s="97" t="s">
        <v>210</v>
      </c>
      <c r="OH56" s="97" t="s">
        <v>211</v>
      </c>
      <c r="OI56" s="97" t="s">
        <v>212</v>
      </c>
      <c r="OJ56" s="97" t="s">
        <v>213</v>
      </c>
      <c r="OK56" s="97" t="s">
        <v>214</v>
      </c>
      <c r="OL56" s="97" t="s">
        <v>215</v>
      </c>
      <c r="OM56" s="97" t="s">
        <v>216</v>
      </c>
      <c r="ON56" s="97" t="s">
        <v>217</v>
      </c>
      <c r="OO56" s="97" t="s">
        <v>218</v>
      </c>
      <c r="OP56" s="97" t="s">
        <v>555</v>
      </c>
      <c r="OQ56" s="97" t="s">
        <v>556</v>
      </c>
      <c r="OR56" s="97" t="s">
        <v>1293</v>
      </c>
      <c r="OS56" s="98" t="s">
        <v>1351</v>
      </c>
      <c r="OT56" s="98" t="s">
        <v>1352</v>
      </c>
      <c r="OU56" s="98" t="s">
        <v>228</v>
      </c>
      <c r="OV56" s="98" t="s">
        <v>229</v>
      </c>
      <c r="OW56" s="99" t="s">
        <v>230</v>
      </c>
      <c r="OX56" s="99" t="s">
        <v>231</v>
      </c>
      <c r="OY56" s="99" t="s">
        <v>232</v>
      </c>
      <c r="OZ56" s="99" t="s">
        <v>233</v>
      </c>
      <c r="PA56" s="99" t="s">
        <v>234</v>
      </c>
      <c r="PB56" s="99" t="s">
        <v>235</v>
      </c>
      <c r="PC56" s="99" t="s">
        <v>236</v>
      </c>
      <c r="PD56" s="100" t="s">
        <v>248</v>
      </c>
      <c r="PE56" s="100" t="s">
        <v>249</v>
      </c>
      <c r="PF56" s="99" t="s">
        <v>250</v>
      </c>
      <c r="PG56" s="99" t="s">
        <v>251</v>
      </c>
      <c r="PH56" s="99" t="s">
        <v>252</v>
      </c>
      <c r="PI56" s="99" t="s">
        <v>253</v>
      </c>
      <c r="PJ56" s="99" t="s">
        <v>254</v>
      </c>
      <c r="PK56" s="99" t="s">
        <v>255</v>
      </c>
      <c r="PL56" s="99" t="s">
        <v>256</v>
      </c>
    </row>
    <row r="57" spans="1:431" s="289" customFormat="1" ht="15" customHeight="1">
      <c r="A57" s="1935" t="s">
        <v>698</v>
      </c>
      <c r="B57" s="1040" t="str">
        <f>VLOOKUP(A57,'Area (&amp;golfacre for lookup)'!$A$2:$B$162,2,FALSE)</f>
        <v>BOCA</v>
      </c>
      <c r="C57" s="1936"/>
      <c r="D57" s="1937">
        <v>44895</v>
      </c>
      <c r="E57" s="402"/>
      <c r="F57" s="1936">
        <v>1</v>
      </c>
      <c r="G57" s="1936">
        <v>1</v>
      </c>
      <c r="H57" s="1936">
        <v>341</v>
      </c>
      <c r="I57" s="1936">
        <v>796</v>
      </c>
      <c r="J57" s="1936">
        <v>1137</v>
      </c>
      <c r="K57" s="1938">
        <v>835.61369863013704</v>
      </c>
      <c r="L57" s="1939" t="s">
        <v>1208</v>
      </c>
      <c r="M57" s="1939" t="s">
        <v>1208</v>
      </c>
      <c r="N57" s="1939" t="s">
        <v>1208</v>
      </c>
      <c r="O57" s="1939" t="s">
        <v>1208</v>
      </c>
      <c r="P57" s="1939" t="s">
        <v>1208</v>
      </c>
      <c r="Q57" s="1936">
        <v>20000</v>
      </c>
      <c r="R57" s="1936">
        <v>30000</v>
      </c>
      <c r="S57" s="1936">
        <v>50000</v>
      </c>
      <c r="T57" s="1939" t="s">
        <v>1208</v>
      </c>
      <c r="U57" s="1939" t="s">
        <v>1208</v>
      </c>
      <c r="V57" s="1939" t="s">
        <v>1208</v>
      </c>
      <c r="W57" s="1936">
        <v>17360</v>
      </c>
      <c r="X57" s="1936">
        <v>14600</v>
      </c>
      <c r="Y57" s="1939" t="s">
        <v>1208</v>
      </c>
      <c r="Z57" s="1939" t="s">
        <v>1208</v>
      </c>
      <c r="AA57" s="1936">
        <v>2760</v>
      </c>
      <c r="AB57" s="1362">
        <v>0.18904109589041096</v>
      </c>
      <c r="AC57" s="1939" t="s">
        <v>1208</v>
      </c>
      <c r="AD57" s="1363" t="s">
        <v>1208</v>
      </c>
      <c r="AE57" s="1936">
        <v>1</v>
      </c>
      <c r="AF57" s="1936">
        <v>1380</v>
      </c>
      <c r="AG57" s="1939" t="s">
        <v>1208</v>
      </c>
      <c r="AH57" s="1936">
        <v>0</v>
      </c>
      <c r="AI57" s="1936">
        <v>0</v>
      </c>
      <c r="AJ57" s="1939" t="s">
        <v>1208</v>
      </c>
      <c r="AK57" s="1938">
        <v>1</v>
      </c>
      <c r="AL57" s="1938">
        <v>360</v>
      </c>
      <c r="AM57" s="1936">
        <v>16340</v>
      </c>
      <c r="AN57" s="1939" t="s">
        <v>1208</v>
      </c>
      <c r="AO57" s="1936">
        <v>1250</v>
      </c>
      <c r="AP57" s="1936">
        <v>0</v>
      </c>
      <c r="AQ57" s="1936">
        <v>17590</v>
      </c>
      <c r="AR57" s="1939" t="s">
        <v>1208</v>
      </c>
      <c r="AS57" s="1363" t="s">
        <v>1208</v>
      </c>
      <c r="AT57" s="1363" t="s">
        <v>1208</v>
      </c>
      <c r="AU57" s="1363" t="s">
        <v>1208</v>
      </c>
      <c r="AV57" s="1363" t="s">
        <v>1208</v>
      </c>
      <c r="AW57" s="1363" t="s">
        <v>1291</v>
      </c>
      <c r="AX57" s="1938">
        <v>0</v>
      </c>
      <c r="AY57" s="1938">
        <v>0</v>
      </c>
      <c r="AZ57" s="1938">
        <v>0</v>
      </c>
      <c r="BA57" s="1938">
        <v>0</v>
      </c>
      <c r="BB57" s="1938">
        <v>0</v>
      </c>
      <c r="BC57" s="1938">
        <v>0</v>
      </c>
      <c r="BD57" s="1938">
        <v>0</v>
      </c>
      <c r="BE57" s="1936">
        <v>0</v>
      </c>
      <c r="BF57" s="1936">
        <v>0</v>
      </c>
      <c r="BG57" s="1936">
        <v>1103000</v>
      </c>
      <c r="BH57" s="1936">
        <v>1103000</v>
      </c>
      <c r="BI57" s="1938">
        <v>34717604</v>
      </c>
      <c r="BJ57" s="1936">
        <v>708174</v>
      </c>
      <c r="BK57" s="1936">
        <v>2335033</v>
      </c>
      <c r="BL57" s="1362">
        <v>0.30328222342039707</v>
      </c>
      <c r="BM57" s="1936">
        <v>1</v>
      </c>
      <c r="BN57" s="1936">
        <v>10011250</v>
      </c>
      <c r="BO57" s="1363" t="s">
        <v>1208</v>
      </c>
      <c r="BP57" s="1938">
        <v>1978681</v>
      </c>
      <c r="BQ57" s="1938">
        <v>4410261</v>
      </c>
      <c r="BR57" s="1940">
        <v>0.44865394587757956</v>
      </c>
      <c r="BS57" s="1409">
        <v>0</v>
      </c>
      <c r="BT57" s="1938">
        <v>13320975</v>
      </c>
      <c r="BU57" s="1938">
        <v>33485693</v>
      </c>
      <c r="BV57" s="1940">
        <v>0.39781093973476972</v>
      </c>
      <c r="BW57" s="1936">
        <v>11980.715510542657</v>
      </c>
      <c r="BX57" s="1936">
        <v>847.48969668753011</v>
      </c>
      <c r="BY57" s="1936">
        <v>1319.9879343866701</v>
      </c>
      <c r="BZ57" s="1936">
        <v>790181</v>
      </c>
      <c r="CA57" s="1936">
        <v>38383</v>
      </c>
      <c r="CB57" s="1936">
        <v>107586</v>
      </c>
      <c r="CC57" s="1936">
        <v>77717</v>
      </c>
      <c r="CD57" s="1936">
        <v>12199960</v>
      </c>
      <c r="CE57" s="1936">
        <v>0</v>
      </c>
      <c r="CF57" s="1936">
        <v>0</v>
      </c>
      <c r="CG57" s="1936">
        <v>1800998</v>
      </c>
      <c r="CH57" s="1936">
        <v>405323</v>
      </c>
      <c r="CI57" s="1936">
        <v>535711</v>
      </c>
      <c r="CJ57" s="1936">
        <v>15955859</v>
      </c>
      <c r="CK57" s="1366">
        <v>4.9522936997625763E-2</v>
      </c>
      <c r="CL57" s="1366">
        <v>2.4055740276972865E-3</v>
      </c>
      <c r="CM57" s="1366">
        <v>6.742726919309076E-3</v>
      </c>
      <c r="CN57" s="1366">
        <v>4.8707499859456018E-3</v>
      </c>
      <c r="CO57" s="1366">
        <v>0.76460690709287416</v>
      </c>
      <c r="CP57" s="1366">
        <v>0</v>
      </c>
      <c r="CQ57" s="1366">
        <v>0</v>
      </c>
      <c r="CR57" s="1366">
        <v>0.11287377257470124</v>
      </c>
      <c r="CS57" s="1366">
        <v>2.540276897658722E-2</v>
      </c>
      <c r="CT57" s="1366">
        <v>3.3574563425259649E-2</v>
      </c>
      <c r="CU57" s="1366">
        <v>1</v>
      </c>
      <c r="CV57" s="1936">
        <v>9989094</v>
      </c>
      <c r="CW57" s="1936">
        <v>1649503</v>
      </c>
      <c r="CX57" s="1936">
        <v>80114</v>
      </c>
      <c r="CY57" s="1936">
        <v>4469910</v>
      </c>
      <c r="CZ57" s="1936">
        <v>436026</v>
      </c>
      <c r="DA57" s="1936">
        <v>314261</v>
      </c>
      <c r="DB57" s="1936">
        <v>16938908</v>
      </c>
      <c r="DC57" s="1366">
        <v>0.58971298504012182</v>
      </c>
      <c r="DD57" s="1366">
        <v>9.7379535918135932E-2</v>
      </c>
      <c r="DE57" s="1366">
        <v>4.7295846934170731E-3</v>
      </c>
      <c r="DF57" s="1366">
        <v>0.26388418899258442</v>
      </c>
      <c r="DG57" s="1366">
        <v>2.5741092637140483E-2</v>
      </c>
      <c r="DH57" s="1366">
        <v>1.855261271860028E-2</v>
      </c>
      <c r="DI57" s="1366">
        <v>1</v>
      </c>
      <c r="DJ57" s="1936">
        <v>-983049</v>
      </c>
      <c r="DK57" s="1936">
        <v>945.62954304768209</v>
      </c>
      <c r="DL57" s="1936">
        <v>45.933904701326888</v>
      </c>
      <c r="DM57" s="1936">
        <v>128.75088115042999</v>
      </c>
      <c r="DN57" s="1936">
        <v>93.005895101295408</v>
      </c>
      <c r="DO57" s="1936">
        <v>14600</v>
      </c>
      <c r="DP57" s="1936">
        <v>0</v>
      </c>
      <c r="DQ57" s="1936">
        <v>0</v>
      </c>
      <c r="DR57" s="1936">
        <v>2155.2997550811642</v>
      </c>
      <c r="DS57" s="1936">
        <v>485.06026249266387</v>
      </c>
      <c r="DT57" s="1936">
        <v>641.09887245531945</v>
      </c>
      <c r="DU57" s="1936">
        <v>19094.77911402988</v>
      </c>
      <c r="DV57" s="1936">
        <v>11954.200866232348</v>
      </c>
      <c r="DW57" s="1936">
        <v>1974.001865579887</v>
      </c>
      <c r="DX57" s="1936">
        <v>95.874445489985206</v>
      </c>
      <c r="DY57" s="1936">
        <v>5349.2540959150683</v>
      </c>
      <c r="DZ57" s="1936">
        <v>521.80331738792586</v>
      </c>
      <c r="EA57" s="1936">
        <v>376.08406912809551</v>
      </c>
      <c r="EB57" s="1936">
        <v>20271.218659733309</v>
      </c>
      <c r="EC57" s="1936">
        <v>-1176.4395457034284</v>
      </c>
      <c r="ED57" s="1941">
        <v>175</v>
      </c>
      <c r="EE57" s="1936">
        <v>1</v>
      </c>
      <c r="EF57" s="1936">
        <v>36</v>
      </c>
      <c r="EG57" s="1938">
        <v>605000</v>
      </c>
      <c r="EH57" s="1938">
        <v>1</v>
      </c>
      <c r="EI57" s="1368">
        <v>0.05</v>
      </c>
      <c r="EJ57" s="1981">
        <v>4.7749354207436401</v>
      </c>
      <c r="EK57" s="1936">
        <v>1</v>
      </c>
      <c r="EL57" s="1936">
        <v>1250</v>
      </c>
      <c r="EM57" s="1936">
        <v>0</v>
      </c>
      <c r="EN57" s="1362">
        <v>0</v>
      </c>
      <c r="EO57" s="1936">
        <v>0</v>
      </c>
      <c r="EP57" s="1936">
        <v>0</v>
      </c>
      <c r="EQ57" s="1936">
        <v>0</v>
      </c>
      <c r="ER57" s="1938">
        <v>1</v>
      </c>
      <c r="ES57" s="1936">
        <v>2640.3600175738279</v>
      </c>
      <c r="ET57" s="1936">
        <v>-4216.6541857514285</v>
      </c>
      <c r="EU57" s="1938">
        <v>1</v>
      </c>
      <c r="EV57" s="1936">
        <v>69004</v>
      </c>
      <c r="EW57" s="1936">
        <v>0</v>
      </c>
      <c r="EX57" s="1938">
        <v>1</v>
      </c>
      <c r="EY57" s="1936">
        <v>1800998</v>
      </c>
      <c r="EZ57" s="1936">
        <v>1504930</v>
      </c>
      <c r="FA57" s="1936">
        <v>296068</v>
      </c>
      <c r="FB57" s="1936">
        <v>405323</v>
      </c>
      <c r="FC57" s="1936">
        <v>144573</v>
      </c>
      <c r="FD57" s="1936">
        <v>260750</v>
      </c>
      <c r="FE57" s="1936">
        <v>2206321</v>
      </c>
      <c r="FF57" s="1936">
        <v>1649503</v>
      </c>
      <c r="FG57" s="1936">
        <v>556818</v>
      </c>
      <c r="FH57" s="1366">
        <v>1</v>
      </c>
      <c r="FI57" s="1366">
        <v>0.83560892349686122</v>
      </c>
      <c r="FJ57" s="1366">
        <v>0.16439107650313881</v>
      </c>
      <c r="FK57" s="1366">
        <v>1</v>
      </c>
      <c r="FL57" s="1366">
        <v>0.35668590235441855</v>
      </c>
      <c r="FM57" s="1366">
        <v>0.64331409764558145</v>
      </c>
      <c r="FN57" s="1366">
        <v>1</v>
      </c>
      <c r="FO57" s="1366">
        <v>0.74762602540609457</v>
      </c>
      <c r="FP57" s="1366">
        <v>0.25237397459390543</v>
      </c>
      <c r="FQ57" s="1936">
        <v>2990770</v>
      </c>
      <c r="FR57" s="1936">
        <v>0</v>
      </c>
      <c r="FS57" s="1936">
        <v>586335</v>
      </c>
      <c r="FT57" s="1936">
        <v>36724</v>
      </c>
      <c r="FU57" s="1936">
        <v>98041</v>
      </c>
      <c r="FV57" s="1936">
        <v>26140</v>
      </c>
      <c r="FW57" s="1936">
        <v>342302</v>
      </c>
      <c r="FX57" s="1936">
        <v>4080312</v>
      </c>
      <c r="FY57" s="1936">
        <v>-3523494</v>
      </c>
      <c r="FZ57" s="1366">
        <v>1.3555461784572598</v>
      </c>
      <c r="GA57" s="1366">
        <v>0</v>
      </c>
      <c r="GB57" s="1366">
        <v>0.26575235425851451</v>
      </c>
      <c r="GC57" s="1366">
        <v>1.6644903438801515E-2</v>
      </c>
      <c r="GD57" s="1366">
        <v>4.4436417003690762E-2</v>
      </c>
      <c r="GE57" s="1366">
        <v>1.1847777363312047E-2</v>
      </c>
      <c r="GF57" s="1366">
        <v>0.15514605535640552</v>
      </c>
      <c r="GG57" s="1366">
        <v>1.8493736858779841</v>
      </c>
      <c r="GH57" s="1366">
        <v>-1.5969997112840788</v>
      </c>
      <c r="GI57" s="1942">
        <v>4.443364921309672</v>
      </c>
      <c r="GJ57" s="1943">
        <v>0</v>
      </c>
      <c r="GK57" s="1371">
        <v>0</v>
      </c>
      <c r="GL57" s="1943">
        <v>0</v>
      </c>
      <c r="GM57" s="1371">
        <v>0</v>
      </c>
      <c r="GN57" s="1943">
        <v>18</v>
      </c>
      <c r="GO57" s="1985">
        <f>IF(GN57=0,0,VLOOKUP(A57,'Area (&amp;golfacre for lookup)'!$G$2:$H$133,2,FALSE))</f>
        <v>106</v>
      </c>
      <c r="GP57" s="1943">
        <v>35568</v>
      </c>
      <c r="GQ57" s="1943">
        <v>1126645</v>
      </c>
      <c r="GR57" s="1943">
        <v>248787</v>
      </c>
      <c r="GS57" s="1943">
        <v>642021</v>
      </c>
      <c r="GT57" s="1943">
        <v>208781</v>
      </c>
      <c r="GU57" s="1943">
        <v>0</v>
      </c>
      <c r="GV57" s="1943">
        <v>47516</v>
      </c>
      <c r="GW57" s="1943">
        <v>2273750</v>
      </c>
      <c r="GX57" s="1943">
        <v>126319.44444444444</v>
      </c>
      <c r="GY57" s="1985">
        <f>IF(GW57=0,0,GW57/GO57)</f>
        <v>21450.471698113208</v>
      </c>
      <c r="GZ57" s="1366">
        <v>0.49550082462891698</v>
      </c>
      <c r="HA57" s="1366">
        <v>0.10941704233095108</v>
      </c>
      <c r="HB57" s="1366">
        <v>0.28236217702034083</v>
      </c>
      <c r="HC57" s="1366">
        <v>9.1822319956019791E-2</v>
      </c>
      <c r="HD57" s="1366">
        <v>0</v>
      </c>
      <c r="HE57" s="1366">
        <v>2.0897636063771301E-2</v>
      </c>
      <c r="HF57" s="1366">
        <v>1</v>
      </c>
      <c r="HG57" s="1936">
        <v>0</v>
      </c>
      <c r="HH57" s="1988">
        <f>IF(HG57=0,0,VLOOKUP(A57,'Area (&amp;golfacre for lookup)'!$G$2:$H$134,2,FALSE))</f>
        <v>0</v>
      </c>
      <c r="HI57" s="1936">
        <v>0</v>
      </c>
      <c r="HJ57" s="1936">
        <v>0</v>
      </c>
      <c r="HK57" s="1936">
        <v>0</v>
      </c>
      <c r="HL57" s="1936">
        <v>0</v>
      </c>
      <c r="HM57" s="1936">
        <v>0</v>
      </c>
      <c r="HN57" s="1936">
        <v>0</v>
      </c>
      <c r="HO57" s="1936">
        <v>0</v>
      </c>
      <c r="HP57" s="1936">
        <v>0</v>
      </c>
      <c r="HQ57" s="1936">
        <v>0</v>
      </c>
      <c r="HR57" s="1988">
        <f>IF(HP57=0,0,HP57/HH57)</f>
        <v>0</v>
      </c>
      <c r="HS57" s="1936">
        <v>0</v>
      </c>
      <c r="HT57" s="1936">
        <v>0</v>
      </c>
      <c r="HU57" s="1936">
        <v>0</v>
      </c>
      <c r="HV57" s="1936">
        <v>0</v>
      </c>
      <c r="HW57" s="1936">
        <v>0</v>
      </c>
      <c r="HX57" s="1936">
        <v>0</v>
      </c>
      <c r="HY57" s="1936">
        <v>0</v>
      </c>
      <c r="HZ57" s="51"/>
      <c r="IA57" s="59">
        <f>IF(Q57=0,0,ROUND(Q57/S57,2))</f>
        <v>0.4</v>
      </c>
      <c r="IB57" s="59"/>
      <c r="IC57" s="815">
        <f t="shared" ref="IC57:IC88" si="581">IF(AA57&gt;0,1,0)</f>
        <v>1</v>
      </c>
      <c r="ID57" s="815"/>
      <c r="IE57" s="284">
        <f t="shared" ref="IE57:IE88" si="582">IF(AA57&lt;0,1,0)</f>
        <v>0</v>
      </c>
      <c r="IF57" s="284"/>
      <c r="IG57" s="284">
        <f t="shared" ref="IG57:IG88" si="583">IF(BI57=0,0,+IF(K57=0,0,BI57/K57))</f>
        <v>41547.432811255116</v>
      </c>
      <c r="IH57" s="284"/>
      <c r="II57" s="1288">
        <f t="shared" ref="II57:II88" si="584">IF(BR57&gt;1,BR57,0)</f>
        <v>0</v>
      </c>
      <c r="IJ57" s="1288">
        <f t="shared" ref="IJ57:IJ88" si="585">IF(BR57&lt;1,BR57,0)</f>
        <v>0.44865394587757956</v>
      </c>
      <c r="IK57" s="284">
        <f t="shared" ref="IK57:IK88" si="586">IF(OR(EK57=1,EO57=1),0,1)</f>
        <v>0</v>
      </c>
      <c r="IL57" s="284">
        <f t="shared" ref="IL57:IL88" si="587">IF(AND(EK57=1,EO57=1),1,0)</f>
        <v>0</v>
      </c>
      <c r="IM57" s="284">
        <f t="shared" ref="IM57:IM88" si="588">IF(AND(EK57=1,EM57=1),1,0)</f>
        <v>0</v>
      </c>
      <c r="IN57" s="284">
        <f t="shared" ref="IN57:IN88" si="589">IF(AND(EK57=1,EM57=1,EO57=1),1,0)</f>
        <v>0</v>
      </c>
      <c r="IO57" s="753">
        <f t="shared" ref="IO57:IO88" si="590">IF(J57=0,0,FY57/$J57)</f>
        <v>-3098.9393139841691</v>
      </c>
      <c r="IP57" s="113">
        <f t="shared" ref="IP57:IP88" si="591">IF(K57=0,0,FY57/K57)</f>
        <v>-4216.6541857514285</v>
      </c>
      <c r="IQ57" s="30">
        <f t="shared" ref="IQ57:IQ88" si="592">IF(FY57=0,0,+IF(CD57=0,0,FY57/CD57))</f>
        <v>-0.28881193053091975</v>
      </c>
      <c r="IR57" s="438">
        <f t="shared" ref="IR57:IR88" si="593">EY57</f>
        <v>1800998</v>
      </c>
      <c r="IS57" s="438">
        <f t="shared" ref="IS57:IS88" si="594">FB57</f>
        <v>405323</v>
      </c>
      <c r="IT57" s="438">
        <f t="shared" ref="IT57:IT88" si="595">FQ57</f>
        <v>2990770</v>
      </c>
      <c r="IU57" s="438">
        <f t="shared" ref="IU57:IU88" si="596">FS57+FT57</f>
        <v>623059</v>
      </c>
      <c r="IV57" s="438">
        <f t="shared" ref="IV57:IV88" si="597">FF57</f>
        <v>1649503</v>
      </c>
      <c r="IW57" s="438">
        <f t="shared" ref="IW57:IW88" si="598">SUM(FU57:FW57)+FR57</f>
        <v>466483</v>
      </c>
      <c r="IX57" s="285">
        <f t="shared" ref="IX57:IX88" si="599">IF(($IR57+$IS57)=0,0,IR57/SUM($IR57+$IS57))</f>
        <v>0.81629010465838836</v>
      </c>
      <c r="IY57" s="285">
        <f t="shared" ref="IY57:IY88" si="600">IF(($IR57+$IS57)=0,0,IS57/SUM($IR57+$IS57))</f>
        <v>0.18370989534161167</v>
      </c>
      <c r="IZ57" s="285">
        <f t="shared" ref="IZ57:IZ88" si="601">IF(($IR57+$IS57)=0,0,IT57/SUM($IR57+$IS57))</f>
        <v>1.3555461784572598</v>
      </c>
      <c r="JA57" s="285">
        <f t="shared" ref="JA57:JA88" si="602">IF(($IR57+$IS57)=0,0,IU57/SUM($IR57+$IS57))</f>
        <v>0.28239725769731605</v>
      </c>
      <c r="JB57" s="285">
        <f t="shared" ref="JB57:JB88" si="603">IF(($IR57+$IS57)=0,0,IV57/SUM($IR57+$IS57))</f>
        <v>0.74762602540609457</v>
      </c>
      <c r="JC57" s="285">
        <f t="shared" ref="JC57:JC88" si="604">IF(($IR57+$IS57)=0,0,IW57/SUM($IR57+$IS57))</f>
        <v>0.21143024972340835</v>
      </c>
      <c r="JD57" s="60">
        <f t="shared" ref="JD57:JD88" si="605">CD57+CE57+CF57</f>
        <v>12199960</v>
      </c>
      <c r="JE57" s="60">
        <f t="shared" ref="JE57:JE88" si="606">BZ57+CA57+CB57+CC57</f>
        <v>1013867</v>
      </c>
      <c r="JF57" s="60">
        <f t="shared" ref="JF57:JF88" si="607">JD57+JE57+CG57+CH57+CI57-CJ57</f>
        <v>0</v>
      </c>
      <c r="JG57" s="60">
        <f t="shared" ref="JG57:JG88" si="608">CZ57+DA57</f>
        <v>750287</v>
      </c>
      <c r="JH57" s="284">
        <f t="shared" ref="JH57:JH88" si="609">IF(DJ57&gt;0,1,0)</f>
        <v>0</v>
      </c>
      <c r="JI57" s="284">
        <f t="shared" ref="JI57:JI88" si="610">IF(B57="Yacht &amp; Beach","",+IF(CB57&gt;0,1,0))</f>
        <v>1</v>
      </c>
      <c r="JJ57" s="560">
        <f t="shared" ref="JJ57:JJ88" si="611">IF(B57="Yacht &amp; Beach",0,+IF(CX57=0,0,CX57/CB57))</f>
        <v>0.74465079099511089</v>
      </c>
      <c r="JK57" s="561">
        <f t="shared" ref="JK57:JK88" si="612">CV57/$CJ57</f>
        <v>0.62604551719841595</v>
      </c>
      <c r="JL57" s="561">
        <f t="shared" ref="JL57:JL88" si="613">CW57/$CJ57</f>
        <v>0.10337914116689048</v>
      </c>
      <c r="JM57" s="561">
        <f t="shared" ref="JM57:JM88" si="614">CX57/$CJ57</f>
        <v>5.0209769339275307E-3</v>
      </c>
      <c r="JN57" s="561">
        <f t="shared" ref="JN57:JN88" si="615">CY57/$CJ57</f>
        <v>0.28014223489941847</v>
      </c>
      <c r="JO57" s="561">
        <f t="shared" ref="JO57:JO88" si="616">CZ57/$CJ57</f>
        <v>2.7327015110875572E-2</v>
      </c>
      <c r="JP57" s="561">
        <f t="shared" ref="JP57:JP88" si="617">DA57/$CJ57</f>
        <v>1.9695649102940808E-2</v>
      </c>
      <c r="JQ57" s="561">
        <f t="shared" ref="JQ57:JQ88" si="618">SUM(JK57:JP57)</f>
        <v>1.0616105344124687</v>
      </c>
      <c r="JR57" s="61">
        <f t="shared" ref="JR57:JR88" si="619">IF(GQ57=0,0,GQ57/$GN57)</f>
        <v>62591.388888888891</v>
      </c>
      <c r="JS57" s="61">
        <f t="shared" ref="JS57:JS88" si="620">IF(GR57=0,0,GR57/$GN57)</f>
        <v>13821.5</v>
      </c>
      <c r="JT57" s="61">
        <f t="shared" ref="JT57:JT88" si="621">IF(GS57=0,0,GS57/$GN57)</f>
        <v>35667.833333333336</v>
      </c>
      <c r="JU57" s="61">
        <f t="shared" ref="JU57:JU88" si="622">IF(GT57=0,0,GT57/$GN57)</f>
        <v>11598.944444444445</v>
      </c>
      <c r="JV57" s="61">
        <f t="shared" ref="JV57:JV88" si="623">IF(GU57=0,0,GU57/$GN57)</f>
        <v>0</v>
      </c>
      <c r="JW57" s="61">
        <f t="shared" ref="JW57:JW88" si="624">IF(GV57=0,0,GV57/$GN57)</f>
        <v>2639.7777777777778</v>
      </c>
      <c r="JX57" s="61">
        <f t="shared" ref="JX57:JX88" si="625">IF(GP57=0,0,GW57/GP57)</f>
        <v>63.926844354475932</v>
      </c>
      <c r="JY57" s="394">
        <f t="shared" ref="JY57:JY88" si="626">IF(OR(GW57=0,DB57=0),0,GW57/DB57)</f>
        <v>0.13423238381128227</v>
      </c>
      <c r="JZ57" s="61">
        <f t="shared" ref="JZ57:JZ88" si="627">IF(HJ57=0,0,HJ57/$HG57)</f>
        <v>0</v>
      </c>
      <c r="KA57" s="61">
        <f t="shared" ref="KA57:KA88" si="628">IF(HK57=0,0,HK57/$HG57)</f>
        <v>0</v>
      </c>
      <c r="KB57" s="61">
        <f t="shared" ref="KB57:KB88" si="629">IF(HL57=0,0,HL57/$HG57)</f>
        <v>0</v>
      </c>
      <c r="KC57" s="61">
        <f t="shared" ref="KC57:KC88" si="630">IF(HM57=0,0,HM57/$HG57)</f>
        <v>0</v>
      </c>
      <c r="KD57" s="61">
        <f t="shared" ref="KD57:KD88" si="631">IF(HN57=0,0,HN57/$HG57)</f>
        <v>0</v>
      </c>
      <c r="KE57" s="61">
        <f t="shared" ref="KE57:KE88" si="632">IF(HO57=0,0,HO57/$HG57)</f>
        <v>0</v>
      </c>
      <c r="KF57" s="61">
        <f t="shared" ref="KF57:KF88" si="633">IF(HI57=0,0,ROUND(HI57/HG57*18,-2))</f>
        <v>0</v>
      </c>
      <c r="KG57" s="61">
        <f t="shared" ref="KG57:KG88" si="634">IF(HH57=0,0,HH57/HG57*36)</f>
        <v>0</v>
      </c>
      <c r="KH57" s="61">
        <f t="shared" ref="KH57:KH88" si="635">IF(HI57=0,0,HP57/HI57)</f>
        <v>0</v>
      </c>
      <c r="KI57" s="394">
        <f t="shared" ref="KI57:KI88" si="636">IF(OR(HP57=0,DB57=0),0,HP57/DB57)</f>
        <v>0</v>
      </c>
      <c r="KJ57" s="438">
        <f t="shared" ref="KJ57:KJ88" si="637">IF($GN57&gt;0,GN57,HG57)</f>
        <v>18</v>
      </c>
      <c r="KK57" s="438">
        <f t="shared" ref="KK57:KK88" si="638">IF($GN57&gt;0,GP57,HI57)</f>
        <v>35568</v>
      </c>
      <c r="KL57" s="438">
        <f t="shared" ref="KL57:KL88" si="639">IF($GN57&gt;0,GO57,HH57)</f>
        <v>106</v>
      </c>
      <c r="KM57" s="438">
        <f t="shared" ref="KM57:KM88" si="640">IF($GN57&gt;0,GX57,HQ57)</f>
        <v>126319.44444444444</v>
      </c>
      <c r="KN57" s="438">
        <f t="shared" ref="KN57:KN88" si="641">IF($GN57&gt;0,JX57,KH57)</f>
        <v>63.926844354475932</v>
      </c>
      <c r="KO57" s="438">
        <f t="shared" ref="KO57:KO88" si="642">IF($GN57&gt;0,GY57,HR57)</f>
        <v>21450.471698113208</v>
      </c>
      <c r="KP57" s="438">
        <f t="shared" ref="KP57:KP88" si="643">IF($GN57&gt;0,GQ57,HJ57)</f>
        <v>1126645</v>
      </c>
      <c r="KQ57" s="438">
        <f t="shared" ref="KQ57:KQ88" si="644">IF($GN57&gt;0,GR57,HK57)</f>
        <v>248787</v>
      </c>
      <c r="KR57" s="438">
        <f t="shared" ref="KR57:KR88" si="645">IF($GN57&gt;0,GS57,HL57)</f>
        <v>642021</v>
      </c>
      <c r="KS57" s="438">
        <f t="shared" ref="KS57:KS88" si="646">IF($GN57&gt;0,GT57,HM57)</f>
        <v>208781</v>
      </c>
      <c r="KT57" s="438">
        <f t="shared" ref="KT57:KT88" si="647">IF($GN57&gt;0,GU57,HN57)</f>
        <v>0</v>
      </c>
      <c r="KU57" s="438">
        <f t="shared" ref="KU57:KU88" si="648">IF($GN57&gt;0,GV57,HO57)</f>
        <v>47516</v>
      </c>
      <c r="KV57" s="420">
        <f t="shared" ref="KV57:KV88" si="649">MAX(JY57,KI57)</f>
        <v>0.13423238381128227</v>
      </c>
      <c r="KW57" s="420">
        <f t="shared" ref="KW57:KW88" si="650">IF(CD57&gt;0,-SUM(KP57:KT57)/CD57,0)</f>
        <v>-0.18247879501244266</v>
      </c>
      <c r="KX57" s="108"/>
      <c r="KY57" s="282">
        <f t="shared" ref="KY57:KY88" si="651">Q57+R57-S57</f>
        <v>0</v>
      </c>
      <c r="KZ57" s="282"/>
      <c r="LA57" s="282">
        <f t="shared" ref="LA57:LA88" si="652">W57-X57-AA57</f>
        <v>0</v>
      </c>
      <c r="LB57" s="282"/>
      <c r="LC57" s="286">
        <f t="shared" ref="LC57:LC88" si="653">(AA57/X57)-AB57</f>
        <v>0</v>
      </c>
      <c r="LD57" s="286"/>
      <c r="LE57" s="282">
        <f t="shared" ref="LE57:LE88" si="654">X57+AF57+AI57+AL57-AM57</f>
        <v>0</v>
      </c>
      <c r="LF57" s="282"/>
      <c r="LG57" s="282">
        <f t="shared" ref="LG57:LG88" si="655">EL57-AO57</f>
        <v>0</v>
      </c>
      <c r="LH57" s="282">
        <f t="shared" ref="LH57:LH88" si="656">EP57*12-AP57</f>
        <v>0</v>
      </c>
      <c r="LI57" s="282">
        <f t="shared" ref="LI57:LI88" si="657">IF(FQ57=0,0,FQ57/$FE57-FZ57)</f>
        <v>0</v>
      </c>
      <c r="LJ57" s="282">
        <f t="shared" ref="LJ57:LJ88" si="658">X57+AF57+AI57+AL57+AO57+AP57-AQ57</f>
        <v>0</v>
      </c>
      <c r="LK57" s="282"/>
      <c r="LL57" s="282">
        <f t="shared" ref="LL57:LL88" si="659">IF(S57=V57,"Same/chk",0)</f>
        <v>0</v>
      </c>
      <c r="LM57" s="282">
        <f t="shared" ref="LM57:LM88" si="660">IF(AND(B57="SW CIRA", G57=0),"fix",0)</f>
        <v>0</v>
      </c>
      <c r="LN57" s="282">
        <f t="shared" ref="LN57:LN88" si="661">IF(AND(BM57=1,BN57=0),"fix",+IF(AND(BM57=0,BN57&gt;0),"fix",0))</f>
        <v>0</v>
      </c>
      <c r="LO57" s="282">
        <f t="shared" ref="LO57:LO88" si="662">IF($BH57=0,0,BF57+BG57-BH57)</f>
        <v>0</v>
      </c>
      <c r="LP57" s="286">
        <f t="shared" ref="LP57:LP88" si="663">IF(BK57=0,0,BJ57/BK57-BL57)</f>
        <v>0</v>
      </c>
      <c r="LQ57" s="282">
        <f t="shared" ref="LQ57:LQ88" si="664">IF(BN57=0,0,+IF(K57=0,0,BN57/K57))-BW57</f>
        <v>0</v>
      </c>
      <c r="LR57" s="282">
        <f t="shared" ref="LR57:LR88" si="665">IF(BJ57=0,0,+IF(K57=0,0,BJ57/K57))-BX57</f>
        <v>0</v>
      </c>
      <c r="LS57" s="282">
        <f t="shared" ref="LS57:LS88" si="666">IF(BH57=0,0,+IF(K57=0,0,BH57/K57))-BY57</f>
        <v>0</v>
      </c>
      <c r="LT57" s="286">
        <f t="shared" ref="LT57:LT88" si="667">BZ57/$CJ57-CK57</f>
        <v>0</v>
      </c>
      <c r="LU57" s="286">
        <f t="shared" ref="LU57:LU88" si="668">CA57/$CJ57-CL57</f>
        <v>0</v>
      </c>
      <c r="LV57" s="286">
        <f t="shared" ref="LV57:LV88" si="669">CB57/$CJ57-CM57</f>
        <v>0</v>
      </c>
      <c r="LW57" s="286">
        <f t="shared" ref="LW57:LW88" si="670">CC57/$CJ57-CN57</f>
        <v>0</v>
      </c>
      <c r="LX57" s="286">
        <f t="shared" ref="LX57:LX88" si="671">CD57/$CJ57-CO57</f>
        <v>0</v>
      </c>
      <c r="LY57" s="286">
        <f t="shared" ref="LY57:LY88" si="672">CE57/$CJ57-CP57</f>
        <v>0</v>
      </c>
      <c r="LZ57" s="286">
        <f t="shared" ref="LZ57:LZ88" si="673">CF57/$CJ57-CQ57</f>
        <v>0</v>
      </c>
      <c r="MA57" s="286">
        <f t="shared" ref="MA57:MA88" si="674">CG57/$CJ57-CR57</f>
        <v>0</v>
      </c>
      <c r="MB57" s="286">
        <f t="shared" ref="MB57:MB88" si="675">CH57/$CJ57-CS57</f>
        <v>0</v>
      </c>
      <c r="MC57" s="286">
        <f t="shared" ref="MC57:MC88" si="676">CI57/$CJ57-CT57</f>
        <v>0</v>
      </c>
      <c r="MD57" s="286">
        <f t="shared" ref="MD57:MD88" si="677">SUM(CK57:CT57)-CU57</f>
        <v>0</v>
      </c>
      <c r="ME57" s="286">
        <f t="shared" ref="ME57:ME88" si="678">CV57/$DB57-DC57</f>
        <v>0</v>
      </c>
      <c r="MF57" s="286">
        <f t="shared" ref="MF57:MF88" si="679">CW57/$DB57-DD57</f>
        <v>0</v>
      </c>
      <c r="MG57" s="286">
        <f t="shared" ref="MG57:MG88" si="680">CX57/$DB57-DE57</f>
        <v>0</v>
      </c>
      <c r="MH57" s="286">
        <f t="shared" ref="MH57:MH88" si="681">CY57/$DB57-DF57</f>
        <v>0</v>
      </c>
      <c r="MI57" s="286">
        <f t="shared" ref="MI57:MI88" si="682">CZ57/$DB57-DG57</f>
        <v>0</v>
      </c>
      <c r="MJ57" s="286">
        <f t="shared" ref="MJ57:MJ88" si="683">DA57/$DB57-DH57</f>
        <v>0</v>
      </c>
      <c r="MK57" s="286">
        <f t="shared" ref="MK57:MK88" si="684">SUM(DC57:DH57)-DI57</f>
        <v>0</v>
      </c>
      <c r="ML57" s="282">
        <f t="shared" ref="ML57:ML88" si="685">CJ57-DB57-DJ57</f>
        <v>0</v>
      </c>
      <c r="MM57" s="1232">
        <f t="shared" ref="MM57:MM88" si="686">IF(AND(CB57=0,CX57=0),0,+IF(AND(CB57&gt;0,CX57&gt;0),0,"fix"))</f>
        <v>0</v>
      </c>
      <c r="MN57" s="1232">
        <f t="shared" ref="MN57:MN88" si="687">IF(AND(AH57=1,CE57=0),"fix",+IF(AND(AH57=0,CE57&gt;0),"fix",0))</f>
        <v>0</v>
      </c>
      <c r="MO57" s="1232">
        <f t="shared" ref="MO57:MO88" si="688">IF(AND(AE57=1,AF57=0),"fix",+IF(AND(AE57=0,AF57&gt;0),"fix",0))</f>
        <v>0</v>
      </c>
      <c r="MP57" s="1232">
        <f t="shared" ref="MP57:MP88" si="689">IF(AND(AK57=1,AL57=0),"fix",+IF(AND(AK57=0,AL57&gt;0),"fix",0))</f>
        <v>0</v>
      </c>
      <c r="MQ57" s="282">
        <f t="shared" ref="MQ57:MQ88" si="690">IF(CD57=0,0,+IF(X57=0,0,CD57/X57))-K57</f>
        <v>0</v>
      </c>
      <c r="MR57" s="282">
        <f t="shared" ref="MR57:MR88" si="691">IF(BZ57=0,0,+IF($K57=0,0,BZ57/$K57))-DK57</f>
        <v>0</v>
      </c>
      <c r="MS57" s="282">
        <f t="shared" ref="MS57:MS88" si="692">IF(CA57=0,0,+IF($K57=0,0,CA57/$K57))-DL57</f>
        <v>0</v>
      </c>
      <c r="MT57" s="282">
        <f t="shared" ref="MT57:MT88" si="693">IF(CB57=0,0,+IF($K57=0,0,CB57/$K57))-DM57</f>
        <v>0</v>
      </c>
      <c r="MU57" s="282">
        <f t="shared" ref="MU57:MU88" si="694">IF(CC57=0,0,+IF($K57=0,0,CC57/$K57))-DN57</f>
        <v>0</v>
      </c>
      <c r="MV57" s="282">
        <f t="shared" ref="MV57:MV88" si="695">IF(CD57=0,0,+IF($K57=0,0,CD57/$K57))-DO57</f>
        <v>0</v>
      </c>
      <c r="MW57" s="282">
        <f t="shared" ref="MW57:MW88" si="696">IF(CE57=0,0,+IF($K57=0,0,CE57/$K57))-DP57</f>
        <v>0</v>
      </c>
      <c r="MX57" s="282">
        <f t="shared" ref="MX57:MX88" si="697">IF(CF57=0,0,+IF($K57=0,0,CF57/$K57))-DQ57</f>
        <v>0</v>
      </c>
      <c r="MY57" s="282">
        <f t="shared" ref="MY57:MY88" si="698">IF(CG57=0,0,+IF($K57=0,0,CG57/$K57))-DR57</f>
        <v>0</v>
      </c>
      <c r="MZ57" s="282">
        <f t="shared" ref="MZ57:MZ88" si="699">IF(CH57=0,0,+IF($K57=0,0,CH57/$K57))-DS57</f>
        <v>0</v>
      </c>
      <c r="NA57" s="282">
        <f t="shared" ref="NA57:NA88" si="700">IF(CI57=0,0,+IF($K57=0,0,CI57/$K57))-DT57</f>
        <v>0</v>
      </c>
      <c r="NB57" s="282">
        <f t="shared" ref="NB57:NB88" si="701">IF(CJ57=0,0,+IF($K57=0,0,CJ57/$K57))-DU57</f>
        <v>0</v>
      </c>
      <c r="NC57" s="282">
        <f t="shared" ref="NC57:NC88" si="702">SUM(DK57:DT57)-DU57</f>
        <v>0</v>
      </c>
      <c r="ND57" s="282">
        <f t="shared" ref="ND57:ND88" si="703">IF(CV57=0,0,+IF($K57=0,0,CV57/$K57))-DV57</f>
        <v>0</v>
      </c>
      <c r="NE57" s="282">
        <f t="shared" ref="NE57:NE88" si="704">IF(CW57=0,0,+IF($K57=0,0,CW57/$K57))-DW57</f>
        <v>0</v>
      </c>
      <c r="NF57" s="282">
        <f t="shared" ref="NF57:NF88" si="705">IF(CX57=0,0,+IF($K57=0,0,CX57/$K57))-DX57</f>
        <v>0</v>
      </c>
      <c r="NG57" s="282">
        <f t="shared" ref="NG57:NG88" si="706">IF(CY57=0,0,+IF($K57=0,0,CY57/$K57))-DY57</f>
        <v>0</v>
      </c>
      <c r="NH57" s="282">
        <f t="shared" ref="NH57:NH88" si="707">IF(CZ57=0,0,+IF($K57=0,0,CZ57/$K57))-DZ57</f>
        <v>0</v>
      </c>
      <c r="NI57" s="282">
        <f t="shared" ref="NI57:NI88" si="708">IF(DA57=0,0,+IF($K57=0,0,DA57/$K57))-EA57</f>
        <v>0</v>
      </c>
      <c r="NJ57" s="282">
        <f t="shared" ref="NJ57:NJ88" si="709">IF(DB57=0,0,+IF($K57=0,0,DB57/$K57))-EB57</f>
        <v>0</v>
      </c>
      <c r="NK57" s="282">
        <f t="shared" ref="NK57:NK88" si="710">SUM(DV57:EA57)-EB57</f>
        <v>0</v>
      </c>
      <c r="NL57" s="282">
        <f t="shared" ref="NL57:NL88" si="711">IF(DJ57=0,0,+IF($K57=0,0,DJ57/$K57))-EC57</f>
        <v>0</v>
      </c>
      <c r="NM57" s="1205">
        <f t="shared" ref="NM57:NM88" si="712">IF(K57=0,0,+IF(ED57=0,0,K57/ED57))-EJ57</f>
        <v>0</v>
      </c>
      <c r="NN57" s="282">
        <f t="shared" ref="NN57:NN88" si="713">CG57+CH57-EY57-FB57</f>
        <v>0</v>
      </c>
      <c r="NO57" s="282">
        <f t="shared" ref="NO57:NO88" si="714">IF(FE57=0,0,+IF(K57=0,0,FE57/K57))-ES57</f>
        <v>0</v>
      </c>
      <c r="NP57" s="282">
        <f t="shared" ref="NP57:NP88" si="715">IF(FY57=0,0,+IF(K57=0,0,FY57/K57))-ET57</f>
        <v>0</v>
      </c>
      <c r="NQ57" s="282">
        <f t="shared" ref="NQ57:NQ88" si="716">EY57-EZ57-FA57</f>
        <v>0</v>
      </c>
      <c r="NR57" s="282">
        <f t="shared" ref="NR57:NR88" si="717">FB57-FC57-FD57</f>
        <v>0</v>
      </c>
      <c r="NS57" s="282">
        <f t="shared" ref="NS57:NS88" si="718">EY57+FB57-FE57</f>
        <v>0</v>
      </c>
      <c r="NT57" s="282">
        <f t="shared" ref="NT57:NT88" si="719">EZ57+FC57-FF57</f>
        <v>0</v>
      </c>
      <c r="NU57" s="282">
        <f t="shared" ref="NU57:NU88" si="720">FE57-FF57-FG57</f>
        <v>0</v>
      </c>
      <c r="NV57" s="286">
        <f t="shared" ref="NV57:NV88" si="721">EY57/$EY57-FH57</f>
        <v>0</v>
      </c>
      <c r="NW57" s="286">
        <f t="shared" ref="NW57:NW88" si="722">EZ57/$EY57-FI57</f>
        <v>0</v>
      </c>
      <c r="NX57" s="286">
        <f t="shared" ref="NX57:NX88" si="723">FA57/$EY57-FJ57</f>
        <v>0</v>
      </c>
      <c r="NY57" s="286">
        <f t="shared" ref="NY57:NY88" si="724">FB57/$FB57-FK57</f>
        <v>0</v>
      </c>
      <c r="NZ57" s="286">
        <f t="shared" ref="NZ57:NZ88" si="725">FC57/$FB57-FL57</f>
        <v>0</v>
      </c>
      <c r="OA57" s="286">
        <f t="shared" ref="OA57:OA88" si="726">FD57/$FB57-FM57</f>
        <v>0</v>
      </c>
      <c r="OB57" s="286">
        <f t="shared" ref="OB57:OB88" si="727">FE57/$FE57-FN57</f>
        <v>0</v>
      </c>
      <c r="OC57" s="286">
        <f t="shared" ref="OC57:OC88" si="728">FF57/$FE57-FO57</f>
        <v>0</v>
      </c>
      <c r="OD57" s="286">
        <f t="shared" ref="OD57:OD88" si="729">FG57/$FE57-FP57</f>
        <v>0</v>
      </c>
      <c r="OE57" s="282">
        <f t="shared" ref="OE57:OE88" si="730">SUM(FQ57:FW57)-FX57</f>
        <v>0</v>
      </c>
      <c r="OF57" s="282">
        <f t="shared" ref="OF57:OF88" si="731">FG57-FX57-FY57</f>
        <v>0</v>
      </c>
      <c r="OG57" s="286">
        <f t="shared" ref="OG57:OG88" si="732">FQ57/$FE57-FZ57</f>
        <v>0</v>
      </c>
      <c r="OH57" s="286">
        <f t="shared" ref="OH57:OH88" si="733">FR57/$FE57-GA57</f>
        <v>0</v>
      </c>
      <c r="OI57" s="286">
        <f t="shared" ref="OI57:OI88" si="734">FS57/$FE57-GB57</f>
        <v>0</v>
      </c>
      <c r="OJ57" s="286">
        <f t="shared" ref="OJ57:OJ88" si="735">FT57/$FE57-GC57</f>
        <v>0</v>
      </c>
      <c r="OK57" s="286">
        <f t="shared" ref="OK57:OK88" si="736">FU57/$FE57-GD57</f>
        <v>0</v>
      </c>
      <c r="OL57" s="286">
        <f t="shared" ref="OL57:OL88" si="737">FV57/$FE57-GE57</f>
        <v>0</v>
      </c>
      <c r="OM57" s="286">
        <f t="shared" ref="OM57:OM88" si="738">FW57/$FE57-GF57</f>
        <v>0</v>
      </c>
      <c r="ON57" s="286">
        <f t="shared" ref="ON57:ON88" si="739">SUM(FZ57:GF57)-GG57</f>
        <v>0</v>
      </c>
      <c r="OO57" s="286">
        <f t="shared" ref="OO57:OO88" si="740">FY57/$FE57-GH57</f>
        <v>0</v>
      </c>
      <c r="OP57" s="434">
        <f t="shared" ref="OP57:OP88" si="741">IF(AND(GJ57=0,GK57&gt;0),"fix",+IF(AND(GJ57=1,GK57=0),"fix",0))</f>
        <v>0</v>
      </c>
      <c r="OQ57" s="434">
        <f t="shared" ref="OQ57:OQ88" si="742">IF(AND(GL57=0,GM57&gt;0),"fix",+IF(AND(GL57=1,GM57=0),"fix",0))</f>
        <v>0</v>
      </c>
      <c r="OR57" s="282">
        <f t="shared" ref="OR57:OR88" si="743">IF(AND(EO57=1,FR57=0),"fix",+IF(AND(EO57=0,FR57&lt;&gt;0),"fix",0))</f>
        <v>0</v>
      </c>
      <c r="OS57" s="282">
        <f t="shared" ref="OS57:OS88" si="744">IF(AND(GN57=18,GP57=0),"fix",+IF(AND(GN57=0,GP57&lt;&gt;0),"fix",0))</f>
        <v>0</v>
      </c>
      <c r="OT57" s="282">
        <f t="shared" ref="OT57:OT88" si="745">IF(AND(HG57&gt;0,HI57=0),"fix",+IF(AND(HG57=0,HI57&lt;&gt;0),"fix",0))</f>
        <v>0</v>
      </c>
      <c r="OU57" s="282">
        <f t="shared" ref="OU57:OU88" si="746">IF(GW57&gt;0,GW57/$GN57-GX57,0)</f>
        <v>0</v>
      </c>
      <c r="OV57" s="282">
        <f t="shared" ref="OV57:OV88" si="747">IF(GW57&gt;0,GW57/GO57-GY57,0)</f>
        <v>0</v>
      </c>
      <c r="OW57" s="286">
        <f t="shared" ref="OW57:OW88" si="748">IF(GQ57&gt;0,GQ57/$GW57-GZ57,0)</f>
        <v>0</v>
      </c>
      <c r="OX57" s="286">
        <f t="shared" ref="OX57:OX88" si="749">IF(GR57&gt;0,GR57/$GW57-HA57,0)</f>
        <v>0</v>
      </c>
      <c r="OY57" s="286">
        <f t="shared" ref="OY57:OY88" si="750">IF(GS57&gt;0,GS57/$GW57-HB57,0)</f>
        <v>0</v>
      </c>
      <c r="OZ57" s="286">
        <f t="shared" ref="OZ57:OZ88" si="751">IF(GT57&gt;0,GT57/$GW57-HC57,0)</f>
        <v>0</v>
      </c>
      <c r="PA57" s="286">
        <f t="shared" ref="PA57:PA88" si="752">IF(GU57&gt;0,GU57/$GW57-HD57,0)</f>
        <v>0</v>
      </c>
      <c r="PB57" s="286">
        <f t="shared" ref="PB57:PB88" si="753">IF(GV57&gt;0,GV57/$GW57-HE57,0)</f>
        <v>0</v>
      </c>
      <c r="PC57" s="286">
        <f t="shared" ref="PC57:PC88" si="754">SUM(GZ57:HE57)-HF57</f>
        <v>0</v>
      </c>
      <c r="PD57" s="282">
        <f t="shared" ref="PD57:PD88" si="755">IF(HP57&gt;0,HP57/$HG57-HQ57,0)</f>
        <v>0</v>
      </c>
      <c r="PE57" s="282">
        <f t="shared" ref="PE57:PE88" si="756">IF(HP57&gt;0,HP57/HH57-HR57,0)</f>
        <v>0</v>
      </c>
      <c r="PF57" s="286">
        <f t="shared" ref="PF57:PF88" si="757">IF(HJ57&gt;0,HJ57/$HP57-HS57,0)</f>
        <v>0</v>
      </c>
      <c r="PG57" s="286">
        <f t="shared" ref="PG57:PG88" si="758">IF(HK57&gt;0,HK57/$HP57-HT57,0)</f>
        <v>0</v>
      </c>
      <c r="PH57" s="286">
        <f t="shared" ref="PH57:PH88" si="759">IF(HL57&gt;0,HL57/$HP57-HU57,0)</f>
        <v>0</v>
      </c>
      <c r="PI57" s="286">
        <f t="shared" ref="PI57:PI88" si="760">IF(HM57&gt;0,HM57/$HP57-HV57,0)</f>
        <v>0</v>
      </c>
      <c r="PJ57" s="286">
        <f t="shared" ref="PJ57:PJ88" si="761">IF(HN57&gt;0,HN57/$HP57-HW57,0)</f>
        <v>0</v>
      </c>
      <c r="PK57" s="286">
        <f t="shared" ref="PK57:PK88" si="762">IF(HO57&gt;0,HO57/$HP57-HX57,0)</f>
        <v>0</v>
      </c>
      <c r="PL57" s="286">
        <f t="shared" ref="PL57:PL88" si="763">SUM(HS57:HX57)-HY57</f>
        <v>0</v>
      </c>
      <c r="PM57" s="562">
        <v>1</v>
      </c>
      <c r="PN57" s="283"/>
      <c r="PO57" s="283"/>
    </row>
    <row r="58" spans="1:431" s="289" customFormat="1" ht="15" customHeight="1">
      <c r="A58" s="1040" t="s">
        <v>1405</v>
      </c>
      <c r="B58" s="1040" t="str">
        <f>VLOOKUP(A58,'Area (&amp;golfacre for lookup)'!$A$2:$B$162,2,FALSE)</f>
        <v>BOCA</v>
      </c>
      <c r="C58" s="1936"/>
      <c r="D58" s="1937">
        <v>44834</v>
      </c>
      <c r="E58" s="402"/>
      <c r="F58" s="1936">
        <v>0</v>
      </c>
      <c r="G58" s="1936">
        <v>1</v>
      </c>
      <c r="H58" s="1936">
        <v>565</v>
      </c>
      <c r="I58" s="1936">
        <v>152</v>
      </c>
      <c r="J58" s="1936">
        <v>717</v>
      </c>
      <c r="K58" s="1938">
        <v>665.73886462882092</v>
      </c>
      <c r="L58" s="1939" t="s">
        <v>1208</v>
      </c>
      <c r="M58" s="1939" t="s">
        <v>1208</v>
      </c>
      <c r="N58" s="1939" t="s">
        <v>1208</v>
      </c>
      <c r="O58" s="1939" t="s">
        <v>1208</v>
      </c>
      <c r="P58" s="1939" t="s">
        <v>1208</v>
      </c>
      <c r="Q58" s="1936">
        <v>50000</v>
      </c>
      <c r="R58" s="1936">
        <v>103600</v>
      </c>
      <c r="S58" s="1936">
        <f>+R58+Q58</f>
        <v>153600</v>
      </c>
      <c r="T58" s="1939" t="s">
        <v>1208</v>
      </c>
      <c r="U58" s="1939" t="s">
        <v>1208</v>
      </c>
      <c r="V58" s="1939" t="s">
        <v>1208</v>
      </c>
      <c r="W58" s="1936">
        <v>30875</v>
      </c>
      <c r="X58" s="1936">
        <v>27480</v>
      </c>
      <c r="Y58" s="1939" t="s">
        <v>1208</v>
      </c>
      <c r="Z58" s="1939" t="s">
        <v>1208</v>
      </c>
      <c r="AA58" s="1936">
        <v>3395</v>
      </c>
      <c r="AB58" s="1362">
        <v>0.12354439592430859</v>
      </c>
      <c r="AC58" s="1939" t="s">
        <v>1208</v>
      </c>
      <c r="AD58" s="1363" t="s">
        <v>1208</v>
      </c>
      <c r="AE58" s="1936">
        <v>1</v>
      </c>
      <c r="AF58" s="1936">
        <v>2195</v>
      </c>
      <c r="AG58" s="1939" t="s">
        <v>1208</v>
      </c>
      <c r="AH58" s="1936">
        <v>0</v>
      </c>
      <c r="AI58" s="1936">
        <v>0</v>
      </c>
      <c r="AJ58" s="1939" t="s">
        <v>1208</v>
      </c>
      <c r="AK58" s="1938">
        <v>1</v>
      </c>
      <c r="AL58" s="1938">
        <v>4196</v>
      </c>
      <c r="AM58" s="1936">
        <v>33871</v>
      </c>
      <c r="AN58" s="1939" t="s">
        <v>1208</v>
      </c>
      <c r="AO58" s="1936">
        <v>1800</v>
      </c>
      <c r="AP58" s="1936">
        <v>2400</v>
      </c>
      <c r="AQ58" s="1936">
        <v>38071</v>
      </c>
      <c r="AR58" s="1939" t="s">
        <v>1208</v>
      </c>
      <c r="AS58" s="1363" t="s">
        <v>1208</v>
      </c>
      <c r="AT58" s="1363" t="s">
        <v>1208</v>
      </c>
      <c r="AU58" s="1363" t="s">
        <v>1208</v>
      </c>
      <c r="AV58" s="1363" t="s">
        <v>1208</v>
      </c>
      <c r="AW58" s="1363" t="s">
        <v>1291</v>
      </c>
      <c r="AX58" s="1938">
        <v>0</v>
      </c>
      <c r="AY58" s="1938">
        <v>0</v>
      </c>
      <c r="AZ58" s="1938">
        <v>0</v>
      </c>
      <c r="BA58" s="1938">
        <v>0</v>
      </c>
      <c r="BB58" s="1938">
        <v>0</v>
      </c>
      <c r="BC58" s="1938">
        <v>0</v>
      </c>
      <c r="BD58" s="1938">
        <v>0</v>
      </c>
      <c r="BE58" s="1936">
        <v>1</v>
      </c>
      <c r="BF58" s="1936">
        <v>20000000</v>
      </c>
      <c r="BG58" s="1936">
        <v>3782877</v>
      </c>
      <c r="BH58" s="1936">
        <v>23782877</v>
      </c>
      <c r="BI58" s="1938">
        <v>46220500</v>
      </c>
      <c r="BJ58" s="1936">
        <v>2900619</v>
      </c>
      <c r="BK58" s="1936">
        <v>4832533</v>
      </c>
      <c r="BL58" s="1362">
        <v>0.60022745835362112</v>
      </c>
      <c r="BM58" s="1936">
        <v>1</v>
      </c>
      <c r="BN58" s="1936">
        <v>17910930</v>
      </c>
      <c r="BO58" s="1363" t="s">
        <v>1208</v>
      </c>
      <c r="BP58" s="1938">
        <v>12808961</v>
      </c>
      <c r="BQ58" s="1938">
        <v>12930670</v>
      </c>
      <c r="BR58" s="1940">
        <v>0.99058757202836356</v>
      </c>
      <c r="BS58" s="1409">
        <v>0</v>
      </c>
      <c r="BT58" s="1938">
        <v>29249282</v>
      </c>
      <c r="BU58" s="1938">
        <v>42306865</v>
      </c>
      <c r="BV58" s="1940">
        <v>0.69136018468870242</v>
      </c>
      <c r="BW58" s="1936">
        <v>26903.837152403805</v>
      </c>
      <c r="BX58" s="1936">
        <v>4356.9921392785509</v>
      </c>
      <c r="BY58" s="1936">
        <v>35724.032745572113</v>
      </c>
      <c r="BZ58" s="1936">
        <v>1857935</v>
      </c>
      <c r="CA58" s="1936">
        <v>364272</v>
      </c>
      <c r="CB58" s="1936">
        <v>941318</v>
      </c>
      <c r="CC58" s="1936">
        <v>1212757</v>
      </c>
      <c r="CD58" s="1936">
        <v>18294504</v>
      </c>
      <c r="CE58" s="1936">
        <v>0</v>
      </c>
      <c r="CF58" s="1936">
        <v>0</v>
      </c>
      <c r="CG58" s="1936">
        <v>3503171</v>
      </c>
      <c r="CH58" s="1936">
        <v>676569</v>
      </c>
      <c r="CI58" s="1936">
        <v>799598</v>
      </c>
      <c r="CJ58" s="1936">
        <v>27650124</v>
      </c>
      <c r="CK58" s="1366">
        <v>6.719445453481511E-2</v>
      </c>
      <c r="CL58" s="1366">
        <v>1.3174335131372287E-2</v>
      </c>
      <c r="CM58" s="1366">
        <v>3.4043897958649302E-2</v>
      </c>
      <c r="CN58" s="1366">
        <v>4.3860815958727706E-2</v>
      </c>
      <c r="CO58" s="1366">
        <v>0.66164274706326809</v>
      </c>
      <c r="CP58" s="1366">
        <v>0</v>
      </c>
      <c r="CQ58" s="1366">
        <v>0</v>
      </c>
      <c r="CR58" s="1366">
        <v>0.12669639383895712</v>
      </c>
      <c r="CS58" s="1366">
        <v>2.4468931857231455E-2</v>
      </c>
      <c r="CT58" s="1366">
        <v>2.8918423656978897E-2</v>
      </c>
      <c r="CU58" s="1366">
        <v>1</v>
      </c>
      <c r="CV58" s="1936">
        <v>15550462</v>
      </c>
      <c r="CW58" s="1936">
        <v>2304589</v>
      </c>
      <c r="CX58" s="1936">
        <v>726787</v>
      </c>
      <c r="CY58" s="1936">
        <v>8079025</v>
      </c>
      <c r="CZ58" s="1936">
        <v>45765</v>
      </c>
      <c r="DA58" s="1936">
        <v>616188</v>
      </c>
      <c r="DB58" s="1936">
        <v>27322816</v>
      </c>
      <c r="DC58" s="1366">
        <v>0.56913833478950338</v>
      </c>
      <c r="DD58" s="1366">
        <v>8.4346686666557355E-2</v>
      </c>
      <c r="DE58" s="1366">
        <v>2.6600003454987947E-2</v>
      </c>
      <c r="DF58" s="1366">
        <v>0.29568786028497207</v>
      </c>
      <c r="DG58" s="1366">
        <v>1.6749737655152382E-3</v>
      </c>
      <c r="DH58" s="1366">
        <v>2.2552141038463969E-2</v>
      </c>
      <c r="DI58" s="1366">
        <v>1</v>
      </c>
      <c r="DJ58" s="1936">
        <v>327308</v>
      </c>
      <c r="DK58" s="1936">
        <v>2790.7864460277251</v>
      </c>
      <c r="DL58" s="1936">
        <v>547.1694974621887</v>
      </c>
      <c r="DM58" s="1936">
        <v>1413.9447912881378</v>
      </c>
      <c r="DN58" s="1936">
        <v>1821.6707247160132</v>
      </c>
      <c r="DO58" s="1936">
        <v>27480</v>
      </c>
      <c r="DP58" s="1936">
        <v>0</v>
      </c>
      <c r="DQ58" s="1936">
        <v>0</v>
      </c>
      <c r="DR58" s="1936">
        <v>5262.0797524764821</v>
      </c>
      <c r="DS58" s="1936">
        <v>1016.2678430636873</v>
      </c>
      <c r="DT58" s="1936">
        <v>1201.0685307456272</v>
      </c>
      <c r="DU58" s="1936">
        <v>41532.987585779862</v>
      </c>
      <c r="DV58" s="1936">
        <v>23358.200679285976</v>
      </c>
      <c r="DW58" s="1936">
        <v>3461.7011600861115</v>
      </c>
      <c r="DX58" s="1936">
        <v>1091.6998219793225</v>
      </c>
      <c r="DY58" s="1936">
        <v>12135.42641003003</v>
      </c>
      <c r="DZ58" s="1936">
        <v>68.743170079932213</v>
      </c>
      <c r="EA58" s="1936">
        <v>925.57011876353693</v>
      </c>
      <c r="EB58" s="1936">
        <v>41041.341360224913</v>
      </c>
      <c r="EC58" s="1936">
        <v>491.64622555495356</v>
      </c>
      <c r="ED58" s="1941">
        <v>269</v>
      </c>
      <c r="EE58" s="1936">
        <v>1</v>
      </c>
      <c r="EF58" s="1936">
        <v>100</v>
      </c>
      <c r="EG58" s="1938">
        <v>980000</v>
      </c>
      <c r="EH58" s="1938">
        <v>1</v>
      </c>
      <c r="EI58" s="1368">
        <v>0.1</v>
      </c>
      <c r="EJ58" s="1981">
        <v>2.4748656677651337</v>
      </c>
      <c r="EK58" s="1936">
        <v>1</v>
      </c>
      <c r="EL58" s="1936">
        <v>1800</v>
      </c>
      <c r="EM58" s="1936">
        <v>0</v>
      </c>
      <c r="EN58" s="1362">
        <v>0</v>
      </c>
      <c r="EO58" s="1936">
        <v>1</v>
      </c>
      <c r="EP58" s="1936">
        <v>200</v>
      </c>
      <c r="EQ58" s="1936">
        <v>1</v>
      </c>
      <c r="ER58" s="1938">
        <v>0</v>
      </c>
      <c r="ES58" s="1936">
        <v>6278.3475955401691</v>
      </c>
      <c r="ET58" s="1936">
        <v>-9091.7450093208317</v>
      </c>
      <c r="EU58" s="1938">
        <v>2</v>
      </c>
      <c r="EV58" s="1936">
        <v>134322</v>
      </c>
      <c r="EW58" s="1936">
        <v>6091</v>
      </c>
      <c r="EX58" s="1938">
        <v>0</v>
      </c>
      <c r="EY58" s="1936">
        <v>3503171</v>
      </c>
      <c r="EZ58" s="1936">
        <v>2060831</v>
      </c>
      <c r="FA58" s="1936">
        <v>1442340</v>
      </c>
      <c r="FB58" s="1936">
        <v>676569</v>
      </c>
      <c r="FC58" s="1936">
        <v>243758</v>
      </c>
      <c r="FD58" s="1936">
        <v>432811</v>
      </c>
      <c r="FE58" s="1936">
        <v>4179740</v>
      </c>
      <c r="FF58" s="1936">
        <v>2304589</v>
      </c>
      <c r="FG58" s="1936">
        <v>1875151</v>
      </c>
      <c r="FH58" s="1366">
        <v>1</v>
      </c>
      <c r="FI58" s="1366">
        <v>0.58827587919630531</v>
      </c>
      <c r="FJ58" s="1366">
        <v>0.41172412080369469</v>
      </c>
      <c r="FK58" s="1366">
        <v>1</v>
      </c>
      <c r="FL58" s="1366">
        <v>0.36028549933561838</v>
      </c>
      <c r="FM58" s="1366">
        <v>0.63971450066438162</v>
      </c>
      <c r="FN58" s="1366">
        <v>1</v>
      </c>
      <c r="FO58" s="1366">
        <v>0.5513713771670008</v>
      </c>
      <c r="FP58" s="1366">
        <v>0.4486286228329992</v>
      </c>
      <c r="FQ58" s="1936">
        <v>6338847</v>
      </c>
      <c r="FR58" s="1936">
        <v>-835948</v>
      </c>
      <c r="FS58" s="1936">
        <v>1078064</v>
      </c>
      <c r="FT58" s="1936">
        <v>180074</v>
      </c>
      <c r="FU58" s="1936">
        <v>40165</v>
      </c>
      <c r="FV58" s="1936">
        <v>10735</v>
      </c>
      <c r="FW58" s="1936">
        <v>1115942</v>
      </c>
      <c r="FX58" s="1936">
        <v>7927879</v>
      </c>
      <c r="FY58" s="1936">
        <v>-6052728</v>
      </c>
      <c r="FZ58" s="1366">
        <v>1.5165649059510879</v>
      </c>
      <c r="GA58" s="1366">
        <v>-0.2</v>
      </c>
      <c r="GB58" s="1366">
        <v>0.25792609109657538</v>
      </c>
      <c r="GC58" s="1366">
        <v>4.3082584084177485E-2</v>
      </c>
      <c r="GD58" s="1366">
        <v>9.6094493915889513E-3</v>
      </c>
      <c r="GE58" s="1366">
        <v>2.5683415714853079E-3</v>
      </c>
      <c r="GF58" s="1366">
        <v>0.26698837726748553</v>
      </c>
      <c r="GG58" s="1366">
        <v>1.8967397493624005</v>
      </c>
      <c r="GH58" s="1366">
        <v>-1.4481111265294013</v>
      </c>
      <c r="GI58" s="1942">
        <v>5.1778473444689306</v>
      </c>
      <c r="GJ58" s="1943">
        <v>1</v>
      </c>
      <c r="GK58" s="1371">
        <v>0.1</v>
      </c>
      <c r="GL58" s="1943">
        <v>1</v>
      </c>
      <c r="GM58" s="1371">
        <v>0.1</v>
      </c>
      <c r="GN58" s="1943">
        <v>0</v>
      </c>
      <c r="GO58" s="1985">
        <f>IF(GN58=0,0,VLOOKUP(A58,'Area (&amp;golfacre for lookup)'!$G$2:$H$133,2,FALSE))</f>
        <v>0</v>
      </c>
      <c r="GP58" s="1943">
        <v>0</v>
      </c>
      <c r="GQ58" s="1943">
        <v>0</v>
      </c>
      <c r="GR58" s="1943">
        <v>0</v>
      </c>
      <c r="GS58" s="1943">
        <v>0</v>
      </c>
      <c r="GT58" s="1943">
        <v>0</v>
      </c>
      <c r="GU58" s="1943">
        <v>0</v>
      </c>
      <c r="GV58" s="1943">
        <v>0</v>
      </c>
      <c r="GW58" s="1943">
        <v>0</v>
      </c>
      <c r="GX58" s="1936">
        <v>0</v>
      </c>
      <c r="GY58" s="1985">
        <f t="shared" ref="GY58:GY121" si="764">IF(GW58=0,0,GW58/GO58)</f>
        <v>0</v>
      </c>
      <c r="GZ58" s="1936">
        <v>0</v>
      </c>
      <c r="HA58" s="1936">
        <v>0</v>
      </c>
      <c r="HB58" s="1936">
        <v>0</v>
      </c>
      <c r="HC58" s="1936">
        <v>0</v>
      </c>
      <c r="HD58" s="1936">
        <v>0</v>
      </c>
      <c r="HE58" s="1936">
        <v>0</v>
      </c>
      <c r="HF58" s="1936">
        <v>0</v>
      </c>
      <c r="HG58" s="1936">
        <v>27</v>
      </c>
      <c r="HH58" s="1988">
        <f>IF(HG58=0,0,VLOOKUP(A58,'Area (&amp;golfacre for lookup)'!$G$2:$H$134,2,FALSE))</f>
        <v>250</v>
      </c>
      <c r="HI58" s="1936">
        <v>48992</v>
      </c>
      <c r="HJ58" s="1936">
        <v>1870103</v>
      </c>
      <c r="HK58" s="1936">
        <v>270801</v>
      </c>
      <c r="HL58" s="1936">
        <v>434263</v>
      </c>
      <c r="HM58" s="1936">
        <v>150183</v>
      </c>
      <c r="HN58" s="1936">
        <v>0</v>
      </c>
      <c r="HO58" s="1936">
        <v>324340</v>
      </c>
      <c r="HP58" s="1936">
        <v>3049690</v>
      </c>
      <c r="HQ58" s="1936">
        <v>112951.48148148147</v>
      </c>
      <c r="HR58" s="1988">
        <f t="shared" ref="HR58:HR121" si="765">IF(HP58=0,0,HP58/HH58)</f>
        <v>12198.76</v>
      </c>
      <c r="HS58" s="1366">
        <v>0.61321085093894789</v>
      </c>
      <c r="HT58" s="1366">
        <v>8.8796238306188505E-2</v>
      </c>
      <c r="HU58" s="1366">
        <v>0.14239578448957108</v>
      </c>
      <c r="HV58" s="1366">
        <v>4.9245333132219994E-2</v>
      </c>
      <c r="HW58" s="1366">
        <v>0</v>
      </c>
      <c r="HX58" s="1366">
        <v>0.10635179313307254</v>
      </c>
      <c r="HY58" s="1366">
        <v>1</v>
      </c>
      <c r="HZ58" s="51"/>
      <c r="IA58" s="59">
        <f t="shared" ref="IA58:IA88" si="766">IF(Q58=0,0,ROUND(Q58/S58,2))</f>
        <v>0.33</v>
      </c>
      <c r="IB58" s="59"/>
      <c r="IC58" s="815">
        <f t="shared" si="581"/>
        <v>1</v>
      </c>
      <c r="ID58" s="815"/>
      <c r="IE58" s="284">
        <f t="shared" si="582"/>
        <v>0</v>
      </c>
      <c r="IF58" s="284"/>
      <c r="IG58" s="284">
        <f t="shared" si="583"/>
        <v>69427.372286234167</v>
      </c>
      <c r="IH58" s="284"/>
      <c r="II58" s="1288">
        <f t="shared" si="584"/>
        <v>0</v>
      </c>
      <c r="IJ58" s="1288">
        <f t="shared" si="585"/>
        <v>0.99058757202836356</v>
      </c>
      <c r="IK58" s="284">
        <f t="shared" si="586"/>
        <v>0</v>
      </c>
      <c r="IL58" s="284">
        <f t="shared" si="587"/>
        <v>1</v>
      </c>
      <c r="IM58" s="284">
        <f t="shared" si="588"/>
        <v>0</v>
      </c>
      <c r="IN58" s="284">
        <f t="shared" si="589"/>
        <v>0</v>
      </c>
      <c r="IO58" s="753">
        <f t="shared" si="590"/>
        <v>-8441.7405857740578</v>
      </c>
      <c r="IP58" s="113">
        <f t="shared" si="591"/>
        <v>-9091.7450093208317</v>
      </c>
      <c r="IQ58" s="30">
        <f t="shared" si="592"/>
        <v>-0.33084952726786143</v>
      </c>
      <c r="IR58" s="438">
        <f t="shared" si="593"/>
        <v>3503171</v>
      </c>
      <c r="IS58" s="438">
        <f t="shared" si="594"/>
        <v>676569</v>
      </c>
      <c r="IT58" s="438">
        <f t="shared" si="595"/>
        <v>6338847</v>
      </c>
      <c r="IU58" s="438">
        <f t="shared" si="596"/>
        <v>1258138</v>
      </c>
      <c r="IV58" s="438">
        <f t="shared" si="597"/>
        <v>2304589</v>
      </c>
      <c r="IW58" s="438">
        <f t="shared" si="598"/>
        <v>330894</v>
      </c>
      <c r="IX58" s="285">
        <f t="shared" si="599"/>
        <v>0.83813131917296291</v>
      </c>
      <c r="IY58" s="285">
        <f t="shared" si="600"/>
        <v>0.16186868082703709</v>
      </c>
      <c r="IZ58" s="285">
        <f t="shared" si="601"/>
        <v>1.5165649059510879</v>
      </c>
      <c r="JA58" s="285">
        <f t="shared" si="602"/>
        <v>0.30100867518075286</v>
      </c>
      <c r="JB58" s="285">
        <f t="shared" si="603"/>
        <v>0.5513713771670008</v>
      </c>
      <c r="JC58" s="285">
        <f t="shared" si="604"/>
        <v>7.9166168230559802E-2</v>
      </c>
      <c r="JD58" s="60">
        <f t="shared" si="605"/>
        <v>18294504</v>
      </c>
      <c r="JE58" s="60">
        <f t="shared" si="606"/>
        <v>4376282</v>
      </c>
      <c r="JF58" s="60">
        <f t="shared" si="607"/>
        <v>0</v>
      </c>
      <c r="JG58" s="60">
        <f t="shared" si="608"/>
        <v>661953</v>
      </c>
      <c r="JH58" s="284">
        <f t="shared" si="609"/>
        <v>1</v>
      </c>
      <c r="JI58" s="284">
        <f t="shared" si="610"/>
        <v>1</v>
      </c>
      <c r="JJ58" s="560">
        <f t="shared" si="611"/>
        <v>0.77209508370178837</v>
      </c>
      <c r="JK58" s="561">
        <f t="shared" si="612"/>
        <v>0.56240116680851049</v>
      </c>
      <c r="JL58" s="561">
        <f t="shared" si="613"/>
        <v>8.3348233809005703E-2</v>
      </c>
      <c r="JM58" s="561">
        <f t="shared" si="614"/>
        <v>2.6285126243918471E-2</v>
      </c>
      <c r="JN58" s="561">
        <f t="shared" si="615"/>
        <v>0.29218765890525483</v>
      </c>
      <c r="JO58" s="561">
        <f t="shared" si="616"/>
        <v>1.6551462843349275E-3</v>
      </c>
      <c r="JP58" s="561">
        <f t="shared" si="617"/>
        <v>2.2285180348558292E-2</v>
      </c>
      <c r="JQ58" s="561">
        <f t="shared" si="618"/>
        <v>0.98816251239958275</v>
      </c>
      <c r="JR58" s="61">
        <f t="shared" si="619"/>
        <v>0</v>
      </c>
      <c r="JS58" s="61">
        <f t="shared" si="620"/>
        <v>0</v>
      </c>
      <c r="JT58" s="61">
        <f t="shared" si="621"/>
        <v>0</v>
      </c>
      <c r="JU58" s="61">
        <f t="shared" si="622"/>
        <v>0</v>
      </c>
      <c r="JV58" s="61">
        <f t="shared" si="623"/>
        <v>0</v>
      </c>
      <c r="JW58" s="61">
        <f t="shared" si="624"/>
        <v>0</v>
      </c>
      <c r="JX58" s="61">
        <f t="shared" si="625"/>
        <v>0</v>
      </c>
      <c r="JY58" s="394">
        <f t="shared" si="626"/>
        <v>0</v>
      </c>
      <c r="JZ58" s="61">
        <f t="shared" si="627"/>
        <v>69263.074074074073</v>
      </c>
      <c r="KA58" s="61">
        <f t="shared" si="628"/>
        <v>10029.666666666666</v>
      </c>
      <c r="KB58" s="61">
        <f t="shared" si="629"/>
        <v>16083.814814814816</v>
      </c>
      <c r="KC58" s="61">
        <f t="shared" si="630"/>
        <v>5562.333333333333</v>
      </c>
      <c r="KD58" s="61">
        <f t="shared" si="631"/>
        <v>0</v>
      </c>
      <c r="KE58" s="61">
        <f t="shared" si="632"/>
        <v>12012.592592592593</v>
      </c>
      <c r="KF58" s="61">
        <f t="shared" si="633"/>
        <v>32700</v>
      </c>
      <c r="KG58" s="61">
        <f t="shared" si="634"/>
        <v>333.33333333333337</v>
      </c>
      <c r="KH58" s="61">
        <f t="shared" si="635"/>
        <v>62.248734487263228</v>
      </c>
      <c r="KI58" s="394">
        <f t="shared" si="636"/>
        <v>0.11161697242334026</v>
      </c>
      <c r="KJ58" s="438">
        <f t="shared" si="637"/>
        <v>27</v>
      </c>
      <c r="KK58" s="438">
        <f t="shared" si="638"/>
        <v>48992</v>
      </c>
      <c r="KL58" s="438">
        <f t="shared" si="639"/>
        <v>250</v>
      </c>
      <c r="KM58" s="438">
        <f t="shared" si="640"/>
        <v>112951.48148148147</v>
      </c>
      <c r="KN58" s="438">
        <f t="shared" si="641"/>
        <v>62.248734487263228</v>
      </c>
      <c r="KO58" s="438">
        <f t="shared" si="642"/>
        <v>12198.76</v>
      </c>
      <c r="KP58" s="438">
        <f t="shared" si="643"/>
        <v>1870103</v>
      </c>
      <c r="KQ58" s="438">
        <f t="shared" si="644"/>
        <v>270801</v>
      </c>
      <c r="KR58" s="438">
        <f t="shared" si="645"/>
        <v>434263</v>
      </c>
      <c r="KS58" s="438">
        <f t="shared" si="646"/>
        <v>150183</v>
      </c>
      <c r="KT58" s="438">
        <f t="shared" si="647"/>
        <v>0</v>
      </c>
      <c r="KU58" s="438">
        <f t="shared" si="648"/>
        <v>324340</v>
      </c>
      <c r="KV58" s="420">
        <f t="shared" si="649"/>
        <v>0.11161697242334026</v>
      </c>
      <c r="KW58" s="420">
        <f t="shared" si="650"/>
        <v>-0.14897096964203019</v>
      </c>
      <c r="KX58" s="108"/>
      <c r="KY58" s="282">
        <f t="shared" si="651"/>
        <v>0</v>
      </c>
      <c r="KZ58" s="282"/>
      <c r="LA58" s="282">
        <f t="shared" si="652"/>
        <v>0</v>
      </c>
      <c r="LB58" s="282"/>
      <c r="LC58" s="286">
        <f t="shared" si="653"/>
        <v>0</v>
      </c>
      <c r="LD58" s="286"/>
      <c r="LE58" s="282">
        <f t="shared" si="654"/>
        <v>0</v>
      </c>
      <c r="LF58" s="282"/>
      <c r="LG58" s="282">
        <f t="shared" si="655"/>
        <v>0</v>
      </c>
      <c r="LH58" s="282">
        <f t="shared" si="656"/>
        <v>0</v>
      </c>
      <c r="LI58" s="282">
        <f t="shared" si="657"/>
        <v>0</v>
      </c>
      <c r="LJ58" s="282">
        <f t="shared" si="658"/>
        <v>0</v>
      </c>
      <c r="LK58" s="282"/>
      <c r="LL58" s="282">
        <f t="shared" si="659"/>
        <v>0</v>
      </c>
      <c r="LM58" s="282">
        <f t="shared" si="660"/>
        <v>0</v>
      </c>
      <c r="LN58" s="282">
        <f t="shared" si="661"/>
        <v>0</v>
      </c>
      <c r="LO58" s="282">
        <f t="shared" si="662"/>
        <v>0</v>
      </c>
      <c r="LP58" s="286">
        <f t="shared" si="663"/>
        <v>0</v>
      </c>
      <c r="LQ58" s="282">
        <f t="shared" si="664"/>
        <v>0</v>
      </c>
      <c r="LR58" s="282">
        <f t="shared" si="665"/>
        <v>0</v>
      </c>
      <c r="LS58" s="282">
        <f t="shared" si="666"/>
        <v>0</v>
      </c>
      <c r="LT58" s="286">
        <f t="shared" si="667"/>
        <v>0</v>
      </c>
      <c r="LU58" s="286">
        <f t="shared" si="668"/>
        <v>0</v>
      </c>
      <c r="LV58" s="286">
        <f t="shared" si="669"/>
        <v>0</v>
      </c>
      <c r="LW58" s="286">
        <f t="shared" si="670"/>
        <v>0</v>
      </c>
      <c r="LX58" s="286">
        <f t="shared" si="671"/>
        <v>0</v>
      </c>
      <c r="LY58" s="286">
        <f t="shared" si="672"/>
        <v>0</v>
      </c>
      <c r="LZ58" s="286">
        <f t="shared" si="673"/>
        <v>0</v>
      </c>
      <c r="MA58" s="286">
        <f t="shared" si="674"/>
        <v>0</v>
      </c>
      <c r="MB58" s="286">
        <f t="shared" si="675"/>
        <v>0</v>
      </c>
      <c r="MC58" s="286">
        <f t="shared" si="676"/>
        <v>0</v>
      </c>
      <c r="MD58" s="286">
        <f t="shared" si="677"/>
        <v>0</v>
      </c>
      <c r="ME58" s="286">
        <f t="shared" si="678"/>
        <v>0</v>
      </c>
      <c r="MF58" s="286">
        <f t="shared" si="679"/>
        <v>0</v>
      </c>
      <c r="MG58" s="286">
        <f t="shared" si="680"/>
        <v>0</v>
      </c>
      <c r="MH58" s="286">
        <f t="shared" si="681"/>
        <v>0</v>
      </c>
      <c r="MI58" s="286">
        <f t="shared" si="682"/>
        <v>0</v>
      </c>
      <c r="MJ58" s="286">
        <f t="shared" si="683"/>
        <v>0</v>
      </c>
      <c r="MK58" s="286">
        <f t="shared" si="684"/>
        <v>0</v>
      </c>
      <c r="ML58" s="282">
        <f t="shared" si="685"/>
        <v>0</v>
      </c>
      <c r="MM58" s="1232">
        <f t="shared" si="686"/>
        <v>0</v>
      </c>
      <c r="MN58" s="1232">
        <f t="shared" si="687"/>
        <v>0</v>
      </c>
      <c r="MO58" s="1232">
        <f t="shared" si="688"/>
        <v>0</v>
      </c>
      <c r="MP58" s="1232">
        <f t="shared" si="689"/>
        <v>0</v>
      </c>
      <c r="MQ58" s="282">
        <f t="shared" si="690"/>
        <v>0</v>
      </c>
      <c r="MR58" s="282">
        <f t="shared" si="691"/>
        <v>0</v>
      </c>
      <c r="MS58" s="282">
        <f t="shared" si="692"/>
        <v>0</v>
      </c>
      <c r="MT58" s="282">
        <f t="shared" si="693"/>
        <v>0</v>
      </c>
      <c r="MU58" s="282">
        <f t="shared" si="694"/>
        <v>0</v>
      </c>
      <c r="MV58" s="282">
        <f t="shared" si="695"/>
        <v>0</v>
      </c>
      <c r="MW58" s="282">
        <f t="shared" si="696"/>
        <v>0</v>
      </c>
      <c r="MX58" s="282">
        <f t="shared" si="697"/>
        <v>0</v>
      </c>
      <c r="MY58" s="282">
        <f t="shared" si="698"/>
        <v>0</v>
      </c>
      <c r="MZ58" s="282">
        <f t="shared" si="699"/>
        <v>0</v>
      </c>
      <c r="NA58" s="282">
        <f t="shared" si="700"/>
        <v>0</v>
      </c>
      <c r="NB58" s="282">
        <f t="shared" si="701"/>
        <v>0</v>
      </c>
      <c r="NC58" s="282">
        <f t="shared" si="702"/>
        <v>0</v>
      </c>
      <c r="ND58" s="282">
        <f t="shared" si="703"/>
        <v>0</v>
      </c>
      <c r="NE58" s="282">
        <f t="shared" si="704"/>
        <v>0</v>
      </c>
      <c r="NF58" s="282">
        <f t="shared" si="705"/>
        <v>0</v>
      </c>
      <c r="NG58" s="282">
        <f t="shared" si="706"/>
        <v>0</v>
      </c>
      <c r="NH58" s="282">
        <f t="shared" si="707"/>
        <v>0</v>
      </c>
      <c r="NI58" s="282">
        <f t="shared" si="708"/>
        <v>0</v>
      </c>
      <c r="NJ58" s="282">
        <f t="shared" si="709"/>
        <v>0</v>
      </c>
      <c r="NK58" s="282">
        <f t="shared" si="710"/>
        <v>0</v>
      </c>
      <c r="NL58" s="282">
        <f t="shared" si="711"/>
        <v>0</v>
      </c>
      <c r="NM58" s="1205">
        <f t="shared" si="712"/>
        <v>0</v>
      </c>
      <c r="NN58" s="282">
        <f t="shared" si="713"/>
        <v>0</v>
      </c>
      <c r="NO58" s="282">
        <f t="shared" si="714"/>
        <v>0</v>
      </c>
      <c r="NP58" s="282">
        <f t="shared" si="715"/>
        <v>0</v>
      </c>
      <c r="NQ58" s="282">
        <f t="shared" si="716"/>
        <v>0</v>
      </c>
      <c r="NR58" s="282">
        <f t="shared" si="717"/>
        <v>0</v>
      </c>
      <c r="NS58" s="282">
        <f t="shared" si="718"/>
        <v>0</v>
      </c>
      <c r="NT58" s="282">
        <f t="shared" si="719"/>
        <v>0</v>
      </c>
      <c r="NU58" s="282">
        <f t="shared" si="720"/>
        <v>0</v>
      </c>
      <c r="NV58" s="286">
        <f t="shared" si="721"/>
        <v>0</v>
      </c>
      <c r="NW58" s="286">
        <f t="shared" si="722"/>
        <v>0</v>
      </c>
      <c r="NX58" s="286">
        <f t="shared" si="723"/>
        <v>0</v>
      </c>
      <c r="NY58" s="286">
        <f t="shared" si="724"/>
        <v>0</v>
      </c>
      <c r="NZ58" s="286">
        <f t="shared" si="725"/>
        <v>0</v>
      </c>
      <c r="OA58" s="286">
        <f t="shared" si="726"/>
        <v>0</v>
      </c>
      <c r="OB58" s="286">
        <f t="shared" si="727"/>
        <v>0</v>
      </c>
      <c r="OC58" s="286">
        <f t="shared" si="728"/>
        <v>0</v>
      </c>
      <c r="OD58" s="286">
        <f t="shared" si="729"/>
        <v>0</v>
      </c>
      <c r="OE58" s="282">
        <f t="shared" si="730"/>
        <v>0</v>
      </c>
      <c r="OF58" s="282">
        <f t="shared" si="731"/>
        <v>0</v>
      </c>
      <c r="OG58" s="286">
        <f t="shared" si="732"/>
        <v>0</v>
      </c>
      <c r="OH58" s="286">
        <f t="shared" si="733"/>
        <v>0</v>
      </c>
      <c r="OI58" s="286">
        <f t="shared" si="734"/>
        <v>0</v>
      </c>
      <c r="OJ58" s="286">
        <f t="shared" si="735"/>
        <v>0</v>
      </c>
      <c r="OK58" s="286">
        <f t="shared" si="736"/>
        <v>0</v>
      </c>
      <c r="OL58" s="286">
        <f t="shared" si="737"/>
        <v>0</v>
      </c>
      <c r="OM58" s="286">
        <f t="shared" si="738"/>
        <v>0</v>
      </c>
      <c r="ON58" s="286">
        <f t="shared" si="739"/>
        <v>0</v>
      </c>
      <c r="OO58" s="286">
        <f t="shared" si="740"/>
        <v>0</v>
      </c>
      <c r="OP58" s="434">
        <f t="shared" si="741"/>
        <v>0</v>
      </c>
      <c r="OQ58" s="434">
        <f t="shared" si="742"/>
        <v>0</v>
      </c>
      <c r="OR58" s="282">
        <f t="shared" si="743"/>
        <v>0</v>
      </c>
      <c r="OS58" s="282">
        <f t="shared" si="744"/>
        <v>0</v>
      </c>
      <c r="OT58" s="282">
        <f t="shared" si="745"/>
        <v>0</v>
      </c>
      <c r="OU58" s="282">
        <f t="shared" si="746"/>
        <v>0</v>
      </c>
      <c r="OV58" s="282">
        <f t="shared" si="747"/>
        <v>0</v>
      </c>
      <c r="OW58" s="286">
        <f t="shared" si="748"/>
        <v>0</v>
      </c>
      <c r="OX58" s="286">
        <f t="shared" si="749"/>
        <v>0</v>
      </c>
      <c r="OY58" s="286">
        <f t="shared" si="750"/>
        <v>0</v>
      </c>
      <c r="OZ58" s="286">
        <f t="shared" si="751"/>
        <v>0</v>
      </c>
      <c r="PA58" s="286">
        <f t="shared" si="752"/>
        <v>0</v>
      </c>
      <c r="PB58" s="286">
        <f t="shared" si="753"/>
        <v>0</v>
      </c>
      <c r="PC58" s="286">
        <f t="shared" si="754"/>
        <v>0</v>
      </c>
      <c r="PD58" s="282">
        <f t="shared" si="755"/>
        <v>0</v>
      </c>
      <c r="PE58" s="282">
        <f t="shared" si="756"/>
        <v>0</v>
      </c>
      <c r="PF58" s="286">
        <f t="shared" si="757"/>
        <v>0</v>
      </c>
      <c r="PG58" s="286">
        <f t="shared" si="758"/>
        <v>0</v>
      </c>
      <c r="PH58" s="286">
        <f t="shared" si="759"/>
        <v>0</v>
      </c>
      <c r="PI58" s="286">
        <f t="shared" si="760"/>
        <v>0</v>
      </c>
      <c r="PJ58" s="286">
        <f t="shared" si="761"/>
        <v>0</v>
      </c>
      <c r="PK58" s="286">
        <f t="shared" si="762"/>
        <v>0</v>
      </c>
      <c r="PL58" s="286">
        <f t="shared" si="763"/>
        <v>0</v>
      </c>
      <c r="PM58" s="562">
        <v>2</v>
      </c>
      <c r="PN58" s="283"/>
      <c r="PO58" s="283"/>
    </row>
    <row r="59" spans="1:431" s="283" customFormat="1" ht="15.75" customHeight="1">
      <c r="A59" s="1935" t="s">
        <v>958</v>
      </c>
      <c r="B59" s="1040" t="str">
        <f>VLOOKUP(A59,'Area (&amp;golfacre for lookup)'!$A$2:$B$162,2,FALSE)</f>
        <v>SE exc BOCA</v>
      </c>
      <c r="C59" s="1936"/>
      <c r="D59" s="1937">
        <v>44926</v>
      </c>
      <c r="E59" s="402"/>
      <c r="F59" s="1936">
        <v>1</v>
      </c>
      <c r="G59" s="1936">
        <v>1</v>
      </c>
      <c r="H59" s="1936">
        <v>981</v>
      </c>
      <c r="I59" s="1936">
        <v>500</v>
      </c>
      <c r="J59" s="1936">
        <v>1481</v>
      </c>
      <c r="K59" s="1938">
        <v>1357.980379689345</v>
      </c>
      <c r="L59" s="1939" t="s">
        <v>1208</v>
      </c>
      <c r="M59" s="1939" t="s">
        <v>1208</v>
      </c>
      <c r="N59" s="1939" t="s">
        <v>1208</v>
      </c>
      <c r="O59" s="1939" t="s">
        <v>1208</v>
      </c>
      <c r="P59" s="1939" t="s">
        <v>1208</v>
      </c>
      <c r="Q59" s="1936">
        <v>68000</v>
      </c>
      <c r="R59" s="1936">
        <v>97000</v>
      </c>
      <c r="S59" s="1936">
        <v>165000</v>
      </c>
      <c r="T59" s="1939" t="s">
        <v>1208</v>
      </c>
      <c r="U59" s="1939" t="s">
        <v>1208</v>
      </c>
      <c r="V59" s="1939" t="s">
        <v>1208</v>
      </c>
      <c r="W59" s="1936">
        <v>23675</v>
      </c>
      <c r="X59" s="1936">
        <v>22018</v>
      </c>
      <c r="Y59" s="1939" t="s">
        <v>1208</v>
      </c>
      <c r="Z59" s="1939" t="s">
        <v>1208</v>
      </c>
      <c r="AA59" s="1936">
        <v>1657</v>
      </c>
      <c r="AB59" s="1362">
        <v>7.5256608229630303E-2</v>
      </c>
      <c r="AC59" s="1939" t="s">
        <v>1208</v>
      </c>
      <c r="AD59" s="1363" t="s">
        <v>1208</v>
      </c>
      <c r="AE59" s="1936">
        <v>1</v>
      </c>
      <c r="AF59" s="1936">
        <v>2687</v>
      </c>
      <c r="AG59" s="1939" t="s">
        <v>1208</v>
      </c>
      <c r="AH59" s="1936">
        <v>0</v>
      </c>
      <c r="AI59" s="1936">
        <v>0</v>
      </c>
      <c r="AJ59" s="1939" t="s">
        <v>1208</v>
      </c>
      <c r="AK59" s="1938">
        <v>1</v>
      </c>
      <c r="AL59" s="1938">
        <v>1500</v>
      </c>
      <c r="AM59" s="1936">
        <v>26205</v>
      </c>
      <c r="AN59" s="1939" t="s">
        <v>1208</v>
      </c>
      <c r="AO59" s="1936">
        <v>0</v>
      </c>
      <c r="AP59" s="1936">
        <v>0</v>
      </c>
      <c r="AQ59" s="1936">
        <v>26205</v>
      </c>
      <c r="AR59" s="1939" t="s">
        <v>1208</v>
      </c>
      <c r="AS59" s="1363" t="s">
        <v>1208</v>
      </c>
      <c r="AT59" s="1363" t="s">
        <v>1208</v>
      </c>
      <c r="AU59" s="1363" t="s">
        <v>1208</v>
      </c>
      <c r="AV59" s="1363" t="s">
        <v>1208</v>
      </c>
      <c r="AW59" s="1363" t="s">
        <v>1291</v>
      </c>
      <c r="AX59" s="1938">
        <v>1</v>
      </c>
      <c r="AY59" s="1938">
        <v>0</v>
      </c>
      <c r="AZ59" s="1938">
        <v>1</v>
      </c>
      <c r="BA59" s="1938">
        <v>0</v>
      </c>
      <c r="BB59" s="1938">
        <v>0</v>
      </c>
      <c r="BC59" s="1938">
        <v>0</v>
      </c>
      <c r="BD59" s="1938">
        <v>0</v>
      </c>
      <c r="BE59" s="1936">
        <v>1</v>
      </c>
      <c r="BF59" s="1936">
        <v>19000000</v>
      </c>
      <c r="BG59" s="1936">
        <v>4222000</v>
      </c>
      <c r="BH59" s="1936">
        <v>23222000</v>
      </c>
      <c r="BI59" s="1938">
        <v>89055497</v>
      </c>
      <c r="BJ59" s="1936">
        <v>10785609</v>
      </c>
      <c r="BK59" s="1936">
        <v>6048637</v>
      </c>
      <c r="BL59" s="1362">
        <v>1.7831470131204765</v>
      </c>
      <c r="BM59" s="1936">
        <v>1</v>
      </c>
      <c r="BN59" s="1936">
        <v>29655272</v>
      </c>
      <c r="BO59" s="1363" t="s">
        <v>1208</v>
      </c>
      <c r="BP59" s="1938">
        <v>25106966</v>
      </c>
      <c r="BQ59" s="1938">
        <v>9826972</v>
      </c>
      <c r="BR59" s="1940">
        <v>2.554903585763753</v>
      </c>
      <c r="BS59" s="1409">
        <v>1</v>
      </c>
      <c r="BT59" s="1938">
        <v>35435244</v>
      </c>
      <c r="BU59" s="1938">
        <v>79160693</v>
      </c>
      <c r="BV59" s="1940">
        <v>0.44763685936908104</v>
      </c>
      <c r="BW59" s="1936">
        <v>21837.776483032852</v>
      </c>
      <c r="BX59" s="1936">
        <v>7942.3894198437119</v>
      </c>
      <c r="BY59" s="1936">
        <v>17100.394340978863</v>
      </c>
      <c r="BZ59" s="1936">
        <v>3056071</v>
      </c>
      <c r="CA59" s="1936">
        <v>2269117</v>
      </c>
      <c r="CB59" s="1936">
        <v>1162594</v>
      </c>
      <c r="CC59" s="1936">
        <v>0</v>
      </c>
      <c r="CD59" s="1936">
        <v>29900012</v>
      </c>
      <c r="CE59" s="1936">
        <v>0</v>
      </c>
      <c r="CF59" s="1936">
        <v>0</v>
      </c>
      <c r="CG59" s="1936">
        <v>4865787</v>
      </c>
      <c r="CH59" s="1936">
        <v>1016666</v>
      </c>
      <c r="CI59" s="1936">
        <v>45087</v>
      </c>
      <c r="CJ59" s="1936">
        <v>42315334</v>
      </c>
      <c r="CK59" s="1366">
        <v>7.2221360701064066E-2</v>
      </c>
      <c r="CL59" s="1366">
        <v>5.3623988883084318E-2</v>
      </c>
      <c r="CM59" s="1366">
        <v>2.747453204552279E-2</v>
      </c>
      <c r="CN59" s="1366">
        <v>0</v>
      </c>
      <c r="CO59" s="1366">
        <v>0.70659992899973334</v>
      </c>
      <c r="CP59" s="1366">
        <v>0</v>
      </c>
      <c r="CQ59" s="1366">
        <v>0</v>
      </c>
      <c r="CR59" s="1366">
        <v>0.11498874143354275</v>
      </c>
      <c r="CS59" s="1366">
        <v>2.4025947662376954E-2</v>
      </c>
      <c r="CT59" s="1366">
        <v>1.065500274675842E-3</v>
      </c>
      <c r="CU59" s="1366">
        <v>1</v>
      </c>
      <c r="CV59" s="1936">
        <v>21268043</v>
      </c>
      <c r="CW59" s="1936">
        <v>3693599</v>
      </c>
      <c r="CX59" s="1936">
        <v>1375433</v>
      </c>
      <c r="CY59" s="1936">
        <v>12922377</v>
      </c>
      <c r="CZ59" s="1936">
        <v>1073151</v>
      </c>
      <c r="DA59" s="1936">
        <v>1174271</v>
      </c>
      <c r="DB59" s="1936">
        <v>41506874</v>
      </c>
      <c r="DC59" s="1366">
        <v>0.51239809097644884</v>
      </c>
      <c r="DD59" s="1366">
        <v>8.8987645757182293E-2</v>
      </c>
      <c r="DE59" s="1366">
        <v>3.3137475011970306E-2</v>
      </c>
      <c r="DF59" s="1366">
        <v>0.31133100989489115</v>
      </c>
      <c r="DG59" s="1366">
        <v>2.5854777692967193E-2</v>
      </c>
      <c r="DH59" s="1366">
        <v>2.8291000666540198E-2</v>
      </c>
      <c r="DI59" s="1366">
        <v>1</v>
      </c>
      <c r="DJ59" s="1936">
        <v>808460</v>
      </c>
      <c r="DK59" s="1936">
        <v>2250.4529857044877</v>
      </c>
      <c r="DL59" s="1936">
        <v>1670.949767712468</v>
      </c>
      <c r="DM59" s="1936">
        <v>856.11988021944615</v>
      </c>
      <c r="DN59" s="1936">
        <v>0</v>
      </c>
      <c r="DO59" s="1936">
        <v>22018</v>
      </c>
      <c r="DP59" s="1936">
        <v>0</v>
      </c>
      <c r="DQ59" s="1936">
        <v>0</v>
      </c>
      <c r="DR59" s="1936">
        <v>3583.1055240379169</v>
      </c>
      <c r="DS59" s="1936">
        <v>748.6603011396785</v>
      </c>
      <c r="DT59" s="1936">
        <v>33.201510621467314</v>
      </c>
      <c r="DU59" s="1936">
        <v>31160.489969435464</v>
      </c>
      <c r="DV59" s="1936">
        <v>15661.524509555382</v>
      </c>
      <c r="DW59" s="1936">
        <v>2719.9207405669272</v>
      </c>
      <c r="DX59" s="1936">
        <v>1012.8518943069321</v>
      </c>
      <c r="DY59" s="1936">
        <v>9515.8790165702958</v>
      </c>
      <c r="DZ59" s="1936">
        <v>790.25515835913382</v>
      </c>
      <c r="EA59" s="1936">
        <v>864.71867897578102</v>
      </c>
      <c r="EB59" s="1936">
        <v>30565.149998334451</v>
      </c>
      <c r="EC59" s="1936">
        <v>595.33997110101495</v>
      </c>
      <c r="ED59" s="1941">
        <v>424</v>
      </c>
      <c r="EE59" s="1936">
        <v>1</v>
      </c>
      <c r="EF59" s="1936">
        <v>130</v>
      </c>
      <c r="EG59" s="1938">
        <v>1927000</v>
      </c>
      <c r="EH59" s="1938">
        <v>1</v>
      </c>
      <c r="EI59" s="1368">
        <v>7.0000000000000007E-2</v>
      </c>
      <c r="EJ59" s="1981">
        <v>3.2027839143616625</v>
      </c>
      <c r="EK59" s="1936">
        <v>0</v>
      </c>
      <c r="EL59" s="1936">
        <v>0</v>
      </c>
      <c r="EM59" s="1936">
        <v>0</v>
      </c>
      <c r="EN59" s="1362">
        <v>0</v>
      </c>
      <c r="EO59" s="1936">
        <v>0</v>
      </c>
      <c r="EP59" s="1936">
        <v>0</v>
      </c>
      <c r="EQ59" s="1936">
        <v>0</v>
      </c>
      <c r="ER59" s="1938">
        <v>1</v>
      </c>
      <c r="ES59" s="1936">
        <v>4331.7658251775956</v>
      </c>
      <c r="ET59" s="1936">
        <v>-4760.1343117186716</v>
      </c>
      <c r="EU59" s="1938">
        <v>3</v>
      </c>
      <c r="EV59" s="1936">
        <v>254292</v>
      </c>
      <c r="EW59" s="1936">
        <v>24635</v>
      </c>
      <c r="EX59" s="1938">
        <v>0</v>
      </c>
      <c r="EY59" s="1936">
        <v>4865787</v>
      </c>
      <c r="EZ59" s="1936">
        <v>3304788</v>
      </c>
      <c r="FA59" s="1936">
        <v>1560999</v>
      </c>
      <c r="FB59" s="1936">
        <v>1016666</v>
      </c>
      <c r="FC59" s="1936">
        <v>388811</v>
      </c>
      <c r="FD59" s="1936">
        <v>627855</v>
      </c>
      <c r="FE59" s="1936">
        <v>5882453</v>
      </c>
      <c r="FF59" s="1936">
        <v>3693599</v>
      </c>
      <c r="FG59" s="1936">
        <v>2188854</v>
      </c>
      <c r="FH59" s="1366">
        <v>1</v>
      </c>
      <c r="FI59" s="1366">
        <v>0.67918879309760172</v>
      </c>
      <c r="FJ59" s="1366">
        <v>0.32081120690239834</v>
      </c>
      <c r="FK59" s="1366">
        <v>1</v>
      </c>
      <c r="FL59" s="1366">
        <v>0.3824372999588852</v>
      </c>
      <c r="FM59" s="1366">
        <v>0.6175627000411148</v>
      </c>
      <c r="FN59" s="1366">
        <v>1</v>
      </c>
      <c r="FO59" s="1366">
        <v>0.6279011494014487</v>
      </c>
      <c r="FP59" s="1366">
        <v>0.3720988505985513</v>
      </c>
      <c r="FQ59" s="1936">
        <v>5928234</v>
      </c>
      <c r="FR59" s="1936">
        <v>0</v>
      </c>
      <c r="FS59" s="1936">
        <v>1172016</v>
      </c>
      <c r="FT59" s="1936">
        <v>1100</v>
      </c>
      <c r="FU59" s="1936">
        <v>218220</v>
      </c>
      <c r="FV59" s="1936">
        <v>48396</v>
      </c>
      <c r="FW59" s="1936">
        <v>1285057</v>
      </c>
      <c r="FX59" s="1936">
        <v>8653023</v>
      </c>
      <c r="FY59" s="1936">
        <v>-6464169</v>
      </c>
      <c r="FZ59" s="1366">
        <v>1.0077826376173342</v>
      </c>
      <c r="GA59" s="1366">
        <v>0</v>
      </c>
      <c r="GB59" s="1366">
        <v>0.19923933093898072</v>
      </c>
      <c r="GC59" s="1366">
        <v>1.8699681918410568E-4</v>
      </c>
      <c r="GD59" s="1366">
        <v>3.7096768983959583E-2</v>
      </c>
      <c r="GE59" s="1366">
        <v>8.2271800556672527E-3</v>
      </c>
      <c r="GF59" s="1366">
        <v>0.21845597406388118</v>
      </c>
      <c r="GG59" s="1366">
        <v>1.470988888479007</v>
      </c>
      <c r="GH59" s="1366">
        <v>-1.0988900378804556</v>
      </c>
      <c r="GI59" s="1942">
        <v>4.7860231383758283</v>
      </c>
      <c r="GJ59" s="1943">
        <v>1</v>
      </c>
      <c r="GK59" s="1371">
        <v>0.1</v>
      </c>
      <c r="GL59" s="1943">
        <v>0</v>
      </c>
      <c r="GM59" s="1371">
        <v>0</v>
      </c>
      <c r="GN59" s="1943">
        <v>0</v>
      </c>
      <c r="GO59" s="1985">
        <f>IF(GN59=0,0,VLOOKUP(A59,'Area (&amp;golfacre for lookup)'!$G$2:$H$133,2,FALSE))</f>
        <v>0</v>
      </c>
      <c r="GP59" s="1943">
        <v>0</v>
      </c>
      <c r="GQ59" s="1943">
        <v>0</v>
      </c>
      <c r="GR59" s="1943">
        <v>0</v>
      </c>
      <c r="GS59" s="1943">
        <v>0</v>
      </c>
      <c r="GT59" s="1943">
        <v>0</v>
      </c>
      <c r="GU59" s="1943">
        <v>0</v>
      </c>
      <c r="GV59" s="1943">
        <v>0</v>
      </c>
      <c r="GW59" s="1943">
        <v>0</v>
      </c>
      <c r="GX59" s="1936">
        <v>0</v>
      </c>
      <c r="GY59" s="1985">
        <f t="shared" si="764"/>
        <v>0</v>
      </c>
      <c r="GZ59" s="1936">
        <v>0</v>
      </c>
      <c r="HA59" s="1936">
        <v>0</v>
      </c>
      <c r="HB59" s="1936">
        <v>0</v>
      </c>
      <c r="HC59" s="1936">
        <v>0</v>
      </c>
      <c r="HD59" s="1936">
        <v>0</v>
      </c>
      <c r="HE59" s="1936">
        <v>0</v>
      </c>
      <c r="HF59" s="1936">
        <v>0</v>
      </c>
      <c r="HG59" s="1936">
        <v>54</v>
      </c>
      <c r="HH59" s="1988">
        <f>IF(HG59=0,0,VLOOKUP(A59,'Area (&amp;golfacre for lookup)'!$G$2:$H$134,2,FALSE))</f>
        <v>400</v>
      </c>
      <c r="HI59" s="1936">
        <v>92754</v>
      </c>
      <c r="HJ59" s="1936">
        <v>3202230</v>
      </c>
      <c r="HK59" s="1936">
        <v>473412</v>
      </c>
      <c r="HL59" s="1936">
        <v>2358330</v>
      </c>
      <c r="HM59" s="1936">
        <v>407004</v>
      </c>
      <c r="HN59" s="1936">
        <v>2712</v>
      </c>
      <c r="HO59" s="1936">
        <v>403671</v>
      </c>
      <c r="HP59" s="1936">
        <v>6847359</v>
      </c>
      <c r="HQ59" s="1936">
        <v>126802.94444444444</v>
      </c>
      <c r="HR59" s="1988">
        <f t="shared" si="765"/>
        <v>17118.397499999999</v>
      </c>
      <c r="HS59" s="1366">
        <v>0.4676591369022714</v>
      </c>
      <c r="HT59" s="1366">
        <v>6.9137896815399918E-2</v>
      </c>
      <c r="HU59" s="1366">
        <v>0.34441453997081212</v>
      </c>
      <c r="HV59" s="1366">
        <v>5.9439559105926826E-2</v>
      </c>
      <c r="HW59" s="1366">
        <v>3.9606511065069029E-4</v>
      </c>
      <c r="HX59" s="1366">
        <v>5.8952802094939083E-2</v>
      </c>
      <c r="HY59" s="1366">
        <v>1</v>
      </c>
      <c r="HZ59" s="51"/>
      <c r="IA59" s="59">
        <f t="shared" si="766"/>
        <v>0.41</v>
      </c>
      <c r="IB59" s="59"/>
      <c r="IC59" s="815">
        <f t="shared" si="581"/>
        <v>1</v>
      </c>
      <c r="ID59" s="815"/>
      <c r="IE59" s="284">
        <f t="shared" si="582"/>
        <v>0</v>
      </c>
      <c r="IF59" s="284"/>
      <c r="IG59" s="284">
        <f t="shared" si="583"/>
        <v>65579.369431222978</v>
      </c>
      <c r="IH59" s="284"/>
      <c r="II59" s="1288">
        <f t="shared" si="584"/>
        <v>2.554903585763753</v>
      </c>
      <c r="IJ59" s="1288">
        <f t="shared" si="585"/>
        <v>0</v>
      </c>
      <c r="IK59" s="284">
        <f t="shared" si="586"/>
        <v>1</v>
      </c>
      <c r="IL59" s="284">
        <f t="shared" si="587"/>
        <v>0</v>
      </c>
      <c r="IM59" s="284">
        <f t="shared" si="588"/>
        <v>0</v>
      </c>
      <c r="IN59" s="284">
        <f t="shared" si="589"/>
        <v>0</v>
      </c>
      <c r="IO59" s="753">
        <f t="shared" si="590"/>
        <v>-4364.7326130992569</v>
      </c>
      <c r="IP59" s="113">
        <f t="shared" si="591"/>
        <v>-4760.1343117186716</v>
      </c>
      <c r="IQ59" s="30">
        <f t="shared" si="592"/>
        <v>-0.21619285637744895</v>
      </c>
      <c r="IR59" s="438">
        <f t="shared" si="593"/>
        <v>4865787</v>
      </c>
      <c r="IS59" s="438">
        <f t="shared" si="594"/>
        <v>1016666</v>
      </c>
      <c r="IT59" s="438">
        <f t="shared" si="595"/>
        <v>5928234</v>
      </c>
      <c r="IU59" s="438">
        <f t="shared" si="596"/>
        <v>1173116</v>
      </c>
      <c r="IV59" s="438">
        <f t="shared" si="597"/>
        <v>3693599</v>
      </c>
      <c r="IW59" s="438">
        <f t="shared" si="598"/>
        <v>1551673</v>
      </c>
      <c r="IX59" s="285">
        <f t="shared" si="599"/>
        <v>0.82716971984306542</v>
      </c>
      <c r="IY59" s="285">
        <f t="shared" si="600"/>
        <v>0.17283028015693452</v>
      </c>
      <c r="IZ59" s="285">
        <f t="shared" si="601"/>
        <v>1.0077826376173342</v>
      </c>
      <c r="JA59" s="285">
        <f t="shared" si="602"/>
        <v>0.19942632775816482</v>
      </c>
      <c r="JB59" s="285">
        <f t="shared" si="603"/>
        <v>0.6279011494014487</v>
      </c>
      <c r="JC59" s="285">
        <f t="shared" si="604"/>
        <v>0.26377992310350801</v>
      </c>
      <c r="JD59" s="60">
        <f t="shared" si="605"/>
        <v>29900012</v>
      </c>
      <c r="JE59" s="60">
        <f t="shared" si="606"/>
        <v>6487782</v>
      </c>
      <c r="JF59" s="60">
        <f t="shared" si="607"/>
        <v>0</v>
      </c>
      <c r="JG59" s="60">
        <f t="shared" si="608"/>
        <v>2247422</v>
      </c>
      <c r="JH59" s="284">
        <f t="shared" si="609"/>
        <v>1</v>
      </c>
      <c r="JI59" s="284">
        <f t="shared" si="610"/>
        <v>1</v>
      </c>
      <c r="JJ59" s="560">
        <f t="shared" si="611"/>
        <v>1.1830725085455456</v>
      </c>
      <c r="JK59" s="561">
        <f t="shared" si="612"/>
        <v>0.50260841613586227</v>
      </c>
      <c r="JL59" s="561">
        <f t="shared" si="613"/>
        <v>8.7287483067013019E-2</v>
      </c>
      <c r="JM59" s="561">
        <f t="shared" si="614"/>
        <v>3.2504363548211623E-2</v>
      </c>
      <c r="JN59" s="561">
        <f t="shared" si="615"/>
        <v>0.30538284301383511</v>
      </c>
      <c r="JO59" s="561">
        <f t="shared" si="616"/>
        <v>2.5360806557736256E-2</v>
      </c>
      <c r="JP59" s="561">
        <f t="shared" si="617"/>
        <v>2.775048402075711E-2</v>
      </c>
      <c r="JQ59" s="561">
        <f t="shared" si="618"/>
        <v>0.98089439634341535</v>
      </c>
      <c r="JR59" s="61">
        <f t="shared" si="619"/>
        <v>0</v>
      </c>
      <c r="JS59" s="61">
        <f t="shared" si="620"/>
        <v>0</v>
      </c>
      <c r="JT59" s="61">
        <f t="shared" si="621"/>
        <v>0</v>
      </c>
      <c r="JU59" s="61">
        <f t="shared" si="622"/>
        <v>0</v>
      </c>
      <c r="JV59" s="61">
        <f t="shared" si="623"/>
        <v>0</v>
      </c>
      <c r="JW59" s="61">
        <f t="shared" si="624"/>
        <v>0</v>
      </c>
      <c r="JX59" s="61">
        <f t="shared" si="625"/>
        <v>0</v>
      </c>
      <c r="JY59" s="394">
        <f t="shared" si="626"/>
        <v>0</v>
      </c>
      <c r="JZ59" s="61">
        <f t="shared" si="627"/>
        <v>59300.555555555555</v>
      </c>
      <c r="KA59" s="61">
        <f t="shared" si="628"/>
        <v>8766.8888888888887</v>
      </c>
      <c r="KB59" s="61">
        <f t="shared" si="629"/>
        <v>43672.777777777781</v>
      </c>
      <c r="KC59" s="61">
        <f t="shared" si="630"/>
        <v>7537.1111111111113</v>
      </c>
      <c r="KD59" s="61">
        <f t="shared" si="631"/>
        <v>50.222222222222221</v>
      </c>
      <c r="KE59" s="61">
        <f t="shared" si="632"/>
        <v>7475.3888888888887</v>
      </c>
      <c r="KF59" s="61">
        <f t="shared" si="633"/>
        <v>30900</v>
      </c>
      <c r="KG59" s="61">
        <f t="shared" si="634"/>
        <v>266.66666666666669</v>
      </c>
      <c r="KH59" s="61">
        <f t="shared" si="635"/>
        <v>73.822789313668409</v>
      </c>
      <c r="KI59" s="394">
        <f t="shared" si="636"/>
        <v>0.16496927713708337</v>
      </c>
      <c r="KJ59" s="438">
        <f t="shared" si="637"/>
        <v>54</v>
      </c>
      <c r="KK59" s="438">
        <f t="shared" si="638"/>
        <v>92754</v>
      </c>
      <c r="KL59" s="438">
        <f t="shared" si="639"/>
        <v>400</v>
      </c>
      <c r="KM59" s="438">
        <f t="shared" si="640"/>
        <v>126802.94444444444</v>
      </c>
      <c r="KN59" s="438">
        <f t="shared" si="641"/>
        <v>73.822789313668409</v>
      </c>
      <c r="KO59" s="438">
        <f t="shared" si="642"/>
        <v>17118.397499999999</v>
      </c>
      <c r="KP59" s="438">
        <f t="shared" si="643"/>
        <v>3202230</v>
      </c>
      <c r="KQ59" s="438">
        <f t="shared" si="644"/>
        <v>473412</v>
      </c>
      <c r="KR59" s="438">
        <f t="shared" si="645"/>
        <v>2358330</v>
      </c>
      <c r="KS59" s="438">
        <f t="shared" si="646"/>
        <v>407004</v>
      </c>
      <c r="KT59" s="438">
        <f t="shared" si="647"/>
        <v>2712</v>
      </c>
      <c r="KU59" s="438">
        <f t="shared" si="648"/>
        <v>403671</v>
      </c>
      <c r="KV59" s="420">
        <f t="shared" si="649"/>
        <v>0.16496927713708337</v>
      </c>
      <c r="KW59" s="420">
        <f t="shared" si="650"/>
        <v>-0.21550787337476654</v>
      </c>
      <c r="KX59" s="108"/>
      <c r="KY59" s="282">
        <f t="shared" si="651"/>
        <v>0</v>
      </c>
      <c r="KZ59" s="282"/>
      <c r="LA59" s="282">
        <f t="shared" si="652"/>
        <v>0</v>
      </c>
      <c r="LB59" s="282"/>
      <c r="LC59" s="286">
        <f t="shared" si="653"/>
        <v>0</v>
      </c>
      <c r="LD59" s="286"/>
      <c r="LE59" s="282">
        <f t="shared" si="654"/>
        <v>0</v>
      </c>
      <c r="LF59" s="282"/>
      <c r="LG59" s="282">
        <f t="shared" si="655"/>
        <v>0</v>
      </c>
      <c r="LH59" s="282">
        <f t="shared" si="656"/>
        <v>0</v>
      </c>
      <c r="LI59" s="282">
        <f t="shared" si="657"/>
        <v>0</v>
      </c>
      <c r="LJ59" s="282">
        <f t="shared" si="658"/>
        <v>0</v>
      </c>
      <c r="LK59" s="282"/>
      <c r="LL59" s="282">
        <f t="shared" si="659"/>
        <v>0</v>
      </c>
      <c r="LM59" s="282">
        <f t="shared" si="660"/>
        <v>0</v>
      </c>
      <c r="LN59" s="282">
        <f t="shared" si="661"/>
        <v>0</v>
      </c>
      <c r="LO59" s="282">
        <f t="shared" si="662"/>
        <v>0</v>
      </c>
      <c r="LP59" s="286">
        <f t="shared" si="663"/>
        <v>0</v>
      </c>
      <c r="LQ59" s="282">
        <f t="shared" si="664"/>
        <v>0</v>
      </c>
      <c r="LR59" s="282">
        <f t="shared" si="665"/>
        <v>0</v>
      </c>
      <c r="LS59" s="282">
        <f t="shared" si="666"/>
        <v>0</v>
      </c>
      <c r="LT59" s="286">
        <f t="shared" si="667"/>
        <v>0</v>
      </c>
      <c r="LU59" s="286">
        <f t="shared" si="668"/>
        <v>0</v>
      </c>
      <c r="LV59" s="286">
        <f t="shared" si="669"/>
        <v>0</v>
      </c>
      <c r="LW59" s="286">
        <f t="shared" si="670"/>
        <v>0</v>
      </c>
      <c r="LX59" s="286">
        <f t="shared" si="671"/>
        <v>0</v>
      </c>
      <c r="LY59" s="286">
        <f t="shared" si="672"/>
        <v>0</v>
      </c>
      <c r="LZ59" s="286">
        <f t="shared" si="673"/>
        <v>0</v>
      </c>
      <c r="MA59" s="286">
        <f t="shared" si="674"/>
        <v>0</v>
      </c>
      <c r="MB59" s="286">
        <f t="shared" si="675"/>
        <v>0</v>
      </c>
      <c r="MC59" s="286">
        <f t="shared" si="676"/>
        <v>0</v>
      </c>
      <c r="MD59" s="286">
        <f t="shared" si="677"/>
        <v>0</v>
      </c>
      <c r="ME59" s="286">
        <f t="shared" si="678"/>
        <v>0</v>
      </c>
      <c r="MF59" s="286">
        <f t="shared" si="679"/>
        <v>0</v>
      </c>
      <c r="MG59" s="286">
        <f t="shared" si="680"/>
        <v>0</v>
      </c>
      <c r="MH59" s="286">
        <f t="shared" si="681"/>
        <v>0</v>
      </c>
      <c r="MI59" s="286">
        <f t="shared" si="682"/>
        <v>0</v>
      </c>
      <c r="MJ59" s="286">
        <f t="shared" si="683"/>
        <v>0</v>
      </c>
      <c r="MK59" s="286">
        <f t="shared" si="684"/>
        <v>0</v>
      </c>
      <c r="ML59" s="282">
        <f t="shared" si="685"/>
        <v>0</v>
      </c>
      <c r="MM59" s="1232">
        <f t="shared" si="686"/>
        <v>0</v>
      </c>
      <c r="MN59" s="1232">
        <f t="shared" si="687"/>
        <v>0</v>
      </c>
      <c r="MO59" s="1232">
        <f t="shared" si="688"/>
        <v>0</v>
      </c>
      <c r="MP59" s="1232">
        <f t="shared" si="689"/>
        <v>0</v>
      </c>
      <c r="MQ59" s="282">
        <f t="shared" si="690"/>
        <v>0</v>
      </c>
      <c r="MR59" s="282">
        <f t="shared" si="691"/>
        <v>0</v>
      </c>
      <c r="MS59" s="282">
        <f t="shared" si="692"/>
        <v>0</v>
      </c>
      <c r="MT59" s="282">
        <f t="shared" si="693"/>
        <v>0</v>
      </c>
      <c r="MU59" s="282">
        <f t="shared" si="694"/>
        <v>0</v>
      </c>
      <c r="MV59" s="282">
        <f t="shared" si="695"/>
        <v>0</v>
      </c>
      <c r="MW59" s="282">
        <f t="shared" si="696"/>
        <v>0</v>
      </c>
      <c r="MX59" s="282">
        <f t="shared" si="697"/>
        <v>0</v>
      </c>
      <c r="MY59" s="282">
        <f t="shared" si="698"/>
        <v>0</v>
      </c>
      <c r="MZ59" s="282">
        <f t="shared" si="699"/>
        <v>0</v>
      </c>
      <c r="NA59" s="282">
        <f t="shared" si="700"/>
        <v>0</v>
      </c>
      <c r="NB59" s="282">
        <f t="shared" si="701"/>
        <v>0</v>
      </c>
      <c r="NC59" s="282">
        <f t="shared" si="702"/>
        <v>0</v>
      </c>
      <c r="ND59" s="282">
        <f t="shared" si="703"/>
        <v>0</v>
      </c>
      <c r="NE59" s="282">
        <f t="shared" si="704"/>
        <v>0</v>
      </c>
      <c r="NF59" s="282">
        <f t="shared" si="705"/>
        <v>0</v>
      </c>
      <c r="NG59" s="282">
        <f t="shared" si="706"/>
        <v>0</v>
      </c>
      <c r="NH59" s="282">
        <f t="shared" si="707"/>
        <v>0</v>
      </c>
      <c r="NI59" s="282">
        <f t="shared" si="708"/>
        <v>0</v>
      </c>
      <c r="NJ59" s="282">
        <f t="shared" si="709"/>
        <v>0</v>
      </c>
      <c r="NK59" s="282">
        <f t="shared" si="710"/>
        <v>0</v>
      </c>
      <c r="NL59" s="282">
        <f t="shared" si="711"/>
        <v>0</v>
      </c>
      <c r="NM59" s="1205">
        <f t="shared" si="712"/>
        <v>0</v>
      </c>
      <c r="NN59" s="282">
        <f t="shared" si="713"/>
        <v>0</v>
      </c>
      <c r="NO59" s="282">
        <f t="shared" si="714"/>
        <v>0</v>
      </c>
      <c r="NP59" s="282">
        <f t="shared" si="715"/>
        <v>0</v>
      </c>
      <c r="NQ59" s="282">
        <f t="shared" si="716"/>
        <v>0</v>
      </c>
      <c r="NR59" s="282">
        <f t="shared" si="717"/>
        <v>0</v>
      </c>
      <c r="NS59" s="282">
        <f t="shared" si="718"/>
        <v>0</v>
      </c>
      <c r="NT59" s="282">
        <f t="shared" si="719"/>
        <v>0</v>
      </c>
      <c r="NU59" s="282">
        <f t="shared" si="720"/>
        <v>0</v>
      </c>
      <c r="NV59" s="286">
        <f t="shared" si="721"/>
        <v>0</v>
      </c>
      <c r="NW59" s="286">
        <f t="shared" si="722"/>
        <v>0</v>
      </c>
      <c r="NX59" s="286">
        <f t="shared" si="723"/>
        <v>0</v>
      </c>
      <c r="NY59" s="286">
        <f t="shared" si="724"/>
        <v>0</v>
      </c>
      <c r="NZ59" s="286">
        <f t="shared" si="725"/>
        <v>0</v>
      </c>
      <c r="OA59" s="286">
        <f t="shared" si="726"/>
        <v>0</v>
      </c>
      <c r="OB59" s="286">
        <f t="shared" si="727"/>
        <v>0</v>
      </c>
      <c r="OC59" s="286">
        <f t="shared" si="728"/>
        <v>0</v>
      </c>
      <c r="OD59" s="286">
        <f t="shared" si="729"/>
        <v>0</v>
      </c>
      <c r="OE59" s="282">
        <f t="shared" si="730"/>
        <v>0</v>
      </c>
      <c r="OF59" s="282">
        <f t="shared" si="731"/>
        <v>0</v>
      </c>
      <c r="OG59" s="286">
        <f t="shared" si="732"/>
        <v>0</v>
      </c>
      <c r="OH59" s="286">
        <f t="shared" si="733"/>
        <v>0</v>
      </c>
      <c r="OI59" s="286">
        <f t="shared" si="734"/>
        <v>0</v>
      </c>
      <c r="OJ59" s="286">
        <f t="shared" si="735"/>
        <v>0</v>
      </c>
      <c r="OK59" s="286">
        <f t="shared" si="736"/>
        <v>0</v>
      </c>
      <c r="OL59" s="286">
        <f t="shared" si="737"/>
        <v>0</v>
      </c>
      <c r="OM59" s="286">
        <f t="shared" si="738"/>
        <v>0</v>
      </c>
      <c r="ON59" s="286">
        <f t="shared" si="739"/>
        <v>0</v>
      </c>
      <c r="OO59" s="286">
        <f t="shared" si="740"/>
        <v>0</v>
      </c>
      <c r="OP59" s="434">
        <f t="shared" si="741"/>
        <v>0</v>
      </c>
      <c r="OQ59" s="434">
        <f t="shared" si="742"/>
        <v>0</v>
      </c>
      <c r="OR59" s="282">
        <f t="shared" si="743"/>
        <v>0</v>
      </c>
      <c r="OS59" s="282">
        <f t="shared" si="744"/>
        <v>0</v>
      </c>
      <c r="OT59" s="282">
        <f t="shared" si="745"/>
        <v>0</v>
      </c>
      <c r="OU59" s="282">
        <f t="shared" si="746"/>
        <v>0</v>
      </c>
      <c r="OV59" s="282">
        <f t="shared" si="747"/>
        <v>0</v>
      </c>
      <c r="OW59" s="286">
        <f t="shared" si="748"/>
        <v>0</v>
      </c>
      <c r="OX59" s="286">
        <f t="shared" si="749"/>
        <v>0</v>
      </c>
      <c r="OY59" s="286">
        <f t="shared" si="750"/>
        <v>0</v>
      </c>
      <c r="OZ59" s="286">
        <f t="shared" si="751"/>
        <v>0</v>
      </c>
      <c r="PA59" s="286">
        <f t="shared" si="752"/>
        <v>0</v>
      </c>
      <c r="PB59" s="286">
        <f t="shared" si="753"/>
        <v>0</v>
      </c>
      <c r="PC59" s="286">
        <f t="shared" si="754"/>
        <v>0</v>
      </c>
      <c r="PD59" s="282">
        <f t="shared" si="755"/>
        <v>0</v>
      </c>
      <c r="PE59" s="282">
        <f t="shared" si="756"/>
        <v>0</v>
      </c>
      <c r="PF59" s="286">
        <f t="shared" si="757"/>
        <v>0</v>
      </c>
      <c r="PG59" s="286">
        <f t="shared" si="758"/>
        <v>0</v>
      </c>
      <c r="PH59" s="286">
        <f t="shared" si="759"/>
        <v>0</v>
      </c>
      <c r="PI59" s="286">
        <f t="shared" si="760"/>
        <v>0</v>
      </c>
      <c r="PJ59" s="286">
        <f t="shared" si="761"/>
        <v>0</v>
      </c>
      <c r="PK59" s="286">
        <f t="shared" si="762"/>
        <v>0</v>
      </c>
      <c r="PL59" s="286">
        <f t="shared" si="763"/>
        <v>0</v>
      </c>
      <c r="PM59" s="562">
        <v>3</v>
      </c>
    </row>
    <row r="60" spans="1:431" s="283" customFormat="1" ht="15.75" customHeight="1">
      <c r="A60" s="1935" t="s">
        <v>1406</v>
      </c>
      <c r="B60" s="1040" t="str">
        <f>VLOOKUP(A60,'Area (&amp;golfacre for lookup)'!$A$2:$B$162,2,FALSE)</f>
        <v>SE exc BOCA</v>
      </c>
      <c r="C60" s="1409" t="s">
        <v>2158</v>
      </c>
      <c r="D60" s="1937">
        <v>44865</v>
      </c>
      <c r="E60" s="402"/>
      <c r="F60" s="1936">
        <v>1</v>
      </c>
      <c r="G60" s="1936">
        <v>0</v>
      </c>
      <c r="H60" s="1936">
        <v>270</v>
      </c>
      <c r="I60" s="1936">
        <v>124</v>
      </c>
      <c r="J60" s="1936">
        <v>394</v>
      </c>
      <c r="K60" s="1938">
        <v>305.7275616438356</v>
      </c>
      <c r="L60" s="1939" t="s">
        <v>1208</v>
      </c>
      <c r="M60" s="1939" t="s">
        <v>1208</v>
      </c>
      <c r="N60" s="1939" t="s">
        <v>1208</v>
      </c>
      <c r="O60" s="1939" t="s">
        <v>1208</v>
      </c>
      <c r="P60" s="1939" t="s">
        <v>1208</v>
      </c>
      <c r="Q60" s="1936">
        <v>0</v>
      </c>
      <c r="R60" s="1936">
        <v>125000</v>
      </c>
      <c r="S60" s="1936">
        <v>125000</v>
      </c>
      <c r="T60" s="1939" t="s">
        <v>1208</v>
      </c>
      <c r="U60" s="1939" t="s">
        <v>1208</v>
      </c>
      <c r="V60" s="1939" t="s">
        <v>1208</v>
      </c>
      <c r="W60" s="1936">
        <v>18980</v>
      </c>
      <c r="X60" s="1936">
        <v>18250</v>
      </c>
      <c r="Y60" s="1939" t="s">
        <v>1208</v>
      </c>
      <c r="Z60" s="1939" t="s">
        <v>1208</v>
      </c>
      <c r="AA60" s="1936">
        <v>730</v>
      </c>
      <c r="AB60" s="1362">
        <v>0.04</v>
      </c>
      <c r="AC60" s="1939" t="s">
        <v>1208</v>
      </c>
      <c r="AD60" s="1363" t="s">
        <v>1208</v>
      </c>
      <c r="AE60" s="1936">
        <v>1</v>
      </c>
      <c r="AF60" s="1936">
        <v>2400</v>
      </c>
      <c r="AG60" s="1939" t="s">
        <v>1208</v>
      </c>
      <c r="AH60" s="1936">
        <v>0</v>
      </c>
      <c r="AI60" s="1936">
        <v>0</v>
      </c>
      <c r="AJ60" s="1939" t="s">
        <v>1208</v>
      </c>
      <c r="AK60" s="1938">
        <v>1</v>
      </c>
      <c r="AL60" s="1938">
        <v>1800</v>
      </c>
      <c r="AM60" s="1936">
        <v>22450</v>
      </c>
      <c r="AN60" s="1939" t="s">
        <v>1208</v>
      </c>
      <c r="AO60" s="1936">
        <v>0</v>
      </c>
      <c r="AP60" s="1936">
        <v>0</v>
      </c>
      <c r="AQ60" s="1936">
        <v>22450</v>
      </c>
      <c r="AR60" s="1939" t="s">
        <v>1208</v>
      </c>
      <c r="AS60" s="1363" t="s">
        <v>1208</v>
      </c>
      <c r="AT60" s="1363" t="s">
        <v>1208</v>
      </c>
      <c r="AU60" s="1363" t="s">
        <v>1208</v>
      </c>
      <c r="AV60" s="1363" t="s">
        <v>1208</v>
      </c>
      <c r="AW60" s="1363" t="s">
        <v>1291</v>
      </c>
      <c r="AX60" s="1938">
        <v>0</v>
      </c>
      <c r="AY60" s="1938">
        <v>0</v>
      </c>
      <c r="AZ60" s="1938">
        <v>0</v>
      </c>
      <c r="BA60" s="1938">
        <v>0</v>
      </c>
      <c r="BB60" s="1938">
        <v>0</v>
      </c>
      <c r="BC60" s="1938">
        <v>0</v>
      </c>
      <c r="BD60" s="1938">
        <v>0</v>
      </c>
      <c r="BE60" s="1936">
        <v>1</v>
      </c>
      <c r="BF60" s="1936">
        <v>3750000</v>
      </c>
      <c r="BG60" s="1936">
        <v>750000</v>
      </c>
      <c r="BH60" s="1936">
        <v>4500000</v>
      </c>
      <c r="BI60" s="1938">
        <v>5839196</v>
      </c>
      <c r="BJ60" s="1936">
        <v>2268634</v>
      </c>
      <c r="BK60" s="1936">
        <v>829891</v>
      </c>
      <c r="BL60" s="1362">
        <v>2.7336529737037756</v>
      </c>
      <c r="BM60" s="1936">
        <v>1</v>
      </c>
      <c r="BN60" s="1936">
        <v>1976786</v>
      </c>
      <c r="BO60" s="1363" t="s">
        <v>1208</v>
      </c>
      <c r="BP60" s="1938">
        <v>2872735</v>
      </c>
      <c r="BQ60" s="1938">
        <v>4716403</v>
      </c>
      <c r="BR60" s="1940">
        <v>0.60909447305499553</v>
      </c>
      <c r="BS60" s="1409">
        <v>0</v>
      </c>
      <c r="BT60" s="1938">
        <v>6536334</v>
      </c>
      <c r="BU60" s="1938">
        <v>5775570</v>
      </c>
      <c r="BV60" s="1940">
        <v>1.1317210249377982</v>
      </c>
      <c r="BW60" s="1936">
        <v>6465.8416446695855</v>
      </c>
      <c r="BX60" s="1936">
        <v>7420.4431808568761</v>
      </c>
      <c r="BY60" s="1936">
        <v>14718.986982411416</v>
      </c>
      <c r="BZ60" s="1936">
        <v>1088289</v>
      </c>
      <c r="CA60" s="1936">
        <v>0</v>
      </c>
      <c r="CB60" s="1936">
        <v>0</v>
      </c>
      <c r="CC60" s="1936">
        <v>96710</v>
      </c>
      <c r="CD60" s="1936">
        <v>5579528</v>
      </c>
      <c r="CE60" s="1936">
        <v>0</v>
      </c>
      <c r="CF60" s="1936">
        <v>0</v>
      </c>
      <c r="CG60" s="1936">
        <v>537921</v>
      </c>
      <c r="CH60" s="1936">
        <v>79466</v>
      </c>
      <c r="CI60" s="1936">
        <v>22015</v>
      </c>
      <c r="CJ60" s="1936">
        <v>7403929</v>
      </c>
      <c r="CK60" s="1366">
        <v>0.14698803837800173</v>
      </c>
      <c r="CL60" s="1366">
        <v>0</v>
      </c>
      <c r="CM60" s="1366">
        <v>0</v>
      </c>
      <c r="CN60" s="1366">
        <v>1.3061983711621221E-2</v>
      </c>
      <c r="CO60" s="1366">
        <v>0.75359015463276324</v>
      </c>
      <c r="CP60" s="1366">
        <v>0</v>
      </c>
      <c r="CQ60" s="1366">
        <v>0</v>
      </c>
      <c r="CR60" s="1366">
        <v>7.2653451971243913E-2</v>
      </c>
      <c r="CS60" s="1366">
        <v>1.0732950032340937E-2</v>
      </c>
      <c r="CT60" s="1366">
        <v>2.9734212740289648E-3</v>
      </c>
      <c r="CU60" s="1366">
        <v>1</v>
      </c>
      <c r="CV60" s="1936">
        <v>3682189</v>
      </c>
      <c r="CW60" s="1936">
        <v>318433</v>
      </c>
      <c r="CX60" s="1936">
        <v>0</v>
      </c>
      <c r="CY60" s="1936">
        <v>2750084</v>
      </c>
      <c r="CZ60" s="1936">
        <v>156360</v>
      </c>
      <c r="DA60" s="1936">
        <v>307583</v>
      </c>
      <c r="DB60" s="1936">
        <v>7214649</v>
      </c>
      <c r="DC60" s="1366">
        <v>0.51037673489035984</v>
      </c>
      <c r="DD60" s="1366">
        <v>4.413700514051342E-2</v>
      </c>
      <c r="DE60" s="1366">
        <v>0</v>
      </c>
      <c r="DF60" s="1366">
        <v>0.38118056748152268</v>
      </c>
      <c r="DG60" s="1366">
        <v>2.1672572012858837E-2</v>
      </c>
      <c r="DH60" s="1366">
        <v>4.2633120474745205E-2</v>
      </c>
      <c r="DI60" s="1366">
        <v>1</v>
      </c>
      <c r="DJ60" s="1936">
        <v>189280</v>
      </c>
      <c r="DK60" s="1936">
        <v>3559.6692498003417</v>
      </c>
      <c r="DL60" s="1936">
        <v>0</v>
      </c>
      <c r="DM60" s="1936">
        <v>0</v>
      </c>
      <c r="DN60" s="1936">
        <v>316.32738468200182</v>
      </c>
      <c r="DO60" s="1936">
        <v>18250</v>
      </c>
      <c r="DP60" s="1936">
        <v>0</v>
      </c>
      <c r="DQ60" s="1936">
        <v>0</v>
      </c>
      <c r="DR60" s="1936">
        <v>1759.4782659034959</v>
      </c>
      <c r="DS60" s="1936">
        <v>259.92422656540123</v>
      </c>
      <c r="DT60" s="1936">
        <v>72.008555203952739</v>
      </c>
      <c r="DU60" s="1936">
        <v>24217.407682155193</v>
      </c>
      <c r="DV60" s="1936">
        <v>12044.020435061891</v>
      </c>
      <c r="DW60" s="1936">
        <v>1041.5580403933809</v>
      </c>
      <c r="DX60" s="1936">
        <v>0</v>
      </c>
      <c r="DY60" s="1936">
        <v>8995.2112436750922</v>
      </c>
      <c r="DZ60" s="1936">
        <v>511.43573434885536</v>
      </c>
      <c r="EA60" s="1936">
        <v>1006.068927335789</v>
      </c>
      <c r="EB60" s="1936">
        <v>23598.294380815008</v>
      </c>
      <c r="EC60" s="1936">
        <v>619.1133013401851</v>
      </c>
      <c r="ED60" s="1941">
        <v>71</v>
      </c>
      <c r="EE60" s="1936">
        <v>0</v>
      </c>
      <c r="EF60" s="1936">
        <v>0</v>
      </c>
      <c r="EG60" s="1938">
        <v>0</v>
      </c>
      <c r="EH60" s="1938">
        <v>1</v>
      </c>
      <c r="EI60" s="1368">
        <v>0.1</v>
      </c>
      <c r="EJ60" s="1981">
        <v>4.3060219949835998</v>
      </c>
      <c r="EK60" s="1936">
        <v>0</v>
      </c>
      <c r="EL60" s="1936">
        <v>0</v>
      </c>
      <c r="EM60" s="1936">
        <v>0</v>
      </c>
      <c r="EN60" s="1362">
        <v>0</v>
      </c>
      <c r="EO60" s="1936">
        <v>0</v>
      </c>
      <c r="EP60" s="1936">
        <v>0</v>
      </c>
      <c r="EQ60" s="1936">
        <v>0</v>
      </c>
      <c r="ER60" s="1938">
        <v>1</v>
      </c>
      <c r="ES60" s="1936">
        <v>2019.4024924688972</v>
      </c>
      <c r="ET60" s="1936">
        <v>-3162.917320246444</v>
      </c>
      <c r="EU60" s="1938">
        <v>1</v>
      </c>
      <c r="EV60" s="1936">
        <v>15581</v>
      </c>
      <c r="EW60" s="1936">
        <v>0</v>
      </c>
      <c r="EX60" s="1938">
        <v>0</v>
      </c>
      <c r="EY60" s="1936">
        <v>537921</v>
      </c>
      <c r="EZ60" s="1936">
        <v>264981</v>
      </c>
      <c r="FA60" s="1936">
        <v>272940</v>
      </c>
      <c r="FB60" s="1936">
        <v>79466</v>
      </c>
      <c r="FC60" s="1936">
        <v>53452</v>
      </c>
      <c r="FD60" s="1936">
        <v>26014</v>
      </c>
      <c r="FE60" s="1936">
        <v>617387</v>
      </c>
      <c r="FF60" s="1936">
        <v>318433</v>
      </c>
      <c r="FG60" s="1936">
        <v>298954</v>
      </c>
      <c r="FH60" s="1366">
        <v>1</v>
      </c>
      <c r="FI60" s="1366">
        <v>0.49260207353867946</v>
      </c>
      <c r="FJ60" s="1366">
        <v>0.50739792646132054</v>
      </c>
      <c r="FK60" s="1366">
        <v>1</v>
      </c>
      <c r="FL60" s="1366">
        <v>0.67263987113985857</v>
      </c>
      <c r="FM60" s="1366">
        <v>0.32736012886014143</v>
      </c>
      <c r="FN60" s="1366">
        <v>1</v>
      </c>
      <c r="FO60" s="1366">
        <v>0.51577535646199224</v>
      </c>
      <c r="FP60" s="1366">
        <v>0.48422464353800776</v>
      </c>
      <c r="FQ60" s="1936">
        <v>854981</v>
      </c>
      <c r="FR60" s="1936">
        <v>0</v>
      </c>
      <c r="FS60" s="1936">
        <v>94494</v>
      </c>
      <c r="FT60" s="1936">
        <v>21171</v>
      </c>
      <c r="FU60" s="1936">
        <v>5981</v>
      </c>
      <c r="FV60" s="1936">
        <v>9848</v>
      </c>
      <c r="FW60" s="1936">
        <v>279470</v>
      </c>
      <c r="FX60" s="1936">
        <v>1265945</v>
      </c>
      <c r="FY60" s="1936">
        <v>-966991</v>
      </c>
      <c r="FZ60" s="1366">
        <v>1.384838035138414</v>
      </c>
      <c r="GA60" s="1366">
        <v>0</v>
      </c>
      <c r="GB60" s="1366">
        <v>0.15305472904353348</v>
      </c>
      <c r="GC60" s="1366">
        <v>3.4291295411144063E-2</v>
      </c>
      <c r="GD60" s="1366">
        <v>9.6876027515966478E-3</v>
      </c>
      <c r="GE60" s="1366">
        <v>1.5951097123846146E-2</v>
      </c>
      <c r="GF60" s="1366">
        <v>0.45266583196601157</v>
      </c>
      <c r="GG60" s="1366">
        <v>2.0504885914345459</v>
      </c>
      <c r="GH60" s="1366">
        <v>-1.5662639478965381</v>
      </c>
      <c r="GI60" s="1942">
        <v>6.7691968892356478</v>
      </c>
      <c r="GJ60" s="1943">
        <v>1</v>
      </c>
      <c r="GK60" s="1371">
        <v>0.04</v>
      </c>
      <c r="GL60" s="1943">
        <v>1</v>
      </c>
      <c r="GM60" s="1371">
        <v>0.05</v>
      </c>
      <c r="GN60" s="1943">
        <v>18</v>
      </c>
      <c r="GO60" s="1985">
        <f>IF(GN60=0,0,VLOOKUP(A60,'Area (&amp;golfacre for lookup)'!$G$2:$H$133,2,FALSE))</f>
        <v>160</v>
      </c>
      <c r="GP60" s="1943">
        <v>25500</v>
      </c>
      <c r="GQ60" s="1943">
        <v>1355110</v>
      </c>
      <c r="GR60" s="1943">
        <v>139809</v>
      </c>
      <c r="GS60" s="1943">
        <v>591742</v>
      </c>
      <c r="GT60" s="1943">
        <v>159728</v>
      </c>
      <c r="GU60" s="1943">
        <v>0</v>
      </c>
      <c r="GV60" s="1943">
        <v>397670</v>
      </c>
      <c r="GW60" s="1943">
        <v>2644059</v>
      </c>
      <c r="GX60" s="1943">
        <v>146892.16666666666</v>
      </c>
      <c r="GY60" s="1985">
        <f t="shared" si="764"/>
        <v>16525.368750000001</v>
      </c>
      <c r="GZ60" s="1366">
        <v>0.51251125636757733</v>
      </c>
      <c r="HA60" s="1366">
        <v>5.2876656685800126E-2</v>
      </c>
      <c r="HB60" s="1366">
        <v>0.22380060354175152</v>
      </c>
      <c r="HC60" s="1366">
        <v>6.0410149697869828E-2</v>
      </c>
      <c r="HD60" s="1366">
        <v>0</v>
      </c>
      <c r="HE60" s="1366">
        <v>0.15040133370700123</v>
      </c>
      <c r="HF60" s="1366">
        <v>1</v>
      </c>
      <c r="HG60" s="1936">
        <v>0</v>
      </c>
      <c r="HH60" s="1988">
        <f>IF(HG60=0,0,VLOOKUP(A60,'Area (&amp;golfacre for lookup)'!$G$2:$H$134,2,FALSE))</f>
        <v>0</v>
      </c>
      <c r="HI60" s="1936">
        <v>0</v>
      </c>
      <c r="HJ60" s="1936">
        <v>0</v>
      </c>
      <c r="HK60" s="1936">
        <v>0</v>
      </c>
      <c r="HL60" s="1936">
        <v>0</v>
      </c>
      <c r="HM60" s="1936">
        <v>0</v>
      </c>
      <c r="HN60" s="1936">
        <v>0</v>
      </c>
      <c r="HO60" s="1936">
        <v>0</v>
      </c>
      <c r="HP60" s="1936">
        <v>0</v>
      </c>
      <c r="HQ60" s="1936">
        <v>0</v>
      </c>
      <c r="HR60" s="1988">
        <f t="shared" si="765"/>
        <v>0</v>
      </c>
      <c r="HS60" s="1936">
        <v>0</v>
      </c>
      <c r="HT60" s="1936">
        <v>0</v>
      </c>
      <c r="HU60" s="1936">
        <v>0</v>
      </c>
      <c r="HV60" s="1936">
        <v>0</v>
      </c>
      <c r="HW60" s="1936">
        <v>0</v>
      </c>
      <c r="HX60" s="1936">
        <v>0</v>
      </c>
      <c r="HY60" s="1936">
        <v>0</v>
      </c>
      <c r="HZ60" s="51"/>
      <c r="IA60" s="59">
        <f t="shared" si="766"/>
        <v>0</v>
      </c>
      <c r="IB60" s="59"/>
      <c r="IC60" s="815">
        <f t="shared" si="581"/>
        <v>1</v>
      </c>
      <c r="ID60" s="815"/>
      <c r="IE60" s="284">
        <f t="shared" si="582"/>
        <v>0</v>
      </c>
      <c r="IF60" s="284"/>
      <c r="IG60" s="284">
        <f t="shared" si="583"/>
        <v>19099.344424833071</v>
      </c>
      <c r="IH60" s="284"/>
      <c r="II60" s="1288">
        <f t="shared" si="584"/>
        <v>0</v>
      </c>
      <c r="IJ60" s="1288">
        <f t="shared" si="585"/>
        <v>0.60909447305499553</v>
      </c>
      <c r="IK60" s="284">
        <f t="shared" si="586"/>
        <v>1</v>
      </c>
      <c r="IL60" s="284">
        <f t="shared" si="587"/>
        <v>0</v>
      </c>
      <c r="IM60" s="284">
        <f t="shared" si="588"/>
        <v>0</v>
      </c>
      <c r="IN60" s="284">
        <f t="shared" si="589"/>
        <v>0</v>
      </c>
      <c r="IO60" s="753">
        <f t="shared" si="590"/>
        <v>-2454.2918781725889</v>
      </c>
      <c r="IP60" s="113">
        <f t="shared" si="591"/>
        <v>-3162.917320246444</v>
      </c>
      <c r="IQ60" s="30">
        <f t="shared" si="592"/>
        <v>-0.17331053809569555</v>
      </c>
      <c r="IR60" s="438">
        <f t="shared" si="593"/>
        <v>537921</v>
      </c>
      <c r="IS60" s="438">
        <f t="shared" si="594"/>
        <v>79466</v>
      </c>
      <c r="IT60" s="438">
        <f t="shared" si="595"/>
        <v>854981</v>
      </c>
      <c r="IU60" s="438">
        <f t="shared" si="596"/>
        <v>115665</v>
      </c>
      <c r="IV60" s="438">
        <f t="shared" si="597"/>
        <v>318433</v>
      </c>
      <c r="IW60" s="438">
        <f t="shared" si="598"/>
        <v>295299</v>
      </c>
      <c r="IX60" s="285">
        <f t="shared" si="599"/>
        <v>0.87128656742043487</v>
      </c>
      <c r="IY60" s="285">
        <f t="shared" si="600"/>
        <v>0.12871343257956516</v>
      </c>
      <c r="IZ60" s="285">
        <f t="shared" si="601"/>
        <v>1.384838035138414</v>
      </c>
      <c r="JA60" s="285">
        <f t="shared" si="602"/>
        <v>0.18734602445467755</v>
      </c>
      <c r="JB60" s="285">
        <f t="shared" si="603"/>
        <v>0.51577535646199224</v>
      </c>
      <c r="JC60" s="285">
        <f t="shared" si="604"/>
        <v>0.47830453184145438</v>
      </c>
      <c r="JD60" s="60">
        <f t="shared" si="605"/>
        <v>5579528</v>
      </c>
      <c r="JE60" s="60">
        <f t="shared" si="606"/>
        <v>1184999</v>
      </c>
      <c r="JF60" s="60">
        <f t="shared" si="607"/>
        <v>0</v>
      </c>
      <c r="JG60" s="60">
        <f t="shared" si="608"/>
        <v>463943</v>
      </c>
      <c r="JH60" s="284">
        <f t="shared" si="609"/>
        <v>1</v>
      </c>
      <c r="JI60" s="284">
        <f t="shared" si="610"/>
        <v>0</v>
      </c>
      <c r="JJ60" s="560">
        <f t="shared" si="611"/>
        <v>0</v>
      </c>
      <c r="JK60" s="561">
        <f t="shared" si="612"/>
        <v>0.49732905326347671</v>
      </c>
      <c r="JL60" s="561">
        <f t="shared" si="613"/>
        <v>4.3008651217481958E-2</v>
      </c>
      <c r="JM60" s="561">
        <f t="shared" si="614"/>
        <v>0</v>
      </c>
      <c r="JN60" s="561">
        <f t="shared" si="615"/>
        <v>0.37143576066167033</v>
      </c>
      <c r="JO60" s="561">
        <f t="shared" si="616"/>
        <v>2.1118516938776696E-2</v>
      </c>
      <c r="JP60" s="561">
        <f t="shared" si="617"/>
        <v>4.1543213069709338E-2</v>
      </c>
      <c r="JQ60" s="561">
        <f t="shared" si="618"/>
        <v>0.97443519515111499</v>
      </c>
      <c r="JR60" s="61">
        <f t="shared" si="619"/>
        <v>75283.888888888891</v>
      </c>
      <c r="JS60" s="61">
        <f t="shared" si="620"/>
        <v>7767.166666666667</v>
      </c>
      <c r="JT60" s="61">
        <f t="shared" si="621"/>
        <v>32874.555555555555</v>
      </c>
      <c r="JU60" s="61">
        <f t="shared" si="622"/>
        <v>8873.7777777777774</v>
      </c>
      <c r="JV60" s="61">
        <f t="shared" si="623"/>
        <v>0</v>
      </c>
      <c r="JW60" s="61">
        <f t="shared" si="624"/>
        <v>22092.777777777777</v>
      </c>
      <c r="JX60" s="61">
        <f t="shared" si="625"/>
        <v>103.68858823529412</v>
      </c>
      <c r="JY60" s="394">
        <f t="shared" si="626"/>
        <v>0.36648477285589359</v>
      </c>
      <c r="JZ60" s="61">
        <f t="shared" si="627"/>
        <v>0</v>
      </c>
      <c r="KA60" s="61">
        <f t="shared" si="628"/>
        <v>0</v>
      </c>
      <c r="KB60" s="61">
        <f t="shared" si="629"/>
        <v>0</v>
      </c>
      <c r="KC60" s="61">
        <f t="shared" si="630"/>
        <v>0</v>
      </c>
      <c r="KD60" s="61">
        <f t="shared" si="631"/>
        <v>0</v>
      </c>
      <c r="KE60" s="61">
        <f t="shared" si="632"/>
        <v>0</v>
      </c>
      <c r="KF60" s="61">
        <f t="shared" si="633"/>
        <v>0</v>
      </c>
      <c r="KG60" s="61">
        <f t="shared" si="634"/>
        <v>0</v>
      </c>
      <c r="KH60" s="61">
        <f t="shared" si="635"/>
        <v>0</v>
      </c>
      <c r="KI60" s="394">
        <f t="shared" si="636"/>
        <v>0</v>
      </c>
      <c r="KJ60" s="438">
        <f t="shared" si="637"/>
        <v>18</v>
      </c>
      <c r="KK60" s="438">
        <f t="shared" si="638"/>
        <v>25500</v>
      </c>
      <c r="KL60" s="438">
        <f t="shared" si="639"/>
        <v>160</v>
      </c>
      <c r="KM60" s="438">
        <f t="shared" si="640"/>
        <v>146892.16666666666</v>
      </c>
      <c r="KN60" s="438">
        <f t="shared" si="641"/>
        <v>103.68858823529412</v>
      </c>
      <c r="KO60" s="438">
        <f t="shared" si="642"/>
        <v>16525.368750000001</v>
      </c>
      <c r="KP60" s="438">
        <f t="shared" si="643"/>
        <v>1355110</v>
      </c>
      <c r="KQ60" s="438">
        <f t="shared" si="644"/>
        <v>139809</v>
      </c>
      <c r="KR60" s="438">
        <f t="shared" si="645"/>
        <v>591742</v>
      </c>
      <c r="KS60" s="438">
        <f t="shared" si="646"/>
        <v>159728</v>
      </c>
      <c r="KT60" s="438">
        <f t="shared" si="647"/>
        <v>0</v>
      </c>
      <c r="KU60" s="438">
        <f t="shared" si="648"/>
        <v>397670</v>
      </c>
      <c r="KV60" s="420">
        <f t="shared" si="649"/>
        <v>0.36648477285589359</v>
      </c>
      <c r="KW60" s="420">
        <f t="shared" si="650"/>
        <v>-0.40261272996568886</v>
      </c>
      <c r="KX60" s="108"/>
      <c r="KY60" s="282">
        <f t="shared" si="651"/>
        <v>0</v>
      </c>
      <c r="KZ60" s="282"/>
      <c r="LA60" s="282">
        <f t="shared" si="652"/>
        <v>0</v>
      </c>
      <c r="LB60" s="282"/>
      <c r="LC60" s="286">
        <f t="shared" si="653"/>
        <v>0</v>
      </c>
      <c r="LD60" s="286"/>
      <c r="LE60" s="282">
        <f t="shared" si="654"/>
        <v>0</v>
      </c>
      <c r="LF60" s="282"/>
      <c r="LG60" s="282">
        <f t="shared" si="655"/>
        <v>0</v>
      </c>
      <c r="LH60" s="282">
        <f t="shared" si="656"/>
        <v>0</v>
      </c>
      <c r="LI60" s="282">
        <f t="shared" si="657"/>
        <v>0</v>
      </c>
      <c r="LJ60" s="282">
        <f t="shared" si="658"/>
        <v>0</v>
      </c>
      <c r="LK60" s="282"/>
      <c r="LL60" s="282">
        <f t="shared" si="659"/>
        <v>0</v>
      </c>
      <c r="LM60" s="282">
        <f t="shared" si="660"/>
        <v>0</v>
      </c>
      <c r="LN60" s="282">
        <f t="shared" si="661"/>
        <v>0</v>
      </c>
      <c r="LO60" s="282">
        <f t="shared" si="662"/>
        <v>0</v>
      </c>
      <c r="LP60" s="286">
        <f t="shared" si="663"/>
        <v>0</v>
      </c>
      <c r="LQ60" s="282">
        <f t="shared" si="664"/>
        <v>0</v>
      </c>
      <c r="LR60" s="282">
        <f t="shared" si="665"/>
        <v>0</v>
      </c>
      <c r="LS60" s="282">
        <f t="shared" si="666"/>
        <v>0</v>
      </c>
      <c r="LT60" s="286">
        <f t="shared" si="667"/>
        <v>0</v>
      </c>
      <c r="LU60" s="286">
        <f t="shared" si="668"/>
        <v>0</v>
      </c>
      <c r="LV60" s="286">
        <f t="shared" si="669"/>
        <v>0</v>
      </c>
      <c r="LW60" s="286">
        <f t="shared" si="670"/>
        <v>0</v>
      </c>
      <c r="LX60" s="286">
        <f t="shared" si="671"/>
        <v>0</v>
      </c>
      <c r="LY60" s="286">
        <f t="shared" si="672"/>
        <v>0</v>
      </c>
      <c r="LZ60" s="286">
        <f t="shared" si="673"/>
        <v>0</v>
      </c>
      <c r="MA60" s="286">
        <f t="shared" si="674"/>
        <v>0</v>
      </c>
      <c r="MB60" s="286">
        <f t="shared" si="675"/>
        <v>0</v>
      </c>
      <c r="MC60" s="286">
        <f t="shared" si="676"/>
        <v>0</v>
      </c>
      <c r="MD60" s="286">
        <f t="shared" si="677"/>
        <v>0</v>
      </c>
      <c r="ME60" s="286">
        <f t="shared" si="678"/>
        <v>0</v>
      </c>
      <c r="MF60" s="286">
        <f t="shared" si="679"/>
        <v>0</v>
      </c>
      <c r="MG60" s="286">
        <f t="shared" si="680"/>
        <v>0</v>
      </c>
      <c r="MH60" s="286">
        <f t="shared" si="681"/>
        <v>0</v>
      </c>
      <c r="MI60" s="286">
        <f t="shared" si="682"/>
        <v>0</v>
      </c>
      <c r="MJ60" s="286">
        <f t="shared" si="683"/>
        <v>0</v>
      </c>
      <c r="MK60" s="286">
        <f t="shared" si="684"/>
        <v>0</v>
      </c>
      <c r="ML60" s="282">
        <f t="shared" si="685"/>
        <v>0</v>
      </c>
      <c r="MM60" s="1232">
        <f t="shared" si="686"/>
        <v>0</v>
      </c>
      <c r="MN60" s="1232">
        <f t="shared" si="687"/>
        <v>0</v>
      </c>
      <c r="MO60" s="1232">
        <f t="shared" si="688"/>
        <v>0</v>
      </c>
      <c r="MP60" s="1232">
        <f t="shared" si="689"/>
        <v>0</v>
      </c>
      <c r="MQ60" s="282">
        <f t="shared" si="690"/>
        <v>0</v>
      </c>
      <c r="MR60" s="282">
        <f t="shared" si="691"/>
        <v>0</v>
      </c>
      <c r="MS60" s="282">
        <f t="shared" si="692"/>
        <v>0</v>
      </c>
      <c r="MT60" s="282">
        <f t="shared" si="693"/>
        <v>0</v>
      </c>
      <c r="MU60" s="282">
        <f t="shared" si="694"/>
        <v>0</v>
      </c>
      <c r="MV60" s="282">
        <f t="shared" si="695"/>
        <v>0</v>
      </c>
      <c r="MW60" s="282">
        <f t="shared" si="696"/>
        <v>0</v>
      </c>
      <c r="MX60" s="282">
        <f t="shared" si="697"/>
        <v>0</v>
      </c>
      <c r="MY60" s="282">
        <f t="shared" si="698"/>
        <v>0</v>
      </c>
      <c r="MZ60" s="282">
        <f t="shared" si="699"/>
        <v>0</v>
      </c>
      <c r="NA60" s="282">
        <f t="shared" si="700"/>
        <v>0</v>
      </c>
      <c r="NB60" s="282">
        <f t="shared" si="701"/>
        <v>0</v>
      </c>
      <c r="NC60" s="282">
        <f t="shared" si="702"/>
        <v>0</v>
      </c>
      <c r="ND60" s="282">
        <f t="shared" si="703"/>
        <v>0</v>
      </c>
      <c r="NE60" s="282">
        <f t="shared" si="704"/>
        <v>0</v>
      </c>
      <c r="NF60" s="282">
        <f t="shared" si="705"/>
        <v>0</v>
      </c>
      <c r="NG60" s="282">
        <f t="shared" si="706"/>
        <v>0</v>
      </c>
      <c r="NH60" s="282">
        <f t="shared" si="707"/>
        <v>0</v>
      </c>
      <c r="NI60" s="282">
        <f t="shared" si="708"/>
        <v>0</v>
      </c>
      <c r="NJ60" s="282">
        <f t="shared" si="709"/>
        <v>0</v>
      </c>
      <c r="NK60" s="282">
        <f t="shared" si="710"/>
        <v>0</v>
      </c>
      <c r="NL60" s="282">
        <f t="shared" si="711"/>
        <v>0</v>
      </c>
      <c r="NM60" s="1205">
        <f t="shared" si="712"/>
        <v>0</v>
      </c>
      <c r="NN60" s="282">
        <f t="shared" si="713"/>
        <v>0</v>
      </c>
      <c r="NO60" s="282">
        <f t="shared" si="714"/>
        <v>0</v>
      </c>
      <c r="NP60" s="282">
        <f t="shared" si="715"/>
        <v>0</v>
      </c>
      <c r="NQ60" s="282">
        <f t="shared" si="716"/>
        <v>0</v>
      </c>
      <c r="NR60" s="282">
        <f t="shared" si="717"/>
        <v>0</v>
      </c>
      <c r="NS60" s="282">
        <f t="shared" si="718"/>
        <v>0</v>
      </c>
      <c r="NT60" s="282">
        <f t="shared" si="719"/>
        <v>0</v>
      </c>
      <c r="NU60" s="282">
        <f t="shared" si="720"/>
        <v>0</v>
      </c>
      <c r="NV60" s="286">
        <f t="shared" si="721"/>
        <v>0</v>
      </c>
      <c r="NW60" s="286">
        <f t="shared" si="722"/>
        <v>0</v>
      </c>
      <c r="NX60" s="286">
        <f t="shared" si="723"/>
        <v>0</v>
      </c>
      <c r="NY60" s="286">
        <f t="shared" si="724"/>
        <v>0</v>
      </c>
      <c r="NZ60" s="286">
        <f t="shared" si="725"/>
        <v>0</v>
      </c>
      <c r="OA60" s="286">
        <f t="shared" si="726"/>
        <v>0</v>
      </c>
      <c r="OB60" s="286">
        <f t="shared" si="727"/>
        <v>0</v>
      </c>
      <c r="OC60" s="286">
        <f t="shared" si="728"/>
        <v>0</v>
      </c>
      <c r="OD60" s="286">
        <f t="shared" si="729"/>
        <v>0</v>
      </c>
      <c r="OE60" s="282">
        <f t="shared" si="730"/>
        <v>0</v>
      </c>
      <c r="OF60" s="282">
        <f t="shared" si="731"/>
        <v>0</v>
      </c>
      <c r="OG60" s="286">
        <f t="shared" si="732"/>
        <v>0</v>
      </c>
      <c r="OH60" s="286">
        <f t="shared" si="733"/>
        <v>0</v>
      </c>
      <c r="OI60" s="286">
        <f t="shared" si="734"/>
        <v>0</v>
      </c>
      <c r="OJ60" s="286">
        <f t="shared" si="735"/>
        <v>0</v>
      </c>
      <c r="OK60" s="286">
        <f t="shared" si="736"/>
        <v>0</v>
      </c>
      <c r="OL60" s="286">
        <f t="shared" si="737"/>
        <v>0</v>
      </c>
      <c r="OM60" s="286">
        <f t="shared" si="738"/>
        <v>0</v>
      </c>
      <c r="ON60" s="286">
        <f t="shared" si="739"/>
        <v>0</v>
      </c>
      <c r="OO60" s="286">
        <f t="shared" si="740"/>
        <v>0</v>
      </c>
      <c r="OP60" s="434">
        <f t="shared" si="741"/>
        <v>0</v>
      </c>
      <c r="OQ60" s="434">
        <f t="shared" si="742"/>
        <v>0</v>
      </c>
      <c r="OR60" s="282">
        <f t="shared" si="743"/>
        <v>0</v>
      </c>
      <c r="OS60" s="282">
        <f t="shared" si="744"/>
        <v>0</v>
      </c>
      <c r="OT60" s="282">
        <f t="shared" si="745"/>
        <v>0</v>
      </c>
      <c r="OU60" s="282">
        <f t="shared" si="746"/>
        <v>0</v>
      </c>
      <c r="OV60" s="282">
        <f t="shared" si="747"/>
        <v>0</v>
      </c>
      <c r="OW60" s="286">
        <f t="shared" si="748"/>
        <v>0</v>
      </c>
      <c r="OX60" s="286">
        <f t="shared" si="749"/>
        <v>0</v>
      </c>
      <c r="OY60" s="286">
        <f t="shared" si="750"/>
        <v>0</v>
      </c>
      <c r="OZ60" s="286">
        <f t="shared" si="751"/>
        <v>0</v>
      </c>
      <c r="PA60" s="286">
        <f t="shared" si="752"/>
        <v>0</v>
      </c>
      <c r="PB60" s="286">
        <f t="shared" si="753"/>
        <v>0</v>
      </c>
      <c r="PC60" s="286">
        <f t="shared" si="754"/>
        <v>0</v>
      </c>
      <c r="PD60" s="282">
        <f t="shared" si="755"/>
        <v>0</v>
      </c>
      <c r="PE60" s="282">
        <f t="shared" si="756"/>
        <v>0</v>
      </c>
      <c r="PF60" s="286">
        <f t="shared" si="757"/>
        <v>0</v>
      </c>
      <c r="PG60" s="286">
        <f t="shared" si="758"/>
        <v>0</v>
      </c>
      <c r="PH60" s="286">
        <f t="shared" si="759"/>
        <v>0</v>
      </c>
      <c r="PI60" s="286">
        <f t="shared" si="760"/>
        <v>0</v>
      </c>
      <c r="PJ60" s="286">
        <f t="shared" si="761"/>
        <v>0</v>
      </c>
      <c r="PK60" s="286">
        <f t="shared" si="762"/>
        <v>0</v>
      </c>
      <c r="PL60" s="286">
        <f t="shared" si="763"/>
        <v>0</v>
      </c>
      <c r="PM60" s="562">
        <v>4</v>
      </c>
    </row>
    <row r="61" spans="1:431" s="289" customFormat="1" ht="15" customHeight="1">
      <c r="A61" s="1935" t="s">
        <v>1018</v>
      </c>
      <c r="B61" s="1040" t="str">
        <f>VLOOKUP(A61,'Area (&amp;golfacre for lookup)'!$A$2:$B$162,2,FALSE)</f>
        <v>SW CIRA</v>
      </c>
      <c r="C61" s="1936" t="s">
        <v>2161</v>
      </c>
      <c r="D61" s="1937">
        <v>44926</v>
      </c>
      <c r="E61" s="402"/>
      <c r="F61" s="1936">
        <v>0</v>
      </c>
      <c r="G61" s="1936">
        <v>1</v>
      </c>
      <c r="H61" s="1936">
        <v>957</v>
      </c>
      <c r="I61" s="1936">
        <v>0</v>
      </c>
      <c r="J61" s="1936">
        <v>957</v>
      </c>
      <c r="K61" s="1938">
        <v>684.81520049735775</v>
      </c>
      <c r="L61" s="1939" t="s">
        <v>1208</v>
      </c>
      <c r="M61" s="1939" t="s">
        <v>1208</v>
      </c>
      <c r="N61" s="1939" t="s">
        <v>1208</v>
      </c>
      <c r="O61" s="1939" t="s">
        <v>1208</v>
      </c>
      <c r="P61" s="1939" t="s">
        <v>1208</v>
      </c>
      <c r="Q61" s="1936">
        <v>0</v>
      </c>
      <c r="R61" s="1936">
        <v>7500</v>
      </c>
      <c r="S61" s="1936">
        <v>7500</v>
      </c>
      <c r="T61" s="1939" t="s">
        <v>1208</v>
      </c>
      <c r="U61" s="1939" t="s">
        <v>1208</v>
      </c>
      <c r="V61" s="1939" t="s">
        <v>1208</v>
      </c>
      <c r="W61" s="1936">
        <v>7650</v>
      </c>
      <c r="X61" s="1936">
        <v>6434</v>
      </c>
      <c r="Y61" s="1939" t="s">
        <v>1208</v>
      </c>
      <c r="Z61" s="1939" t="s">
        <v>1208</v>
      </c>
      <c r="AA61" s="1936">
        <v>1216</v>
      </c>
      <c r="AB61" s="1362">
        <v>0.1889959589679826</v>
      </c>
      <c r="AC61" s="1939" t="s">
        <v>1208</v>
      </c>
      <c r="AD61" s="1363" t="s">
        <v>1208</v>
      </c>
      <c r="AE61" s="1936">
        <v>0</v>
      </c>
      <c r="AF61" s="1936">
        <v>0</v>
      </c>
      <c r="AG61" s="1939" t="s">
        <v>1208</v>
      </c>
      <c r="AH61" s="1936">
        <v>0</v>
      </c>
      <c r="AI61" s="1936">
        <v>0</v>
      </c>
      <c r="AJ61" s="1939" t="s">
        <v>1208</v>
      </c>
      <c r="AK61" s="1938">
        <v>0</v>
      </c>
      <c r="AL61" s="1938">
        <v>0</v>
      </c>
      <c r="AM61" s="1936">
        <v>6434</v>
      </c>
      <c r="AN61" s="1939" t="s">
        <v>1208</v>
      </c>
      <c r="AO61" s="1936">
        <v>0</v>
      </c>
      <c r="AP61" s="1936">
        <v>0</v>
      </c>
      <c r="AQ61" s="1936">
        <v>6434</v>
      </c>
      <c r="AR61" s="1939" t="s">
        <v>1208</v>
      </c>
      <c r="AS61" s="1363" t="s">
        <v>1208</v>
      </c>
      <c r="AT61" s="1363" t="s">
        <v>1208</v>
      </c>
      <c r="AU61" s="1363" t="s">
        <v>1208</v>
      </c>
      <c r="AV61" s="1363" t="s">
        <v>1208</v>
      </c>
      <c r="AW61" s="1363" t="s">
        <v>1291</v>
      </c>
      <c r="AX61" s="1938">
        <v>1</v>
      </c>
      <c r="AY61" s="1938">
        <v>1</v>
      </c>
      <c r="AZ61" s="1938">
        <v>0</v>
      </c>
      <c r="BA61" s="1938">
        <v>0</v>
      </c>
      <c r="BB61" s="1938">
        <v>0</v>
      </c>
      <c r="BC61" s="1938">
        <v>1</v>
      </c>
      <c r="BD61" s="1938">
        <v>1</v>
      </c>
      <c r="BE61" s="1936">
        <v>0</v>
      </c>
      <c r="BF61" s="1936">
        <v>0</v>
      </c>
      <c r="BG61" s="1936">
        <v>0</v>
      </c>
      <c r="BH61" s="1936">
        <v>0</v>
      </c>
      <c r="BI61" s="1938">
        <v>16415432</v>
      </c>
      <c r="BJ61" s="1936">
        <v>2079136</v>
      </c>
      <c r="BK61" s="1936">
        <v>941975</v>
      </c>
      <c r="BL61" s="1362">
        <v>2.2072093208418484</v>
      </c>
      <c r="BM61" s="1936">
        <v>0</v>
      </c>
      <c r="BN61" s="1936">
        <v>0</v>
      </c>
      <c r="BO61" s="1363" t="s">
        <v>1208</v>
      </c>
      <c r="BP61" s="1938">
        <v>18570246</v>
      </c>
      <c r="BQ61" s="1938">
        <v>18519908</v>
      </c>
      <c r="BR61" s="1940">
        <v>1.002718048059418</v>
      </c>
      <c r="BS61" s="1409">
        <v>1</v>
      </c>
      <c r="BT61" s="1938">
        <v>19130427</v>
      </c>
      <c r="BU61" s="1938">
        <v>19075310</v>
      </c>
      <c r="BV61" s="1940">
        <v>1.0028894419015995</v>
      </c>
      <c r="BW61" s="1936">
        <v>0</v>
      </c>
      <c r="BX61" s="1936">
        <v>3036.0541040706967</v>
      </c>
      <c r="BY61" s="1936">
        <v>0</v>
      </c>
      <c r="BZ61" s="1936">
        <v>0</v>
      </c>
      <c r="CA61" s="1936">
        <v>1368</v>
      </c>
      <c r="CB61" s="1936">
        <v>0</v>
      </c>
      <c r="CC61" s="1936">
        <v>2223165</v>
      </c>
      <c r="CD61" s="1936">
        <v>4406101</v>
      </c>
      <c r="CE61" s="1936">
        <v>0</v>
      </c>
      <c r="CF61" s="1936">
        <v>0</v>
      </c>
      <c r="CG61" s="1936">
        <v>1567172</v>
      </c>
      <c r="CH61" s="1936">
        <v>1036296</v>
      </c>
      <c r="CI61" s="1936">
        <v>3445724</v>
      </c>
      <c r="CJ61" s="1936">
        <v>12679826</v>
      </c>
      <c r="CK61" s="1366">
        <v>0</v>
      </c>
      <c r="CL61" s="1366">
        <v>1.0788791581209396E-4</v>
      </c>
      <c r="CM61" s="1366">
        <v>0</v>
      </c>
      <c r="CN61" s="1366">
        <v>0.17533087599151598</v>
      </c>
      <c r="CO61" s="1366">
        <v>0.34748907437688814</v>
      </c>
      <c r="CP61" s="1366">
        <v>0</v>
      </c>
      <c r="CQ61" s="1366">
        <v>0</v>
      </c>
      <c r="CR61" s="1366">
        <v>0.12359570233850212</v>
      </c>
      <c r="CS61" s="1366">
        <v>8.172793538334043E-2</v>
      </c>
      <c r="CT61" s="1366">
        <v>0.27174852399394123</v>
      </c>
      <c r="CU61" s="1366">
        <v>1</v>
      </c>
      <c r="CV61" s="1936">
        <v>7486622</v>
      </c>
      <c r="CW61" s="1936">
        <v>1202978</v>
      </c>
      <c r="CX61" s="1979">
        <v>0</v>
      </c>
      <c r="CY61" s="1979">
        <f>12629+3627904</f>
        <v>3640533</v>
      </c>
      <c r="CZ61" s="1936">
        <v>0</v>
      </c>
      <c r="DA61" s="1936">
        <v>315433</v>
      </c>
      <c r="DB61" s="1936">
        <v>12645566</v>
      </c>
      <c r="DC61" s="1366">
        <v>0.59203534266477276</v>
      </c>
      <c r="DD61" s="1366">
        <v>9.5130419626926935E-2</v>
      </c>
      <c r="DE61" s="1366">
        <v>0</v>
      </c>
      <c r="DF61" s="1366">
        <f>28.6891389440378%+0.0998689975600934%</f>
        <v>0.28789007941597894</v>
      </c>
      <c r="DG61" s="1366">
        <v>0</v>
      </c>
      <c r="DH61" s="1366">
        <v>2.4944158292321592E-2</v>
      </c>
      <c r="DI61" s="1366">
        <v>1</v>
      </c>
      <c r="DJ61" s="1936">
        <v>34260</v>
      </c>
      <c r="DK61" s="1936">
        <v>0</v>
      </c>
      <c r="DL61" s="1936">
        <v>1.997619210272302</v>
      </c>
      <c r="DM61" s="1936">
        <v>0</v>
      </c>
      <c r="DN61" s="1936">
        <v>3246.3721576060107</v>
      </c>
      <c r="DO61" s="1936">
        <v>6434</v>
      </c>
      <c r="DP61" s="1936">
        <v>0</v>
      </c>
      <c r="DQ61" s="1936">
        <v>0</v>
      </c>
      <c r="DR61" s="1936">
        <v>2288.4597171058949</v>
      </c>
      <c r="DS61" s="1936">
        <v>1513.2491207078549</v>
      </c>
      <c r="DT61" s="1936">
        <v>5031.6114442224543</v>
      </c>
      <c r="DU61" s="1936">
        <v>18515.690058852488</v>
      </c>
      <c r="DV61" s="1936">
        <v>10932.324508221669</v>
      </c>
      <c r="DW61" s="1936">
        <v>1756.6461712974806</v>
      </c>
      <c r="DX61" s="1936">
        <v>0</v>
      </c>
      <c r="DY61" s="1936">
        <v>5316.0808892034029</v>
      </c>
      <c r="DZ61" s="1936">
        <v>0</v>
      </c>
      <c r="EA61" s="1936">
        <v>460.61039499548468</v>
      </c>
      <c r="EB61" s="1936">
        <v>18465.661963718037</v>
      </c>
      <c r="EC61" s="1936">
        <v>50.028095134451071</v>
      </c>
      <c r="ED61" s="1941">
        <v>165</v>
      </c>
      <c r="EE61" s="1936">
        <v>1</v>
      </c>
      <c r="EF61" s="1936">
        <v>25</v>
      </c>
      <c r="EG61" s="1938">
        <v>130000</v>
      </c>
      <c r="EH61" s="1938">
        <v>0</v>
      </c>
      <c r="EI61" s="1368">
        <v>0</v>
      </c>
      <c r="EJ61" s="1981">
        <v>4.1503951545294413</v>
      </c>
      <c r="EK61" s="1936">
        <v>0</v>
      </c>
      <c r="EL61" s="1936">
        <v>0</v>
      </c>
      <c r="EM61" s="1936">
        <v>1</v>
      </c>
      <c r="EN61" s="1362">
        <v>0.2</v>
      </c>
      <c r="EO61" s="1936">
        <v>0</v>
      </c>
      <c r="EP61" s="1936">
        <v>0</v>
      </c>
      <c r="EQ61" s="1936">
        <v>0</v>
      </c>
      <c r="ER61" s="1938">
        <v>0</v>
      </c>
      <c r="ES61" s="1936">
        <v>3801.7088378137496</v>
      </c>
      <c r="ET61" s="1936">
        <v>-2252.6938638038487</v>
      </c>
      <c r="EU61" s="1938">
        <v>1</v>
      </c>
      <c r="EV61" s="1936">
        <v>44387</v>
      </c>
      <c r="EW61" s="1936">
        <v>1781</v>
      </c>
      <c r="EX61" s="1938">
        <v>1</v>
      </c>
      <c r="EY61" s="1936">
        <v>1567172</v>
      </c>
      <c r="EZ61" s="1936">
        <v>695856</v>
      </c>
      <c r="FA61" s="1936">
        <v>871316</v>
      </c>
      <c r="FB61" s="1936">
        <v>1036296</v>
      </c>
      <c r="FC61" s="1936">
        <v>507122</v>
      </c>
      <c r="FD61" s="1936">
        <v>529174</v>
      </c>
      <c r="FE61" s="1936">
        <v>2603468</v>
      </c>
      <c r="FF61" s="1936">
        <v>1202978</v>
      </c>
      <c r="FG61" s="1936">
        <v>1400490</v>
      </c>
      <c r="FH61" s="1366">
        <v>1</v>
      </c>
      <c r="FI61" s="1366">
        <v>0.444020184127843</v>
      </c>
      <c r="FJ61" s="1366">
        <v>0.55597981587215695</v>
      </c>
      <c r="FK61" s="1366">
        <v>1</v>
      </c>
      <c r="FL61" s="1366">
        <v>0.48936018280491289</v>
      </c>
      <c r="FM61" s="1366">
        <v>0.51063981719508711</v>
      </c>
      <c r="FN61" s="1366">
        <v>1</v>
      </c>
      <c r="FO61" s="1366">
        <v>0.46206751917058325</v>
      </c>
      <c r="FP61" s="1366">
        <v>0.5379324808294168</v>
      </c>
      <c r="FQ61" s="1936">
        <v>1872878</v>
      </c>
      <c r="FR61" s="1936">
        <v>0</v>
      </c>
      <c r="FS61" s="1936">
        <v>395435</v>
      </c>
      <c r="FT61" s="1936">
        <v>4572</v>
      </c>
      <c r="FU61" s="1936">
        <v>64055</v>
      </c>
      <c r="FV61" s="1936">
        <v>15041</v>
      </c>
      <c r="FW61" s="1936">
        <v>591188</v>
      </c>
      <c r="FX61" s="1936">
        <v>2943169</v>
      </c>
      <c r="FY61" s="1936">
        <v>-1542679</v>
      </c>
      <c r="FZ61" s="1366">
        <v>0.71937815252578485</v>
      </c>
      <c r="GA61" s="1366">
        <v>0</v>
      </c>
      <c r="GB61" s="1366">
        <v>0.15188778967131533</v>
      </c>
      <c r="GC61" s="1366">
        <v>1.7561191456933597E-3</v>
      </c>
      <c r="GD61" s="1366">
        <v>2.4603720883068277E-2</v>
      </c>
      <c r="GE61" s="1366">
        <v>5.7772939786469432E-3</v>
      </c>
      <c r="GF61" s="1366">
        <v>0.22707711406477821</v>
      </c>
      <c r="GG61" s="1366">
        <v>1.1304801902692869</v>
      </c>
      <c r="GH61" s="1366">
        <v>-0.59254770943987023</v>
      </c>
      <c r="GI61" s="1942">
        <v>1.5122822050842617</v>
      </c>
      <c r="GJ61" s="1943">
        <v>1</v>
      </c>
      <c r="GK61" s="1371">
        <v>7.0000000000000007E-2</v>
      </c>
      <c r="GL61" s="1943">
        <v>1</v>
      </c>
      <c r="GM61" s="1371">
        <v>7.0000000000000007E-2</v>
      </c>
      <c r="GN61" s="1943">
        <v>0</v>
      </c>
      <c r="GO61" s="1985">
        <f>IF(GN61=0,0,VLOOKUP(A61,'Area (&amp;golfacre for lookup)'!$G$2:$H$133,2,FALSE))</f>
        <v>0</v>
      </c>
      <c r="GP61" s="1943">
        <v>0</v>
      </c>
      <c r="GQ61" s="1943">
        <v>0</v>
      </c>
      <c r="GR61" s="1943">
        <v>0</v>
      </c>
      <c r="GS61" s="1943">
        <v>0</v>
      </c>
      <c r="GT61" s="1943">
        <v>0</v>
      </c>
      <c r="GU61" s="1943">
        <v>0</v>
      </c>
      <c r="GV61" s="1943">
        <v>0</v>
      </c>
      <c r="GW61" s="1943">
        <v>0</v>
      </c>
      <c r="GX61" s="1936">
        <v>0</v>
      </c>
      <c r="GY61" s="1985">
        <f t="shared" si="764"/>
        <v>0</v>
      </c>
      <c r="GZ61" s="1936">
        <v>0</v>
      </c>
      <c r="HA61" s="1936">
        <v>0</v>
      </c>
      <c r="HB61" s="1936">
        <v>0</v>
      </c>
      <c r="HC61" s="1936">
        <v>0</v>
      </c>
      <c r="HD61" s="1936">
        <v>0</v>
      </c>
      <c r="HE61" s="1936">
        <v>0</v>
      </c>
      <c r="HF61" s="1936">
        <v>0</v>
      </c>
      <c r="HG61" s="1936">
        <v>0</v>
      </c>
      <c r="HH61" s="1988">
        <f>IF(HG61=0,0,VLOOKUP(A61,'Area (&amp;golfacre for lookup)'!$G$2:$H$134,2,FALSE))</f>
        <v>0</v>
      </c>
      <c r="HI61" s="1936">
        <v>0</v>
      </c>
      <c r="HJ61" s="1936">
        <v>0</v>
      </c>
      <c r="HK61" s="1936">
        <v>0</v>
      </c>
      <c r="HL61" s="1936">
        <v>0</v>
      </c>
      <c r="HM61" s="1936">
        <v>0</v>
      </c>
      <c r="HN61" s="1936">
        <v>0</v>
      </c>
      <c r="HO61" s="1936">
        <v>0</v>
      </c>
      <c r="HP61" s="1936">
        <v>0</v>
      </c>
      <c r="HQ61" s="1936">
        <v>0</v>
      </c>
      <c r="HR61" s="1988">
        <f t="shared" si="765"/>
        <v>0</v>
      </c>
      <c r="HS61" s="1936">
        <v>0</v>
      </c>
      <c r="HT61" s="1936">
        <v>0</v>
      </c>
      <c r="HU61" s="1936">
        <v>0</v>
      </c>
      <c r="HV61" s="1936">
        <v>0</v>
      </c>
      <c r="HW61" s="1936">
        <v>0</v>
      </c>
      <c r="HX61" s="1936">
        <v>0</v>
      </c>
      <c r="HY61" s="1936">
        <v>0</v>
      </c>
      <c r="HZ61" s="51"/>
      <c r="IA61" s="59">
        <f t="shared" si="766"/>
        <v>0</v>
      </c>
      <c r="IB61" s="59"/>
      <c r="IC61" s="815">
        <f t="shared" si="581"/>
        <v>1</v>
      </c>
      <c r="ID61" s="815"/>
      <c r="IE61" s="284">
        <f t="shared" si="582"/>
        <v>0</v>
      </c>
      <c r="IF61" s="284"/>
      <c r="IG61" s="284">
        <f t="shared" si="583"/>
        <v>23970.601102425931</v>
      </c>
      <c r="IH61" s="284"/>
      <c r="II61" s="1288">
        <f t="shared" si="584"/>
        <v>1.002718048059418</v>
      </c>
      <c r="IJ61" s="1288">
        <f t="shared" si="585"/>
        <v>0</v>
      </c>
      <c r="IK61" s="284">
        <f t="shared" si="586"/>
        <v>1</v>
      </c>
      <c r="IL61" s="284">
        <f t="shared" si="587"/>
        <v>0</v>
      </c>
      <c r="IM61" s="284">
        <f t="shared" si="588"/>
        <v>0</v>
      </c>
      <c r="IN61" s="284">
        <f t="shared" si="589"/>
        <v>0</v>
      </c>
      <c r="IO61" s="753">
        <f t="shared" si="590"/>
        <v>-1611.9947753396029</v>
      </c>
      <c r="IP61" s="113">
        <f t="shared" si="591"/>
        <v>-2252.6938638038487</v>
      </c>
      <c r="IQ61" s="30">
        <f t="shared" si="592"/>
        <v>-0.35012338573264662</v>
      </c>
      <c r="IR61" s="438">
        <f t="shared" si="593"/>
        <v>1567172</v>
      </c>
      <c r="IS61" s="438">
        <f t="shared" si="594"/>
        <v>1036296</v>
      </c>
      <c r="IT61" s="438">
        <f t="shared" si="595"/>
        <v>1872878</v>
      </c>
      <c r="IU61" s="438">
        <f t="shared" si="596"/>
        <v>400007</v>
      </c>
      <c r="IV61" s="438">
        <f t="shared" si="597"/>
        <v>1202978</v>
      </c>
      <c r="IW61" s="438">
        <f t="shared" si="598"/>
        <v>670284</v>
      </c>
      <c r="IX61" s="285">
        <f t="shared" si="599"/>
        <v>0.60195554544937757</v>
      </c>
      <c r="IY61" s="285">
        <f t="shared" si="600"/>
        <v>0.39804445455062248</v>
      </c>
      <c r="IZ61" s="285">
        <f t="shared" si="601"/>
        <v>0.71937815252578485</v>
      </c>
      <c r="JA61" s="285">
        <f t="shared" si="602"/>
        <v>0.15364390881700871</v>
      </c>
      <c r="JB61" s="285">
        <f t="shared" si="603"/>
        <v>0.46206751917058325</v>
      </c>
      <c r="JC61" s="285">
        <f t="shared" si="604"/>
        <v>0.25745812892649345</v>
      </c>
      <c r="JD61" s="60">
        <f t="shared" si="605"/>
        <v>4406101</v>
      </c>
      <c r="JE61" s="60">
        <f t="shared" si="606"/>
        <v>2224533</v>
      </c>
      <c r="JF61" s="60">
        <f t="shared" si="607"/>
        <v>0</v>
      </c>
      <c r="JG61" s="60">
        <f t="shared" si="608"/>
        <v>315433</v>
      </c>
      <c r="JH61" s="284">
        <f t="shared" si="609"/>
        <v>1</v>
      </c>
      <c r="JI61" s="284">
        <f t="shared" si="610"/>
        <v>0</v>
      </c>
      <c r="JJ61" s="560">
        <f t="shared" si="611"/>
        <v>0</v>
      </c>
      <c r="JK61" s="561">
        <f t="shared" si="612"/>
        <v>0.59043570471708362</v>
      </c>
      <c r="JL61" s="561">
        <f t="shared" si="613"/>
        <v>9.4873383909211378E-2</v>
      </c>
      <c r="JM61" s="561">
        <f t="shared" si="614"/>
        <v>0</v>
      </c>
      <c r="JN61" s="561">
        <f t="shared" si="615"/>
        <v>0.28711222062510955</v>
      </c>
      <c r="JO61" s="561">
        <f t="shared" si="616"/>
        <v>0</v>
      </c>
      <c r="JP61" s="561">
        <f t="shared" si="617"/>
        <v>2.4876760927160988E-2</v>
      </c>
      <c r="JQ61" s="561">
        <f t="shared" si="618"/>
        <v>0.99729807017856553</v>
      </c>
      <c r="JR61" s="61">
        <f t="shared" si="619"/>
        <v>0</v>
      </c>
      <c r="JS61" s="61">
        <f t="shared" si="620"/>
        <v>0</v>
      </c>
      <c r="JT61" s="61">
        <f t="shared" si="621"/>
        <v>0</v>
      </c>
      <c r="JU61" s="61">
        <f t="shared" si="622"/>
        <v>0</v>
      </c>
      <c r="JV61" s="61">
        <f t="shared" si="623"/>
        <v>0</v>
      </c>
      <c r="JW61" s="61">
        <f t="shared" si="624"/>
        <v>0</v>
      </c>
      <c r="JX61" s="61">
        <f t="shared" si="625"/>
        <v>0</v>
      </c>
      <c r="JY61" s="394">
        <f t="shared" si="626"/>
        <v>0</v>
      </c>
      <c r="JZ61" s="61">
        <f t="shared" si="627"/>
        <v>0</v>
      </c>
      <c r="KA61" s="61">
        <f t="shared" si="628"/>
        <v>0</v>
      </c>
      <c r="KB61" s="61">
        <f t="shared" si="629"/>
        <v>0</v>
      </c>
      <c r="KC61" s="61">
        <f t="shared" si="630"/>
        <v>0</v>
      </c>
      <c r="KD61" s="61">
        <f t="shared" si="631"/>
        <v>0</v>
      </c>
      <c r="KE61" s="61">
        <f t="shared" si="632"/>
        <v>0</v>
      </c>
      <c r="KF61" s="61">
        <f t="shared" si="633"/>
        <v>0</v>
      </c>
      <c r="KG61" s="61">
        <f t="shared" si="634"/>
        <v>0</v>
      </c>
      <c r="KH61" s="61">
        <f t="shared" si="635"/>
        <v>0</v>
      </c>
      <c r="KI61" s="394">
        <f t="shared" si="636"/>
        <v>0</v>
      </c>
      <c r="KJ61" s="438">
        <f t="shared" si="637"/>
        <v>0</v>
      </c>
      <c r="KK61" s="438">
        <f t="shared" si="638"/>
        <v>0</v>
      </c>
      <c r="KL61" s="438">
        <f t="shared" si="639"/>
        <v>0</v>
      </c>
      <c r="KM61" s="438">
        <f t="shared" si="640"/>
        <v>0</v>
      </c>
      <c r="KN61" s="438">
        <f t="shared" si="641"/>
        <v>0</v>
      </c>
      <c r="KO61" s="438">
        <f t="shared" si="642"/>
        <v>0</v>
      </c>
      <c r="KP61" s="438">
        <f t="shared" si="643"/>
        <v>0</v>
      </c>
      <c r="KQ61" s="438">
        <f t="shared" si="644"/>
        <v>0</v>
      </c>
      <c r="KR61" s="438">
        <f t="shared" si="645"/>
        <v>0</v>
      </c>
      <c r="KS61" s="438">
        <f t="shared" si="646"/>
        <v>0</v>
      </c>
      <c r="KT61" s="438">
        <f t="shared" si="647"/>
        <v>0</v>
      </c>
      <c r="KU61" s="438">
        <f t="shared" si="648"/>
        <v>0</v>
      </c>
      <c r="KV61" s="420">
        <f t="shared" si="649"/>
        <v>0</v>
      </c>
      <c r="KW61" s="420">
        <f t="shared" si="650"/>
        <v>0</v>
      </c>
      <c r="KX61" s="108"/>
      <c r="KY61" s="282">
        <f t="shared" si="651"/>
        <v>0</v>
      </c>
      <c r="KZ61" s="282"/>
      <c r="LA61" s="282">
        <f t="shared" si="652"/>
        <v>0</v>
      </c>
      <c r="LB61" s="282"/>
      <c r="LC61" s="286">
        <f t="shared" si="653"/>
        <v>0</v>
      </c>
      <c r="LD61" s="286"/>
      <c r="LE61" s="282">
        <f t="shared" si="654"/>
        <v>0</v>
      </c>
      <c r="LF61" s="282"/>
      <c r="LG61" s="282">
        <f t="shared" si="655"/>
        <v>0</v>
      </c>
      <c r="LH61" s="282">
        <f t="shared" si="656"/>
        <v>0</v>
      </c>
      <c r="LI61" s="282">
        <f t="shared" si="657"/>
        <v>0</v>
      </c>
      <c r="LJ61" s="282">
        <f t="shared" si="658"/>
        <v>0</v>
      </c>
      <c r="LK61" s="282"/>
      <c r="LL61" s="282">
        <f t="shared" si="659"/>
        <v>0</v>
      </c>
      <c r="LM61" s="282">
        <f t="shared" si="660"/>
        <v>0</v>
      </c>
      <c r="LN61" s="282">
        <f t="shared" si="661"/>
        <v>0</v>
      </c>
      <c r="LO61" s="282">
        <f t="shared" si="662"/>
        <v>0</v>
      </c>
      <c r="LP61" s="286">
        <f t="shared" si="663"/>
        <v>0</v>
      </c>
      <c r="LQ61" s="282">
        <f t="shared" si="664"/>
        <v>0</v>
      </c>
      <c r="LR61" s="282">
        <f t="shared" si="665"/>
        <v>0</v>
      </c>
      <c r="LS61" s="282">
        <f t="shared" si="666"/>
        <v>0</v>
      </c>
      <c r="LT61" s="286">
        <f t="shared" si="667"/>
        <v>0</v>
      </c>
      <c r="LU61" s="286">
        <f t="shared" si="668"/>
        <v>0</v>
      </c>
      <c r="LV61" s="286">
        <f t="shared" si="669"/>
        <v>0</v>
      </c>
      <c r="LW61" s="286">
        <f t="shared" si="670"/>
        <v>0</v>
      </c>
      <c r="LX61" s="286">
        <f t="shared" si="671"/>
        <v>0</v>
      </c>
      <c r="LY61" s="286">
        <f t="shared" si="672"/>
        <v>0</v>
      </c>
      <c r="LZ61" s="286">
        <f t="shared" si="673"/>
        <v>0</v>
      </c>
      <c r="MA61" s="286">
        <f t="shared" si="674"/>
        <v>0</v>
      </c>
      <c r="MB61" s="286">
        <f t="shared" si="675"/>
        <v>0</v>
      </c>
      <c r="MC61" s="286">
        <f t="shared" si="676"/>
        <v>0</v>
      </c>
      <c r="MD61" s="286">
        <f t="shared" si="677"/>
        <v>0</v>
      </c>
      <c r="ME61" s="286">
        <f t="shared" si="678"/>
        <v>0</v>
      </c>
      <c r="MF61" s="286">
        <f t="shared" si="679"/>
        <v>0</v>
      </c>
      <c r="MG61" s="286">
        <f t="shared" si="680"/>
        <v>0</v>
      </c>
      <c r="MH61" s="286">
        <f t="shared" si="681"/>
        <v>0</v>
      </c>
      <c r="MI61" s="286">
        <f t="shared" si="682"/>
        <v>0</v>
      </c>
      <c r="MJ61" s="286">
        <f t="shared" si="683"/>
        <v>0</v>
      </c>
      <c r="MK61" s="286">
        <f t="shared" si="684"/>
        <v>0</v>
      </c>
      <c r="ML61" s="282">
        <f t="shared" si="685"/>
        <v>0</v>
      </c>
      <c r="MM61" s="1232">
        <f t="shared" si="686"/>
        <v>0</v>
      </c>
      <c r="MN61" s="1232">
        <f t="shared" si="687"/>
        <v>0</v>
      </c>
      <c r="MO61" s="1232">
        <f t="shared" si="688"/>
        <v>0</v>
      </c>
      <c r="MP61" s="1232">
        <f t="shared" si="689"/>
        <v>0</v>
      </c>
      <c r="MQ61" s="282">
        <f t="shared" si="690"/>
        <v>0</v>
      </c>
      <c r="MR61" s="282">
        <f t="shared" si="691"/>
        <v>0</v>
      </c>
      <c r="MS61" s="282">
        <f t="shared" si="692"/>
        <v>0</v>
      </c>
      <c r="MT61" s="282">
        <f t="shared" si="693"/>
        <v>0</v>
      </c>
      <c r="MU61" s="282">
        <f t="shared" si="694"/>
        <v>0</v>
      </c>
      <c r="MV61" s="282">
        <f t="shared" si="695"/>
        <v>0</v>
      </c>
      <c r="MW61" s="282">
        <f t="shared" si="696"/>
        <v>0</v>
      </c>
      <c r="MX61" s="282">
        <f t="shared" si="697"/>
        <v>0</v>
      </c>
      <c r="MY61" s="282">
        <f t="shared" si="698"/>
        <v>0</v>
      </c>
      <c r="MZ61" s="282">
        <f t="shared" si="699"/>
        <v>0</v>
      </c>
      <c r="NA61" s="282">
        <f t="shared" si="700"/>
        <v>0</v>
      </c>
      <c r="NB61" s="282">
        <f t="shared" si="701"/>
        <v>0</v>
      </c>
      <c r="NC61" s="282">
        <f t="shared" si="702"/>
        <v>0</v>
      </c>
      <c r="ND61" s="282">
        <f t="shared" si="703"/>
        <v>0</v>
      </c>
      <c r="NE61" s="282">
        <f t="shared" si="704"/>
        <v>0</v>
      </c>
      <c r="NF61" s="282">
        <f t="shared" si="705"/>
        <v>0</v>
      </c>
      <c r="NG61" s="282">
        <f t="shared" si="706"/>
        <v>0</v>
      </c>
      <c r="NH61" s="282">
        <f t="shared" si="707"/>
        <v>0</v>
      </c>
      <c r="NI61" s="282">
        <f t="shared" si="708"/>
        <v>0</v>
      </c>
      <c r="NJ61" s="282">
        <f t="shared" si="709"/>
        <v>0</v>
      </c>
      <c r="NK61" s="282">
        <f t="shared" si="710"/>
        <v>0</v>
      </c>
      <c r="NL61" s="282">
        <f t="shared" si="711"/>
        <v>0</v>
      </c>
      <c r="NM61" s="1205">
        <f t="shared" si="712"/>
        <v>0</v>
      </c>
      <c r="NN61" s="282">
        <f t="shared" si="713"/>
        <v>0</v>
      </c>
      <c r="NO61" s="282">
        <f t="shared" si="714"/>
        <v>0</v>
      </c>
      <c r="NP61" s="282">
        <f t="shared" si="715"/>
        <v>0</v>
      </c>
      <c r="NQ61" s="282">
        <f t="shared" si="716"/>
        <v>0</v>
      </c>
      <c r="NR61" s="282">
        <f t="shared" si="717"/>
        <v>0</v>
      </c>
      <c r="NS61" s="282">
        <f t="shared" si="718"/>
        <v>0</v>
      </c>
      <c r="NT61" s="282">
        <f t="shared" si="719"/>
        <v>0</v>
      </c>
      <c r="NU61" s="282">
        <f t="shared" si="720"/>
        <v>0</v>
      </c>
      <c r="NV61" s="286">
        <f t="shared" si="721"/>
        <v>0</v>
      </c>
      <c r="NW61" s="286">
        <f t="shared" si="722"/>
        <v>0</v>
      </c>
      <c r="NX61" s="286">
        <f t="shared" si="723"/>
        <v>0</v>
      </c>
      <c r="NY61" s="286">
        <f t="shared" si="724"/>
        <v>0</v>
      </c>
      <c r="NZ61" s="286">
        <f t="shared" si="725"/>
        <v>0</v>
      </c>
      <c r="OA61" s="286">
        <f t="shared" si="726"/>
        <v>0</v>
      </c>
      <c r="OB61" s="286">
        <f t="shared" si="727"/>
        <v>0</v>
      </c>
      <c r="OC61" s="286">
        <f t="shared" si="728"/>
        <v>0</v>
      </c>
      <c r="OD61" s="286">
        <f t="shared" si="729"/>
        <v>0</v>
      </c>
      <c r="OE61" s="282">
        <f t="shared" si="730"/>
        <v>0</v>
      </c>
      <c r="OF61" s="282">
        <f t="shared" si="731"/>
        <v>0</v>
      </c>
      <c r="OG61" s="286">
        <f t="shared" si="732"/>
        <v>0</v>
      </c>
      <c r="OH61" s="286">
        <f t="shared" si="733"/>
        <v>0</v>
      </c>
      <c r="OI61" s="286">
        <f t="shared" si="734"/>
        <v>0</v>
      </c>
      <c r="OJ61" s="286">
        <f t="shared" si="735"/>
        <v>0</v>
      </c>
      <c r="OK61" s="286">
        <f t="shared" si="736"/>
        <v>0</v>
      </c>
      <c r="OL61" s="286">
        <f t="shared" si="737"/>
        <v>0</v>
      </c>
      <c r="OM61" s="286">
        <f t="shared" si="738"/>
        <v>0</v>
      </c>
      <c r="ON61" s="286">
        <f t="shared" si="739"/>
        <v>0</v>
      </c>
      <c r="OO61" s="286">
        <f t="shared" si="740"/>
        <v>0</v>
      </c>
      <c r="OP61" s="434">
        <f t="shared" si="741"/>
        <v>0</v>
      </c>
      <c r="OQ61" s="434">
        <f t="shared" si="742"/>
        <v>0</v>
      </c>
      <c r="OR61" s="282">
        <f t="shared" si="743"/>
        <v>0</v>
      </c>
      <c r="OS61" s="282">
        <f t="shared" si="744"/>
        <v>0</v>
      </c>
      <c r="OT61" s="282">
        <f t="shared" si="745"/>
        <v>0</v>
      </c>
      <c r="OU61" s="282">
        <f t="shared" si="746"/>
        <v>0</v>
      </c>
      <c r="OV61" s="282">
        <f t="shared" si="747"/>
        <v>0</v>
      </c>
      <c r="OW61" s="286">
        <f t="shared" si="748"/>
        <v>0</v>
      </c>
      <c r="OX61" s="286">
        <f t="shared" si="749"/>
        <v>0</v>
      </c>
      <c r="OY61" s="286">
        <f t="shared" si="750"/>
        <v>0</v>
      </c>
      <c r="OZ61" s="286">
        <f t="shared" si="751"/>
        <v>0</v>
      </c>
      <c r="PA61" s="286">
        <f t="shared" si="752"/>
        <v>0</v>
      </c>
      <c r="PB61" s="286">
        <f t="shared" si="753"/>
        <v>0</v>
      </c>
      <c r="PC61" s="286">
        <f t="shared" si="754"/>
        <v>0</v>
      </c>
      <c r="PD61" s="282">
        <f t="shared" si="755"/>
        <v>0</v>
      </c>
      <c r="PE61" s="282">
        <f t="shared" si="756"/>
        <v>0</v>
      </c>
      <c r="PF61" s="286">
        <f t="shared" si="757"/>
        <v>0</v>
      </c>
      <c r="PG61" s="286">
        <f t="shared" si="758"/>
        <v>0</v>
      </c>
      <c r="PH61" s="286">
        <f t="shared" si="759"/>
        <v>0</v>
      </c>
      <c r="PI61" s="286">
        <f t="shared" si="760"/>
        <v>0</v>
      </c>
      <c r="PJ61" s="286">
        <f t="shared" si="761"/>
        <v>0</v>
      </c>
      <c r="PK61" s="286">
        <f t="shared" si="762"/>
        <v>0</v>
      </c>
      <c r="PL61" s="286">
        <f t="shared" si="763"/>
        <v>0</v>
      </c>
      <c r="PM61" s="562">
        <v>5</v>
      </c>
      <c r="PN61" s="283"/>
      <c r="PO61" s="283"/>
    </row>
    <row r="62" spans="1:431" s="289" customFormat="1" ht="15" customHeight="1">
      <c r="A62" s="1935" t="s">
        <v>1127</v>
      </c>
      <c r="B62" s="1040" t="str">
        <f>VLOOKUP(A62,'Area (&amp;golfacre for lookup)'!$A$2:$B$162,2,FALSE)</f>
        <v>SW exc CIRA</v>
      </c>
      <c r="C62" s="1936"/>
      <c r="D62" s="1937">
        <v>44773</v>
      </c>
      <c r="E62" s="402"/>
      <c r="F62" s="1936">
        <v>1</v>
      </c>
      <c r="G62" s="1979">
        <v>1</v>
      </c>
      <c r="H62" s="1936">
        <v>300</v>
      </c>
      <c r="I62" s="1936">
        <v>72</v>
      </c>
      <c r="J62" s="1936">
        <v>372</v>
      </c>
      <c r="K62" s="1938">
        <v>323.70663157894739</v>
      </c>
      <c r="L62" s="1939" t="s">
        <v>1208</v>
      </c>
      <c r="M62" s="1939" t="s">
        <v>1208</v>
      </c>
      <c r="N62" s="1939" t="s">
        <v>1208</v>
      </c>
      <c r="O62" s="1939" t="s">
        <v>1208</v>
      </c>
      <c r="P62" s="1939" t="s">
        <v>1208</v>
      </c>
      <c r="Q62" s="1936">
        <v>62500</v>
      </c>
      <c r="R62" s="1936">
        <v>187500</v>
      </c>
      <c r="S62" s="1936">
        <v>250000</v>
      </c>
      <c r="T62" s="1939" t="s">
        <v>1208</v>
      </c>
      <c r="U62" s="1939" t="s">
        <v>1208</v>
      </c>
      <c r="V62" s="1939" t="s">
        <v>1208</v>
      </c>
      <c r="W62" s="1936">
        <v>22200</v>
      </c>
      <c r="X62" s="1936">
        <v>19000</v>
      </c>
      <c r="Y62" s="1939" t="s">
        <v>1208</v>
      </c>
      <c r="Z62" s="1939" t="s">
        <v>1208</v>
      </c>
      <c r="AA62" s="1936">
        <v>3200</v>
      </c>
      <c r="AB62" s="1362">
        <v>0.16842105263157894</v>
      </c>
      <c r="AC62" s="1939" t="s">
        <v>1208</v>
      </c>
      <c r="AD62" s="1363" t="s">
        <v>1208</v>
      </c>
      <c r="AE62" s="1936">
        <v>1</v>
      </c>
      <c r="AF62" s="1936">
        <v>3000</v>
      </c>
      <c r="AG62" s="1939" t="s">
        <v>1208</v>
      </c>
      <c r="AH62" s="1936">
        <v>0</v>
      </c>
      <c r="AI62" s="1936">
        <v>0</v>
      </c>
      <c r="AJ62" s="1939" t="s">
        <v>1208</v>
      </c>
      <c r="AK62" s="1938">
        <v>0</v>
      </c>
      <c r="AL62" s="1938">
        <v>0</v>
      </c>
      <c r="AM62" s="1936">
        <v>22000</v>
      </c>
      <c r="AN62" s="1939" t="s">
        <v>1208</v>
      </c>
      <c r="AO62" s="1936">
        <v>1900</v>
      </c>
      <c r="AP62" s="1936">
        <v>0</v>
      </c>
      <c r="AQ62" s="1936">
        <v>23900</v>
      </c>
      <c r="AR62" s="1939" t="s">
        <v>1208</v>
      </c>
      <c r="AS62" s="1363" t="s">
        <v>1208</v>
      </c>
      <c r="AT62" s="1363" t="s">
        <v>1208</v>
      </c>
      <c r="AU62" s="1363" t="s">
        <v>1208</v>
      </c>
      <c r="AV62" s="1363" t="s">
        <v>1208</v>
      </c>
      <c r="AW62" s="1363" t="s">
        <v>1291</v>
      </c>
      <c r="AX62" s="1938">
        <v>0</v>
      </c>
      <c r="AY62" s="1938">
        <v>0</v>
      </c>
      <c r="AZ62" s="1938">
        <v>0</v>
      </c>
      <c r="BA62" s="1938">
        <v>0</v>
      </c>
      <c r="BB62" s="1938">
        <v>0</v>
      </c>
      <c r="BC62" s="1938">
        <v>0</v>
      </c>
      <c r="BD62" s="1938">
        <v>0</v>
      </c>
      <c r="BE62" s="1936">
        <v>1</v>
      </c>
      <c r="BF62" s="1936">
        <v>1900000</v>
      </c>
      <c r="BG62" s="1936">
        <v>2100000</v>
      </c>
      <c r="BH62" s="1936">
        <v>4000000</v>
      </c>
      <c r="BI62" s="1938">
        <v>26239085</v>
      </c>
      <c r="BJ62" s="1936">
        <v>1065112</v>
      </c>
      <c r="BK62" s="1936">
        <v>2227131</v>
      </c>
      <c r="BL62" s="1362">
        <v>0.47824398295385406</v>
      </c>
      <c r="BM62" s="1936">
        <v>1</v>
      </c>
      <c r="BN62" s="1936">
        <v>1174174</v>
      </c>
      <c r="BO62" s="1363" t="s">
        <v>1208</v>
      </c>
      <c r="BP62" s="1938">
        <v>3258756</v>
      </c>
      <c r="BQ62" s="1938">
        <v>4479011</v>
      </c>
      <c r="BR62" s="1940">
        <v>0.72756150855624158</v>
      </c>
      <c r="BS62" s="1409">
        <v>0</v>
      </c>
      <c r="BT62" s="1938">
        <v>4865711</v>
      </c>
      <c r="BU62" s="1938">
        <v>33013478</v>
      </c>
      <c r="BV62" s="1940">
        <v>0.14738559203001877</v>
      </c>
      <c r="BW62" s="1936">
        <v>3627.2781755280039</v>
      </c>
      <c r="BX62" s="1936">
        <v>3290.3620009410729</v>
      </c>
      <c r="BY62" s="1936">
        <v>12356.867638111571</v>
      </c>
      <c r="BZ62" s="1936">
        <v>1033173</v>
      </c>
      <c r="CA62" s="1936">
        <v>0</v>
      </c>
      <c r="CB62" s="1936">
        <v>733475</v>
      </c>
      <c r="CC62" s="1936">
        <v>0</v>
      </c>
      <c r="CD62" s="1936">
        <v>6150426</v>
      </c>
      <c r="CE62" s="1936">
        <v>0</v>
      </c>
      <c r="CF62" s="1936">
        <v>0</v>
      </c>
      <c r="CG62" s="1936">
        <v>1294558</v>
      </c>
      <c r="CH62" s="1936">
        <v>1271627</v>
      </c>
      <c r="CI62" s="1936">
        <v>529307</v>
      </c>
      <c r="CJ62" s="1936">
        <v>11012566</v>
      </c>
      <c r="CK62" s="1366">
        <v>9.3817644316501719E-2</v>
      </c>
      <c r="CL62" s="1366">
        <v>0</v>
      </c>
      <c r="CM62" s="1366">
        <v>6.660346008368985E-2</v>
      </c>
      <c r="CN62" s="1366">
        <v>0</v>
      </c>
      <c r="CO62" s="1366">
        <v>0.5584916358276536</v>
      </c>
      <c r="CP62" s="1366">
        <v>0</v>
      </c>
      <c r="CQ62" s="1366">
        <v>0</v>
      </c>
      <c r="CR62" s="1366">
        <v>0.11755280286174902</v>
      </c>
      <c r="CS62" s="1366">
        <v>0.11547054519355435</v>
      </c>
      <c r="CT62" s="1366">
        <v>4.8063911716851461E-2</v>
      </c>
      <c r="CU62" s="1366">
        <v>1</v>
      </c>
      <c r="CV62" s="1936">
        <v>5331968</v>
      </c>
      <c r="CW62" s="1936">
        <v>1411764</v>
      </c>
      <c r="CX62" s="1936">
        <v>501183</v>
      </c>
      <c r="CY62" s="1936">
        <v>3661223</v>
      </c>
      <c r="CZ62" s="1936">
        <v>106542</v>
      </c>
      <c r="DA62" s="1936">
        <v>241737</v>
      </c>
      <c r="DB62" s="1936">
        <v>11254417</v>
      </c>
      <c r="DC62" s="1366">
        <v>0.47376669977662994</v>
      </c>
      <c r="DD62" s="1366">
        <v>0.12544088245530621</v>
      </c>
      <c r="DE62" s="1366">
        <v>4.4532115701772915E-2</v>
      </c>
      <c r="DF62" s="1366">
        <v>0.32531431881367112</v>
      </c>
      <c r="DG62" s="1366">
        <v>9.4666831698167926E-3</v>
      </c>
      <c r="DH62" s="1366">
        <v>2.1479300082803045E-2</v>
      </c>
      <c r="DI62" s="1366">
        <v>1</v>
      </c>
      <c r="DJ62" s="1936">
        <v>-241851</v>
      </c>
      <c r="DK62" s="1936">
        <v>3191.6955020676614</v>
      </c>
      <c r="DL62" s="1936">
        <v>0</v>
      </c>
      <c r="DM62" s="1936">
        <v>2265.8633727159709</v>
      </c>
      <c r="DN62" s="1936">
        <v>0</v>
      </c>
      <c r="DO62" s="1936">
        <v>19000</v>
      </c>
      <c r="DP62" s="1936">
        <v>0</v>
      </c>
      <c r="DQ62" s="1936">
        <v>0</v>
      </c>
      <c r="DR62" s="1936">
        <v>3999.1704639646096</v>
      </c>
      <c r="DS62" s="1936">
        <v>3928.3316310122254</v>
      </c>
      <c r="DT62" s="1936">
        <v>1635.1441347314803</v>
      </c>
      <c r="DU62" s="1936">
        <v>34020.205104491943</v>
      </c>
      <c r="DV62" s="1936">
        <v>16471.605706661619</v>
      </c>
      <c r="DW62" s="1936">
        <v>4361.2452210627362</v>
      </c>
      <c r="DX62" s="1936">
        <v>1548.2629983679178</v>
      </c>
      <c r="DY62" s="1936">
        <v>11310.312001152439</v>
      </c>
      <c r="DZ62" s="1936">
        <v>329.13134797492074</v>
      </c>
      <c r="EA62" s="1936">
        <v>746.77802805854412</v>
      </c>
      <c r="EB62" s="1936">
        <v>34767.335303278174</v>
      </c>
      <c r="EC62" s="1936">
        <v>-747.13019878623038</v>
      </c>
      <c r="ED62" s="1941">
        <v>110</v>
      </c>
      <c r="EE62" s="1936">
        <v>0</v>
      </c>
      <c r="EF62" s="1936">
        <v>0</v>
      </c>
      <c r="EG62" s="1938">
        <v>0</v>
      </c>
      <c r="EH62" s="1938">
        <v>1</v>
      </c>
      <c r="EI62" s="1368">
        <v>0.02</v>
      </c>
      <c r="EJ62" s="1981">
        <v>2.9427875598086128</v>
      </c>
      <c r="EK62" s="1936">
        <v>1</v>
      </c>
      <c r="EL62" s="1936">
        <v>1900</v>
      </c>
      <c r="EM62" s="1936">
        <v>1</v>
      </c>
      <c r="EN62" s="1362">
        <v>0.2</v>
      </c>
      <c r="EO62" s="1936">
        <v>0</v>
      </c>
      <c r="EP62" s="1936">
        <v>0</v>
      </c>
      <c r="EQ62" s="1936">
        <v>0</v>
      </c>
      <c r="ER62" s="1938">
        <v>0</v>
      </c>
      <c r="ES62" s="1936">
        <v>7927.502094976835</v>
      </c>
      <c r="ET62" s="1936">
        <v>-2921.5187695941709</v>
      </c>
      <c r="EU62" s="1938">
        <v>2</v>
      </c>
      <c r="EV62" s="1936">
        <v>25000</v>
      </c>
      <c r="EW62" s="1936">
        <v>5000</v>
      </c>
      <c r="EX62" s="1938">
        <v>1</v>
      </c>
      <c r="EY62" s="1936">
        <v>1294558</v>
      </c>
      <c r="EZ62" s="1936">
        <v>592718</v>
      </c>
      <c r="FA62" s="1936">
        <v>701840</v>
      </c>
      <c r="FB62" s="1936">
        <v>1271627</v>
      </c>
      <c r="FC62" s="1936">
        <v>819046</v>
      </c>
      <c r="FD62" s="1936">
        <v>452581</v>
      </c>
      <c r="FE62" s="1936">
        <v>2566185</v>
      </c>
      <c r="FF62" s="1936">
        <v>1411764</v>
      </c>
      <c r="FG62" s="1936">
        <v>1154421</v>
      </c>
      <c r="FH62" s="1366">
        <v>1</v>
      </c>
      <c r="FI62" s="1366">
        <v>0.45785356855390025</v>
      </c>
      <c r="FJ62" s="1366">
        <v>0.54214643144609975</v>
      </c>
      <c r="FK62" s="1366">
        <v>1</v>
      </c>
      <c r="FL62" s="1366">
        <v>0.64409296122211934</v>
      </c>
      <c r="FM62" s="1366">
        <v>0.3559070387778806</v>
      </c>
      <c r="FN62" s="1366">
        <v>1</v>
      </c>
      <c r="FO62" s="1366">
        <v>0.5501411628545877</v>
      </c>
      <c r="FP62" s="1366">
        <v>0.44985883714541236</v>
      </c>
      <c r="FQ62" s="1936">
        <v>1245188</v>
      </c>
      <c r="FR62" s="1936">
        <v>0</v>
      </c>
      <c r="FS62" s="1936">
        <v>331755</v>
      </c>
      <c r="FT62" s="1936">
        <v>6125</v>
      </c>
      <c r="FU62" s="1936">
        <v>71044</v>
      </c>
      <c r="FV62" s="1936">
        <v>6639</v>
      </c>
      <c r="FW62" s="1936">
        <v>439385</v>
      </c>
      <c r="FX62" s="1936">
        <v>2100136</v>
      </c>
      <c r="FY62" s="1936">
        <v>-945715</v>
      </c>
      <c r="FZ62" s="1366">
        <v>0.48522924107186349</v>
      </c>
      <c r="GA62" s="1366">
        <v>0</v>
      </c>
      <c r="GB62" s="1366">
        <v>0.12927945569006133</v>
      </c>
      <c r="GC62" s="1366">
        <v>2.3868115509988563E-3</v>
      </c>
      <c r="GD62" s="1366">
        <v>2.768467589047555E-2</v>
      </c>
      <c r="GE62" s="1366">
        <v>2.5871088795234951E-3</v>
      </c>
      <c r="GF62" s="1366">
        <v>0.17122109278949102</v>
      </c>
      <c r="GG62" s="1366">
        <v>0.81838838587241369</v>
      </c>
      <c r="GH62" s="1366">
        <v>-0.36852954872700139</v>
      </c>
      <c r="GI62" s="1942">
        <v>1.018032803644465</v>
      </c>
      <c r="GJ62" s="1943">
        <v>1</v>
      </c>
      <c r="GK62" s="1371">
        <v>0.22</v>
      </c>
      <c r="GL62" s="1943">
        <v>1</v>
      </c>
      <c r="GM62" s="1371">
        <v>0.03</v>
      </c>
      <c r="GN62" s="1943">
        <v>18</v>
      </c>
      <c r="GO62" s="1985">
        <f>IF(GN62=0,0,VLOOKUP(A62,'Area (&amp;golfacre for lookup)'!$G$2:$H$133,2,FALSE))</f>
        <v>83</v>
      </c>
      <c r="GP62" s="1943">
        <v>25000</v>
      </c>
      <c r="GQ62" s="1943">
        <v>1279870</v>
      </c>
      <c r="GR62" s="1943">
        <v>214727</v>
      </c>
      <c r="GS62" s="1943">
        <v>983441</v>
      </c>
      <c r="GT62" s="1943">
        <v>119388</v>
      </c>
      <c r="GU62" s="1943">
        <v>0</v>
      </c>
      <c r="GV62" s="1943">
        <v>380650</v>
      </c>
      <c r="GW62" s="1943">
        <v>2978076</v>
      </c>
      <c r="GX62" s="1943">
        <v>165448.66666666666</v>
      </c>
      <c r="GY62" s="1985">
        <f t="shared" si="764"/>
        <v>35880.433734939761</v>
      </c>
      <c r="GZ62" s="1366">
        <v>0.42976404900345055</v>
      </c>
      <c r="HA62" s="1366">
        <v>7.2102592412013666E-2</v>
      </c>
      <c r="HB62" s="1366">
        <v>0.33022696532929313</v>
      </c>
      <c r="HC62" s="1366">
        <v>4.0088970194179063E-2</v>
      </c>
      <c r="HD62" s="1366">
        <v>0</v>
      </c>
      <c r="HE62" s="1366">
        <v>0.12781742306106358</v>
      </c>
      <c r="HF62" s="1366">
        <v>1</v>
      </c>
      <c r="HG62" s="1936">
        <v>0</v>
      </c>
      <c r="HH62" s="1988">
        <f>IF(HG62=0,0,VLOOKUP(A62,'Area (&amp;golfacre for lookup)'!$G$2:$H$134,2,FALSE))</f>
        <v>0</v>
      </c>
      <c r="HI62" s="1936">
        <v>0</v>
      </c>
      <c r="HJ62" s="1936">
        <v>0</v>
      </c>
      <c r="HK62" s="1936">
        <v>0</v>
      </c>
      <c r="HL62" s="1936">
        <v>0</v>
      </c>
      <c r="HM62" s="1936">
        <v>0</v>
      </c>
      <c r="HN62" s="1936">
        <v>0</v>
      </c>
      <c r="HO62" s="1936">
        <v>0</v>
      </c>
      <c r="HP62" s="1936">
        <v>0</v>
      </c>
      <c r="HQ62" s="1936">
        <v>0</v>
      </c>
      <c r="HR62" s="1988">
        <f t="shared" si="765"/>
        <v>0</v>
      </c>
      <c r="HS62" s="1936">
        <v>0</v>
      </c>
      <c r="HT62" s="1936">
        <v>0</v>
      </c>
      <c r="HU62" s="1936">
        <v>0</v>
      </c>
      <c r="HV62" s="1936">
        <v>0</v>
      </c>
      <c r="HW62" s="1936">
        <v>0</v>
      </c>
      <c r="HX62" s="1936">
        <v>0</v>
      </c>
      <c r="HY62" s="1936">
        <v>0</v>
      </c>
      <c r="HZ62" s="51"/>
      <c r="IA62" s="59">
        <f t="shared" si="766"/>
        <v>0.25</v>
      </c>
      <c r="IB62" s="59"/>
      <c r="IC62" s="815">
        <f t="shared" si="581"/>
        <v>1</v>
      </c>
      <c r="ID62" s="815"/>
      <c r="IE62" s="284">
        <f t="shared" si="582"/>
        <v>0</v>
      </c>
      <c r="IF62" s="284"/>
      <c r="IG62" s="284">
        <f t="shared" si="583"/>
        <v>81058.225072539688</v>
      </c>
      <c r="IH62" s="284"/>
      <c r="II62" s="1288">
        <f t="shared" si="584"/>
        <v>0</v>
      </c>
      <c r="IJ62" s="1288">
        <f t="shared" si="585"/>
        <v>0.72756150855624158</v>
      </c>
      <c r="IK62" s="284">
        <f t="shared" si="586"/>
        <v>0</v>
      </c>
      <c r="IL62" s="284">
        <f t="shared" si="587"/>
        <v>0</v>
      </c>
      <c r="IM62" s="284">
        <f t="shared" si="588"/>
        <v>1</v>
      </c>
      <c r="IN62" s="284">
        <f t="shared" si="589"/>
        <v>0</v>
      </c>
      <c r="IO62" s="753">
        <f t="shared" si="590"/>
        <v>-2542.244623655914</v>
      </c>
      <c r="IP62" s="113">
        <f t="shared" si="591"/>
        <v>-2921.5187695941709</v>
      </c>
      <c r="IQ62" s="30">
        <f t="shared" si="592"/>
        <v>-0.15376414576811429</v>
      </c>
      <c r="IR62" s="438">
        <f t="shared" si="593"/>
        <v>1294558</v>
      </c>
      <c r="IS62" s="438">
        <f t="shared" si="594"/>
        <v>1271627</v>
      </c>
      <c r="IT62" s="438">
        <f t="shared" si="595"/>
        <v>1245188</v>
      </c>
      <c r="IU62" s="438">
        <f t="shared" si="596"/>
        <v>337880</v>
      </c>
      <c r="IV62" s="438">
        <f t="shared" si="597"/>
        <v>1411764</v>
      </c>
      <c r="IW62" s="438">
        <f t="shared" si="598"/>
        <v>517068</v>
      </c>
      <c r="IX62" s="285">
        <f t="shared" si="599"/>
        <v>0.50446791638171062</v>
      </c>
      <c r="IY62" s="285">
        <f t="shared" si="600"/>
        <v>0.49553208361828943</v>
      </c>
      <c r="IZ62" s="285">
        <f t="shared" si="601"/>
        <v>0.48522924107186349</v>
      </c>
      <c r="JA62" s="285">
        <f t="shared" si="602"/>
        <v>0.13166626724106018</v>
      </c>
      <c r="JB62" s="285">
        <f t="shared" si="603"/>
        <v>0.5501411628545877</v>
      </c>
      <c r="JC62" s="285">
        <f t="shared" si="604"/>
        <v>0.20149287755949005</v>
      </c>
      <c r="JD62" s="60">
        <f t="shared" si="605"/>
        <v>6150426</v>
      </c>
      <c r="JE62" s="60">
        <f t="shared" si="606"/>
        <v>1766648</v>
      </c>
      <c r="JF62" s="60">
        <f t="shared" si="607"/>
        <v>0</v>
      </c>
      <c r="JG62" s="60">
        <f t="shared" si="608"/>
        <v>348279</v>
      </c>
      <c r="JH62" s="284">
        <f t="shared" si="609"/>
        <v>0</v>
      </c>
      <c r="JI62" s="284">
        <f t="shared" si="610"/>
        <v>1</v>
      </c>
      <c r="JJ62" s="560">
        <f t="shared" si="611"/>
        <v>0.68329936262312962</v>
      </c>
      <c r="JK62" s="561">
        <f t="shared" si="612"/>
        <v>0.48417126399060856</v>
      </c>
      <c r="JL62" s="561">
        <f t="shared" si="613"/>
        <v>0.1281957356714139</v>
      </c>
      <c r="JM62" s="561">
        <f t="shared" si="614"/>
        <v>4.551010182368033E-2</v>
      </c>
      <c r="JN62" s="561">
        <f t="shared" si="615"/>
        <v>0.33245866585498784</v>
      </c>
      <c r="JO62" s="561">
        <f t="shared" si="616"/>
        <v>9.6745844701407457E-3</v>
      </c>
      <c r="JP62" s="561">
        <f t="shared" si="617"/>
        <v>2.1951014867924515E-2</v>
      </c>
      <c r="JQ62" s="561">
        <f t="shared" si="618"/>
        <v>1.0219613666787559</v>
      </c>
      <c r="JR62" s="61">
        <f t="shared" si="619"/>
        <v>71103.888888888891</v>
      </c>
      <c r="JS62" s="61">
        <f t="shared" si="620"/>
        <v>11929.277777777777</v>
      </c>
      <c r="JT62" s="61">
        <f t="shared" si="621"/>
        <v>54635.611111111109</v>
      </c>
      <c r="JU62" s="61">
        <f t="shared" si="622"/>
        <v>6632.666666666667</v>
      </c>
      <c r="JV62" s="61">
        <f t="shared" si="623"/>
        <v>0</v>
      </c>
      <c r="JW62" s="61">
        <f t="shared" si="624"/>
        <v>21147.222222222223</v>
      </c>
      <c r="JX62" s="61">
        <f t="shared" si="625"/>
        <v>119.12304</v>
      </c>
      <c r="JY62" s="394">
        <f t="shared" si="626"/>
        <v>0.26461397334042269</v>
      </c>
      <c r="JZ62" s="61">
        <f t="shared" si="627"/>
        <v>0</v>
      </c>
      <c r="KA62" s="61">
        <f t="shared" si="628"/>
        <v>0</v>
      </c>
      <c r="KB62" s="61">
        <f t="shared" si="629"/>
        <v>0</v>
      </c>
      <c r="KC62" s="61">
        <f t="shared" si="630"/>
        <v>0</v>
      </c>
      <c r="KD62" s="61">
        <f t="shared" si="631"/>
        <v>0</v>
      </c>
      <c r="KE62" s="61">
        <f t="shared" si="632"/>
        <v>0</v>
      </c>
      <c r="KF62" s="61">
        <f t="shared" si="633"/>
        <v>0</v>
      </c>
      <c r="KG62" s="61">
        <f t="shared" si="634"/>
        <v>0</v>
      </c>
      <c r="KH62" s="61">
        <f t="shared" si="635"/>
        <v>0</v>
      </c>
      <c r="KI62" s="394">
        <f t="shared" si="636"/>
        <v>0</v>
      </c>
      <c r="KJ62" s="438">
        <f t="shared" si="637"/>
        <v>18</v>
      </c>
      <c r="KK62" s="438">
        <f t="shared" si="638"/>
        <v>25000</v>
      </c>
      <c r="KL62" s="438">
        <f t="shared" si="639"/>
        <v>83</v>
      </c>
      <c r="KM62" s="438">
        <f t="shared" si="640"/>
        <v>165448.66666666666</v>
      </c>
      <c r="KN62" s="438">
        <f t="shared" si="641"/>
        <v>119.12304</v>
      </c>
      <c r="KO62" s="438">
        <f t="shared" si="642"/>
        <v>35880.433734939761</v>
      </c>
      <c r="KP62" s="438">
        <f t="shared" si="643"/>
        <v>1279870</v>
      </c>
      <c r="KQ62" s="438">
        <f t="shared" si="644"/>
        <v>214727</v>
      </c>
      <c r="KR62" s="438">
        <f t="shared" si="645"/>
        <v>983441</v>
      </c>
      <c r="KS62" s="438">
        <f t="shared" si="646"/>
        <v>119388</v>
      </c>
      <c r="KT62" s="438">
        <f t="shared" si="647"/>
        <v>0</v>
      </c>
      <c r="KU62" s="438">
        <f t="shared" si="648"/>
        <v>380650</v>
      </c>
      <c r="KV62" s="420">
        <f t="shared" si="649"/>
        <v>0.26461397334042269</v>
      </c>
      <c r="KW62" s="420">
        <f t="shared" si="650"/>
        <v>-0.42231643791828405</v>
      </c>
      <c r="KX62" s="108"/>
      <c r="KY62" s="282">
        <f t="shared" si="651"/>
        <v>0</v>
      </c>
      <c r="KZ62" s="282"/>
      <c r="LA62" s="282">
        <f t="shared" si="652"/>
        <v>0</v>
      </c>
      <c r="LB62" s="282"/>
      <c r="LC62" s="286">
        <f t="shared" si="653"/>
        <v>0</v>
      </c>
      <c r="LD62" s="286"/>
      <c r="LE62" s="282">
        <f t="shared" si="654"/>
        <v>0</v>
      </c>
      <c r="LF62" s="282"/>
      <c r="LG62" s="282">
        <f t="shared" si="655"/>
        <v>0</v>
      </c>
      <c r="LH62" s="282">
        <f t="shared" si="656"/>
        <v>0</v>
      </c>
      <c r="LI62" s="282">
        <f t="shared" si="657"/>
        <v>0</v>
      </c>
      <c r="LJ62" s="282">
        <f t="shared" si="658"/>
        <v>0</v>
      </c>
      <c r="LK62" s="282"/>
      <c r="LL62" s="282">
        <f t="shared" si="659"/>
        <v>0</v>
      </c>
      <c r="LM62" s="282">
        <f t="shared" si="660"/>
        <v>0</v>
      </c>
      <c r="LN62" s="282">
        <f t="shared" si="661"/>
        <v>0</v>
      </c>
      <c r="LO62" s="282">
        <f t="shared" si="662"/>
        <v>0</v>
      </c>
      <c r="LP62" s="286">
        <f t="shared" si="663"/>
        <v>0</v>
      </c>
      <c r="LQ62" s="282">
        <f t="shared" si="664"/>
        <v>0</v>
      </c>
      <c r="LR62" s="282">
        <f t="shared" si="665"/>
        <v>0</v>
      </c>
      <c r="LS62" s="282">
        <f t="shared" si="666"/>
        <v>0</v>
      </c>
      <c r="LT62" s="286">
        <f t="shared" si="667"/>
        <v>0</v>
      </c>
      <c r="LU62" s="286">
        <f t="shared" si="668"/>
        <v>0</v>
      </c>
      <c r="LV62" s="286">
        <f t="shared" si="669"/>
        <v>0</v>
      </c>
      <c r="LW62" s="286">
        <f t="shared" si="670"/>
        <v>0</v>
      </c>
      <c r="LX62" s="286">
        <f t="shared" si="671"/>
        <v>0</v>
      </c>
      <c r="LY62" s="286">
        <f t="shared" si="672"/>
        <v>0</v>
      </c>
      <c r="LZ62" s="286">
        <f t="shared" si="673"/>
        <v>0</v>
      </c>
      <c r="MA62" s="286">
        <f t="shared" si="674"/>
        <v>0</v>
      </c>
      <c r="MB62" s="286">
        <f t="shared" si="675"/>
        <v>0</v>
      </c>
      <c r="MC62" s="286">
        <f t="shared" si="676"/>
        <v>0</v>
      </c>
      <c r="MD62" s="286">
        <f t="shared" si="677"/>
        <v>0</v>
      </c>
      <c r="ME62" s="286">
        <f t="shared" si="678"/>
        <v>0</v>
      </c>
      <c r="MF62" s="286">
        <f t="shared" si="679"/>
        <v>0</v>
      </c>
      <c r="MG62" s="286">
        <f t="shared" si="680"/>
        <v>0</v>
      </c>
      <c r="MH62" s="286">
        <f t="shared" si="681"/>
        <v>0</v>
      </c>
      <c r="MI62" s="286">
        <f t="shared" si="682"/>
        <v>0</v>
      </c>
      <c r="MJ62" s="286">
        <f t="shared" si="683"/>
        <v>0</v>
      </c>
      <c r="MK62" s="286">
        <f t="shared" si="684"/>
        <v>0</v>
      </c>
      <c r="ML62" s="282">
        <f t="shared" si="685"/>
        <v>0</v>
      </c>
      <c r="MM62" s="1232">
        <f t="shared" si="686"/>
        <v>0</v>
      </c>
      <c r="MN62" s="1232">
        <f t="shared" si="687"/>
        <v>0</v>
      </c>
      <c r="MO62" s="1232">
        <f t="shared" si="688"/>
        <v>0</v>
      </c>
      <c r="MP62" s="1232">
        <f t="shared" si="689"/>
        <v>0</v>
      </c>
      <c r="MQ62" s="282">
        <f t="shared" si="690"/>
        <v>0</v>
      </c>
      <c r="MR62" s="282">
        <f t="shared" si="691"/>
        <v>0</v>
      </c>
      <c r="MS62" s="282">
        <f t="shared" si="692"/>
        <v>0</v>
      </c>
      <c r="MT62" s="282">
        <f t="shared" si="693"/>
        <v>0</v>
      </c>
      <c r="MU62" s="282">
        <f t="shared" si="694"/>
        <v>0</v>
      </c>
      <c r="MV62" s="282">
        <f t="shared" si="695"/>
        <v>0</v>
      </c>
      <c r="MW62" s="282">
        <f t="shared" si="696"/>
        <v>0</v>
      </c>
      <c r="MX62" s="282">
        <f t="shared" si="697"/>
        <v>0</v>
      </c>
      <c r="MY62" s="282">
        <f t="shared" si="698"/>
        <v>0</v>
      </c>
      <c r="MZ62" s="282">
        <f t="shared" si="699"/>
        <v>0</v>
      </c>
      <c r="NA62" s="282">
        <f t="shared" si="700"/>
        <v>0</v>
      </c>
      <c r="NB62" s="282">
        <f t="shared" si="701"/>
        <v>0</v>
      </c>
      <c r="NC62" s="282">
        <f t="shared" si="702"/>
        <v>0</v>
      </c>
      <c r="ND62" s="282">
        <f t="shared" si="703"/>
        <v>0</v>
      </c>
      <c r="NE62" s="282">
        <f t="shared" si="704"/>
        <v>0</v>
      </c>
      <c r="NF62" s="282">
        <f t="shared" si="705"/>
        <v>0</v>
      </c>
      <c r="NG62" s="282">
        <f t="shared" si="706"/>
        <v>0</v>
      </c>
      <c r="NH62" s="282">
        <f t="shared" si="707"/>
        <v>0</v>
      </c>
      <c r="NI62" s="282">
        <f t="shared" si="708"/>
        <v>0</v>
      </c>
      <c r="NJ62" s="282">
        <f t="shared" si="709"/>
        <v>0</v>
      </c>
      <c r="NK62" s="282">
        <f t="shared" si="710"/>
        <v>0</v>
      </c>
      <c r="NL62" s="282">
        <f t="shared" si="711"/>
        <v>0</v>
      </c>
      <c r="NM62" s="1205">
        <f t="shared" si="712"/>
        <v>0</v>
      </c>
      <c r="NN62" s="282">
        <f t="shared" si="713"/>
        <v>0</v>
      </c>
      <c r="NO62" s="282">
        <f t="shared" si="714"/>
        <v>0</v>
      </c>
      <c r="NP62" s="282">
        <f t="shared" si="715"/>
        <v>0</v>
      </c>
      <c r="NQ62" s="282">
        <f t="shared" si="716"/>
        <v>0</v>
      </c>
      <c r="NR62" s="282">
        <f t="shared" si="717"/>
        <v>0</v>
      </c>
      <c r="NS62" s="282">
        <f t="shared" si="718"/>
        <v>0</v>
      </c>
      <c r="NT62" s="282">
        <f t="shared" si="719"/>
        <v>0</v>
      </c>
      <c r="NU62" s="282">
        <f t="shared" si="720"/>
        <v>0</v>
      </c>
      <c r="NV62" s="286">
        <f t="shared" si="721"/>
        <v>0</v>
      </c>
      <c r="NW62" s="286">
        <f t="shared" si="722"/>
        <v>0</v>
      </c>
      <c r="NX62" s="286">
        <f t="shared" si="723"/>
        <v>0</v>
      </c>
      <c r="NY62" s="286">
        <f t="shared" si="724"/>
        <v>0</v>
      </c>
      <c r="NZ62" s="286">
        <f t="shared" si="725"/>
        <v>0</v>
      </c>
      <c r="OA62" s="286">
        <f t="shared" si="726"/>
        <v>0</v>
      </c>
      <c r="OB62" s="286">
        <f t="shared" si="727"/>
        <v>0</v>
      </c>
      <c r="OC62" s="286">
        <f t="shared" si="728"/>
        <v>0</v>
      </c>
      <c r="OD62" s="286">
        <f t="shared" si="729"/>
        <v>0</v>
      </c>
      <c r="OE62" s="282">
        <f t="shared" si="730"/>
        <v>0</v>
      </c>
      <c r="OF62" s="282">
        <f t="shared" si="731"/>
        <v>0</v>
      </c>
      <c r="OG62" s="286">
        <f t="shared" si="732"/>
        <v>0</v>
      </c>
      <c r="OH62" s="286">
        <f t="shared" si="733"/>
        <v>0</v>
      </c>
      <c r="OI62" s="286">
        <f t="shared" si="734"/>
        <v>0</v>
      </c>
      <c r="OJ62" s="286">
        <f t="shared" si="735"/>
        <v>0</v>
      </c>
      <c r="OK62" s="286">
        <f t="shared" si="736"/>
        <v>0</v>
      </c>
      <c r="OL62" s="286">
        <f t="shared" si="737"/>
        <v>0</v>
      </c>
      <c r="OM62" s="286">
        <f t="shared" si="738"/>
        <v>0</v>
      </c>
      <c r="ON62" s="286">
        <f t="shared" si="739"/>
        <v>0</v>
      </c>
      <c r="OO62" s="286">
        <f t="shared" si="740"/>
        <v>0</v>
      </c>
      <c r="OP62" s="434">
        <f t="shared" si="741"/>
        <v>0</v>
      </c>
      <c r="OQ62" s="434">
        <f t="shared" si="742"/>
        <v>0</v>
      </c>
      <c r="OR62" s="282">
        <f t="shared" si="743"/>
        <v>0</v>
      </c>
      <c r="OS62" s="282">
        <f t="shared" si="744"/>
        <v>0</v>
      </c>
      <c r="OT62" s="282">
        <f t="shared" si="745"/>
        <v>0</v>
      </c>
      <c r="OU62" s="282">
        <f t="shared" si="746"/>
        <v>0</v>
      </c>
      <c r="OV62" s="282">
        <f t="shared" si="747"/>
        <v>0</v>
      </c>
      <c r="OW62" s="286">
        <f t="shared" si="748"/>
        <v>0</v>
      </c>
      <c r="OX62" s="286">
        <f t="shared" si="749"/>
        <v>0</v>
      </c>
      <c r="OY62" s="286">
        <f t="shared" si="750"/>
        <v>0</v>
      </c>
      <c r="OZ62" s="286">
        <f t="shared" si="751"/>
        <v>0</v>
      </c>
      <c r="PA62" s="286">
        <f t="shared" si="752"/>
        <v>0</v>
      </c>
      <c r="PB62" s="286">
        <f t="shared" si="753"/>
        <v>0</v>
      </c>
      <c r="PC62" s="286">
        <f t="shared" si="754"/>
        <v>0</v>
      </c>
      <c r="PD62" s="282">
        <f t="shared" si="755"/>
        <v>0</v>
      </c>
      <c r="PE62" s="282">
        <f t="shared" si="756"/>
        <v>0</v>
      </c>
      <c r="PF62" s="286">
        <f t="shared" si="757"/>
        <v>0</v>
      </c>
      <c r="PG62" s="286">
        <f t="shared" si="758"/>
        <v>0</v>
      </c>
      <c r="PH62" s="286">
        <f t="shared" si="759"/>
        <v>0</v>
      </c>
      <c r="PI62" s="286">
        <f t="shared" si="760"/>
        <v>0</v>
      </c>
      <c r="PJ62" s="286">
        <f t="shared" si="761"/>
        <v>0</v>
      </c>
      <c r="PK62" s="286">
        <f t="shared" si="762"/>
        <v>0</v>
      </c>
      <c r="PL62" s="286">
        <f t="shared" si="763"/>
        <v>0</v>
      </c>
      <c r="PM62" s="562">
        <v>6</v>
      </c>
      <c r="PN62" s="283"/>
      <c r="PO62" s="283"/>
    </row>
    <row r="63" spans="1:431" s="289" customFormat="1" ht="15" customHeight="1">
      <c r="A63" s="1935" t="s">
        <v>701</v>
      </c>
      <c r="B63" s="1040" t="str">
        <f>VLOOKUP(A63,'Area (&amp;golfacre for lookup)'!$A$2:$B$162,2,FALSE)</f>
        <v>SE exc BOCA</v>
      </c>
      <c r="C63" s="1936" t="s">
        <v>2160</v>
      </c>
      <c r="D63" s="1937">
        <v>44834</v>
      </c>
      <c r="E63" s="402"/>
      <c r="F63" s="1936">
        <v>1</v>
      </c>
      <c r="G63" s="1936">
        <v>0</v>
      </c>
      <c r="H63" s="1936">
        <v>332</v>
      </c>
      <c r="I63" s="1936">
        <v>369</v>
      </c>
      <c r="J63" s="1936">
        <v>701</v>
      </c>
      <c r="K63" s="1938">
        <v>500.06474030724212</v>
      </c>
      <c r="L63" s="1939" t="s">
        <v>1208</v>
      </c>
      <c r="M63" s="1939" t="s">
        <v>1208</v>
      </c>
      <c r="N63" s="1939" t="s">
        <v>1208</v>
      </c>
      <c r="O63" s="1939" t="s">
        <v>1208</v>
      </c>
      <c r="P63" s="1939" t="s">
        <v>1208</v>
      </c>
      <c r="Q63" s="1936">
        <v>0</v>
      </c>
      <c r="R63" s="1936">
        <v>100000</v>
      </c>
      <c r="S63" s="1936">
        <v>100000</v>
      </c>
      <c r="T63" s="1939" t="s">
        <v>1208</v>
      </c>
      <c r="U63" s="1939" t="s">
        <v>1208</v>
      </c>
      <c r="V63" s="1939" t="s">
        <v>1208</v>
      </c>
      <c r="W63" s="1936">
        <v>15755</v>
      </c>
      <c r="X63" s="1936">
        <v>13670</v>
      </c>
      <c r="Y63" s="1939" t="s">
        <v>1208</v>
      </c>
      <c r="Z63" s="1939" t="s">
        <v>1208</v>
      </c>
      <c r="AA63" s="1936">
        <v>2085</v>
      </c>
      <c r="AB63" s="1362">
        <v>0.15252377468910022</v>
      </c>
      <c r="AC63" s="1939" t="s">
        <v>1208</v>
      </c>
      <c r="AD63" s="1363" t="s">
        <v>1208</v>
      </c>
      <c r="AE63" s="1936">
        <v>1</v>
      </c>
      <c r="AF63" s="1936">
        <v>2750</v>
      </c>
      <c r="AG63" s="1939" t="s">
        <v>1208</v>
      </c>
      <c r="AH63" s="1936">
        <v>0</v>
      </c>
      <c r="AI63" s="1936">
        <v>0</v>
      </c>
      <c r="AJ63" s="1939" t="s">
        <v>1208</v>
      </c>
      <c r="AK63" s="1938">
        <v>1</v>
      </c>
      <c r="AL63" s="1938">
        <v>6500</v>
      </c>
      <c r="AM63" s="1936">
        <v>22920</v>
      </c>
      <c r="AN63" s="1939" t="s">
        <v>1208</v>
      </c>
      <c r="AO63" s="1936">
        <v>720</v>
      </c>
      <c r="AP63" s="1936">
        <v>0</v>
      </c>
      <c r="AQ63" s="1936">
        <v>23640</v>
      </c>
      <c r="AR63" s="1939" t="s">
        <v>1208</v>
      </c>
      <c r="AS63" s="1363" t="s">
        <v>1208</v>
      </c>
      <c r="AT63" s="1363" t="s">
        <v>1208</v>
      </c>
      <c r="AU63" s="1363" t="s">
        <v>1208</v>
      </c>
      <c r="AV63" s="1363" t="s">
        <v>1208</v>
      </c>
      <c r="AW63" s="1363" t="s">
        <v>1291</v>
      </c>
      <c r="AX63" s="1938">
        <v>0</v>
      </c>
      <c r="AY63" s="1938">
        <v>0</v>
      </c>
      <c r="AZ63" s="1938">
        <v>0</v>
      </c>
      <c r="BA63" s="1938">
        <v>0</v>
      </c>
      <c r="BB63" s="1938">
        <v>0</v>
      </c>
      <c r="BC63" s="1938">
        <v>0</v>
      </c>
      <c r="BD63" s="1938">
        <v>0</v>
      </c>
      <c r="BE63" s="1936">
        <v>1</v>
      </c>
      <c r="BF63" s="1936">
        <v>5200000</v>
      </c>
      <c r="BG63" s="1936">
        <v>200000</v>
      </c>
      <c r="BH63" s="1936">
        <v>5400000</v>
      </c>
      <c r="BI63" s="1938">
        <v>16236929</v>
      </c>
      <c r="BJ63" s="1936">
        <v>439433</v>
      </c>
      <c r="BK63" s="1936">
        <v>1895192</v>
      </c>
      <c r="BL63" s="1362">
        <v>0.23186727255074949</v>
      </c>
      <c r="BM63" s="1936">
        <v>1</v>
      </c>
      <c r="BN63" s="1936">
        <v>7604085</v>
      </c>
      <c r="BO63" s="1363" t="s">
        <v>1208</v>
      </c>
      <c r="BP63" s="1938">
        <v>5952457</v>
      </c>
      <c r="BQ63" s="1938">
        <v>7188981</v>
      </c>
      <c r="BR63" s="1940">
        <v>0.82799731978704627</v>
      </c>
      <c r="BS63" s="1409">
        <v>0</v>
      </c>
      <c r="BT63" s="1938">
        <v>14660554</v>
      </c>
      <c r="BU63" s="1938">
        <v>14904909</v>
      </c>
      <c r="BV63" s="1940">
        <v>0.98360573687501207</v>
      </c>
      <c r="BW63" s="1936">
        <v>15206.201091738671</v>
      </c>
      <c r="BX63" s="1936">
        <v>878.75221862275339</v>
      </c>
      <c r="BY63" s="1936">
        <v>10798.601790404608</v>
      </c>
      <c r="BZ63" s="1936">
        <v>2228192</v>
      </c>
      <c r="CA63" s="1936">
        <v>57332</v>
      </c>
      <c r="CB63" s="1936">
        <v>516604</v>
      </c>
      <c r="CC63" s="1936">
        <v>97726</v>
      </c>
      <c r="CD63" s="1936">
        <v>6835885</v>
      </c>
      <c r="CE63" s="1936">
        <v>0</v>
      </c>
      <c r="CF63" s="1936">
        <v>0</v>
      </c>
      <c r="CG63" s="1936">
        <v>1119803</v>
      </c>
      <c r="CH63" s="1936">
        <v>681930</v>
      </c>
      <c r="CI63" s="1936">
        <v>389178</v>
      </c>
      <c r="CJ63" s="1936">
        <v>11926650</v>
      </c>
      <c r="CK63" s="1366">
        <v>0.18682463223117976</v>
      </c>
      <c r="CL63" s="1366">
        <v>4.8070497583143634E-3</v>
      </c>
      <c r="CM63" s="1366">
        <v>4.3315096862907861E-2</v>
      </c>
      <c r="CN63" s="1366">
        <v>8.1939186611496104E-3</v>
      </c>
      <c r="CO63" s="1366">
        <v>0.57316052705495679</v>
      </c>
      <c r="CP63" s="1366">
        <v>0</v>
      </c>
      <c r="CQ63" s="1366">
        <v>0</v>
      </c>
      <c r="CR63" s="1366">
        <v>9.3890824330386147E-2</v>
      </c>
      <c r="CS63" s="1366">
        <v>5.7176994378136357E-2</v>
      </c>
      <c r="CT63" s="1366">
        <v>3.2630956722969146E-2</v>
      </c>
      <c r="CU63" s="1366">
        <v>1</v>
      </c>
      <c r="CV63" s="1936">
        <v>5552947</v>
      </c>
      <c r="CW63" s="1936">
        <v>828799</v>
      </c>
      <c r="CX63" s="1936">
        <v>407357</v>
      </c>
      <c r="CY63" s="1936">
        <v>4345526</v>
      </c>
      <c r="CZ63" s="1936">
        <v>345565</v>
      </c>
      <c r="DA63" s="1936">
        <v>351782</v>
      </c>
      <c r="DB63" s="1936">
        <v>11831976</v>
      </c>
      <c r="DC63" s="1366">
        <v>0.46931695939883583</v>
      </c>
      <c r="DD63" s="1366">
        <v>7.0047386843921922E-2</v>
      </c>
      <c r="DE63" s="1366">
        <v>3.4428484303889728E-2</v>
      </c>
      <c r="DF63" s="1366">
        <v>0.36726967667953347</v>
      </c>
      <c r="DG63" s="1366">
        <v>2.9206026110938695E-2</v>
      </c>
      <c r="DH63" s="1366">
        <v>2.9731466662880318E-2</v>
      </c>
      <c r="DI63" s="1366">
        <v>1</v>
      </c>
      <c r="DJ63" s="1936">
        <v>94674</v>
      </c>
      <c r="DK63" s="1936">
        <v>4455.8070593639304</v>
      </c>
      <c r="DL63" s="1936">
        <v>114.64915515694018</v>
      </c>
      <c r="DM63" s="1936">
        <v>1033.0742369129966</v>
      </c>
      <c r="DN63" s="1936">
        <v>195.42669603131125</v>
      </c>
      <c r="DO63" s="1936">
        <v>13670</v>
      </c>
      <c r="DP63" s="1936">
        <v>0</v>
      </c>
      <c r="DQ63" s="1936">
        <v>0</v>
      </c>
      <c r="DR63" s="1936">
        <v>2239.3160519815651</v>
      </c>
      <c r="DS63" s="1936">
        <v>1363.6834294315952</v>
      </c>
      <c r="DT63" s="1936">
        <v>778.25523103446005</v>
      </c>
      <c r="DU63" s="1936">
        <v>23850.211859912801</v>
      </c>
      <c r="DV63" s="1936">
        <v>11104.45618818924</v>
      </c>
      <c r="DW63" s="1936">
        <v>1657.3834009788052</v>
      </c>
      <c r="DX63" s="1936">
        <v>814.60852398775</v>
      </c>
      <c r="DY63" s="1936">
        <v>8689.9268229351437</v>
      </c>
      <c r="DZ63" s="1936">
        <v>691.04052364836446</v>
      </c>
      <c r="EA63" s="1936">
        <v>703.47291389483587</v>
      </c>
      <c r="EB63" s="1936">
        <v>23660.888373634138</v>
      </c>
      <c r="EC63" s="1936">
        <v>189.32348627866034</v>
      </c>
      <c r="ED63" s="1941">
        <v>79</v>
      </c>
      <c r="EE63" s="1936">
        <v>1</v>
      </c>
      <c r="EF63" s="1936">
        <v>39</v>
      </c>
      <c r="EG63" s="1938">
        <v>93732</v>
      </c>
      <c r="EH63" s="1938">
        <v>1</v>
      </c>
      <c r="EI63" s="1368">
        <v>7.0000000000000007E-2</v>
      </c>
      <c r="EJ63" s="1981">
        <v>6.3299334216106597</v>
      </c>
      <c r="EK63" s="1936">
        <v>1</v>
      </c>
      <c r="EL63" s="1936">
        <v>720</v>
      </c>
      <c r="EM63" s="1936">
        <v>1</v>
      </c>
      <c r="EN63" s="1362">
        <v>0.2</v>
      </c>
      <c r="EO63" s="1936">
        <v>0</v>
      </c>
      <c r="EP63" s="1936">
        <v>0</v>
      </c>
      <c r="EQ63" s="1936">
        <v>0</v>
      </c>
      <c r="ER63" s="1938">
        <v>0</v>
      </c>
      <c r="ES63" s="1936">
        <v>3602.9994814131601</v>
      </c>
      <c r="ET63" s="1936">
        <v>-1139.4504632538435</v>
      </c>
      <c r="EU63" s="1938">
        <v>1</v>
      </c>
      <c r="EV63" s="1936">
        <v>70247</v>
      </c>
      <c r="EW63" s="1936">
        <v>7075</v>
      </c>
      <c r="EX63" s="1938">
        <v>1</v>
      </c>
      <c r="EY63" s="1936">
        <v>1119803</v>
      </c>
      <c r="EZ63" s="1936">
        <v>621322</v>
      </c>
      <c r="FA63" s="1936">
        <v>498481</v>
      </c>
      <c r="FB63" s="1936">
        <v>681930</v>
      </c>
      <c r="FC63" s="1936">
        <v>207477</v>
      </c>
      <c r="FD63" s="1936">
        <v>474453</v>
      </c>
      <c r="FE63" s="1936">
        <v>1801733</v>
      </c>
      <c r="FF63" s="1936">
        <v>828799</v>
      </c>
      <c r="FG63" s="1936">
        <v>972934</v>
      </c>
      <c r="FH63" s="1366">
        <v>1</v>
      </c>
      <c r="FI63" s="1366">
        <v>0.55484937975697513</v>
      </c>
      <c r="FJ63" s="1366">
        <v>0.44515062024302487</v>
      </c>
      <c r="FK63" s="1366">
        <v>1</v>
      </c>
      <c r="FL63" s="1366">
        <v>0.30424970304870003</v>
      </c>
      <c r="FM63" s="1366">
        <v>0.69575029695129997</v>
      </c>
      <c r="FN63" s="1366">
        <v>1</v>
      </c>
      <c r="FO63" s="1366">
        <v>0.46000101013857214</v>
      </c>
      <c r="FP63" s="1366">
        <v>0.53999898986142791</v>
      </c>
      <c r="FQ63" s="1936">
        <v>946196</v>
      </c>
      <c r="FR63" s="1936">
        <v>0</v>
      </c>
      <c r="FS63" s="1936">
        <v>223259</v>
      </c>
      <c r="FT63" s="1936">
        <v>22546</v>
      </c>
      <c r="FU63" s="1936">
        <v>25832</v>
      </c>
      <c r="FV63" s="1936">
        <v>13124</v>
      </c>
      <c r="FW63" s="1936">
        <v>311776</v>
      </c>
      <c r="FX63" s="1936">
        <v>1542733</v>
      </c>
      <c r="FY63" s="1936">
        <v>-569799</v>
      </c>
      <c r="FZ63" s="1366">
        <v>0.52515883319004542</v>
      </c>
      <c r="GA63" s="1366">
        <v>0</v>
      </c>
      <c r="GB63" s="1366">
        <v>0.12391347663610534</v>
      </c>
      <c r="GC63" s="1366">
        <v>1.2513507828296423E-2</v>
      </c>
      <c r="GD63" s="1366">
        <v>1.4337307470085745E-2</v>
      </c>
      <c r="GE63" s="1366">
        <v>7.2840981432876015E-3</v>
      </c>
      <c r="GF63" s="1366">
        <v>0.17304228761975277</v>
      </c>
      <c r="GG63" s="1366">
        <v>0.85624951088757328</v>
      </c>
      <c r="GH63" s="1366">
        <v>-0.31625052102614537</v>
      </c>
      <c r="GI63" s="1942">
        <v>1.642108427551215</v>
      </c>
      <c r="GJ63" s="1943">
        <v>1</v>
      </c>
      <c r="GK63" s="1371">
        <v>0.02</v>
      </c>
      <c r="GL63" s="1943">
        <v>1</v>
      </c>
      <c r="GM63" s="1371">
        <v>0.02</v>
      </c>
      <c r="GN63" s="1943">
        <v>0</v>
      </c>
      <c r="GO63" s="1985">
        <f>IF(GN63=0,0,VLOOKUP(A63,'Area (&amp;golfacre for lookup)'!$G$2:$H$133,2,FALSE))</f>
        <v>0</v>
      </c>
      <c r="GP63" s="1943">
        <v>0</v>
      </c>
      <c r="GQ63" s="1943">
        <v>0</v>
      </c>
      <c r="GR63" s="1943">
        <v>0</v>
      </c>
      <c r="GS63" s="1943">
        <v>0</v>
      </c>
      <c r="GT63" s="1943">
        <v>0</v>
      </c>
      <c r="GU63" s="1943">
        <v>0</v>
      </c>
      <c r="GV63" s="1943">
        <v>0</v>
      </c>
      <c r="GW63" s="1943">
        <v>0</v>
      </c>
      <c r="GX63" s="1936">
        <v>0</v>
      </c>
      <c r="GY63" s="1985">
        <f t="shared" si="764"/>
        <v>0</v>
      </c>
      <c r="GZ63" s="1936">
        <v>0</v>
      </c>
      <c r="HA63" s="1936">
        <v>0</v>
      </c>
      <c r="HB63" s="1936">
        <v>0</v>
      </c>
      <c r="HC63" s="1936">
        <v>0</v>
      </c>
      <c r="HD63" s="1936">
        <v>0</v>
      </c>
      <c r="HE63" s="1936">
        <v>0</v>
      </c>
      <c r="HF63" s="1936">
        <v>0</v>
      </c>
      <c r="HG63" s="1936">
        <v>36</v>
      </c>
      <c r="HH63" s="1988">
        <f>IF(HG63=0,0,VLOOKUP(A63,'Area (&amp;golfacre for lookup)'!$G$2:$H$134,2,FALSE))</f>
        <v>225</v>
      </c>
      <c r="HI63" s="1936">
        <v>47414</v>
      </c>
      <c r="HJ63" s="1936">
        <v>1942496</v>
      </c>
      <c r="HK63" s="1936">
        <v>187412</v>
      </c>
      <c r="HL63" s="1936">
        <v>1437696</v>
      </c>
      <c r="HM63" s="1936">
        <v>234768</v>
      </c>
      <c r="HN63" s="1936">
        <v>0</v>
      </c>
      <c r="HO63" s="1936">
        <v>357739</v>
      </c>
      <c r="HP63" s="1936">
        <v>4160111</v>
      </c>
      <c r="HQ63" s="1936">
        <v>115558.63888888889</v>
      </c>
      <c r="HR63" s="1988">
        <f t="shared" si="765"/>
        <v>18489.382222222222</v>
      </c>
      <c r="HS63" s="1366">
        <v>0.46693369479804747</v>
      </c>
      <c r="HT63" s="1366">
        <v>4.5049759489590543E-2</v>
      </c>
      <c r="HU63" s="1366">
        <v>0.34559077870758736</v>
      </c>
      <c r="HV63" s="1366">
        <v>5.6433109597316032E-2</v>
      </c>
      <c r="HW63" s="1366">
        <v>0</v>
      </c>
      <c r="HX63" s="1366">
        <v>8.5992657407458595E-2</v>
      </c>
      <c r="HY63" s="1366">
        <v>1</v>
      </c>
      <c r="HZ63" s="51"/>
      <c r="IA63" s="59">
        <f t="shared" si="766"/>
        <v>0</v>
      </c>
      <c r="IB63" s="59"/>
      <c r="IC63" s="815">
        <f t="shared" si="581"/>
        <v>1</v>
      </c>
      <c r="ID63" s="815"/>
      <c r="IE63" s="284">
        <f t="shared" si="582"/>
        <v>0</v>
      </c>
      <c r="IF63" s="284"/>
      <c r="IG63" s="284">
        <f t="shared" si="583"/>
        <v>32469.653809272684</v>
      </c>
      <c r="IH63" s="284"/>
      <c r="II63" s="1288">
        <f t="shared" si="584"/>
        <v>0</v>
      </c>
      <c r="IJ63" s="1288">
        <f t="shared" si="585"/>
        <v>0.82799731978704627</v>
      </c>
      <c r="IK63" s="284">
        <f t="shared" si="586"/>
        <v>0</v>
      </c>
      <c r="IL63" s="284">
        <f t="shared" si="587"/>
        <v>0</v>
      </c>
      <c r="IM63" s="284">
        <f t="shared" si="588"/>
        <v>1</v>
      </c>
      <c r="IN63" s="284">
        <f t="shared" si="589"/>
        <v>0</v>
      </c>
      <c r="IO63" s="753">
        <f t="shared" si="590"/>
        <v>-812.83737517831673</v>
      </c>
      <c r="IP63" s="113">
        <f t="shared" si="591"/>
        <v>-1139.4504632538435</v>
      </c>
      <c r="IQ63" s="30">
        <f t="shared" si="592"/>
        <v>-8.3354093873726665E-2</v>
      </c>
      <c r="IR63" s="438">
        <f t="shared" si="593"/>
        <v>1119803</v>
      </c>
      <c r="IS63" s="438">
        <f t="shared" si="594"/>
        <v>681930</v>
      </c>
      <c r="IT63" s="438">
        <f t="shared" si="595"/>
        <v>946196</v>
      </c>
      <c r="IU63" s="438">
        <f t="shared" si="596"/>
        <v>245805</v>
      </c>
      <c r="IV63" s="438">
        <f t="shared" si="597"/>
        <v>828799</v>
      </c>
      <c r="IW63" s="438">
        <f t="shared" si="598"/>
        <v>350732</v>
      </c>
      <c r="IX63" s="285">
        <f t="shared" si="599"/>
        <v>0.62151439752726956</v>
      </c>
      <c r="IY63" s="285">
        <f t="shared" si="600"/>
        <v>0.37848560247273044</v>
      </c>
      <c r="IZ63" s="285">
        <f t="shared" si="601"/>
        <v>0.52515883319004542</v>
      </c>
      <c r="JA63" s="285">
        <f t="shared" si="602"/>
        <v>0.13642698446440177</v>
      </c>
      <c r="JB63" s="285">
        <f t="shared" si="603"/>
        <v>0.46000101013857214</v>
      </c>
      <c r="JC63" s="285">
        <f t="shared" si="604"/>
        <v>0.1946636932331261</v>
      </c>
      <c r="JD63" s="60">
        <f t="shared" si="605"/>
        <v>6835885</v>
      </c>
      <c r="JE63" s="60">
        <f t="shared" si="606"/>
        <v>2899854</v>
      </c>
      <c r="JF63" s="60">
        <f t="shared" si="607"/>
        <v>0</v>
      </c>
      <c r="JG63" s="60">
        <f t="shared" si="608"/>
        <v>697347</v>
      </c>
      <c r="JH63" s="284">
        <f t="shared" si="609"/>
        <v>1</v>
      </c>
      <c r="JI63" s="284">
        <f t="shared" si="610"/>
        <v>1</v>
      </c>
      <c r="JJ63" s="560">
        <f t="shared" si="611"/>
        <v>0.78852854410728523</v>
      </c>
      <c r="JK63" s="561">
        <f t="shared" si="612"/>
        <v>0.46559151144705346</v>
      </c>
      <c r="JL63" s="561">
        <f t="shared" si="613"/>
        <v>6.9491349205351036E-2</v>
      </c>
      <c r="JM63" s="561">
        <f t="shared" si="614"/>
        <v>3.415519026717477E-2</v>
      </c>
      <c r="JN63" s="561">
        <f t="shared" si="615"/>
        <v>0.36435428221671634</v>
      </c>
      <c r="JO63" s="561">
        <f t="shared" si="616"/>
        <v>2.8974188057836862E-2</v>
      </c>
      <c r="JP63" s="561">
        <f t="shared" si="617"/>
        <v>2.9495457651561838E-2</v>
      </c>
      <c r="JQ63" s="561">
        <f t="shared" si="618"/>
        <v>0.99206197884569436</v>
      </c>
      <c r="JR63" s="61">
        <f t="shared" si="619"/>
        <v>0</v>
      </c>
      <c r="JS63" s="61">
        <f t="shared" si="620"/>
        <v>0</v>
      </c>
      <c r="JT63" s="61">
        <f t="shared" si="621"/>
        <v>0</v>
      </c>
      <c r="JU63" s="61">
        <f t="shared" si="622"/>
        <v>0</v>
      </c>
      <c r="JV63" s="61">
        <f t="shared" si="623"/>
        <v>0</v>
      </c>
      <c r="JW63" s="61">
        <f t="shared" si="624"/>
        <v>0</v>
      </c>
      <c r="JX63" s="61">
        <f t="shared" si="625"/>
        <v>0</v>
      </c>
      <c r="JY63" s="394">
        <f t="shared" si="626"/>
        <v>0</v>
      </c>
      <c r="JZ63" s="61">
        <f t="shared" si="627"/>
        <v>53958.222222222219</v>
      </c>
      <c r="KA63" s="61">
        <f t="shared" si="628"/>
        <v>5205.8888888888887</v>
      </c>
      <c r="KB63" s="61">
        <f t="shared" si="629"/>
        <v>39936</v>
      </c>
      <c r="KC63" s="61">
        <f t="shared" si="630"/>
        <v>6521.333333333333</v>
      </c>
      <c r="KD63" s="61">
        <f t="shared" si="631"/>
        <v>0</v>
      </c>
      <c r="KE63" s="61">
        <f t="shared" si="632"/>
        <v>9937.1944444444453</v>
      </c>
      <c r="KF63" s="61">
        <f t="shared" si="633"/>
        <v>23700</v>
      </c>
      <c r="KG63" s="61">
        <f t="shared" si="634"/>
        <v>225</v>
      </c>
      <c r="KH63" s="61">
        <f t="shared" si="635"/>
        <v>87.740140043025264</v>
      </c>
      <c r="KI63" s="394">
        <f t="shared" si="636"/>
        <v>0.35159900594794985</v>
      </c>
      <c r="KJ63" s="438">
        <f t="shared" si="637"/>
        <v>36</v>
      </c>
      <c r="KK63" s="438">
        <f t="shared" si="638"/>
        <v>47414</v>
      </c>
      <c r="KL63" s="438">
        <f t="shared" si="639"/>
        <v>225</v>
      </c>
      <c r="KM63" s="438">
        <f t="shared" si="640"/>
        <v>115558.63888888889</v>
      </c>
      <c r="KN63" s="438">
        <f t="shared" si="641"/>
        <v>87.740140043025264</v>
      </c>
      <c r="KO63" s="438">
        <f t="shared" si="642"/>
        <v>18489.382222222222</v>
      </c>
      <c r="KP63" s="438">
        <f t="shared" si="643"/>
        <v>1942496</v>
      </c>
      <c r="KQ63" s="438">
        <f t="shared" si="644"/>
        <v>187412</v>
      </c>
      <c r="KR63" s="438">
        <f t="shared" si="645"/>
        <v>1437696</v>
      </c>
      <c r="KS63" s="438">
        <f t="shared" si="646"/>
        <v>234768</v>
      </c>
      <c r="KT63" s="438">
        <f t="shared" si="647"/>
        <v>0</v>
      </c>
      <c r="KU63" s="438">
        <f t="shared" si="648"/>
        <v>357739</v>
      </c>
      <c r="KV63" s="420">
        <f t="shared" si="649"/>
        <v>0.35159900594794985</v>
      </c>
      <c r="KW63" s="420">
        <f t="shared" si="650"/>
        <v>-0.55623697589997489</v>
      </c>
      <c r="KX63" s="108"/>
      <c r="KY63" s="282">
        <f t="shared" si="651"/>
        <v>0</v>
      </c>
      <c r="KZ63" s="282"/>
      <c r="LA63" s="282">
        <f t="shared" si="652"/>
        <v>0</v>
      </c>
      <c r="LB63" s="282"/>
      <c r="LC63" s="286">
        <f t="shared" si="653"/>
        <v>0</v>
      </c>
      <c r="LD63" s="286"/>
      <c r="LE63" s="282">
        <f t="shared" si="654"/>
        <v>0</v>
      </c>
      <c r="LF63" s="282"/>
      <c r="LG63" s="282">
        <f t="shared" si="655"/>
        <v>0</v>
      </c>
      <c r="LH63" s="282">
        <f t="shared" si="656"/>
        <v>0</v>
      </c>
      <c r="LI63" s="282">
        <f t="shared" si="657"/>
        <v>0</v>
      </c>
      <c r="LJ63" s="282">
        <f t="shared" si="658"/>
        <v>0</v>
      </c>
      <c r="LK63" s="282"/>
      <c r="LL63" s="282">
        <f t="shared" si="659"/>
        <v>0</v>
      </c>
      <c r="LM63" s="282">
        <f t="shared" si="660"/>
        <v>0</v>
      </c>
      <c r="LN63" s="282">
        <f t="shared" si="661"/>
        <v>0</v>
      </c>
      <c r="LO63" s="282">
        <f t="shared" si="662"/>
        <v>0</v>
      </c>
      <c r="LP63" s="286">
        <f t="shared" si="663"/>
        <v>0</v>
      </c>
      <c r="LQ63" s="282">
        <f t="shared" si="664"/>
        <v>0</v>
      </c>
      <c r="LR63" s="282">
        <f t="shared" si="665"/>
        <v>0</v>
      </c>
      <c r="LS63" s="282">
        <f t="shared" si="666"/>
        <v>0</v>
      </c>
      <c r="LT63" s="286">
        <f t="shared" si="667"/>
        <v>0</v>
      </c>
      <c r="LU63" s="286">
        <f t="shared" si="668"/>
        <v>0</v>
      </c>
      <c r="LV63" s="286">
        <f t="shared" si="669"/>
        <v>0</v>
      </c>
      <c r="LW63" s="286">
        <f t="shared" si="670"/>
        <v>0</v>
      </c>
      <c r="LX63" s="286">
        <f t="shared" si="671"/>
        <v>0</v>
      </c>
      <c r="LY63" s="286">
        <f t="shared" si="672"/>
        <v>0</v>
      </c>
      <c r="LZ63" s="286">
        <f t="shared" si="673"/>
        <v>0</v>
      </c>
      <c r="MA63" s="286">
        <f t="shared" si="674"/>
        <v>0</v>
      </c>
      <c r="MB63" s="286">
        <f t="shared" si="675"/>
        <v>0</v>
      </c>
      <c r="MC63" s="286">
        <f t="shared" si="676"/>
        <v>0</v>
      </c>
      <c r="MD63" s="286">
        <f t="shared" si="677"/>
        <v>0</v>
      </c>
      <c r="ME63" s="286">
        <f t="shared" si="678"/>
        <v>0</v>
      </c>
      <c r="MF63" s="286">
        <f t="shared" si="679"/>
        <v>0</v>
      </c>
      <c r="MG63" s="286">
        <f t="shared" si="680"/>
        <v>0</v>
      </c>
      <c r="MH63" s="286">
        <f t="shared" si="681"/>
        <v>0</v>
      </c>
      <c r="MI63" s="286">
        <f t="shared" si="682"/>
        <v>0</v>
      </c>
      <c r="MJ63" s="286">
        <f t="shared" si="683"/>
        <v>0</v>
      </c>
      <c r="MK63" s="286">
        <f t="shared" si="684"/>
        <v>0</v>
      </c>
      <c r="ML63" s="282">
        <f t="shared" si="685"/>
        <v>0</v>
      </c>
      <c r="MM63" s="1232">
        <f t="shared" si="686"/>
        <v>0</v>
      </c>
      <c r="MN63" s="1232">
        <f t="shared" si="687"/>
        <v>0</v>
      </c>
      <c r="MO63" s="1232">
        <f t="shared" si="688"/>
        <v>0</v>
      </c>
      <c r="MP63" s="1232">
        <f t="shared" si="689"/>
        <v>0</v>
      </c>
      <c r="MQ63" s="282">
        <f t="shared" si="690"/>
        <v>0</v>
      </c>
      <c r="MR63" s="282">
        <f t="shared" si="691"/>
        <v>0</v>
      </c>
      <c r="MS63" s="282">
        <f t="shared" si="692"/>
        <v>0</v>
      </c>
      <c r="MT63" s="282">
        <f t="shared" si="693"/>
        <v>0</v>
      </c>
      <c r="MU63" s="282">
        <f t="shared" si="694"/>
        <v>0</v>
      </c>
      <c r="MV63" s="282">
        <f t="shared" si="695"/>
        <v>0</v>
      </c>
      <c r="MW63" s="282">
        <f t="shared" si="696"/>
        <v>0</v>
      </c>
      <c r="MX63" s="282">
        <f t="shared" si="697"/>
        <v>0</v>
      </c>
      <c r="MY63" s="282">
        <f t="shared" si="698"/>
        <v>0</v>
      </c>
      <c r="MZ63" s="282">
        <f t="shared" si="699"/>
        <v>0</v>
      </c>
      <c r="NA63" s="282">
        <f t="shared" si="700"/>
        <v>0</v>
      </c>
      <c r="NB63" s="282">
        <f t="shared" si="701"/>
        <v>0</v>
      </c>
      <c r="NC63" s="282">
        <f t="shared" si="702"/>
        <v>0</v>
      </c>
      <c r="ND63" s="282">
        <f t="shared" si="703"/>
        <v>0</v>
      </c>
      <c r="NE63" s="282">
        <f t="shared" si="704"/>
        <v>0</v>
      </c>
      <c r="NF63" s="282">
        <f t="shared" si="705"/>
        <v>0</v>
      </c>
      <c r="NG63" s="282">
        <f t="shared" si="706"/>
        <v>0</v>
      </c>
      <c r="NH63" s="282">
        <f t="shared" si="707"/>
        <v>0</v>
      </c>
      <c r="NI63" s="282">
        <f t="shared" si="708"/>
        <v>0</v>
      </c>
      <c r="NJ63" s="282">
        <f t="shared" si="709"/>
        <v>0</v>
      </c>
      <c r="NK63" s="282">
        <f t="shared" si="710"/>
        <v>0</v>
      </c>
      <c r="NL63" s="282">
        <f t="shared" si="711"/>
        <v>0</v>
      </c>
      <c r="NM63" s="1205">
        <f t="shared" si="712"/>
        <v>0</v>
      </c>
      <c r="NN63" s="282">
        <f t="shared" si="713"/>
        <v>0</v>
      </c>
      <c r="NO63" s="282">
        <f t="shared" si="714"/>
        <v>0</v>
      </c>
      <c r="NP63" s="282">
        <f t="shared" si="715"/>
        <v>0</v>
      </c>
      <c r="NQ63" s="282">
        <f t="shared" si="716"/>
        <v>0</v>
      </c>
      <c r="NR63" s="282">
        <f t="shared" si="717"/>
        <v>0</v>
      </c>
      <c r="NS63" s="282">
        <f t="shared" si="718"/>
        <v>0</v>
      </c>
      <c r="NT63" s="282">
        <f t="shared" si="719"/>
        <v>0</v>
      </c>
      <c r="NU63" s="282">
        <f t="shared" si="720"/>
        <v>0</v>
      </c>
      <c r="NV63" s="286">
        <f t="shared" si="721"/>
        <v>0</v>
      </c>
      <c r="NW63" s="286">
        <f t="shared" si="722"/>
        <v>0</v>
      </c>
      <c r="NX63" s="286">
        <f t="shared" si="723"/>
        <v>0</v>
      </c>
      <c r="NY63" s="286">
        <f t="shared" si="724"/>
        <v>0</v>
      </c>
      <c r="NZ63" s="286">
        <f t="shared" si="725"/>
        <v>0</v>
      </c>
      <c r="OA63" s="286">
        <f t="shared" si="726"/>
        <v>0</v>
      </c>
      <c r="OB63" s="286">
        <f t="shared" si="727"/>
        <v>0</v>
      </c>
      <c r="OC63" s="286">
        <f t="shared" si="728"/>
        <v>0</v>
      </c>
      <c r="OD63" s="286">
        <f t="shared" si="729"/>
        <v>0</v>
      </c>
      <c r="OE63" s="282">
        <f t="shared" si="730"/>
        <v>0</v>
      </c>
      <c r="OF63" s="282">
        <f t="shared" si="731"/>
        <v>0</v>
      </c>
      <c r="OG63" s="286">
        <f t="shared" si="732"/>
        <v>0</v>
      </c>
      <c r="OH63" s="286">
        <f t="shared" si="733"/>
        <v>0</v>
      </c>
      <c r="OI63" s="286">
        <f t="shared" si="734"/>
        <v>0</v>
      </c>
      <c r="OJ63" s="286">
        <f t="shared" si="735"/>
        <v>0</v>
      </c>
      <c r="OK63" s="286">
        <f t="shared" si="736"/>
        <v>0</v>
      </c>
      <c r="OL63" s="286">
        <f t="shared" si="737"/>
        <v>0</v>
      </c>
      <c r="OM63" s="286">
        <f t="shared" si="738"/>
        <v>0</v>
      </c>
      <c r="ON63" s="286">
        <f t="shared" si="739"/>
        <v>0</v>
      </c>
      <c r="OO63" s="286">
        <f t="shared" si="740"/>
        <v>0</v>
      </c>
      <c r="OP63" s="434">
        <f t="shared" si="741"/>
        <v>0</v>
      </c>
      <c r="OQ63" s="434">
        <f t="shared" si="742"/>
        <v>0</v>
      </c>
      <c r="OR63" s="282">
        <f t="shared" si="743"/>
        <v>0</v>
      </c>
      <c r="OS63" s="282">
        <f t="shared" si="744"/>
        <v>0</v>
      </c>
      <c r="OT63" s="282">
        <f t="shared" si="745"/>
        <v>0</v>
      </c>
      <c r="OU63" s="282">
        <f t="shared" si="746"/>
        <v>0</v>
      </c>
      <c r="OV63" s="282">
        <f t="shared" si="747"/>
        <v>0</v>
      </c>
      <c r="OW63" s="286">
        <f t="shared" si="748"/>
        <v>0</v>
      </c>
      <c r="OX63" s="286">
        <f t="shared" si="749"/>
        <v>0</v>
      </c>
      <c r="OY63" s="286">
        <f t="shared" si="750"/>
        <v>0</v>
      </c>
      <c r="OZ63" s="286">
        <f t="shared" si="751"/>
        <v>0</v>
      </c>
      <c r="PA63" s="286">
        <f t="shared" si="752"/>
        <v>0</v>
      </c>
      <c r="PB63" s="286">
        <f t="shared" si="753"/>
        <v>0</v>
      </c>
      <c r="PC63" s="286">
        <f t="shared" si="754"/>
        <v>0</v>
      </c>
      <c r="PD63" s="282">
        <f t="shared" si="755"/>
        <v>0</v>
      </c>
      <c r="PE63" s="282">
        <f t="shared" si="756"/>
        <v>0</v>
      </c>
      <c r="PF63" s="286">
        <f t="shared" si="757"/>
        <v>0</v>
      </c>
      <c r="PG63" s="286">
        <f t="shared" si="758"/>
        <v>0</v>
      </c>
      <c r="PH63" s="286">
        <f t="shared" si="759"/>
        <v>0</v>
      </c>
      <c r="PI63" s="286">
        <f t="shared" si="760"/>
        <v>0</v>
      </c>
      <c r="PJ63" s="286">
        <f t="shared" si="761"/>
        <v>0</v>
      </c>
      <c r="PK63" s="286">
        <f t="shared" si="762"/>
        <v>0</v>
      </c>
      <c r="PL63" s="286">
        <f t="shared" si="763"/>
        <v>0</v>
      </c>
      <c r="PM63" s="562">
        <v>7</v>
      </c>
      <c r="PN63" s="283"/>
      <c r="PO63" s="283"/>
    </row>
    <row r="64" spans="1:431" s="289" customFormat="1" ht="15" customHeight="1">
      <c r="A64" s="1935" t="s">
        <v>266</v>
      </c>
      <c r="B64" s="1040" t="str">
        <f>VLOOKUP(A64,'Area (&amp;golfacre for lookup)'!$A$2:$B$162,2,FALSE)</f>
        <v>SW exc CIRA</v>
      </c>
      <c r="C64" s="1936"/>
      <c r="D64" s="1937">
        <v>44742</v>
      </c>
      <c r="E64" s="402"/>
      <c r="F64" s="1936">
        <v>1</v>
      </c>
      <c r="G64" s="1979">
        <v>1</v>
      </c>
      <c r="H64" s="1936">
        <v>327</v>
      </c>
      <c r="I64" s="1936">
        <v>20</v>
      </c>
      <c r="J64" s="1936">
        <v>347</v>
      </c>
      <c r="K64" s="1938">
        <v>334.07961904761908</v>
      </c>
      <c r="L64" s="1939" t="s">
        <v>1208</v>
      </c>
      <c r="M64" s="1939" t="s">
        <v>1208</v>
      </c>
      <c r="N64" s="1939" t="s">
        <v>1208</v>
      </c>
      <c r="O64" s="1939" t="s">
        <v>1208</v>
      </c>
      <c r="P64" s="1939" t="s">
        <v>1208</v>
      </c>
      <c r="Q64" s="1936">
        <v>0</v>
      </c>
      <c r="R64" s="1936">
        <v>75000</v>
      </c>
      <c r="S64" s="1936">
        <v>75000</v>
      </c>
      <c r="T64" s="1939" t="s">
        <v>1208</v>
      </c>
      <c r="U64" s="1939" t="s">
        <v>1208</v>
      </c>
      <c r="V64" s="1939" t="s">
        <v>1208</v>
      </c>
      <c r="W64" s="1936">
        <v>14175</v>
      </c>
      <c r="X64" s="1936">
        <v>13125</v>
      </c>
      <c r="Y64" s="1939" t="s">
        <v>1208</v>
      </c>
      <c r="Z64" s="1939" t="s">
        <v>1208</v>
      </c>
      <c r="AA64" s="1936">
        <v>1050</v>
      </c>
      <c r="AB64" s="1362">
        <v>0.08</v>
      </c>
      <c r="AC64" s="1939" t="s">
        <v>1208</v>
      </c>
      <c r="AD64" s="1363" t="s">
        <v>1208</v>
      </c>
      <c r="AE64" s="1936">
        <v>1</v>
      </c>
      <c r="AF64" s="1936">
        <v>2400</v>
      </c>
      <c r="AG64" s="1939" t="s">
        <v>1208</v>
      </c>
      <c r="AH64" s="1936">
        <v>0</v>
      </c>
      <c r="AI64" s="1936">
        <v>0</v>
      </c>
      <c r="AJ64" s="1939" t="s">
        <v>1208</v>
      </c>
      <c r="AK64" s="1938">
        <v>0</v>
      </c>
      <c r="AL64" s="1938">
        <v>0</v>
      </c>
      <c r="AM64" s="1936">
        <v>15525</v>
      </c>
      <c r="AN64" s="1939" t="s">
        <v>1208</v>
      </c>
      <c r="AO64" s="1936">
        <v>1500</v>
      </c>
      <c r="AP64" s="1936">
        <v>0</v>
      </c>
      <c r="AQ64" s="1936">
        <v>17025</v>
      </c>
      <c r="AR64" s="1939" t="s">
        <v>1208</v>
      </c>
      <c r="AS64" s="1363" t="s">
        <v>1208</v>
      </c>
      <c r="AT64" s="1363" t="s">
        <v>1208</v>
      </c>
      <c r="AU64" s="1363" t="s">
        <v>1208</v>
      </c>
      <c r="AV64" s="1363" t="s">
        <v>1208</v>
      </c>
      <c r="AW64" s="1363" t="s">
        <v>1291</v>
      </c>
      <c r="AX64" s="1938">
        <v>0</v>
      </c>
      <c r="AY64" s="1938">
        <v>0</v>
      </c>
      <c r="AZ64" s="1938">
        <v>0</v>
      </c>
      <c r="BA64" s="1938">
        <v>0</v>
      </c>
      <c r="BB64" s="1938">
        <v>0</v>
      </c>
      <c r="BC64" s="1938">
        <v>0</v>
      </c>
      <c r="BD64" s="1938">
        <v>0</v>
      </c>
      <c r="BE64" s="1936">
        <v>0</v>
      </c>
      <c r="BF64" s="1936">
        <v>0</v>
      </c>
      <c r="BG64" s="1936">
        <v>200000</v>
      </c>
      <c r="BH64" s="1936">
        <v>200000</v>
      </c>
      <c r="BI64" s="1938">
        <v>19505327</v>
      </c>
      <c r="BJ64" s="1936">
        <v>503654</v>
      </c>
      <c r="BK64" s="1936">
        <v>909700</v>
      </c>
      <c r="BL64" s="1362">
        <v>0.55364845553479169</v>
      </c>
      <c r="BM64" s="1936">
        <v>1</v>
      </c>
      <c r="BN64" s="1936">
        <v>7947660</v>
      </c>
      <c r="BO64" s="1363" t="s">
        <v>1208</v>
      </c>
      <c r="BP64" s="1938">
        <v>1985365</v>
      </c>
      <c r="BQ64" s="1938">
        <v>2011423</v>
      </c>
      <c r="BR64" s="1940">
        <v>0.9870449925251924</v>
      </c>
      <c r="BS64" s="1409">
        <v>0</v>
      </c>
      <c r="BT64" s="1938">
        <v>10034367</v>
      </c>
      <c r="BU64" s="1938">
        <v>14983129</v>
      </c>
      <c r="BV64" s="1940">
        <v>0.66971104633751732</v>
      </c>
      <c r="BW64" s="1936">
        <v>23789.718219437851</v>
      </c>
      <c r="BX64" s="1936">
        <v>1507.5867286840091</v>
      </c>
      <c r="BY64" s="1936">
        <v>598.65968648477292</v>
      </c>
      <c r="BZ64" s="1936">
        <v>752340</v>
      </c>
      <c r="CA64" s="1936">
        <v>0</v>
      </c>
      <c r="CB64" s="1936">
        <v>409803</v>
      </c>
      <c r="CC64" s="1936">
        <v>70695</v>
      </c>
      <c r="CD64" s="1936">
        <v>4384795</v>
      </c>
      <c r="CE64" s="1936">
        <v>0</v>
      </c>
      <c r="CF64" s="1936">
        <v>0</v>
      </c>
      <c r="CG64" s="1936">
        <v>791974</v>
      </c>
      <c r="CH64" s="1936">
        <v>479470</v>
      </c>
      <c r="CI64" s="1936">
        <v>117585</v>
      </c>
      <c r="CJ64" s="1936">
        <v>7006662</v>
      </c>
      <c r="CK64" s="1366">
        <v>0.10737495258084377</v>
      </c>
      <c r="CL64" s="1366">
        <v>0</v>
      </c>
      <c r="CM64" s="1366">
        <v>5.848762220869224E-2</v>
      </c>
      <c r="CN64" s="1366">
        <v>1.0089683218628215E-2</v>
      </c>
      <c r="CO64" s="1366">
        <v>0.6258036993935201</v>
      </c>
      <c r="CP64" s="1366">
        <v>0</v>
      </c>
      <c r="CQ64" s="1366">
        <v>0</v>
      </c>
      <c r="CR64" s="1366">
        <v>0.1130315690980955</v>
      </c>
      <c r="CS64" s="1366">
        <v>6.8430587917613264E-2</v>
      </c>
      <c r="CT64" s="1366">
        <v>1.6781885582606952E-2</v>
      </c>
      <c r="CU64" s="1366">
        <v>1</v>
      </c>
      <c r="CV64" s="1936">
        <v>3525392</v>
      </c>
      <c r="CW64" s="1936">
        <v>495243</v>
      </c>
      <c r="CX64" s="1936">
        <v>304145</v>
      </c>
      <c r="CY64" s="1936">
        <v>2224903</v>
      </c>
      <c r="CZ64" s="1936">
        <v>104025</v>
      </c>
      <c r="DA64" s="1936">
        <v>146469</v>
      </c>
      <c r="DB64" s="1936">
        <v>6800177</v>
      </c>
      <c r="DC64" s="1366">
        <v>0.5184265056630144</v>
      </c>
      <c r="DD64" s="1366">
        <v>7.2827957272288649E-2</v>
      </c>
      <c r="DE64" s="1366">
        <v>4.4726041689797193E-2</v>
      </c>
      <c r="DF64" s="1366">
        <v>0.32718310126339356</v>
      </c>
      <c r="DG64" s="1366">
        <v>1.5297395935429328E-2</v>
      </c>
      <c r="DH64" s="1366">
        <v>2.1538998176076886E-2</v>
      </c>
      <c r="DI64" s="1366">
        <v>1</v>
      </c>
      <c r="DJ64" s="1936">
        <v>206485</v>
      </c>
      <c r="DK64" s="1936">
        <v>2251.9781426497702</v>
      </c>
      <c r="DL64" s="1936">
        <v>0</v>
      </c>
      <c r="DM64" s="1936">
        <v>1226.662677502597</v>
      </c>
      <c r="DN64" s="1936">
        <v>211.61123268020509</v>
      </c>
      <c r="DO64" s="1936">
        <v>13124.999999999998</v>
      </c>
      <c r="DP64" s="1936">
        <v>0</v>
      </c>
      <c r="DQ64" s="1936">
        <v>0</v>
      </c>
      <c r="DR64" s="1936">
        <v>2370.6145327204576</v>
      </c>
      <c r="DS64" s="1936">
        <v>1435.1967993942703</v>
      </c>
      <c r="DT64" s="1936">
        <v>351.96699617656009</v>
      </c>
      <c r="DU64" s="1936">
        <v>20973.030381123859</v>
      </c>
      <c r="DV64" s="1936">
        <v>10552.550347279632</v>
      </c>
      <c r="DW64" s="1936">
        <v>1482.4100955688918</v>
      </c>
      <c r="DX64" s="1936">
        <v>910.39675172955629</v>
      </c>
      <c r="DY64" s="1936">
        <v>6659.7986621951532</v>
      </c>
      <c r="DZ64" s="1936">
        <v>311.37786943289251</v>
      </c>
      <c r="EA64" s="1936">
        <v>438.42542809869099</v>
      </c>
      <c r="EB64" s="1936">
        <v>20354.959154304819</v>
      </c>
      <c r="EC64" s="1936">
        <v>618.07122681904161</v>
      </c>
      <c r="ED64" s="1941">
        <v>43</v>
      </c>
      <c r="EE64" s="1936">
        <v>0</v>
      </c>
      <c r="EF64" s="1936">
        <v>0</v>
      </c>
      <c r="EG64" s="1938">
        <v>0</v>
      </c>
      <c r="EH64" s="1938">
        <v>1</v>
      </c>
      <c r="EI64" s="1368">
        <v>0.08</v>
      </c>
      <c r="EJ64" s="1936">
        <v>7.7692934662236999</v>
      </c>
      <c r="EK64" s="1936">
        <v>1</v>
      </c>
      <c r="EL64" s="1936">
        <v>1500</v>
      </c>
      <c r="EM64" s="1936">
        <v>1</v>
      </c>
      <c r="EN64" s="1362">
        <v>0.2</v>
      </c>
      <c r="EO64" s="1936">
        <v>0</v>
      </c>
      <c r="EP64" s="1936">
        <v>0</v>
      </c>
      <c r="EQ64" s="1936">
        <v>0</v>
      </c>
      <c r="ER64" s="1938">
        <v>0</v>
      </c>
      <c r="ES64" s="1936">
        <v>3805.811332114728</v>
      </c>
      <c r="ET64" s="1936">
        <v>-1632.5419717455434</v>
      </c>
      <c r="EU64" s="1938">
        <v>1</v>
      </c>
      <c r="EV64" s="1936">
        <v>27439</v>
      </c>
      <c r="EW64" s="1936">
        <v>3012</v>
      </c>
      <c r="EX64" s="1938">
        <v>2</v>
      </c>
      <c r="EY64" s="1936">
        <v>791974</v>
      </c>
      <c r="EZ64" s="1936">
        <v>352318</v>
      </c>
      <c r="FA64" s="1936">
        <v>439656</v>
      </c>
      <c r="FB64" s="1936">
        <v>479470</v>
      </c>
      <c r="FC64" s="1936">
        <v>142925</v>
      </c>
      <c r="FD64" s="1936">
        <v>336545</v>
      </c>
      <c r="FE64" s="1936">
        <v>1271444</v>
      </c>
      <c r="FF64" s="1936">
        <v>495243</v>
      </c>
      <c r="FG64" s="1936">
        <v>776201</v>
      </c>
      <c r="FH64" s="1366">
        <v>1</v>
      </c>
      <c r="FI64" s="1366">
        <v>0.44486056360436077</v>
      </c>
      <c r="FJ64" s="1366">
        <v>0.55513943639563923</v>
      </c>
      <c r="FK64" s="1366">
        <v>1</v>
      </c>
      <c r="FL64" s="1366">
        <v>0.29808955721942981</v>
      </c>
      <c r="FM64" s="1366">
        <v>0.70191044278057024</v>
      </c>
      <c r="FN64" s="1366">
        <v>1</v>
      </c>
      <c r="FO64" s="1366">
        <v>0.38951223962675507</v>
      </c>
      <c r="FP64" s="1366">
        <v>0.61048776037324493</v>
      </c>
      <c r="FQ64" s="1936">
        <v>834186</v>
      </c>
      <c r="FR64" s="1936">
        <v>0</v>
      </c>
      <c r="FS64" s="1936">
        <v>200598</v>
      </c>
      <c r="FT64" s="1936">
        <v>27226</v>
      </c>
      <c r="FU64" s="1936">
        <v>28401</v>
      </c>
      <c r="FV64" s="1936">
        <v>86865</v>
      </c>
      <c r="FW64" s="1936">
        <v>144324</v>
      </c>
      <c r="FX64" s="1936">
        <v>1321600</v>
      </c>
      <c r="FY64" s="1936">
        <v>-545399</v>
      </c>
      <c r="FZ64" s="1366">
        <v>0.65609338673193629</v>
      </c>
      <c r="GA64" s="1366">
        <v>0</v>
      </c>
      <c r="GB64" s="1366">
        <v>0.15777179333104721</v>
      </c>
      <c r="GC64" s="1366">
        <v>2.1413448016585866E-2</v>
      </c>
      <c r="GD64" s="1366">
        <v>2.2337594105599618E-2</v>
      </c>
      <c r="GE64" s="1366">
        <v>6.8319957465684686E-2</v>
      </c>
      <c r="GF64" s="1366">
        <v>0.11351188097942182</v>
      </c>
      <c r="GG64" s="1366">
        <v>1.0394480606302754</v>
      </c>
      <c r="GH64" s="1366">
        <v>-0.42896030025703058</v>
      </c>
      <c r="GI64" s="1942">
        <v>1.6517696623354954</v>
      </c>
      <c r="GJ64" s="1943">
        <v>0</v>
      </c>
      <c r="GK64" s="1371">
        <v>0</v>
      </c>
      <c r="GL64" s="1943">
        <v>0</v>
      </c>
      <c r="GM64" s="1371">
        <v>0</v>
      </c>
      <c r="GN64" s="1943">
        <v>18</v>
      </c>
      <c r="GO64" s="1985">
        <f>IF(GN64=0,0,VLOOKUP(A64,'Area (&amp;golfacre for lookup)'!$G$2:$H$133,2,FALSE))</f>
        <v>120</v>
      </c>
      <c r="GP64" s="1943">
        <v>32598</v>
      </c>
      <c r="GQ64" s="1943">
        <v>873597</v>
      </c>
      <c r="GR64" s="1943">
        <v>94940</v>
      </c>
      <c r="GS64" s="1943">
        <v>513991</v>
      </c>
      <c r="GT64" s="1943">
        <v>198344</v>
      </c>
      <c r="GU64" s="1943">
        <v>0</v>
      </c>
      <c r="GV64" s="1943">
        <v>302315</v>
      </c>
      <c r="GW64" s="1943">
        <v>1983187</v>
      </c>
      <c r="GX64" s="1943">
        <v>110177.05555555556</v>
      </c>
      <c r="GY64" s="1985">
        <f t="shared" si="764"/>
        <v>16526.558333333334</v>
      </c>
      <c r="GZ64" s="1366">
        <v>0.44050157650287136</v>
      </c>
      <c r="HA64" s="1366">
        <v>4.7872439664035718E-2</v>
      </c>
      <c r="HB64" s="1366">
        <v>0.2591742483184894</v>
      </c>
      <c r="HC64" s="1366">
        <v>0.10001275724376975</v>
      </c>
      <c r="HD64" s="1366">
        <v>0</v>
      </c>
      <c r="HE64" s="1366">
        <v>0.15243897827083377</v>
      </c>
      <c r="HF64" s="1366">
        <v>1</v>
      </c>
      <c r="HG64" s="1936">
        <v>0</v>
      </c>
      <c r="HH64" s="1988">
        <f>IF(HG64=0,0,VLOOKUP(A64,'Area (&amp;golfacre for lookup)'!$G$2:$H$134,2,FALSE))</f>
        <v>0</v>
      </c>
      <c r="HI64" s="1936">
        <v>0</v>
      </c>
      <c r="HJ64" s="1936">
        <v>0</v>
      </c>
      <c r="HK64" s="1936">
        <v>0</v>
      </c>
      <c r="HL64" s="1936">
        <v>0</v>
      </c>
      <c r="HM64" s="1936">
        <v>0</v>
      </c>
      <c r="HN64" s="1936">
        <v>0</v>
      </c>
      <c r="HO64" s="1936">
        <v>0</v>
      </c>
      <c r="HP64" s="1936">
        <v>0</v>
      </c>
      <c r="HQ64" s="1936">
        <v>0</v>
      </c>
      <c r="HR64" s="1988">
        <f t="shared" si="765"/>
        <v>0</v>
      </c>
      <c r="HS64" s="1936">
        <v>0</v>
      </c>
      <c r="HT64" s="1936">
        <v>0</v>
      </c>
      <c r="HU64" s="1936">
        <v>0</v>
      </c>
      <c r="HV64" s="1936">
        <v>0</v>
      </c>
      <c r="HW64" s="1936">
        <v>0</v>
      </c>
      <c r="HX64" s="1936">
        <v>0</v>
      </c>
      <c r="HY64" s="1936">
        <v>0</v>
      </c>
      <c r="HZ64" s="51"/>
      <c r="IA64" s="59">
        <f t="shared" si="766"/>
        <v>0</v>
      </c>
      <c r="IB64" s="59"/>
      <c r="IC64" s="815">
        <f t="shared" si="581"/>
        <v>1</v>
      </c>
      <c r="ID64" s="815"/>
      <c r="IE64" s="284">
        <f t="shared" si="582"/>
        <v>0</v>
      </c>
      <c r="IF64" s="284"/>
      <c r="IG64" s="284">
        <f t="shared" si="583"/>
        <v>58385.264733014883</v>
      </c>
      <c r="IH64" s="284"/>
      <c r="II64" s="1288">
        <f t="shared" si="584"/>
        <v>0</v>
      </c>
      <c r="IJ64" s="1288">
        <f t="shared" si="585"/>
        <v>0.9870449925251924</v>
      </c>
      <c r="IK64" s="284">
        <f t="shared" si="586"/>
        <v>0</v>
      </c>
      <c r="IL64" s="284">
        <f t="shared" si="587"/>
        <v>0</v>
      </c>
      <c r="IM64" s="284">
        <f t="shared" si="588"/>
        <v>1</v>
      </c>
      <c r="IN64" s="284">
        <f t="shared" si="589"/>
        <v>0</v>
      </c>
      <c r="IO64" s="753">
        <f t="shared" si="590"/>
        <v>-1571.7550432276657</v>
      </c>
      <c r="IP64" s="113">
        <f t="shared" si="591"/>
        <v>-1632.5419717455434</v>
      </c>
      <c r="IQ64" s="30">
        <f t="shared" si="592"/>
        <v>-0.12438415022823188</v>
      </c>
      <c r="IR64" s="438">
        <f t="shared" si="593"/>
        <v>791974</v>
      </c>
      <c r="IS64" s="438">
        <f t="shared" si="594"/>
        <v>479470</v>
      </c>
      <c r="IT64" s="438">
        <f t="shared" si="595"/>
        <v>834186</v>
      </c>
      <c r="IU64" s="438">
        <f t="shared" si="596"/>
        <v>227824</v>
      </c>
      <c r="IV64" s="438">
        <f t="shared" si="597"/>
        <v>495243</v>
      </c>
      <c r="IW64" s="438">
        <f t="shared" si="598"/>
        <v>259590</v>
      </c>
      <c r="IX64" s="285">
        <f t="shared" si="599"/>
        <v>0.62289334017070352</v>
      </c>
      <c r="IY64" s="285">
        <f t="shared" si="600"/>
        <v>0.37710665982929648</v>
      </c>
      <c r="IZ64" s="285">
        <f t="shared" si="601"/>
        <v>0.65609338673193629</v>
      </c>
      <c r="JA64" s="285">
        <f t="shared" si="602"/>
        <v>0.17918524134763308</v>
      </c>
      <c r="JB64" s="285">
        <f t="shared" si="603"/>
        <v>0.38951223962675507</v>
      </c>
      <c r="JC64" s="285">
        <f t="shared" si="604"/>
        <v>0.20416943255070613</v>
      </c>
      <c r="JD64" s="60">
        <f t="shared" si="605"/>
        <v>4384795</v>
      </c>
      <c r="JE64" s="60">
        <f t="shared" si="606"/>
        <v>1232838</v>
      </c>
      <c r="JF64" s="60">
        <f t="shared" si="607"/>
        <v>0</v>
      </c>
      <c r="JG64" s="60">
        <f t="shared" si="608"/>
        <v>250494</v>
      </c>
      <c r="JH64" s="284">
        <f t="shared" si="609"/>
        <v>1</v>
      </c>
      <c r="JI64" s="284">
        <f t="shared" si="610"/>
        <v>1</v>
      </c>
      <c r="JJ64" s="560">
        <f t="shared" si="611"/>
        <v>0.74217367857238725</v>
      </c>
      <c r="JK64" s="561">
        <f t="shared" si="612"/>
        <v>0.50314857488487386</v>
      </c>
      <c r="JL64" s="561">
        <f t="shared" si="613"/>
        <v>7.0681731186690605E-2</v>
      </c>
      <c r="JM64" s="561">
        <f t="shared" si="614"/>
        <v>4.340797372557717E-2</v>
      </c>
      <c r="JN64" s="561">
        <f t="shared" si="615"/>
        <v>0.31754107733468517</v>
      </c>
      <c r="JO64" s="561">
        <f t="shared" si="616"/>
        <v>1.4846584579076314E-2</v>
      </c>
      <c r="JP64" s="561">
        <f t="shared" si="617"/>
        <v>2.0904247985702749E-2</v>
      </c>
      <c r="JQ64" s="561">
        <f t="shared" si="618"/>
        <v>0.97053018969660587</v>
      </c>
      <c r="JR64" s="61">
        <f t="shared" si="619"/>
        <v>48533.166666666664</v>
      </c>
      <c r="JS64" s="61">
        <f t="shared" si="620"/>
        <v>5274.4444444444443</v>
      </c>
      <c r="JT64" s="61">
        <f t="shared" si="621"/>
        <v>28555.055555555555</v>
      </c>
      <c r="JU64" s="61">
        <f t="shared" si="622"/>
        <v>11019.111111111111</v>
      </c>
      <c r="JV64" s="61">
        <f t="shared" si="623"/>
        <v>0</v>
      </c>
      <c r="JW64" s="61">
        <f t="shared" si="624"/>
        <v>16795.277777777777</v>
      </c>
      <c r="JX64" s="61">
        <f t="shared" si="625"/>
        <v>60.837689428799315</v>
      </c>
      <c r="JY64" s="394">
        <f t="shared" si="626"/>
        <v>0.29163755590479484</v>
      </c>
      <c r="JZ64" s="61">
        <f t="shared" si="627"/>
        <v>0</v>
      </c>
      <c r="KA64" s="61">
        <f t="shared" si="628"/>
        <v>0</v>
      </c>
      <c r="KB64" s="61">
        <f t="shared" si="629"/>
        <v>0</v>
      </c>
      <c r="KC64" s="61">
        <f t="shared" si="630"/>
        <v>0</v>
      </c>
      <c r="KD64" s="61">
        <f t="shared" si="631"/>
        <v>0</v>
      </c>
      <c r="KE64" s="61">
        <f t="shared" si="632"/>
        <v>0</v>
      </c>
      <c r="KF64" s="61">
        <f t="shared" si="633"/>
        <v>0</v>
      </c>
      <c r="KG64" s="61">
        <f t="shared" si="634"/>
        <v>0</v>
      </c>
      <c r="KH64" s="61">
        <f t="shared" si="635"/>
        <v>0</v>
      </c>
      <c r="KI64" s="394">
        <f t="shared" si="636"/>
        <v>0</v>
      </c>
      <c r="KJ64" s="438">
        <f t="shared" si="637"/>
        <v>18</v>
      </c>
      <c r="KK64" s="438">
        <f t="shared" si="638"/>
        <v>32598</v>
      </c>
      <c r="KL64" s="438">
        <f t="shared" si="639"/>
        <v>120</v>
      </c>
      <c r="KM64" s="438">
        <f t="shared" si="640"/>
        <v>110177.05555555556</v>
      </c>
      <c r="KN64" s="438">
        <f t="shared" si="641"/>
        <v>60.837689428799315</v>
      </c>
      <c r="KO64" s="438">
        <f t="shared" si="642"/>
        <v>16526.558333333334</v>
      </c>
      <c r="KP64" s="438">
        <f t="shared" si="643"/>
        <v>873597</v>
      </c>
      <c r="KQ64" s="438">
        <f t="shared" si="644"/>
        <v>94940</v>
      </c>
      <c r="KR64" s="438">
        <f t="shared" si="645"/>
        <v>513991</v>
      </c>
      <c r="KS64" s="438">
        <f t="shared" si="646"/>
        <v>198344</v>
      </c>
      <c r="KT64" s="438">
        <f t="shared" si="647"/>
        <v>0</v>
      </c>
      <c r="KU64" s="438">
        <f t="shared" si="648"/>
        <v>302315</v>
      </c>
      <c r="KV64" s="420">
        <f t="shared" si="649"/>
        <v>0.29163755590479484</v>
      </c>
      <c r="KW64" s="420">
        <f t="shared" si="650"/>
        <v>-0.38334106839658411</v>
      </c>
      <c r="KX64" s="108"/>
      <c r="KY64" s="282">
        <f t="shared" si="651"/>
        <v>0</v>
      </c>
      <c r="KZ64" s="282"/>
      <c r="LA64" s="282">
        <f t="shared" si="652"/>
        <v>0</v>
      </c>
      <c r="LB64" s="282"/>
      <c r="LC64" s="286">
        <f t="shared" si="653"/>
        <v>0</v>
      </c>
      <c r="LD64" s="286"/>
      <c r="LE64" s="282">
        <f t="shared" si="654"/>
        <v>0</v>
      </c>
      <c r="LF64" s="282"/>
      <c r="LG64" s="282">
        <f t="shared" si="655"/>
        <v>0</v>
      </c>
      <c r="LH64" s="282">
        <f t="shared" si="656"/>
        <v>0</v>
      </c>
      <c r="LI64" s="282">
        <f t="shared" si="657"/>
        <v>0</v>
      </c>
      <c r="LJ64" s="282">
        <f t="shared" si="658"/>
        <v>0</v>
      </c>
      <c r="LK64" s="282"/>
      <c r="LL64" s="282">
        <f t="shared" si="659"/>
        <v>0</v>
      </c>
      <c r="LM64" s="282">
        <f t="shared" si="660"/>
        <v>0</v>
      </c>
      <c r="LN64" s="282">
        <f t="shared" si="661"/>
        <v>0</v>
      </c>
      <c r="LO64" s="282">
        <f t="shared" si="662"/>
        <v>0</v>
      </c>
      <c r="LP64" s="286">
        <f t="shared" si="663"/>
        <v>0</v>
      </c>
      <c r="LQ64" s="282">
        <f t="shared" si="664"/>
        <v>0</v>
      </c>
      <c r="LR64" s="282">
        <f t="shared" si="665"/>
        <v>0</v>
      </c>
      <c r="LS64" s="282">
        <f t="shared" si="666"/>
        <v>0</v>
      </c>
      <c r="LT64" s="286">
        <f t="shared" si="667"/>
        <v>0</v>
      </c>
      <c r="LU64" s="286">
        <f t="shared" si="668"/>
        <v>0</v>
      </c>
      <c r="LV64" s="286">
        <f t="shared" si="669"/>
        <v>0</v>
      </c>
      <c r="LW64" s="286">
        <f t="shared" si="670"/>
        <v>0</v>
      </c>
      <c r="LX64" s="286">
        <f t="shared" si="671"/>
        <v>0</v>
      </c>
      <c r="LY64" s="286">
        <f t="shared" si="672"/>
        <v>0</v>
      </c>
      <c r="LZ64" s="286">
        <f t="shared" si="673"/>
        <v>0</v>
      </c>
      <c r="MA64" s="286">
        <f t="shared" si="674"/>
        <v>0</v>
      </c>
      <c r="MB64" s="286">
        <f t="shared" si="675"/>
        <v>0</v>
      </c>
      <c r="MC64" s="286">
        <f t="shared" si="676"/>
        <v>0</v>
      </c>
      <c r="MD64" s="286">
        <f t="shared" si="677"/>
        <v>0</v>
      </c>
      <c r="ME64" s="286">
        <f t="shared" si="678"/>
        <v>0</v>
      </c>
      <c r="MF64" s="286">
        <f t="shared" si="679"/>
        <v>0</v>
      </c>
      <c r="MG64" s="286">
        <f t="shared" si="680"/>
        <v>0</v>
      </c>
      <c r="MH64" s="286">
        <f t="shared" si="681"/>
        <v>0</v>
      </c>
      <c r="MI64" s="286">
        <f t="shared" si="682"/>
        <v>0</v>
      </c>
      <c r="MJ64" s="286">
        <f t="shared" si="683"/>
        <v>0</v>
      </c>
      <c r="MK64" s="286">
        <f t="shared" si="684"/>
        <v>0</v>
      </c>
      <c r="ML64" s="282">
        <f t="shared" si="685"/>
        <v>0</v>
      </c>
      <c r="MM64" s="1232">
        <f t="shared" si="686"/>
        <v>0</v>
      </c>
      <c r="MN64" s="1232">
        <f t="shared" si="687"/>
        <v>0</v>
      </c>
      <c r="MO64" s="1232">
        <f t="shared" si="688"/>
        <v>0</v>
      </c>
      <c r="MP64" s="1232">
        <f t="shared" si="689"/>
        <v>0</v>
      </c>
      <c r="MQ64" s="282">
        <f t="shared" si="690"/>
        <v>0</v>
      </c>
      <c r="MR64" s="282">
        <f t="shared" si="691"/>
        <v>0</v>
      </c>
      <c r="MS64" s="282">
        <f t="shared" si="692"/>
        <v>0</v>
      </c>
      <c r="MT64" s="282">
        <f t="shared" si="693"/>
        <v>0</v>
      </c>
      <c r="MU64" s="282">
        <f t="shared" si="694"/>
        <v>0</v>
      </c>
      <c r="MV64" s="282">
        <f t="shared" si="695"/>
        <v>0</v>
      </c>
      <c r="MW64" s="282">
        <f t="shared" si="696"/>
        <v>0</v>
      </c>
      <c r="MX64" s="282">
        <f t="shared" si="697"/>
        <v>0</v>
      </c>
      <c r="MY64" s="282">
        <f t="shared" si="698"/>
        <v>0</v>
      </c>
      <c r="MZ64" s="282">
        <f t="shared" si="699"/>
        <v>0</v>
      </c>
      <c r="NA64" s="282">
        <f t="shared" si="700"/>
        <v>0</v>
      </c>
      <c r="NB64" s="282">
        <f t="shared" si="701"/>
        <v>0</v>
      </c>
      <c r="NC64" s="282">
        <f t="shared" si="702"/>
        <v>0</v>
      </c>
      <c r="ND64" s="282">
        <f t="shared" si="703"/>
        <v>0</v>
      </c>
      <c r="NE64" s="282">
        <f t="shared" si="704"/>
        <v>0</v>
      </c>
      <c r="NF64" s="282">
        <f t="shared" si="705"/>
        <v>0</v>
      </c>
      <c r="NG64" s="282">
        <f t="shared" si="706"/>
        <v>0</v>
      </c>
      <c r="NH64" s="282">
        <f t="shared" si="707"/>
        <v>0</v>
      </c>
      <c r="NI64" s="282">
        <f t="shared" si="708"/>
        <v>0</v>
      </c>
      <c r="NJ64" s="282">
        <f t="shared" si="709"/>
        <v>0</v>
      </c>
      <c r="NK64" s="282">
        <f t="shared" si="710"/>
        <v>0</v>
      </c>
      <c r="NL64" s="282">
        <f t="shared" si="711"/>
        <v>0</v>
      </c>
      <c r="NM64" s="1205">
        <f t="shared" si="712"/>
        <v>0</v>
      </c>
      <c r="NN64" s="282">
        <f t="shared" si="713"/>
        <v>0</v>
      </c>
      <c r="NO64" s="282">
        <f t="shared" si="714"/>
        <v>0</v>
      </c>
      <c r="NP64" s="282">
        <f t="shared" si="715"/>
        <v>0</v>
      </c>
      <c r="NQ64" s="282">
        <f t="shared" si="716"/>
        <v>0</v>
      </c>
      <c r="NR64" s="282">
        <f t="shared" si="717"/>
        <v>0</v>
      </c>
      <c r="NS64" s="282">
        <f t="shared" si="718"/>
        <v>0</v>
      </c>
      <c r="NT64" s="282">
        <f t="shared" si="719"/>
        <v>0</v>
      </c>
      <c r="NU64" s="282">
        <f t="shared" si="720"/>
        <v>0</v>
      </c>
      <c r="NV64" s="286">
        <f t="shared" si="721"/>
        <v>0</v>
      </c>
      <c r="NW64" s="286">
        <f t="shared" si="722"/>
        <v>0</v>
      </c>
      <c r="NX64" s="286">
        <f t="shared" si="723"/>
        <v>0</v>
      </c>
      <c r="NY64" s="286">
        <f t="shared" si="724"/>
        <v>0</v>
      </c>
      <c r="NZ64" s="286">
        <f t="shared" si="725"/>
        <v>0</v>
      </c>
      <c r="OA64" s="286">
        <f t="shared" si="726"/>
        <v>0</v>
      </c>
      <c r="OB64" s="286">
        <f t="shared" si="727"/>
        <v>0</v>
      </c>
      <c r="OC64" s="286">
        <f t="shared" si="728"/>
        <v>0</v>
      </c>
      <c r="OD64" s="286">
        <f t="shared" si="729"/>
        <v>0</v>
      </c>
      <c r="OE64" s="282">
        <f t="shared" si="730"/>
        <v>0</v>
      </c>
      <c r="OF64" s="282">
        <f t="shared" si="731"/>
        <v>0</v>
      </c>
      <c r="OG64" s="286">
        <f t="shared" si="732"/>
        <v>0</v>
      </c>
      <c r="OH64" s="286">
        <f t="shared" si="733"/>
        <v>0</v>
      </c>
      <c r="OI64" s="286">
        <f t="shared" si="734"/>
        <v>0</v>
      </c>
      <c r="OJ64" s="286">
        <f t="shared" si="735"/>
        <v>0</v>
      </c>
      <c r="OK64" s="286">
        <f t="shared" si="736"/>
        <v>0</v>
      </c>
      <c r="OL64" s="286">
        <f t="shared" si="737"/>
        <v>0</v>
      </c>
      <c r="OM64" s="286">
        <f t="shared" si="738"/>
        <v>0</v>
      </c>
      <c r="ON64" s="286">
        <f t="shared" si="739"/>
        <v>0</v>
      </c>
      <c r="OO64" s="286">
        <f t="shared" si="740"/>
        <v>0</v>
      </c>
      <c r="OP64" s="434">
        <f t="shared" si="741"/>
        <v>0</v>
      </c>
      <c r="OQ64" s="434">
        <f t="shared" si="742"/>
        <v>0</v>
      </c>
      <c r="OR64" s="282">
        <f t="shared" si="743"/>
        <v>0</v>
      </c>
      <c r="OS64" s="282">
        <f t="shared" si="744"/>
        <v>0</v>
      </c>
      <c r="OT64" s="282">
        <f t="shared" si="745"/>
        <v>0</v>
      </c>
      <c r="OU64" s="282">
        <f t="shared" si="746"/>
        <v>0</v>
      </c>
      <c r="OV64" s="282">
        <f t="shared" si="747"/>
        <v>0</v>
      </c>
      <c r="OW64" s="286">
        <f t="shared" si="748"/>
        <v>0</v>
      </c>
      <c r="OX64" s="286">
        <f t="shared" si="749"/>
        <v>0</v>
      </c>
      <c r="OY64" s="286">
        <f t="shared" si="750"/>
        <v>0</v>
      </c>
      <c r="OZ64" s="286">
        <f t="shared" si="751"/>
        <v>0</v>
      </c>
      <c r="PA64" s="286">
        <f t="shared" si="752"/>
        <v>0</v>
      </c>
      <c r="PB64" s="286">
        <f t="shared" si="753"/>
        <v>0</v>
      </c>
      <c r="PC64" s="286">
        <f t="shared" si="754"/>
        <v>0</v>
      </c>
      <c r="PD64" s="282">
        <f t="shared" si="755"/>
        <v>0</v>
      </c>
      <c r="PE64" s="282">
        <f t="shared" si="756"/>
        <v>0</v>
      </c>
      <c r="PF64" s="286">
        <f t="shared" si="757"/>
        <v>0</v>
      </c>
      <c r="PG64" s="286">
        <f t="shared" si="758"/>
        <v>0</v>
      </c>
      <c r="PH64" s="286">
        <f t="shared" si="759"/>
        <v>0</v>
      </c>
      <c r="PI64" s="286">
        <f t="shared" si="760"/>
        <v>0</v>
      </c>
      <c r="PJ64" s="286">
        <f t="shared" si="761"/>
        <v>0</v>
      </c>
      <c r="PK64" s="286">
        <f t="shared" si="762"/>
        <v>0</v>
      </c>
      <c r="PL64" s="286">
        <f t="shared" si="763"/>
        <v>0</v>
      </c>
      <c r="PM64" s="562">
        <v>8</v>
      </c>
      <c r="PN64" s="283"/>
      <c r="PO64" s="283"/>
    </row>
    <row r="65" spans="1:431" s="289" customFormat="1" ht="15" customHeight="1">
      <c r="A65" s="1040" t="s">
        <v>957</v>
      </c>
      <c r="B65" s="1040" t="str">
        <f>VLOOKUP(A65,'Area (&amp;golfacre for lookup)'!$A$2:$B$162,2,FALSE)</f>
        <v>BOCA</v>
      </c>
      <c r="C65" s="1936"/>
      <c r="D65" s="1937">
        <v>44926</v>
      </c>
      <c r="E65" s="402"/>
      <c r="F65" s="1936">
        <v>0</v>
      </c>
      <c r="G65" s="1936">
        <v>1</v>
      </c>
      <c r="H65" s="1936">
        <v>287</v>
      </c>
      <c r="I65" s="1936">
        <v>143</v>
      </c>
      <c r="J65" s="1936">
        <v>430</v>
      </c>
      <c r="K65" s="1938">
        <v>393.38039630548889</v>
      </c>
      <c r="L65" s="1939" t="s">
        <v>1208</v>
      </c>
      <c r="M65" s="1939" t="s">
        <v>1208</v>
      </c>
      <c r="N65" s="1939" t="s">
        <v>1208</v>
      </c>
      <c r="O65" s="1939" t="s">
        <v>1208</v>
      </c>
      <c r="P65" s="1939" t="s">
        <v>1208</v>
      </c>
      <c r="Q65" s="1936">
        <v>0</v>
      </c>
      <c r="R65" s="1936">
        <v>150000</v>
      </c>
      <c r="S65" s="1936">
        <v>150000</v>
      </c>
      <c r="T65" s="1939" t="s">
        <v>1208</v>
      </c>
      <c r="U65" s="1939" t="s">
        <v>1208</v>
      </c>
      <c r="V65" s="1939" t="s">
        <v>1208</v>
      </c>
      <c r="W65" s="1936">
        <v>23970</v>
      </c>
      <c r="X65" s="1936">
        <v>24577</v>
      </c>
      <c r="Y65" s="1939" t="s">
        <v>1208</v>
      </c>
      <c r="Z65" s="1939" t="s">
        <v>1208</v>
      </c>
      <c r="AA65" s="1936">
        <v>-607</v>
      </c>
      <c r="AB65" s="1362">
        <v>-2.4697888269520282E-2</v>
      </c>
      <c r="AC65" s="1939" t="s">
        <v>1208</v>
      </c>
      <c r="AD65" s="1363" t="s">
        <v>1208</v>
      </c>
      <c r="AE65" s="1936">
        <v>1</v>
      </c>
      <c r="AF65" s="1936">
        <v>2100</v>
      </c>
      <c r="AG65" s="1939" t="s">
        <v>1208</v>
      </c>
      <c r="AH65" s="1936">
        <v>0</v>
      </c>
      <c r="AI65" s="1936">
        <v>0</v>
      </c>
      <c r="AJ65" s="1939" t="s">
        <v>1208</v>
      </c>
      <c r="AK65" s="1938">
        <v>1</v>
      </c>
      <c r="AL65" s="1938">
        <v>4788</v>
      </c>
      <c r="AM65" s="1936">
        <v>31465</v>
      </c>
      <c r="AN65" s="1939" t="s">
        <v>1208</v>
      </c>
      <c r="AO65" s="1936">
        <v>2500</v>
      </c>
      <c r="AP65" s="1936">
        <v>1770</v>
      </c>
      <c r="AQ65" s="1936">
        <v>35735</v>
      </c>
      <c r="AR65" s="1939" t="s">
        <v>1208</v>
      </c>
      <c r="AS65" s="1363" t="s">
        <v>1208</v>
      </c>
      <c r="AT65" s="1363" t="s">
        <v>1208</v>
      </c>
      <c r="AU65" s="1363" t="s">
        <v>1208</v>
      </c>
      <c r="AV65" s="1363" t="s">
        <v>1208</v>
      </c>
      <c r="AW65" s="1363" t="s">
        <v>1291</v>
      </c>
      <c r="AX65" s="1938">
        <v>0</v>
      </c>
      <c r="AY65" s="1938">
        <v>0</v>
      </c>
      <c r="AZ65" s="1938">
        <v>0</v>
      </c>
      <c r="BA65" s="1938">
        <v>0</v>
      </c>
      <c r="BB65" s="1938">
        <v>0</v>
      </c>
      <c r="BC65" s="1938">
        <v>0</v>
      </c>
      <c r="BD65" s="1938">
        <v>0</v>
      </c>
      <c r="BE65" s="1936">
        <v>1</v>
      </c>
      <c r="BF65" s="1936">
        <v>1396000</v>
      </c>
      <c r="BG65" s="1936">
        <v>4396560</v>
      </c>
      <c r="BH65" s="1936">
        <v>5792560</v>
      </c>
      <c r="BI65" s="1938">
        <v>32344574</v>
      </c>
      <c r="BJ65" s="1936">
        <v>5211420</v>
      </c>
      <c r="BK65" s="1936">
        <v>3570943</v>
      </c>
      <c r="BL65" s="1362">
        <v>1.4593960194828088</v>
      </c>
      <c r="BM65" s="1936">
        <v>1</v>
      </c>
      <c r="BN65" s="1936">
        <v>12882052</v>
      </c>
      <c r="BO65" s="1363" t="s">
        <v>1208</v>
      </c>
      <c r="BP65" s="1938">
        <v>14923552</v>
      </c>
      <c r="BQ65" s="1938">
        <v>16123183</v>
      </c>
      <c r="BR65" s="1940">
        <v>0.92559589505372486</v>
      </c>
      <c r="BS65" s="1409">
        <v>0</v>
      </c>
      <c r="BT65" s="1938">
        <v>26931438</v>
      </c>
      <c r="BU65" s="1938">
        <v>31785886</v>
      </c>
      <c r="BV65" s="1940">
        <v>0.8472766183078867</v>
      </c>
      <c r="BW65" s="1936">
        <v>32747.061421932518</v>
      </c>
      <c r="BX65" s="1936">
        <v>13247.787762034151</v>
      </c>
      <c r="BY65" s="1936">
        <v>14725.085577222435</v>
      </c>
      <c r="BZ65" s="1936">
        <v>503361</v>
      </c>
      <c r="CA65" s="1936">
        <v>151165</v>
      </c>
      <c r="CB65" s="1936">
        <v>330811</v>
      </c>
      <c r="CC65" s="1936">
        <v>229139</v>
      </c>
      <c r="CD65" s="1936">
        <v>9668110</v>
      </c>
      <c r="CE65" s="1936">
        <v>0</v>
      </c>
      <c r="CF65" s="1936">
        <v>0</v>
      </c>
      <c r="CG65" s="1936">
        <v>1693148</v>
      </c>
      <c r="CH65" s="1936">
        <v>367198</v>
      </c>
      <c r="CI65" s="1936">
        <v>754345</v>
      </c>
      <c r="CJ65" s="1936">
        <v>13697277</v>
      </c>
      <c r="CK65" s="1366">
        <v>3.6748983027794502E-2</v>
      </c>
      <c r="CL65" s="1366">
        <v>1.1036135138392836E-2</v>
      </c>
      <c r="CM65" s="1366">
        <v>2.4151588669777211E-2</v>
      </c>
      <c r="CN65" s="1366">
        <v>1.6728799454081275E-2</v>
      </c>
      <c r="CO65" s="1366">
        <v>0.70584175234245461</v>
      </c>
      <c r="CP65" s="1366">
        <v>0</v>
      </c>
      <c r="CQ65" s="1366">
        <v>0</v>
      </c>
      <c r="CR65" s="1366">
        <v>0.12361201427115769</v>
      </c>
      <c r="CS65" s="1366">
        <v>2.6808102077515116E-2</v>
      </c>
      <c r="CT65" s="1366">
        <v>5.5072625018826732E-2</v>
      </c>
      <c r="CU65" s="1366">
        <v>1</v>
      </c>
      <c r="CV65" s="1936">
        <v>8113042</v>
      </c>
      <c r="CW65" s="1936">
        <v>1174347</v>
      </c>
      <c r="CX65" s="1936">
        <v>273863</v>
      </c>
      <c r="CY65" s="1936">
        <v>4590291</v>
      </c>
      <c r="CZ65" s="1936">
        <v>367819</v>
      </c>
      <c r="DA65" s="1936">
        <v>403793</v>
      </c>
      <c r="DB65" s="1936">
        <v>14923155</v>
      </c>
      <c r="DC65" s="1366">
        <v>0.54365460922975073</v>
      </c>
      <c r="DD65" s="1366">
        <v>7.8692943951865407E-2</v>
      </c>
      <c r="DE65" s="1366">
        <v>1.8351548315352885E-2</v>
      </c>
      <c r="DF65" s="1366">
        <v>0.30759521026217312</v>
      </c>
      <c r="DG65" s="1366">
        <v>2.4647535993561683E-2</v>
      </c>
      <c r="DH65" s="1366">
        <v>2.7058152247296231E-2</v>
      </c>
      <c r="DI65" s="1366">
        <v>1</v>
      </c>
      <c r="DJ65" s="1936">
        <v>-1225878</v>
      </c>
      <c r="DK65" s="1936">
        <v>1279.5782523161197</v>
      </c>
      <c r="DL65" s="1936">
        <v>384.27181786305698</v>
      </c>
      <c r="DM65" s="1936">
        <v>840.94429490355401</v>
      </c>
      <c r="DN65" s="1936">
        <v>582.48708413536872</v>
      </c>
      <c r="DO65" s="1936">
        <v>24577</v>
      </c>
      <c r="DP65" s="1936">
        <v>0</v>
      </c>
      <c r="DQ65" s="1936">
        <v>0</v>
      </c>
      <c r="DR65" s="1936">
        <v>4304.0985669381089</v>
      </c>
      <c r="DS65" s="1936">
        <v>933.44254937107667</v>
      </c>
      <c r="DT65" s="1936">
        <v>1917.5968276116014</v>
      </c>
      <c r="DU65" s="1936">
        <v>34819.419393138887</v>
      </c>
      <c r="DV65" s="1936">
        <v>20623.910281740689</v>
      </c>
      <c r="DW65" s="1936">
        <v>2985.2707736051821</v>
      </c>
      <c r="DX65" s="1936">
        <v>696.17856551073578</v>
      </c>
      <c r="DY65" s="1936">
        <v>11668.835160853569</v>
      </c>
      <c r="DZ65" s="1936">
        <v>935.02117404539251</v>
      </c>
      <c r="EA65" s="1936">
        <v>1026.4695541320898</v>
      </c>
      <c r="EB65" s="1936">
        <v>37935.685509887662</v>
      </c>
      <c r="EC65" s="1936">
        <v>-3116.2661167487749</v>
      </c>
      <c r="ED65" s="1941">
        <v>174</v>
      </c>
      <c r="EE65" s="1936">
        <v>1</v>
      </c>
      <c r="EF65" s="1936">
        <v>9</v>
      </c>
      <c r="EG65" s="1938">
        <v>60000</v>
      </c>
      <c r="EH65" s="1938">
        <v>1</v>
      </c>
      <c r="EI65" s="1368">
        <v>4.4999999999999998E-2</v>
      </c>
      <c r="EJ65" s="1936">
        <v>2.2608068753189015</v>
      </c>
      <c r="EK65" s="1936">
        <v>1</v>
      </c>
      <c r="EL65" s="1936">
        <v>2500</v>
      </c>
      <c r="EM65" s="1936">
        <v>0</v>
      </c>
      <c r="EN65" s="1362">
        <v>0</v>
      </c>
      <c r="EO65" s="1936">
        <v>1</v>
      </c>
      <c r="EP65" s="1936">
        <v>147.5</v>
      </c>
      <c r="EQ65" s="1936">
        <v>1</v>
      </c>
      <c r="ER65" s="1938">
        <v>0</v>
      </c>
      <c r="ES65" s="1936">
        <v>5237.5411163091858</v>
      </c>
      <c r="ET65" s="1936">
        <v>-7590.3802732488557</v>
      </c>
      <c r="EU65" s="1938">
        <v>3</v>
      </c>
      <c r="EV65" s="1936">
        <v>50400</v>
      </c>
      <c r="EW65" s="1936">
        <v>1500</v>
      </c>
      <c r="EX65" s="1938">
        <v>0</v>
      </c>
      <c r="EY65" s="1936">
        <v>1693148</v>
      </c>
      <c r="EZ65" s="1936">
        <v>1038105</v>
      </c>
      <c r="FA65" s="1936">
        <v>655043</v>
      </c>
      <c r="FB65" s="1936">
        <v>367198</v>
      </c>
      <c r="FC65" s="1936">
        <v>136242</v>
      </c>
      <c r="FD65" s="1936">
        <v>230956</v>
      </c>
      <c r="FE65" s="1936">
        <v>2060346</v>
      </c>
      <c r="FF65" s="1936">
        <v>1174347</v>
      </c>
      <c r="FG65" s="1936">
        <v>885999</v>
      </c>
      <c r="FH65" s="1366">
        <v>1</v>
      </c>
      <c r="FI65" s="1366">
        <v>0.61312123925374507</v>
      </c>
      <c r="FJ65" s="1366">
        <v>0.38687876074625488</v>
      </c>
      <c r="FK65" s="1366">
        <v>1</v>
      </c>
      <c r="FL65" s="1366">
        <v>0.37103143263307536</v>
      </c>
      <c r="FM65" s="1366">
        <v>0.62896856736692464</v>
      </c>
      <c r="FN65" s="1366">
        <v>1</v>
      </c>
      <c r="FO65" s="1366">
        <v>0.56997562545320057</v>
      </c>
      <c r="FP65" s="1366">
        <v>0.43002437454679943</v>
      </c>
      <c r="FQ65" s="1936">
        <v>3056543</v>
      </c>
      <c r="FR65" s="1936">
        <v>-412069.2</v>
      </c>
      <c r="FS65" s="1936">
        <v>542648</v>
      </c>
      <c r="FT65" s="1936">
        <v>83642</v>
      </c>
      <c r="FU65" s="1936">
        <v>26161</v>
      </c>
      <c r="FV65" s="1936">
        <v>65564</v>
      </c>
      <c r="FW65" s="1936">
        <v>509417</v>
      </c>
      <c r="FX65" s="1936">
        <v>3871905.8</v>
      </c>
      <c r="FY65" s="1936">
        <v>-2985906.8</v>
      </c>
      <c r="FZ65" s="1366">
        <v>1.4835095658690336</v>
      </c>
      <c r="GA65" s="1366">
        <v>-0.2</v>
      </c>
      <c r="GB65" s="1366">
        <v>0.26337712209502678</v>
      </c>
      <c r="GC65" s="1366">
        <v>4.0596094054105476E-2</v>
      </c>
      <c r="GD65" s="1366">
        <v>1.2697381896050469E-2</v>
      </c>
      <c r="GE65" s="1366">
        <v>3.1821839632760709E-2</v>
      </c>
      <c r="GF65" s="1366">
        <v>0.24724827771646121</v>
      </c>
      <c r="GG65" s="1366">
        <v>1.8792502812634382</v>
      </c>
      <c r="GH65" s="1366">
        <v>-1.4492259067166389</v>
      </c>
      <c r="GI65" s="1942">
        <v>4.6109946132604209</v>
      </c>
      <c r="GJ65" s="1943">
        <v>0</v>
      </c>
      <c r="GK65" s="1371">
        <v>0</v>
      </c>
      <c r="GL65" s="1943">
        <v>0</v>
      </c>
      <c r="GM65" s="1371">
        <v>0</v>
      </c>
      <c r="GN65" s="1943">
        <v>18</v>
      </c>
      <c r="GO65" s="1985">
        <f>IF(GN65=0,0,VLOOKUP(A65,'Area (&amp;golfacre for lookup)'!$G$2:$H$133,2,FALSE))</f>
        <v>110</v>
      </c>
      <c r="GP65" s="1943">
        <v>24632</v>
      </c>
      <c r="GQ65" s="1943">
        <v>1122400</v>
      </c>
      <c r="GR65" s="1943">
        <v>240680</v>
      </c>
      <c r="GS65" s="1943">
        <v>620341</v>
      </c>
      <c r="GT65" s="1943">
        <v>175392</v>
      </c>
      <c r="GU65" s="1943">
        <v>0</v>
      </c>
      <c r="GV65" s="1943">
        <v>101867</v>
      </c>
      <c r="GW65" s="1943">
        <v>2260680</v>
      </c>
      <c r="GX65" s="1943">
        <v>125593.33333333333</v>
      </c>
      <c r="GY65" s="1985">
        <f t="shared" si="764"/>
        <v>20551.636363636364</v>
      </c>
      <c r="GZ65" s="1366">
        <v>0.49648778243714281</v>
      </c>
      <c r="HA65" s="1366">
        <v>0.10646354194313215</v>
      </c>
      <c r="HB65" s="1366">
        <v>0.2744046039244829</v>
      </c>
      <c r="HC65" s="1366">
        <v>7.7583735867084239E-2</v>
      </c>
      <c r="HD65" s="1366">
        <v>0</v>
      </c>
      <c r="HE65" s="1366">
        <v>4.5060335828157896E-2</v>
      </c>
      <c r="HF65" s="1366">
        <v>1</v>
      </c>
      <c r="HG65" s="1936">
        <v>0</v>
      </c>
      <c r="HH65" s="1988">
        <v>0</v>
      </c>
      <c r="HI65" s="1936">
        <v>0</v>
      </c>
      <c r="HJ65" s="1936">
        <v>0</v>
      </c>
      <c r="HK65" s="1936">
        <v>0</v>
      </c>
      <c r="HL65" s="1936">
        <v>0</v>
      </c>
      <c r="HM65" s="1936">
        <v>0</v>
      </c>
      <c r="HN65" s="1936">
        <v>0</v>
      </c>
      <c r="HO65" s="1936">
        <v>0</v>
      </c>
      <c r="HP65" s="1936">
        <v>0</v>
      </c>
      <c r="HQ65" s="1936">
        <v>0</v>
      </c>
      <c r="HR65" s="1988">
        <v>0</v>
      </c>
      <c r="HS65" s="1936">
        <v>0</v>
      </c>
      <c r="HT65" s="1936">
        <v>0</v>
      </c>
      <c r="HU65" s="1936">
        <v>0</v>
      </c>
      <c r="HV65" s="1936">
        <v>0</v>
      </c>
      <c r="HW65" s="1936">
        <v>0</v>
      </c>
      <c r="HX65" s="1936">
        <v>0</v>
      </c>
      <c r="HY65" s="1936">
        <v>0</v>
      </c>
      <c r="HZ65" s="51"/>
      <c r="IA65" s="59">
        <f t="shared" si="766"/>
        <v>0</v>
      </c>
      <c r="IB65" s="59"/>
      <c r="IC65" s="815">
        <f t="shared" si="581"/>
        <v>0</v>
      </c>
      <c r="ID65" s="815"/>
      <c r="IE65" s="284">
        <f t="shared" si="582"/>
        <v>1</v>
      </c>
      <c r="IF65" s="284"/>
      <c r="IG65" s="284">
        <f t="shared" si="583"/>
        <v>82222.129785242403</v>
      </c>
      <c r="IH65" s="284"/>
      <c r="II65" s="1288">
        <f t="shared" si="584"/>
        <v>0</v>
      </c>
      <c r="IJ65" s="1288">
        <f t="shared" si="585"/>
        <v>0.92559589505372486</v>
      </c>
      <c r="IK65" s="284">
        <f t="shared" si="586"/>
        <v>0</v>
      </c>
      <c r="IL65" s="284">
        <f t="shared" si="587"/>
        <v>1</v>
      </c>
      <c r="IM65" s="284">
        <f t="shared" si="588"/>
        <v>0</v>
      </c>
      <c r="IN65" s="284">
        <f t="shared" si="589"/>
        <v>0</v>
      </c>
      <c r="IO65" s="753">
        <f t="shared" si="590"/>
        <v>-6943.9693023255813</v>
      </c>
      <c r="IP65" s="113">
        <f t="shared" si="591"/>
        <v>-7590.3802732488557</v>
      </c>
      <c r="IQ65" s="30">
        <f t="shared" si="592"/>
        <v>-0.30884079721889801</v>
      </c>
      <c r="IR65" s="438">
        <f t="shared" si="593"/>
        <v>1693148</v>
      </c>
      <c r="IS65" s="438">
        <f t="shared" si="594"/>
        <v>367198</v>
      </c>
      <c r="IT65" s="438">
        <f t="shared" si="595"/>
        <v>3056543</v>
      </c>
      <c r="IU65" s="438">
        <f t="shared" si="596"/>
        <v>626290</v>
      </c>
      <c r="IV65" s="438">
        <f t="shared" si="597"/>
        <v>1174347</v>
      </c>
      <c r="IW65" s="438">
        <f t="shared" si="598"/>
        <v>189072.8</v>
      </c>
      <c r="IX65" s="285">
        <f t="shared" si="599"/>
        <v>0.821778477983795</v>
      </c>
      <c r="IY65" s="285">
        <f t="shared" si="600"/>
        <v>0.17822152201620506</v>
      </c>
      <c r="IZ65" s="285">
        <f t="shared" si="601"/>
        <v>1.4835095658690336</v>
      </c>
      <c r="JA65" s="285">
        <f t="shared" si="602"/>
        <v>0.30397321614913225</v>
      </c>
      <c r="JB65" s="285">
        <f t="shared" si="603"/>
        <v>0.56997562545320057</v>
      </c>
      <c r="JC65" s="285">
        <f t="shared" si="604"/>
        <v>9.1767499245272388E-2</v>
      </c>
      <c r="JD65" s="60">
        <f t="shared" si="605"/>
        <v>9668110</v>
      </c>
      <c r="JE65" s="60">
        <f t="shared" si="606"/>
        <v>1214476</v>
      </c>
      <c r="JF65" s="60">
        <f t="shared" si="607"/>
        <v>0</v>
      </c>
      <c r="JG65" s="60">
        <f t="shared" si="608"/>
        <v>771612</v>
      </c>
      <c r="JH65" s="284">
        <f t="shared" si="609"/>
        <v>0</v>
      </c>
      <c r="JI65" s="284">
        <f t="shared" si="610"/>
        <v>1</v>
      </c>
      <c r="JJ65" s="560">
        <f t="shared" si="611"/>
        <v>0.82785336642372831</v>
      </c>
      <c r="JK65" s="561">
        <f t="shared" si="612"/>
        <v>0.59231057384617392</v>
      </c>
      <c r="JL65" s="561">
        <f t="shared" si="613"/>
        <v>8.573579989657798E-2</v>
      </c>
      <c r="JM65" s="561">
        <f t="shared" si="614"/>
        <v>1.999397398475624E-2</v>
      </c>
      <c r="JN65" s="561">
        <f t="shared" si="615"/>
        <v>0.33512434624779802</v>
      </c>
      <c r="JO65" s="561">
        <f t="shared" si="616"/>
        <v>2.6853439555905894E-2</v>
      </c>
      <c r="JP65" s="561">
        <f t="shared" si="617"/>
        <v>2.9479800985261522E-2</v>
      </c>
      <c r="JQ65" s="561">
        <f t="shared" si="618"/>
        <v>1.0894979345164735</v>
      </c>
      <c r="JR65" s="61">
        <f t="shared" si="619"/>
        <v>62355.555555555555</v>
      </c>
      <c r="JS65" s="61">
        <f t="shared" si="620"/>
        <v>13371.111111111111</v>
      </c>
      <c r="JT65" s="61">
        <f t="shared" si="621"/>
        <v>34463.388888888891</v>
      </c>
      <c r="JU65" s="61">
        <f t="shared" si="622"/>
        <v>9744</v>
      </c>
      <c r="JV65" s="61">
        <f t="shared" si="623"/>
        <v>0</v>
      </c>
      <c r="JW65" s="61">
        <f t="shared" si="624"/>
        <v>5659.2777777777774</v>
      </c>
      <c r="JX65" s="61">
        <f t="shared" si="625"/>
        <v>91.778174732055859</v>
      </c>
      <c r="JY65" s="394">
        <f t="shared" si="626"/>
        <v>0.15148807340002834</v>
      </c>
      <c r="JZ65" s="61">
        <f t="shared" si="627"/>
        <v>0</v>
      </c>
      <c r="KA65" s="61">
        <f t="shared" si="628"/>
        <v>0</v>
      </c>
      <c r="KB65" s="61">
        <f t="shared" si="629"/>
        <v>0</v>
      </c>
      <c r="KC65" s="61">
        <f t="shared" si="630"/>
        <v>0</v>
      </c>
      <c r="KD65" s="61">
        <f t="shared" si="631"/>
        <v>0</v>
      </c>
      <c r="KE65" s="61">
        <f t="shared" si="632"/>
        <v>0</v>
      </c>
      <c r="KF65" s="61">
        <f t="shared" si="633"/>
        <v>0</v>
      </c>
      <c r="KG65" s="61">
        <f t="shared" si="634"/>
        <v>0</v>
      </c>
      <c r="KH65" s="61">
        <f t="shared" si="635"/>
        <v>0</v>
      </c>
      <c r="KI65" s="394">
        <f t="shared" si="636"/>
        <v>0</v>
      </c>
      <c r="KJ65" s="438">
        <f t="shared" si="637"/>
        <v>18</v>
      </c>
      <c r="KK65" s="438">
        <f t="shared" si="638"/>
        <v>24632</v>
      </c>
      <c r="KL65" s="438">
        <f t="shared" si="639"/>
        <v>110</v>
      </c>
      <c r="KM65" s="438">
        <f t="shared" si="640"/>
        <v>125593.33333333333</v>
      </c>
      <c r="KN65" s="438">
        <f t="shared" si="641"/>
        <v>91.778174732055859</v>
      </c>
      <c r="KO65" s="438">
        <f t="shared" si="642"/>
        <v>20551.636363636364</v>
      </c>
      <c r="KP65" s="438">
        <f t="shared" si="643"/>
        <v>1122400</v>
      </c>
      <c r="KQ65" s="438">
        <f t="shared" si="644"/>
        <v>240680</v>
      </c>
      <c r="KR65" s="438">
        <f t="shared" si="645"/>
        <v>620341</v>
      </c>
      <c r="KS65" s="438">
        <f t="shared" si="646"/>
        <v>175392</v>
      </c>
      <c r="KT65" s="438">
        <f t="shared" si="647"/>
        <v>0</v>
      </c>
      <c r="KU65" s="438">
        <f t="shared" si="648"/>
        <v>101867</v>
      </c>
      <c r="KV65" s="420">
        <f t="shared" si="649"/>
        <v>0.15148807340002834</v>
      </c>
      <c r="KW65" s="420">
        <f t="shared" si="650"/>
        <v>-0.22329214293176225</v>
      </c>
      <c r="KX65" s="108"/>
      <c r="KY65" s="282">
        <f t="shared" si="651"/>
        <v>0</v>
      </c>
      <c r="KZ65" s="282"/>
      <c r="LA65" s="282">
        <f t="shared" si="652"/>
        <v>0</v>
      </c>
      <c r="LB65" s="282"/>
      <c r="LC65" s="286">
        <f t="shared" si="653"/>
        <v>0</v>
      </c>
      <c r="LD65" s="286"/>
      <c r="LE65" s="282">
        <f t="shared" si="654"/>
        <v>0</v>
      </c>
      <c r="LF65" s="282"/>
      <c r="LG65" s="282">
        <f t="shared" si="655"/>
        <v>0</v>
      </c>
      <c r="LH65" s="282">
        <f t="shared" si="656"/>
        <v>0</v>
      </c>
      <c r="LI65" s="282">
        <f t="shared" si="657"/>
        <v>0</v>
      </c>
      <c r="LJ65" s="282">
        <f t="shared" si="658"/>
        <v>0</v>
      </c>
      <c r="LK65" s="282"/>
      <c r="LL65" s="282">
        <f t="shared" si="659"/>
        <v>0</v>
      </c>
      <c r="LM65" s="282">
        <f t="shared" si="660"/>
        <v>0</v>
      </c>
      <c r="LN65" s="282">
        <f t="shared" si="661"/>
        <v>0</v>
      </c>
      <c r="LO65" s="282">
        <f t="shared" si="662"/>
        <v>0</v>
      </c>
      <c r="LP65" s="286">
        <f t="shared" si="663"/>
        <v>0</v>
      </c>
      <c r="LQ65" s="282">
        <f t="shared" si="664"/>
        <v>0</v>
      </c>
      <c r="LR65" s="282">
        <f t="shared" si="665"/>
        <v>0</v>
      </c>
      <c r="LS65" s="282">
        <f t="shared" si="666"/>
        <v>0</v>
      </c>
      <c r="LT65" s="286">
        <f t="shared" si="667"/>
        <v>0</v>
      </c>
      <c r="LU65" s="286">
        <f t="shared" si="668"/>
        <v>0</v>
      </c>
      <c r="LV65" s="286">
        <f t="shared" si="669"/>
        <v>0</v>
      </c>
      <c r="LW65" s="286">
        <f t="shared" si="670"/>
        <v>0</v>
      </c>
      <c r="LX65" s="286">
        <f t="shared" si="671"/>
        <v>0</v>
      </c>
      <c r="LY65" s="286">
        <f t="shared" si="672"/>
        <v>0</v>
      </c>
      <c r="LZ65" s="286">
        <f t="shared" si="673"/>
        <v>0</v>
      </c>
      <c r="MA65" s="286">
        <f t="shared" si="674"/>
        <v>0</v>
      </c>
      <c r="MB65" s="286">
        <f t="shared" si="675"/>
        <v>0</v>
      </c>
      <c r="MC65" s="286">
        <f t="shared" si="676"/>
        <v>0</v>
      </c>
      <c r="MD65" s="286">
        <f t="shared" si="677"/>
        <v>0</v>
      </c>
      <c r="ME65" s="286">
        <f t="shared" si="678"/>
        <v>0</v>
      </c>
      <c r="MF65" s="286">
        <f t="shared" si="679"/>
        <v>0</v>
      </c>
      <c r="MG65" s="286">
        <f t="shared" si="680"/>
        <v>0</v>
      </c>
      <c r="MH65" s="286">
        <f t="shared" si="681"/>
        <v>0</v>
      </c>
      <c r="MI65" s="286">
        <f t="shared" si="682"/>
        <v>0</v>
      </c>
      <c r="MJ65" s="286">
        <f t="shared" si="683"/>
        <v>0</v>
      </c>
      <c r="MK65" s="286">
        <f t="shared" si="684"/>
        <v>0</v>
      </c>
      <c r="ML65" s="282">
        <f t="shared" si="685"/>
        <v>0</v>
      </c>
      <c r="MM65" s="1232">
        <f t="shared" si="686"/>
        <v>0</v>
      </c>
      <c r="MN65" s="1232">
        <f t="shared" si="687"/>
        <v>0</v>
      </c>
      <c r="MO65" s="1232">
        <f t="shared" si="688"/>
        <v>0</v>
      </c>
      <c r="MP65" s="1232">
        <f t="shared" si="689"/>
        <v>0</v>
      </c>
      <c r="MQ65" s="282">
        <f t="shared" si="690"/>
        <v>0</v>
      </c>
      <c r="MR65" s="282">
        <f t="shared" si="691"/>
        <v>0</v>
      </c>
      <c r="MS65" s="282">
        <f t="shared" si="692"/>
        <v>0</v>
      </c>
      <c r="MT65" s="282">
        <f t="shared" si="693"/>
        <v>0</v>
      </c>
      <c r="MU65" s="282">
        <f t="shared" si="694"/>
        <v>0</v>
      </c>
      <c r="MV65" s="282">
        <f t="shared" si="695"/>
        <v>0</v>
      </c>
      <c r="MW65" s="282">
        <f t="shared" si="696"/>
        <v>0</v>
      </c>
      <c r="MX65" s="282">
        <f t="shared" si="697"/>
        <v>0</v>
      </c>
      <c r="MY65" s="282">
        <f t="shared" si="698"/>
        <v>0</v>
      </c>
      <c r="MZ65" s="282">
        <f t="shared" si="699"/>
        <v>0</v>
      </c>
      <c r="NA65" s="282">
        <f t="shared" si="700"/>
        <v>0</v>
      </c>
      <c r="NB65" s="282">
        <f t="shared" si="701"/>
        <v>0</v>
      </c>
      <c r="NC65" s="282">
        <f t="shared" si="702"/>
        <v>0</v>
      </c>
      <c r="ND65" s="282">
        <f t="shared" si="703"/>
        <v>0</v>
      </c>
      <c r="NE65" s="282">
        <f t="shared" si="704"/>
        <v>0</v>
      </c>
      <c r="NF65" s="282">
        <f t="shared" si="705"/>
        <v>0</v>
      </c>
      <c r="NG65" s="282">
        <f t="shared" si="706"/>
        <v>0</v>
      </c>
      <c r="NH65" s="282">
        <f t="shared" si="707"/>
        <v>0</v>
      </c>
      <c r="NI65" s="282">
        <f t="shared" si="708"/>
        <v>0</v>
      </c>
      <c r="NJ65" s="282">
        <f t="shared" si="709"/>
        <v>0</v>
      </c>
      <c r="NK65" s="282">
        <f t="shared" si="710"/>
        <v>0</v>
      </c>
      <c r="NL65" s="282">
        <f t="shared" si="711"/>
        <v>0</v>
      </c>
      <c r="NM65" s="1205">
        <f t="shared" si="712"/>
        <v>0</v>
      </c>
      <c r="NN65" s="282">
        <f t="shared" si="713"/>
        <v>0</v>
      </c>
      <c r="NO65" s="282">
        <f t="shared" si="714"/>
        <v>0</v>
      </c>
      <c r="NP65" s="282">
        <f t="shared" si="715"/>
        <v>0</v>
      </c>
      <c r="NQ65" s="282">
        <f t="shared" si="716"/>
        <v>0</v>
      </c>
      <c r="NR65" s="282">
        <f t="shared" si="717"/>
        <v>0</v>
      </c>
      <c r="NS65" s="282">
        <f t="shared" si="718"/>
        <v>0</v>
      </c>
      <c r="NT65" s="282">
        <f t="shared" si="719"/>
        <v>0</v>
      </c>
      <c r="NU65" s="282">
        <f t="shared" si="720"/>
        <v>0</v>
      </c>
      <c r="NV65" s="286">
        <f t="shared" si="721"/>
        <v>0</v>
      </c>
      <c r="NW65" s="286">
        <f t="shared" si="722"/>
        <v>0</v>
      </c>
      <c r="NX65" s="286">
        <f t="shared" si="723"/>
        <v>0</v>
      </c>
      <c r="NY65" s="286">
        <f t="shared" si="724"/>
        <v>0</v>
      </c>
      <c r="NZ65" s="286">
        <f t="shared" si="725"/>
        <v>0</v>
      </c>
      <c r="OA65" s="286">
        <f t="shared" si="726"/>
        <v>0</v>
      </c>
      <c r="OB65" s="286">
        <f t="shared" si="727"/>
        <v>0</v>
      </c>
      <c r="OC65" s="286">
        <f t="shared" si="728"/>
        <v>0</v>
      </c>
      <c r="OD65" s="286">
        <f t="shared" si="729"/>
        <v>0</v>
      </c>
      <c r="OE65" s="282">
        <f t="shared" si="730"/>
        <v>0</v>
      </c>
      <c r="OF65" s="282">
        <f t="shared" si="731"/>
        <v>0</v>
      </c>
      <c r="OG65" s="286">
        <f t="shared" si="732"/>
        <v>0</v>
      </c>
      <c r="OH65" s="286">
        <f t="shared" si="733"/>
        <v>0</v>
      </c>
      <c r="OI65" s="286">
        <f t="shared" si="734"/>
        <v>0</v>
      </c>
      <c r="OJ65" s="286">
        <f t="shared" si="735"/>
        <v>0</v>
      </c>
      <c r="OK65" s="286">
        <f t="shared" si="736"/>
        <v>0</v>
      </c>
      <c r="OL65" s="286">
        <f t="shared" si="737"/>
        <v>0</v>
      </c>
      <c r="OM65" s="286">
        <f t="shared" si="738"/>
        <v>0</v>
      </c>
      <c r="ON65" s="286">
        <f t="shared" si="739"/>
        <v>0</v>
      </c>
      <c r="OO65" s="286">
        <f t="shared" si="740"/>
        <v>0</v>
      </c>
      <c r="OP65" s="434">
        <f t="shared" si="741"/>
        <v>0</v>
      </c>
      <c r="OQ65" s="434">
        <f t="shared" si="742"/>
        <v>0</v>
      </c>
      <c r="OR65" s="282">
        <f t="shared" si="743"/>
        <v>0</v>
      </c>
      <c r="OS65" s="282">
        <f t="shared" si="744"/>
        <v>0</v>
      </c>
      <c r="OT65" s="282">
        <f t="shared" si="745"/>
        <v>0</v>
      </c>
      <c r="OU65" s="282">
        <f t="shared" si="746"/>
        <v>0</v>
      </c>
      <c r="OV65" s="282">
        <f t="shared" si="747"/>
        <v>0</v>
      </c>
      <c r="OW65" s="286">
        <f t="shared" si="748"/>
        <v>0</v>
      </c>
      <c r="OX65" s="286">
        <f t="shared" si="749"/>
        <v>0</v>
      </c>
      <c r="OY65" s="286">
        <f t="shared" si="750"/>
        <v>0</v>
      </c>
      <c r="OZ65" s="286">
        <f t="shared" si="751"/>
        <v>0</v>
      </c>
      <c r="PA65" s="286">
        <f t="shared" si="752"/>
        <v>0</v>
      </c>
      <c r="PB65" s="286">
        <f t="shared" si="753"/>
        <v>0</v>
      </c>
      <c r="PC65" s="286">
        <f t="shared" si="754"/>
        <v>0</v>
      </c>
      <c r="PD65" s="282">
        <f t="shared" si="755"/>
        <v>0</v>
      </c>
      <c r="PE65" s="282">
        <f t="shared" si="756"/>
        <v>0</v>
      </c>
      <c r="PF65" s="286">
        <f t="shared" si="757"/>
        <v>0</v>
      </c>
      <c r="PG65" s="286">
        <f t="shared" si="758"/>
        <v>0</v>
      </c>
      <c r="PH65" s="286">
        <f t="shared" si="759"/>
        <v>0</v>
      </c>
      <c r="PI65" s="286">
        <f t="shared" si="760"/>
        <v>0</v>
      </c>
      <c r="PJ65" s="286">
        <f t="shared" si="761"/>
        <v>0</v>
      </c>
      <c r="PK65" s="286">
        <f t="shared" si="762"/>
        <v>0</v>
      </c>
      <c r="PL65" s="286">
        <f t="shared" si="763"/>
        <v>0</v>
      </c>
      <c r="PM65" s="562">
        <v>9</v>
      </c>
      <c r="PN65" s="283"/>
      <c r="PO65" s="283"/>
    </row>
    <row r="66" spans="1:431" s="289" customFormat="1" ht="15" customHeight="1">
      <c r="A66" s="1935" t="s">
        <v>1325</v>
      </c>
      <c r="B66" s="1040" t="str">
        <f>VLOOKUP(A66,'Area (&amp;golfacre for lookup)'!$A$2:$B$162,2,FALSE)</f>
        <v>BOCA</v>
      </c>
      <c r="C66" s="1936"/>
      <c r="D66" s="1937">
        <v>44834</v>
      </c>
      <c r="E66" s="402"/>
      <c r="F66" s="1936">
        <v>1</v>
      </c>
      <c r="G66" s="1936">
        <v>1</v>
      </c>
      <c r="H66" s="1936">
        <v>680</v>
      </c>
      <c r="I66" s="1936">
        <v>2572</v>
      </c>
      <c r="J66" s="1936">
        <v>3252</v>
      </c>
      <c r="K66" s="1938">
        <v>2755.7982640715413</v>
      </c>
      <c r="L66" s="1939" t="s">
        <v>1208</v>
      </c>
      <c r="M66" s="1939" t="s">
        <v>1208</v>
      </c>
      <c r="N66" s="1939" t="s">
        <v>1208</v>
      </c>
      <c r="O66" s="1939" t="s">
        <v>1208</v>
      </c>
      <c r="P66" s="1939" t="s">
        <v>1208</v>
      </c>
      <c r="Q66" s="1936">
        <v>100</v>
      </c>
      <c r="R66" s="1936">
        <v>89900</v>
      </c>
      <c r="S66" s="1936">
        <v>90000</v>
      </c>
      <c r="T66" s="1939" t="s">
        <v>1208</v>
      </c>
      <c r="U66" s="1939" t="s">
        <v>1208</v>
      </c>
      <c r="V66" s="1939" t="s">
        <v>1208</v>
      </c>
      <c r="W66" s="1936">
        <v>21605</v>
      </c>
      <c r="X66" s="1936">
        <v>19010</v>
      </c>
      <c r="Y66" s="1939" t="s">
        <v>1208</v>
      </c>
      <c r="Z66" s="1939" t="s">
        <v>1208</v>
      </c>
      <c r="AA66" s="1936">
        <v>2595</v>
      </c>
      <c r="AB66" s="1362">
        <v>0.13650710152551288</v>
      </c>
      <c r="AC66" s="1939" t="s">
        <v>1208</v>
      </c>
      <c r="AD66" s="1363" t="s">
        <v>1208</v>
      </c>
      <c r="AE66" s="1936">
        <v>0</v>
      </c>
      <c r="AF66" s="1936">
        <v>0</v>
      </c>
      <c r="AG66" s="1939" t="s">
        <v>1208</v>
      </c>
      <c r="AH66" s="1936">
        <v>0</v>
      </c>
      <c r="AI66" s="1936">
        <v>0</v>
      </c>
      <c r="AJ66" s="1939" t="s">
        <v>1208</v>
      </c>
      <c r="AK66" s="1938">
        <v>0</v>
      </c>
      <c r="AL66" s="1938">
        <v>0</v>
      </c>
      <c r="AM66" s="1936">
        <v>19010</v>
      </c>
      <c r="AN66" s="1939" t="s">
        <v>1208</v>
      </c>
      <c r="AO66" s="1936">
        <v>0</v>
      </c>
      <c r="AP66" s="1936">
        <v>0</v>
      </c>
      <c r="AQ66" s="1936">
        <v>19010</v>
      </c>
      <c r="AR66" s="1939" t="s">
        <v>1208</v>
      </c>
      <c r="AS66" s="1363" t="s">
        <v>1208</v>
      </c>
      <c r="AT66" s="1363" t="s">
        <v>1208</v>
      </c>
      <c r="AU66" s="1363" t="s">
        <v>1208</v>
      </c>
      <c r="AV66" s="1363" t="s">
        <v>1208</v>
      </c>
      <c r="AW66" s="1363" t="s">
        <v>1291</v>
      </c>
      <c r="AX66" s="1938">
        <v>1</v>
      </c>
      <c r="AY66" s="1938">
        <v>0</v>
      </c>
      <c r="AZ66" s="1938">
        <v>0</v>
      </c>
      <c r="BA66" s="1938">
        <v>1</v>
      </c>
      <c r="BB66" s="1938">
        <v>0</v>
      </c>
      <c r="BC66" s="1938">
        <v>0</v>
      </c>
      <c r="BD66" s="1938">
        <v>1</v>
      </c>
      <c r="BE66" s="1936">
        <v>1</v>
      </c>
      <c r="BF66" s="1936">
        <v>27485000</v>
      </c>
      <c r="BG66" s="1936">
        <v>2570200</v>
      </c>
      <c r="BH66" s="1936">
        <v>30055200</v>
      </c>
      <c r="BI66" s="1938">
        <v>136656508</v>
      </c>
      <c r="BJ66" s="1936">
        <v>42090725</v>
      </c>
      <c r="BK66" s="1936">
        <v>9352002</v>
      </c>
      <c r="BL66" s="1362">
        <v>4.5007181350046759</v>
      </c>
      <c r="BM66" s="1936">
        <v>0</v>
      </c>
      <c r="BN66" s="1936">
        <v>0</v>
      </c>
      <c r="BO66" s="1363" t="s">
        <v>1208</v>
      </c>
      <c r="BP66" s="1938">
        <v>42850887</v>
      </c>
      <c r="BQ66" s="1938">
        <v>77585439</v>
      </c>
      <c r="BR66" s="1940">
        <v>0.55230578768781602</v>
      </c>
      <c r="BS66" s="1409">
        <v>0</v>
      </c>
      <c r="BT66" s="1938">
        <v>88659850</v>
      </c>
      <c r="BU66" s="1938">
        <v>97122341</v>
      </c>
      <c r="BV66" s="1940">
        <v>0.91286772010571693</v>
      </c>
      <c r="BW66" s="1936">
        <v>0</v>
      </c>
      <c r="BX66" s="1936">
        <v>15273.51459239736</v>
      </c>
      <c r="BY66" s="1936">
        <v>10906.168420178581</v>
      </c>
      <c r="BZ66" s="1936">
        <v>3750700</v>
      </c>
      <c r="CA66" s="1936">
        <v>36570</v>
      </c>
      <c r="CB66" s="1936">
        <v>1718764</v>
      </c>
      <c r="CC66" s="1936">
        <v>1815037</v>
      </c>
      <c r="CD66" s="1936">
        <v>52387725</v>
      </c>
      <c r="CE66" s="1936">
        <v>0</v>
      </c>
      <c r="CF66" s="1936">
        <v>0</v>
      </c>
      <c r="CG66" s="1936">
        <v>9239745</v>
      </c>
      <c r="CH66" s="1936">
        <v>1676245</v>
      </c>
      <c r="CI66" s="1936">
        <v>648860</v>
      </c>
      <c r="CJ66" s="1936">
        <v>71273646</v>
      </c>
      <c r="CK66" s="1366">
        <v>5.2623939008255592E-2</v>
      </c>
      <c r="CL66" s="1366">
        <v>5.1309287587167915E-4</v>
      </c>
      <c r="CM66" s="1366">
        <v>2.4115000374752824E-2</v>
      </c>
      <c r="CN66" s="1366">
        <v>2.5465752095802704E-2</v>
      </c>
      <c r="CO66" s="1366">
        <v>0.73502238120384633</v>
      </c>
      <c r="CP66" s="1366">
        <v>0</v>
      </c>
      <c r="CQ66" s="1366">
        <v>0</v>
      </c>
      <c r="CR66" s="1366">
        <v>0.12963760826827914</v>
      </c>
      <c r="CS66" s="1366">
        <v>2.3518440462551894E-2</v>
      </c>
      <c r="CT66" s="1366">
        <v>9.1037857106398071E-3</v>
      </c>
      <c r="CU66" s="1366">
        <v>1</v>
      </c>
      <c r="CV66" s="1936">
        <v>34293066</v>
      </c>
      <c r="CW66" s="1936">
        <v>7481767</v>
      </c>
      <c r="CX66" s="1936">
        <v>1348920</v>
      </c>
      <c r="CY66" s="1936">
        <v>21620373</v>
      </c>
      <c r="CZ66" s="1936">
        <v>1490565</v>
      </c>
      <c r="DA66" s="1936">
        <v>1660579</v>
      </c>
      <c r="DB66" s="1936">
        <v>67895270</v>
      </c>
      <c r="DC66" s="1366">
        <v>0.50508770345857668</v>
      </c>
      <c r="DD66" s="1366">
        <v>0.11019570288180605</v>
      </c>
      <c r="DE66" s="1366">
        <v>1.9867657938469056E-2</v>
      </c>
      <c r="DF66" s="1366">
        <v>0.31843710173035616</v>
      </c>
      <c r="DG66" s="1366">
        <v>2.1953885741967005E-2</v>
      </c>
      <c r="DH66" s="1366">
        <v>2.4457948248824992E-2</v>
      </c>
      <c r="DI66" s="1366">
        <v>1</v>
      </c>
      <c r="DJ66" s="1936">
        <v>3378376</v>
      </c>
      <c r="DK66" s="1936">
        <v>1361.0212506842013</v>
      </c>
      <c r="DL66" s="1936">
        <v>13.270202132274306</v>
      </c>
      <c r="DM66" s="1936">
        <v>623.69006556402292</v>
      </c>
      <c r="DN66" s="1936">
        <v>658.62477078361394</v>
      </c>
      <c r="DO66" s="1936">
        <v>19010</v>
      </c>
      <c r="DP66" s="1936">
        <v>0</v>
      </c>
      <c r="DQ66" s="1936">
        <v>0</v>
      </c>
      <c r="DR66" s="1936">
        <v>3352.8379491569826</v>
      </c>
      <c r="DS66" s="1936">
        <v>608.26114228094457</v>
      </c>
      <c r="DT66" s="1936">
        <v>235.45264849733405</v>
      </c>
      <c r="DU66" s="1936">
        <v>25863.158029099373</v>
      </c>
      <c r="DV66" s="1936">
        <v>12443.968213164439</v>
      </c>
      <c r="DW66" s="1936">
        <v>2714.918249838106</v>
      </c>
      <c r="DX66" s="1936">
        <v>489.48430572238055</v>
      </c>
      <c r="DY66" s="1936">
        <v>7845.4120832695062</v>
      </c>
      <c r="DZ66" s="1936">
        <v>540.88320594184995</v>
      </c>
      <c r="EA66" s="1936">
        <v>602.57640105578162</v>
      </c>
      <c r="EB66" s="1936">
        <v>24637.242458992063</v>
      </c>
      <c r="EC66" s="1936">
        <v>1225.9155701073105</v>
      </c>
      <c r="ED66" s="1941">
        <v>660</v>
      </c>
      <c r="EE66" s="1936">
        <v>1</v>
      </c>
      <c r="EF66" s="1936">
        <v>375</v>
      </c>
      <c r="EG66" s="1938">
        <v>3116235</v>
      </c>
      <c r="EH66" s="1938">
        <v>1</v>
      </c>
      <c r="EI66" s="1368">
        <v>0.1</v>
      </c>
      <c r="EJ66" s="1936">
        <v>4.1754519152599112</v>
      </c>
      <c r="EK66" s="1936">
        <v>0</v>
      </c>
      <c r="EL66" s="1936">
        <v>0</v>
      </c>
      <c r="EM66" s="1936">
        <v>1</v>
      </c>
      <c r="EN66" s="1362">
        <v>0.2</v>
      </c>
      <c r="EO66" s="1936">
        <v>0</v>
      </c>
      <c r="EP66" s="1936">
        <v>0</v>
      </c>
      <c r="EQ66" s="1936">
        <v>0</v>
      </c>
      <c r="ER66" s="1938">
        <v>0</v>
      </c>
      <c r="ES66" s="1936">
        <v>3961.0990914379277</v>
      </c>
      <c r="ET66" s="1936">
        <v>-5092.750141755535</v>
      </c>
      <c r="EU66" s="1938">
        <v>3</v>
      </c>
      <c r="EV66" s="1936">
        <v>299388</v>
      </c>
      <c r="EW66" s="1936">
        <v>9651</v>
      </c>
      <c r="EX66" s="1938">
        <v>0</v>
      </c>
      <c r="EY66" s="1936">
        <v>9239745</v>
      </c>
      <c r="EZ66" s="1936">
        <v>6912554</v>
      </c>
      <c r="FA66" s="1936">
        <v>2327191</v>
      </c>
      <c r="FB66" s="1936">
        <v>1676245</v>
      </c>
      <c r="FC66" s="1936">
        <v>569213</v>
      </c>
      <c r="FD66" s="1936">
        <v>1107032</v>
      </c>
      <c r="FE66" s="1936">
        <v>10915990</v>
      </c>
      <c r="FF66" s="1936">
        <v>7481767</v>
      </c>
      <c r="FG66" s="1936">
        <v>3434223</v>
      </c>
      <c r="FH66" s="1366">
        <v>1</v>
      </c>
      <c r="FI66" s="1366">
        <v>0.74813255127711853</v>
      </c>
      <c r="FJ66" s="1366">
        <v>0.25186744872288142</v>
      </c>
      <c r="FK66" s="1366">
        <v>1</v>
      </c>
      <c r="FL66" s="1366">
        <v>0.33957625526101493</v>
      </c>
      <c r="FM66" s="1366">
        <v>0.66042374473898502</v>
      </c>
      <c r="FN66" s="1366">
        <v>1</v>
      </c>
      <c r="FO66" s="1366">
        <v>0.68539518632758001</v>
      </c>
      <c r="FP66" s="1366">
        <v>0.31460481367241999</v>
      </c>
      <c r="FQ66" s="1936">
        <v>11312399</v>
      </c>
      <c r="FR66" s="1936">
        <v>0</v>
      </c>
      <c r="FS66" s="1936">
        <v>2855906</v>
      </c>
      <c r="FT66" s="1936">
        <v>543775</v>
      </c>
      <c r="FU66" s="1936">
        <v>294993</v>
      </c>
      <c r="FV66" s="1936">
        <v>92207</v>
      </c>
      <c r="FW66" s="1936">
        <v>2369535</v>
      </c>
      <c r="FX66" s="1936">
        <v>17468815</v>
      </c>
      <c r="FY66" s="1936">
        <v>-14034592</v>
      </c>
      <c r="FZ66" s="1366">
        <v>1.036314525755337</v>
      </c>
      <c r="GA66" s="1366">
        <v>0</v>
      </c>
      <c r="GB66" s="1366">
        <v>0.26162592673683283</v>
      </c>
      <c r="GC66" s="1366">
        <v>4.9814538122515684E-2</v>
      </c>
      <c r="GD66" s="1366">
        <v>2.7023934613351605E-2</v>
      </c>
      <c r="GE66" s="1366">
        <v>8.4469663310428097E-3</v>
      </c>
      <c r="GF66" s="1366">
        <v>0.21707009625329449</v>
      </c>
      <c r="GG66" s="1366">
        <v>1.6002959878123744</v>
      </c>
      <c r="GH66" s="1366">
        <v>-1.2856911741399544</v>
      </c>
      <c r="GI66" s="1942">
        <v>5.5121685672440481</v>
      </c>
      <c r="GJ66" s="1943">
        <v>1</v>
      </c>
      <c r="GK66" s="1371">
        <v>0.03</v>
      </c>
      <c r="GL66" s="1943">
        <v>1</v>
      </c>
      <c r="GM66" s="1371">
        <v>0.03</v>
      </c>
      <c r="GN66" s="1943">
        <v>0</v>
      </c>
      <c r="GO66" s="1985">
        <f>IF(GN66=0,0,VLOOKUP(A66,'Area (&amp;golfacre for lookup)'!$G$2:$H$133,2,FALSE))</f>
        <v>0</v>
      </c>
      <c r="GP66" s="1943">
        <v>0</v>
      </c>
      <c r="GQ66" s="1943">
        <v>0</v>
      </c>
      <c r="GR66" s="1943">
        <v>0</v>
      </c>
      <c r="GS66" s="1943">
        <v>0</v>
      </c>
      <c r="GT66" s="1943">
        <v>0</v>
      </c>
      <c r="GU66" s="1943">
        <v>0</v>
      </c>
      <c r="GV66" s="1943">
        <v>0</v>
      </c>
      <c r="GW66" s="1943">
        <v>0</v>
      </c>
      <c r="GX66" s="1936">
        <v>0</v>
      </c>
      <c r="GY66" s="1985">
        <f t="shared" si="764"/>
        <v>0</v>
      </c>
      <c r="GZ66" s="1936">
        <v>0</v>
      </c>
      <c r="HA66" s="1936">
        <v>0</v>
      </c>
      <c r="HB66" s="1936">
        <v>0</v>
      </c>
      <c r="HC66" s="1936">
        <v>0</v>
      </c>
      <c r="HD66" s="1936">
        <v>0</v>
      </c>
      <c r="HE66" s="1936">
        <v>0</v>
      </c>
      <c r="HF66" s="1936">
        <v>0</v>
      </c>
      <c r="HG66" s="1936">
        <v>72</v>
      </c>
      <c r="HH66" s="1988">
        <f>IF(HG66=0,0,VLOOKUP(A66,'Area (&amp;golfacre for lookup)'!$G$2:$H$134,2,FALSE))</f>
        <v>625</v>
      </c>
      <c r="HI66" s="1936">
        <v>116306</v>
      </c>
      <c r="HJ66" s="1936">
        <v>3728708</v>
      </c>
      <c r="HK66" s="1936">
        <v>1116189</v>
      </c>
      <c r="HL66" s="1936">
        <v>1284583</v>
      </c>
      <c r="HM66" s="1936">
        <v>701589</v>
      </c>
      <c r="HN66" s="1936">
        <v>0</v>
      </c>
      <c r="HO66" s="1936">
        <v>235137</v>
      </c>
      <c r="HP66" s="1936">
        <v>7066206</v>
      </c>
      <c r="HQ66" s="1936">
        <v>98141.75</v>
      </c>
      <c r="HR66" s="1988">
        <f t="shared" si="765"/>
        <v>11305.929599999999</v>
      </c>
      <c r="HS66" s="1366">
        <v>0.52768175736739065</v>
      </c>
      <c r="HT66" s="1366">
        <v>0.15796157089108356</v>
      </c>
      <c r="HU66" s="1366">
        <v>0.18179246401817326</v>
      </c>
      <c r="HV66" s="1366">
        <v>9.9287934713479908E-2</v>
      </c>
      <c r="HW66" s="1366">
        <v>0</v>
      </c>
      <c r="HX66" s="1366">
        <v>3.3276273009872626E-2</v>
      </c>
      <c r="HY66" s="1366">
        <v>1</v>
      </c>
      <c r="HZ66" s="51"/>
      <c r="IA66" s="59">
        <f t="shared" si="766"/>
        <v>0</v>
      </c>
      <c r="IB66" s="59"/>
      <c r="IC66" s="815">
        <f t="shared" si="581"/>
        <v>1</v>
      </c>
      <c r="ID66" s="815"/>
      <c r="IE66" s="284">
        <f t="shared" si="582"/>
        <v>0</v>
      </c>
      <c r="IF66" s="284"/>
      <c r="IG66" s="284">
        <f t="shared" si="583"/>
        <v>49588.719820912243</v>
      </c>
      <c r="IH66" s="284"/>
      <c r="II66" s="1288">
        <f t="shared" si="584"/>
        <v>0</v>
      </c>
      <c r="IJ66" s="1288">
        <f t="shared" si="585"/>
        <v>0.55230578768781602</v>
      </c>
      <c r="IK66" s="284">
        <f t="shared" si="586"/>
        <v>1</v>
      </c>
      <c r="IL66" s="284">
        <f t="shared" si="587"/>
        <v>0</v>
      </c>
      <c r="IM66" s="284">
        <f t="shared" si="588"/>
        <v>0</v>
      </c>
      <c r="IN66" s="284">
        <f t="shared" si="589"/>
        <v>0</v>
      </c>
      <c r="IO66" s="753">
        <f t="shared" si="590"/>
        <v>-4315.6801968019681</v>
      </c>
      <c r="IP66" s="113">
        <f t="shared" si="591"/>
        <v>-5092.750141755535</v>
      </c>
      <c r="IQ66" s="30">
        <f t="shared" si="592"/>
        <v>-0.26789848194400501</v>
      </c>
      <c r="IR66" s="438">
        <f t="shared" si="593"/>
        <v>9239745</v>
      </c>
      <c r="IS66" s="438">
        <f t="shared" si="594"/>
        <v>1676245</v>
      </c>
      <c r="IT66" s="438">
        <f t="shared" si="595"/>
        <v>11312399</v>
      </c>
      <c r="IU66" s="438">
        <f t="shared" si="596"/>
        <v>3399681</v>
      </c>
      <c r="IV66" s="438">
        <f t="shared" si="597"/>
        <v>7481767</v>
      </c>
      <c r="IW66" s="438">
        <f t="shared" si="598"/>
        <v>2756735</v>
      </c>
      <c r="IX66" s="285">
        <f t="shared" si="599"/>
        <v>0.84644132140099071</v>
      </c>
      <c r="IY66" s="285">
        <f t="shared" si="600"/>
        <v>0.15355867859900935</v>
      </c>
      <c r="IZ66" s="285">
        <f t="shared" si="601"/>
        <v>1.036314525755337</v>
      </c>
      <c r="JA66" s="285">
        <f t="shared" si="602"/>
        <v>0.31144046485934851</v>
      </c>
      <c r="JB66" s="285">
        <f t="shared" si="603"/>
        <v>0.68539518632758001</v>
      </c>
      <c r="JC66" s="285">
        <f t="shared" si="604"/>
        <v>0.25254099719768891</v>
      </c>
      <c r="JD66" s="60">
        <f t="shared" si="605"/>
        <v>52387725</v>
      </c>
      <c r="JE66" s="60">
        <f t="shared" si="606"/>
        <v>7321071</v>
      </c>
      <c r="JF66" s="60">
        <f t="shared" si="607"/>
        <v>0</v>
      </c>
      <c r="JG66" s="60">
        <f t="shared" si="608"/>
        <v>3151144</v>
      </c>
      <c r="JH66" s="284">
        <f t="shared" si="609"/>
        <v>1</v>
      </c>
      <c r="JI66" s="284">
        <f t="shared" si="610"/>
        <v>1</v>
      </c>
      <c r="JJ66" s="560">
        <f t="shared" si="611"/>
        <v>0.78481978910426331</v>
      </c>
      <c r="JK66" s="561">
        <f t="shared" si="612"/>
        <v>0.48114650960889527</v>
      </c>
      <c r="JL66" s="561">
        <f t="shared" si="613"/>
        <v>0.10497241855706385</v>
      </c>
      <c r="JM66" s="561">
        <f t="shared" si="614"/>
        <v>1.8925929508362742E-2</v>
      </c>
      <c r="JN66" s="561">
        <f t="shared" si="615"/>
        <v>0.30334315996686911</v>
      </c>
      <c r="JO66" s="561">
        <f t="shared" si="616"/>
        <v>2.0913269962364492E-2</v>
      </c>
      <c r="JP66" s="561">
        <f t="shared" si="617"/>
        <v>2.3298639724422122E-2</v>
      </c>
      <c r="JQ66" s="561">
        <f t="shared" si="618"/>
        <v>0.9525999273279776</v>
      </c>
      <c r="JR66" s="61">
        <f t="shared" si="619"/>
        <v>0</v>
      </c>
      <c r="JS66" s="61">
        <f t="shared" si="620"/>
        <v>0</v>
      </c>
      <c r="JT66" s="61">
        <f t="shared" si="621"/>
        <v>0</v>
      </c>
      <c r="JU66" s="61">
        <f t="shared" si="622"/>
        <v>0</v>
      </c>
      <c r="JV66" s="61">
        <f t="shared" si="623"/>
        <v>0</v>
      </c>
      <c r="JW66" s="61">
        <f t="shared" si="624"/>
        <v>0</v>
      </c>
      <c r="JX66" s="61">
        <f t="shared" si="625"/>
        <v>0</v>
      </c>
      <c r="JY66" s="394">
        <f t="shared" si="626"/>
        <v>0</v>
      </c>
      <c r="JZ66" s="61">
        <f t="shared" si="627"/>
        <v>51787.611111111109</v>
      </c>
      <c r="KA66" s="61">
        <f t="shared" si="628"/>
        <v>15502.625</v>
      </c>
      <c r="KB66" s="61">
        <f t="shared" si="629"/>
        <v>17841.430555555555</v>
      </c>
      <c r="KC66" s="61">
        <f t="shared" si="630"/>
        <v>9744.2916666666661</v>
      </c>
      <c r="KD66" s="61">
        <f t="shared" si="631"/>
        <v>0</v>
      </c>
      <c r="KE66" s="61">
        <f t="shared" si="632"/>
        <v>3265.7916666666665</v>
      </c>
      <c r="KF66" s="61">
        <f t="shared" si="633"/>
        <v>29100</v>
      </c>
      <c r="KG66" s="61">
        <f t="shared" si="634"/>
        <v>312.5</v>
      </c>
      <c r="KH66" s="61">
        <f t="shared" si="635"/>
        <v>60.755300672364278</v>
      </c>
      <c r="KI66" s="394">
        <f t="shared" si="636"/>
        <v>0.10407508505378946</v>
      </c>
      <c r="KJ66" s="438">
        <f t="shared" si="637"/>
        <v>72</v>
      </c>
      <c r="KK66" s="438">
        <f t="shared" si="638"/>
        <v>116306</v>
      </c>
      <c r="KL66" s="438">
        <f t="shared" si="639"/>
        <v>625</v>
      </c>
      <c r="KM66" s="438">
        <f t="shared" si="640"/>
        <v>98141.75</v>
      </c>
      <c r="KN66" s="438">
        <f t="shared" si="641"/>
        <v>60.755300672364278</v>
      </c>
      <c r="KO66" s="438">
        <f t="shared" si="642"/>
        <v>11305.929599999999</v>
      </c>
      <c r="KP66" s="438">
        <f t="shared" si="643"/>
        <v>3728708</v>
      </c>
      <c r="KQ66" s="438">
        <f t="shared" si="644"/>
        <v>1116189</v>
      </c>
      <c r="KR66" s="438">
        <f t="shared" si="645"/>
        <v>1284583</v>
      </c>
      <c r="KS66" s="438">
        <f t="shared" si="646"/>
        <v>701589</v>
      </c>
      <c r="KT66" s="438">
        <f t="shared" si="647"/>
        <v>0</v>
      </c>
      <c r="KU66" s="438">
        <f t="shared" si="648"/>
        <v>235137</v>
      </c>
      <c r="KV66" s="420">
        <f t="shared" si="649"/>
        <v>0.10407508505378946</v>
      </c>
      <c r="KW66" s="420">
        <f t="shared" si="650"/>
        <v>-0.1303944578620278</v>
      </c>
      <c r="KX66" s="108"/>
      <c r="KY66" s="282">
        <f t="shared" si="651"/>
        <v>0</v>
      </c>
      <c r="KZ66" s="282"/>
      <c r="LA66" s="282">
        <f t="shared" si="652"/>
        <v>0</v>
      </c>
      <c r="LB66" s="282"/>
      <c r="LC66" s="286">
        <f t="shared" si="653"/>
        <v>0</v>
      </c>
      <c r="LD66" s="286"/>
      <c r="LE66" s="282">
        <f t="shared" si="654"/>
        <v>0</v>
      </c>
      <c r="LF66" s="282"/>
      <c r="LG66" s="282">
        <f t="shared" si="655"/>
        <v>0</v>
      </c>
      <c r="LH66" s="282">
        <f t="shared" si="656"/>
        <v>0</v>
      </c>
      <c r="LI66" s="282">
        <f t="shared" si="657"/>
        <v>0</v>
      </c>
      <c r="LJ66" s="282">
        <f t="shared" si="658"/>
        <v>0</v>
      </c>
      <c r="LK66" s="282"/>
      <c r="LL66" s="282">
        <f t="shared" si="659"/>
        <v>0</v>
      </c>
      <c r="LM66" s="282">
        <f t="shared" si="660"/>
        <v>0</v>
      </c>
      <c r="LN66" s="282">
        <f t="shared" si="661"/>
        <v>0</v>
      </c>
      <c r="LO66" s="282">
        <f t="shared" si="662"/>
        <v>0</v>
      </c>
      <c r="LP66" s="286">
        <f t="shared" si="663"/>
        <v>0</v>
      </c>
      <c r="LQ66" s="282">
        <f t="shared" si="664"/>
        <v>0</v>
      </c>
      <c r="LR66" s="282">
        <f t="shared" si="665"/>
        <v>0</v>
      </c>
      <c r="LS66" s="282">
        <f t="shared" si="666"/>
        <v>0</v>
      </c>
      <c r="LT66" s="286">
        <f t="shared" si="667"/>
        <v>0</v>
      </c>
      <c r="LU66" s="286">
        <f t="shared" si="668"/>
        <v>0</v>
      </c>
      <c r="LV66" s="286">
        <f t="shared" si="669"/>
        <v>0</v>
      </c>
      <c r="LW66" s="286">
        <f t="shared" si="670"/>
        <v>0</v>
      </c>
      <c r="LX66" s="286">
        <f t="shared" si="671"/>
        <v>0</v>
      </c>
      <c r="LY66" s="286">
        <f t="shared" si="672"/>
        <v>0</v>
      </c>
      <c r="LZ66" s="286">
        <f t="shared" si="673"/>
        <v>0</v>
      </c>
      <c r="MA66" s="286">
        <f t="shared" si="674"/>
        <v>0</v>
      </c>
      <c r="MB66" s="286">
        <f t="shared" si="675"/>
        <v>0</v>
      </c>
      <c r="MC66" s="286">
        <f t="shared" si="676"/>
        <v>0</v>
      </c>
      <c r="MD66" s="286">
        <f t="shared" si="677"/>
        <v>0</v>
      </c>
      <c r="ME66" s="286">
        <f t="shared" si="678"/>
        <v>0</v>
      </c>
      <c r="MF66" s="286">
        <f t="shared" si="679"/>
        <v>0</v>
      </c>
      <c r="MG66" s="286">
        <f t="shared" si="680"/>
        <v>0</v>
      </c>
      <c r="MH66" s="286">
        <f t="shared" si="681"/>
        <v>0</v>
      </c>
      <c r="MI66" s="286">
        <f t="shared" si="682"/>
        <v>0</v>
      </c>
      <c r="MJ66" s="286">
        <f t="shared" si="683"/>
        <v>0</v>
      </c>
      <c r="MK66" s="286">
        <f t="shared" si="684"/>
        <v>0</v>
      </c>
      <c r="ML66" s="282">
        <f t="shared" si="685"/>
        <v>0</v>
      </c>
      <c r="MM66" s="1232">
        <f t="shared" si="686"/>
        <v>0</v>
      </c>
      <c r="MN66" s="1232">
        <f t="shared" si="687"/>
        <v>0</v>
      </c>
      <c r="MO66" s="1232">
        <f t="shared" si="688"/>
        <v>0</v>
      </c>
      <c r="MP66" s="1232">
        <f t="shared" si="689"/>
        <v>0</v>
      </c>
      <c r="MQ66" s="282">
        <f t="shared" si="690"/>
        <v>0</v>
      </c>
      <c r="MR66" s="282">
        <f t="shared" si="691"/>
        <v>0</v>
      </c>
      <c r="MS66" s="282">
        <f t="shared" si="692"/>
        <v>0</v>
      </c>
      <c r="MT66" s="282">
        <f t="shared" si="693"/>
        <v>0</v>
      </c>
      <c r="MU66" s="282">
        <f t="shared" si="694"/>
        <v>0</v>
      </c>
      <c r="MV66" s="282">
        <f t="shared" si="695"/>
        <v>0</v>
      </c>
      <c r="MW66" s="282">
        <f t="shared" si="696"/>
        <v>0</v>
      </c>
      <c r="MX66" s="282">
        <f t="shared" si="697"/>
        <v>0</v>
      </c>
      <c r="MY66" s="282">
        <f t="shared" si="698"/>
        <v>0</v>
      </c>
      <c r="MZ66" s="282">
        <f t="shared" si="699"/>
        <v>0</v>
      </c>
      <c r="NA66" s="282">
        <f t="shared" si="700"/>
        <v>0</v>
      </c>
      <c r="NB66" s="282">
        <f t="shared" si="701"/>
        <v>0</v>
      </c>
      <c r="NC66" s="282">
        <f t="shared" si="702"/>
        <v>0</v>
      </c>
      <c r="ND66" s="282">
        <f t="shared" si="703"/>
        <v>0</v>
      </c>
      <c r="NE66" s="282">
        <f t="shared" si="704"/>
        <v>0</v>
      </c>
      <c r="NF66" s="282">
        <f t="shared" si="705"/>
        <v>0</v>
      </c>
      <c r="NG66" s="282">
        <f t="shared" si="706"/>
        <v>0</v>
      </c>
      <c r="NH66" s="282">
        <f t="shared" si="707"/>
        <v>0</v>
      </c>
      <c r="NI66" s="282">
        <f t="shared" si="708"/>
        <v>0</v>
      </c>
      <c r="NJ66" s="282">
        <f t="shared" si="709"/>
        <v>0</v>
      </c>
      <c r="NK66" s="282">
        <f t="shared" si="710"/>
        <v>0</v>
      </c>
      <c r="NL66" s="282">
        <f t="shared" si="711"/>
        <v>0</v>
      </c>
      <c r="NM66" s="1205">
        <f t="shared" si="712"/>
        <v>0</v>
      </c>
      <c r="NN66" s="282">
        <f t="shared" si="713"/>
        <v>0</v>
      </c>
      <c r="NO66" s="282">
        <f t="shared" si="714"/>
        <v>0</v>
      </c>
      <c r="NP66" s="282">
        <f t="shared" si="715"/>
        <v>0</v>
      </c>
      <c r="NQ66" s="282">
        <f t="shared" si="716"/>
        <v>0</v>
      </c>
      <c r="NR66" s="282">
        <f t="shared" si="717"/>
        <v>0</v>
      </c>
      <c r="NS66" s="282">
        <f t="shared" si="718"/>
        <v>0</v>
      </c>
      <c r="NT66" s="282">
        <f t="shared" si="719"/>
        <v>0</v>
      </c>
      <c r="NU66" s="282">
        <f t="shared" si="720"/>
        <v>0</v>
      </c>
      <c r="NV66" s="286">
        <f t="shared" si="721"/>
        <v>0</v>
      </c>
      <c r="NW66" s="286">
        <f t="shared" si="722"/>
        <v>0</v>
      </c>
      <c r="NX66" s="286">
        <f t="shared" si="723"/>
        <v>0</v>
      </c>
      <c r="NY66" s="286">
        <f t="shared" si="724"/>
        <v>0</v>
      </c>
      <c r="NZ66" s="286">
        <f t="shared" si="725"/>
        <v>0</v>
      </c>
      <c r="OA66" s="286">
        <f t="shared" si="726"/>
        <v>0</v>
      </c>
      <c r="OB66" s="286">
        <f t="shared" si="727"/>
        <v>0</v>
      </c>
      <c r="OC66" s="286">
        <f t="shared" si="728"/>
        <v>0</v>
      </c>
      <c r="OD66" s="286">
        <f t="shared" si="729"/>
        <v>0</v>
      </c>
      <c r="OE66" s="282">
        <f t="shared" si="730"/>
        <v>0</v>
      </c>
      <c r="OF66" s="282">
        <f t="shared" si="731"/>
        <v>0</v>
      </c>
      <c r="OG66" s="286">
        <f t="shared" si="732"/>
        <v>0</v>
      </c>
      <c r="OH66" s="286">
        <f t="shared" si="733"/>
        <v>0</v>
      </c>
      <c r="OI66" s="286">
        <f t="shared" si="734"/>
        <v>0</v>
      </c>
      <c r="OJ66" s="286">
        <f t="shared" si="735"/>
        <v>0</v>
      </c>
      <c r="OK66" s="286">
        <f t="shared" si="736"/>
        <v>0</v>
      </c>
      <c r="OL66" s="286">
        <f t="shared" si="737"/>
        <v>0</v>
      </c>
      <c r="OM66" s="286">
        <f t="shared" si="738"/>
        <v>0</v>
      </c>
      <c r="ON66" s="286">
        <f t="shared" si="739"/>
        <v>0</v>
      </c>
      <c r="OO66" s="286">
        <f t="shared" si="740"/>
        <v>0</v>
      </c>
      <c r="OP66" s="434">
        <f t="shared" si="741"/>
        <v>0</v>
      </c>
      <c r="OQ66" s="434">
        <f t="shared" si="742"/>
        <v>0</v>
      </c>
      <c r="OR66" s="282">
        <f t="shared" si="743"/>
        <v>0</v>
      </c>
      <c r="OS66" s="282">
        <f t="shared" si="744"/>
        <v>0</v>
      </c>
      <c r="OT66" s="282">
        <f t="shared" si="745"/>
        <v>0</v>
      </c>
      <c r="OU66" s="282">
        <f t="shared" si="746"/>
        <v>0</v>
      </c>
      <c r="OV66" s="282">
        <f t="shared" si="747"/>
        <v>0</v>
      </c>
      <c r="OW66" s="286">
        <f t="shared" si="748"/>
        <v>0</v>
      </c>
      <c r="OX66" s="286">
        <f t="shared" si="749"/>
        <v>0</v>
      </c>
      <c r="OY66" s="286">
        <f t="shared" si="750"/>
        <v>0</v>
      </c>
      <c r="OZ66" s="286">
        <f t="shared" si="751"/>
        <v>0</v>
      </c>
      <c r="PA66" s="286">
        <f t="shared" si="752"/>
        <v>0</v>
      </c>
      <c r="PB66" s="286">
        <f t="shared" si="753"/>
        <v>0</v>
      </c>
      <c r="PC66" s="286">
        <f t="shared" si="754"/>
        <v>0</v>
      </c>
      <c r="PD66" s="282">
        <f t="shared" si="755"/>
        <v>0</v>
      </c>
      <c r="PE66" s="282">
        <f t="shared" si="756"/>
        <v>0</v>
      </c>
      <c r="PF66" s="286">
        <f t="shared" si="757"/>
        <v>0</v>
      </c>
      <c r="PG66" s="286">
        <f t="shared" si="758"/>
        <v>0</v>
      </c>
      <c r="PH66" s="286">
        <f t="shared" si="759"/>
        <v>0</v>
      </c>
      <c r="PI66" s="286">
        <f t="shared" si="760"/>
        <v>0</v>
      </c>
      <c r="PJ66" s="286">
        <f t="shared" si="761"/>
        <v>0</v>
      </c>
      <c r="PK66" s="286">
        <f t="shared" si="762"/>
        <v>0</v>
      </c>
      <c r="PL66" s="286">
        <f t="shared" si="763"/>
        <v>0</v>
      </c>
      <c r="PM66" s="562">
        <v>10</v>
      </c>
      <c r="PN66" s="283"/>
      <c r="PO66" s="283"/>
    </row>
    <row r="67" spans="1:431" s="289" customFormat="1" ht="15" customHeight="1">
      <c r="A67" s="1935" t="s">
        <v>637</v>
      </c>
      <c r="B67" s="1040" t="str">
        <f>VLOOKUP(A67,'Area (&amp;golfacre for lookup)'!$A$2:$B$162,2,FALSE)</f>
        <v>BOCA</v>
      </c>
      <c r="C67" s="1936"/>
      <c r="D67" s="1937">
        <v>44865</v>
      </c>
      <c r="E67" s="402"/>
      <c r="F67" s="1936">
        <v>1</v>
      </c>
      <c r="G67" s="1936">
        <v>1</v>
      </c>
      <c r="H67" s="1936">
        <v>589</v>
      </c>
      <c r="I67" s="1936">
        <v>77</v>
      </c>
      <c r="J67" s="1936">
        <v>666</v>
      </c>
      <c r="K67" s="1938">
        <v>623.38714859437755</v>
      </c>
      <c r="L67" s="1939" t="s">
        <v>1208</v>
      </c>
      <c r="M67" s="1939" t="s">
        <v>1208</v>
      </c>
      <c r="N67" s="1939" t="s">
        <v>1208</v>
      </c>
      <c r="O67" s="1939" t="s">
        <v>1208</v>
      </c>
      <c r="P67" s="1939" t="s">
        <v>1208</v>
      </c>
      <c r="Q67" s="1936">
        <v>20000</v>
      </c>
      <c r="R67" s="1936">
        <v>75000</v>
      </c>
      <c r="S67" s="1936">
        <v>95000</v>
      </c>
      <c r="T67" s="1939" t="s">
        <v>1208</v>
      </c>
      <c r="U67" s="1939" t="s">
        <v>1208</v>
      </c>
      <c r="V67" s="1939" t="s">
        <v>1208</v>
      </c>
      <c r="W67" s="1936">
        <v>20598</v>
      </c>
      <c r="X67" s="1936">
        <v>17430</v>
      </c>
      <c r="Y67" s="1939" t="s">
        <v>1208</v>
      </c>
      <c r="Z67" s="1939" t="s">
        <v>1208</v>
      </c>
      <c r="AA67" s="1936">
        <v>3168</v>
      </c>
      <c r="AB67" s="1362">
        <v>0.18175559380378659</v>
      </c>
      <c r="AC67" s="1939" t="s">
        <v>1208</v>
      </c>
      <c r="AD67" s="1363" t="s">
        <v>1208</v>
      </c>
      <c r="AE67" s="1936">
        <v>0</v>
      </c>
      <c r="AF67" s="1936">
        <v>0</v>
      </c>
      <c r="AG67" s="1939" t="s">
        <v>1208</v>
      </c>
      <c r="AH67" s="1936">
        <v>0</v>
      </c>
      <c r="AI67" s="1936">
        <v>0</v>
      </c>
      <c r="AJ67" s="1939" t="s">
        <v>1208</v>
      </c>
      <c r="AK67" s="1938">
        <v>1</v>
      </c>
      <c r="AL67" s="1938">
        <v>1008</v>
      </c>
      <c r="AM67" s="1936">
        <v>18438</v>
      </c>
      <c r="AN67" s="1939" t="s">
        <v>1208</v>
      </c>
      <c r="AO67" s="1936">
        <v>1000</v>
      </c>
      <c r="AP67" s="1936">
        <v>1200</v>
      </c>
      <c r="AQ67" s="1936">
        <v>20638</v>
      </c>
      <c r="AR67" s="1939" t="s">
        <v>1208</v>
      </c>
      <c r="AS67" s="1363" t="s">
        <v>1208</v>
      </c>
      <c r="AT67" s="1363" t="s">
        <v>1208</v>
      </c>
      <c r="AU67" s="1363" t="s">
        <v>1208</v>
      </c>
      <c r="AV67" s="1363" t="s">
        <v>1208</v>
      </c>
      <c r="AW67" s="1363" t="s">
        <v>1291</v>
      </c>
      <c r="AX67" s="1938">
        <v>0</v>
      </c>
      <c r="AY67" s="1938">
        <v>0</v>
      </c>
      <c r="AZ67" s="1938">
        <v>0</v>
      </c>
      <c r="BA67" s="1938">
        <v>0</v>
      </c>
      <c r="BB67" s="1938">
        <v>0</v>
      </c>
      <c r="BC67" s="1938">
        <v>0</v>
      </c>
      <c r="BD67" s="1938">
        <v>0</v>
      </c>
      <c r="BE67" s="1936">
        <v>0</v>
      </c>
      <c r="BF67" s="1936">
        <v>0</v>
      </c>
      <c r="BG67" s="1936">
        <v>2407234</v>
      </c>
      <c r="BH67" s="1936">
        <v>2407234</v>
      </c>
      <c r="BI67" s="1938">
        <v>28247900</v>
      </c>
      <c r="BJ67" s="1936">
        <v>5492435</v>
      </c>
      <c r="BK67" s="1936">
        <v>1989264</v>
      </c>
      <c r="BL67" s="1362">
        <v>2.7610387560424359</v>
      </c>
      <c r="BM67" s="1936">
        <v>1</v>
      </c>
      <c r="BN67" s="1936">
        <v>3430850</v>
      </c>
      <c r="BO67" s="1363" t="s">
        <v>1208</v>
      </c>
      <c r="BP67" s="1938">
        <v>2919371</v>
      </c>
      <c r="BQ67" s="1938">
        <v>4371993</v>
      </c>
      <c r="BR67" s="1940">
        <v>0.66774374981844664</v>
      </c>
      <c r="BS67" s="1409">
        <v>0</v>
      </c>
      <c r="BT67" s="1938">
        <v>7713355</v>
      </c>
      <c r="BU67" s="1938">
        <v>23453916</v>
      </c>
      <c r="BV67" s="1940">
        <v>0.3288727988963549</v>
      </c>
      <c r="BW67" s="1936">
        <v>5503.5622850678437</v>
      </c>
      <c r="BX67" s="1936">
        <v>8810.6323853233462</v>
      </c>
      <c r="BY67" s="1936">
        <v>3861.5393426506566</v>
      </c>
      <c r="BZ67" s="1936">
        <v>741882</v>
      </c>
      <c r="CA67" s="1936">
        <v>34694</v>
      </c>
      <c r="CB67" s="1936">
        <v>411617</v>
      </c>
      <c r="CC67" s="1936">
        <v>199455</v>
      </c>
      <c r="CD67" s="1936">
        <v>10865638</v>
      </c>
      <c r="CE67" s="1936">
        <v>0</v>
      </c>
      <c r="CF67" s="1936">
        <v>0</v>
      </c>
      <c r="CG67" s="1936">
        <v>1631417</v>
      </c>
      <c r="CH67" s="1936">
        <v>260019</v>
      </c>
      <c r="CI67" s="1936">
        <v>116658</v>
      </c>
      <c r="CJ67" s="1936">
        <v>14261380</v>
      </c>
      <c r="CK67" s="1366">
        <v>5.2020351466688354E-2</v>
      </c>
      <c r="CL67" s="1366">
        <v>2.432723901894487E-3</v>
      </c>
      <c r="CM67" s="1366">
        <v>2.886235413403191E-2</v>
      </c>
      <c r="CN67" s="1366">
        <v>1.3985673195721592E-2</v>
      </c>
      <c r="CO67" s="1366">
        <v>0.7618924676293598</v>
      </c>
      <c r="CP67" s="1366">
        <v>0</v>
      </c>
      <c r="CQ67" s="1366">
        <v>0</v>
      </c>
      <c r="CR67" s="1366">
        <v>0.1143940488227647</v>
      </c>
      <c r="CS67" s="1366">
        <v>1.823238704809773E-2</v>
      </c>
      <c r="CT67" s="1366">
        <v>8.1799938014413751E-3</v>
      </c>
      <c r="CU67" s="1366">
        <v>1</v>
      </c>
      <c r="CV67" s="1936">
        <v>8877473</v>
      </c>
      <c r="CW67" s="1936">
        <v>1360917</v>
      </c>
      <c r="CX67" s="1936">
        <v>225250</v>
      </c>
      <c r="CY67" s="1936">
        <v>3511739</v>
      </c>
      <c r="CZ67" s="1936">
        <v>240725</v>
      </c>
      <c r="DA67" s="1936">
        <v>481677</v>
      </c>
      <c r="DB67" s="1936">
        <v>14697781</v>
      </c>
      <c r="DC67" s="1366">
        <v>0.60400090326560174</v>
      </c>
      <c r="DD67" s="1366">
        <v>9.2593364944000736E-2</v>
      </c>
      <c r="DE67" s="1366">
        <v>1.5325442663759924E-2</v>
      </c>
      <c r="DF67" s="1366">
        <v>0.23892987655755654</v>
      </c>
      <c r="DG67" s="1366">
        <v>1.6378322686941654E-2</v>
      </c>
      <c r="DH67" s="1366">
        <v>3.2772089882139352E-2</v>
      </c>
      <c r="DI67" s="1366">
        <v>1</v>
      </c>
      <c r="DJ67" s="1936">
        <v>-436401</v>
      </c>
      <c r="DK67" s="1936">
        <v>1190.0822814086021</v>
      </c>
      <c r="DL67" s="1936">
        <v>55.654018659557771</v>
      </c>
      <c r="DM67" s="1936">
        <v>660.29112234366721</v>
      </c>
      <c r="DN67" s="1936">
        <v>319.95366033729448</v>
      </c>
      <c r="DO67" s="1936">
        <v>17430</v>
      </c>
      <c r="DP67" s="1936">
        <v>0</v>
      </c>
      <c r="DQ67" s="1936">
        <v>0</v>
      </c>
      <c r="DR67" s="1936">
        <v>2617.0205845252713</v>
      </c>
      <c r="DS67" s="1936">
        <v>417.10676998442244</v>
      </c>
      <c r="DT67" s="1936">
        <v>187.13571536250333</v>
      </c>
      <c r="DU67" s="1936">
        <v>22877.244152621319</v>
      </c>
      <c r="DV67" s="1936">
        <v>14240.705827858428</v>
      </c>
      <c r="DW67" s="1936">
        <v>2183.1008275814083</v>
      </c>
      <c r="DX67" s="1936">
        <v>361.33244085621106</v>
      </c>
      <c r="DY67" s="1936">
        <v>5633.319531720088</v>
      </c>
      <c r="DZ67" s="1936">
        <v>386.15650088839698</v>
      </c>
      <c r="EA67" s="1936">
        <v>772.67714146191872</v>
      </c>
      <c r="EB67" s="1936">
        <v>23577.292270366452</v>
      </c>
      <c r="EC67" s="1936">
        <v>-700.04811774513371</v>
      </c>
      <c r="ED67" s="1941">
        <v>146</v>
      </c>
      <c r="EE67" s="1936">
        <v>1</v>
      </c>
      <c r="EF67" s="1936">
        <v>20</v>
      </c>
      <c r="EG67" s="1938">
        <v>104743</v>
      </c>
      <c r="EH67" s="1938">
        <v>1</v>
      </c>
      <c r="EI67" s="1368">
        <v>0.14000000000000001</v>
      </c>
      <c r="EJ67" s="1936">
        <v>4.2697749903724489</v>
      </c>
      <c r="EK67" s="1936">
        <v>1</v>
      </c>
      <c r="EL67" s="1936">
        <v>1000</v>
      </c>
      <c r="EM67" s="1936">
        <v>0</v>
      </c>
      <c r="EN67" s="1362">
        <v>0</v>
      </c>
      <c r="EO67" s="1936">
        <v>1</v>
      </c>
      <c r="EP67" s="1936">
        <v>100</v>
      </c>
      <c r="EQ67" s="1936">
        <v>1</v>
      </c>
      <c r="ER67" s="1938">
        <v>0</v>
      </c>
      <c r="ES67" s="1936">
        <v>3034.1273545096938</v>
      </c>
      <c r="ET67" s="1936">
        <v>-5571.4507554917618</v>
      </c>
      <c r="EU67" s="1938">
        <v>2</v>
      </c>
      <c r="EV67" s="1936">
        <v>57730</v>
      </c>
      <c r="EW67" s="1936">
        <v>1571</v>
      </c>
      <c r="EX67" s="1938">
        <v>2</v>
      </c>
      <c r="EY67" s="1936">
        <v>1631417</v>
      </c>
      <c r="EZ67" s="1936">
        <v>1229936</v>
      </c>
      <c r="FA67" s="1936">
        <v>401481</v>
      </c>
      <c r="FB67" s="1936">
        <v>260019</v>
      </c>
      <c r="FC67" s="1936">
        <v>130981</v>
      </c>
      <c r="FD67" s="1936">
        <v>129038</v>
      </c>
      <c r="FE67" s="1936">
        <v>1891436</v>
      </c>
      <c r="FF67" s="1936">
        <v>1360917</v>
      </c>
      <c r="FG67" s="1936">
        <v>530519</v>
      </c>
      <c r="FH67" s="1366">
        <v>1</v>
      </c>
      <c r="FI67" s="1366">
        <v>0.75390657324276988</v>
      </c>
      <c r="FJ67" s="1366">
        <v>0.24609342675723006</v>
      </c>
      <c r="FK67" s="1366">
        <v>1</v>
      </c>
      <c r="FL67" s="1366">
        <v>0.50373626542675731</v>
      </c>
      <c r="FM67" s="1366">
        <v>0.49626373457324274</v>
      </c>
      <c r="FN67" s="1366">
        <v>1</v>
      </c>
      <c r="FO67" s="1366">
        <v>0.71951522546890301</v>
      </c>
      <c r="FP67" s="1366">
        <v>0.28048477453109699</v>
      </c>
      <c r="FQ67" s="1936">
        <v>3230196</v>
      </c>
      <c r="FR67" s="1936">
        <v>-378287.2</v>
      </c>
      <c r="FS67" s="1936">
        <v>545720</v>
      </c>
      <c r="FT67" s="1936">
        <v>162240</v>
      </c>
      <c r="FU67" s="1936">
        <v>44839</v>
      </c>
      <c r="FV67" s="1936">
        <v>43977</v>
      </c>
      <c r="FW67" s="1936">
        <v>355005</v>
      </c>
      <c r="FX67" s="1936">
        <v>4003689.8</v>
      </c>
      <c r="FY67" s="1936">
        <v>-3473170.8</v>
      </c>
      <c r="FZ67" s="1366">
        <v>1.7078008454951688</v>
      </c>
      <c r="GA67" s="1366">
        <v>-0.2</v>
      </c>
      <c r="GB67" s="1366">
        <v>0.28852152544415988</v>
      </c>
      <c r="GC67" s="1366">
        <v>8.5776098160339556E-2</v>
      </c>
      <c r="GD67" s="1366">
        <v>2.3706326833157453E-2</v>
      </c>
      <c r="GE67" s="1366">
        <v>2.325058844179766E-2</v>
      </c>
      <c r="GF67" s="1366">
        <v>0.18769072810288057</v>
      </c>
      <c r="GG67" s="1366">
        <v>2.1167461124775038</v>
      </c>
      <c r="GH67" s="1366">
        <v>-1.8362613379464068</v>
      </c>
      <c r="GI67" s="1942">
        <v>6.2742222683726956</v>
      </c>
      <c r="GJ67" s="1943">
        <v>0</v>
      </c>
      <c r="GK67" s="1371">
        <v>0</v>
      </c>
      <c r="GL67" s="1943">
        <v>0</v>
      </c>
      <c r="GM67" s="1371">
        <v>0</v>
      </c>
      <c r="GN67" s="1943">
        <v>0</v>
      </c>
      <c r="GO67" s="1985">
        <f>IF(GN67=0,0,VLOOKUP(A67,'Area (&amp;golfacre for lookup)'!$G$2:$H$133,2,FALSE))</f>
        <v>0</v>
      </c>
      <c r="GP67" s="1943">
        <v>0</v>
      </c>
      <c r="GQ67" s="1943">
        <v>0</v>
      </c>
      <c r="GR67" s="1943">
        <v>0</v>
      </c>
      <c r="GS67" s="1943">
        <v>0</v>
      </c>
      <c r="GT67" s="1943">
        <v>0</v>
      </c>
      <c r="GU67" s="1943">
        <v>0</v>
      </c>
      <c r="GV67" s="1943">
        <v>0</v>
      </c>
      <c r="GW67" s="1943">
        <v>0</v>
      </c>
      <c r="GX67" s="1936">
        <v>0</v>
      </c>
      <c r="GY67" s="1985">
        <f t="shared" si="764"/>
        <v>0</v>
      </c>
      <c r="GZ67" s="1936">
        <v>0</v>
      </c>
      <c r="HA67" s="1936">
        <v>0</v>
      </c>
      <c r="HB67" s="1936">
        <v>0</v>
      </c>
      <c r="HC67" s="1936">
        <v>0</v>
      </c>
      <c r="HD67" s="1936">
        <v>0</v>
      </c>
      <c r="HE67" s="1936">
        <v>0</v>
      </c>
      <c r="HF67" s="1936">
        <v>0</v>
      </c>
      <c r="HG67" s="1936">
        <v>36</v>
      </c>
      <c r="HH67" s="1988">
        <f>IF(HG67=0,0,VLOOKUP(A67,'Area (&amp;golfacre for lookup)'!$G$2:$H$134,2,FALSE))</f>
        <v>300</v>
      </c>
      <c r="HI67" s="1936">
        <v>53897</v>
      </c>
      <c r="HJ67" s="1936">
        <v>1863153</v>
      </c>
      <c r="HK67" s="1936">
        <v>288867</v>
      </c>
      <c r="HL67" s="1936">
        <v>686478</v>
      </c>
      <c r="HM67" s="1936">
        <v>249533</v>
      </c>
      <c r="HN67" s="1936">
        <v>195136</v>
      </c>
      <c r="HO67" s="1936">
        <v>202929</v>
      </c>
      <c r="HP67" s="1936">
        <v>3486096</v>
      </c>
      <c r="HQ67" s="1936">
        <v>96836</v>
      </c>
      <c r="HR67" s="1988">
        <f t="shared" si="765"/>
        <v>11620.32</v>
      </c>
      <c r="HS67" s="1366">
        <v>0.53445257961914994</v>
      </c>
      <c r="HT67" s="1366">
        <v>8.2862606193289001E-2</v>
      </c>
      <c r="HU67" s="1366">
        <v>0.19691884560838255</v>
      </c>
      <c r="HV67" s="1366">
        <v>7.1579497523877711E-2</v>
      </c>
      <c r="HW67" s="1366">
        <v>5.5975509567149043E-2</v>
      </c>
      <c r="HX67" s="1366">
        <v>5.8210961488151788E-2</v>
      </c>
      <c r="HY67" s="1366">
        <v>1</v>
      </c>
      <c r="HZ67" s="51"/>
      <c r="IA67" s="59">
        <f t="shared" si="766"/>
        <v>0.21</v>
      </c>
      <c r="IB67" s="59"/>
      <c r="IC67" s="815">
        <f t="shared" si="581"/>
        <v>1</v>
      </c>
      <c r="ID67" s="815"/>
      <c r="IE67" s="284">
        <f t="shared" si="582"/>
        <v>0</v>
      </c>
      <c r="IF67" s="284"/>
      <c r="IG67" s="284">
        <f t="shared" si="583"/>
        <v>45313.574499721042</v>
      </c>
      <c r="IH67" s="284"/>
      <c r="II67" s="1288">
        <f t="shared" si="584"/>
        <v>0</v>
      </c>
      <c r="IJ67" s="1288">
        <f t="shared" si="585"/>
        <v>0.66774374981844664</v>
      </c>
      <c r="IK67" s="284">
        <f t="shared" si="586"/>
        <v>0</v>
      </c>
      <c r="IL67" s="284">
        <f t="shared" si="587"/>
        <v>1</v>
      </c>
      <c r="IM67" s="284">
        <f t="shared" si="588"/>
        <v>0</v>
      </c>
      <c r="IN67" s="284">
        <f t="shared" si="589"/>
        <v>0</v>
      </c>
      <c r="IO67" s="753">
        <f t="shared" si="590"/>
        <v>-5214.9711711711707</v>
      </c>
      <c r="IP67" s="113">
        <f t="shared" si="591"/>
        <v>-5571.4507554917618</v>
      </c>
      <c r="IQ67" s="30">
        <f t="shared" si="592"/>
        <v>-0.31964720341318198</v>
      </c>
      <c r="IR67" s="438">
        <f t="shared" si="593"/>
        <v>1631417</v>
      </c>
      <c r="IS67" s="438">
        <f t="shared" si="594"/>
        <v>260019</v>
      </c>
      <c r="IT67" s="438">
        <f t="shared" si="595"/>
        <v>3230196</v>
      </c>
      <c r="IU67" s="438">
        <f t="shared" si="596"/>
        <v>707960</v>
      </c>
      <c r="IV67" s="438">
        <f t="shared" si="597"/>
        <v>1360917</v>
      </c>
      <c r="IW67" s="438">
        <f t="shared" si="598"/>
        <v>65533.799999999988</v>
      </c>
      <c r="IX67" s="285">
        <f t="shared" si="599"/>
        <v>0.86252825895245733</v>
      </c>
      <c r="IY67" s="285">
        <f t="shared" si="600"/>
        <v>0.1374717410475427</v>
      </c>
      <c r="IZ67" s="285">
        <f t="shared" si="601"/>
        <v>1.7078008454951688</v>
      </c>
      <c r="JA67" s="285">
        <f t="shared" si="602"/>
        <v>0.37429762360449942</v>
      </c>
      <c r="JB67" s="285">
        <f t="shared" si="603"/>
        <v>0.71951522546890301</v>
      </c>
      <c r="JC67" s="285">
        <f t="shared" si="604"/>
        <v>3.4647643377835671E-2</v>
      </c>
      <c r="JD67" s="60">
        <f t="shared" si="605"/>
        <v>10865638</v>
      </c>
      <c r="JE67" s="60">
        <f t="shared" si="606"/>
        <v>1387648</v>
      </c>
      <c r="JF67" s="60">
        <f t="shared" si="607"/>
        <v>0</v>
      </c>
      <c r="JG67" s="60">
        <f t="shared" si="608"/>
        <v>722402</v>
      </c>
      <c r="JH67" s="284">
        <f t="shared" si="609"/>
        <v>0</v>
      </c>
      <c r="JI67" s="284">
        <f t="shared" si="610"/>
        <v>1</v>
      </c>
      <c r="JJ67" s="560">
        <f t="shared" si="611"/>
        <v>0.54723201422681766</v>
      </c>
      <c r="JK67" s="561">
        <f t="shared" si="612"/>
        <v>0.62248344830584412</v>
      </c>
      <c r="JL67" s="561">
        <f t="shared" si="613"/>
        <v>9.5426739908760577E-2</v>
      </c>
      <c r="JM67" s="561">
        <f t="shared" si="614"/>
        <v>1.5794404188094E-2</v>
      </c>
      <c r="JN67" s="561">
        <f t="shared" si="615"/>
        <v>0.24624117722127872</v>
      </c>
      <c r="JO67" s="561">
        <f t="shared" si="616"/>
        <v>1.687950254463453E-2</v>
      </c>
      <c r="JP67" s="561">
        <f t="shared" si="617"/>
        <v>3.3774922202479706E-2</v>
      </c>
      <c r="JQ67" s="561">
        <f t="shared" si="618"/>
        <v>1.0306001943710916</v>
      </c>
      <c r="JR67" s="61">
        <f t="shared" si="619"/>
        <v>0</v>
      </c>
      <c r="JS67" s="61">
        <f t="shared" si="620"/>
        <v>0</v>
      </c>
      <c r="JT67" s="61">
        <f t="shared" si="621"/>
        <v>0</v>
      </c>
      <c r="JU67" s="61">
        <f t="shared" si="622"/>
        <v>0</v>
      </c>
      <c r="JV67" s="61">
        <f t="shared" si="623"/>
        <v>0</v>
      </c>
      <c r="JW67" s="61">
        <f t="shared" si="624"/>
        <v>0</v>
      </c>
      <c r="JX67" s="61">
        <f t="shared" si="625"/>
        <v>0</v>
      </c>
      <c r="JY67" s="394">
        <f t="shared" si="626"/>
        <v>0</v>
      </c>
      <c r="JZ67" s="61">
        <f t="shared" si="627"/>
        <v>51754.25</v>
      </c>
      <c r="KA67" s="61">
        <f t="shared" si="628"/>
        <v>8024.083333333333</v>
      </c>
      <c r="KB67" s="61">
        <f t="shared" si="629"/>
        <v>19068.833333333332</v>
      </c>
      <c r="KC67" s="61">
        <f t="shared" si="630"/>
        <v>6931.4722222222226</v>
      </c>
      <c r="KD67" s="61">
        <f t="shared" si="631"/>
        <v>5420.4444444444443</v>
      </c>
      <c r="KE67" s="61">
        <f t="shared" si="632"/>
        <v>5636.916666666667</v>
      </c>
      <c r="KF67" s="61">
        <f t="shared" si="633"/>
        <v>26900</v>
      </c>
      <c r="KG67" s="61">
        <f t="shared" si="634"/>
        <v>300</v>
      </c>
      <c r="KH67" s="61">
        <f t="shared" si="635"/>
        <v>64.680705790674807</v>
      </c>
      <c r="KI67" s="394">
        <f t="shared" si="636"/>
        <v>0.23718519142447422</v>
      </c>
      <c r="KJ67" s="438">
        <f t="shared" si="637"/>
        <v>36</v>
      </c>
      <c r="KK67" s="438">
        <f t="shared" si="638"/>
        <v>53897</v>
      </c>
      <c r="KL67" s="438">
        <f t="shared" si="639"/>
        <v>300</v>
      </c>
      <c r="KM67" s="438">
        <f t="shared" si="640"/>
        <v>96836</v>
      </c>
      <c r="KN67" s="438">
        <f t="shared" si="641"/>
        <v>64.680705790674807</v>
      </c>
      <c r="KO67" s="438">
        <f t="shared" si="642"/>
        <v>11620.32</v>
      </c>
      <c r="KP67" s="438">
        <f t="shared" si="643"/>
        <v>1863153</v>
      </c>
      <c r="KQ67" s="438">
        <f t="shared" si="644"/>
        <v>288867</v>
      </c>
      <c r="KR67" s="438">
        <f t="shared" si="645"/>
        <v>686478</v>
      </c>
      <c r="KS67" s="438">
        <f t="shared" si="646"/>
        <v>249533</v>
      </c>
      <c r="KT67" s="438">
        <f t="shared" si="647"/>
        <v>195136</v>
      </c>
      <c r="KU67" s="438">
        <f t="shared" si="648"/>
        <v>202929</v>
      </c>
      <c r="KV67" s="420">
        <f t="shared" si="649"/>
        <v>0.23718519142447422</v>
      </c>
      <c r="KW67" s="420">
        <f t="shared" si="650"/>
        <v>-0.30216053581023039</v>
      </c>
      <c r="KX67" s="108"/>
      <c r="KY67" s="282">
        <f t="shared" si="651"/>
        <v>0</v>
      </c>
      <c r="KZ67" s="282"/>
      <c r="LA67" s="282">
        <f t="shared" si="652"/>
        <v>0</v>
      </c>
      <c r="LB67" s="282"/>
      <c r="LC67" s="286">
        <f t="shared" si="653"/>
        <v>0</v>
      </c>
      <c r="LD67" s="286"/>
      <c r="LE67" s="282">
        <f t="shared" si="654"/>
        <v>0</v>
      </c>
      <c r="LF67" s="282"/>
      <c r="LG67" s="282">
        <f t="shared" si="655"/>
        <v>0</v>
      </c>
      <c r="LH67" s="282">
        <f t="shared" si="656"/>
        <v>0</v>
      </c>
      <c r="LI67" s="282">
        <f t="shared" si="657"/>
        <v>0</v>
      </c>
      <c r="LJ67" s="282">
        <f t="shared" si="658"/>
        <v>0</v>
      </c>
      <c r="LK67" s="282"/>
      <c r="LL67" s="282">
        <f t="shared" si="659"/>
        <v>0</v>
      </c>
      <c r="LM67" s="282">
        <f t="shared" si="660"/>
        <v>0</v>
      </c>
      <c r="LN67" s="282">
        <f t="shared" si="661"/>
        <v>0</v>
      </c>
      <c r="LO67" s="282">
        <f t="shared" si="662"/>
        <v>0</v>
      </c>
      <c r="LP67" s="286">
        <f t="shared" si="663"/>
        <v>0</v>
      </c>
      <c r="LQ67" s="282">
        <f t="shared" si="664"/>
        <v>0</v>
      </c>
      <c r="LR67" s="282">
        <f t="shared" si="665"/>
        <v>0</v>
      </c>
      <c r="LS67" s="282">
        <f t="shared" si="666"/>
        <v>0</v>
      </c>
      <c r="LT67" s="286">
        <f t="shared" si="667"/>
        <v>0</v>
      </c>
      <c r="LU67" s="286">
        <f t="shared" si="668"/>
        <v>0</v>
      </c>
      <c r="LV67" s="286">
        <f t="shared" si="669"/>
        <v>0</v>
      </c>
      <c r="LW67" s="286">
        <f t="shared" si="670"/>
        <v>0</v>
      </c>
      <c r="LX67" s="286">
        <f t="shared" si="671"/>
        <v>0</v>
      </c>
      <c r="LY67" s="286">
        <f t="shared" si="672"/>
        <v>0</v>
      </c>
      <c r="LZ67" s="286">
        <f t="shared" si="673"/>
        <v>0</v>
      </c>
      <c r="MA67" s="286">
        <f t="shared" si="674"/>
        <v>0</v>
      </c>
      <c r="MB67" s="286">
        <f t="shared" si="675"/>
        <v>0</v>
      </c>
      <c r="MC67" s="286">
        <f t="shared" si="676"/>
        <v>0</v>
      </c>
      <c r="MD67" s="286">
        <f t="shared" si="677"/>
        <v>0</v>
      </c>
      <c r="ME67" s="286">
        <f t="shared" si="678"/>
        <v>0</v>
      </c>
      <c r="MF67" s="286">
        <f t="shared" si="679"/>
        <v>0</v>
      </c>
      <c r="MG67" s="286">
        <f t="shared" si="680"/>
        <v>0</v>
      </c>
      <c r="MH67" s="286">
        <f t="shared" si="681"/>
        <v>0</v>
      </c>
      <c r="MI67" s="286">
        <f t="shared" si="682"/>
        <v>0</v>
      </c>
      <c r="MJ67" s="286">
        <f t="shared" si="683"/>
        <v>0</v>
      </c>
      <c r="MK67" s="286">
        <f t="shared" si="684"/>
        <v>0</v>
      </c>
      <c r="ML67" s="282">
        <f t="shared" si="685"/>
        <v>0</v>
      </c>
      <c r="MM67" s="1232">
        <f t="shared" si="686"/>
        <v>0</v>
      </c>
      <c r="MN67" s="1232">
        <f t="shared" si="687"/>
        <v>0</v>
      </c>
      <c r="MO67" s="1232">
        <f t="shared" si="688"/>
        <v>0</v>
      </c>
      <c r="MP67" s="1232">
        <f t="shared" si="689"/>
        <v>0</v>
      </c>
      <c r="MQ67" s="282">
        <f t="shared" si="690"/>
        <v>0</v>
      </c>
      <c r="MR67" s="282">
        <f t="shared" si="691"/>
        <v>0</v>
      </c>
      <c r="MS67" s="282">
        <f t="shared" si="692"/>
        <v>0</v>
      </c>
      <c r="MT67" s="282">
        <f t="shared" si="693"/>
        <v>0</v>
      </c>
      <c r="MU67" s="282">
        <f t="shared" si="694"/>
        <v>0</v>
      </c>
      <c r="MV67" s="282">
        <f t="shared" si="695"/>
        <v>0</v>
      </c>
      <c r="MW67" s="282">
        <f t="shared" si="696"/>
        <v>0</v>
      </c>
      <c r="MX67" s="282">
        <f t="shared" si="697"/>
        <v>0</v>
      </c>
      <c r="MY67" s="282">
        <f t="shared" si="698"/>
        <v>0</v>
      </c>
      <c r="MZ67" s="282">
        <f t="shared" si="699"/>
        <v>0</v>
      </c>
      <c r="NA67" s="282">
        <f t="shared" si="700"/>
        <v>0</v>
      </c>
      <c r="NB67" s="282">
        <f t="shared" si="701"/>
        <v>0</v>
      </c>
      <c r="NC67" s="282">
        <f t="shared" si="702"/>
        <v>0</v>
      </c>
      <c r="ND67" s="282">
        <f t="shared" si="703"/>
        <v>0</v>
      </c>
      <c r="NE67" s="282">
        <f t="shared" si="704"/>
        <v>0</v>
      </c>
      <c r="NF67" s="282">
        <f t="shared" si="705"/>
        <v>0</v>
      </c>
      <c r="NG67" s="282">
        <f t="shared" si="706"/>
        <v>0</v>
      </c>
      <c r="NH67" s="282">
        <f t="shared" si="707"/>
        <v>0</v>
      </c>
      <c r="NI67" s="282">
        <f t="shared" si="708"/>
        <v>0</v>
      </c>
      <c r="NJ67" s="282">
        <f t="shared" si="709"/>
        <v>0</v>
      </c>
      <c r="NK67" s="282">
        <f t="shared" si="710"/>
        <v>0</v>
      </c>
      <c r="NL67" s="282">
        <f t="shared" si="711"/>
        <v>0</v>
      </c>
      <c r="NM67" s="1205">
        <f t="shared" si="712"/>
        <v>0</v>
      </c>
      <c r="NN67" s="282">
        <f t="shared" si="713"/>
        <v>0</v>
      </c>
      <c r="NO67" s="282">
        <f t="shared" si="714"/>
        <v>0</v>
      </c>
      <c r="NP67" s="282">
        <f t="shared" si="715"/>
        <v>0</v>
      </c>
      <c r="NQ67" s="282">
        <f t="shared" si="716"/>
        <v>0</v>
      </c>
      <c r="NR67" s="282">
        <f t="shared" si="717"/>
        <v>0</v>
      </c>
      <c r="NS67" s="282">
        <f t="shared" si="718"/>
        <v>0</v>
      </c>
      <c r="NT67" s="282">
        <f t="shared" si="719"/>
        <v>0</v>
      </c>
      <c r="NU67" s="282">
        <f t="shared" si="720"/>
        <v>0</v>
      </c>
      <c r="NV67" s="286">
        <f t="shared" si="721"/>
        <v>0</v>
      </c>
      <c r="NW67" s="286">
        <f t="shared" si="722"/>
        <v>0</v>
      </c>
      <c r="NX67" s="286">
        <f t="shared" si="723"/>
        <v>0</v>
      </c>
      <c r="NY67" s="286">
        <f t="shared" si="724"/>
        <v>0</v>
      </c>
      <c r="NZ67" s="286">
        <f t="shared" si="725"/>
        <v>0</v>
      </c>
      <c r="OA67" s="286">
        <f t="shared" si="726"/>
        <v>0</v>
      </c>
      <c r="OB67" s="286">
        <f t="shared" si="727"/>
        <v>0</v>
      </c>
      <c r="OC67" s="286">
        <f t="shared" si="728"/>
        <v>0</v>
      </c>
      <c r="OD67" s="286">
        <f t="shared" si="729"/>
        <v>0</v>
      </c>
      <c r="OE67" s="282">
        <f t="shared" si="730"/>
        <v>0</v>
      </c>
      <c r="OF67" s="282">
        <f t="shared" si="731"/>
        <v>0</v>
      </c>
      <c r="OG67" s="286">
        <f t="shared" si="732"/>
        <v>0</v>
      </c>
      <c r="OH67" s="286">
        <f t="shared" si="733"/>
        <v>0</v>
      </c>
      <c r="OI67" s="286">
        <f t="shared" si="734"/>
        <v>0</v>
      </c>
      <c r="OJ67" s="286">
        <f t="shared" si="735"/>
        <v>0</v>
      </c>
      <c r="OK67" s="286">
        <f t="shared" si="736"/>
        <v>0</v>
      </c>
      <c r="OL67" s="286">
        <f t="shared" si="737"/>
        <v>0</v>
      </c>
      <c r="OM67" s="286">
        <f t="shared" si="738"/>
        <v>0</v>
      </c>
      <c r="ON67" s="286">
        <f t="shared" si="739"/>
        <v>0</v>
      </c>
      <c r="OO67" s="286">
        <f t="shared" si="740"/>
        <v>0</v>
      </c>
      <c r="OP67" s="434">
        <f t="shared" si="741"/>
        <v>0</v>
      </c>
      <c r="OQ67" s="434">
        <f t="shared" si="742"/>
        <v>0</v>
      </c>
      <c r="OR67" s="282">
        <f t="shared" si="743"/>
        <v>0</v>
      </c>
      <c r="OS67" s="282">
        <f t="shared" si="744"/>
        <v>0</v>
      </c>
      <c r="OT67" s="282">
        <f t="shared" si="745"/>
        <v>0</v>
      </c>
      <c r="OU67" s="282">
        <f t="shared" si="746"/>
        <v>0</v>
      </c>
      <c r="OV67" s="282">
        <f t="shared" si="747"/>
        <v>0</v>
      </c>
      <c r="OW67" s="286">
        <f t="shared" si="748"/>
        <v>0</v>
      </c>
      <c r="OX67" s="286">
        <f t="shared" si="749"/>
        <v>0</v>
      </c>
      <c r="OY67" s="286">
        <f t="shared" si="750"/>
        <v>0</v>
      </c>
      <c r="OZ67" s="286">
        <f t="shared" si="751"/>
        <v>0</v>
      </c>
      <c r="PA67" s="286">
        <f t="shared" si="752"/>
        <v>0</v>
      </c>
      <c r="PB67" s="286">
        <f t="shared" si="753"/>
        <v>0</v>
      </c>
      <c r="PC67" s="286">
        <f t="shared" si="754"/>
        <v>0</v>
      </c>
      <c r="PD67" s="282">
        <f t="shared" si="755"/>
        <v>0</v>
      </c>
      <c r="PE67" s="282">
        <f t="shared" si="756"/>
        <v>0</v>
      </c>
      <c r="PF67" s="286">
        <f t="shared" si="757"/>
        <v>0</v>
      </c>
      <c r="PG67" s="286">
        <f t="shared" si="758"/>
        <v>0</v>
      </c>
      <c r="PH67" s="286">
        <f t="shared" si="759"/>
        <v>0</v>
      </c>
      <c r="PI67" s="286">
        <f t="shared" si="760"/>
        <v>0</v>
      </c>
      <c r="PJ67" s="286">
        <f t="shared" si="761"/>
        <v>0</v>
      </c>
      <c r="PK67" s="286">
        <f t="shared" si="762"/>
        <v>0</v>
      </c>
      <c r="PL67" s="286">
        <f t="shared" si="763"/>
        <v>0</v>
      </c>
      <c r="PM67" s="562">
        <v>11</v>
      </c>
    </row>
    <row r="68" spans="1:431" s="289" customFormat="1" ht="15" customHeight="1">
      <c r="A68" s="1935" t="s">
        <v>617</v>
      </c>
      <c r="B68" s="1040" t="str">
        <f>VLOOKUP(A68,'Area (&amp;golfacre for lookup)'!$A$2:$B$162,2,FALSE)</f>
        <v>BOCA</v>
      </c>
      <c r="C68" s="1936"/>
      <c r="D68" s="1937">
        <v>44651</v>
      </c>
      <c r="E68" s="402"/>
      <c r="F68" s="1936">
        <v>0</v>
      </c>
      <c r="G68" s="1936">
        <v>1</v>
      </c>
      <c r="H68" s="1936">
        <v>233</v>
      </c>
      <c r="I68" s="1936">
        <v>91</v>
      </c>
      <c r="J68" s="1936">
        <v>324</v>
      </c>
      <c r="K68" s="1938">
        <v>289.144005302842</v>
      </c>
      <c r="L68" s="1939" t="s">
        <v>1208</v>
      </c>
      <c r="M68" s="1939" t="s">
        <v>1208</v>
      </c>
      <c r="N68" s="1939" t="s">
        <v>1208</v>
      </c>
      <c r="O68" s="1939" t="s">
        <v>1208</v>
      </c>
      <c r="P68" s="1939" t="s">
        <v>1208</v>
      </c>
      <c r="Q68" s="1936">
        <v>5000</v>
      </c>
      <c r="R68" s="1936">
        <v>95000</v>
      </c>
      <c r="S68" s="1936">
        <v>100000</v>
      </c>
      <c r="T68" s="1939" t="s">
        <v>1208</v>
      </c>
      <c r="U68" s="1939" t="s">
        <v>1208</v>
      </c>
      <c r="V68" s="1939" t="s">
        <v>1208</v>
      </c>
      <c r="W68" s="1936">
        <v>25433</v>
      </c>
      <c r="X68" s="1936">
        <v>24138</v>
      </c>
      <c r="Y68" s="1939" t="s">
        <v>1208</v>
      </c>
      <c r="Z68" s="1939" t="s">
        <v>1208</v>
      </c>
      <c r="AA68" s="1936">
        <v>1295</v>
      </c>
      <c r="AB68" s="1362">
        <v>5.364984671472367E-2</v>
      </c>
      <c r="AC68" s="1939" t="s">
        <v>1208</v>
      </c>
      <c r="AD68" s="1363" t="s">
        <v>1208</v>
      </c>
      <c r="AE68" s="1936">
        <v>1</v>
      </c>
      <c r="AF68" s="1936">
        <v>2060</v>
      </c>
      <c r="AG68" s="1939" t="s">
        <v>1208</v>
      </c>
      <c r="AH68" s="1936">
        <v>0</v>
      </c>
      <c r="AI68" s="1936">
        <v>0</v>
      </c>
      <c r="AJ68" s="1939" t="s">
        <v>1208</v>
      </c>
      <c r="AK68" s="1938">
        <v>1</v>
      </c>
      <c r="AL68" s="1938">
        <v>4560</v>
      </c>
      <c r="AM68" s="1936">
        <v>30758</v>
      </c>
      <c r="AN68" s="1939" t="s">
        <v>1208</v>
      </c>
      <c r="AO68" s="1936">
        <v>0</v>
      </c>
      <c r="AP68" s="1936">
        <v>2400</v>
      </c>
      <c r="AQ68" s="1936">
        <v>33158</v>
      </c>
      <c r="AR68" s="1939" t="s">
        <v>1208</v>
      </c>
      <c r="AS68" s="1363" t="s">
        <v>1208</v>
      </c>
      <c r="AT68" s="1363" t="s">
        <v>1208</v>
      </c>
      <c r="AU68" s="1363" t="s">
        <v>1208</v>
      </c>
      <c r="AV68" s="1363" t="s">
        <v>1208</v>
      </c>
      <c r="AW68" s="1363" t="s">
        <v>1291</v>
      </c>
      <c r="AX68" s="1938">
        <v>0</v>
      </c>
      <c r="AY68" s="1938">
        <v>0</v>
      </c>
      <c r="AZ68" s="1938">
        <v>0</v>
      </c>
      <c r="BA68" s="1938">
        <v>0</v>
      </c>
      <c r="BB68" s="1938">
        <v>0</v>
      </c>
      <c r="BC68" s="1938">
        <v>0</v>
      </c>
      <c r="BD68" s="1938">
        <v>0</v>
      </c>
      <c r="BE68" s="1936">
        <v>1</v>
      </c>
      <c r="BF68" s="1936">
        <v>16387625</v>
      </c>
      <c r="BG68" s="1936">
        <v>343388</v>
      </c>
      <c r="BH68" s="1936">
        <v>16731013</v>
      </c>
      <c r="BI68" s="1938">
        <v>20960882</v>
      </c>
      <c r="BJ68" s="1936">
        <v>1233189</v>
      </c>
      <c r="BK68" s="1936">
        <v>1429029</v>
      </c>
      <c r="BL68" s="1362">
        <v>0.86295589522675886</v>
      </c>
      <c r="BM68" s="1936">
        <v>1</v>
      </c>
      <c r="BN68" s="1936">
        <v>4289877</v>
      </c>
      <c r="BO68" s="1363" t="s">
        <v>1208</v>
      </c>
      <c r="BP68" s="1938">
        <v>1608572</v>
      </c>
      <c r="BQ68" s="1938">
        <v>2099408</v>
      </c>
      <c r="BR68" s="1940">
        <v>0.76620266284590699</v>
      </c>
      <c r="BS68" s="1409">
        <v>0</v>
      </c>
      <c r="BT68" s="1938">
        <v>6545751</v>
      </c>
      <c r="BU68" s="1938">
        <v>15522574</v>
      </c>
      <c r="BV68" s="1940">
        <v>0.42169236880429756</v>
      </c>
      <c r="BW68" s="1936">
        <v>14836.472212200606</v>
      </c>
      <c r="BX68" s="1936">
        <v>4264.9647835803808</v>
      </c>
      <c r="BY68" s="1936">
        <v>57863.945622792235</v>
      </c>
      <c r="BZ68" s="1936">
        <v>462442</v>
      </c>
      <c r="CA68" s="1936">
        <v>75443</v>
      </c>
      <c r="CB68" s="1936">
        <v>333300</v>
      </c>
      <c r="CC68" s="1936">
        <v>107316</v>
      </c>
      <c r="CD68" s="1936">
        <v>6979358</v>
      </c>
      <c r="CE68" s="1936">
        <v>0</v>
      </c>
      <c r="CF68" s="1936">
        <v>0</v>
      </c>
      <c r="CG68" s="1936">
        <v>1230589</v>
      </c>
      <c r="CH68" s="1936">
        <v>195827</v>
      </c>
      <c r="CI68" s="1936">
        <v>709331</v>
      </c>
      <c r="CJ68" s="1936">
        <v>10093606</v>
      </c>
      <c r="CK68" s="1366">
        <v>4.581534091978625E-2</v>
      </c>
      <c r="CL68" s="1366">
        <v>7.4743357329382582E-3</v>
      </c>
      <c r="CM68" s="1366">
        <v>3.302090452113942E-2</v>
      </c>
      <c r="CN68" s="1366">
        <v>1.0632077376509445E-2</v>
      </c>
      <c r="CO68" s="1366">
        <v>0.69146328873942575</v>
      </c>
      <c r="CP68" s="1366">
        <v>0</v>
      </c>
      <c r="CQ68" s="1366">
        <v>0</v>
      </c>
      <c r="CR68" s="1366">
        <v>0.12191767738903223</v>
      </c>
      <c r="CS68" s="1366">
        <v>1.940109411839535E-2</v>
      </c>
      <c r="CT68" s="1366">
        <v>7.0275281202773321E-2</v>
      </c>
      <c r="CU68" s="1366">
        <v>1</v>
      </c>
      <c r="CV68" s="1936">
        <v>5992270</v>
      </c>
      <c r="CW68" s="1936">
        <v>788193</v>
      </c>
      <c r="CX68" s="1936">
        <v>255085</v>
      </c>
      <c r="CY68" s="1936">
        <v>3011093</v>
      </c>
      <c r="CZ68" s="1936">
        <v>27431</v>
      </c>
      <c r="DA68" s="1936">
        <v>305273</v>
      </c>
      <c r="DB68" s="1936">
        <v>10379345</v>
      </c>
      <c r="DC68" s="1366">
        <v>0.57732641125234785</v>
      </c>
      <c r="DD68" s="1366">
        <v>7.5938606915947005E-2</v>
      </c>
      <c r="DE68" s="1366">
        <v>2.4576213624270125E-2</v>
      </c>
      <c r="DF68" s="1366">
        <v>0.29010433702704747</v>
      </c>
      <c r="DG68" s="1366">
        <v>2.642844996480992E-3</v>
      </c>
      <c r="DH68" s="1366">
        <v>2.9411586183906595E-2</v>
      </c>
      <c r="DI68" s="1366">
        <v>1</v>
      </c>
      <c r="DJ68" s="1936">
        <v>-285739</v>
      </c>
      <c r="DK68" s="1936">
        <v>1599.3483922160176</v>
      </c>
      <c r="DL68" s="1936">
        <v>260.91843031980875</v>
      </c>
      <c r="DM68" s="1936">
        <v>1152.7128139866159</v>
      </c>
      <c r="DN68" s="1936">
        <v>371.15070010737378</v>
      </c>
      <c r="DO68" s="1936">
        <v>24138</v>
      </c>
      <c r="DP68" s="1936">
        <v>0</v>
      </c>
      <c r="DQ68" s="1936">
        <v>0</v>
      </c>
      <c r="DR68" s="1936">
        <v>4255.97272442537</v>
      </c>
      <c r="DS68" s="1936">
        <v>677.26460313398445</v>
      </c>
      <c r="DT68" s="1936">
        <v>2453.2101201858395</v>
      </c>
      <c r="DU68" s="1936">
        <v>34908.577784375011</v>
      </c>
      <c r="DV68" s="1936">
        <v>20724.171658768613</v>
      </c>
      <c r="DW68" s="1936">
        <v>2725.9531082944877</v>
      </c>
      <c r="DX68" s="1936">
        <v>882.2074652138491</v>
      </c>
      <c r="DY68" s="1936">
        <v>10413.817837399944</v>
      </c>
      <c r="DZ68" s="1936">
        <v>94.869682569657556</v>
      </c>
      <c r="EA68" s="1936">
        <v>1055.7818747798865</v>
      </c>
      <c r="EB68" s="1936">
        <v>35896.801627026442</v>
      </c>
      <c r="EC68" s="1936">
        <v>-988.22384265143012</v>
      </c>
      <c r="ED68" s="1941">
        <v>70</v>
      </c>
      <c r="EE68" s="1936">
        <v>0</v>
      </c>
      <c r="EF68" s="1936">
        <v>0</v>
      </c>
      <c r="EG68" s="1938">
        <v>0</v>
      </c>
      <c r="EH68" s="1938">
        <v>1</v>
      </c>
      <c r="EI68" s="1368">
        <v>0.03</v>
      </c>
      <c r="EJ68" s="1936">
        <v>4.1306286471834568</v>
      </c>
      <c r="EK68" s="1936">
        <v>0</v>
      </c>
      <c r="EL68" s="1936">
        <v>0</v>
      </c>
      <c r="EM68" s="1936">
        <v>0</v>
      </c>
      <c r="EN68" s="1362">
        <v>0</v>
      </c>
      <c r="EO68" s="1936">
        <v>1</v>
      </c>
      <c r="EP68" s="1936">
        <v>200</v>
      </c>
      <c r="EQ68" s="1936">
        <v>0</v>
      </c>
      <c r="ER68" s="1938">
        <v>0</v>
      </c>
      <c r="ES68" s="1936">
        <v>4933.2373275593545</v>
      </c>
      <c r="ET68" s="1936">
        <v>-5961.1396687775568</v>
      </c>
      <c r="EU68" s="1938">
        <v>1</v>
      </c>
      <c r="EV68" s="1936">
        <v>45187</v>
      </c>
      <c r="EW68" s="1936">
        <v>499</v>
      </c>
      <c r="EX68" s="1938">
        <v>1</v>
      </c>
      <c r="EY68" s="1936">
        <v>1230589</v>
      </c>
      <c r="EZ68" s="1936">
        <v>699106</v>
      </c>
      <c r="FA68" s="1936">
        <v>531483</v>
      </c>
      <c r="FB68" s="1936">
        <v>195827</v>
      </c>
      <c r="FC68" s="1936">
        <v>89087</v>
      </c>
      <c r="FD68" s="1936">
        <v>106740</v>
      </c>
      <c r="FE68" s="1936">
        <v>1426416</v>
      </c>
      <c r="FF68" s="1936">
        <v>788193</v>
      </c>
      <c r="FG68" s="1936">
        <v>638223</v>
      </c>
      <c r="FH68" s="1366">
        <v>1</v>
      </c>
      <c r="FI68" s="1366">
        <v>0.56810681714203526</v>
      </c>
      <c r="FJ68" s="1366">
        <v>0.43189318285796474</v>
      </c>
      <c r="FK68" s="1366">
        <v>1</v>
      </c>
      <c r="FL68" s="1366">
        <v>0.45492705296001062</v>
      </c>
      <c r="FM68" s="1366">
        <v>0.54507294703998943</v>
      </c>
      <c r="FN68" s="1366">
        <v>1</v>
      </c>
      <c r="FO68" s="1366">
        <v>0.55256881582932327</v>
      </c>
      <c r="FP68" s="1366">
        <v>0.44743118417067673</v>
      </c>
      <c r="FQ68" s="1936">
        <v>1828375</v>
      </c>
      <c r="FR68" s="1936">
        <v>-285283.20000000001</v>
      </c>
      <c r="FS68" s="1936">
        <v>384768</v>
      </c>
      <c r="FT68" s="1936">
        <v>32580</v>
      </c>
      <c r="FU68" s="1936">
        <v>49391</v>
      </c>
      <c r="FV68" s="1936">
        <v>30078</v>
      </c>
      <c r="FW68" s="1936">
        <v>321942</v>
      </c>
      <c r="FX68" s="1936">
        <v>2361850.7999999998</v>
      </c>
      <c r="FY68" s="1936">
        <v>-1723627.7999999998</v>
      </c>
      <c r="FZ68" s="1366">
        <v>1.2817964745207568</v>
      </c>
      <c r="GA68" s="1366">
        <v>-0.2</v>
      </c>
      <c r="GB68" s="1366">
        <v>0.26974459063835515</v>
      </c>
      <c r="GC68" s="1366">
        <v>2.2840461688595753E-2</v>
      </c>
      <c r="GD68" s="1366">
        <v>3.4625943623739497E-2</v>
      </c>
      <c r="GE68" s="1366">
        <v>2.1086415183228454E-2</v>
      </c>
      <c r="GF68" s="1366">
        <v>0.22569993606353267</v>
      </c>
      <c r="GG68" s="1366">
        <v>1.6557938217182082</v>
      </c>
      <c r="GH68" s="1366">
        <v>-1.2083626375475316</v>
      </c>
      <c r="GI68" s="1942">
        <v>6.2840619526418724</v>
      </c>
      <c r="GJ68" s="1943">
        <v>1</v>
      </c>
      <c r="GK68" s="1371">
        <v>0.06</v>
      </c>
      <c r="GL68" s="1943">
        <v>1</v>
      </c>
      <c r="GM68" s="1371">
        <v>0.06</v>
      </c>
      <c r="GN68" s="1943">
        <v>18</v>
      </c>
      <c r="GO68" s="1985">
        <f>IF(GN68=0,0,VLOOKUP(A68,'Area (&amp;golfacre for lookup)'!$G$2:$H$133,2,FALSE))</f>
        <v>150</v>
      </c>
      <c r="GP68" s="1943">
        <v>24041</v>
      </c>
      <c r="GQ68" s="1943">
        <v>1011913</v>
      </c>
      <c r="GR68" s="1943">
        <v>215991</v>
      </c>
      <c r="GS68" s="1943">
        <v>417781</v>
      </c>
      <c r="GT68" s="1943">
        <v>144742</v>
      </c>
      <c r="GU68" s="1943">
        <v>15221</v>
      </c>
      <c r="GV68" s="1943">
        <v>243347</v>
      </c>
      <c r="GW68" s="1943">
        <v>2048995</v>
      </c>
      <c r="GX68" s="1943">
        <v>113833.05555555556</v>
      </c>
      <c r="GY68" s="1985">
        <f t="shared" si="764"/>
        <v>13659.966666666667</v>
      </c>
      <c r="GZ68" s="1366">
        <v>0.49385820853638002</v>
      </c>
      <c r="HA68" s="1366">
        <v>0.1054131415645231</v>
      </c>
      <c r="HB68" s="1366">
        <v>0.20389556831519842</v>
      </c>
      <c r="HC68" s="1366">
        <v>7.0640484725438574E-2</v>
      </c>
      <c r="HD68" s="1366">
        <v>7.4285198353339077E-3</v>
      </c>
      <c r="HE68" s="1366">
        <v>0.11876407702312597</v>
      </c>
      <c r="HF68" s="1366">
        <v>1</v>
      </c>
      <c r="HG68" s="1936">
        <v>0</v>
      </c>
      <c r="HH68" s="1988">
        <f>IF(HG68=0,0,VLOOKUP(A68,'Area (&amp;golfacre for lookup)'!$G$2:$H$134,2,FALSE))</f>
        <v>0</v>
      </c>
      <c r="HI68" s="1936">
        <v>0</v>
      </c>
      <c r="HJ68" s="1936">
        <v>0</v>
      </c>
      <c r="HK68" s="1936">
        <v>0</v>
      </c>
      <c r="HL68" s="1936">
        <v>0</v>
      </c>
      <c r="HM68" s="1936">
        <v>0</v>
      </c>
      <c r="HN68" s="1936">
        <v>0</v>
      </c>
      <c r="HO68" s="1936">
        <v>0</v>
      </c>
      <c r="HP68" s="1936">
        <v>0</v>
      </c>
      <c r="HQ68" s="1936">
        <v>0</v>
      </c>
      <c r="HR68" s="1988">
        <f t="shared" si="765"/>
        <v>0</v>
      </c>
      <c r="HS68" s="1936">
        <v>0</v>
      </c>
      <c r="HT68" s="1936">
        <v>0</v>
      </c>
      <c r="HU68" s="1936">
        <v>0</v>
      </c>
      <c r="HV68" s="1936">
        <v>0</v>
      </c>
      <c r="HW68" s="1936">
        <v>0</v>
      </c>
      <c r="HX68" s="1936">
        <v>0</v>
      </c>
      <c r="HY68" s="1936">
        <v>0</v>
      </c>
      <c r="HZ68" s="51"/>
      <c r="IA68" s="59">
        <f t="shared" si="766"/>
        <v>0.05</v>
      </c>
      <c r="IB68" s="59"/>
      <c r="IC68" s="815">
        <f t="shared" si="581"/>
        <v>1</v>
      </c>
      <c r="ID68" s="815"/>
      <c r="IE68" s="284">
        <f t="shared" si="582"/>
        <v>0</v>
      </c>
      <c r="IF68" s="284"/>
      <c r="IG68" s="284">
        <f t="shared" si="583"/>
        <v>72492.881109695183</v>
      </c>
      <c r="IH68" s="284"/>
      <c r="II68" s="1288">
        <f t="shared" si="584"/>
        <v>0</v>
      </c>
      <c r="IJ68" s="1288">
        <f t="shared" si="585"/>
        <v>0.76620266284590699</v>
      </c>
      <c r="IK68" s="284">
        <f t="shared" si="586"/>
        <v>0</v>
      </c>
      <c r="IL68" s="284">
        <f t="shared" si="587"/>
        <v>0</v>
      </c>
      <c r="IM68" s="284">
        <f t="shared" si="588"/>
        <v>0</v>
      </c>
      <c r="IN68" s="284">
        <f t="shared" si="589"/>
        <v>0</v>
      </c>
      <c r="IO68" s="753">
        <f t="shared" si="590"/>
        <v>-5319.8388888888885</v>
      </c>
      <c r="IP68" s="113">
        <f t="shared" si="591"/>
        <v>-5961.1396687775568</v>
      </c>
      <c r="IQ68" s="30">
        <f t="shared" si="592"/>
        <v>-0.24696079496137036</v>
      </c>
      <c r="IR68" s="438">
        <f t="shared" si="593"/>
        <v>1230589</v>
      </c>
      <c r="IS68" s="438">
        <f t="shared" si="594"/>
        <v>195827</v>
      </c>
      <c r="IT68" s="438">
        <f t="shared" si="595"/>
        <v>1828375</v>
      </c>
      <c r="IU68" s="438">
        <f t="shared" si="596"/>
        <v>417348</v>
      </c>
      <c r="IV68" s="438">
        <f t="shared" si="597"/>
        <v>788193</v>
      </c>
      <c r="IW68" s="438">
        <f t="shared" si="598"/>
        <v>116127.79999999999</v>
      </c>
      <c r="IX68" s="285">
        <f t="shared" si="599"/>
        <v>0.86271396282711355</v>
      </c>
      <c r="IY68" s="285">
        <f t="shared" si="600"/>
        <v>0.13728603717288645</v>
      </c>
      <c r="IZ68" s="285">
        <f t="shared" si="601"/>
        <v>1.2817964745207568</v>
      </c>
      <c r="JA68" s="285">
        <f t="shared" si="602"/>
        <v>0.29258505232695092</v>
      </c>
      <c r="JB68" s="285">
        <f t="shared" si="603"/>
        <v>0.55256881582932327</v>
      </c>
      <c r="JC68" s="285">
        <f t="shared" si="604"/>
        <v>8.1412294870500598E-2</v>
      </c>
      <c r="JD68" s="60">
        <f t="shared" si="605"/>
        <v>6979358</v>
      </c>
      <c r="JE68" s="60">
        <f t="shared" si="606"/>
        <v>978501</v>
      </c>
      <c r="JF68" s="60">
        <f t="shared" si="607"/>
        <v>0</v>
      </c>
      <c r="JG68" s="60">
        <f t="shared" si="608"/>
        <v>332704</v>
      </c>
      <c r="JH68" s="284">
        <f t="shared" si="609"/>
        <v>0</v>
      </c>
      <c r="JI68" s="284">
        <f t="shared" si="610"/>
        <v>1</v>
      </c>
      <c r="JJ68" s="560">
        <f t="shared" si="611"/>
        <v>0.76533153315331537</v>
      </c>
      <c r="JK68" s="561">
        <f t="shared" si="612"/>
        <v>0.59366989359402378</v>
      </c>
      <c r="JL68" s="561">
        <f t="shared" si="613"/>
        <v>7.808834622631397E-2</v>
      </c>
      <c r="JM68" s="561">
        <f t="shared" si="614"/>
        <v>2.5271939483272877E-2</v>
      </c>
      <c r="JN68" s="561">
        <f t="shared" si="615"/>
        <v>0.29831687505931975</v>
      </c>
      <c r="JO68" s="561">
        <f t="shared" si="616"/>
        <v>2.7176610618643128E-3</v>
      </c>
      <c r="JP68" s="561">
        <f t="shared" si="617"/>
        <v>3.0244196177263111E-2</v>
      </c>
      <c r="JQ68" s="561">
        <f t="shared" si="618"/>
        <v>1.0283089116020578</v>
      </c>
      <c r="JR68" s="61">
        <f t="shared" si="619"/>
        <v>56217.388888888891</v>
      </c>
      <c r="JS68" s="61">
        <f t="shared" si="620"/>
        <v>11999.5</v>
      </c>
      <c r="JT68" s="61">
        <f t="shared" si="621"/>
        <v>23210.055555555555</v>
      </c>
      <c r="JU68" s="61">
        <f t="shared" si="622"/>
        <v>8041.2222222222226</v>
      </c>
      <c r="JV68" s="61">
        <f t="shared" si="623"/>
        <v>845.61111111111109</v>
      </c>
      <c r="JW68" s="61">
        <f t="shared" si="624"/>
        <v>13519.277777777777</v>
      </c>
      <c r="JX68" s="61">
        <f t="shared" si="625"/>
        <v>85.229191797346203</v>
      </c>
      <c r="JY68" s="394">
        <f t="shared" si="626"/>
        <v>0.19741081927616819</v>
      </c>
      <c r="JZ68" s="61">
        <f t="shared" si="627"/>
        <v>0</v>
      </c>
      <c r="KA68" s="61">
        <f t="shared" si="628"/>
        <v>0</v>
      </c>
      <c r="KB68" s="61">
        <f t="shared" si="629"/>
        <v>0</v>
      </c>
      <c r="KC68" s="61">
        <f t="shared" si="630"/>
        <v>0</v>
      </c>
      <c r="KD68" s="61">
        <f t="shared" si="631"/>
        <v>0</v>
      </c>
      <c r="KE68" s="61">
        <f t="shared" si="632"/>
        <v>0</v>
      </c>
      <c r="KF68" s="61">
        <f t="shared" si="633"/>
        <v>0</v>
      </c>
      <c r="KG68" s="61">
        <f t="shared" si="634"/>
        <v>0</v>
      </c>
      <c r="KH68" s="61">
        <f t="shared" si="635"/>
        <v>0</v>
      </c>
      <c r="KI68" s="394">
        <f t="shared" si="636"/>
        <v>0</v>
      </c>
      <c r="KJ68" s="438">
        <f t="shared" si="637"/>
        <v>18</v>
      </c>
      <c r="KK68" s="438">
        <f t="shared" si="638"/>
        <v>24041</v>
      </c>
      <c r="KL68" s="438">
        <f t="shared" si="639"/>
        <v>150</v>
      </c>
      <c r="KM68" s="438">
        <f t="shared" si="640"/>
        <v>113833.05555555556</v>
      </c>
      <c r="KN68" s="438">
        <f t="shared" si="641"/>
        <v>85.229191797346203</v>
      </c>
      <c r="KO68" s="438">
        <f t="shared" si="642"/>
        <v>13659.966666666667</v>
      </c>
      <c r="KP68" s="438">
        <f t="shared" si="643"/>
        <v>1011913</v>
      </c>
      <c r="KQ68" s="438">
        <f t="shared" si="644"/>
        <v>215991</v>
      </c>
      <c r="KR68" s="438">
        <f t="shared" si="645"/>
        <v>417781</v>
      </c>
      <c r="KS68" s="438">
        <f t="shared" si="646"/>
        <v>144742</v>
      </c>
      <c r="KT68" s="438">
        <f t="shared" si="647"/>
        <v>15221</v>
      </c>
      <c r="KU68" s="438">
        <f t="shared" si="648"/>
        <v>243347</v>
      </c>
      <c r="KV68" s="420">
        <f t="shared" si="649"/>
        <v>0.19741081927616819</v>
      </c>
      <c r="KW68" s="420">
        <f t="shared" si="650"/>
        <v>-0.25871262084564223</v>
      </c>
      <c r="KX68" s="108"/>
      <c r="KY68" s="282">
        <f t="shared" si="651"/>
        <v>0</v>
      </c>
      <c r="KZ68" s="282"/>
      <c r="LA68" s="282">
        <f t="shared" si="652"/>
        <v>0</v>
      </c>
      <c r="LB68" s="282"/>
      <c r="LC68" s="286">
        <f t="shared" si="653"/>
        <v>0</v>
      </c>
      <c r="LD68" s="286"/>
      <c r="LE68" s="282">
        <f t="shared" si="654"/>
        <v>0</v>
      </c>
      <c r="LF68" s="282"/>
      <c r="LG68" s="282">
        <f t="shared" si="655"/>
        <v>0</v>
      </c>
      <c r="LH68" s="282">
        <f t="shared" si="656"/>
        <v>0</v>
      </c>
      <c r="LI68" s="282">
        <f t="shared" si="657"/>
        <v>0</v>
      </c>
      <c r="LJ68" s="282">
        <f t="shared" si="658"/>
        <v>0</v>
      </c>
      <c r="LK68" s="282"/>
      <c r="LL68" s="282">
        <f t="shared" si="659"/>
        <v>0</v>
      </c>
      <c r="LM68" s="282">
        <f t="shared" si="660"/>
        <v>0</v>
      </c>
      <c r="LN68" s="282">
        <f t="shared" si="661"/>
        <v>0</v>
      </c>
      <c r="LO68" s="282">
        <f t="shared" si="662"/>
        <v>0</v>
      </c>
      <c r="LP68" s="286">
        <f t="shared" si="663"/>
        <v>0</v>
      </c>
      <c r="LQ68" s="282">
        <f t="shared" si="664"/>
        <v>0</v>
      </c>
      <c r="LR68" s="282">
        <f t="shared" si="665"/>
        <v>0</v>
      </c>
      <c r="LS68" s="282">
        <f t="shared" si="666"/>
        <v>0</v>
      </c>
      <c r="LT68" s="286">
        <f t="shared" si="667"/>
        <v>0</v>
      </c>
      <c r="LU68" s="286">
        <f t="shared" si="668"/>
        <v>0</v>
      </c>
      <c r="LV68" s="286">
        <f t="shared" si="669"/>
        <v>0</v>
      </c>
      <c r="LW68" s="286">
        <f t="shared" si="670"/>
        <v>0</v>
      </c>
      <c r="LX68" s="286">
        <f t="shared" si="671"/>
        <v>0</v>
      </c>
      <c r="LY68" s="286">
        <f t="shared" si="672"/>
        <v>0</v>
      </c>
      <c r="LZ68" s="286">
        <f t="shared" si="673"/>
        <v>0</v>
      </c>
      <c r="MA68" s="286">
        <f t="shared" si="674"/>
        <v>0</v>
      </c>
      <c r="MB68" s="286">
        <f t="shared" si="675"/>
        <v>0</v>
      </c>
      <c r="MC68" s="286">
        <f t="shared" si="676"/>
        <v>0</v>
      </c>
      <c r="MD68" s="286">
        <f t="shared" si="677"/>
        <v>0</v>
      </c>
      <c r="ME68" s="286">
        <f t="shared" si="678"/>
        <v>0</v>
      </c>
      <c r="MF68" s="286">
        <f t="shared" si="679"/>
        <v>0</v>
      </c>
      <c r="MG68" s="286">
        <f t="shared" si="680"/>
        <v>0</v>
      </c>
      <c r="MH68" s="286">
        <f t="shared" si="681"/>
        <v>0</v>
      </c>
      <c r="MI68" s="286">
        <f t="shared" si="682"/>
        <v>0</v>
      </c>
      <c r="MJ68" s="286">
        <f t="shared" si="683"/>
        <v>0</v>
      </c>
      <c r="MK68" s="286">
        <f t="shared" si="684"/>
        <v>0</v>
      </c>
      <c r="ML68" s="282">
        <f t="shared" si="685"/>
        <v>0</v>
      </c>
      <c r="MM68" s="1232">
        <f t="shared" si="686"/>
        <v>0</v>
      </c>
      <c r="MN68" s="1232">
        <f t="shared" si="687"/>
        <v>0</v>
      </c>
      <c r="MO68" s="1232">
        <f t="shared" si="688"/>
        <v>0</v>
      </c>
      <c r="MP68" s="1232">
        <f t="shared" si="689"/>
        <v>0</v>
      </c>
      <c r="MQ68" s="282">
        <f t="shared" si="690"/>
        <v>0</v>
      </c>
      <c r="MR68" s="282">
        <f t="shared" si="691"/>
        <v>0</v>
      </c>
      <c r="MS68" s="282">
        <f t="shared" si="692"/>
        <v>0</v>
      </c>
      <c r="MT68" s="282">
        <f t="shared" si="693"/>
        <v>0</v>
      </c>
      <c r="MU68" s="282">
        <f t="shared" si="694"/>
        <v>0</v>
      </c>
      <c r="MV68" s="282">
        <f t="shared" si="695"/>
        <v>0</v>
      </c>
      <c r="MW68" s="282">
        <f t="shared" si="696"/>
        <v>0</v>
      </c>
      <c r="MX68" s="282">
        <f t="shared" si="697"/>
        <v>0</v>
      </c>
      <c r="MY68" s="282">
        <f t="shared" si="698"/>
        <v>0</v>
      </c>
      <c r="MZ68" s="282">
        <f t="shared" si="699"/>
        <v>0</v>
      </c>
      <c r="NA68" s="282">
        <f t="shared" si="700"/>
        <v>0</v>
      </c>
      <c r="NB68" s="282">
        <f t="shared" si="701"/>
        <v>0</v>
      </c>
      <c r="NC68" s="282">
        <f t="shared" si="702"/>
        <v>0</v>
      </c>
      <c r="ND68" s="282">
        <f t="shared" si="703"/>
        <v>0</v>
      </c>
      <c r="NE68" s="282">
        <f t="shared" si="704"/>
        <v>0</v>
      </c>
      <c r="NF68" s="282">
        <f t="shared" si="705"/>
        <v>0</v>
      </c>
      <c r="NG68" s="282">
        <f t="shared" si="706"/>
        <v>0</v>
      </c>
      <c r="NH68" s="282">
        <f t="shared" si="707"/>
        <v>0</v>
      </c>
      <c r="NI68" s="282">
        <f t="shared" si="708"/>
        <v>0</v>
      </c>
      <c r="NJ68" s="282">
        <f t="shared" si="709"/>
        <v>0</v>
      </c>
      <c r="NK68" s="282">
        <f t="shared" si="710"/>
        <v>0</v>
      </c>
      <c r="NL68" s="282">
        <f t="shared" si="711"/>
        <v>0</v>
      </c>
      <c r="NM68" s="1205">
        <f t="shared" si="712"/>
        <v>0</v>
      </c>
      <c r="NN68" s="282">
        <f t="shared" si="713"/>
        <v>0</v>
      </c>
      <c r="NO68" s="282">
        <f t="shared" si="714"/>
        <v>0</v>
      </c>
      <c r="NP68" s="282">
        <f t="shared" si="715"/>
        <v>0</v>
      </c>
      <c r="NQ68" s="282">
        <f t="shared" si="716"/>
        <v>0</v>
      </c>
      <c r="NR68" s="282">
        <f t="shared" si="717"/>
        <v>0</v>
      </c>
      <c r="NS68" s="282">
        <f t="shared" si="718"/>
        <v>0</v>
      </c>
      <c r="NT68" s="282">
        <f t="shared" si="719"/>
        <v>0</v>
      </c>
      <c r="NU68" s="282">
        <f t="shared" si="720"/>
        <v>0</v>
      </c>
      <c r="NV68" s="286">
        <f t="shared" si="721"/>
        <v>0</v>
      </c>
      <c r="NW68" s="286">
        <f t="shared" si="722"/>
        <v>0</v>
      </c>
      <c r="NX68" s="286">
        <f t="shared" si="723"/>
        <v>0</v>
      </c>
      <c r="NY68" s="286">
        <f t="shared" si="724"/>
        <v>0</v>
      </c>
      <c r="NZ68" s="286">
        <f t="shared" si="725"/>
        <v>0</v>
      </c>
      <c r="OA68" s="286">
        <f t="shared" si="726"/>
        <v>0</v>
      </c>
      <c r="OB68" s="286">
        <f t="shared" si="727"/>
        <v>0</v>
      </c>
      <c r="OC68" s="286">
        <f t="shared" si="728"/>
        <v>0</v>
      </c>
      <c r="OD68" s="286">
        <f t="shared" si="729"/>
        <v>0</v>
      </c>
      <c r="OE68" s="282">
        <f t="shared" si="730"/>
        <v>0</v>
      </c>
      <c r="OF68" s="282">
        <f t="shared" si="731"/>
        <v>0</v>
      </c>
      <c r="OG68" s="286">
        <f t="shared" si="732"/>
        <v>0</v>
      </c>
      <c r="OH68" s="286">
        <f t="shared" si="733"/>
        <v>0</v>
      </c>
      <c r="OI68" s="286">
        <f t="shared" si="734"/>
        <v>0</v>
      </c>
      <c r="OJ68" s="286">
        <f t="shared" si="735"/>
        <v>0</v>
      </c>
      <c r="OK68" s="286">
        <f t="shared" si="736"/>
        <v>0</v>
      </c>
      <c r="OL68" s="286">
        <f t="shared" si="737"/>
        <v>0</v>
      </c>
      <c r="OM68" s="286">
        <f t="shared" si="738"/>
        <v>0</v>
      </c>
      <c r="ON68" s="286">
        <f t="shared" si="739"/>
        <v>0</v>
      </c>
      <c r="OO68" s="286">
        <f t="shared" si="740"/>
        <v>0</v>
      </c>
      <c r="OP68" s="434">
        <f t="shared" si="741"/>
        <v>0</v>
      </c>
      <c r="OQ68" s="434">
        <f t="shared" si="742"/>
        <v>0</v>
      </c>
      <c r="OR68" s="282">
        <f t="shared" si="743"/>
        <v>0</v>
      </c>
      <c r="OS68" s="282">
        <f t="shared" si="744"/>
        <v>0</v>
      </c>
      <c r="OT68" s="282">
        <f t="shared" si="745"/>
        <v>0</v>
      </c>
      <c r="OU68" s="282">
        <f t="shared" si="746"/>
        <v>0</v>
      </c>
      <c r="OV68" s="282">
        <f t="shared" si="747"/>
        <v>0</v>
      </c>
      <c r="OW68" s="286">
        <f t="shared" si="748"/>
        <v>0</v>
      </c>
      <c r="OX68" s="286">
        <f t="shared" si="749"/>
        <v>0</v>
      </c>
      <c r="OY68" s="286">
        <f t="shared" si="750"/>
        <v>0</v>
      </c>
      <c r="OZ68" s="286">
        <f t="shared" si="751"/>
        <v>0</v>
      </c>
      <c r="PA68" s="286">
        <f t="shared" si="752"/>
        <v>0</v>
      </c>
      <c r="PB68" s="286">
        <f t="shared" si="753"/>
        <v>0</v>
      </c>
      <c r="PC68" s="286">
        <f t="shared" si="754"/>
        <v>0</v>
      </c>
      <c r="PD68" s="282">
        <f t="shared" si="755"/>
        <v>0</v>
      </c>
      <c r="PE68" s="282">
        <f t="shared" si="756"/>
        <v>0</v>
      </c>
      <c r="PF68" s="286">
        <f t="shared" si="757"/>
        <v>0</v>
      </c>
      <c r="PG68" s="286">
        <f t="shared" si="758"/>
        <v>0</v>
      </c>
      <c r="PH68" s="286">
        <f t="shared" si="759"/>
        <v>0</v>
      </c>
      <c r="PI68" s="286">
        <f t="shared" si="760"/>
        <v>0</v>
      </c>
      <c r="PJ68" s="286">
        <f t="shared" si="761"/>
        <v>0</v>
      </c>
      <c r="PK68" s="286">
        <f t="shared" si="762"/>
        <v>0</v>
      </c>
      <c r="PL68" s="286">
        <f t="shared" si="763"/>
        <v>0</v>
      </c>
      <c r="PM68" s="562">
        <v>12</v>
      </c>
    </row>
    <row r="69" spans="1:431" s="289" customFormat="1" ht="15.75" customHeight="1">
      <c r="A69" s="1935" t="s">
        <v>624</v>
      </c>
      <c r="B69" s="1040" t="str">
        <f>VLOOKUP(A69,'Area (&amp;golfacre for lookup)'!$A$2:$B$162,2,FALSE)</f>
        <v>SW exc CIRA</v>
      </c>
      <c r="C69" s="1936"/>
      <c r="D69" s="1937">
        <v>44742</v>
      </c>
      <c r="E69" s="402"/>
      <c r="F69" s="1936">
        <v>1</v>
      </c>
      <c r="G69" s="1936">
        <v>0</v>
      </c>
      <c r="H69" s="1936">
        <v>1239</v>
      </c>
      <c r="I69" s="1936">
        <v>995</v>
      </c>
      <c r="J69" s="1936">
        <v>2234</v>
      </c>
      <c r="K69" s="1938">
        <v>1568.4633333333334</v>
      </c>
      <c r="L69" s="1939" t="s">
        <v>1208</v>
      </c>
      <c r="M69" s="1939" t="s">
        <v>1208</v>
      </c>
      <c r="N69" s="1939" t="s">
        <v>1208</v>
      </c>
      <c r="O69" s="1939" t="s">
        <v>1208</v>
      </c>
      <c r="P69" s="1939" t="s">
        <v>1208</v>
      </c>
      <c r="Q69" s="1936">
        <v>0</v>
      </c>
      <c r="R69" s="1936">
        <v>125000</v>
      </c>
      <c r="S69" s="1936">
        <v>125000</v>
      </c>
      <c r="T69" s="1939" t="s">
        <v>1208</v>
      </c>
      <c r="U69" s="1939" t="s">
        <v>1208</v>
      </c>
      <c r="V69" s="1939" t="s">
        <v>1208</v>
      </c>
      <c r="W69" s="1936">
        <v>15900</v>
      </c>
      <c r="X69" s="1936">
        <v>15000</v>
      </c>
      <c r="Y69" s="1939" t="s">
        <v>1208</v>
      </c>
      <c r="Z69" s="1939" t="s">
        <v>1208</v>
      </c>
      <c r="AA69" s="1936">
        <v>900</v>
      </c>
      <c r="AB69" s="1362">
        <v>0.06</v>
      </c>
      <c r="AC69" s="1939" t="s">
        <v>1208</v>
      </c>
      <c r="AD69" s="1363" t="s">
        <v>1208</v>
      </c>
      <c r="AE69" s="1936">
        <v>1</v>
      </c>
      <c r="AF69" s="1936">
        <v>3300</v>
      </c>
      <c r="AG69" s="1939" t="s">
        <v>1208</v>
      </c>
      <c r="AH69" s="1936">
        <v>0</v>
      </c>
      <c r="AI69" s="1936">
        <v>0</v>
      </c>
      <c r="AJ69" s="1939" t="s">
        <v>1208</v>
      </c>
      <c r="AK69" s="1938">
        <v>0</v>
      </c>
      <c r="AL69" s="1938">
        <v>0</v>
      </c>
      <c r="AM69" s="1936">
        <v>18300</v>
      </c>
      <c r="AN69" s="1939" t="s">
        <v>1208</v>
      </c>
      <c r="AO69" s="1936">
        <v>0</v>
      </c>
      <c r="AP69" s="1936">
        <v>0</v>
      </c>
      <c r="AQ69" s="1936">
        <v>18300</v>
      </c>
      <c r="AR69" s="1939" t="s">
        <v>1208</v>
      </c>
      <c r="AS69" s="1363" t="s">
        <v>1208</v>
      </c>
      <c r="AT69" s="1363" t="s">
        <v>1208</v>
      </c>
      <c r="AU69" s="1363" t="s">
        <v>1208</v>
      </c>
      <c r="AV69" s="1363" t="s">
        <v>1208</v>
      </c>
      <c r="AW69" s="1363" t="s">
        <v>1291</v>
      </c>
      <c r="AX69" s="1938">
        <v>1</v>
      </c>
      <c r="AY69" s="1938">
        <v>0</v>
      </c>
      <c r="AZ69" s="1938">
        <v>1</v>
      </c>
      <c r="BA69" s="1938">
        <v>0</v>
      </c>
      <c r="BB69" s="1938">
        <v>0</v>
      </c>
      <c r="BC69" s="1938">
        <v>0</v>
      </c>
      <c r="BD69" s="1938">
        <v>0</v>
      </c>
      <c r="BE69" s="1936">
        <v>1</v>
      </c>
      <c r="BF69" s="1936">
        <v>14750000</v>
      </c>
      <c r="BG69" s="1936">
        <v>6285310</v>
      </c>
      <c r="BH69" s="1936">
        <v>21035310</v>
      </c>
      <c r="BI69" s="1938">
        <v>91972883</v>
      </c>
      <c r="BJ69" s="1936">
        <v>19867590</v>
      </c>
      <c r="BK69" s="1936">
        <v>8171161</v>
      </c>
      <c r="BL69" s="1362">
        <v>2.4314280430895927</v>
      </c>
      <c r="BM69" s="1936">
        <v>1</v>
      </c>
      <c r="BN69" s="1936">
        <v>7338</v>
      </c>
      <c r="BO69" s="1363" t="s">
        <v>1208</v>
      </c>
      <c r="BP69" s="1938">
        <v>10017967</v>
      </c>
      <c r="BQ69" s="1938">
        <v>8814178</v>
      </c>
      <c r="BR69" s="1940">
        <v>1.1365741649419832</v>
      </c>
      <c r="BS69" s="1409">
        <v>1</v>
      </c>
      <c r="BT69" s="1938">
        <v>10212727</v>
      </c>
      <c r="BU69" s="1938">
        <v>103917338</v>
      </c>
      <c r="BV69" s="1940">
        <v>9.8277411609600698E-2</v>
      </c>
      <c r="BW69" s="1936">
        <v>4.6784644843466747</v>
      </c>
      <c r="BX69" s="1936">
        <v>12666.913900866877</v>
      </c>
      <c r="BY69" s="1936">
        <v>13411.413294115897</v>
      </c>
      <c r="BZ69" s="1936">
        <v>5171392</v>
      </c>
      <c r="CA69" s="1936">
        <v>1354757</v>
      </c>
      <c r="CB69" s="1936">
        <v>2284522</v>
      </c>
      <c r="CC69" s="1936">
        <v>1862443</v>
      </c>
      <c r="CD69" s="1936">
        <v>23526950</v>
      </c>
      <c r="CE69" s="1936">
        <v>0</v>
      </c>
      <c r="CF69" s="1936">
        <v>0</v>
      </c>
      <c r="CG69" s="1936">
        <v>4320572</v>
      </c>
      <c r="CH69" s="1936">
        <v>2200524</v>
      </c>
      <c r="CI69" s="1936">
        <v>299561</v>
      </c>
      <c r="CJ69" s="1936">
        <v>41020721</v>
      </c>
      <c r="CK69" s="1366">
        <v>0.12606779875955862</v>
      </c>
      <c r="CL69" s="1366">
        <v>3.3026162558186141E-2</v>
      </c>
      <c r="CM69" s="1366">
        <v>5.569190263623109E-2</v>
      </c>
      <c r="CN69" s="1366">
        <v>4.5402493047355261E-2</v>
      </c>
      <c r="CO69" s="1366">
        <v>0.57353818817567837</v>
      </c>
      <c r="CP69" s="1366">
        <v>0</v>
      </c>
      <c r="CQ69" s="1366">
        <v>0</v>
      </c>
      <c r="CR69" s="1366">
        <v>0.1053265738551987</v>
      </c>
      <c r="CS69" s="1366">
        <v>5.364420581490998E-2</v>
      </c>
      <c r="CT69" s="1366">
        <v>7.3026751528818814E-3</v>
      </c>
      <c r="CU69" s="1366">
        <v>1</v>
      </c>
      <c r="CV69" s="1936">
        <v>20930140</v>
      </c>
      <c r="CW69" s="1936">
        <v>2852754</v>
      </c>
      <c r="CX69" s="1936">
        <v>1593977</v>
      </c>
      <c r="CY69" s="1936">
        <v>11279168</v>
      </c>
      <c r="CZ69" s="1936">
        <v>461499</v>
      </c>
      <c r="DA69" s="1936">
        <v>854595</v>
      </c>
      <c r="DB69" s="1936">
        <v>37972133</v>
      </c>
      <c r="DC69" s="1366">
        <v>0.55119737413750236</v>
      </c>
      <c r="DD69" s="1366">
        <v>7.512756789301249E-2</v>
      </c>
      <c r="DE69" s="1366">
        <v>4.1977547060629963E-2</v>
      </c>
      <c r="DF69" s="1366">
        <v>0.29703804102866699</v>
      </c>
      <c r="DG69" s="1366">
        <v>1.2153623290005858E-2</v>
      </c>
      <c r="DH69" s="1366">
        <v>2.2505846590182333E-2</v>
      </c>
      <c r="DI69" s="1366">
        <v>1</v>
      </c>
      <c r="DJ69" s="1936">
        <v>3048588</v>
      </c>
      <c r="DK69" s="1936">
        <v>3297.1073598575249</v>
      </c>
      <c r="DL69" s="1936">
        <v>863.7479571300147</v>
      </c>
      <c r="DM69" s="1936">
        <v>1456.5351649916372</v>
      </c>
      <c r="DN69" s="1936">
        <v>1187.4316475361234</v>
      </c>
      <c r="DO69" s="1936">
        <v>15000</v>
      </c>
      <c r="DP69" s="1936">
        <v>0</v>
      </c>
      <c r="DQ69" s="1936">
        <v>0</v>
      </c>
      <c r="DR69" s="1936">
        <v>2754.6528555550126</v>
      </c>
      <c r="DS69" s="1936">
        <v>1402.9808368700576</v>
      </c>
      <c r="DT69" s="1936">
        <v>190.99011984128839</v>
      </c>
      <c r="DU69" s="1936">
        <v>26153.445941781658</v>
      </c>
      <c r="DV69" s="1936">
        <v>13344.360403707238</v>
      </c>
      <c r="DW69" s="1936">
        <v>1818.8209691438967</v>
      </c>
      <c r="DX69" s="1936">
        <v>1016.2666643997628</v>
      </c>
      <c r="DY69" s="1936">
        <v>7191.2219815998251</v>
      </c>
      <c r="DZ69" s="1936">
        <v>294.23639698303435</v>
      </c>
      <c r="EA69" s="1936">
        <v>544.86131861546016</v>
      </c>
      <c r="EB69" s="1936">
        <v>24209.767734449215</v>
      </c>
      <c r="EC69" s="1936">
        <v>1943.6782073324421</v>
      </c>
      <c r="ED69" s="1941">
        <v>425</v>
      </c>
      <c r="EE69" s="1936">
        <v>1</v>
      </c>
      <c r="EF69" s="1936">
        <v>24</v>
      </c>
      <c r="EG69" s="1938">
        <v>206031</v>
      </c>
      <c r="EH69" s="1938">
        <v>1</v>
      </c>
      <c r="EI69" s="1368">
        <v>0.04</v>
      </c>
      <c r="EJ69" s="1936">
        <v>3.6905019607843137</v>
      </c>
      <c r="EK69" s="1936">
        <v>0</v>
      </c>
      <c r="EL69" s="1936">
        <v>0</v>
      </c>
      <c r="EM69" s="1936">
        <v>1</v>
      </c>
      <c r="EN69" s="1362">
        <v>0.2</v>
      </c>
      <c r="EO69" s="1936">
        <v>0</v>
      </c>
      <c r="EP69" s="1936">
        <v>0</v>
      </c>
      <c r="EQ69" s="1936">
        <v>0</v>
      </c>
      <c r="ER69" s="1938">
        <v>0</v>
      </c>
      <c r="ES69" s="1936">
        <v>4157.63369242507</v>
      </c>
      <c r="ET69" s="1936">
        <v>-1324.3726874924289</v>
      </c>
      <c r="EU69" s="1938">
        <v>5</v>
      </c>
      <c r="EV69" s="1936">
        <v>0</v>
      </c>
      <c r="EW69" s="1936">
        <v>0</v>
      </c>
      <c r="EX69" s="1938">
        <v>1</v>
      </c>
      <c r="EY69" s="1936">
        <v>4320572</v>
      </c>
      <c r="EZ69" s="1936">
        <v>2197212</v>
      </c>
      <c r="FA69" s="1936">
        <v>2123360</v>
      </c>
      <c r="FB69" s="1936">
        <v>2200524</v>
      </c>
      <c r="FC69" s="1936">
        <v>655542</v>
      </c>
      <c r="FD69" s="1936">
        <v>1544982</v>
      </c>
      <c r="FE69" s="1936">
        <v>6521096</v>
      </c>
      <c r="FF69" s="1936">
        <v>2852754</v>
      </c>
      <c r="FG69" s="1936">
        <v>3668342</v>
      </c>
      <c r="FH69" s="1366">
        <v>1</v>
      </c>
      <c r="FI69" s="1366">
        <v>0.50854655355818623</v>
      </c>
      <c r="FJ69" s="1366">
        <v>0.49145344644181371</v>
      </c>
      <c r="FK69" s="1366">
        <v>1</v>
      </c>
      <c r="FL69" s="1366">
        <v>0.29790268136134845</v>
      </c>
      <c r="FM69" s="1366">
        <v>0.70209731863865155</v>
      </c>
      <c r="FN69" s="1366">
        <v>1</v>
      </c>
      <c r="FO69" s="1366">
        <v>0.4374654199232767</v>
      </c>
      <c r="FP69" s="1366">
        <v>0.5625345800767233</v>
      </c>
      <c r="FQ69" s="1936">
        <v>3890271</v>
      </c>
      <c r="FR69" s="1936">
        <v>0</v>
      </c>
      <c r="FS69" s="1936">
        <v>886301</v>
      </c>
      <c r="FT69" s="1936">
        <v>117088</v>
      </c>
      <c r="FU69" s="1936">
        <v>116035</v>
      </c>
      <c r="FV69" s="1936">
        <v>64732</v>
      </c>
      <c r="FW69" s="1936">
        <v>671145</v>
      </c>
      <c r="FX69" s="1936">
        <v>5745572</v>
      </c>
      <c r="FY69" s="1936">
        <v>-2077230</v>
      </c>
      <c r="FZ69" s="1366">
        <v>0.59656704946530459</v>
      </c>
      <c r="GA69" s="1366">
        <v>0</v>
      </c>
      <c r="GB69" s="1366">
        <v>0.13591288948974223</v>
      </c>
      <c r="GC69" s="1366">
        <v>1.7955263961763484E-2</v>
      </c>
      <c r="GD69" s="1366">
        <v>1.7793788038084395E-2</v>
      </c>
      <c r="GE69" s="1366">
        <v>9.9265522237366229E-3</v>
      </c>
      <c r="GF69" s="1366">
        <v>0.10291904919050417</v>
      </c>
      <c r="GG69" s="1366">
        <v>0.88107459236913555</v>
      </c>
      <c r="GH69" s="1366">
        <v>-0.31854001229241219</v>
      </c>
      <c r="GI69" s="1942">
        <v>1.9634287106161987</v>
      </c>
      <c r="GJ69" s="1943">
        <v>1</v>
      </c>
      <c r="GK69" s="1371">
        <v>0.1</v>
      </c>
      <c r="GL69" s="1943">
        <v>1</v>
      </c>
      <c r="GM69" s="1371">
        <v>0.05</v>
      </c>
      <c r="GN69" s="1943">
        <v>0</v>
      </c>
      <c r="GO69" s="1985">
        <f>IF(GN69=0,0,VLOOKUP(A69,'Area (&amp;golfacre for lookup)'!$G$2:$H$133,2,FALSE))</f>
        <v>0</v>
      </c>
      <c r="GP69" s="1943">
        <v>0</v>
      </c>
      <c r="GQ69" s="1943">
        <v>0</v>
      </c>
      <c r="GR69" s="1943">
        <v>0</v>
      </c>
      <c r="GS69" s="1943">
        <v>0</v>
      </c>
      <c r="GT69" s="1943">
        <v>0</v>
      </c>
      <c r="GU69" s="1943">
        <v>0</v>
      </c>
      <c r="GV69" s="1943">
        <v>0</v>
      </c>
      <c r="GW69" s="1943">
        <v>0</v>
      </c>
      <c r="GX69" s="1936">
        <v>0</v>
      </c>
      <c r="GY69" s="1985">
        <f t="shared" si="764"/>
        <v>0</v>
      </c>
      <c r="GZ69" s="1936">
        <v>0</v>
      </c>
      <c r="HA69" s="1936">
        <v>0</v>
      </c>
      <c r="HB69" s="1936">
        <v>0</v>
      </c>
      <c r="HC69" s="1936">
        <v>0</v>
      </c>
      <c r="HD69" s="1936">
        <v>0</v>
      </c>
      <c r="HE69" s="1936">
        <v>0</v>
      </c>
      <c r="HF69" s="1936">
        <v>0</v>
      </c>
      <c r="HG69" s="1936">
        <v>90</v>
      </c>
      <c r="HH69" s="1988">
        <f>IF(HG69=0,0,VLOOKUP(A69,'Area (&amp;golfacre for lookup)'!$G$2:$H$134,2,FALSE))</f>
        <v>430</v>
      </c>
      <c r="HI69" s="1936">
        <v>116801</v>
      </c>
      <c r="HJ69" s="1936">
        <v>5207208</v>
      </c>
      <c r="HK69" s="1936">
        <v>636685</v>
      </c>
      <c r="HL69" s="1936">
        <v>2394014</v>
      </c>
      <c r="HM69" s="1936">
        <v>371684</v>
      </c>
      <c r="HN69" s="1936">
        <v>0</v>
      </c>
      <c r="HO69" s="1936">
        <v>1129591</v>
      </c>
      <c r="HP69" s="1936">
        <v>9739182</v>
      </c>
      <c r="HQ69" s="1936">
        <v>108213.13333333333</v>
      </c>
      <c r="HR69" s="1988">
        <f t="shared" si="765"/>
        <v>22649.26046511628</v>
      </c>
      <c r="HS69" s="1366">
        <v>0.5346658477067171</v>
      </c>
      <c r="HT69" s="1366">
        <v>6.5373560120346869E-2</v>
      </c>
      <c r="HU69" s="1366">
        <v>0.24581263600988257</v>
      </c>
      <c r="HV69" s="1366">
        <v>3.8163780079271542E-2</v>
      </c>
      <c r="HW69" s="1366">
        <v>0</v>
      </c>
      <c r="HX69" s="1366">
        <v>0.11598417608378199</v>
      </c>
      <c r="HY69" s="1366">
        <v>1</v>
      </c>
      <c r="HZ69" s="51"/>
      <c r="IA69" s="59">
        <f t="shared" si="766"/>
        <v>0</v>
      </c>
      <c r="IB69" s="59"/>
      <c r="IC69" s="815">
        <f t="shared" si="581"/>
        <v>1</v>
      </c>
      <c r="ID69" s="815"/>
      <c r="IE69" s="284">
        <f t="shared" si="582"/>
        <v>0</v>
      </c>
      <c r="IF69" s="284"/>
      <c r="IG69" s="284">
        <f t="shared" si="583"/>
        <v>58638.848001972205</v>
      </c>
      <c r="IH69" s="284"/>
      <c r="II69" s="1288">
        <f t="shared" si="584"/>
        <v>1.1365741649419832</v>
      </c>
      <c r="IJ69" s="1288">
        <f t="shared" si="585"/>
        <v>0</v>
      </c>
      <c r="IK69" s="284">
        <f t="shared" si="586"/>
        <v>1</v>
      </c>
      <c r="IL69" s="284">
        <f t="shared" si="587"/>
        <v>0</v>
      </c>
      <c r="IM69" s="284">
        <f t="shared" si="588"/>
        <v>0</v>
      </c>
      <c r="IN69" s="284">
        <f t="shared" si="589"/>
        <v>0</v>
      </c>
      <c r="IO69" s="753">
        <f t="shared" si="590"/>
        <v>-929.82542524619521</v>
      </c>
      <c r="IP69" s="113">
        <f t="shared" si="591"/>
        <v>-1324.3726874924289</v>
      </c>
      <c r="IQ69" s="30">
        <f t="shared" si="592"/>
        <v>-8.8291512499495253E-2</v>
      </c>
      <c r="IR69" s="438">
        <f t="shared" si="593"/>
        <v>4320572</v>
      </c>
      <c r="IS69" s="438">
        <f t="shared" si="594"/>
        <v>2200524</v>
      </c>
      <c r="IT69" s="438">
        <f t="shared" si="595"/>
        <v>3890271</v>
      </c>
      <c r="IU69" s="438">
        <f t="shared" si="596"/>
        <v>1003389</v>
      </c>
      <c r="IV69" s="438">
        <f t="shared" si="597"/>
        <v>2852754</v>
      </c>
      <c r="IW69" s="438">
        <f t="shared" si="598"/>
        <v>851912</v>
      </c>
      <c r="IX69" s="285">
        <f t="shared" si="599"/>
        <v>0.6625530432307698</v>
      </c>
      <c r="IY69" s="285">
        <f t="shared" si="600"/>
        <v>0.3374469567692302</v>
      </c>
      <c r="IZ69" s="285">
        <f t="shared" si="601"/>
        <v>0.59656704946530459</v>
      </c>
      <c r="JA69" s="285">
        <f t="shared" si="602"/>
        <v>0.1538681534515057</v>
      </c>
      <c r="JB69" s="285">
        <f t="shared" si="603"/>
        <v>0.4374654199232767</v>
      </c>
      <c r="JC69" s="285">
        <f t="shared" si="604"/>
        <v>0.1306393894523252</v>
      </c>
      <c r="JD69" s="60">
        <f t="shared" si="605"/>
        <v>23526950</v>
      </c>
      <c r="JE69" s="60">
        <f t="shared" si="606"/>
        <v>10673114</v>
      </c>
      <c r="JF69" s="60">
        <f t="shared" si="607"/>
        <v>0</v>
      </c>
      <c r="JG69" s="60">
        <f t="shared" si="608"/>
        <v>1316094</v>
      </c>
      <c r="JH69" s="284">
        <f t="shared" si="609"/>
        <v>1</v>
      </c>
      <c r="JI69" s="284">
        <f t="shared" si="610"/>
        <v>1</v>
      </c>
      <c r="JJ69" s="560">
        <f t="shared" si="611"/>
        <v>0.69772889033241969</v>
      </c>
      <c r="JK69" s="561">
        <f t="shared" si="612"/>
        <v>0.51023335255370084</v>
      </c>
      <c r="JL69" s="561">
        <f t="shared" si="613"/>
        <v>6.9544218883914793E-2</v>
      </c>
      <c r="JM69" s="561">
        <f t="shared" si="614"/>
        <v>3.8857849426878671E-2</v>
      </c>
      <c r="JN69" s="561">
        <f t="shared" si="615"/>
        <v>0.27496269507305832</v>
      </c>
      <c r="JO69" s="561">
        <f t="shared" si="616"/>
        <v>1.125038733473261E-2</v>
      </c>
      <c r="JP69" s="561">
        <f t="shared" si="617"/>
        <v>2.0833251565714802E-2</v>
      </c>
      <c r="JQ69" s="561">
        <f t="shared" si="618"/>
        <v>0.92568175483799997</v>
      </c>
      <c r="JR69" s="61">
        <f t="shared" si="619"/>
        <v>0</v>
      </c>
      <c r="JS69" s="61">
        <f t="shared" si="620"/>
        <v>0</v>
      </c>
      <c r="JT69" s="61">
        <f t="shared" si="621"/>
        <v>0</v>
      </c>
      <c r="JU69" s="61">
        <f t="shared" si="622"/>
        <v>0</v>
      </c>
      <c r="JV69" s="61">
        <f t="shared" si="623"/>
        <v>0</v>
      </c>
      <c r="JW69" s="61">
        <f t="shared" si="624"/>
        <v>0</v>
      </c>
      <c r="JX69" s="61">
        <f t="shared" si="625"/>
        <v>0</v>
      </c>
      <c r="JY69" s="394">
        <f t="shared" si="626"/>
        <v>0</v>
      </c>
      <c r="JZ69" s="61">
        <f t="shared" si="627"/>
        <v>57857.866666666669</v>
      </c>
      <c r="KA69" s="61">
        <f t="shared" si="628"/>
        <v>7074.2777777777774</v>
      </c>
      <c r="KB69" s="61">
        <f t="shared" si="629"/>
        <v>26600.155555555557</v>
      </c>
      <c r="KC69" s="61">
        <f t="shared" si="630"/>
        <v>4129.8222222222221</v>
      </c>
      <c r="KD69" s="61">
        <f t="shared" si="631"/>
        <v>0</v>
      </c>
      <c r="KE69" s="61">
        <f t="shared" si="632"/>
        <v>12551.011111111111</v>
      </c>
      <c r="KF69" s="61">
        <f t="shared" si="633"/>
        <v>23400</v>
      </c>
      <c r="KG69" s="61">
        <f t="shared" si="634"/>
        <v>172</v>
      </c>
      <c r="KH69" s="61">
        <f t="shared" si="635"/>
        <v>83.382693641321566</v>
      </c>
      <c r="KI69" s="394">
        <f t="shared" si="636"/>
        <v>0.25648235246621515</v>
      </c>
      <c r="KJ69" s="438">
        <f t="shared" si="637"/>
        <v>90</v>
      </c>
      <c r="KK69" s="438">
        <f t="shared" si="638"/>
        <v>116801</v>
      </c>
      <c r="KL69" s="438">
        <f t="shared" si="639"/>
        <v>430</v>
      </c>
      <c r="KM69" s="438">
        <f t="shared" si="640"/>
        <v>108213.13333333333</v>
      </c>
      <c r="KN69" s="438">
        <f t="shared" si="641"/>
        <v>83.382693641321566</v>
      </c>
      <c r="KO69" s="438">
        <f t="shared" si="642"/>
        <v>22649.26046511628</v>
      </c>
      <c r="KP69" s="438">
        <f t="shared" si="643"/>
        <v>5207208</v>
      </c>
      <c r="KQ69" s="438">
        <f t="shared" si="644"/>
        <v>636685</v>
      </c>
      <c r="KR69" s="438">
        <f t="shared" si="645"/>
        <v>2394014</v>
      </c>
      <c r="KS69" s="438">
        <f t="shared" si="646"/>
        <v>371684</v>
      </c>
      <c r="KT69" s="438">
        <f t="shared" si="647"/>
        <v>0</v>
      </c>
      <c r="KU69" s="438">
        <f t="shared" si="648"/>
        <v>1129591</v>
      </c>
      <c r="KV69" s="420">
        <f t="shared" si="649"/>
        <v>0.25648235246621515</v>
      </c>
      <c r="KW69" s="420">
        <f t="shared" si="650"/>
        <v>-0.36594590459026777</v>
      </c>
      <c r="KX69" s="108"/>
      <c r="KY69" s="282">
        <f t="shared" si="651"/>
        <v>0</v>
      </c>
      <c r="KZ69" s="282"/>
      <c r="LA69" s="282">
        <f t="shared" si="652"/>
        <v>0</v>
      </c>
      <c r="LB69" s="282"/>
      <c r="LC69" s="286">
        <f t="shared" si="653"/>
        <v>0</v>
      </c>
      <c r="LD69" s="286"/>
      <c r="LE69" s="282">
        <f t="shared" si="654"/>
        <v>0</v>
      </c>
      <c r="LF69" s="282"/>
      <c r="LG69" s="282">
        <f t="shared" si="655"/>
        <v>0</v>
      </c>
      <c r="LH69" s="282">
        <f t="shared" si="656"/>
        <v>0</v>
      </c>
      <c r="LI69" s="282">
        <f t="shared" si="657"/>
        <v>0</v>
      </c>
      <c r="LJ69" s="282">
        <f t="shared" si="658"/>
        <v>0</v>
      </c>
      <c r="LK69" s="282"/>
      <c r="LL69" s="282">
        <f t="shared" si="659"/>
        <v>0</v>
      </c>
      <c r="LM69" s="282">
        <f t="shared" si="660"/>
        <v>0</v>
      </c>
      <c r="LN69" s="282">
        <f t="shared" si="661"/>
        <v>0</v>
      </c>
      <c r="LO69" s="282">
        <f t="shared" si="662"/>
        <v>0</v>
      </c>
      <c r="LP69" s="286">
        <f t="shared" si="663"/>
        <v>0</v>
      </c>
      <c r="LQ69" s="282">
        <f t="shared" si="664"/>
        <v>0</v>
      </c>
      <c r="LR69" s="282">
        <f t="shared" si="665"/>
        <v>0</v>
      </c>
      <c r="LS69" s="282">
        <f t="shared" si="666"/>
        <v>0</v>
      </c>
      <c r="LT69" s="286">
        <f t="shared" si="667"/>
        <v>0</v>
      </c>
      <c r="LU69" s="286">
        <f t="shared" si="668"/>
        <v>0</v>
      </c>
      <c r="LV69" s="286">
        <f t="shared" si="669"/>
        <v>0</v>
      </c>
      <c r="LW69" s="286">
        <f t="shared" si="670"/>
        <v>0</v>
      </c>
      <c r="LX69" s="286">
        <f t="shared" si="671"/>
        <v>0</v>
      </c>
      <c r="LY69" s="286">
        <f t="shared" si="672"/>
        <v>0</v>
      </c>
      <c r="LZ69" s="286">
        <f t="shared" si="673"/>
        <v>0</v>
      </c>
      <c r="MA69" s="286">
        <f t="shared" si="674"/>
        <v>0</v>
      </c>
      <c r="MB69" s="286">
        <f t="shared" si="675"/>
        <v>0</v>
      </c>
      <c r="MC69" s="286">
        <f t="shared" si="676"/>
        <v>0</v>
      </c>
      <c r="MD69" s="286">
        <f t="shared" si="677"/>
        <v>0</v>
      </c>
      <c r="ME69" s="286">
        <f t="shared" si="678"/>
        <v>0</v>
      </c>
      <c r="MF69" s="286">
        <f t="shared" si="679"/>
        <v>0</v>
      </c>
      <c r="MG69" s="286">
        <f t="shared" si="680"/>
        <v>0</v>
      </c>
      <c r="MH69" s="286">
        <f t="shared" si="681"/>
        <v>0</v>
      </c>
      <c r="MI69" s="286">
        <f t="shared" si="682"/>
        <v>0</v>
      </c>
      <c r="MJ69" s="286">
        <f t="shared" si="683"/>
        <v>0</v>
      </c>
      <c r="MK69" s="286">
        <f t="shared" si="684"/>
        <v>0</v>
      </c>
      <c r="ML69" s="282">
        <f t="shared" si="685"/>
        <v>0</v>
      </c>
      <c r="MM69" s="1232">
        <f t="shared" si="686"/>
        <v>0</v>
      </c>
      <c r="MN69" s="1232">
        <f t="shared" si="687"/>
        <v>0</v>
      </c>
      <c r="MO69" s="1232">
        <f t="shared" si="688"/>
        <v>0</v>
      </c>
      <c r="MP69" s="1232">
        <f t="shared" si="689"/>
        <v>0</v>
      </c>
      <c r="MQ69" s="282">
        <f t="shared" si="690"/>
        <v>0</v>
      </c>
      <c r="MR69" s="282">
        <f t="shared" si="691"/>
        <v>0</v>
      </c>
      <c r="MS69" s="282">
        <f t="shared" si="692"/>
        <v>0</v>
      </c>
      <c r="MT69" s="282">
        <f t="shared" si="693"/>
        <v>0</v>
      </c>
      <c r="MU69" s="282">
        <f t="shared" si="694"/>
        <v>0</v>
      </c>
      <c r="MV69" s="282">
        <f t="shared" si="695"/>
        <v>0</v>
      </c>
      <c r="MW69" s="282">
        <f t="shared" si="696"/>
        <v>0</v>
      </c>
      <c r="MX69" s="282">
        <f t="shared" si="697"/>
        <v>0</v>
      </c>
      <c r="MY69" s="282">
        <f t="shared" si="698"/>
        <v>0</v>
      </c>
      <c r="MZ69" s="282">
        <f t="shared" si="699"/>
        <v>0</v>
      </c>
      <c r="NA69" s="282">
        <f t="shared" si="700"/>
        <v>0</v>
      </c>
      <c r="NB69" s="282">
        <f t="shared" si="701"/>
        <v>0</v>
      </c>
      <c r="NC69" s="282">
        <f t="shared" si="702"/>
        <v>0</v>
      </c>
      <c r="ND69" s="282">
        <f t="shared" si="703"/>
        <v>0</v>
      </c>
      <c r="NE69" s="282">
        <f t="shared" si="704"/>
        <v>0</v>
      </c>
      <c r="NF69" s="282">
        <f t="shared" si="705"/>
        <v>0</v>
      </c>
      <c r="NG69" s="282">
        <f t="shared" si="706"/>
        <v>0</v>
      </c>
      <c r="NH69" s="282">
        <f t="shared" si="707"/>
        <v>0</v>
      </c>
      <c r="NI69" s="282">
        <f t="shared" si="708"/>
        <v>0</v>
      </c>
      <c r="NJ69" s="282">
        <f t="shared" si="709"/>
        <v>0</v>
      </c>
      <c r="NK69" s="282">
        <f t="shared" si="710"/>
        <v>0</v>
      </c>
      <c r="NL69" s="282">
        <f t="shared" si="711"/>
        <v>0</v>
      </c>
      <c r="NM69" s="1205">
        <f t="shared" si="712"/>
        <v>0</v>
      </c>
      <c r="NN69" s="282">
        <f t="shared" si="713"/>
        <v>0</v>
      </c>
      <c r="NO69" s="282">
        <f t="shared" si="714"/>
        <v>0</v>
      </c>
      <c r="NP69" s="282">
        <f t="shared" si="715"/>
        <v>0</v>
      </c>
      <c r="NQ69" s="282">
        <f t="shared" si="716"/>
        <v>0</v>
      </c>
      <c r="NR69" s="282">
        <f t="shared" si="717"/>
        <v>0</v>
      </c>
      <c r="NS69" s="282">
        <f t="shared" si="718"/>
        <v>0</v>
      </c>
      <c r="NT69" s="282">
        <f t="shared" si="719"/>
        <v>0</v>
      </c>
      <c r="NU69" s="282">
        <f t="shared" si="720"/>
        <v>0</v>
      </c>
      <c r="NV69" s="286">
        <f t="shared" si="721"/>
        <v>0</v>
      </c>
      <c r="NW69" s="286">
        <f t="shared" si="722"/>
        <v>0</v>
      </c>
      <c r="NX69" s="286">
        <f t="shared" si="723"/>
        <v>0</v>
      </c>
      <c r="NY69" s="286">
        <f t="shared" si="724"/>
        <v>0</v>
      </c>
      <c r="NZ69" s="286">
        <f t="shared" si="725"/>
        <v>0</v>
      </c>
      <c r="OA69" s="286">
        <f t="shared" si="726"/>
        <v>0</v>
      </c>
      <c r="OB69" s="286">
        <f t="shared" si="727"/>
        <v>0</v>
      </c>
      <c r="OC69" s="286">
        <f t="shared" si="728"/>
        <v>0</v>
      </c>
      <c r="OD69" s="286">
        <f t="shared" si="729"/>
        <v>0</v>
      </c>
      <c r="OE69" s="282">
        <f t="shared" si="730"/>
        <v>0</v>
      </c>
      <c r="OF69" s="282">
        <f t="shared" si="731"/>
        <v>0</v>
      </c>
      <c r="OG69" s="286">
        <f t="shared" si="732"/>
        <v>0</v>
      </c>
      <c r="OH69" s="286">
        <f t="shared" si="733"/>
        <v>0</v>
      </c>
      <c r="OI69" s="286">
        <f t="shared" si="734"/>
        <v>0</v>
      </c>
      <c r="OJ69" s="286">
        <f t="shared" si="735"/>
        <v>0</v>
      </c>
      <c r="OK69" s="286">
        <f t="shared" si="736"/>
        <v>0</v>
      </c>
      <c r="OL69" s="286">
        <f t="shared" si="737"/>
        <v>0</v>
      </c>
      <c r="OM69" s="286">
        <f t="shared" si="738"/>
        <v>0</v>
      </c>
      <c r="ON69" s="286">
        <f t="shared" si="739"/>
        <v>0</v>
      </c>
      <c r="OO69" s="286">
        <f t="shared" si="740"/>
        <v>0</v>
      </c>
      <c r="OP69" s="434">
        <f t="shared" si="741"/>
        <v>0</v>
      </c>
      <c r="OQ69" s="434">
        <f t="shared" si="742"/>
        <v>0</v>
      </c>
      <c r="OR69" s="282">
        <f t="shared" si="743"/>
        <v>0</v>
      </c>
      <c r="OS69" s="282">
        <f t="shared" si="744"/>
        <v>0</v>
      </c>
      <c r="OT69" s="282">
        <f t="shared" si="745"/>
        <v>0</v>
      </c>
      <c r="OU69" s="282">
        <f t="shared" si="746"/>
        <v>0</v>
      </c>
      <c r="OV69" s="282">
        <f t="shared" si="747"/>
        <v>0</v>
      </c>
      <c r="OW69" s="286">
        <f t="shared" si="748"/>
        <v>0</v>
      </c>
      <c r="OX69" s="286">
        <f t="shared" si="749"/>
        <v>0</v>
      </c>
      <c r="OY69" s="286">
        <f t="shared" si="750"/>
        <v>0</v>
      </c>
      <c r="OZ69" s="286">
        <f t="shared" si="751"/>
        <v>0</v>
      </c>
      <c r="PA69" s="286">
        <f t="shared" si="752"/>
        <v>0</v>
      </c>
      <c r="PB69" s="286">
        <f t="shared" si="753"/>
        <v>0</v>
      </c>
      <c r="PC69" s="286">
        <f t="shared" si="754"/>
        <v>0</v>
      </c>
      <c r="PD69" s="282">
        <f t="shared" si="755"/>
        <v>0</v>
      </c>
      <c r="PE69" s="282">
        <f t="shared" si="756"/>
        <v>0</v>
      </c>
      <c r="PF69" s="286">
        <f t="shared" si="757"/>
        <v>0</v>
      </c>
      <c r="PG69" s="286">
        <f t="shared" si="758"/>
        <v>0</v>
      </c>
      <c r="PH69" s="286">
        <f t="shared" si="759"/>
        <v>0</v>
      </c>
      <c r="PI69" s="286">
        <f t="shared" si="760"/>
        <v>0</v>
      </c>
      <c r="PJ69" s="286">
        <f t="shared" si="761"/>
        <v>0</v>
      </c>
      <c r="PK69" s="286">
        <f t="shared" si="762"/>
        <v>0</v>
      </c>
      <c r="PL69" s="286">
        <f t="shared" si="763"/>
        <v>0</v>
      </c>
      <c r="PM69" s="562">
        <v>13</v>
      </c>
    </row>
    <row r="70" spans="1:431" s="289" customFormat="1" ht="15.75" customHeight="1">
      <c r="A70" s="1935" t="s">
        <v>1006</v>
      </c>
      <c r="B70" s="1040" t="str">
        <f>VLOOKUP(A70,'Area (&amp;golfacre for lookup)'!$A$2:$B$162,2,FALSE)</f>
        <v>BOCA</v>
      </c>
      <c r="C70" s="1936"/>
      <c r="D70" s="1937">
        <v>44834</v>
      </c>
      <c r="E70" s="402"/>
      <c r="F70" s="1936">
        <v>1</v>
      </c>
      <c r="G70" s="1936">
        <v>1</v>
      </c>
      <c r="H70" s="1936">
        <v>350</v>
      </c>
      <c r="I70" s="1936">
        <v>1186</v>
      </c>
      <c r="J70" s="1936">
        <v>1536</v>
      </c>
      <c r="K70" s="1938">
        <v>1313.5062220493876</v>
      </c>
      <c r="L70" s="1939" t="s">
        <v>1208</v>
      </c>
      <c r="M70" s="1939" t="s">
        <v>1208</v>
      </c>
      <c r="N70" s="1939" t="s">
        <v>1208</v>
      </c>
      <c r="O70" s="1939" t="s">
        <v>1208</v>
      </c>
      <c r="P70" s="1939" t="s">
        <v>1208</v>
      </c>
      <c r="Q70" s="1936">
        <v>0</v>
      </c>
      <c r="R70" s="1936">
        <v>110000</v>
      </c>
      <c r="S70" s="1936">
        <v>110000</v>
      </c>
      <c r="T70" s="1939" t="s">
        <v>1208</v>
      </c>
      <c r="U70" s="1939" t="s">
        <v>1208</v>
      </c>
      <c r="V70" s="1939" t="s">
        <v>1208</v>
      </c>
      <c r="W70" s="1936">
        <v>24637</v>
      </c>
      <c r="X70" s="1936">
        <v>20572</v>
      </c>
      <c r="Y70" s="1939" t="s">
        <v>1208</v>
      </c>
      <c r="Z70" s="1939" t="s">
        <v>1208</v>
      </c>
      <c r="AA70" s="1936">
        <v>4065</v>
      </c>
      <c r="AB70" s="1362">
        <v>0.19759867781450516</v>
      </c>
      <c r="AC70" s="1939" t="s">
        <v>1208</v>
      </c>
      <c r="AD70" s="1363" t="s">
        <v>1208</v>
      </c>
      <c r="AE70" s="1936">
        <v>1</v>
      </c>
      <c r="AF70" s="1936">
        <v>2541</v>
      </c>
      <c r="AG70" s="1939" t="s">
        <v>1208</v>
      </c>
      <c r="AH70" s="1936">
        <v>0</v>
      </c>
      <c r="AI70" s="1936">
        <v>0</v>
      </c>
      <c r="AJ70" s="1939" t="s">
        <v>1208</v>
      </c>
      <c r="AK70" s="1938">
        <v>1</v>
      </c>
      <c r="AL70" s="1938">
        <v>2328</v>
      </c>
      <c r="AM70" s="1936">
        <v>25441</v>
      </c>
      <c r="AN70" s="1939" t="s">
        <v>1208</v>
      </c>
      <c r="AO70" s="1936">
        <v>0</v>
      </c>
      <c r="AP70" s="1936">
        <v>1990</v>
      </c>
      <c r="AQ70" s="1936">
        <v>27431</v>
      </c>
      <c r="AR70" s="1939" t="s">
        <v>1208</v>
      </c>
      <c r="AS70" s="1363" t="s">
        <v>1208</v>
      </c>
      <c r="AT70" s="1363" t="s">
        <v>1208</v>
      </c>
      <c r="AU70" s="1363" t="s">
        <v>1208</v>
      </c>
      <c r="AV70" s="1363" t="s">
        <v>1208</v>
      </c>
      <c r="AW70" s="1363" t="s">
        <v>1291</v>
      </c>
      <c r="AX70" s="1938">
        <v>1</v>
      </c>
      <c r="AY70" s="1938">
        <v>1</v>
      </c>
      <c r="AZ70" s="1938">
        <v>1</v>
      </c>
      <c r="BA70" s="1938">
        <v>0</v>
      </c>
      <c r="BB70" s="1938">
        <v>0</v>
      </c>
      <c r="BC70" s="1938">
        <v>0</v>
      </c>
      <c r="BD70" s="1938">
        <v>0</v>
      </c>
      <c r="BE70" s="1936">
        <v>0</v>
      </c>
      <c r="BF70" s="1936">
        <v>0</v>
      </c>
      <c r="BG70" s="1936">
        <v>3000000</v>
      </c>
      <c r="BH70" s="1936">
        <v>3000000</v>
      </c>
      <c r="BI70" s="1938">
        <v>85361013</v>
      </c>
      <c r="BJ70" s="1936">
        <v>27957249</v>
      </c>
      <c r="BK70" s="1936">
        <v>3617022</v>
      </c>
      <c r="BL70" s="1362">
        <v>7.7293555305994825</v>
      </c>
      <c r="BM70" s="1936">
        <v>1</v>
      </c>
      <c r="BN70" s="1936">
        <v>30186285</v>
      </c>
      <c r="BO70" s="1363" t="s">
        <v>1208</v>
      </c>
      <c r="BP70" s="1938">
        <v>15904879</v>
      </c>
      <c r="BQ70" s="1938">
        <v>17190437</v>
      </c>
      <c r="BR70" s="1940">
        <v>0.92521667715602574</v>
      </c>
      <c r="BS70" s="1409">
        <v>0</v>
      </c>
      <c r="BT70" s="1938">
        <v>48018268</v>
      </c>
      <c r="BU70" s="1938">
        <v>54862851</v>
      </c>
      <c r="BV70" s="1940">
        <v>0.87524193739038458</v>
      </c>
      <c r="BW70" s="1936">
        <v>22981.455659115258</v>
      </c>
      <c r="BX70" s="1936">
        <v>21284.443522756919</v>
      </c>
      <c r="BY70" s="1936">
        <v>2283.9632958260936</v>
      </c>
      <c r="BZ70" s="1936">
        <v>2276717</v>
      </c>
      <c r="CA70" s="1936">
        <v>783766</v>
      </c>
      <c r="CB70" s="1936">
        <v>480900</v>
      </c>
      <c r="CC70" s="1936">
        <v>2050195</v>
      </c>
      <c r="CD70" s="1936">
        <v>27021450</v>
      </c>
      <c r="CE70" s="1936">
        <v>0</v>
      </c>
      <c r="CF70" s="1936">
        <v>0</v>
      </c>
      <c r="CG70" s="1936">
        <v>3463666</v>
      </c>
      <c r="CH70" s="1936">
        <v>497752</v>
      </c>
      <c r="CI70" s="1936">
        <v>332279</v>
      </c>
      <c r="CJ70" s="1936">
        <v>36906725</v>
      </c>
      <c r="CK70" s="1366">
        <v>6.1688405026455208E-2</v>
      </c>
      <c r="CL70" s="1366">
        <v>2.1236400683073343E-2</v>
      </c>
      <c r="CM70" s="1366">
        <v>1.3030145589997487E-2</v>
      </c>
      <c r="CN70" s="1366">
        <v>5.5550716028040958E-2</v>
      </c>
      <c r="CO70" s="1366">
        <v>0.73215518310009897</v>
      </c>
      <c r="CP70" s="1366">
        <v>0</v>
      </c>
      <c r="CQ70" s="1366">
        <v>0</v>
      </c>
      <c r="CR70" s="1366">
        <v>9.3849183312797332E-2</v>
      </c>
      <c r="CS70" s="1366">
        <v>1.348675613997178E-2</v>
      </c>
      <c r="CT70" s="1366">
        <v>9.0032101195649302E-3</v>
      </c>
      <c r="CU70" s="1366">
        <v>1</v>
      </c>
      <c r="CV70" s="1936">
        <v>21254304</v>
      </c>
      <c r="CW70" s="1936">
        <v>2337784</v>
      </c>
      <c r="CX70" s="1936">
        <v>413611</v>
      </c>
      <c r="CY70" s="1936">
        <v>12156914</v>
      </c>
      <c r="CZ70" s="1936">
        <v>725711</v>
      </c>
      <c r="DA70" s="1936">
        <v>1042881</v>
      </c>
      <c r="DB70" s="1936">
        <v>37931205</v>
      </c>
      <c r="DC70" s="1366">
        <v>0.56033822284317092</v>
      </c>
      <c r="DD70" s="1366">
        <v>6.1632210207927744E-2</v>
      </c>
      <c r="DE70" s="1366">
        <v>1.0904240980480319E-2</v>
      </c>
      <c r="DF70" s="1366">
        <v>0.32049901921122725</v>
      </c>
      <c r="DG70" s="1366">
        <v>1.9132294900728833E-2</v>
      </c>
      <c r="DH70" s="1366">
        <v>2.749401185646488E-2</v>
      </c>
      <c r="DI70" s="1366">
        <v>1</v>
      </c>
      <c r="DJ70" s="1936">
        <v>-1024480</v>
      </c>
      <c r="DK70" s="1936">
        <v>1733.3126876610988</v>
      </c>
      <c r="DL70" s="1936">
        <v>596.69759217214471</v>
      </c>
      <c r="DM70" s="1936">
        <v>366.11931632092279</v>
      </c>
      <c r="DN70" s="1936">
        <v>1560.8567097620594</v>
      </c>
      <c r="DO70" s="1936">
        <v>20572</v>
      </c>
      <c r="DP70" s="1936">
        <v>0</v>
      </c>
      <c r="DQ70" s="1936">
        <v>0</v>
      </c>
      <c r="DR70" s="1936">
        <v>2636.962004333594</v>
      </c>
      <c r="DS70" s="1936">
        <v>378.94909947467659</v>
      </c>
      <c r="DT70" s="1936">
        <v>252.97101332459951</v>
      </c>
      <c r="DU70" s="1936">
        <v>28097.868423049094</v>
      </c>
      <c r="DV70" s="1936">
        <v>16181.350071443241</v>
      </c>
      <c r="DW70" s="1936">
        <v>1779.804283189836</v>
      </c>
      <c r="DX70" s="1936">
        <v>314.89078091664214</v>
      </c>
      <c r="DY70" s="1936">
        <v>9255.3151221714597</v>
      </c>
      <c r="DZ70" s="1936">
        <v>552.49909579241671</v>
      </c>
      <c r="EA70" s="1936">
        <v>793.96730863813741</v>
      </c>
      <c r="EB70" s="1936">
        <v>28877.826662151732</v>
      </c>
      <c r="EC70" s="1936">
        <v>-779.9582391026388</v>
      </c>
      <c r="ED70" s="1941">
        <v>406</v>
      </c>
      <c r="EE70" s="1936">
        <v>1</v>
      </c>
      <c r="EF70" s="1936">
        <v>120</v>
      </c>
      <c r="EG70" s="1938">
        <v>654000</v>
      </c>
      <c r="EH70" s="1938">
        <v>0</v>
      </c>
      <c r="EI70" s="1368">
        <v>0</v>
      </c>
      <c r="EJ70" s="1936">
        <v>3.2352370001216442</v>
      </c>
      <c r="EK70" s="1936">
        <v>0</v>
      </c>
      <c r="EL70" s="1936">
        <v>0</v>
      </c>
      <c r="EM70" s="1936">
        <v>0</v>
      </c>
      <c r="EN70" s="1362">
        <v>0</v>
      </c>
      <c r="EO70" s="1979">
        <v>1</v>
      </c>
      <c r="EP70" s="1979">
        <v>165.83333333333334</v>
      </c>
      <c r="EQ70" s="1936">
        <v>0</v>
      </c>
      <c r="ER70" s="1938">
        <v>0</v>
      </c>
      <c r="ES70" s="1936">
        <v>3015.9111038082706</v>
      </c>
      <c r="ET70" s="1936">
        <v>-4542.4386271203066</v>
      </c>
      <c r="EU70" s="1938">
        <v>2</v>
      </c>
      <c r="EV70" s="1936">
        <v>262364</v>
      </c>
      <c r="EW70" s="1936">
        <v>10347</v>
      </c>
      <c r="EX70" s="1938">
        <v>0</v>
      </c>
      <c r="EY70" s="1936">
        <v>3463666</v>
      </c>
      <c r="EZ70" s="1936">
        <v>2219702</v>
      </c>
      <c r="FA70" s="1936">
        <v>1243964</v>
      </c>
      <c r="FB70" s="1936">
        <v>497752</v>
      </c>
      <c r="FC70" s="1936">
        <v>118082</v>
      </c>
      <c r="FD70" s="1936">
        <v>379670</v>
      </c>
      <c r="FE70" s="1936">
        <v>3961418</v>
      </c>
      <c r="FF70" s="1936">
        <v>2337784</v>
      </c>
      <c r="FG70" s="1936">
        <v>1623634</v>
      </c>
      <c r="FH70" s="1366">
        <v>1</v>
      </c>
      <c r="FI70" s="1366">
        <v>0.64085336172714114</v>
      </c>
      <c r="FJ70" s="1366">
        <v>0.35914663827285886</v>
      </c>
      <c r="FK70" s="1366">
        <v>1</v>
      </c>
      <c r="FL70" s="1366">
        <v>0.23723058872691621</v>
      </c>
      <c r="FM70" s="1366">
        <v>0.76276941127308373</v>
      </c>
      <c r="FN70" s="1366">
        <v>1</v>
      </c>
      <c r="FO70" s="1366">
        <v>0.5901381777939112</v>
      </c>
      <c r="FP70" s="1366">
        <v>0.40986182220608885</v>
      </c>
      <c r="FQ70" s="1936">
        <v>6031327</v>
      </c>
      <c r="FR70" s="1936">
        <v>-792283.60000000009</v>
      </c>
      <c r="FS70" s="1936">
        <v>1309654</v>
      </c>
      <c r="FT70" s="1936">
        <v>281766</v>
      </c>
      <c r="FU70" s="1936">
        <v>0</v>
      </c>
      <c r="FV70" s="1936">
        <v>4446</v>
      </c>
      <c r="FW70" s="1936">
        <v>755246</v>
      </c>
      <c r="FX70" s="1936">
        <v>7590155.4000000004</v>
      </c>
      <c r="FY70" s="1936">
        <v>-5966521.4000000004</v>
      </c>
      <c r="FZ70" s="1366">
        <v>1.5225171895518221</v>
      </c>
      <c r="GA70" s="1366">
        <v>-0.2</v>
      </c>
      <c r="GB70" s="1366">
        <v>0.33060232472311685</v>
      </c>
      <c r="GC70" s="1366">
        <v>7.1127560888550517E-2</v>
      </c>
      <c r="GD70" s="1366">
        <v>0</v>
      </c>
      <c r="GE70" s="1366">
        <v>1.1223253895448549E-3</v>
      </c>
      <c r="GF70" s="1366">
        <v>0.19065041861272908</v>
      </c>
      <c r="GG70" s="1366">
        <v>1.9160198191657634</v>
      </c>
      <c r="GH70" s="1366">
        <v>-1.5061579969596746</v>
      </c>
      <c r="GI70" s="1942">
        <v>6.9586179462865045</v>
      </c>
      <c r="GJ70" s="1943">
        <v>0</v>
      </c>
      <c r="GK70" s="1371">
        <v>0</v>
      </c>
      <c r="GL70" s="1943">
        <v>1</v>
      </c>
      <c r="GM70" s="1371">
        <v>0.05</v>
      </c>
      <c r="GN70" s="1943">
        <v>0</v>
      </c>
      <c r="GO70" s="1985">
        <f>IF(GN70=0,0,VLOOKUP(A70,'Area (&amp;golfacre for lookup)'!$G$2:$H$133,2,FALSE))</f>
        <v>0</v>
      </c>
      <c r="GP70" s="1943">
        <v>0</v>
      </c>
      <c r="GQ70" s="1943">
        <v>0</v>
      </c>
      <c r="GR70" s="1943">
        <v>0</v>
      </c>
      <c r="GS70" s="1943">
        <v>0</v>
      </c>
      <c r="GT70" s="1943">
        <v>0</v>
      </c>
      <c r="GU70" s="1943">
        <v>0</v>
      </c>
      <c r="GV70" s="1943">
        <v>0</v>
      </c>
      <c r="GW70" s="1943">
        <v>0</v>
      </c>
      <c r="GX70" s="1936">
        <v>0</v>
      </c>
      <c r="GY70" s="1985">
        <f t="shared" si="764"/>
        <v>0</v>
      </c>
      <c r="GZ70" s="1936">
        <v>0</v>
      </c>
      <c r="HA70" s="1936">
        <v>0</v>
      </c>
      <c r="HB70" s="1936">
        <v>0</v>
      </c>
      <c r="HC70" s="1936">
        <v>0</v>
      </c>
      <c r="HD70" s="1936">
        <v>0</v>
      </c>
      <c r="HE70" s="1936">
        <v>0</v>
      </c>
      <c r="HF70" s="1936">
        <v>0</v>
      </c>
      <c r="HG70" s="1936">
        <v>36</v>
      </c>
      <c r="HH70" s="1988">
        <f>IF(HG70=0,0,VLOOKUP(A70,'Area (&amp;golfacre for lookup)'!$G$2:$H$134,2,FALSE))</f>
        <v>240</v>
      </c>
      <c r="HI70" s="1936">
        <v>64100</v>
      </c>
      <c r="HJ70" s="1936">
        <v>1718325</v>
      </c>
      <c r="HK70" s="1936">
        <v>292642</v>
      </c>
      <c r="HL70" s="1936">
        <v>1184149</v>
      </c>
      <c r="HM70" s="1936">
        <v>345595</v>
      </c>
      <c r="HN70" s="1936">
        <v>0</v>
      </c>
      <c r="HO70" s="1936">
        <v>493640</v>
      </c>
      <c r="HP70" s="1936">
        <v>4034351</v>
      </c>
      <c r="HQ70" s="1936">
        <v>112065.30555555556</v>
      </c>
      <c r="HR70" s="1988">
        <v>16809.795833333334</v>
      </c>
      <c r="HS70" s="1366">
        <v>0.42592352524606808</v>
      </c>
      <c r="HT70" s="1366">
        <v>7.2537565521691091E-2</v>
      </c>
      <c r="HU70" s="1366">
        <v>0.29351660279435282</v>
      </c>
      <c r="HV70" s="1366">
        <v>8.5663096740962799E-2</v>
      </c>
      <c r="HW70" s="1366">
        <v>0</v>
      </c>
      <c r="HX70" s="1366">
        <v>0.12235920969692524</v>
      </c>
      <c r="HY70" s="1366">
        <v>1</v>
      </c>
      <c r="HZ70" s="51"/>
      <c r="IA70" s="59">
        <f t="shared" si="766"/>
        <v>0</v>
      </c>
      <c r="IB70" s="59"/>
      <c r="IC70" s="815">
        <f t="shared" si="581"/>
        <v>1</v>
      </c>
      <c r="ID70" s="815"/>
      <c r="IE70" s="284">
        <f t="shared" si="582"/>
        <v>0</v>
      </c>
      <c r="IF70" s="284"/>
      <c r="IG70" s="284">
        <f t="shared" si="583"/>
        <v>64987.14019551134</v>
      </c>
      <c r="IH70" s="284"/>
      <c r="II70" s="1288">
        <f t="shared" si="584"/>
        <v>0</v>
      </c>
      <c r="IJ70" s="1288">
        <f t="shared" si="585"/>
        <v>0.92521667715602574</v>
      </c>
      <c r="IK70" s="284">
        <f t="shared" si="586"/>
        <v>0</v>
      </c>
      <c r="IL70" s="284">
        <f t="shared" si="587"/>
        <v>0</v>
      </c>
      <c r="IM70" s="284">
        <f t="shared" si="588"/>
        <v>0</v>
      </c>
      <c r="IN70" s="284">
        <f t="shared" si="589"/>
        <v>0</v>
      </c>
      <c r="IO70" s="753">
        <f t="shared" si="590"/>
        <v>-3884.4540364583336</v>
      </c>
      <c r="IP70" s="113">
        <f t="shared" si="591"/>
        <v>-4542.4386271203066</v>
      </c>
      <c r="IQ70" s="30">
        <f t="shared" si="592"/>
        <v>-0.22080685529459004</v>
      </c>
      <c r="IR70" s="438">
        <f t="shared" si="593"/>
        <v>3463666</v>
      </c>
      <c r="IS70" s="438">
        <f t="shared" si="594"/>
        <v>497752</v>
      </c>
      <c r="IT70" s="438">
        <f t="shared" si="595"/>
        <v>6031327</v>
      </c>
      <c r="IU70" s="438">
        <f t="shared" si="596"/>
        <v>1591420</v>
      </c>
      <c r="IV70" s="438">
        <f t="shared" si="597"/>
        <v>2337784</v>
      </c>
      <c r="IW70" s="438">
        <f t="shared" si="598"/>
        <v>-32591.600000000093</v>
      </c>
      <c r="IX70" s="285">
        <f t="shared" si="599"/>
        <v>0.87435004334306554</v>
      </c>
      <c r="IY70" s="285">
        <f t="shared" si="600"/>
        <v>0.12564995665693446</v>
      </c>
      <c r="IZ70" s="285">
        <f t="shared" si="601"/>
        <v>1.5225171895518221</v>
      </c>
      <c r="JA70" s="285">
        <f t="shared" si="602"/>
        <v>0.40172988561166734</v>
      </c>
      <c r="JB70" s="285">
        <f t="shared" si="603"/>
        <v>0.5901381777939112</v>
      </c>
      <c r="JC70" s="285">
        <f t="shared" si="604"/>
        <v>-8.2272559977260903E-3</v>
      </c>
      <c r="JD70" s="60">
        <f t="shared" si="605"/>
        <v>27021450</v>
      </c>
      <c r="JE70" s="60">
        <f t="shared" si="606"/>
        <v>5591578</v>
      </c>
      <c r="JF70" s="60">
        <f t="shared" si="607"/>
        <v>0</v>
      </c>
      <c r="JG70" s="60">
        <f t="shared" si="608"/>
        <v>1768592</v>
      </c>
      <c r="JH70" s="284">
        <f t="shared" si="609"/>
        <v>0</v>
      </c>
      <c r="JI70" s="284">
        <f t="shared" si="610"/>
        <v>1</v>
      </c>
      <c r="JJ70" s="560">
        <f t="shared" si="611"/>
        <v>0.86007693907257221</v>
      </c>
      <c r="JK70" s="561">
        <f t="shared" si="612"/>
        <v>0.57589244236653347</v>
      </c>
      <c r="JL70" s="561">
        <f t="shared" si="613"/>
        <v>6.3343035720454743E-2</v>
      </c>
      <c r="JM70" s="561">
        <f t="shared" si="614"/>
        <v>1.1206927734715015E-2</v>
      </c>
      <c r="JN70" s="561">
        <f t="shared" si="615"/>
        <v>0.32939563182590709</v>
      </c>
      <c r="JO70" s="561">
        <f t="shared" si="616"/>
        <v>1.9663381131758507E-2</v>
      </c>
      <c r="JP70" s="561">
        <f t="shared" si="617"/>
        <v>2.8257207866587999E-2</v>
      </c>
      <c r="JQ70" s="561">
        <f t="shared" si="618"/>
        <v>1.0277586266459569</v>
      </c>
      <c r="JR70" s="61">
        <f t="shared" si="619"/>
        <v>0</v>
      </c>
      <c r="JS70" s="61">
        <f t="shared" si="620"/>
        <v>0</v>
      </c>
      <c r="JT70" s="61">
        <f t="shared" si="621"/>
        <v>0</v>
      </c>
      <c r="JU70" s="61">
        <f t="shared" si="622"/>
        <v>0</v>
      </c>
      <c r="JV70" s="61">
        <f t="shared" si="623"/>
        <v>0</v>
      </c>
      <c r="JW70" s="61">
        <f t="shared" si="624"/>
        <v>0</v>
      </c>
      <c r="JX70" s="61">
        <f t="shared" si="625"/>
        <v>0</v>
      </c>
      <c r="JY70" s="394">
        <f t="shared" si="626"/>
        <v>0</v>
      </c>
      <c r="JZ70" s="61">
        <f t="shared" si="627"/>
        <v>47731.25</v>
      </c>
      <c r="KA70" s="61">
        <f t="shared" si="628"/>
        <v>8128.9444444444443</v>
      </c>
      <c r="KB70" s="61">
        <f t="shared" si="629"/>
        <v>32893.027777777781</v>
      </c>
      <c r="KC70" s="61">
        <f t="shared" si="630"/>
        <v>9599.8611111111113</v>
      </c>
      <c r="KD70" s="61">
        <f t="shared" si="631"/>
        <v>0</v>
      </c>
      <c r="KE70" s="61">
        <f t="shared" si="632"/>
        <v>13712.222222222223</v>
      </c>
      <c r="KF70" s="61">
        <f t="shared" si="633"/>
        <v>32100</v>
      </c>
      <c r="KG70" s="61">
        <f t="shared" si="634"/>
        <v>240</v>
      </c>
      <c r="KH70" s="61">
        <f t="shared" si="635"/>
        <v>62.938393135725427</v>
      </c>
      <c r="KI70" s="394">
        <f t="shared" si="636"/>
        <v>0.10635968459214518</v>
      </c>
      <c r="KJ70" s="438">
        <f t="shared" si="637"/>
        <v>36</v>
      </c>
      <c r="KK70" s="438">
        <f t="shared" si="638"/>
        <v>64100</v>
      </c>
      <c r="KL70" s="438">
        <f t="shared" si="639"/>
        <v>240</v>
      </c>
      <c r="KM70" s="438">
        <f t="shared" si="640"/>
        <v>112065.30555555556</v>
      </c>
      <c r="KN70" s="438">
        <f t="shared" si="641"/>
        <v>62.938393135725427</v>
      </c>
      <c r="KO70" s="438">
        <f t="shared" si="642"/>
        <v>16809.795833333334</v>
      </c>
      <c r="KP70" s="438">
        <f t="shared" si="643"/>
        <v>1718325</v>
      </c>
      <c r="KQ70" s="438">
        <f t="shared" si="644"/>
        <v>292642</v>
      </c>
      <c r="KR70" s="438">
        <f t="shared" si="645"/>
        <v>1184149</v>
      </c>
      <c r="KS70" s="438">
        <f t="shared" si="646"/>
        <v>345595</v>
      </c>
      <c r="KT70" s="438">
        <f t="shared" si="647"/>
        <v>0</v>
      </c>
      <c r="KU70" s="438">
        <f t="shared" si="648"/>
        <v>493640</v>
      </c>
      <c r="KV70" s="420">
        <f t="shared" si="649"/>
        <v>0.10635968459214518</v>
      </c>
      <c r="KW70" s="420">
        <f t="shared" si="650"/>
        <v>-0.13103334573089157</v>
      </c>
      <c r="KX70" s="108"/>
      <c r="KY70" s="282">
        <f t="shared" si="651"/>
        <v>0</v>
      </c>
      <c r="KZ70" s="282"/>
      <c r="LA70" s="282">
        <f t="shared" si="652"/>
        <v>0</v>
      </c>
      <c r="LB70" s="282"/>
      <c r="LC70" s="286">
        <f t="shared" si="653"/>
        <v>0</v>
      </c>
      <c r="LD70" s="286"/>
      <c r="LE70" s="282">
        <f t="shared" si="654"/>
        <v>0</v>
      </c>
      <c r="LF70" s="282"/>
      <c r="LG70" s="282">
        <f t="shared" si="655"/>
        <v>0</v>
      </c>
      <c r="LH70" s="282">
        <f t="shared" si="656"/>
        <v>0</v>
      </c>
      <c r="LI70" s="282">
        <f t="shared" si="657"/>
        <v>0</v>
      </c>
      <c r="LJ70" s="282">
        <f t="shared" si="658"/>
        <v>0</v>
      </c>
      <c r="LK70" s="282"/>
      <c r="LL70" s="282">
        <f t="shared" si="659"/>
        <v>0</v>
      </c>
      <c r="LM70" s="282">
        <f t="shared" si="660"/>
        <v>0</v>
      </c>
      <c r="LN70" s="282">
        <f t="shared" si="661"/>
        <v>0</v>
      </c>
      <c r="LO70" s="282">
        <f t="shared" si="662"/>
        <v>0</v>
      </c>
      <c r="LP70" s="286">
        <f t="shared" si="663"/>
        <v>0</v>
      </c>
      <c r="LQ70" s="282">
        <f t="shared" si="664"/>
        <v>0</v>
      </c>
      <c r="LR70" s="282">
        <f t="shared" si="665"/>
        <v>0</v>
      </c>
      <c r="LS70" s="282">
        <f t="shared" si="666"/>
        <v>0</v>
      </c>
      <c r="LT70" s="286">
        <f t="shared" si="667"/>
        <v>0</v>
      </c>
      <c r="LU70" s="286">
        <f t="shared" si="668"/>
        <v>0</v>
      </c>
      <c r="LV70" s="286">
        <f t="shared" si="669"/>
        <v>0</v>
      </c>
      <c r="LW70" s="286">
        <f t="shared" si="670"/>
        <v>0</v>
      </c>
      <c r="LX70" s="286">
        <f t="shared" si="671"/>
        <v>0</v>
      </c>
      <c r="LY70" s="286">
        <f t="shared" si="672"/>
        <v>0</v>
      </c>
      <c r="LZ70" s="286">
        <f t="shared" si="673"/>
        <v>0</v>
      </c>
      <c r="MA70" s="286">
        <f t="shared" si="674"/>
        <v>0</v>
      </c>
      <c r="MB70" s="286">
        <f t="shared" si="675"/>
        <v>0</v>
      </c>
      <c r="MC70" s="286">
        <f t="shared" si="676"/>
        <v>0</v>
      </c>
      <c r="MD70" s="286">
        <f t="shared" si="677"/>
        <v>0</v>
      </c>
      <c r="ME70" s="286">
        <f t="shared" si="678"/>
        <v>0</v>
      </c>
      <c r="MF70" s="286">
        <f t="shared" si="679"/>
        <v>0</v>
      </c>
      <c r="MG70" s="286">
        <f t="shared" si="680"/>
        <v>0</v>
      </c>
      <c r="MH70" s="286">
        <f t="shared" si="681"/>
        <v>0</v>
      </c>
      <c r="MI70" s="286">
        <f t="shared" si="682"/>
        <v>0</v>
      </c>
      <c r="MJ70" s="286">
        <f t="shared" si="683"/>
        <v>0</v>
      </c>
      <c r="MK70" s="286">
        <f t="shared" si="684"/>
        <v>0</v>
      </c>
      <c r="ML70" s="282">
        <f t="shared" si="685"/>
        <v>0</v>
      </c>
      <c r="MM70" s="1232">
        <f t="shared" si="686"/>
        <v>0</v>
      </c>
      <c r="MN70" s="1232">
        <f t="shared" si="687"/>
        <v>0</v>
      </c>
      <c r="MO70" s="1232">
        <f t="shared" si="688"/>
        <v>0</v>
      </c>
      <c r="MP70" s="1232">
        <f t="shared" si="689"/>
        <v>0</v>
      </c>
      <c r="MQ70" s="282">
        <f t="shared" si="690"/>
        <v>0</v>
      </c>
      <c r="MR70" s="282">
        <f t="shared" si="691"/>
        <v>0</v>
      </c>
      <c r="MS70" s="282">
        <f t="shared" si="692"/>
        <v>0</v>
      </c>
      <c r="MT70" s="282">
        <f t="shared" si="693"/>
        <v>0</v>
      </c>
      <c r="MU70" s="282">
        <f t="shared" si="694"/>
        <v>0</v>
      </c>
      <c r="MV70" s="282">
        <f t="shared" si="695"/>
        <v>0</v>
      </c>
      <c r="MW70" s="282">
        <f t="shared" si="696"/>
        <v>0</v>
      </c>
      <c r="MX70" s="282">
        <f t="shared" si="697"/>
        <v>0</v>
      </c>
      <c r="MY70" s="282">
        <f t="shared" si="698"/>
        <v>0</v>
      </c>
      <c r="MZ70" s="282">
        <f t="shared" si="699"/>
        <v>0</v>
      </c>
      <c r="NA70" s="282">
        <f t="shared" si="700"/>
        <v>0</v>
      </c>
      <c r="NB70" s="282">
        <f t="shared" si="701"/>
        <v>0</v>
      </c>
      <c r="NC70" s="282">
        <f t="shared" si="702"/>
        <v>0</v>
      </c>
      <c r="ND70" s="282">
        <f t="shared" si="703"/>
        <v>0</v>
      </c>
      <c r="NE70" s="282">
        <f t="shared" si="704"/>
        <v>0</v>
      </c>
      <c r="NF70" s="282">
        <f t="shared" si="705"/>
        <v>0</v>
      </c>
      <c r="NG70" s="282">
        <f t="shared" si="706"/>
        <v>0</v>
      </c>
      <c r="NH70" s="282">
        <f t="shared" si="707"/>
        <v>0</v>
      </c>
      <c r="NI70" s="282">
        <f t="shared" si="708"/>
        <v>0</v>
      </c>
      <c r="NJ70" s="282">
        <f t="shared" si="709"/>
        <v>0</v>
      </c>
      <c r="NK70" s="282">
        <f t="shared" si="710"/>
        <v>0</v>
      </c>
      <c r="NL70" s="282">
        <f t="shared" si="711"/>
        <v>0</v>
      </c>
      <c r="NM70" s="1205">
        <f t="shared" si="712"/>
        <v>0</v>
      </c>
      <c r="NN70" s="282">
        <f t="shared" si="713"/>
        <v>0</v>
      </c>
      <c r="NO70" s="282">
        <f t="shared" si="714"/>
        <v>0</v>
      </c>
      <c r="NP70" s="282">
        <f t="shared" si="715"/>
        <v>0</v>
      </c>
      <c r="NQ70" s="282">
        <f t="shared" si="716"/>
        <v>0</v>
      </c>
      <c r="NR70" s="282">
        <f t="shared" si="717"/>
        <v>0</v>
      </c>
      <c r="NS70" s="282">
        <f t="shared" si="718"/>
        <v>0</v>
      </c>
      <c r="NT70" s="282">
        <f t="shared" si="719"/>
        <v>0</v>
      </c>
      <c r="NU70" s="282">
        <f t="shared" si="720"/>
        <v>0</v>
      </c>
      <c r="NV70" s="286">
        <f t="shared" si="721"/>
        <v>0</v>
      </c>
      <c r="NW70" s="286">
        <f t="shared" si="722"/>
        <v>0</v>
      </c>
      <c r="NX70" s="286">
        <f t="shared" si="723"/>
        <v>0</v>
      </c>
      <c r="NY70" s="286">
        <f t="shared" si="724"/>
        <v>0</v>
      </c>
      <c r="NZ70" s="286">
        <f t="shared" si="725"/>
        <v>0</v>
      </c>
      <c r="OA70" s="286">
        <f t="shared" si="726"/>
        <v>0</v>
      </c>
      <c r="OB70" s="286">
        <f t="shared" si="727"/>
        <v>0</v>
      </c>
      <c r="OC70" s="286">
        <f t="shared" si="728"/>
        <v>0</v>
      </c>
      <c r="OD70" s="286">
        <f t="shared" si="729"/>
        <v>0</v>
      </c>
      <c r="OE70" s="282">
        <f t="shared" si="730"/>
        <v>0</v>
      </c>
      <c r="OF70" s="282">
        <f t="shared" si="731"/>
        <v>0</v>
      </c>
      <c r="OG70" s="286">
        <f t="shared" si="732"/>
        <v>0</v>
      </c>
      <c r="OH70" s="286">
        <f t="shared" si="733"/>
        <v>0</v>
      </c>
      <c r="OI70" s="286">
        <f t="shared" si="734"/>
        <v>0</v>
      </c>
      <c r="OJ70" s="286">
        <f t="shared" si="735"/>
        <v>0</v>
      </c>
      <c r="OK70" s="286">
        <f t="shared" si="736"/>
        <v>0</v>
      </c>
      <c r="OL70" s="286">
        <f t="shared" si="737"/>
        <v>0</v>
      </c>
      <c r="OM70" s="286">
        <f t="shared" si="738"/>
        <v>0</v>
      </c>
      <c r="ON70" s="286">
        <f t="shared" si="739"/>
        <v>0</v>
      </c>
      <c r="OO70" s="286">
        <f t="shared" si="740"/>
        <v>0</v>
      </c>
      <c r="OP70" s="434">
        <f t="shared" si="741"/>
        <v>0</v>
      </c>
      <c r="OQ70" s="434">
        <f t="shared" si="742"/>
        <v>0</v>
      </c>
      <c r="OR70" s="282">
        <f t="shared" si="743"/>
        <v>0</v>
      </c>
      <c r="OS70" s="282">
        <f t="shared" si="744"/>
        <v>0</v>
      </c>
      <c r="OT70" s="282">
        <f t="shared" si="745"/>
        <v>0</v>
      </c>
      <c r="OU70" s="282">
        <f t="shared" si="746"/>
        <v>0</v>
      </c>
      <c r="OV70" s="282">
        <f t="shared" si="747"/>
        <v>0</v>
      </c>
      <c r="OW70" s="286">
        <f t="shared" si="748"/>
        <v>0</v>
      </c>
      <c r="OX70" s="286">
        <f t="shared" si="749"/>
        <v>0</v>
      </c>
      <c r="OY70" s="286">
        <f t="shared" si="750"/>
        <v>0</v>
      </c>
      <c r="OZ70" s="286">
        <f t="shared" si="751"/>
        <v>0</v>
      </c>
      <c r="PA70" s="286">
        <f t="shared" si="752"/>
        <v>0</v>
      </c>
      <c r="PB70" s="286">
        <f t="shared" si="753"/>
        <v>0</v>
      </c>
      <c r="PC70" s="286">
        <f t="shared" si="754"/>
        <v>0</v>
      </c>
      <c r="PD70" s="282">
        <f t="shared" si="755"/>
        <v>0</v>
      </c>
      <c r="PE70" s="282">
        <f t="shared" si="756"/>
        <v>0</v>
      </c>
      <c r="PF70" s="286">
        <f t="shared" si="757"/>
        <v>0</v>
      </c>
      <c r="PG70" s="286">
        <f t="shared" si="758"/>
        <v>0</v>
      </c>
      <c r="PH70" s="286">
        <f t="shared" si="759"/>
        <v>0</v>
      </c>
      <c r="PI70" s="286">
        <f t="shared" si="760"/>
        <v>0</v>
      </c>
      <c r="PJ70" s="286">
        <f t="shared" si="761"/>
        <v>0</v>
      </c>
      <c r="PK70" s="286">
        <f t="shared" si="762"/>
        <v>0</v>
      </c>
      <c r="PL70" s="286">
        <f t="shared" si="763"/>
        <v>0</v>
      </c>
      <c r="PM70" s="562">
        <v>14</v>
      </c>
    </row>
    <row r="71" spans="1:431" s="289" customFormat="1" ht="15.75" customHeight="1">
      <c r="A71" s="1935" t="s">
        <v>1407</v>
      </c>
      <c r="B71" s="1040" t="str">
        <f>VLOOKUP(A71,'Area (&amp;golfacre for lookup)'!$A$2:$B$162,2,FALSE)</f>
        <v>SW CIRA</v>
      </c>
      <c r="C71" s="1936"/>
      <c r="D71" s="1937">
        <v>44926</v>
      </c>
      <c r="E71" s="402"/>
      <c r="F71" s="1936">
        <v>0</v>
      </c>
      <c r="G71" s="1936">
        <v>1</v>
      </c>
      <c r="H71" s="1936">
        <v>799</v>
      </c>
      <c r="I71" s="1936">
        <v>0</v>
      </c>
      <c r="J71" s="1936">
        <v>799</v>
      </c>
      <c r="K71" s="1938">
        <v>844.8380170508367</v>
      </c>
      <c r="L71" s="1939" t="s">
        <v>1208</v>
      </c>
      <c r="M71" s="1939" t="s">
        <v>1208</v>
      </c>
      <c r="N71" s="1939" t="s">
        <v>1208</v>
      </c>
      <c r="O71" s="1939" t="s">
        <v>1208</v>
      </c>
      <c r="P71" s="1939" t="s">
        <v>1208</v>
      </c>
      <c r="Q71" s="1936">
        <v>0</v>
      </c>
      <c r="R71" s="1936">
        <v>3500</v>
      </c>
      <c r="S71" s="1936">
        <v>3500</v>
      </c>
      <c r="T71" s="1939" t="s">
        <v>1208</v>
      </c>
      <c r="U71" s="1939" t="s">
        <v>1208</v>
      </c>
      <c r="V71" s="1939" t="s">
        <v>1208</v>
      </c>
      <c r="W71" s="1936">
        <v>6836</v>
      </c>
      <c r="X71" s="1936">
        <v>6334</v>
      </c>
      <c r="Y71" s="1939" t="s">
        <v>1208</v>
      </c>
      <c r="Z71" s="1939" t="s">
        <v>1208</v>
      </c>
      <c r="AA71" s="1936">
        <v>502</v>
      </c>
      <c r="AB71" s="1362">
        <v>7.9254815282601837E-2</v>
      </c>
      <c r="AC71" s="1939" t="s">
        <v>1208</v>
      </c>
      <c r="AD71" s="1363" t="s">
        <v>1208</v>
      </c>
      <c r="AE71" s="1936">
        <v>1</v>
      </c>
      <c r="AF71" s="1936">
        <v>925</v>
      </c>
      <c r="AG71" s="1939" t="s">
        <v>1208</v>
      </c>
      <c r="AH71" s="1936">
        <v>0</v>
      </c>
      <c r="AI71" s="1936">
        <v>0</v>
      </c>
      <c r="AJ71" s="1939" t="s">
        <v>1208</v>
      </c>
      <c r="AK71" s="1938">
        <v>0</v>
      </c>
      <c r="AL71" s="1938">
        <v>0</v>
      </c>
      <c r="AM71" s="1936">
        <v>7259</v>
      </c>
      <c r="AN71" s="1939" t="s">
        <v>1208</v>
      </c>
      <c r="AO71" s="1936">
        <v>750</v>
      </c>
      <c r="AP71" s="1936">
        <v>0</v>
      </c>
      <c r="AQ71" s="1936">
        <v>8009</v>
      </c>
      <c r="AR71" s="1939" t="s">
        <v>1208</v>
      </c>
      <c r="AS71" s="1363" t="s">
        <v>1208</v>
      </c>
      <c r="AT71" s="1363" t="s">
        <v>1208</v>
      </c>
      <c r="AU71" s="1363" t="s">
        <v>1208</v>
      </c>
      <c r="AV71" s="1363" t="s">
        <v>1208</v>
      </c>
      <c r="AW71" s="1363" t="s">
        <v>1291</v>
      </c>
      <c r="AX71" s="1938">
        <v>1</v>
      </c>
      <c r="AY71" s="1938">
        <v>0</v>
      </c>
      <c r="AZ71" s="1938">
        <v>0</v>
      </c>
      <c r="BA71" s="1938">
        <v>1</v>
      </c>
      <c r="BB71" s="1938">
        <v>0</v>
      </c>
      <c r="BC71" s="1938">
        <v>0</v>
      </c>
      <c r="BD71" s="1938">
        <v>1</v>
      </c>
      <c r="BE71" s="1936">
        <v>0</v>
      </c>
      <c r="BF71" s="1936">
        <v>0</v>
      </c>
      <c r="BG71" s="1936">
        <v>818975</v>
      </c>
      <c r="BH71" s="1936">
        <v>818975</v>
      </c>
      <c r="BI71" s="1938">
        <v>9707283</v>
      </c>
      <c r="BJ71" s="1936">
        <v>4545213</v>
      </c>
      <c r="BK71" s="1936">
        <v>722759</v>
      </c>
      <c r="BL71" s="1362">
        <v>6.2886978923818315</v>
      </c>
      <c r="BM71" s="1936">
        <v>1</v>
      </c>
      <c r="BN71" s="1936">
        <v>6715</v>
      </c>
      <c r="BO71" s="1363" t="s">
        <v>1208</v>
      </c>
      <c r="BP71" s="1938">
        <v>5013087</v>
      </c>
      <c r="BQ71" s="1938">
        <v>7328931</v>
      </c>
      <c r="BR71" s="1940">
        <v>0.68401339840694364</v>
      </c>
      <c r="BS71" s="1409">
        <v>0</v>
      </c>
      <c r="BT71" s="1938">
        <v>7328931</v>
      </c>
      <c r="BU71" s="1938">
        <v>7391440</v>
      </c>
      <c r="BV71" s="1940">
        <v>0.99154305520981023</v>
      </c>
      <c r="BW71" s="1936">
        <v>7.9482692119380989</v>
      </c>
      <c r="BX71" s="1936">
        <v>5379.9816157261057</v>
      </c>
      <c r="BY71" s="1936">
        <v>969.38701084839977</v>
      </c>
      <c r="BZ71" s="1936">
        <v>1304336</v>
      </c>
      <c r="CA71" s="1936">
        <v>0</v>
      </c>
      <c r="CB71" s="1936">
        <v>134305</v>
      </c>
      <c r="CC71" s="1936">
        <v>0</v>
      </c>
      <c r="CD71" s="1936">
        <v>5351204</v>
      </c>
      <c r="CE71" s="1936">
        <v>0</v>
      </c>
      <c r="CF71" s="1936">
        <v>0</v>
      </c>
      <c r="CG71" s="1936">
        <v>781875</v>
      </c>
      <c r="CH71" s="1936">
        <v>311926</v>
      </c>
      <c r="CI71" s="1936">
        <v>657461</v>
      </c>
      <c r="CJ71" s="1936">
        <v>8541107</v>
      </c>
      <c r="CK71" s="1366">
        <v>0.15271275725734382</v>
      </c>
      <c r="CL71" s="1366">
        <v>0</v>
      </c>
      <c r="CM71" s="1366">
        <v>1.5724542497828443E-2</v>
      </c>
      <c r="CN71" s="1366">
        <v>0</v>
      </c>
      <c r="CO71" s="1366">
        <v>0.62652347055247049</v>
      </c>
      <c r="CP71" s="1366">
        <v>0</v>
      </c>
      <c r="CQ71" s="1366">
        <v>0</v>
      </c>
      <c r="CR71" s="1366">
        <v>9.154258341453865E-2</v>
      </c>
      <c r="CS71" s="1366">
        <v>3.6520558751927591E-2</v>
      </c>
      <c r="CT71" s="1366">
        <v>7.6976087525890968E-2</v>
      </c>
      <c r="CU71" s="1366">
        <v>1</v>
      </c>
      <c r="CV71" s="1936">
        <v>3658840</v>
      </c>
      <c r="CW71" s="1936">
        <v>517833</v>
      </c>
      <c r="CX71" s="1936">
        <v>104901</v>
      </c>
      <c r="CY71" s="1936">
        <v>4142074</v>
      </c>
      <c r="CZ71" s="1936">
        <v>23651</v>
      </c>
      <c r="DA71" s="1936">
        <v>286977</v>
      </c>
      <c r="DB71" s="1936">
        <v>8734276</v>
      </c>
      <c r="DC71" s="1366">
        <v>0.41890592877990118</v>
      </c>
      <c r="DD71" s="1366">
        <v>5.9287455537242011E-2</v>
      </c>
      <c r="DE71" s="1366">
        <v>1.2010268509948621E-2</v>
      </c>
      <c r="DF71" s="1366">
        <v>0.47423209433729824</v>
      </c>
      <c r="DG71" s="1366">
        <v>2.7078374899075779E-3</v>
      </c>
      <c r="DH71" s="1366">
        <v>3.2856415345702383E-2</v>
      </c>
      <c r="DI71" s="1366">
        <v>1</v>
      </c>
      <c r="DJ71" s="1936">
        <v>-193169</v>
      </c>
      <c r="DK71" s="1936">
        <v>1543.8888564143697</v>
      </c>
      <c r="DL71" s="1936">
        <v>0</v>
      </c>
      <c r="DM71" s="1936">
        <v>158.97130253303743</v>
      </c>
      <c r="DN71" s="1936">
        <v>0</v>
      </c>
      <c r="DO71" s="1936">
        <v>6334</v>
      </c>
      <c r="DP71" s="1936">
        <v>0</v>
      </c>
      <c r="DQ71" s="1936">
        <v>0</v>
      </c>
      <c r="DR71" s="1936">
        <v>925.47326732451245</v>
      </c>
      <c r="DS71" s="1936">
        <v>369.21397203320976</v>
      </c>
      <c r="DT71" s="1936">
        <v>778.20953452718311</v>
      </c>
      <c r="DU71" s="1936">
        <v>10109.756932832313</v>
      </c>
      <c r="DV71" s="1936">
        <v>4330.8183653622627</v>
      </c>
      <c r="DW71" s="1936">
        <v>612.93761590849465</v>
      </c>
      <c r="DX71" s="1936">
        <v>124.16699755793276</v>
      </c>
      <c r="DY71" s="1936">
        <v>4902.8025685434532</v>
      </c>
      <c r="DZ71" s="1936">
        <v>27.994715581764403</v>
      </c>
      <c r="EA71" s="1936">
        <v>339.68286725753683</v>
      </c>
      <c r="EB71" s="1936">
        <v>10338.403130211445</v>
      </c>
      <c r="EC71" s="1936">
        <v>-228.64619737913188</v>
      </c>
      <c r="ED71" s="1941">
        <v>63</v>
      </c>
      <c r="EE71" s="1936">
        <v>0</v>
      </c>
      <c r="EF71" s="1936">
        <v>0</v>
      </c>
      <c r="EG71" s="1938">
        <v>0</v>
      </c>
      <c r="EH71" s="1938">
        <v>1</v>
      </c>
      <c r="EI71" s="1368">
        <v>0.23</v>
      </c>
      <c r="EJ71" s="1936">
        <v>13.410127254775185</v>
      </c>
      <c r="EK71" s="1936">
        <v>1</v>
      </c>
      <c r="EL71" s="1936">
        <v>750</v>
      </c>
      <c r="EM71" s="1936">
        <v>1</v>
      </c>
      <c r="EN71" s="1362">
        <v>0.2</v>
      </c>
      <c r="EO71" s="1936">
        <v>0</v>
      </c>
      <c r="EP71" s="1936">
        <v>0</v>
      </c>
      <c r="EQ71" s="1936">
        <v>0</v>
      </c>
      <c r="ER71" s="1938">
        <v>0</v>
      </c>
      <c r="ES71" s="1936">
        <v>1294.6872393577221</v>
      </c>
      <c r="ET71" s="1936">
        <v>-947.93674507643516</v>
      </c>
      <c r="EU71" s="1938">
        <v>1</v>
      </c>
      <c r="EV71" s="1936">
        <v>12042</v>
      </c>
      <c r="EW71" s="1936">
        <v>1000</v>
      </c>
      <c r="EX71" s="1938">
        <v>1</v>
      </c>
      <c r="EY71" s="1936">
        <v>781875</v>
      </c>
      <c r="EZ71" s="1936">
        <v>352876</v>
      </c>
      <c r="FA71" s="1936">
        <v>428999</v>
      </c>
      <c r="FB71" s="1936">
        <v>311926</v>
      </c>
      <c r="FC71" s="1936">
        <v>164957</v>
      </c>
      <c r="FD71" s="1936">
        <v>146969</v>
      </c>
      <c r="FE71" s="1936">
        <v>1093801</v>
      </c>
      <c r="FF71" s="1936">
        <v>517833</v>
      </c>
      <c r="FG71" s="1936">
        <v>575968</v>
      </c>
      <c r="FH71" s="1366">
        <v>1</v>
      </c>
      <c r="FI71" s="1366">
        <v>0.45132022382094322</v>
      </c>
      <c r="FJ71" s="1366">
        <v>0.54867977617905672</v>
      </c>
      <c r="FK71" s="1366">
        <v>1</v>
      </c>
      <c r="FL71" s="1366">
        <v>0.52883376185377307</v>
      </c>
      <c r="FM71" s="1366">
        <v>0.47116623814622699</v>
      </c>
      <c r="FN71" s="1366">
        <v>1</v>
      </c>
      <c r="FO71" s="1366">
        <v>0.47342523914313484</v>
      </c>
      <c r="FP71" s="1366">
        <v>0.52657476085686516</v>
      </c>
      <c r="FQ71" s="1936">
        <v>891882</v>
      </c>
      <c r="FR71" s="1936">
        <v>0</v>
      </c>
      <c r="FS71" s="1936">
        <v>131421</v>
      </c>
      <c r="FT71" s="1936">
        <v>596</v>
      </c>
      <c r="FU71" s="1936">
        <v>18427</v>
      </c>
      <c r="FV71" s="1936">
        <v>0</v>
      </c>
      <c r="FW71" s="1936">
        <v>334495</v>
      </c>
      <c r="FX71" s="1936">
        <v>1376821</v>
      </c>
      <c r="FY71" s="1936">
        <v>-800853</v>
      </c>
      <c r="FZ71" s="1366">
        <v>0.81539695063361617</v>
      </c>
      <c r="GA71" s="1366">
        <v>0</v>
      </c>
      <c r="GB71" s="1366">
        <v>0.12015074039976194</v>
      </c>
      <c r="GC71" s="1366">
        <v>5.4488887832430217E-4</v>
      </c>
      <c r="GD71" s="1366">
        <v>1.6846757316915966E-2</v>
      </c>
      <c r="GE71" s="1366">
        <v>0</v>
      </c>
      <c r="GF71" s="1366">
        <v>0.30580974052867022</v>
      </c>
      <c r="GG71" s="1366">
        <v>1.2587490777572885</v>
      </c>
      <c r="GH71" s="1366">
        <v>-0.73217431690042334</v>
      </c>
      <c r="GI71" s="1942">
        <v>2.5066041304668416</v>
      </c>
      <c r="GJ71" s="1943">
        <v>1</v>
      </c>
      <c r="GK71" s="1371">
        <v>7.0000000000000007E-2</v>
      </c>
      <c r="GL71" s="1943">
        <v>1</v>
      </c>
      <c r="GM71" s="1371">
        <v>7.0000000000000007E-2</v>
      </c>
      <c r="GN71" s="1943">
        <v>18</v>
      </c>
      <c r="GO71" s="1985">
        <f>IF(GN71=0,0,VLOOKUP(A71,'Area (&amp;golfacre for lookup)'!$G$2:$H$133,2,FALSE))</f>
        <v>100</v>
      </c>
      <c r="GP71" s="1943">
        <v>41972</v>
      </c>
      <c r="GQ71" s="1943">
        <v>835195</v>
      </c>
      <c r="GR71" s="1943">
        <v>179532</v>
      </c>
      <c r="GS71" s="1943">
        <v>611294</v>
      </c>
      <c r="GT71" s="1943">
        <v>181747</v>
      </c>
      <c r="GU71" s="1943">
        <v>104192</v>
      </c>
      <c r="GV71" s="1943">
        <v>206113</v>
      </c>
      <c r="GW71" s="1943">
        <v>2118073</v>
      </c>
      <c r="GX71" s="1943">
        <v>117670.72222222222</v>
      </c>
      <c r="GY71" s="1985">
        <f t="shared" si="764"/>
        <v>21180.73</v>
      </c>
      <c r="GZ71" s="1366">
        <v>0.39431832613890078</v>
      </c>
      <c r="HA71" s="1366">
        <v>8.4761951075340652E-2</v>
      </c>
      <c r="HB71" s="1366">
        <v>0.28860856070588692</v>
      </c>
      <c r="HC71" s="1366">
        <v>8.5807712954180521E-2</v>
      </c>
      <c r="HD71" s="1366">
        <v>4.9191883377012975E-2</v>
      </c>
      <c r="HE71" s="1366">
        <v>9.7311565748678164E-2</v>
      </c>
      <c r="HF71" s="1366">
        <v>1</v>
      </c>
      <c r="HG71" s="1936">
        <v>0</v>
      </c>
      <c r="HH71" s="1988">
        <f>IF(HG71=0,0,VLOOKUP(A71,'Area (&amp;golfacre for lookup)'!$G$2:$H$134,2,FALSE))</f>
        <v>0</v>
      </c>
      <c r="HI71" s="1936">
        <v>0</v>
      </c>
      <c r="HJ71" s="1936">
        <v>0</v>
      </c>
      <c r="HK71" s="1936">
        <v>0</v>
      </c>
      <c r="HL71" s="1936">
        <v>0</v>
      </c>
      <c r="HM71" s="1936">
        <v>0</v>
      </c>
      <c r="HN71" s="1936">
        <v>0</v>
      </c>
      <c r="HO71" s="1936">
        <v>0</v>
      </c>
      <c r="HP71" s="1936">
        <v>0</v>
      </c>
      <c r="HQ71" s="1936">
        <v>0</v>
      </c>
      <c r="HR71" s="1988">
        <f t="shared" si="765"/>
        <v>0</v>
      </c>
      <c r="HS71" s="1936">
        <v>0</v>
      </c>
      <c r="HT71" s="1936">
        <v>0</v>
      </c>
      <c r="HU71" s="1936">
        <v>0</v>
      </c>
      <c r="HV71" s="1936">
        <v>0</v>
      </c>
      <c r="HW71" s="1936">
        <v>0</v>
      </c>
      <c r="HX71" s="1936">
        <v>0</v>
      </c>
      <c r="HY71" s="1936">
        <v>0</v>
      </c>
      <c r="HZ71" s="51"/>
      <c r="IA71" s="59">
        <f t="shared" si="766"/>
        <v>0</v>
      </c>
      <c r="IB71" s="59"/>
      <c r="IC71" s="815">
        <f t="shared" si="581"/>
        <v>1</v>
      </c>
      <c r="ID71" s="815"/>
      <c r="IE71" s="284">
        <f t="shared" si="582"/>
        <v>0</v>
      </c>
      <c r="IF71" s="284"/>
      <c r="IG71" s="284">
        <f t="shared" si="583"/>
        <v>11490.111481827267</v>
      </c>
      <c r="IH71" s="284"/>
      <c r="II71" s="1288">
        <f t="shared" si="584"/>
        <v>0</v>
      </c>
      <c r="IJ71" s="1288">
        <f t="shared" si="585"/>
        <v>0.68401339840694364</v>
      </c>
      <c r="IK71" s="284">
        <f t="shared" si="586"/>
        <v>0</v>
      </c>
      <c r="IL71" s="284">
        <f t="shared" si="587"/>
        <v>0</v>
      </c>
      <c r="IM71" s="284">
        <f t="shared" si="588"/>
        <v>1</v>
      </c>
      <c r="IN71" s="284">
        <f t="shared" si="589"/>
        <v>0</v>
      </c>
      <c r="IO71" s="753">
        <f t="shared" si="590"/>
        <v>-1002.3191489361702</v>
      </c>
      <c r="IP71" s="113">
        <f t="shared" si="591"/>
        <v>-947.93674507643516</v>
      </c>
      <c r="IQ71" s="30">
        <f t="shared" si="592"/>
        <v>-0.14965846938371252</v>
      </c>
      <c r="IR71" s="438">
        <f t="shared" si="593"/>
        <v>781875</v>
      </c>
      <c r="IS71" s="438">
        <f t="shared" si="594"/>
        <v>311926</v>
      </c>
      <c r="IT71" s="438">
        <f t="shared" si="595"/>
        <v>891882</v>
      </c>
      <c r="IU71" s="438">
        <f t="shared" si="596"/>
        <v>132017</v>
      </c>
      <c r="IV71" s="438">
        <f t="shared" si="597"/>
        <v>517833</v>
      </c>
      <c r="IW71" s="438">
        <f t="shared" si="598"/>
        <v>352922</v>
      </c>
      <c r="IX71" s="285">
        <f t="shared" si="599"/>
        <v>0.71482381164398279</v>
      </c>
      <c r="IY71" s="285">
        <f t="shared" si="600"/>
        <v>0.28517618835601721</v>
      </c>
      <c r="IZ71" s="285">
        <f t="shared" si="601"/>
        <v>0.81539695063361617</v>
      </c>
      <c r="JA71" s="285">
        <f t="shared" si="602"/>
        <v>0.12069562927808623</v>
      </c>
      <c r="JB71" s="285">
        <f t="shared" si="603"/>
        <v>0.47342523914313484</v>
      </c>
      <c r="JC71" s="285">
        <f t="shared" si="604"/>
        <v>0.3226564978455862</v>
      </c>
      <c r="JD71" s="60">
        <f t="shared" si="605"/>
        <v>5351204</v>
      </c>
      <c r="JE71" s="60">
        <f t="shared" si="606"/>
        <v>1438641</v>
      </c>
      <c r="JF71" s="60">
        <f t="shared" si="607"/>
        <v>0</v>
      </c>
      <c r="JG71" s="60">
        <f t="shared" si="608"/>
        <v>310628</v>
      </c>
      <c r="JH71" s="284">
        <f t="shared" si="609"/>
        <v>0</v>
      </c>
      <c r="JI71" s="284">
        <f t="shared" si="610"/>
        <v>1</v>
      </c>
      <c r="JJ71" s="560">
        <f t="shared" si="611"/>
        <v>0.7810654852760508</v>
      </c>
      <c r="JK71" s="561">
        <f t="shared" si="612"/>
        <v>0.42838006829793845</v>
      </c>
      <c r="JL71" s="561">
        <f t="shared" si="613"/>
        <v>6.062832370558055E-2</v>
      </c>
      <c r="JM71" s="561">
        <f t="shared" si="614"/>
        <v>1.2281897416810256E-2</v>
      </c>
      <c r="JN71" s="561">
        <f t="shared" si="615"/>
        <v>0.48495751194780723</v>
      </c>
      <c r="JO71" s="561">
        <f t="shared" si="616"/>
        <v>2.7690789964345372E-3</v>
      </c>
      <c r="JP71" s="561">
        <f t="shared" si="617"/>
        <v>3.3599508822451232E-2</v>
      </c>
      <c r="JQ71" s="561">
        <f t="shared" si="618"/>
        <v>1.0226163891870224</v>
      </c>
      <c r="JR71" s="61">
        <f t="shared" si="619"/>
        <v>46399.722222222219</v>
      </c>
      <c r="JS71" s="61">
        <f t="shared" si="620"/>
        <v>9974</v>
      </c>
      <c r="JT71" s="61">
        <f t="shared" si="621"/>
        <v>33960.777777777781</v>
      </c>
      <c r="JU71" s="61">
        <f t="shared" si="622"/>
        <v>10097.055555555555</v>
      </c>
      <c r="JV71" s="61">
        <f t="shared" si="623"/>
        <v>5788.4444444444443</v>
      </c>
      <c r="JW71" s="61">
        <f t="shared" si="624"/>
        <v>11450.722222222223</v>
      </c>
      <c r="JX71" s="61">
        <f t="shared" si="625"/>
        <v>50.463952158581911</v>
      </c>
      <c r="JY71" s="394">
        <f t="shared" si="626"/>
        <v>0.24250126742044789</v>
      </c>
      <c r="JZ71" s="61">
        <f t="shared" si="627"/>
        <v>0</v>
      </c>
      <c r="KA71" s="61">
        <f t="shared" si="628"/>
        <v>0</v>
      </c>
      <c r="KB71" s="61">
        <f t="shared" si="629"/>
        <v>0</v>
      </c>
      <c r="KC71" s="61">
        <f t="shared" si="630"/>
        <v>0</v>
      </c>
      <c r="KD71" s="61">
        <f t="shared" si="631"/>
        <v>0</v>
      </c>
      <c r="KE71" s="61">
        <f t="shared" si="632"/>
        <v>0</v>
      </c>
      <c r="KF71" s="61">
        <f t="shared" si="633"/>
        <v>0</v>
      </c>
      <c r="KG71" s="61">
        <f t="shared" si="634"/>
        <v>0</v>
      </c>
      <c r="KH71" s="61">
        <f t="shared" si="635"/>
        <v>0</v>
      </c>
      <c r="KI71" s="394">
        <f t="shared" si="636"/>
        <v>0</v>
      </c>
      <c r="KJ71" s="438">
        <f t="shared" si="637"/>
        <v>18</v>
      </c>
      <c r="KK71" s="438">
        <f t="shared" si="638"/>
        <v>41972</v>
      </c>
      <c r="KL71" s="438">
        <f t="shared" si="639"/>
        <v>100</v>
      </c>
      <c r="KM71" s="438">
        <f t="shared" si="640"/>
        <v>117670.72222222222</v>
      </c>
      <c r="KN71" s="438">
        <f t="shared" si="641"/>
        <v>50.463952158581911</v>
      </c>
      <c r="KO71" s="438">
        <f t="shared" si="642"/>
        <v>21180.73</v>
      </c>
      <c r="KP71" s="438">
        <f t="shared" si="643"/>
        <v>835195</v>
      </c>
      <c r="KQ71" s="438">
        <f t="shared" si="644"/>
        <v>179532</v>
      </c>
      <c r="KR71" s="438">
        <f t="shared" si="645"/>
        <v>611294</v>
      </c>
      <c r="KS71" s="438">
        <f t="shared" si="646"/>
        <v>181747</v>
      </c>
      <c r="KT71" s="438">
        <f t="shared" si="647"/>
        <v>104192</v>
      </c>
      <c r="KU71" s="438">
        <f t="shared" si="648"/>
        <v>206113</v>
      </c>
      <c r="KV71" s="420">
        <f t="shared" si="649"/>
        <v>0.24250126742044789</v>
      </c>
      <c r="KW71" s="420">
        <f t="shared" si="650"/>
        <v>-0.35729529279765826</v>
      </c>
      <c r="KX71" s="108"/>
      <c r="KY71" s="282">
        <f t="shared" si="651"/>
        <v>0</v>
      </c>
      <c r="KZ71" s="282"/>
      <c r="LA71" s="282">
        <f t="shared" si="652"/>
        <v>0</v>
      </c>
      <c r="LB71" s="282"/>
      <c r="LC71" s="286">
        <f t="shared" si="653"/>
        <v>0</v>
      </c>
      <c r="LD71" s="286"/>
      <c r="LE71" s="282">
        <f t="shared" si="654"/>
        <v>0</v>
      </c>
      <c r="LF71" s="282"/>
      <c r="LG71" s="282">
        <f t="shared" si="655"/>
        <v>0</v>
      </c>
      <c r="LH71" s="282">
        <f t="shared" si="656"/>
        <v>0</v>
      </c>
      <c r="LI71" s="282">
        <f t="shared" si="657"/>
        <v>0</v>
      </c>
      <c r="LJ71" s="282">
        <f t="shared" si="658"/>
        <v>0</v>
      </c>
      <c r="LK71" s="282"/>
      <c r="LL71" s="282">
        <f t="shared" si="659"/>
        <v>0</v>
      </c>
      <c r="LM71" s="282">
        <f t="shared" si="660"/>
        <v>0</v>
      </c>
      <c r="LN71" s="282">
        <f t="shared" si="661"/>
        <v>0</v>
      </c>
      <c r="LO71" s="282">
        <f t="shared" si="662"/>
        <v>0</v>
      </c>
      <c r="LP71" s="286">
        <f t="shared" si="663"/>
        <v>0</v>
      </c>
      <c r="LQ71" s="282">
        <f t="shared" si="664"/>
        <v>0</v>
      </c>
      <c r="LR71" s="282">
        <f t="shared" si="665"/>
        <v>0</v>
      </c>
      <c r="LS71" s="282">
        <f t="shared" si="666"/>
        <v>0</v>
      </c>
      <c r="LT71" s="286">
        <f t="shared" si="667"/>
        <v>0</v>
      </c>
      <c r="LU71" s="286">
        <f t="shared" si="668"/>
        <v>0</v>
      </c>
      <c r="LV71" s="286">
        <f t="shared" si="669"/>
        <v>0</v>
      </c>
      <c r="LW71" s="286">
        <f t="shared" si="670"/>
        <v>0</v>
      </c>
      <c r="LX71" s="286">
        <f t="shared" si="671"/>
        <v>0</v>
      </c>
      <c r="LY71" s="286">
        <f t="shared" si="672"/>
        <v>0</v>
      </c>
      <c r="LZ71" s="286">
        <f t="shared" si="673"/>
        <v>0</v>
      </c>
      <c r="MA71" s="286">
        <f t="shared" si="674"/>
        <v>0</v>
      </c>
      <c r="MB71" s="286">
        <f t="shared" si="675"/>
        <v>0</v>
      </c>
      <c r="MC71" s="286">
        <f t="shared" si="676"/>
        <v>0</v>
      </c>
      <c r="MD71" s="286">
        <f t="shared" si="677"/>
        <v>0</v>
      </c>
      <c r="ME71" s="286">
        <f t="shared" si="678"/>
        <v>0</v>
      </c>
      <c r="MF71" s="286">
        <f t="shared" si="679"/>
        <v>0</v>
      </c>
      <c r="MG71" s="286">
        <f t="shared" si="680"/>
        <v>0</v>
      </c>
      <c r="MH71" s="286">
        <f t="shared" si="681"/>
        <v>0</v>
      </c>
      <c r="MI71" s="286">
        <f t="shared" si="682"/>
        <v>0</v>
      </c>
      <c r="MJ71" s="286">
        <f t="shared" si="683"/>
        <v>0</v>
      </c>
      <c r="MK71" s="286">
        <f t="shared" si="684"/>
        <v>0</v>
      </c>
      <c r="ML71" s="282">
        <f t="shared" si="685"/>
        <v>0</v>
      </c>
      <c r="MM71" s="1232">
        <f t="shared" si="686"/>
        <v>0</v>
      </c>
      <c r="MN71" s="1232">
        <f t="shared" si="687"/>
        <v>0</v>
      </c>
      <c r="MO71" s="1232">
        <f t="shared" si="688"/>
        <v>0</v>
      </c>
      <c r="MP71" s="1232">
        <f t="shared" si="689"/>
        <v>0</v>
      </c>
      <c r="MQ71" s="282">
        <f t="shared" si="690"/>
        <v>0</v>
      </c>
      <c r="MR71" s="282">
        <f t="shared" si="691"/>
        <v>0</v>
      </c>
      <c r="MS71" s="282">
        <f t="shared" si="692"/>
        <v>0</v>
      </c>
      <c r="MT71" s="282">
        <f t="shared" si="693"/>
        <v>0</v>
      </c>
      <c r="MU71" s="282">
        <f t="shared" si="694"/>
        <v>0</v>
      </c>
      <c r="MV71" s="282">
        <f t="shared" si="695"/>
        <v>0</v>
      </c>
      <c r="MW71" s="282">
        <f t="shared" si="696"/>
        <v>0</v>
      </c>
      <c r="MX71" s="282">
        <f t="shared" si="697"/>
        <v>0</v>
      </c>
      <c r="MY71" s="282">
        <f t="shared" si="698"/>
        <v>0</v>
      </c>
      <c r="MZ71" s="282">
        <f t="shared" si="699"/>
        <v>0</v>
      </c>
      <c r="NA71" s="282">
        <f t="shared" si="700"/>
        <v>0</v>
      </c>
      <c r="NB71" s="282">
        <f t="shared" si="701"/>
        <v>0</v>
      </c>
      <c r="NC71" s="282">
        <f t="shared" si="702"/>
        <v>0</v>
      </c>
      <c r="ND71" s="282">
        <f t="shared" si="703"/>
        <v>0</v>
      </c>
      <c r="NE71" s="282">
        <f t="shared" si="704"/>
        <v>0</v>
      </c>
      <c r="NF71" s="282">
        <f t="shared" si="705"/>
        <v>0</v>
      </c>
      <c r="NG71" s="282">
        <f t="shared" si="706"/>
        <v>0</v>
      </c>
      <c r="NH71" s="282">
        <f t="shared" si="707"/>
        <v>0</v>
      </c>
      <c r="NI71" s="282">
        <f t="shared" si="708"/>
        <v>0</v>
      </c>
      <c r="NJ71" s="282">
        <f t="shared" si="709"/>
        <v>0</v>
      </c>
      <c r="NK71" s="282">
        <f t="shared" si="710"/>
        <v>0</v>
      </c>
      <c r="NL71" s="282">
        <f t="shared" si="711"/>
        <v>0</v>
      </c>
      <c r="NM71" s="1205">
        <f t="shared" si="712"/>
        <v>0</v>
      </c>
      <c r="NN71" s="282">
        <f t="shared" si="713"/>
        <v>0</v>
      </c>
      <c r="NO71" s="282">
        <f t="shared" si="714"/>
        <v>0</v>
      </c>
      <c r="NP71" s="282">
        <f t="shared" si="715"/>
        <v>0</v>
      </c>
      <c r="NQ71" s="282">
        <f t="shared" si="716"/>
        <v>0</v>
      </c>
      <c r="NR71" s="282">
        <f t="shared" si="717"/>
        <v>0</v>
      </c>
      <c r="NS71" s="282">
        <f t="shared" si="718"/>
        <v>0</v>
      </c>
      <c r="NT71" s="282">
        <f t="shared" si="719"/>
        <v>0</v>
      </c>
      <c r="NU71" s="282">
        <f t="shared" si="720"/>
        <v>0</v>
      </c>
      <c r="NV71" s="286">
        <f t="shared" si="721"/>
        <v>0</v>
      </c>
      <c r="NW71" s="286">
        <f t="shared" si="722"/>
        <v>0</v>
      </c>
      <c r="NX71" s="286">
        <f t="shared" si="723"/>
        <v>0</v>
      </c>
      <c r="NY71" s="286">
        <f t="shared" si="724"/>
        <v>0</v>
      </c>
      <c r="NZ71" s="286">
        <f t="shared" si="725"/>
        <v>0</v>
      </c>
      <c r="OA71" s="286">
        <f t="shared" si="726"/>
        <v>0</v>
      </c>
      <c r="OB71" s="286">
        <f t="shared" si="727"/>
        <v>0</v>
      </c>
      <c r="OC71" s="286">
        <f t="shared" si="728"/>
        <v>0</v>
      </c>
      <c r="OD71" s="286">
        <f t="shared" si="729"/>
        <v>0</v>
      </c>
      <c r="OE71" s="282">
        <f t="shared" si="730"/>
        <v>0</v>
      </c>
      <c r="OF71" s="282">
        <f t="shared" si="731"/>
        <v>0</v>
      </c>
      <c r="OG71" s="286">
        <f t="shared" si="732"/>
        <v>0</v>
      </c>
      <c r="OH71" s="286">
        <f t="shared" si="733"/>
        <v>0</v>
      </c>
      <c r="OI71" s="286">
        <f t="shared" si="734"/>
        <v>0</v>
      </c>
      <c r="OJ71" s="286">
        <f t="shared" si="735"/>
        <v>0</v>
      </c>
      <c r="OK71" s="286">
        <f t="shared" si="736"/>
        <v>0</v>
      </c>
      <c r="OL71" s="286">
        <f t="shared" si="737"/>
        <v>0</v>
      </c>
      <c r="OM71" s="286">
        <f t="shared" si="738"/>
        <v>0</v>
      </c>
      <c r="ON71" s="286">
        <f t="shared" si="739"/>
        <v>0</v>
      </c>
      <c r="OO71" s="286">
        <f t="shared" si="740"/>
        <v>0</v>
      </c>
      <c r="OP71" s="434">
        <f t="shared" si="741"/>
        <v>0</v>
      </c>
      <c r="OQ71" s="434">
        <f t="shared" si="742"/>
        <v>0</v>
      </c>
      <c r="OR71" s="282">
        <f t="shared" si="743"/>
        <v>0</v>
      </c>
      <c r="OS71" s="282">
        <f t="shared" si="744"/>
        <v>0</v>
      </c>
      <c r="OT71" s="282">
        <f t="shared" si="745"/>
        <v>0</v>
      </c>
      <c r="OU71" s="282">
        <f t="shared" si="746"/>
        <v>0</v>
      </c>
      <c r="OV71" s="282">
        <f t="shared" si="747"/>
        <v>0</v>
      </c>
      <c r="OW71" s="286">
        <f t="shared" si="748"/>
        <v>0</v>
      </c>
      <c r="OX71" s="286">
        <f t="shared" si="749"/>
        <v>0</v>
      </c>
      <c r="OY71" s="286">
        <f t="shared" si="750"/>
        <v>0</v>
      </c>
      <c r="OZ71" s="286">
        <f t="shared" si="751"/>
        <v>0</v>
      </c>
      <c r="PA71" s="286">
        <f t="shared" si="752"/>
        <v>0</v>
      </c>
      <c r="PB71" s="286">
        <f t="shared" si="753"/>
        <v>0</v>
      </c>
      <c r="PC71" s="286">
        <f t="shared" si="754"/>
        <v>0</v>
      </c>
      <c r="PD71" s="282">
        <f t="shared" si="755"/>
        <v>0</v>
      </c>
      <c r="PE71" s="282">
        <f t="shared" si="756"/>
        <v>0</v>
      </c>
      <c r="PF71" s="286">
        <f t="shared" si="757"/>
        <v>0</v>
      </c>
      <c r="PG71" s="286">
        <f t="shared" si="758"/>
        <v>0</v>
      </c>
      <c r="PH71" s="286">
        <f t="shared" si="759"/>
        <v>0</v>
      </c>
      <c r="PI71" s="286">
        <f t="shared" si="760"/>
        <v>0</v>
      </c>
      <c r="PJ71" s="286">
        <f t="shared" si="761"/>
        <v>0</v>
      </c>
      <c r="PK71" s="286">
        <f t="shared" si="762"/>
        <v>0</v>
      </c>
      <c r="PL71" s="286">
        <f t="shared" si="763"/>
        <v>0</v>
      </c>
      <c r="PM71" s="562">
        <v>15</v>
      </c>
    </row>
    <row r="72" spans="1:431" s="289" customFormat="1" ht="15.75" customHeight="1">
      <c r="A72" s="1040" t="s">
        <v>682</v>
      </c>
      <c r="B72" s="1040" t="str">
        <f>VLOOKUP(A72,'Area (&amp;golfacre for lookup)'!$A$2:$B$162,2,FALSE)</f>
        <v>SW exc CIRA</v>
      </c>
      <c r="C72" s="1936"/>
      <c r="D72" s="1937">
        <v>44773</v>
      </c>
      <c r="E72" s="402"/>
      <c r="F72" s="1936">
        <v>1</v>
      </c>
      <c r="G72" s="1936">
        <v>0</v>
      </c>
      <c r="H72" s="1936">
        <v>490</v>
      </c>
      <c r="I72" s="1936">
        <v>437</v>
      </c>
      <c r="J72" s="1936">
        <v>927</v>
      </c>
      <c r="K72" s="1938">
        <v>611.57434447300773</v>
      </c>
      <c r="L72" s="1939" t="s">
        <v>1208</v>
      </c>
      <c r="M72" s="1939" t="s">
        <v>1208</v>
      </c>
      <c r="N72" s="1939" t="s">
        <v>1208</v>
      </c>
      <c r="O72" s="1939" t="s">
        <v>1208</v>
      </c>
      <c r="P72" s="1939" t="s">
        <v>1208</v>
      </c>
      <c r="Q72" s="1936">
        <v>0</v>
      </c>
      <c r="R72" s="1936">
        <v>200000</v>
      </c>
      <c r="S72" s="1936">
        <v>200000</v>
      </c>
      <c r="T72" s="1939" t="s">
        <v>1208</v>
      </c>
      <c r="U72" s="1939" t="s">
        <v>1208</v>
      </c>
      <c r="V72" s="1939" t="s">
        <v>1208</v>
      </c>
      <c r="W72" s="1936">
        <v>21000</v>
      </c>
      <c r="X72" s="1936">
        <v>19450</v>
      </c>
      <c r="Y72" s="1939" t="s">
        <v>1208</v>
      </c>
      <c r="Z72" s="1939" t="s">
        <v>1208</v>
      </c>
      <c r="AA72" s="1936">
        <v>1550</v>
      </c>
      <c r="AB72" s="1362">
        <v>7.9691516709511565E-2</v>
      </c>
      <c r="AC72" s="1939" t="s">
        <v>1208</v>
      </c>
      <c r="AD72" s="1363" t="s">
        <v>1208</v>
      </c>
      <c r="AE72" s="1936">
        <v>1</v>
      </c>
      <c r="AF72" s="1936">
        <v>2900</v>
      </c>
      <c r="AG72" s="1939" t="s">
        <v>1208</v>
      </c>
      <c r="AH72" s="1936">
        <v>0</v>
      </c>
      <c r="AI72" s="1936">
        <v>0</v>
      </c>
      <c r="AJ72" s="1939" t="s">
        <v>1208</v>
      </c>
      <c r="AK72" s="1938">
        <v>0</v>
      </c>
      <c r="AL72" s="1938">
        <v>0</v>
      </c>
      <c r="AM72" s="1936">
        <v>22350</v>
      </c>
      <c r="AN72" s="1939" t="s">
        <v>1208</v>
      </c>
      <c r="AO72" s="1936">
        <v>1200</v>
      </c>
      <c r="AP72" s="1936">
        <v>0</v>
      </c>
      <c r="AQ72" s="1936">
        <v>23550</v>
      </c>
      <c r="AR72" s="1939" t="s">
        <v>1208</v>
      </c>
      <c r="AS72" s="1363" t="s">
        <v>1208</v>
      </c>
      <c r="AT72" s="1363" t="s">
        <v>1208</v>
      </c>
      <c r="AU72" s="1363" t="s">
        <v>1208</v>
      </c>
      <c r="AV72" s="1363" t="s">
        <v>1208</v>
      </c>
      <c r="AW72" s="1363" t="s">
        <v>1291</v>
      </c>
      <c r="AX72" s="1938">
        <v>0</v>
      </c>
      <c r="AY72" s="1938">
        <v>0</v>
      </c>
      <c r="AZ72" s="1938">
        <v>0</v>
      </c>
      <c r="BA72" s="1938">
        <v>0</v>
      </c>
      <c r="BB72" s="1938">
        <v>0</v>
      </c>
      <c r="BC72" s="1938">
        <v>0</v>
      </c>
      <c r="BD72" s="1938">
        <v>0</v>
      </c>
      <c r="BE72" s="1936">
        <v>1</v>
      </c>
      <c r="BF72" s="1936">
        <v>13000000</v>
      </c>
      <c r="BG72" s="1936">
        <v>4051656</v>
      </c>
      <c r="BH72" s="1936">
        <v>17051656</v>
      </c>
      <c r="BI72" s="1938">
        <v>45359020</v>
      </c>
      <c r="BJ72" s="1936">
        <v>3429948</v>
      </c>
      <c r="BK72" s="1936">
        <v>4482544</v>
      </c>
      <c r="BL72" s="1362">
        <v>0.76517888056425098</v>
      </c>
      <c r="BM72" s="1936">
        <v>1</v>
      </c>
      <c r="BN72" s="1936">
        <v>30072748</v>
      </c>
      <c r="BO72" s="1363" t="s">
        <v>1208</v>
      </c>
      <c r="BP72" s="1938">
        <v>8361279</v>
      </c>
      <c r="BQ72" s="1938">
        <v>9845047</v>
      </c>
      <c r="BR72" s="1940">
        <v>0.84928787033723663</v>
      </c>
      <c r="BS72" s="1409">
        <v>0</v>
      </c>
      <c r="BT72" s="1938">
        <v>39311422</v>
      </c>
      <c r="BU72" s="1938">
        <v>25075155</v>
      </c>
      <c r="BV72" s="1940">
        <v>1.5677439282030361</v>
      </c>
      <c r="BW72" s="1936">
        <v>49172.677486845234</v>
      </c>
      <c r="BX72" s="1936">
        <v>5608.3909192684969</v>
      </c>
      <c r="BY72" s="1936">
        <v>27881.575076033274</v>
      </c>
      <c r="BZ72" s="1936">
        <v>2627636</v>
      </c>
      <c r="CA72" s="1936">
        <v>0</v>
      </c>
      <c r="CB72" s="1936">
        <v>1153809</v>
      </c>
      <c r="CC72" s="1936">
        <v>573299</v>
      </c>
      <c r="CD72" s="1936">
        <v>11895121</v>
      </c>
      <c r="CE72" s="1936">
        <v>0</v>
      </c>
      <c r="CF72" s="1936">
        <v>0</v>
      </c>
      <c r="CG72" s="1936">
        <v>2955883</v>
      </c>
      <c r="CH72" s="1936">
        <v>1710105</v>
      </c>
      <c r="CI72" s="1936">
        <v>606503</v>
      </c>
      <c r="CJ72" s="1936">
        <v>21522356</v>
      </c>
      <c r="CK72" s="1366">
        <v>0.12208867839561803</v>
      </c>
      <c r="CL72" s="1366">
        <v>0</v>
      </c>
      <c r="CM72" s="1366">
        <v>5.3609790675333127E-2</v>
      </c>
      <c r="CN72" s="1366">
        <v>2.6637371856501214E-2</v>
      </c>
      <c r="CO72" s="1366">
        <v>0.55268675046542304</v>
      </c>
      <c r="CP72" s="1366">
        <v>0</v>
      </c>
      <c r="CQ72" s="1366">
        <v>0</v>
      </c>
      <c r="CR72" s="1366">
        <v>0.1373401220572692</v>
      </c>
      <c r="CS72" s="1366">
        <v>7.9457146791921854E-2</v>
      </c>
      <c r="CT72" s="1366">
        <v>2.8180139757933563E-2</v>
      </c>
      <c r="CU72" s="1366">
        <v>1</v>
      </c>
      <c r="CV72" s="1936">
        <v>11585070</v>
      </c>
      <c r="CW72" s="1936">
        <v>1810182</v>
      </c>
      <c r="CX72" s="1936">
        <v>807166</v>
      </c>
      <c r="CY72" s="1936">
        <v>6170768</v>
      </c>
      <c r="CZ72" s="1936">
        <v>328200</v>
      </c>
      <c r="DA72" s="1936">
        <v>561437</v>
      </c>
      <c r="DB72" s="1936">
        <v>21262823</v>
      </c>
      <c r="DC72" s="1366">
        <v>0.54485098239307173</v>
      </c>
      <c r="DD72" s="1366">
        <v>8.5133662637364757E-2</v>
      </c>
      <c r="DE72" s="1366">
        <v>3.79613751193809E-2</v>
      </c>
      <c r="DF72" s="1366">
        <v>0.29021395700843672</v>
      </c>
      <c r="DG72" s="1366">
        <v>1.5435391622269536E-2</v>
      </c>
      <c r="DH72" s="1366">
        <v>2.6404631219476359E-2</v>
      </c>
      <c r="DI72" s="1366">
        <v>1</v>
      </c>
      <c r="DJ72" s="1936">
        <v>259533</v>
      </c>
      <c r="DK72" s="1936">
        <v>4296.5111662168047</v>
      </c>
      <c r="DL72" s="1936">
        <v>0</v>
      </c>
      <c r="DM72" s="1936">
        <v>1886.6209978023762</v>
      </c>
      <c r="DN72" s="1936">
        <v>937.4150586614461</v>
      </c>
      <c r="DO72" s="1936">
        <v>19450</v>
      </c>
      <c r="DP72" s="1936">
        <v>0</v>
      </c>
      <c r="DQ72" s="1936">
        <v>0</v>
      </c>
      <c r="DR72" s="1936">
        <v>4833.2357737260509</v>
      </c>
      <c r="DS72" s="1936">
        <v>2796.2340399900095</v>
      </c>
      <c r="DT72" s="1936">
        <v>991.70772201476552</v>
      </c>
      <c r="DU72" s="1936">
        <v>35191.724758411452</v>
      </c>
      <c r="DV72" s="1936">
        <v>18943.028112114203</v>
      </c>
      <c r="DW72" s="1936">
        <v>2959.8723627947961</v>
      </c>
      <c r="DX72" s="1936">
        <v>1319.816645833195</v>
      </c>
      <c r="DY72" s="1936">
        <v>10089.971980949163</v>
      </c>
      <c r="DZ72" s="1936">
        <v>536.64775667267281</v>
      </c>
      <c r="EA72" s="1936">
        <v>918.01921560949233</v>
      </c>
      <c r="EB72" s="1936">
        <v>34767.356073973519</v>
      </c>
      <c r="EC72" s="1936">
        <v>424.36868443793048</v>
      </c>
      <c r="ED72" s="1941">
        <v>217</v>
      </c>
      <c r="EE72" s="1936">
        <v>1</v>
      </c>
      <c r="EF72" s="1936">
        <v>54</v>
      </c>
      <c r="EG72" s="1938">
        <v>550000</v>
      </c>
      <c r="EH72" s="1938">
        <v>1</v>
      </c>
      <c r="EI72" s="1368">
        <v>0.02</v>
      </c>
      <c r="EJ72" s="1936">
        <v>2.8183149514885151</v>
      </c>
      <c r="EK72" s="1936">
        <v>1</v>
      </c>
      <c r="EL72" s="1936">
        <v>1200</v>
      </c>
      <c r="EM72" s="1936">
        <v>1</v>
      </c>
      <c r="EN72" s="1362">
        <v>0.23</v>
      </c>
      <c r="EO72" s="1936">
        <v>0</v>
      </c>
      <c r="EP72" s="1936">
        <v>0</v>
      </c>
      <c r="EQ72" s="1936">
        <v>0</v>
      </c>
      <c r="ER72" s="1938">
        <v>0</v>
      </c>
      <c r="ES72" s="1936">
        <v>7629.4698137160603</v>
      </c>
      <c r="ET72" s="1936">
        <v>-1708.4889342445529</v>
      </c>
      <c r="EU72" s="1938">
        <v>2</v>
      </c>
      <c r="EV72" s="1936">
        <v>93624</v>
      </c>
      <c r="EW72" s="1936">
        <v>12468</v>
      </c>
      <c r="EX72" s="1938">
        <v>1</v>
      </c>
      <c r="EY72" s="1936">
        <v>2955883</v>
      </c>
      <c r="EZ72" s="1936">
        <v>1277382</v>
      </c>
      <c r="FA72" s="1936">
        <v>1678501</v>
      </c>
      <c r="FB72" s="1936">
        <v>1710105</v>
      </c>
      <c r="FC72" s="1936">
        <v>532800</v>
      </c>
      <c r="FD72" s="1936">
        <v>1177305</v>
      </c>
      <c r="FE72" s="1936">
        <v>4665988</v>
      </c>
      <c r="FF72" s="1936">
        <v>1810182</v>
      </c>
      <c r="FG72" s="1936">
        <v>2855806</v>
      </c>
      <c r="FH72" s="1366">
        <v>1</v>
      </c>
      <c r="FI72" s="1366">
        <v>0.43214903972856844</v>
      </c>
      <c r="FJ72" s="1366">
        <v>0.56785096027143156</v>
      </c>
      <c r="FK72" s="1366">
        <v>1</v>
      </c>
      <c r="FL72" s="1366">
        <v>0.31155981650249548</v>
      </c>
      <c r="FM72" s="1366">
        <v>0.68844018349750458</v>
      </c>
      <c r="FN72" s="1366">
        <v>1</v>
      </c>
      <c r="FO72" s="1366">
        <v>0.38795256224405206</v>
      </c>
      <c r="FP72" s="1366">
        <v>0.61204743775594794</v>
      </c>
      <c r="FQ72" s="1936">
        <v>2557822</v>
      </c>
      <c r="FR72" s="1936">
        <v>0</v>
      </c>
      <c r="FS72" s="1936">
        <v>741089</v>
      </c>
      <c r="FT72" s="1936">
        <v>0</v>
      </c>
      <c r="FU72" s="1936">
        <v>0</v>
      </c>
      <c r="FV72" s="1936">
        <v>18113</v>
      </c>
      <c r="FW72" s="1936">
        <v>583650</v>
      </c>
      <c r="FX72" s="1936">
        <v>3900674</v>
      </c>
      <c r="FY72" s="1936">
        <v>-1044868</v>
      </c>
      <c r="FZ72" s="1366">
        <v>0.54818443596511612</v>
      </c>
      <c r="GA72" s="1366">
        <v>0</v>
      </c>
      <c r="GB72" s="1366">
        <v>0.15882788382653362</v>
      </c>
      <c r="GC72" s="1366">
        <v>0</v>
      </c>
      <c r="GD72" s="1366">
        <v>0</v>
      </c>
      <c r="GE72" s="1366">
        <v>3.8819216851822165E-3</v>
      </c>
      <c r="GF72" s="1366">
        <v>0.12508604822815661</v>
      </c>
      <c r="GG72" s="1366">
        <v>0.8359802897049885</v>
      </c>
      <c r="GH72" s="1366">
        <v>-0.22393285194904058</v>
      </c>
      <c r="GI72" s="1942">
        <v>1.728480414945281</v>
      </c>
      <c r="GJ72" s="1943">
        <v>1</v>
      </c>
      <c r="GK72" s="1371">
        <v>7.4999999999999997E-2</v>
      </c>
      <c r="GL72" s="1943">
        <v>1</v>
      </c>
      <c r="GM72" s="1371">
        <v>0.05</v>
      </c>
      <c r="GN72" s="1943">
        <v>0</v>
      </c>
      <c r="GO72" s="1985">
        <f>IF(GN72=0,0,VLOOKUP(A72,'Area (&amp;golfacre for lookup)'!$G$2:$H$133,2,FALSE))</f>
        <v>0</v>
      </c>
      <c r="GP72" s="1943">
        <v>0</v>
      </c>
      <c r="GQ72" s="1943">
        <v>0</v>
      </c>
      <c r="GR72" s="1943">
        <v>0</v>
      </c>
      <c r="GS72" s="1943">
        <v>0</v>
      </c>
      <c r="GT72" s="1943">
        <v>0</v>
      </c>
      <c r="GU72" s="1943">
        <v>0</v>
      </c>
      <c r="GV72" s="1943">
        <v>0</v>
      </c>
      <c r="GW72" s="1943">
        <v>0</v>
      </c>
      <c r="GX72" s="1936">
        <v>0</v>
      </c>
      <c r="GY72" s="1985">
        <f t="shared" si="764"/>
        <v>0</v>
      </c>
      <c r="GZ72" s="1936">
        <v>0</v>
      </c>
      <c r="HA72" s="1936">
        <v>0</v>
      </c>
      <c r="HB72" s="1936">
        <v>0</v>
      </c>
      <c r="HC72" s="1936">
        <v>0</v>
      </c>
      <c r="HD72" s="1936">
        <v>0</v>
      </c>
      <c r="HE72" s="1936">
        <v>0</v>
      </c>
      <c r="HF72" s="1936">
        <v>0</v>
      </c>
      <c r="HG72" s="1936">
        <v>36</v>
      </c>
      <c r="HH72" s="1988">
        <f>IF(HG72=0,0,VLOOKUP(A72,'Area (&amp;golfacre for lookup)'!$G$2:$H$134,2,FALSE))</f>
        <v>235</v>
      </c>
      <c r="HI72" s="1936">
        <v>52500</v>
      </c>
      <c r="HJ72" s="1936">
        <v>2386453</v>
      </c>
      <c r="HK72" s="1936">
        <v>486897</v>
      </c>
      <c r="HL72" s="1936">
        <v>1283737</v>
      </c>
      <c r="HM72" s="1936">
        <v>146812</v>
      </c>
      <c r="HN72" s="1936">
        <v>64723</v>
      </c>
      <c r="HO72" s="1936">
        <v>263703</v>
      </c>
      <c r="HP72" s="1936">
        <v>4632325</v>
      </c>
      <c r="HQ72" s="1936">
        <v>128675.69444444444</v>
      </c>
      <c r="HR72" s="1988">
        <f t="shared" si="765"/>
        <v>19712.021276595744</v>
      </c>
      <c r="HS72" s="1366">
        <v>0.51517391374741628</v>
      </c>
      <c r="HT72" s="1366">
        <v>0.1051085577976502</v>
      </c>
      <c r="HU72" s="1366">
        <v>0.27712584933051976</v>
      </c>
      <c r="HV72" s="1366">
        <v>3.1692940370116517E-2</v>
      </c>
      <c r="HW72" s="1366">
        <v>1.3972033482106717E-2</v>
      </c>
      <c r="HX72" s="1366">
        <v>5.6926705272190528E-2</v>
      </c>
      <c r="HY72" s="1366">
        <v>1</v>
      </c>
      <c r="HZ72" s="51"/>
      <c r="IA72" s="59">
        <f t="shared" si="766"/>
        <v>0</v>
      </c>
      <c r="IB72" s="59"/>
      <c r="IC72" s="815">
        <f t="shared" si="581"/>
        <v>1</v>
      </c>
      <c r="ID72" s="815"/>
      <c r="IE72" s="284">
        <f t="shared" si="582"/>
        <v>0</v>
      </c>
      <c r="IF72" s="284"/>
      <c r="IG72" s="284">
        <f t="shared" si="583"/>
        <v>74167.630493208097</v>
      </c>
      <c r="IH72" s="284"/>
      <c r="II72" s="1288">
        <f t="shared" si="584"/>
        <v>0</v>
      </c>
      <c r="IJ72" s="1288">
        <f t="shared" si="585"/>
        <v>0.84928787033723663</v>
      </c>
      <c r="IK72" s="284">
        <f t="shared" si="586"/>
        <v>0</v>
      </c>
      <c r="IL72" s="284">
        <f t="shared" si="587"/>
        <v>0</v>
      </c>
      <c r="IM72" s="284">
        <f t="shared" si="588"/>
        <v>1</v>
      </c>
      <c r="IN72" s="284">
        <f t="shared" si="589"/>
        <v>0</v>
      </c>
      <c r="IO72" s="753">
        <f t="shared" si="590"/>
        <v>-1127.1499460625673</v>
      </c>
      <c r="IP72" s="113">
        <f t="shared" si="591"/>
        <v>-1708.4889342445529</v>
      </c>
      <c r="IQ72" s="30">
        <f t="shared" si="592"/>
        <v>-8.7840048033138968E-2</v>
      </c>
      <c r="IR72" s="438">
        <f t="shared" si="593"/>
        <v>2955883</v>
      </c>
      <c r="IS72" s="438">
        <f t="shared" si="594"/>
        <v>1710105</v>
      </c>
      <c r="IT72" s="438">
        <f t="shared" si="595"/>
        <v>2557822</v>
      </c>
      <c r="IU72" s="438">
        <f t="shared" si="596"/>
        <v>741089</v>
      </c>
      <c r="IV72" s="438">
        <f t="shared" si="597"/>
        <v>1810182</v>
      </c>
      <c r="IW72" s="438">
        <f t="shared" si="598"/>
        <v>601763</v>
      </c>
      <c r="IX72" s="285">
        <f t="shared" si="599"/>
        <v>0.63349562836423923</v>
      </c>
      <c r="IY72" s="285">
        <f t="shared" si="600"/>
        <v>0.36650437163576072</v>
      </c>
      <c r="IZ72" s="285">
        <f t="shared" si="601"/>
        <v>0.54818443596511612</v>
      </c>
      <c r="JA72" s="285">
        <f t="shared" si="602"/>
        <v>0.15882788382653362</v>
      </c>
      <c r="JB72" s="285">
        <f t="shared" si="603"/>
        <v>0.38795256224405206</v>
      </c>
      <c r="JC72" s="285">
        <f t="shared" si="604"/>
        <v>0.12896796991333884</v>
      </c>
      <c r="JD72" s="60">
        <f t="shared" si="605"/>
        <v>11895121</v>
      </c>
      <c r="JE72" s="60">
        <f t="shared" si="606"/>
        <v>4354744</v>
      </c>
      <c r="JF72" s="60">
        <f t="shared" si="607"/>
        <v>0</v>
      </c>
      <c r="JG72" s="60">
        <f t="shared" si="608"/>
        <v>889637</v>
      </c>
      <c r="JH72" s="284">
        <f t="shared" si="609"/>
        <v>1</v>
      </c>
      <c r="JI72" s="284">
        <f t="shared" si="610"/>
        <v>1</v>
      </c>
      <c r="JJ72" s="560">
        <f t="shared" si="611"/>
        <v>0.69956639270451171</v>
      </c>
      <c r="JK72" s="561">
        <f t="shared" si="612"/>
        <v>0.53828075327812619</v>
      </c>
      <c r="JL72" s="561">
        <f t="shared" si="613"/>
        <v>8.4107055937556283E-2</v>
      </c>
      <c r="JM72" s="561">
        <f t="shared" si="614"/>
        <v>3.750360787638677E-2</v>
      </c>
      <c r="JN72" s="561">
        <f t="shared" si="615"/>
        <v>0.28671433554950954</v>
      </c>
      <c r="JO72" s="561">
        <f t="shared" si="616"/>
        <v>1.5249259885860079E-2</v>
      </c>
      <c r="JP72" s="561">
        <f t="shared" si="617"/>
        <v>2.6086224017482101E-2</v>
      </c>
      <c r="JQ72" s="561">
        <f t="shared" si="618"/>
        <v>0.98794123654492094</v>
      </c>
      <c r="JR72" s="61">
        <f t="shared" si="619"/>
        <v>0</v>
      </c>
      <c r="JS72" s="61">
        <f t="shared" si="620"/>
        <v>0</v>
      </c>
      <c r="JT72" s="61">
        <f t="shared" si="621"/>
        <v>0</v>
      </c>
      <c r="JU72" s="61">
        <f t="shared" si="622"/>
        <v>0</v>
      </c>
      <c r="JV72" s="61">
        <f t="shared" si="623"/>
        <v>0</v>
      </c>
      <c r="JW72" s="61">
        <f t="shared" si="624"/>
        <v>0</v>
      </c>
      <c r="JX72" s="61">
        <f t="shared" si="625"/>
        <v>0</v>
      </c>
      <c r="JY72" s="394">
        <f t="shared" si="626"/>
        <v>0</v>
      </c>
      <c r="JZ72" s="61">
        <f t="shared" si="627"/>
        <v>66290.361111111109</v>
      </c>
      <c r="KA72" s="61">
        <f t="shared" si="628"/>
        <v>13524.916666666666</v>
      </c>
      <c r="KB72" s="61">
        <f t="shared" si="629"/>
        <v>35659.361111111109</v>
      </c>
      <c r="KC72" s="61">
        <f t="shared" si="630"/>
        <v>4078.1111111111113</v>
      </c>
      <c r="KD72" s="61">
        <f t="shared" si="631"/>
        <v>1797.8611111111111</v>
      </c>
      <c r="KE72" s="61">
        <f t="shared" si="632"/>
        <v>7325.083333333333</v>
      </c>
      <c r="KF72" s="61">
        <f t="shared" si="633"/>
        <v>26300</v>
      </c>
      <c r="KG72" s="61">
        <f t="shared" si="634"/>
        <v>235</v>
      </c>
      <c r="KH72" s="61">
        <f t="shared" si="635"/>
        <v>88.234761904761911</v>
      </c>
      <c r="KI72" s="394">
        <f t="shared" si="636"/>
        <v>0.21786030011160795</v>
      </c>
      <c r="KJ72" s="438">
        <f t="shared" si="637"/>
        <v>36</v>
      </c>
      <c r="KK72" s="438">
        <f t="shared" si="638"/>
        <v>52500</v>
      </c>
      <c r="KL72" s="438">
        <f t="shared" si="639"/>
        <v>235</v>
      </c>
      <c r="KM72" s="438">
        <f t="shared" si="640"/>
        <v>128675.69444444444</v>
      </c>
      <c r="KN72" s="438">
        <f t="shared" si="641"/>
        <v>88.234761904761911</v>
      </c>
      <c r="KO72" s="438">
        <f t="shared" si="642"/>
        <v>19712.021276595744</v>
      </c>
      <c r="KP72" s="438">
        <f t="shared" si="643"/>
        <v>2386453</v>
      </c>
      <c r="KQ72" s="438">
        <f t="shared" si="644"/>
        <v>486897</v>
      </c>
      <c r="KR72" s="438">
        <f t="shared" si="645"/>
        <v>1283737</v>
      </c>
      <c r="KS72" s="438">
        <f t="shared" si="646"/>
        <v>146812</v>
      </c>
      <c r="KT72" s="438">
        <f t="shared" si="647"/>
        <v>64723</v>
      </c>
      <c r="KU72" s="438">
        <f t="shared" si="648"/>
        <v>263703</v>
      </c>
      <c r="KV72" s="420">
        <f t="shared" si="649"/>
        <v>0.21786030011160795</v>
      </c>
      <c r="KW72" s="420">
        <f t="shared" si="650"/>
        <v>-0.36726166972156066</v>
      </c>
      <c r="KX72" s="108"/>
      <c r="KY72" s="282">
        <f t="shared" si="651"/>
        <v>0</v>
      </c>
      <c r="KZ72" s="282"/>
      <c r="LA72" s="282">
        <f t="shared" si="652"/>
        <v>0</v>
      </c>
      <c r="LB72" s="282"/>
      <c r="LC72" s="286">
        <f t="shared" si="653"/>
        <v>0</v>
      </c>
      <c r="LD72" s="286"/>
      <c r="LE72" s="282">
        <f t="shared" si="654"/>
        <v>0</v>
      </c>
      <c r="LF72" s="282"/>
      <c r="LG72" s="282">
        <f t="shared" si="655"/>
        <v>0</v>
      </c>
      <c r="LH72" s="282">
        <f t="shared" si="656"/>
        <v>0</v>
      </c>
      <c r="LI72" s="282">
        <f t="shared" si="657"/>
        <v>0</v>
      </c>
      <c r="LJ72" s="282">
        <f t="shared" si="658"/>
        <v>0</v>
      </c>
      <c r="LK72" s="282"/>
      <c r="LL72" s="282">
        <f t="shared" si="659"/>
        <v>0</v>
      </c>
      <c r="LM72" s="282">
        <f t="shared" si="660"/>
        <v>0</v>
      </c>
      <c r="LN72" s="282">
        <f t="shared" si="661"/>
        <v>0</v>
      </c>
      <c r="LO72" s="282">
        <f t="shared" si="662"/>
        <v>0</v>
      </c>
      <c r="LP72" s="286">
        <f t="shared" si="663"/>
        <v>0</v>
      </c>
      <c r="LQ72" s="282">
        <f t="shared" si="664"/>
        <v>0</v>
      </c>
      <c r="LR72" s="282">
        <f t="shared" si="665"/>
        <v>0</v>
      </c>
      <c r="LS72" s="282">
        <f t="shared" si="666"/>
        <v>0</v>
      </c>
      <c r="LT72" s="286">
        <f t="shared" si="667"/>
        <v>0</v>
      </c>
      <c r="LU72" s="286">
        <f t="shared" si="668"/>
        <v>0</v>
      </c>
      <c r="LV72" s="286">
        <f t="shared" si="669"/>
        <v>0</v>
      </c>
      <c r="LW72" s="286">
        <f t="shared" si="670"/>
        <v>0</v>
      </c>
      <c r="LX72" s="286">
        <f t="shared" si="671"/>
        <v>0</v>
      </c>
      <c r="LY72" s="286">
        <f t="shared" si="672"/>
        <v>0</v>
      </c>
      <c r="LZ72" s="286">
        <f t="shared" si="673"/>
        <v>0</v>
      </c>
      <c r="MA72" s="286">
        <f t="shared" si="674"/>
        <v>0</v>
      </c>
      <c r="MB72" s="286">
        <f t="shared" si="675"/>
        <v>0</v>
      </c>
      <c r="MC72" s="286">
        <f t="shared" si="676"/>
        <v>0</v>
      </c>
      <c r="MD72" s="286">
        <f t="shared" si="677"/>
        <v>0</v>
      </c>
      <c r="ME72" s="286">
        <f t="shared" si="678"/>
        <v>0</v>
      </c>
      <c r="MF72" s="286">
        <f t="shared" si="679"/>
        <v>0</v>
      </c>
      <c r="MG72" s="286">
        <f t="shared" si="680"/>
        <v>0</v>
      </c>
      <c r="MH72" s="286">
        <f t="shared" si="681"/>
        <v>0</v>
      </c>
      <c r="MI72" s="286">
        <f t="shared" si="682"/>
        <v>0</v>
      </c>
      <c r="MJ72" s="286">
        <f t="shared" si="683"/>
        <v>0</v>
      </c>
      <c r="MK72" s="286">
        <f t="shared" si="684"/>
        <v>0</v>
      </c>
      <c r="ML72" s="282">
        <f t="shared" si="685"/>
        <v>0</v>
      </c>
      <c r="MM72" s="1232">
        <f t="shared" si="686"/>
        <v>0</v>
      </c>
      <c r="MN72" s="1232">
        <f t="shared" si="687"/>
        <v>0</v>
      </c>
      <c r="MO72" s="1232">
        <f t="shared" si="688"/>
        <v>0</v>
      </c>
      <c r="MP72" s="1232">
        <f t="shared" si="689"/>
        <v>0</v>
      </c>
      <c r="MQ72" s="282">
        <f t="shared" si="690"/>
        <v>0</v>
      </c>
      <c r="MR72" s="282">
        <f t="shared" si="691"/>
        <v>0</v>
      </c>
      <c r="MS72" s="282">
        <f t="shared" si="692"/>
        <v>0</v>
      </c>
      <c r="MT72" s="282">
        <f t="shared" si="693"/>
        <v>0</v>
      </c>
      <c r="MU72" s="282">
        <f t="shared" si="694"/>
        <v>0</v>
      </c>
      <c r="MV72" s="282">
        <f t="shared" si="695"/>
        <v>0</v>
      </c>
      <c r="MW72" s="282">
        <f t="shared" si="696"/>
        <v>0</v>
      </c>
      <c r="MX72" s="282">
        <f t="shared" si="697"/>
        <v>0</v>
      </c>
      <c r="MY72" s="282">
        <f t="shared" si="698"/>
        <v>0</v>
      </c>
      <c r="MZ72" s="282">
        <f t="shared" si="699"/>
        <v>0</v>
      </c>
      <c r="NA72" s="282">
        <f t="shared" si="700"/>
        <v>0</v>
      </c>
      <c r="NB72" s="282">
        <f t="shared" si="701"/>
        <v>0</v>
      </c>
      <c r="NC72" s="282">
        <f t="shared" si="702"/>
        <v>0</v>
      </c>
      <c r="ND72" s="282">
        <f t="shared" si="703"/>
        <v>0</v>
      </c>
      <c r="NE72" s="282">
        <f t="shared" si="704"/>
        <v>0</v>
      </c>
      <c r="NF72" s="282">
        <f t="shared" si="705"/>
        <v>0</v>
      </c>
      <c r="NG72" s="282">
        <f t="shared" si="706"/>
        <v>0</v>
      </c>
      <c r="NH72" s="282">
        <f t="shared" si="707"/>
        <v>0</v>
      </c>
      <c r="NI72" s="282">
        <f t="shared" si="708"/>
        <v>0</v>
      </c>
      <c r="NJ72" s="282">
        <f t="shared" si="709"/>
        <v>0</v>
      </c>
      <c r="NK72" s="282">
        <f t="shared" si="710"/>
        <v>0</v>
      </c>
      <c r="NL72" s="282">
        <f t="shared" si="711"/>
        <v>0</v>
      </c>
      <c r="NM72" s="1205">
        <f t="shared" si="712"/>
        <v>0</v>
      </c>
      <c r="NN72" s="282">
        <f t="shared" si="713"/>
        <v>0</v>
      </c>
      <c r="NO72" s="282">
        <f t="shared" si="714"/>
        <v>0</v>
      </c>
      <c r="NP72" s="282">
        <f t="shared" si="715"/>
        <v>0</v>
      </c>
      <c r="NQ72" s="282">
        <f t="shared" si="716"/>
        <v>0</v>
      </c>
      <c r="NR72" s="282">
        <f t="shared" si="717"/>
        <v>0</v>
      </c>
      <c r="NS72" s="282">
        <f t="shared" si="718"/>
        <v>0</v>
      </c>
      <c r="NT72" s="282">
        <f t="shared" si="719"/>
        <v>0</v>
      </c>
      <c r="NU72" s="282">
        <f t="shared" si="720"/>
        <v>0</v>
      </c>
      <c r="NV72" s="286">
        <f t="shared" si="721"/>
        <v>0</v>
      </c>
      <c r="NW72" s="286">
        <f t="shared" si="722"/>
        <v>0</v>
      </c>
      <c r="NX72" s="286">
        <f t="shared" si="723"/>
        <v>0</v>
      </c>
      <c r="NY72" s="286">
        <f t="shared" si="724"/>
        <v>0</v>
      </c>
      <c r="NZ72" s="286">
        <f t="shared" si="725"/>
        <v>0</v>
      </c>
      <c r="OA72" s="286">
        <f t="shared" si="726"/>
        <v>0</v>
      </c>
      <c r="OB72" s="286">
        <f t="shared" si="727"/>
        <v>0</v>
      </c>
      <c r="OC72" s="286">
        <f t="shared" si="728"/>
        <v>0</v>
      </c>
      <c r="OD72" s="286">
        <f t="shared" si="729"/>
        <v>0</v>
      </c>
      <c r="OE72" s="282">
        <f t="shared" si="730"/>
        <v>0</v>
      </c>
      <c r="OF72" s="282">
        <f t="shared" si="731"/>
        <v>0</v>
      </c>
      <c r="OG72" s="286">
        <f t="shared" si="732"/>
        <v>0</v>
      </c>
      <c r="OH72" s="286">
        <f t="shared" si="733"/>
        <v>0</v>
      </c>
      <c r="OI72" s="286">
        <f t="shared" si="734"/>
        <v>0</v>
      </c>
      <c r="OJ72" s="286">
        <f t="shared" si="735"/>
        <v>0</v>
      </c>
      <c r="OK72" s="286">
        <f t="shared" si="736"/>
        <v>0</v>
      </c>
      <c r="OL72" s="286">
        <f t="shared" si="737"/>
        <v>0</v>
      </c>
      <c r="OM72" s="286">
        <f t="shared" si="738"/>
        <v>0</v>
      </c>
      <c r="ON72" s="286">
        <f t="shared" si="739"/>
        <v>0</v>
      </c>
      <c r="OO72" s="286">
        <f t="shared" si="740"/>
        <v>0</v>
      </c>
      <c r="OP72" s="434">
        <f t="shared" si="741"/>
        <v>0</v>
      </c>
      <c r="OQ72" s="434">
        <f t="shared" si="742"/>
        <v>0</v>
      </c>
      <c r="OR72" s="282">
        <f t="shared" si="743"/>
        <v>0</v>
      </c>
      <c r="OS72" s="282">
        <f t="shared" si="744"/>
        <v>0</v>
      </c>
      <c r="OT72" s="282">
        <f t="shared" si="745"/>
        <v>0</v>
      </c>
      <c r="OU72" s="282">
        <f t="shared" si="746"/>
        <v>0</v>
      </c>
      <c r="OV72" s="282">
        <f t="shared" si="747"/>
        <v>0</v>
      </c>
      <c r="OW72" s="286">
        <f t="shared" si="748"/>
        <v>0</v>
      </c>
      <c r="OX72" s="286">
        <f t="shared" si="749"/>
        <v>0</v>
      </c>
      <c r="OY72" s="286">
        <f t="shared" si="750"/>
        <v>0</v>
      </c>
      <c r="OZ72" s="286">
        <f t="shared" si="751"/>
        <v>0</v>
      </c>
      <c r="PA72" s="286">
        <f t="shared" si="752"/>
        <v>0</v>
      </c>
      <c r="PB72" s="286">
        <f t="shared" si="753"/>
        <v>0</v>
      </c>
      <c r="PC72" s="286">
        <f t="shared" si="754"/>
        <v>0</v>
      </c>
      <c r="PD72" s="282">
        <f t="shared" si="755"/>
        <v>0</v>
      </c>
      <c r="PE72" s="282">
        <f t="shared" si="756"/>
        <v>0</v>
      </c>
      <c r="PF72" s="286">
        <f t="shared" si="757"/>
        <v>0</v>
      </c>
      <c r="PG72" s="286">
        <f t="shared" si="758"/>
        <v>0</v>
      </c>
      <c r="PH72" s="286">
        <f t="shared" si="759"/>
        <v>0</v>
      </c>
      <c r="PI72" s="286">
        <f t="shared" si="760"/>
        <v>0</v>
      </c>
      <c r="PJ72" s="286">
        <f t="shared" si="761"/>
        <v>0</v>
      </c>
      <c r="PK72" s="286">
        <f t="shared" si="762"/>
        <v>0</v>
      </c>
      <c r="PL72" s="286">
        <f t="shared" si="763"/>
        <v>0</v>
      </c>
      <c r="PM72" s="562">
        <v>16</v>
      </c>
    </row>
    <row r="73" spans="1:431" s="289" customFormat="1" ht="15.75" customHeight="1">
      <c r="A73" s="1935" t="s">
        <v>1303</v>
      </c>
      <c r="B73" s="1040" t="str">
        <f>VLOOKUP(A73,'Area (&amp;golfacre for lookup)'!$A$2:$B$162,2,FALSE)</f>
        <v>SW exc CIRA</v>
      </c>
      <c r="C73" s="1936"/>
      <c r="D73" s="1937">
        <v>44865</v>
      </c>
      <c r="E73" s="402"/>
      <c r="F73" s="1936">
        <v>1</v>
      </c>
      <c r="G73" s="1936">
        <v>1</v>
      </c>
      <c r="H73" s="1936">
        <v>298</v>
      </c>
      <c r="I73" s="1936">
        <v>64</v>
      </c>
      <c r="J73" s="1936">
        <v>362</v>
      </c>
      <c r="K73" s="1938">
        <v>338.83502152443657</v>
      </c>
      <c r="L73" s="1939" t="s">
        <v>1208</v>
      </c>
      <c r="M73" s="1939" t="s">
        <v>1208</v>
      </c>
      <c r="N73" s="1939" t="s">
        <v>1208</v>
      </c>
      <c r="O73" s="1939" t="s">
        <v>1208</v>
      </c>
      <c r="P73" s="1939" t="s">
        <v>1208</v>
      </c>
      <c r="Q73" s="1936">
        <v>0</v>
      </c>
      <c r="R73" s="1936">
        <v>125000</v>
      </c>
      <c r="S73" s="1936">
        <v>125000</v>
      </c>
      <c r="T73" s="1939" t="s">
        <v>1208</v>
      </c>
      <c r="U73" s="1939" t="s">
        <v>1208</v>
      </c>
      <c r="V73" s="1939" t="s">
        <v>1208</v>
      </c>
      <c r="W73" s="1936">
        <v>17376</v>
      </c>
      <c r="X73" s="1936">
        <v>15796</v>
      </c>
      <c r="Y73" s="1939" t="s">
        <v>1208</v>
      </c>
      <c r="Z73" s="1939" t="s">
        <v>1208</v>
      </c>
      <c r="AA73" s="1936">
        <v>1580</v>
      </c>
      <c r="AB73" s="1362">
        <v>0.1000253228665485</v>
      </c>
      <c r="AC73" s="1939" t="s">
        <v>1208</v>
      </c>
      <c r="AD73" s="1363" t="s">
        <v>1208</v>
      </c>
      <c r="AE73" s="1936">
        <v>1</v>
      </c>
      <c r="AF73" s="1936">
        <v>3900</v>
      </c>
      <c r="AG73" s="1939" t="s">
        <v>1208</v>
      </c>
      <c r="AH73" s="1936">
        <v>0</v>
      </c>
      <c r="AI73" s="1936">
        <v>0</v>
      </c>
      <c r="AJ73" s="1939" t="s">
        <v>1208</v>
      </c>
      <c r="AK73" s="1938">
        <v>0</v>
      </c>
      <c r="AL73" s="1938">
        <v>0</v>
      </c>
      <c r="AM73" s="1936">
        <v>19696</v>
      </c>
      <c r="AN73" s="1939" t="s">
        <v>1208</v>
      </c>
      <c r="AO73" s="1936">
        <v>1500</v>
      </c>
      <c r="AP73" s="1936">
        <v>0</v>
      </c>
      <c r="AQ73" s="1936">
        <v>21196</v>
      </c>
      <c r="AR73" s="1939" t="s">
        <v>1208</v>
      </c>
      <c r="AS73" s="1363" t="s">
        <v>1208</v>
      </c>
      <c r="AT73" s="1363" t="s">
        <v>1208</v>
      </c>
      <c r="AU73" s="1363" t="s">
        <v>1208</v>
      </c>
      <c r="AV73" s="1363" t="s">
        <v>1208</v>
      </c>
      <c r="AW73" s="1363" t="s">
        <v>1291</v>
      </c>
      <c r="AX73" s="1938">
        <v>0</v>
      </c>
      <c r="AY73" s="1938">
        <v>0</v>
      </c>
      <c r="AZ73" s="1938">
        <v>0</v>
      </c>
      <c r="BA73" s="1938">
        <v>0</v>
      </c>
      <c r="BB73" s="1938">
        <v>0</v>
      </c>
      <c r="BC73" s="1938">
        <v>0</v>
      </c>
      <c r="BD73" s="1938">
        <v>0</v>
      </c>
      <c r="BE73" s="1936">
        <v>0</v>
      </c>
      <c r="BF73" s="1936">
        <v>0</v>
      </c>
      <c r="BG73" s="1936">
        <v>1000000</v>
      </c>
      <c r="BH73" s="1936">
        <v>1000000</v>
      </c>
      <c r="BI73" s="1938">
        <v>22172290</v>
      </c>
      <c r="BJ73" s="1936">
        <v>2092682</v>
      </c>
      <c r="BK73" s="1936">
        <v>2243338</v>
      </c>
      <c r="BL73" s="1362">
        <v>0.93284293316477496</v>
      </c>
      <c r="BM73" s="1936">
        <v>1</v>
      </c>
      <c r="BN73" s="1936">
        <v>7914035</v>
      </c>
      <c r="BO73" s="1363" t="s">
        <v>1208</v>
      </c>
      <c r="BP73" s="1938">
        <v>2321015</v>
      </c>
      <c r="BQ73" s="1938">
        <v>3486213</v>
      </c>
      <c r="BR73" s="1940">
        <v>0.66576970483444353</v>
      </c>
      <c r="BS73" s="1409">
        <v>0</v>
      </c>
      <c r="BT73" s="1938">
        <v>10556102</v>
      </c>
      <c r="BU73" s="1938">
        <v>16850753</v>
      </c>
      <c r="BV73" s="1940">
        <v>0.62644690121563118</v>
      </c>
      <c r="BW73" s="1936">
        <v>23356.602763180559</v>
      </c>
      <c r="BX73" s="1936">
        <v>6176.108923407367</v>
      </c>
      <c r="BY73" s="1936">
        <v>2951.2887879799068</v>
      </c>
      <c r="BZ73" s="1936">
        <v>1003189</v>
      </c>
      <c r="CA73" s="1936">
        <v>430169</v>
      </c>
      <c r="CB73" s="1936">
        <v>590478</v>
      </c>
      <c r="CC73" s="1936">
        <v>38850</v>
      </c>
      <c r="CD73" s="1936">
        <v>5352238</v>
      </c>
      <c r="CE73" s="1936">
        <v>0</v>
      </c>
      <c r="CF73" s="1936">
        <v>0</v>
      </c>
      <c r="CG73" s="1936">
        <v>1593701</v>
      </c>
      <c r="CH73" s="1936">
        <v>751526</v>
      </c>
      <c r="CI73" s="1936">
        <v>85621</v>
      </c>
      <c r="CJ73" s="1936">
        <v>9845772</v>
      </c>
      <c r="CK73" s="1366">
        <v>0.10189033424702501</v>
      </c>
      <c r="CL73" s="1366">
        <v>4.3690733443756367E-2</v>
      </c>
      <c r="CM73" s="1366">
        <v>5.9972747693121477E-2</v>
      </c>
      <c r="CN73" s="1366">
        <v>3.9458561502338264E-3</v>
      </c>
      <c r="CO73" s="1366">
        <v>0.5436077536631968</v>
      </c>
      <c r="CP73" s="1366">
        <v>0</v>
      </c>
      <c r="CQ73" s="1366">
        <v>0</v>
      </c>
      <c r="CR73" s="1366">
        <v>0.16186653519906818</v>
      </c>
      <c r="CS73" s="1366">
        <v>7.6329819540814067E-2</v>
      </c>
      <c r="CT73" s="1366">
        <v>8.69622006278431E-3</v>
      </c>
      <c r="CU73" s="1366">
        <v>1</v>
      </c>
      <c r="CV73" s="1936">
        <v>5430854</v>
      </c>
      <c r="CW73" s="1936">
        <v>1102228</v>
      </c>
      <c r="CX73" s="1936">
        <v>372061</v>
      </c>
      <c r="CY73" s="1936">
        <v>3028821</v>
      </c>
      <c r="CZ73" s="1936">
        <v>107675</v>
      </c>
      <c r="DA73" s="1936">
        <v>269824</v>
      </c>
      <c r="DB73" s="1936">
        <v>10311463</v>
      </c>
      <c r="DC73" s="1366">
        <v>0.52668122845419707</v>
      </c>
      <c r="DD73" s="1366">
        <v>0.1068934640991293</v>
      </c>
      <c r="DE73" s="1366">
        <v>3.6082270769918878E-2</v>
      </c>
      <c r="DF73" s="1366">
        <v>0.29373339166323925</v>
      </c>
      <c r="DG73" s="1366">
        <v>1.0442262169781339E-2</v>
      </c>
      <c r="DH73" s="1366">
        <v>2.61673828437342E-2</v>
      </c>
      <c r="DI73" s="1366">
        <v>1</v>
      </c>
      <c r="DJ73" s="1936">
        <v>-465691</v>
      </c>
      <c r="DK73" s="1936">
        <v>2960.7004479247748</v>
      </c>
      <c r="DL73" s="1936">
        <v>1269.5529466365285</v>
      </c>
      <c r="DM73" s="1936">
        <v>1742.6711009487994</v>
      </c>
      <c r="DN73" s="1936">
        <v>114.65756941301937</v>
      </c>
      <c r="DO73" s="1936">
        <v>15796</v>
      </c>
      <c r="DP73" s="1936">
        <v>0</v>
      </c>
      <c r="DQ73" s="1936">
        <v>0</v>
      </c>
      <c r="DR73" s="1936">
        <v>4703.4718926923651</v>
      </c>
      <c r="DS73" s="1936">
        <v>2217.9702576753875</v>
      </c>
      <c r="DT73" s="1936">
        <v>252.6922973156276</v>
      </c>
      <c r="DU73" s="1936">
        <v>29057.716512606501</v>
      </c>
      <c r="DV73" s="1936">
        <v>16028.018519355828</v>
      </c>
      <c r="DW73" s="1936">
        <v>3252.9931381975166</v>
      </c>
      <c r="DX73" s="1936">
        <v>1098.059457744592</v>
      </c>
      <c r="DY73" s="1936">
        <v>8938.9254580980887</v>
      </c>
      <c r="DZ73" s="1936">
        <v>317.78002024573647</v>
      </c>
      <c r="EA73" s="1936">
        <v>796.32854592789033</v>
      </c>
      <c r="EB73" s="1936">
        <v>30432.105139569652</v>
      </c>
      <c r="EC73" s="1936">
        <v>-1374.3886269631507</v>
      </c>
      <c r="ED73" s="1941">
        <v>60</v>
      </c>
      <c r="EE73" s="1936">
        <v>1</v>
      </c>
      <c r="EF73" s="1936">
        <v>21</v>
      </c>
      <c r="EG73" s="1938">
        <v>47000</v>
      </c>
      <c r="EH73" s="1938">
        <v>1</v>
      </c>
      <c r="EI73" s="1368">
        <v>7.0000000000000007E-2</v>
      </c>
      <c r="EJ73" s="1936">
        <v>5.6472503587406093</v>
      </c>
      <c r="EK73" s="1936">
        <v>1</v>
      </c>
      <c r="EL73" s="1936">
        <v>1500</v>
      </c>
      <c r="EM73" s="1936">
        <v>1</v>
      </c>
      <c r="EN73" s="1362">
        <v>0.2</v>
      </c>
      <c r="EO73" s="1936">
        <v>0</v>
      </c>
      <c r="EP73" s="1936">
        <v>0</v>
      </c>
      <c r="EQ73" s="1936">
        <v>0</v>
      </c>
      <c r="ER73" s="1938">
        <v>0</v>
      </c>
      <c r="ES73" s="1936">
        <v>6921.4421503677522</v>
      </c>
      <c r="ET73" s="1936">
        <v>-2897.1503464532034</v>
      </c>
      <c r="EU73" s="1938">
        <v>2</v>
      </c>
      <c r="EV73" s="1936">
        <v>42671</v>
      </c>
      <c r="EW73" s="1936">
        <v>6726</v>
      </c>
      <c r="EX73" s="1938">
        <v>1</v>
      </c>
      <c r="EY73" s="1936">
        <v>1593701</v>
      </c>
      <c r="EZ73" s="1936">
        <v>840173</v>
      </c>
      <c r="FA73" s="1936">
        <v>753528</v>
      </c>
      <c r="FB73" s="1936">
        <v>751526</v>
      </c>
      <c r="FC73" s="1936">
        <v>262055</v>
      </c>
      <c r="FD73" s="1936">
        <v>489471</v>
      </c>
      <c r="FE73" s="1936">
        <v>2345227</v>
      </c>
      <c r="FF73" s="1936">
        <v>1102228</v>
      </c>
      <c r="FG73" s="1936">
        <v>1242999</v>
      </c>
      <c r="FH73" s="1366">
        <v>1</v>
      </c>
      <c r="FI73" s="1366">
        <v>0.5271835808598978</v>
      </c>
      <c r="FJ73" s="1366">
        <v>0.4728164191401022</v>
      </c>
      <c r="FK73" s="1366">
        <v>1</v>
      </c>
      <c r="FL73" s="1366">
        <v>0.34869718412935813</v>
      </c>
      <c r="FM73" s="1366">
        <v>0.65130281587064187</v>
      </c>
      <c r="FN73" s="1366">
        <v>1</v>
      </c>
      <c r="FO73" s="1366">
        <v>0.46998776664263203</v>
      </c>
      <c r="FP73" s="1366">
        <v>0.53001223335736791</v>
      </c>
      <c r="FQ73" s="1936">
        <v>1566303</v>
      </c>
      <c r="FR73" s="1936">
        <v>0</v>
      </c>
      <c r="FS73" s="1936">
        <v>309012</v>
      </c>
      <c r="FT73" s="1936">
        <v>24483</v>
      </c>
      <c r="FU73" s="1936">
        <v>22125</v>
      </c>
      <c r="FV73" s="1936">
        <v>0</v>
      </c>
      <c r="FW73" s="1936">
        <v>302732</v>
      </c>
      <c r="FX73" s="1936">
        <v>2224655</v>
      </c>
      <c r="FY73" s="1936">
        <v>-981656</v>
      </c>
      <c r="FZ73" s="1366">
        <v>0.66786839824034094</v>
      </c>
      <c r="GA73" s="1366">
        <v>0</v>
      </c>
      <c r="GB73" s="1366">
        <v>0.13176208529067762</v>
      </c>
      <c r="GC73" s="1366">
        <v>1.0439501165558814E-2</v>
      </c>
      <c r="GD73" s="1366">
        <v>9.4340547844622286E-3</v>
      </c>
      <c r="GE73" s="1366">
        <v>0</v>
      </c>
      <c r="GF73" s="1366">
        <v>0.12908430612473762</v>
      </c>
      <c r="GG73" s="1366">
        <v>0.94858834560577721</v>
      </c>
      <c r="GH73" s="1366">
        <v>-0.41857611224840924</v>
      </c>
      <c r="GI73" s="1942">
        <v>2.1206199120190119</v>
      </c>
      <c r="GJ73" s="1943">
        <v>1</v>
      </c>
      <c r="GK73" s="1371">
        <v>0.05</v>
      </c>
      <c r="GL73" s="1943">
        <v>1</v>
      </c>
      <c r="GM73" s="1371">
        <v>0.1</v>
      </c>
      <c r="GN73" s="1943">
        <v>18</v>
      </c>
      <c r="GO73" s="1985">
        <f>IF(GN73=0,0,VLOOKUP(A73,'Area (&amp;golfacre for lookup)'!$G$2:$H$133,2,FALSE))</f>
        <v>103</v>
      </c>
      <c r="GP73" s="1943">
        <v>28095</v>
      </c>
      <c r="GQ73" s="1943">
        <v>1066784</v>
      </c>
      <c r="GR73" s="1943">
        <v>70576</v>
      </c>
      <c r="GS73" s="1943">
        <v>245124</v>
      </c>
      <c r="GT73" s="1943">
        <v>544472</v>
      </c>
      <c r="GU73" s="1943">
        <v>0</v>
      </c>
      <c r="GV73" s="1943">
        <v>191430</v>
      </c>
      <c r="GW73" s="1943">
        <v>2118386</v>
      </c>
      <c r="GX73" s="1943">
        <v>117688.11111111111</v>
      </c>
      <c r="GY73" s="1985">
        <f t="shared" si="764"/>
        <v>20566.85436893204</v>
      </c>
      <c r="GZ73" s="1366">
        <v>0.50358338848538464</v>
      </c>
      <c r="HA73" s="1366">
        <v>3.3315930146819321E-2</v>
      </c>
      <c r="HB73" s="1366">
        <v>0.11571262272314867</v>
      </c>
      <c r="HC73" s="1366">
        <v>0.25702209134690279</v>
      </c>
      <c r="HD73" s="1366">
        <v>0</v>
      </c>
      <c r="HE73" s="1366">
        <v>9.0365967297744598E-2</v>
      </c>
      <c r="HF73" s="1366">
        <v>1</v>
      </c>
      <c r="HG73" s="1936">
        <v>0</v>
      </c>
      <c r="HH73" s="1988">
        <f>IF(HG73=0,0,VLOOKUP(A73,'Area (&amp;golfacre for lookup)'!$G$2:$H$134,2,FALSE))</f>
        <v>0</v>
      </c>
      <c r="HI73" s="1936">
        <v>0</v>
      </c>
      <c r="HJ73" s="1936">
        <v>0</v>
      </c>
      <c r="HK73" s="1936">
        <v>0</v>
      </c>
      <c r="HL73" s="1936">
        <v>0</v>
      </c>
      <c r="HM73" s="1936">
        <v>0</v>
      </c>
      <c r="HN73" s="1936">
        <v>0</v>
      </c>
      <c r="HO73" s="1936">
        <v>0</v>
      </c>
      <c r="HP73" s="1936">
        <v>0</v>
      </c>
      <c r="HQ73" s="1936">
        <v>0</v>
      </c>
      <c r="HR73" s="1988">
        <f t="shared" si="765"/>
        <v>0</v>
      </c>
      <c r="HS73" s="1936">
        <v>0</v>
      </c>
      <c r="HT73" s="1936">
        <v>0</v>
      </c>
      <c r="HU73" s="1936">
        <v>0</v>
      </c>
      <c r="HV73" s="1936">
        <v>0</v>
      </c>
      <c r="HW73" s="1936">
        <v>0</v>
      </c>
      <c r="HX73" s="1936">
        <v>0</v>
      </c>
      <c r="HY73" s="1936">
        <v>0</v>
      </c>
      <c r="HZ73" s="51"/>
      <c r="IA73" s="59">
        <f t="shared" si="766"/>
        <v>0</v>
      </c>
      <c r="IB73" s="59"/>
      <c r="IC73" s="815">
        <f t="shared" si="581"/>
        <v>1</v>
      </c>
      <c r="ID73" s="815"/>
      <c r="IE73" s="284">
        <f t="shared" si="582"/>
        <v>0</v>
      </c>
      <c r="IF73" s="284"/>
      <c r="IG73" s="284">
        <f t="shared" si="583"/>
        <v>65436.830880839007</v>
      </c>
      <c r="IH73" s="284"/>
      <c r="II73" s="1288">
        <f t="shared" si="584"/>
        <v>0</v>
      </c>
      <c r="IJ73" s="1288">
        <f t="shared" si="585"/>
        <v>0.66576970483444353</v>
      </c>
      <c r="IK73" s="284">
        <f t="shared" si="586"/>
        <v>0</v>
      </c>
      <c r="IL73" s="284">
        <f t="shared" si="587"/>
        <v>0</v>
      </c>
      <c r="IM73" s="284">
        <f t="shared" si="588"/>
        <v>1</v>
      </c>
      <c r="IN73" s="284">
        <f t="shared" si="589"/>
        <v>0</v>
      </c>
      <c r="IO73" s="753">
        <f t="shared" si="590"/>
        <v>-2711.756906077348</v>
      </c>
      <c r="IP73" s="113">
        <f t="shared" si="591"/>
        <v>-2897.1503464532034</v>
      </c>
      <c r="IQ73" s="30">
        <f t="shared" si="592"/>
        <v>-0.18341037898538892</v>
      </c>
      <c r="IR73" s="438">
        <f t="shared" si="593"/>
        <v>1593701</v>
      </c>
      <c r="IS73" s="438">
        <f t="shared" si="594"/>
        <v>751526</v>
      </c>
      <c r="IT73" s="438">
        <f t="shared" si="595"/>
        <v>1566303</v>
      </c>
      <c r="IU73" s="438">
        <f t="shared" si="596"/>
        <v>333495</v>
      </c>
      <c r="IV73" s="438">
        <f t="shared" si="597"/>
        <v>1102228</v>
      </c>
      <c r="IW73" s="438">
        <f t="shared" si="598"/>
        <v>324857</v>
      </c>
      <c r="IX73" s="285">
        <f t="shared" si="599"/>
        <v>0.67955084944868871</v>
      </c>
      <c r="IY73" s="285">
        <f t="shared" si="600"/>
        <v>0.32044915055131123</v>
      </c>
      <c r="IZ73" s="285">
        <f t="shared" si="601"/>
        <v>0.66786839824034094</v>
      </c>
      <c r="JA73" s="285">
        <f t="shared" si="602"/>
        <v>0.14220158645623643</v>
      </c>
      <c r="JB73" s="285">
        <f t="shared" si="603"/>
        <v>0.46998776664263203</v>
      </c>
      <c r="JC73" s="285">
        <f t="shared" si="604"/>
        <v>0.13851836090919983</v>
      </c>
      <c r="JD73" s="60">
        <f t="shared" si="605"/>
        <v>5352238</v>
      </c>
      <c r="JE73" s="60">
        <f t="shared" si="606"/>
        <v>2062686</v>
      </c>
      <c r="JF73" s="60">
        <f t="shared" si="607"/>
        <v>0</v>
      </c>
      <c r="JG73" s="60">
        <f t="shared" si="608"/>
        <v>377499</v>
      </c>
      <c r="JH73" s="284">
        <f t="shared" si="609"/>
        <v>0</v>
      </c>
      <c r="JI73" s="284">
        <f t="shared" si="610"/>
        <v>1</v>
      </c>
      <c r="JJ73" s="560">
        <f t="shared" si="611"/>
        <v>0.63010137549578482</v>
      </c>
      <c r="JK73" s="561">
        <f t="shared" si="612"/>
        <v>0.55159250082167244</v>
      </c>
      <c r="JL73" s="561">
        <f t="shared" si="613"/>
        <v>0.11194937278661338</v>
      </c>
      <c r="JM73" s="561">
        <f t="shared" si="614"/>
        <v>3.7788910813697493E-2</v>
      </c>
      <c r="JN73" s="561">
        <f t="shared" si="615"/>
        <v>0.30762656295514462</v>
      </c>
      <c r="JO73" s="561">
        <f t="shared" si="616"/>
        <v>1.0936166305699543E-2</v>
      </c>
      <c r="JP73" s="561">
        <f t="shared" si="617"/>
        <v>2.7405062802591813E-2</v>
      </c>
      <c r="JQ73" s="561">
        <f t="shared" si="618"/>
        <v>1.0472985764854195</v>
      </c>
      <c r="JR73" s="61">
        <f t="shared" si="619"/>
        <v>59265.777777777781</v>
      </c>
      <c r="JS73" s="61">
        <f t="shared" si="620"/>
        <v>3920.8888888888887</v>
      </c>
      <c r="JT73" s="61">
        <f t="shared" si="621"/>
        <v>13618</v>
      </c>
      <c r="JU73" s="61">
        <f t="shared" si="622"/>
        <v>30248.444444444445</v>
      </c>
      <c r="JV73" s="61">
        <f t="shared" si="623"/>
        <v>0</v>
      </c>
      <c r="JW73" s="61">
        <f t="shared" si="624"/>
        <v>10635</v>
      </c>
      <c r="JX73" s="61">
        <f t="shared" si="625"/>
        <v>75.400818651005522</v>
      </c>
      <c r="JY73" s="394">
        <f t="shared" si="626"/>
        <v>0.20543990702386267</v>
      </c>
      <c r="JZ73" s="61">
        <f t="shared" si="627"/>
        <v>0</v>
      </c>
      <c r="KA73" s="61">
        <f t="shared" si="628"/>
        <v>0</v>
      </c>
      <c r="KB73" s="61">
        <f t="shared" si="629"/>
        <v>0</v>
      </c>
      <c r="KC73" s="61">
        <f t="shared" si="630"/>
        <v>0</v>
      </c>
      <c r="KD73" s="61">
        <f t="shared" si="631"/>
        <v>0</v>
      </c>
      <c r="KE73" s="61">
        <f t="shared" si="632"/>
        <v>0</v>
      </c>
      <c r="KF73" s="61">
        <f t="shared" si="633"/>
        <v>0</v>
      </c>
      <c r="KG73" s="61">
        <f t="shared" si="634"/>
        <v>0</v>
      </c>
      <c r="KH73" s="61">
        <f t="shared" si="635"/>
        <v>0</v>
      </c>
      <c r="KI73" s="394">
        <f t="shared" si="636"/>
        <v>0</v>
      </c>
      <c r="KJ73" s="438">
        <f t="shared" si="637"/>
        <v>18</v>
      </c>
      <c r="KK73" s="438">
        <f t="shared" si="638"/>
        <v>28095</v>
      </c>
      <c r="KL73" s="438">
        <f t="shared" si="639"/>
        <v>103</v>
      </c>
      <c r="KM73" s="438">
        <f t="shared" si="640"/>
        <v>117688.11111111111</v>
      </c>
      <c r="KN73" s="438">
        <f t="shared" si="641"/>
        <v>75.400818651005522</v>
      </c>
      <c r="KO73" s="438">
        <f t="shared" si="642"/>
        <v>20566.85436893204</v>
      </c>
      <c r="KP73" s="438">
        <f t="shared" si="643"/>
        <v>1066784</v>
      </c>
      <c r="KQ73" s="438">
        <f t="shared" si="644"/>
        <v>70576</v>
      </c>
      <c r="KR73" s="438">
        <f t="shared" si="645"/>
        <v>245124</v>
      </c>
      <c r="KS73" s="438">
        <f t="shared" si="646"/>
        <v>544472</v>
      </c>
      <c r="KT73" s="438">
        <f t="shared" si="647"/>
        <v>0</v>
      </c>
      <c r="KU73" s="438">
        <f t="shared" si="648"/>
        <v>191430</v>
      </c>
      <c r="KV73" s="420">
        <f t="shared" si="649"/>
        <v>0.20543990702386267</v>
      </c>
      <c r="KW73" s="420">
        <f t="shared" si="650"/>
        <v>-0.36002808544762022</v>
      </c>
      <c r="KX73" s="108"/>
      <c r="KY73" s="282">
        <f t="shared" si="651"/>
        <v>0</v>
      </c>
      <c r="KZ73" s="282"/>
      <c r="LA73" s="282">
        <f t="shared" si="652"/>
        <v>0</v>
      </c>
      <c r="LB73" s="282"/>
      <c r="LC73" s="286">
        <f t="shared" si="653"/>
        <v>0</v>
      </c>
      <c r="LD73" s="286"/>
      <c r="LE73" s="282">
        <f t="shared" si="654"/>
        <v>0</v>
      </c>
      <c r="LF73" s="282"/>
      <c r="LG73" s="282">
        <f t="shared" si="655"/>
        <v>0</v>
      </c>
      <c r="LH73" s="282">
        <f t="shared" si="656"/>
        <v>0</v>
      </c>
      <c r="LI73" s="282">
        <f t="shared" si="657"/>
        <v>0</v>
      </c>
      <c r="LJ73" s="282">
        <f t="shared" si="658"/>
        <v>0</v>
      </c>
      <c r="LK73" s="282"/>
      <c r="LL73" s="282">
        <f t="shared" si="659"/>
        <v>0</v>
      </c>
      <c r="LM73" s="282">
        <f t="shared" si="660"/>
        <v>0</v>
      </c>
      <c r="LN73" s="282">
        <f t="shared" si="661"/>
        <v>0</v>
      </c>
      <c r="LO73" s="282">
        <f t="shared" si="662"/>
        <v>0</v>
      </c>
      <c r="LP73" s="286">
        <f t="shared" si="663"/>
        <v>0</v>
      </c>
      <c r="LQ73" s="282">
        <f t="shared" si="664"/>
        <v>0</v>
      </c>
      <c r="LR73" s="282">
        <f t="shared" si="665"/>
        <v>0</v>
      </c>
      <c r="LS73" s="282">
        <f t="shared" si="666"/>
        <v>0</v>
      </c>
      <c r="LT73" s="286">
        <f t="shared" si="667"/>
        <v>0</v>
      </c>
      <c r="LU73" s="286">
        <f t="shared" si="668"/>
        <v>0</v>
      </c>
      <c r="LV73" s="286">
        <f t="shared" si="669"/>
        <v>0</v>
      </c>
      <c r="LW73" s="286">
        <f t="shared" si="670"/>
        <v>0</v>
      </c>
      <c r="LX73" s="286">
        <f t="shared" si="671"/>
        <v>0</v>
      </c>
      <c r="LY73" s="286">
        <f t="shared" si="672"/>
        <v>0</v>
      </c>
      <c r="LZ73" s="286">
        <f t="shared" si="673"/>
        <v>0</v>
      </c>
      <c r="MA73" s="286">
        <f t="shared" si="674"/>
        <v>0</v>
      </c>
      <c r="MB73" s="286">
        <f t="shared" si="675"/>
        <v>0</v>
      </c>
      <c r="MC73" s="286">
        <f t="shared" si="676"/>
        <v>0</v>
      </c>
      <c r="MD73" s="286">
        <f t="shared" si="677"/>
        <v>0</v>
      </c>
      <c r="ME73" s="286">
        <f t="shared" si="678"/>
        <v>0</v>
      </c>
      <c r="MF73" s="286">
        <f t="shared" si="679"/>
        <v>0</v>
      </c>
      <c r="MG73" s="286">
        <f t="shared" si="680"/>
        <v>0</v>
      </c>
      <c r="MH73" s="286">
        <f t="shared" si="681"/>
        <v>0</v>
      </c>
      <c r="MI73" s="286">
        <f t="shared" si="682"/>
        <v>0</v>
      </c>
      <c r="MJ73" s="286">
        <f t="shared" si="683"/>
        <v>0</v>
      </c>
      <c r="MK73" s="286">
        <f t="shared" si="684"/>
        <v>0</v>
      </c>
      <c r="ML73" s="282">
        <f t="shared" si="685"/>
        <v>0</v>
      </c>
      <c r="MM73" s="1232">
        <f t="shared" si="686"/>
        <v>0</v>
      </c>
      <c r="MN73" s="1232">
        <f t="shared" si="687"/>
        <v>0</v>
      </c>
      <c r="MO73" s="1232">
        <f t="shared" si="688"/>
        <v>0</v>
      </c>
      <c r="MP73" s="1232">
        <f t="shared" si="689"/>
        <v>0</v>
      </c>
      <c r="MQ73" s="282">
        <f t="shared" si="690"/>
        <v>0</v>
      </c>
      <c r="MR73" s="282">
        <f t="shared" si="691"/>
        <v>0</v>
      </c>
      <c r="MS73" s="282">
        <f t="shared" si="692"/>
        <v>0</v>
      </c>
      <c r="MT73" s="282">
        <f t="shared" si="693"/>
        <v>0</v>
      </c>
      <c r="MU73" s="282">
        <f t="shared" si="694"/>
        <v>0</v>
      </c>
      <c r="MV73" s="282">
        <f t="shared" si="695"/>
        <v>0</v>
      </c>
      <c r="MW73" s="282">
        <f t="shared" si="696"/>
        <v>0</v>
      </c>
      <c r="MX73" s="282">
        <f t="shared" si="697"/>
        <v>0</v>
      </c>
      <c r="MY73" s="282">
        <f t="shared" si="698"/>
        <v>0</v>
      </c>
      <c r="MZ73" s="282">
        <f t="shared" si="699"/>
        <v>0</v>
      </c>
      <c r="NA73" s="282">
        <f t="shared" si="700"/>
        <v>0</v>
      </c>
      <c r="NB73" s="282">
        <f t="shared" si="701"/>
        <v>0</v>
      </c>
      <c r="NC73" s="282">
        <f t="shared" si="702"/>
        <v>0</v>
      </c>
      <c r="ND73" s="282">
        <f t="shared" si="703"/>
        <v>0</v>
      </c>
      <c r="NE73" s="282">
        <f t="shared" si="704"/>
        <v>0</v>
      </c>
      <c r="NF73" s="282">
        <f t="shared" si="705"/>
        <v>0</v>
      </c>
      <c r="NG73" s="282">
        <f t="shared" si="706"/>
        <v>0</v>
      </c>
      <c r="NH73" s="282">
        <f t="shared" si="707"/>
        <v>0</v>
      </c>
      <c r="NI73" s="282">
        <f t="shared" si="708"/>
        <v>0</v>
      </c>
      <c r="NJ73" s="282">
        <f t="shared" si="709"/>
        <v>0</v>
      </c>
      <c r="NK73" s="282">
        <f t="shared" si="710"/>
        <v>0</v>
      </c>
      <c r="NL73" s="282">
        <f t="shared" si="711"/>
        <v>0</v>
      </c>
      <c r="NM73" s="1205">
        <f t="shared" si="712"/>
        <v>0</v>
      </c>
      <c r="NN73" s="282">
        <f t="shared" si="713"/>
        <v>0</v>
      </c>
      <c r="NO73" s="282">
        <f t="shared" si="714"/>
        <v>0</v>
      </c>
      <c r="NP73" s="282">
        <f t="shared" si="715"/>
        <v>0</v>
      </c>
      <c r="NQ73" s="282">
        <f t="shared" si="716"/>
        <v>0</v>
      </c>
      <c r="NR73" s="282">
        <f t="shared" si="717"/>
        <v>0</v>
      </c>
      <c r="NS73" s="282">
        <f t="shared" si="718"/>
        <v>0</v>
      </c>
      <c r="NT73" s="282">
        <f t="shared" si="719"/>
        <v>0</v>
      </c>
      <c r="NU73" s="282">
        <f t="shared" si="720"/>
        <v>0</v>
      </c>
      <c r="NV73" s="286">
        <f t="shared" si="721"/>
        <v>0</v>
      </c>
      <c r="NW73" s="286">
        <f t="shared" si="722"/>
        <v>0</v>
      </c>
      <c r="NX73" s="286">
        <f t="shared" si="723"/>
        <v>0</v>
      </c>
      <c r="NY73" s="286">
        <f t="shared" si="724"/>
        <v>0</v>
      </c>
      <c r="NZ73" s="286">
        <f t="shared" si="725"/>
        <v>0</v>
      </c>
      <c r="OA73" s="286">
        <f t="shared" si="726"/>
        <v>0</v>
      </c>
      <c r="OB73" s="286">
        <f t="shared" si="727"/>
        <v>0</v>
      </c>
      <c r="OC73" s="286">
        <f t="shared" si="728"/>
        <v>0</v>
      </c>
      <c r="OD73" s="286">
        <f t="shared" si="729"/>
        <v>0</v>
      </c>
      <c r="OE73" s="282">
        <f t="shared" si="730"/>
        <v>0</v>
      </c>
      <c r="OF73" s="282">
        <f t="shared" si="731"/>
        <v>0</v>
      </c>
      <c r="OG73" s="286">
        <f t="shared" si="732"/>
        <v>0</v>
      </c>
      <c r="OH73" s="286">
        <f t="shared" si="733"/>
        <v>0</v>
      </c>
      <c r="OI73" s="286">
        <f t="shared" si="734"/>
        <v>0</v>
      </c>
      <c r="OJ73" s="286">
        <f t="shared" si="735"/>
        <v>0</v>
      </c>
      <c r="OK73" s="286">
        <f t="shared" si="736"/>
        <v>0</v>
      </c>
      <c r="OL73" s="286">
        <f t="shared" si="737"/>
        <v>0</v>
      </c>
      <c r="OM73" s="286">
        <f t="shared" si="738"/>
        <v>0</v>
      </c>
      <c r="ON73" s="286">
        <f t="shared" si="739"/>
        <v>0</v>
      </c>
      <c r="OO73" s="286">
        <f t="shared" si="740"/>
        <v>0</v>
      </c>
      <c r="OP73" s="434">
        <f t="shared" si="741"/>
        <v>0</v>
      </c>
      <c r="OQ73" s="434">
        <f t="shared" si="742"/>
        <v>0</v>
      </c>
      <c r="OR73" s="282">
        <f t="shared" si="743"/>
        <v>0</v>
      </c>
      <c r="OS73" s="282">
        <f t="shared" si="744"/>
        <v>0</v>
      </c>
      <c r="OT73" s="282">
        <f t="shared" si="745"/>
        <v>0</v>
      </c>
      <c r="OU73" s="282">
        <f t="shared" si="746"/>
        <v>0</v>
      </c>
      <c r="OV73" s="282">
        <f t="shared" si="747"/>
        <v>0</v>
      </c>
      <c r="OW73" s="286">
        <f t="shared" si="748"/>
        <v>0</v>
      </c>
      <c r="OX73" s="286">
        <f t="shared" si="749"/>
        <v>0</v>
      </c>
      <c r="OY73" s="286">
        <f t="shared" si="750"/>
        <v>0</v>
      </c>
      <c r="OZ73" s="286">
        <f t="shared" si="751"/>
        <v>0</v>
      </c>
      <c r="PA73" s="286">
        <f t="shared" si="752"/>
        <v>0</v>
      </c>
      <c r="PB73" s="286">
        <f t="shared" si="753"/>
        <v>0</v>
      </c>
      <c r="PC73" s="286">
        <f t="shared" si="754"/>
        <v>0</v>
      </c>
      <c r="PD73" s="282">
        <f t="shared" si="755"/>
        <v>0</v>
      </c>
      <c r="PE73" s="282">
        <f t="shared" si="756"/>
        <v>0</v>
      </c>
      <c r="PF73" s="286">
        <f t="shared" si="757"/>
        <v>0</v>
      </c>
      <c r="PG73" s="286">
        <f t="shared" si="758"/>
        <v>0</v>
      </c>
      <c r="PH73" s="286">
        <f t="shared" si="759"/>
        <v>0</v>
      </c>
      <c r="PI73" s="286">
        <f t="shared" si="760"/>
        <v>0</v>
      </c>
      <c r="PJ73" s="286">
        <f t="shared" si="761"/>
        <v>0</v>
      </c>
      <c r="PK73" s="286">
        <f t="shared" si="762"/>
        <v>0</v>
      </c>
      <c r="PL73" s="286">
        <f t="shared" si="763"/>
        <v>0</v>
      </c>
      <c r="PM73" s="562">
        <v>17</v>
      </c>
    </row>
    <row r="74" spans="1:431" s="289" customFormat="1" ht="15.75" customHeight="1">
      <c r="A74" s="1935" t="s">
        <v>1144</v>
      </c>
      <c r="B74" s="1040" t="str">
        <f>VLOOKUP(A74,'Area (&amp;golfacre for lookup)'!$A$2:$B$162,2,FALSE)</f>
        <v>SW CIRA</v>
      </c>
      <c r="C74" s="1936"/>
      <c r="D74" s="1937">
        <v>44926</v>
      </c>
      <c r="E74" s="402"/>
      <c r="F74" s="1936">
        <v>0</v>
      </c>
      <c r="G74" s="1936">
        <v>1</v>
      </c>
      <c r="H74" s="1936">
        <v>711</v>
      </c>
      <c r="I74" s="1936">
        <v>1699</v>
      </c>
      <c r="J74" s="1936">
        <v>2410</v>
      </c>
      <c r="K74" s="1938">
        <v>2214.1170406306851</v>
      </c>
      <c r="L74" s="1939" t="s">
        <v>1208</v>
      </c>
      <c r="M74" s="1939" t="s">
        <v>1208</v>
      </c>
      <c r="N74" s="1939" t="s">
        <v>1208</v>
      </c>
      <c r="O74" s="1939" t="s">
        <v>1208</v>
      </c>
      <c r="P74" s="1939" t="s">
        <v>1208</v>
      </c>
      <c r="Q74" s="1936">
        <v>0</v>
      </c>
      <c r="R74" s="1979">
        <v>5200</v>
      </c>
      <c r="S74" s="1979">
        <v>5200</v>
      </c>
      <c r="T74" s="1939" t="s">
        <v>1208</v>
      </c>
      <c r="U74" s="1939" t="s">
        <v>1208</v>
      </c>
      <c r="V74" s="1939" t="s">
        <v>1208</v>
      </c>
      <c r="W74" s="1936">
        <v>3720</v>
      </c>
      <c r="X74" s="1936">
        <v>3298</v>
      </c>
      <c r="Y74" s="1939" t="s">
        <v>1208</v>
      </c>
      <c r="Z74" s="1939" t="s">
        <v>1208</v>
      </c>
      <c r="AA74" s="1936">
        <v>422</v>
      </c>
      <c r="AB74" s="1362">
        <v>0.12795633717404487</v>
      </c>
      <c r="AC74" s="1939" t="s">
        <v>1208</v>
      </c>
      <c r="AD74" s="1363" t="s">
        <v>1208</v>
      </c>
      <c r="AE74" s="1936">
        <v>0</v>
      </c>
      <c r="AF74" s="1936">
        <v>0</v>
      </c>
      <c r="AG74" s="1939" t="s">
        <v>1208</v>
      </c>
      <c r="AH74" s="1936">
        <v>0</v>
      </c>
      <c r="AI74" s="1936">
        <v>0</v>
      </c>
      <c r="AJ74" s="1939" t="s">
        <v>1208</v>
      </c>
      <c r="AK74" s="1938">
        <v>1</v>
      </c>
      <c r="AL74" s="1938">
        <v>3203</v>
      </c>
      <c r="AM74" s="1936">
        <v>6501</v>
      </c>
      <c r="AN74" s="1939" t="s">
        <v>1208</v>
      </c>
      <c r="AO74" s="1936">
        <v>0</v>
      </c>
      <c r="AP74" s="1936">
        <v>0</v>
      </c>
      <c r="AQ74" s="1936">
        <v>6501</v>
      </c>
      <c r="AR74" s="1939" t="s">
        <v>1208</v>
      </c>
      <c r="AS74" s="1363" t="s">
        <v>1208</v>
      </c>
      <c r="AT74" s="1363" t="s">
        <v>1208</v>
      </c>
      <c r="AU74" s="1363" t="s">
        <v>1208</v>
      </c>
      <c r="AV74" s="1363" t="s">
        <v>1208</v>
      </c>
      <c r="AW74" s="1363" t="s">
        <v>1291</v>
      </c>
      <c r="AX74" s="1938">
        <v>0</v>
      </c>
      <c r="AY74" s="1938">
        <v>0</v>
      </c>
      <c r="AZ74" s="1938">
        <v>0</v>
      </c>
      <c r="BA74" s="1938">
        <v>0</v>
      </c>
      <c r="BB74" s="1938">
        <v>0</v>
      </c>
      <c r="BC74" s="1938">
        <v>0</v>
      </c>
      <c r="BD74" s="1938">
        <v>0</v>
      </c>
      <c r="BE74" s="1936">
        <v>0</v>
      </c>
      <c r="BF74" s="1936">
        <v>0</v>
      </c>
      <c r="BG74" s="1936">
        <v>2771009</v>
      </c>
      <c r="BH74" s="1936">
        <v>2771009</v>
      </c>
      <c r="BI74" s="1938">
        <v>12590156</v>
      </c>
      <c r="BJ74" s="1936">
        <v>616457</v>
      </c>
      <c r="BK74" s="1936">
        <v>1531615</v>
      </c>
      <c r="BL74" s="1362">
        <v>0.40248822321536415</v>
      </c>
      <c r="BM74" s="1936">
        <v>1</v>
      </c>
      <c r="BN74" s="1936">
        <v>706801</v>
      </c>
      <c r="BO74" s="1363" t="s">
        <v>1208</v>
      </c>
      <c r="BP74" s="1938">
        <v>9520082</v>
      </c>
      <c r="BQ74" s="1938">
        <v>10055612</v>
      </c>
      <c r="BR74" s="1940">
        <v>0.94674317187258217</v>
      </c>
      <c r="BS74" s="1409">
        <v>0</v>
      </c>
      <c r="BT74" s="1938">
        <v>12750158</v>
      </c>
      <c r="BU74" s="1938">
        <v>19440248</v>
      </c>
      <c r="BV74" s="1940">
        <v>0.65586395811411458</v>
      </c>
      <c r="BW74" s="1936">
        <v>319.22476862319331</v>
      </c>
      <c r="BX74" s="1936">
        <v>278.4211442699542</v>
      </c>
      <c r="BY74" s="1936">
        <v>1251.5187540450372</v>
      </c>
      <c r="BZ74" s="1936">
        <v>1584060</v>
      </c>
      <c r="CA74" s="1936">
        <v>99271</v>
      </c>
      <c r="CB74" s="1936">
        <v>262597</v>
      </c>
      <c r="CC74" s="1936">
        <v>102362</v>
      </c>
      <c r="CD74" s="1936">
        <v>7302158</v>
      </c>
      <c r="CE74" s="1936">
        <v>0</v>
      </c>
      <c r="CF74" s="1936">
        <v>0</v>
      </c>
      <c r="CG74" s="1936">
        <v>1472587</v>
      </c>
      <c r="CH74" s="1936">
        <v>758896</v>
      </c>
      <c r="CI74" s="1936">
        <v>196179</v>
      </c>
      <c r="CJ74" s="1936">
        <v>11778110</v>
      </c>
      <c r="CK74" s="1366">
        <v>0.13449186669168484</v>
      </c>
      <c r="CL74" s="1366">
        <v>8.4284320659256881E-3</v>
      </c>
      <c r="CM74" s="1366">
        <v>2.2295342801179476E-2</v>
      </c>
      <c r="CN74" s="1366">
        <v>8.6908680594764351E-3</v>
      </c>
      <c r="CO74" s="1366">
        <v>0.61997705913767154</v>
      </c>
      <c r="CP74" s="1366">
        <v>0</v>
      </c>
      <c r="CQ74" s="1366">
        <v>0</v>
      </c>
      <c r="CR74" s="1366">
        <v>0.1250274449805614</v>
      </c>
      <c r="CS74" s="1366">
        <v>6.4432748547941898E-2</v>
      </c>
      <c r="CT74" s="1366">
        <v>1.665623771555878E-2</v>
      </c>
      <c r="CU74" s="1366">
        <v>1</v>
      </c>
      <c r="CV74" s="1936">
        <v>6292339</v>
      </c>
      <c r="CW74" s="1936">
        <v>924177</v>
      </c>
      <c r="CX74" s="1936">
        <v>197252</v>
      </c>
      <c r="CY74" s="1936">
        <v>3823537</v>
      </c>
      <c r="CZ74" s="1936">
        <v>71335</v>
      </c>
      <c r="DA74" s="1936">
        <v>508840</v>
      </c>
      <c r="DB74" s="1936">
        <v>11817480</v>
      </c>
      <c r="DC74" s="1366">
        <v>0.53246030456577886</v>
      </c>
      <c r="DD74" s="1366">
        <v>7.8204236436194521E-2</v>
      </c>
      <c r="DE74" s="1366">
        <v>1.6691545067137832E-2</v>
      </c>
      <c r="DF74" s="1366">
        <v>0.32354926769497389</v>
      </c>
      <c r="DG74" s="1366">
        <v>6.0363969306484969E-3</v>
      </c>
      <c r="DH74" s="1366">
        <v>4.3058249305266437E-2</v>
      </c>
      <c r="DI74" s="1366">
        <v>1</v>
      </c>
      <c r="DJ74" s="1936">
        <v>-39370</v>
      </c>
      <c r="DK74" s="1936">
        <v>715.43643399663506</v>
      </c>
      <c r="DL74" s="1936">
        <v>44.835479867732253</v>
      </c>
      <c r="DM74" s="1936">
        <v>118.6012280205386</v>
      </c>
      <c r="DN74" s="1936">
        <v>46.23152169536732</v>
      </c>
      <c r="DO74" s="1936">
        <v>3298.0000000000005</v>
      </c>
      <c r="DP74" s="1936">
        <v>0</v>
      </c>
      <c r="DQ74" s="1936">
        <v>0</v>
      </c>
      <c r="DR74" s="1936">
        <v>665.08995368218552</v>
      </c>
      <c r="DS74" s="1936">
        <v>342.75333510997712</v>
      </c>
      <c r="DT74" s="1936">
        <v>88.603717147725376</v>
      </c>
      <c r="DU74" s="1936">
        <v>5319.5516695201613</v>
      </c>
      <c r="DV74" s="1936">
        <v>2841.9179675378159</v>
      </c>
      <c r="DW74" s="1936">
        <v>417.40205374904247</v>
      </c>
      <c r="DX74" s="1936">
        <v>89.088334708725839</v>
      </c>
      <c r="DY74" s="1936">
        <v>1726.8901913653472</v>
      </c>
      <c r="DZ74" s="1936">
        <v>32.21826068403341</v>
      </c>
      <c r="EA74" s="1936">
        <v>229.81621597341501</v>
      </c>
      <c r="EB74" s="1936">
        <v>5337.3330240183795</v>
      </c>
      <c r="EC74" s="1936">
        <v>-17.781354498218199</v>
      </c>
      <c r="ED74" s="1941">
        <v>135</v>
      </c>
      <c r="EE74" s="1936">
        <v>1</v>
      </c>
      <c r="EF74" s="1936">
        <v>6</v>
      </c>
      <c r="EG74" s="1938">
        <v>42000</v>
      </c>
      <c r="EH74" s="1938">
        <v>1</v>
      </c>
      <c r="EI74" s="1368">
        <v>0.08</v>
      </c>
      <c r="EJ74" s="1936">
        <v>16.400866967634705</v>
      </c>
      <c r="EK74" s="1936">
        <v>0</v>
      </c>
      <c r="EL74" s="1936">
        <v>0</v>
      </c>
      <c r="EM74" s="1936">
        <v>1</v>
      </c>
      <c r="EN74" s="1362">
        <v>0.18</v>
      </c>
      <c r="EO74" s="1936">
        <v>0</v>
      </c>
      <c r="EP74" s="1936">
        <v>0</v>
      </c>
      <c r="EQ74" s="1936">
        <v>0</v>
      </c>
      <c r="ER74" s="1938">
        <v>0</v>
      </c>
      <c r="ES74" s="1936">
        <v>1007.8432887921626</v>
      </c>
      <c r="ET74" s="1936">
        <v>-658.05735345633445</v>
      </c>
      <c r="EU74" s="1938">
        <v>1</v>
      </c>
      <c r="EV74" s="1936">
        <v>131895</v>
      </c>
      <c r="EW74" s="1936">
        <v>1200</v>
      </c>
      <c r="EX74" s="1938">
        <v>1</v>
      </c>
      <c r="EY74" s="1936">
        <v>1472587</v>
      </c>
      <c r="EZ74" s="1936">
        <v>719354</v>
      </c>
      <c r="FA74" s="1936">
        <v>753233</v>
      </c>
      <c r="FB74" s="1936">
        <v>758896</v>
      </c>
      <c r="FC74" s="1936">
        <v>204823</v>
      </c>
      <c r="FD74" s="1936">
        <v>554073</v>
      </c>
      <c r="FE74" s="1936">
        <v>2231483</v>
      </c>
      <c r="FF74" s="1936">
        <v>924177</v>
      </c>
      <c r="FG74" s="1936">
        <v>1307306</v>
      </c>
      <c r="FH74" s="1366">
        <v>1</v>
      </c>
      <c r="FI74" s="1366">
        <v>0.48849677472366659</v>
      </c>
      <c r="FJ74" s="1366">
        <v>0.51150322527633341</v>
      </c>
      <c r="FK74" s="1366">
        <v>1</v>
      </c>
      <c r="FL74" s="1366">
        <v>0.26989600683097553</v>
      </c>
      <c r="FM74" s="1366">
        <v>0.73010399316902452</v>
      </c>
      <c r="FN74" s="1366">
        <v>1</v>
      </c>
      <c r="FO74" s="1366">
        <v>0.41415372646800358</v>
      </c>
      <c r="FP74" s="1366">
        <v>0.58584627353199648</v>
      </c>
      <c r="FQ74" s="1936">
        <v>1990966</v>
      </c>
      <c r="FR74" s="1936">
        <v>0</v>
      </c>
      <c r="FS74" s="1936">
        <v>391008</v>
      </c>
      <c r="FT74" s="1936">
        <v>0</v>
      </c>
      <c r="FU74" s="1936">
        <v>55361</v>
      </c>
      <c r="FV74" s="1936">
        <v>26571</v>
      </c>
      <c r="FW74" s="1936">
        <v>300416</v>
      </c>
      <c r="FX74" s="1936">
        <v>2764322</v>
      </c>
      <c r="FY74" s="1936">
        <v>-1457016</v>
      </c>
      <c r="FZ74" s="1366">
        <v>0.8922165214792136</v>
      </c>
      <c r="GA74" s="1366">
        <v>0</v>
      </c>
      <c r="GB74" s="1366">
        <v>0.17522338283554031</v>
      </c>
      <c r="GC74" s="1366">
        <v>0</v>
      </c>
      <c r="GD74" s="1366">
        <v>2.4809061955659083E-2</v>
      </c>
      <c r="GE74" s="1366">
        <v>1.1907327996673064E-2</v>
      </c>
      <c r="GF74" s="1366">
        <v>0.13462616564858437</v>
      </c>
      <c r="GG74" s="1366">
        <v>1.2387824599156705</v>
      </c>
      <c r="GH74" s="1366">
        <v>-0.65293618638367401</v>
      </c>
      <c r="GI74" s="1942">
        <v>1.9404332082393372</v>
      </c>
      <c r="GJ74" s="1943">
        <v>1</v>
      </c>
      <c r="GK74" s="1371">
        <v>0.1</v>
      </c>
      <c r="GL74" s="1943">
        <v>0</v>
      </c>
      <c r="GM74" s="1371">
        <v>0</v>
      </c>
      <c r="GN74" s="1943">
        <v>18</v>
      </c>
      <c r="GO74" s="1985">
        <f>IF(GN74=0,0,VLOOKUP(A74,'Area (&amp;golfacre for lookup)'!$G$2:$H$133,2,FALSE))</f>
        <v>126</v>
      </c>
      <c r="GP74" s="1943">
        <v>57527</v>
      </c>
      <c r="GQ74" s="1943">
        <v>787388</v>
      </c>
      <c r="GR74" s="1943">
        <v>160527</v>
      </c>
      <c r="GS74" s="1943">
        <v>320595</v>
      </c>
      <c r="GT74" s="1943">
        <v>102854</v>
      </c>
      <c r="GU74" s="1943">
        <v>164736</v>
      </c>
      <c r="GV74" s="1943">
        <v>270035</v>
      </c>
      <c r="GW74" s="1943">
        <v>1806135</v>
      </c>
      <c r="GX74" s="1943">
        <v>100340.83333333333</v>
      </c>
      <c r="GY74" s="1985">
        <f t="shared" si="764"/>
        <v>14334.404761904761</v>
      </c>
      <c r="GZ74" s="1366">
        <v>0.43595190835679504</v>
      </c>
      <c r="HA74" s="1366">
        <v>8.8878738300293164E-2</v>
      </c>
      <c r="HB74" s="1366">
        <v>0.17750334277338073</v>
      </c>
      <c r="HC74" s="1366">
        <v>5.6947016695872675E-2</v>
      </c>
      <c r="HD74" s="1366">
        <v>9.120912888571453E-2</v>
      </c>
      <c r="HE74" s="1366">
        <v>0.14950986498794386</v>
      </c>
      <c r="HF74" s="1366">
        <v>1</v>
      </c>
      <c r="HG74" s="1936">
        <v>0</v>
      </c>
      <c r="HH74" s="1988">
        <f>IF(HG74=0,0,VLOOKUP(A74,'Area (&amp;golfacre for lookup)'!$G$2:$H$134,2,FALSE))</f>
        <v>0</v>
      </c>
      <c r="HI74" s="1936">
        <v>0</v>
      </c>
      <c r="HJ74" s="1936">
        <v>0</v>
      </c>
      <c r="HK74" s="1936">
        <v>0</v>
      </c>
      <c r="HL74" s="1936">
        <v>0</v>
      </c>
      <c r="HM74" s="1936">
        <v>0</v>
      </c>
      <c r="HN74" s="1936">
        <v>0</v>
      </c>
      <c r="HO74" s="1936">
        <v>0</v>
      </c>
      <c r="HP74" s="1936">
        <v>0</v>
      </c>
      <c r="HQ74" s="1936">
        <v>0</v>
      </c>
      <c r="HR74" s="1988">
        <f t="shared" si="765"/>
        <v>0</v>
      </c>
      <c r="HS74" s="1936">
        <v>0</v>
      </c>
      <c r="HT74" s="1936">
        <v>0</v>
      </c>
      <c r="HU74" s="1936">
        <v>0</v>
      </c>
      <c r="HV74" s="1936">
        <v>0</v>
      </c>
      <c r="HW74" s="1936">
        <v>0</v>
      </c>
      <c r="HX74" s="1936">
        <v>0</v>
      </c>
      <c r="HY74" s="1936">
        <v>0</v>
      </c>
      <c r="HZ74" s="51"/>
      <c r="IA74" s="59">
        <f t="shared" si="766"/>
        <v>0</v>
      </c>
      <c r="IB74" s="59"/>
      <c r="IC74" s="815">
        <f t="shared" si="581"/>
        <v>1</v>
      </c>
      <c r="ID74" s="815"/>
      <c r="IE74" s="284">
        <f t="shared" si="582"/>
        <v>0</v>
      </c>
      <c r="IF74" s="284"/>
      <c r="IG74" s="284">
        <f t="shared" si="583"/>
        <v>5686.3100590263866</v>
      </c>
      <c r="IH74" s="284"/>
      <c r="II74" s="1288">
        <f t="shared" si="584"/>
        <v>0</v>
      </c>
      <c r="IJ74" s="1288">
        <f t="shared" si="585"/>
        <v>0.94674317187258217</v>
      </c>
      <c r="IK74" s="284">
        <f t="shared" si="586"/>
        <v>1</v>
      </c>
      <c r="IL74" s="284">
        <f t="shared" si="587"/>
        <v>0</v>
      </c>
      <c r="IM74" s="284">
        <f t="shared" si="588"/>
        <v>0</v>
      </c>
      <c r="IN74" s="284">
        <f t="shared" si="589"/>
        <v>0</v>
      </c>
      <c r="IO74" s="753">
        <f t="shared" si="590"/>
        <v>-604.57095435684653</v>
      </c>
      <c r="IP74" s="113">
        <f t="shared" si="591"/>
        <v>-658.05735345633445</v>
      </c>
      <c r="IQ74" s="30">
        <f t="shared" si="592"/>
        <v>-0.19953224786426149</v>
      </c>
      <c r="IR74" s="438">
        <f t="shared" si="593"/>
        <v>1472587</v>
      </c>
      <c r="IS74" s="438">
        <f t="shared" si="594"/>
        <v>758896</v>
      </c>
      <c r="IT74" s="438">
        <f t="shared" si="595"/>
        <v>1990966</v>
      </c>
      <c r="IU74" s="438">
        <f t="shared" si="596"/>
        <v>391008</v>
      </c>
      <c r="IV74" s="438">
        <f t="shared" si="597"/>
        <v>924177</v>
      </c>
      <c r="IW74" s="438">
        <f t="shared" si="598"/>
        <v>382348</v>
      </c>
      <c r="IX74" s="285">
        <f t="shared" si="599"/>
        <v>0.6599140571539196</v>
      </c>
      <c r="IY74" s="285">
        <f t="shared" si="600"/>
        <v>0.3400859428460804</v>
      </c>
      <c r="IZ74" s="285">
        <f t="shared" si="601"/>
        <v>0.8922165214792136</v>
      </c>
      <c r="JA74" s="285">
        <f t="shared" si="602"/>
        <v>0.17522338283554031</v>
      </c>
      <c r="JB74" s="285">
        <f t="shared" si="603"/>
        <v>0.41415372646800358</v>
      </c>
      <c r="JC74" s="285">
        <f t="shared" si="604"/>
        <v>0.17134255560091652</v>
      </c>
      <c r="JD74" s="60">
        <f t="shared" si="605"/>
        <v>7302158</v>
      </c>
      <c r="JE74" s="60">
        <f t="shared" si="606"/>
        <v>2048290</v>
      </c>
      <c r="JF74" s="60">
        <f t="shared" si="607"/>
        <v>0</v>
      </c>
      <c r="JG74" s="60">
        <f t="shared" si="608"/>
        <v>580175</v>
      </c>
      <c r="JH74" s="284">
        <f t="shared" si="609"/>
        <v>0</v>
      </c>
      <c r="JI74" s="284">
        <f t="shared" si="610"/>
        <v>1</v>
      </c>
      <c r="JJ74" s="560">
        <f t="shared" si="611"/>
        <v>0.75115861948156304</v>
      </c>
      <c r="JK74" s="561">
        <f t="shared" si="612"/>
        <v>0.53424012850958258</v>
      </c>
      <c r="JL74" s="561">
        <f t="shared" si="613"/>
        <v>7.8465645167178771E-2</v>
      </c>
      <c r="JM74" s="561">
        <f t="shared" si="614"/>
        <v>1.674733891940218E-2</v>
      </c>
      <c r="JN74" s="561">
        <f t="shared" si="615"/>
        <v>0.3246307769243113</v>
      </c>
      <c r="JO74" s="561">
        <f t="shared" si="616"/>
        <v>6.0565744419096099E-3</v>
      </c>
      <c r="JP74" s="561">
        <f t="shared" si="617"/>
        <v>4.3202177598952632E-2</v>
      </c>
      <c r="JQ74" s="561">
        <f t="shared" si="618"/>
        <v>1.0033426415613371</v>
      </c>
      <c r="JR74" s="61">
        <f t="shared" si="619"/>
        <v>43743.777777777781</v>
      </c>
      <c r="JS74" s="61">
        <f t="shared" si="620"/>
        <v>8918.1666666666661</v>
      </c>
      <c r="JT74" s="61">
        <f t="shared" si="621"/>
        <v>17810.833333333332</v>
      </c>
      <c r="JU74" s="61">
        <f t="shared" si="622"/>
        <v>5714.1111111111113</v>
      </c>
      <c r="JV74" s="61">
        <f t="shared" si="623"/>
        <v>9152</v>
      </c>
      <c r="JW74" s="61">
        <f t="shared" si="624"/>
        <v>15001.944444444445</v>
      </c>
      <c r="JX74" s="61">
        <f t="shared" si="625"/>
        <v>31.396300867418777</v>
      </c>
      <c r="JY74" s="394">
        <f t="shared" si="626"/>
        <v>0.15283588379248367</v>
      </c>
      <c r="JZ74" s="61">
        <f t="shared" si="627"/>
        <v>0</v>
      </c>
      <c r="KA74" s="61">
        <f t="shared" si="628"/>
        <v>0</v>
      </c>
      <c r="KB74" s="61">
        <f t="shared" si="629"/>
        <v>0</v>
      </c>
      <c r="KC74" s="61">
        <f t="shared" si="630"/>
        <v>0</v>
      </c>
      <c r="KD74" s="61">
        <f t="shared" si="631"/>
        <v>0</v>
      </c>
      <c r="KE74" s="61">
        <f t="shared" si="632"/>
        <v>0</v>
      </c>
      <c r="KF74" s="61">
        <f t="shared" si="633"/>
        <v>0</v>
      </c>
      <c r="KG74" s="61">
        <f t="shared" si="634"/>
        <v>0</v>
      </c>
      <c r="KH74" s="61">
        <f t="shared" si="635"/>
        <v>0</v>
      </c>
      <c r="KI74" s="394">
        <f t="shared" si="636"/>
        <v>0</v>
      </c>
      <c r="KJ74" s="438">
        <f t="shared" si="637"/>
        <v>18</v>
      </c>
      <c r="KK74" s="438">
        <f t="shared" si="638"/>
        <v>57527</v>
      </c>
      <c r="KL74" s="438">
        <f t="shared" si="639"/>
        <v>126</v>
      </c>
      <c r="KM74" s="438">
        <f t="shared" si="640"/>
        <v>100340.83333333333</v>
      </c>
      <c r="KN74" s="438">
        <f t="shared" si="641"/>
        <v>31.396300867418777</v>
      </c>
      <c r="KO74" s="438">
        <f t="shared" si="642"/>
        <v>14334.404761904761</v>
      </c>
      <c r="KP74" s="438">
        <f t="shared" si="643"/>
        <v>787388</v>
      </c>
      <c r="KQ74" s="438">
        <f t="shared" si="644"/>
        <v>160527</v>
      </c>
      <c r="KR74" s="438">
        <f t="shared" si="645"/>
        <v>320595</v>
      </c>
      <c r="KS74" s="438">
        <f t="shared" si="646"/>
        <v>102854</v>
      </c>
      <c r="KT74" s="438">
        <f t="shared" si="647"/>
        <v>164736</v>
      </c>
      <c r="KU74" s="438">
        <f t="shared" si="648"/>
        <v>270035</v>
      </c>
      <c r="KV74" s="420">
        <f t="shared" si="649"/>
        <v>0.15283588379248367</v>
      </c>
      <c r="KW74" s="420">
        <f t="shared" si="650"/>
        <v>-0.21036247092982649</v>
      </c>
      <c r="KX74" s="108"/>
      <c r="KY74" s="282">
        <f t="shared" si="651"/>
        <v>0</v>
      </c>
      <c r="KZ74" s="282"/>
      <c r="LA74" s="282">
        <f t="shared" si="652"/>
        <v>0</v>
      </c>
      <c r="LB74" s="282"/>
      <c r="LC74" s="286">
        <f t="shared" si="653"/>
        <v>0</v>
      </c>
      <c r="LD74" s="286"/>
      <c r="LE74" s="282">
        <f t="shared" si="654"/>
        <v>0</v>
      </c>
      <c r="LF74" s="282"/>
      <c r="LG74" s="282">
        <f t="shared" si="655"/>
        <v>0</v>
      </c>
      <c r="LH74" s="282">
        <f t="shared" si="656"/>
        <v>0</v>
      </c>
      <c r="LI74" s="282">
        <f t="shared" si="657"/>
        <v>0</v>
      </c>
      <c r="LJ74" s="282">
        <f t="shared" si="658"/>
        <v>0</v>
      </c>
      <c r="LK74" s="282"/>
      <c r="LL74" s="282">
        <f t="shared" si="659"/>
        <v>0</v>
      </c>
      <c r="LM74" s="282">
        <f t="shared" si="660"/>
        <v>0</v>
      </c>
      <c r="LN74" s="282">
        <f t="shared" si="661"/>
        <v>0</v>
      </c>
      <c r="LO74" s="282">
        <f t="shared" si="662"/>
        <v>0</v>
      </c>
      <c r="LP74" s="286">
        <f t="shared" si="663"/>
        <v>0</v>
      </c>
      <c r="LQ74" s="282">
        <f t="shared" si="664"/>
        <v>0</v>
      </c>
      <c r="LR74" s="282">
        <f t="shared" si="665"/>
        <v>0</v>
      </c>
      <c r="LS74" s="282">
        <f t="shared" si="666"/>
        <v>0</v>
      </c>
      <c r="LT74" s="286">
        <f t="shared" si="667"/>
        <v>0</v>
      </c>
      <c r="LU74" s="286">
        <f t="shared" si="668"/>
        <v>0</v>
      </c>
      <c r="LV74" s="286">
        <f t="shared" si="669"/>
        <v>0</v>
      </c>
      <c r="LW74" s="286">
        <f t="shared" si="670"/>
        <v>0</v>
      </c>
      <c r="LX74" s="286">
        <f t="shared" si="671"/>
        <v>0</v>
      </c>
      <c r="LY74" s="286">
        <f t="shared" si="672"/>
        <v>0</v>
      </c>
      <c r="LZ74" s="286">
        <f t="shared" si="673"/>
        <v>0</v>
      </c>
      <c r="MA74" s="286">
        <f t="shared" si="674"/>
        <v>0</v>
      </c>
      <c r="MB74" s="286">
        <f t="shared" si="675"/>
        <v>0</v>
      </c>
      <c r="MC74" s="286">
        <f t="shared" si="676"/>
        <v>0</v>
      </c>
      <c r="MD74" s="286">
        <f t="shared" si="677"/>
        <v>0</v>
      </c>
      <c r="ME74" s="286">
        <f t="shared" si="678"/>
        <v>0</v>
      </c>
      <c r="MF74" s="286">
        <f t="shared" si="679"/>
        <v>0</v>
      </c>
      <c r="MG74" s="286">
        <f t="shared" si="680"/>
        <v>0</v>
      </c>
      <c r="MH74" s="286">
        <f t="shared" si="681"/>
        <v>0</v>
      </c>
      <c r="MI74" s="286">
        <f t="shared" si="682"/>
        <v>0</v>
      </c>
      <c r="MJ74" s="286">
        <f t="shared" si="683"/>
        <v>0</v>
      </c>
      <c r="MK74" s="286">
        <f t="shared" si="684"/>
        <v>0</v>
      </c>
      <c r="ML74" s="282">
        <f t="shared" si="685"/>
        <v>0</v>
      </c>
      <c r="MM74" s="1232">
        <f t="shared" si="686"/>
        <v>0</v>
      </c>
      <c r="MN74" s="1232">
        <f t="shared" si="687"/>
        <v>0</v>
      </c>
      <c r="MO74" s="1232">
        <f t="shared" si="688"/>
        <v>0</v>
      </c>
      <c r="MP74" s="1232">
        <f t="shared" si="689"/>
        <v>0</v>
      </c>
      <c r="MQ74" s="282">
        <f t="shared" si="690"/>
        <v>0</v>
      </c>
      <c r="MR74" s="282">
        <f t="shared" si="691"/>
        <v>0</v>
      </c>
      <c r="MS74" s="282">
        <f t="shared" si="692"/>
        <v>0</v>
      </c>
      <c r="MT74" s="282">
        <f t="shared" si="693"/>
        <v>0</v>
      </c>
      <c r="MU74" s="282">
        <f t="shared" si="694"/>
        <v>0</v>
      </c>
      <c r="MV74" s="282">
        <f t="shared" si="695"/>
        <v>0</v>
      </c>
      <c r="MW74" s="282">
        <f t="shared" si="696"/>
        <v>0</v>
      </c>
      <c r="MX74" s="282">
        <f t="shared" si="697"/>
        <v>0</v>
      </c>
      <c r="MY74" s="282">
        <f t="shared" si="698"/>
        <v>0</v>
      </c>
      <c r="MZ74" s="282">
        <f t="shared" si="699"/>
        <v>0</v>
      </c>
      <c r="NA74" s="282">
        <f t="shared" si="700"/>
        <v>0</v>
      </c>
      <c r="NB74" s="282">
        <f t="shared" si="701"/>
        <v>0</v>
      </c>
      <c r="NC74" s="282">
        <f t="shared" si="702"/>
        <v>0</v>
      </c>
      <c r="ND74" s="282">
        <f t="shared" si="703"/>
        <v>0</v>
      </c>
      <c r="NE74" s="282">
        <f t="shared" si="704"/>
        <v>0</v>
      </c>
      <c r="NF74" s="282">
        <f t="shared" si="705"/>
        <v>0</v>
      </c>
      <c r="NG74" s="282">
        <f t="shared" si="706"/>
        <v>0</v>
      </c>
      <c r="NH74" s="282">
        <f t="shared" si="707"/>
        <v>0</v>
      </c>
      <c r="NI74" s="282">
        <f t="shared" si="708"/>
        <v>0</v>
      </c>
      <c r="NJ74" s="282">
        <f t="shared" si="709"/>
        <v>0</v>
      </c>
      <c r="NK74" s="282">
        <f t="shared" si="710"/>
        <v>0</v>
      </c>
      <c r="NL74" s="282">
        <f t="shared" si="711"/>
        <v>0</v>
      </c>
      <c r="NM74" s="1205">
        <f t="shared" si="712"/>
        <v>0</v>
      </c>
      <c r="NN74" s="282">
        <f t="shared" si="713"/>
        <v>0</v>
      </c>
      <c r="NO74" s="282">
        <f t="shared" si="714"/>
        <v>0</v>
      </c>
      <c r="NP74" s="282">
        <f t="shared" si="715"/>
        <v>0</v>
      </c>
      <c r="NQ74" s="282">
        <f t="shared" si="716"/>
        <v>0</v>
      </c>
      <c r="NR74" s="282">
        <f t="shared" si="717"/>
        <v>0</v>
      </c>
      <c r="NS74" s="282">
        <f t="shared" si="718"/>
        <v>0</v>
      </c>
      <c r="NT74" s="282">
        <f t="shared" si="719"/>
        <v>0</v>
      </c>
      <c r="NU74" s="282">
        <f t="shared" si="720"/>
        <v>0</v>
      </c>
      <c r="NV74" s="286">
        <f t="shared" si="721"/>
        <v>0</v>
      </c>
      <c r="NW74" s="286">
        <f t="shared" si="722"/>
        <v>0</v>
      </c>
      <c r="NX74" s="286">
        <f t="shared" si="723"/>
        <v>0</v>
      </c>
      <c r="NY74" s="286">
        <f t="shared" si="724"/>
        <v>0</v>
      </c>
      <c r="NZ74" s="286">
        <f t="shared" si="725"/>
        <v>0</v>
      </c>
      <c r="OA74" s="286">
        <f t="shared" si="726"/>
        <v>0</v>
      </c>
      <c r="OB74" s="286">
        <f t="shared" si="727"/>
        <v>0</v>
      </c>
      <c r="OC74" s="286">
        <f t="shared" si="728"/>
        <v>0</v>
      </c>
      <c r="OD74" s="286">
        <f t="shared" si="729"/>
        <v>0</v>
      </c>
      <c r="OE74" s="282">
        <f t="shared" si="730"/>
        <v>0</v>
      </c>
      <c r="OF74" s="282">
        <f t="shared" si="731"/>
        <v>0</v>
      </c>
      <c r="OG74" s="286">
        <f t="shared" si="732"/>
        <v>0</v>
      </c>
      <c r="OH74" s="286">
        <f t="shared" si="733"/>
        <v>0</v>
      </c>
      <c r="OI74" s="286">
        <f t="shared" si="734"/>
        <v>0</v>
      </c>
      <c r="OJ74" s="286">
        <f t="shared" si="735"/>
        <v>0</v>
      </c>
      <c r="OK74" s="286">
        <f t="shared" si="736"/>
        <v>0</v>
      </c>
      <c r="OL74" s="286">
        <f t="shared" si="737"/>
        <v>0</v>
      </c>
      <c r="OM74" s="286">
        <f t="shared" si="738"/>
        <v>0</v>
      </c>
      <c r="ON74" s="286">
        <f t="shared" si="739"/>
        <v>0</v>
      </c>
      <c r="OO74" s="286">
        <f t="shared" si="740"/>
        <v>0</v>
      </c>
      <c r="OP74" s="434">
        <f t="shared" si="741"/>
        <v>0</v>
      </c>
      <c r="OQ74" s="434">
        <f t="shared" si="742"/>
        <v>0</v>
      </c>
      <c r="OR74" s="282">
        <f t="shared" si="743"/>
        <v>0</v>
      </c>
      <c r="OS74" s="282">
        <f t="shared" si="744"/>
        <v>0</v>
      </c>
      <c r="OT74" s="282">
        <f t="shared" si="745"/>
        <v>0</v>
      </c>
      <c r="OU74" s="282">
        <f t="shared" si="746"/>
        <v>0</v>
      </c>
      <c r="OV74" s="282">
        <f t="shared" si="747"/>
        <v>0</v>
      </c>
      <c r="OW74" s="286">
        <f t="shared" si="748"/>
        <v>0</v>
      </c>
      <c r="OX74" s="286">
        <f t="shared" si="749"/>
        <v>0</v>
      </c>
      <c r="OY74" s="286">
        <f t="shared" si="750"/>
        <v>0</v>
      </c>
      <c r="OZ74" s="286">
        <f t="shared" si="751"/>
        <v>0</v>
      </c>
      <c r="PA74" s="286">
        <f t="shared" si="752"/>
        <v>0</v>
      </c>
      <c r="PB74" s="286">
        <f t="shared" si="753"/>
        <v>0</v>
      </c>
      <c r="PC74" s="286">
        <f t="shared" si="754"/>
        <v>0</v>
      </c>
      <c r="PD74" s="282">
        <f t="shared" si="755"/>
        <v>0</v>
      </c>
      <c r="PE74" s="282">
        <f t="shared" si="756"/>
        <v>0</v>
      </c>
      <c r="PF74" s="286">
        <f t="shared" si="757"/>
        <v>0</v>
      </c>
      <c r="PG74" s="286">
        <f t="shared" si="758"/>
        <v>0</v>
      </c>
      <c r="PH74" s="286">
        <f t="shared" si="759"/>
        <v>0</v>
      </c>
      <c r="PI74" s="286">
        <f t="shared" si="760"/>
        <v>0</v>
      </c>
      <c r="PJ74" s="286">
        <f t="shared" si="761"/>
        <v>0</v>
      </c>
      <c r="PK74" s="286">
        <f t="shared" si="762"/>
        <v>0</v>
      </c>
      <c r="PL74" s="286">
        <f t="shared" si="763"/>
        <v>0</v>
      </c>
      <c r="PM74" s="562">
        <v>18</v>
      </c>
      <c r="PO74" s="571"/>
    </row>
    <row r="75" spans="1:431" s="289" customFormat="1" ht="15.75" customHeight="1">
      <c r="A75" s="1935" t="s">
        <v>2146</v>
      </c>
      <c r="B75" s="1040" t="str">
        <f>VLOOKUP(A75,'Area (&amp;golfacre for lookup)'!$A$2:$B$162,2,FALSE)</f>
        <v>SW CIRA</v>
      </c>
      <c r="C75" s="1936"/>
      <c r="D75" s="1937">
        <v>44926</v>
      </c>
      <c r="E75" s="402"/>
      <c r="F75" s="1936">
        <v>0</v>
      </c>
      <c r="G75" s="1936">
        <v>1</v>
      </c>
      <c r="H75" s="1936">
        <v>570</v>
      </c>
      <c r="I75" s="1936">
        <v>64</v>
      </c>
      <c r="J75" s="1936">
        <v>634</v>
      </c>
      <c r="K75" s="1938">
        <v>655.90031695721075</v>
      </c>
      <c r="L75" s="1939" t="s">
        <v>1208</v>
      </c>
      <c r="M75" s="1939" t="s">
        <v>1208</v>
      </c>
      <c r="N75" s="1939" t="s">
        <v>1208</v>
      </c>
      <c r="O75" s="1939" t="s">
        <v>1208</v>
      </c>
      <c r="P75" s="1939" t="s">
        <v>1208</v>
      </c>
      <c r="Q75" s="1936">
        <v>0</v>
      </c>
      <c r="R75" s="1979">
        <v>7500</v>
      </c>
      <c r="S75" s="1979">
        <v>7500</v>
      </c>
      <c r="T75" s="1939" t="s">
        <v>1208</v>
      </c>
      <c r="U75" s="1939" t="s">
        <v>1208</v>
      </c>
      <c r="V75" s="1939" t="s">
        <v>1208</v>
      </c>
      <c r="W75" s="1936">
        <v>6839</v>
      </c>
      <c r="X75" s="1936">
        <v>6310</v>
      </c>
      <c r="Y75" s="1939" t="s">
        <v>1208</v>
      </c>
      <c r="Z75" s="1939" t="s">
        <v>1208</v>
      </c>
      <c r="AA75" s="1936">
        <v>529</v>
      </c>
      <c r="AB75" s="1362">
        <v>8.3835182250396198E-2</v>
      </c>
      <c r="AC75" s="1939" t="s">
        <v>1208</v>
      </c>
      <c r="AD75" s="1363" t="s">
        <v>1208</v>
      </c>
      <c r="AE75" s="1936">
        <v>1</v>
      </c>
      <c r="AF75" s="1936">
        <v>1424</v>
      </c>
      <c r="AG75" s="1939" t="s">
        <v>1208</v>
      </c>
      <c r="AH75" s="1936">
        <v>0</v>
      </c>
      <c r="AI75" s="1936">
        <v>0</v>
      </c>
      <c r="AJ75" s="1939" t="s">
        <v>1208</v>
      </c>
      <c r="AK75" s="1938">
        <v>1</v>
      </c>
      <c r="AL75" s="1938">
        <v>975</v>
      </c>
      <c r="AM75" s="1936">
        <v>8709</v>
      </c>
      <c r="AN75" s="1939" t="s">
        <v>1208</v>
      </c>
      <c r="AO75" s="1936">
        <v>1000</v>
      </c>
      <c r="AP75" s="1936">
        <v>0</v>
      </c>
      <c r="AQ75" s="1936">
        <v>9709</v>
      </c>
      <c r="AR75" s="1939" t="s">
        <v>1208</v>
      </c>
      <c r="AS75" s="1363" t="s">
        <v>1208</v>
      </c>
      <c r="AT75" s="1363" t="s">
        <v>1208</v>
      </c>
      <c r="AU75" s="1363" t="s">
        <v>1208</v>
      </c>
      <c r="AV75" s="1363" t="s">
        <v>1208</v>
      </c>
      <c r="AW75" s="1363" t="s">
        <v>1291</v>
      </c>
      <c r="AX75" s="1938">
        <v>0</v>
      </c>
      <c r="AY75" s="1938">
        <v>0</v>
      </c>
      <c r="AZ75" s="1938">
        <v>0</v>
      </c>
      <c r="BA75" s="1938">
        <v>0</v>
      </c>
      <c r="BB75" s="1938">
        <v>0</v>
      </c>
      <c r="BC75" s="1938">
        <v>0</v>
      </c>
      <c r="BD75" s="1938">
        <v>0</v>
      </c>
      <c r="BE75" s="1936">
        <v>1</v>
      </c>
      <c r="BF75" s="1936">
        <v>17300000</v>
      </c>
      <c r="BG75" s="1936">
        <v>56430</v>
      </c>
      <c r="BH75" s="1936">
        <v>17356430</v>
      </c>
      <c r="BI75" s="1938">
        <v>16035017</v>
      </c>
      <c r="BJ75" s="1936">
        <v>277559</v>
      </c>
      <c r="BK75" s="1936">
        <v>385830</v>
      </c>
      <c r="BL75" s="1362">
        <v>0.71938159292952852</v>
      </c>
      <c r="BM75" s="1936">
        <v>1</v>
      </c>
      <c r="BN75" s="1936">
        <v>1060364</v>
      </c>
      <c r="BO75" s="1363" t="s">
        <v>1208</v>
      </c>
      <c r="BP75" s="1938">
        <v>5957936</v>
      </c>
      <c r="BQ75" s="1938">
        <v>5894372</v>
      </c>
      <c r="BR75" s="1940">
        <v>1.0107838460144694</v>
      </c>
      <c r="BS75" s="1409">
        <v>1</v>
      </c>
      <c r="BT75" s="1938">
        <v>6955271</v>
      </c>
      <c r="BU75" s="1938">
        <v>19216539</v>
      </c>
      <c r="BV75" s="1940">
        <v>0.36194191888560162</v>
      </c>
      <c r="BW75" s="1936">
        <v>1616.654196660764</v>
      </c>
      <c r="BX75" s="1936">
        <v>423.17253525295558</v>
      </c>
      <c r="BY75" s="1936">
        <v>26461.993615917538</v>
      </c>
      <c r="BZ75" s="1936">
        <v>1661059</v>
      </c>
      <c r="CA75" s="1936">
        <v>0</v>
      </c>
      <c r="CB75" s="1936">
        <v>311095</v>
      </c>
      <c r="CC75" s="1936">
        <v>66708</v>
      </c>
      <c r="CD75" s="1936">
        <v>4138731</v>
      </c>
      <c r="CE75" s="1936">
        <v>0</v>
      </c>
      <c r="CF75" s="1936">
        <v>0</v>
      </c>
      <c r="CG75" s="1936">
        <v>1006903</v>
      </c>
      <c r="CH75" s="1936">
        <v>530305</v>
      </c>
      <c r="CI75" s="1936">
        <v>124321</v>
      </c>
      <c r="CJ75" s="1936">
        <v>7839122</v>
      </c>
      <c r="CK75" s="1366">
        <v>0.21189350031802032</v>
      </c>
      <c r="CL75" s="1366">
        <v>0</v>
      </c>
      <c r="CM75" s="1366">
        <v>3.9684929000977406E-2</v>
      </c>
      <c r="CN75" s="1366">
        <v>8.5096264607184332E-3</v>
      </c>
      <c r="CO75" s="1366">
        <v>0.52795848820824576</v>
      </c>
      <c r="CP75" s="1366">
        <v>0</v>
      </c>
      <c r="CQ75" s="1366">
        <v>0</v>
      </c>
      <c r="CR75" s="1366">
        <v>0.12844588973101834</v>
      </c>
      <c r="CS75" s="1366">
        <v>6.7648519821480013E-2</v>
      </c>
      <c r="CT75" s="1366">
        <v>1.5859046459539727E-2</v>
      </c>
      <c r="CU75" s="1366">
        <v>1</v>
      </c>
      <c r="CV75" s="1936">
        <v>4537142</v>
      </c>
      <c r="CW75" s="1936">
        <v>652502</v>
      </c>
      <c r="CX75" s="1936">
        <v>236549</v>
      </c>
      <c r="CY75" s="1936">
        <v>2270436</v>
      </c>
      <c r="CZ75" s="1936">
        <v>90</v>
      </c>
      <c r="DA75" s="1936">
        <v>176773</v>
      </c>
      <c r="DB75" s="1936">
        <v>7873492</v>
      </c>
      <c r="DC75" s="1366">
        <v>0.57625536420180523</v>
      </c>
      <c r="DD75" s="1366">
        <v>8.2873266398187748E-2</v>
      </c>
      <c r="DE75" s="1366">
        <v>3.0043721388171855E-2</v>
      </c>
      <c r="DF75" s="1366">
        <v>0.28836455285659779</v>
      </c>
      <c r="DG75" s="1366">
        <v>1.1430760328454008E-5</v>
      </c>
      <c r="DH75" s="1366">
        <v>2.2451664394908893E-2</v>
      </c>
      <c r="DI75" s="1366">
        <v>1</v>
      </c>
      <c r="DJ75" s="1936">
        <v>-34370</v>
      </c>
      <c r="DK75" s="1936">
        <v>2532.4869603750521</v>
      </c>
      <c r="DL75" s="1936">
        <v>0</v>
      </c>
      <c r="DM75" s="1936">
        <v>474.30225593303845</v>
      </c>
      <c r="DN75" s="1936">
        <v>101.70447898160089</v>
      </c>
      <c r="DO75" s="1936">
        <v>6310</v>
      </c>
      <c r="DP75" s="1936">
        <v>0</v>
      </c>
      <c r="DQ75" s="1936">
        <v>0</v>
      </c>
      <c r="DR75" s="1936">
        <v>1535.1463842419332</v>
      </c>
      <c r="DS75" s="1936">
        <v>808.51462682643546</v>
      </c>
      <c r="DT75" s="1936">
        <v>189.54252160867668</v>
      </c>
      <c r="DU75" s="1936">
        <v>11951.697227966737</v>
      </c>
      <c r="DV75" s="1936">
        <v>6917.4261434241562</v>
      </c>
      <c r="DW75" s="1936">
        <v>994.81885147887124</v>
      </c>
      <c r="DX75" s="1936">
        <v>360.64779034926408</v>
      </c>
      <c r="DY75" s="1936">
        <v>3461.5564915912632</v>
      </c>
      <c r="DZ75" s="1936">
        <v>0.1372159727220735</v>
      </c>
      <c r="EA75" s="1936">
        <v>269.51199051110115</v>
      </c>
      <c r="EB75" s="1936">
        <v>12004.098483327378</v>
      </c>
      <c r="EC75" s="1936">
        <v>-52.401255360640739</v>
      </c>
      <c r="ED75" s="1941">
        <v>54</v>
      </c>
      <c r="EE75" s="1936">
        <v>1</v>
      </c>
      <c r="EF75" s="1936">
        <v>8</v>
      </c>
      <c r="EG75" s="1938">
        <v>25000</v>
      </c>
      <c r="EH75" s="1938">
        <v>0</v>
      </c>
      <c r="EI75" s="1368">
        <v>0</v>
      </c>
      <c r="EJ75" s="1936">
        <v>12.146302165874273</v>
      </c>
      <c r="EK75" s="1936">
        <v>1</v>
      </c>
      <c r="EL75" s="1936">
        <v>1000</v>
      </c>
      <c r="EM75" s="1936">
        <v>1</v>
      </c>
      <c r="EN75" s="1362">
        <v>0.2</v>
      </c>
      <c r="EO75" s="1936">
        <v>0</v>
      </c>
      <c r="EP75" s="1936">
        <v>0</v>
      </c>
      <c r="EQ75" s="1936">
        <v>0</v>
      </c>
      <c r="ER75" s="1938">
        <v>0</v>
      </c>
      <c r="ES75" s="1936">
        <v>2343.6610110683687</v>
      </c>
      <c r="ET75" s="1936">
        <v>-2185.2162027442714</v>
      </c>
      <c r="EU75" s="1938">
        <v>2</v>
      </c>
      <c r="EV75" s="1936">
        <v>20657</v>
      </c>
      <c r="EW75" s="1936">
        <v>2000</v>
      </c>
      <c r="EX75" s="1938">
        <v>2</v>
      </c>
      <c r="EY75" s="1936">
        <v>1006903</v>
      </c>
      <c r="EZ75" s="1936">
        <v>461229</v>
      </c>
      <c r="FA75" s="1936">
        <v>545674</v>
      </c>
      <c r="FB75" s="1936">
        <v>530305</v>
      </c>
      <c r="FC75" s="1936">
        <v>191273</v>
      </c>
      <c r="FD75" s="1936">
        <v>339032</v>
      </c>
      <c r="FE75" s="1936">
        <v>1537208</v>
      </c>
      <c r="FF75" s="1936">
        <v>652502</v>
      </c>
      <c r="FG75" s="1936">
        <v>884706</v>
      </c>
      <c r="FH75" s="1366">
        <v>1</v>
      </c>
      <c r="FI75" s="1366">
        <v>0.458066963749239</v>
      </c>
      <c r="FJ75" s="1366">
        <v>0.54193303625076095</v>
      </c>
      <c r="FK75" s="1366">
        <v>1</v>
      </c>
      <c r="FL75" s="1366">
        <v>0.36068488888469841</v>
      </c>
      <c r="FM75" s="1366">
        <v>0.63931511111530159</v>
      </c>
      <c r="FN75" s="1366">
        <v>1</v>
      </c>
      <c r="FO75" s="1366">
        <v>0.42447215991589948</v>
      </c>
      <c r="FP75" s="1366">
        <v>0.57552784008410052</v>
      </c>
      <c r="FQ75" s="1936">
        <v>1452334</v>
      </c>
      <c r="FR75" s="1936">
        <v>0</v>
      </c>
      <c r="FS75" s="1936">
        <v>360018</v>
      </c>
      <c r="FT75" s="1936">
        <v>45382</v>
      </c>
      <c r="FU75" s="1936">
        <v>69439</v>
      </c>
      <c r="FV75" s="1936">
        <v>43289</v>
      </c>
      <c r="FW75" s="1936">
        <v>347528</v>
      </c>
      <c r="FX75" s="1936">
        <v>2317990</v>
      </c>
      <c r="FY75" s="1936">
        <v>-1433284</v>
      </c>
      <c r="FZ75" s="1366">
        <v>0.94478691237620416</v>
      </c>
      <c r="GA75" s="1366">
        <v>0</v>
      </c>
      <c r="GB75" s="1366">
        <v>0.23420252821999366</v>
      </c>
      <c r="GC75" s="1366">
        <v>2.9522354814703021E-2</v>
      </c>
      <c r="GD75" s="1366">
        <v>4.5172156272931183E-2</v>
      </c>
      <c r="GE75" s="1366">
        <v>2.8160795416105042E-2</v>
      </c>
      <c r="GF75" s="1366">
        <v>0.22607740787193406</v>
      </c>
      <c r="GG75" s="1366">
        <v>1.5079221549718711</v>
      </c>
      <c r="GH75" s="1366">
        <v>-0.93239431488777058</v>
      </c>
      <c r="GI75" s="1942">
        <v>1.898724319023958</v>
      </c>
      <c r="GJ75" s="1943">
        <v>0</v>
      </c>
      <c r="GK75" s="1371">
        <v>0</v>
      </c>
      <c r="GL75" s="1943">
        <v>0</v>
      </c>
      <c r="GM75" s="1371">
        <v>0</v>
      </c>
      <c r="GN75" s="1943">
        <v>18</v>
      </c>
      <c r="GO75" s="1985">
        <f>IF(GN75=0,0,VLOOKUP(A75,'Area (&amp;golfacre for lookup)'!$G$2:$H$133,2,FALSE))</f>
        <v>100</v>
      </c>
      <c r="GP75" s="1943">
        <v>50556</v>
      </c>
      <c r="GQ75" s="1943">
        <v>845300</v>
      </c>
      <c r="GR75" s="1943">
        <v>250198</v>
      </c>
      <c r="GS75" s="1943">
        <v>565480</v>
      </c>
      <c r="GT75" s="1943">
        <v>100123</v>
      </c>
      <c r="GU75" s="1943">
        <v>11549</v>
      </c>
      <c r="GV75" s="1943">
        <v>297853</v>
      </c>
      <c r="GW75" s="1943">
        <v>2070503</v>
      </c>
      <c r="GX75" s="1943">
        <v>115027.94444444444</v>
      </c>
      <c r="GY75" s="1985">
        <f t="shared" si="764"/>
        <v>20705.03</v>
      </c>
      <c r="GZ75" s="1366">
        <v>0.40825828313216644</v>
      </c>
      <c r="HA75" s="1366">
        <v>0.1208392356833098</v>
      </c>
      <c r="HB75" s="1366">
        <v>0.27311237897264579</v>
      </c>
      <c r="HC75" s="1366">
        <v>4.8356848553225952E-2</v>
      </c>
      <c r="HD75" s="1366">
        <v>5.5778716572736191E-3</v>
      </c>
      <c r="HE75" s="1366">
        <v>0.1438553820013784</v>
      </c>
      <c r="HF75" s="1366">
        <v>1</v>
      </c>
      <c r="HG75" s="1936">
        <v>0</v>
      </c>
      <c r="HH75" s="1988">
        <f>IF(HG75=0,0,VLOOKUP(A75,'Area (&amp;golfacre for lookup)'!$G$2:$H$134,2,FALSE))</f>
        <v>0</v>
      </c>
      <c r="HI75" s="1936">
        <v>0</v>
      </c>
      <c r="HJ75" s="1936">
        <v>0</v>
      </c>
      <c r="HK75" s="1936">
        <v>0</v>
      </c>
      <c r="HL75" s="1936">
        <v>0</v>
      </c>
      <c r="HM75" s="1936">
        <v>0</v>
      </c>
      <c r="HN75" s="1936">
        <v>0</v>
      </c>
      <c r="HO75" s="1936">
        <v>0</v>
      </c>
      <c r="HP75" s="1936">
        <v>0</v>
      </c>
      <c r="HQ75" s="1936">
        <v>0</v>
      </c>
      <c r="HR75" s="1988">
        <f t="shared" si="765"/>
        <v>0</v>
      </c>
      <c r="HS75" s="1936">
        <v>0</v>
      </c>
      <c r="HT75" s="1936">
        <v>0</v>
      </c>
      <c r="HU75" s="1936">
        <v>0</v>
      </c>
      <c r="HV75" s="1936">
        <v>0</v>
      </c>
      <c r="HW75" s="1936">
        <v>0</v>
      </c>
      <c r="HX75" s="1936">
        <v>0</v>
      </c>
      <c r="HY75" s="1936">
        <v>0</v>
      </c>
      <c r="HZ75" s="51"/>
      <c r="IA75" s="59">
        <f t="shared" si="766"/>
        <v>0</v>
      </c>
      <c r="IB75" s="59"/>
      <c r="IC75" s="815">
        <f t="shared" si="581"/>
        <v>1</v>
      </c>
      <c r="ID75" s="815"/>
      <c r="IE75" s="284">
        <f t="shared" si="582"/>
        <v>0</v>
      </c>
      <c r="IF75" s="284"/>
      <c r="IG75" s="284">
        <f t="shared" si="583"/>
        <v>24447.338391888723</v>
      </c>
      <c r="IH75" s="284"/>
      <c r="II75" s="1288">
        <f t="shared" si="584"/>
        <v>1.0107838460144694</v>
      </c>
      <c r="IJ75" s="1288">
        <f t="shared" si="585"/>
        <v>0</v>
      </c>
      <c r="IK75" s="284">
        <f t="shared" si="586"/>
        <v>0</v>
      </c>
      <c r="IL75" s="284">
        <f t="shared" si="587"/>
        <v>0</v>
      </c>
      <c r="IM75" s="284">
        <f t="shared" si="588"/>
        <v>1</v>
      </c>
      <c r="IN75" s="284">
        <f t="shared" si="589"/>
        <v>0</v>
      </c>
      <c r="IO75" s="753">
        <f t="shared" si="590"/>
        <v>-2260.7003154574131</v>
      </c>
      <c r="IP75" s="113">
        <f t="shared" si="591"/>
        <v>-2185.2162027442714</v>
      </c>
      <c r="IQ75" s="30">
        <f t="shared" si="592"/>
        <v>-0.34631001628276881</v>
      </c>
      <c r="IR75" s="438">
        <f t="shared" si="593"/>
        <v>1006903</v>
      </c>
      <c r="IS75" s="438">
        <f t="shared" si="594"/>
        <v>530305</v>
      </c>
      <c r="IT75" s="438">
        <f t="shared" si="595"/>
        <v>1452334</v>
      </c>
      <c r="IU75" s="438">
        <f t="shared" si="596"/>
        <v>405400</v>
      </c>
      <c r="IV75" s="438">
        <f t="shared" si="597"/>
        <v>652502</v>
      </c>
      <c r="IW75" s="438">
        <f t="shared" si="598"/>
        <v>460256</v>
      </c>
      <c r="IX75" s="285">
        <f t="shared" si="599"/>
        <v>0.65502066083444788</v>
      </c>
      <c r="IY75" s="285">
        <f t="shared" si="600"/>
        <v>0.34497933916555207</v>
      </c>
      <c r="IZ75" s="285">
        <f t="shared" si="601"/>
        <v>0.94478691237620416</v>
      </c>
      <c r="JA75" s="285">
        <f t="shared" si="602"/>
        <v>0.26372488303469666</v>
      </c>
      <c r="JB75" s="285">
        <f t="shared" si="603"/>
        <v>0.42447215991589948</v>
      </c>
      <c r="JC75" s="285">
        <f t="shared" si="604"/>
        <v>0.29941035956097029</v>
      </c>
      <c r="JD75" s="60">
        <f t="shared" si="605"/>
        <v>4138731</v>
      </c>
      <c r="JE75" s="60">
        <f t="shared" si="606"/>
        <v>2038862</v>
      </c>
      <c r="JF75" s="60">
        <f t="shared" si="607"/>
        <v>0</v>
      </c>
      <c r="JG75" s="60">
        <f t="shared" si="608"/>
        <v>176863</v>
      </c>
      <c r="JH75" s="284">
        <f t="shared" si="609"/>
        <v>0</v>
      </c>
      <c r="JI75" s="284">
        <f t="shared" si="610"/>
        <v>1</v>
      </c>
      <c r="JJ75" s="560">
        <f t="shared" si="611"/>
        <v>0.76037544801427215</v>
      </c>
      <c r="JK75" s="561">
        <f t="shared" si="612"/>
        <v>0.57878190950466135</v>
      </c>
      <c r="JL75" s="561">
        <f t="shared" si="613"/>
        <v>8.323661757018197E-2</v>
      </c>
      <c r="JM75" s="561">
        <f t="shared" si="614"/>
        <v>3.0175445668532776E-2</v>
      </c>
      <c r="JN75" s="561">
        <f t="shared" si="615"/>
        <v>0.28962886404880545</v>
      </c>
      <c r="JO75" s="561">
        <f t="shared" si="616"/>
        <v>1.1480877577871604E-5</v>
      </c>
      <c r="JP75" s="561">
        <f t="shared" si="617"/>
        <v>2.25501019119233E-2</v>
      </c>
      <c r="JQ75" s="561">
        <f t="shared" si="618"/>
        <v>1.0043844195816827</v>
      </c>
      <c r="JR75" s="61">
        <f t="shared" si="619"/>
        <v>46961.111111111109</v>
      </c>
      <c r="JS75" s="61">
        <f t="shared" si="620"/>
        <v>13899.888888888889</v>
      </c>
      <c r="JT75" s="61">
        <f t="shared" si="621"/>
        <v>31415.555555555555</v>
      </c>
      <c r="JU75" s="61">
        <f t="shared" si="622"/>
        <v>5562.3888888888887</v>
      </c>
      <c r="JV75" s="61">
        <f t="shared" si="623"/>
        <v>641.61111111111109</v>
      </c>
      <c r="JW75" s="61">
        <f t="shared" si="624"/>
        <v>16547.388888888891</v>
      </c>
      <c r="JX75" s="61">
        <f t="shared" si="625"/>
        <v>40.954644354774906</v>
      </c>
      <c r="JY75" s="394">
        <f t="shared" si="626"/>
        <v>0.26297137280383343</v>
      </c>
      <c r="JZ75" s="61">
        <f t="shared" si="627"/>
        <v>0</v>
      </c>
      <c r="KA75" s="61">
        <f t="shared" si="628"/>
        <v>0</v>
      </c>
      <c r="KB75" s="61">
        <f t="shared" si="629"/>
        <v>0</v>
      </c>
      <c r="KC75" s="61">
        <f t="shared" si="630"/>
        <v>0</v>
      </c>
      <c r="KD75" s="61">
        <f t="shared" si="631"/>
        <v>0</v>
      </c>
      <c r="KE75" s="61">
        <f t="shared" si="632"/>
        <v>0</v>
      </c>
      <c r="KF75" s="61">
        <f t="shared" si="633"/>
        <v>0</v>
      </c>
      <c r="KG75" s="61">
        <f t="shared" si="634"/>
        <v>0</v>
      </c>
      <c r="KH75" s="61">
        <f t="shared" si="635"/>
        <v>0</v>
      </c>
      <c r="KI75" s="394">
        <f t="shared" si="636"/>
        <v>0</v>
      </c>
      <c r="KJ75" s="438">
        <f t="shared" si="637"/>
        <v>18</v>
      </c>
      <c r="KK75" s="438">
        <f t="shared" si="638"/>
        <v>50556</v>
      </c>
      <c r="KL75" s="438">
        <f t="shared" si="639"/>
        <v>100</v>
      </c>
      <c r="KM75" s="438">
        <f t="shared" si="640"/>
        <v>115027.94444444444</v>
      </c>
      <c r="KN75" s="438">
        <f t="shared" si="641"/>
        <v>40.954644354774906</v>
      </c>
      <c r="KO75" s="438">
        <f t="shared" si="642"/>
        <v>20705.03</v>
      </c>
      <c r="KP75" s="438">
        <f t="shared" si="643"/>
        <v>845300</v>
      </c>
      <c r="KQ75" s="438">
        <f t="shared" si="644"/>
        <v>250198</v>
      </c>
      <c r="KR75" s="438">
        <f t="shared" si="645"/>
        <v>565480</v>
      </c>
      <c r="KS75" s="438">
        <f t="shared" si="646"/>
        <v>100123</v>
      </c>
      <c r="KT75" s="438">
        <f t="shared" si="647"/>
        <v>11549</v>
      </c>
      <c r="KU75" s="438">
        <f t="shared" si="648"/>
        <v>297853</v>
      </c>
      <c r="KV75" s="420">
        <f t="shared" si="649"/>
        <v>0.26297137280383343</v>
      </c>
      <c r="KW75" s="420">
        <f t="shared" si="650"/>
        <v>-0.42830761409717133</v>
      </c>
      <c r="KX75" s="108"/>
      <c r="KY75" s="282">
        <f t="shared" si="651"/>
        <v>0</v>
      </c>
      <c r="KZ75" s="282"/>
      <c r="LA75" s="282">
        <f t="shared" si="652"/>
        <v>0</v>
      </c>
      <c r="LB75" s="282"/>
      <c r="LC75" s="286">
        <f t="shared" si="653"/>
        <v>0</v>
      </c>
      <c r="LD75" s="286"/>
      <c r="LE75" s="282">
        <f t="shared" si="654"/>
        <v>0</v>
      </c>
      <c r="LF75" s="282"/>
      <c r="LG75" s="282">
        <f t="shared" si="655"/>
        <v>0</v>
      </c>
      <c r="LH75" s="282">
        <f t="shared" si="656"/>
        <v>0</v>
      </c>
      <c r="LI75" s="282">
        <f t="shared" si="657"/>
        <v>0</v>
      </c>
      <c r="LJ75" s="282">
        <f t="shared" si="658"/>
        <v>0</v>
      </c>
      <c r="LK75" s="282"/>
      <c r="LL75" s="282">
        <f t="shared" si="659"/>
        <v>0</v>
      </c>
      <c r="LM75" s="282">
        <f t="shared" si="660"/>
        <v>0</v>
      </c>
      <c r="LN75" s="282">
        <f t="shared" si="661"/>
        <v>0</v>
      </c>
      <c r="LO75" s="282">
        <f t="shared" si="662"/>
        <v>0</v>
      </c>
      <c r="LP75" s="286">
        <f t="shared" si="663"/>
        <v>0</v>
      </c>
      <c r="LQ75" s="282">
        <f t="shared" si="664"/>
        <v>0</v>
      </c>
      <c r="LR75" s="282">
        <f t="shared" si="665"/>
        <v>0</v>
      </c>
      <c r="LS75" s="282">
        <f t="shared" si="666"/>
        <v>0</v>
      </c>
      <c r="LT75" s="286">
        <f t="shared" si="667"/>
        <v>0</v>
      </c>
      <c r="LU75" s="286">
        <f t="shared" si="668"/>
        <v>0</v>
      </c>
      <c r="LV75" s="286">
        <f t="shared" si="669"/>
        <v>0</v>
      </c>
      <c r="LW75" s="286">
        <f t="shared" si="670"/>
        <v>0</v>
      </c>
      <c r="LX75" s="286">
        <f t="shared" si="671"/>
        <v>0</v>
      </c>
      <c r="LY75" s="286">
        <f t="shared" si="672"/>
        <v>0</v>
      </c>
      <c r="LZ75" s="286">
        <f t="shared" si="673"/>
        <v>0</v>
      </c>
      <c r="MA75" s="286">
        <f t="shared" si="674"/>
        <v>0</v>
      </c>
      <c r="MB75" s="286">
        <f t="shared" si="675"/>
        <v>0</v>
      </c>
      <c r="MC75" s="286">
        <f t="shared" si="676"/>
        <v>0</v>
      </c>
      <c r="MD75" s="286">
        <f t="shared" si="677"/>
        <v>0</v>
      </c>
      <c r="ME75" s="286">
        <f t="shared" si="678"/>
        <v>0</v>
      </c>
      <c r="MF75" s="286">
        <f t="shared" si="679"/>
        <v>0</v>
      </c>
      <c r="MG75" s="286">
        <f t="shared" si="680"/>
        <v>0</v>
      </c>
      <c r="MH75" s="286">
        <f t="shared" si="681"/>
        <v>0</v>
      </c>
      <c r="MI75" s="286">
        <f t="shared" si="682"/>
        <v>0</v>
      </c>
      <c r="MJ75" s="286">
        <f t="shared" si="683"/>
        <v>0</v>
      </c>
      <c r="MK75" s="286">
        <f t="shared" si="684"/>
        <v>0</v>
      </c>
      <c r="ML75" s="282">
        <f t="shared" si="685"/>
        <v>0</v>
      </c>
      <c r="MM75" s="1232">
        <f t="shared" si="686"/>
        <v>0</v>
      </c>
      <c r="MN75" s="1232">
        <f t="shared" si="687"/>
        <v>0</v>
      </c>
      <c r="MO75" s="1232">
        <f t="shared" si="688"/>
        <v>0</v>
      </c>
      <c r="MP75" s="1232">
        <f t="shared" si="689"/>
        <v>0</v>
      </c>
      <c r="MQ75" s="282">
        <f t="shared" si="690"/>
        <v>0</v>
      </c>
      <c r="MR75" s="282">
        <f t="shared" si="691"/>
        <v>0</v>
      </c>
      <c r="MS75" s="282">
        <f t="shared" si="692"/>
        <v>0</v>
      </c>
      <c r="MT75" s="282">
        <f t="shared" si="693"/>
        <v>0</v>
      </c>
      <c r="MU75" s="282">
        <f t="shared" si="694"/>
        <v>0</v>
      </c>
      <c r="MV75" s="282">
        <f t="shared" si="695"/>
        <v>0</v>
      </c>
      <c r="MW75" s="282">
        <f t="shared" si="696"/>
        <v>0</v>
      </c>
      <c r="MX75" s="282">
        <f t="shared" si="697"/>
        <v>0</v>
      </c>
      <c r="MY75" s="282">
        <f t="shared" si="698"/>
        <v>0</v>
      </c>
      <c r="MZ75" s="282">
        <f t="shared" si="699"/>
        <v>0</v>
      </c>
      <c r="NA75" s="282">
        <f t="shared" si="700"/>
        <v>0</v>
      </c>
      <c r="NB75" s="282">
        <f t="shared" si="701"/>
        <v>0</v>
      </c>
      <c r="NC75" s="282">
        <f t="shared" si="702"/>
        <v>0</v>
      </c>
      <c r="ND75" s="282">
        <f t="shared" si="703"/>
        <v>0</v>
      </c>
      <c r="NE75" s="282">
        <f t="shared" si="704"/>
        <v>0</v>
      </c>
      <c r="NF75" s="282">
        <f t="shared" si="705"/>
        <v>0</v>
      </c>
      <c r="NG75" s="282">
        <f t="shared" si="706"/>
        <v>0</v>
      </c>
      <c r="NH75" s="282">
        <f t="shared" si="707"/>
        <v>0</v>
      </c>
      <c r="NI75" s="282">
        <f t="shared" si="708"/>
        <v>0</v>
      </c>
      <c r="NJ75" s="282">
        <f t="shared" si="709"/>
        <v>0</v>
      </c>
      <c r="NK75" s="282">
        <f t="shared" si="710"/>
        <v>0</v>
      </c>
      <c r="NL75" s="282">
        <f t="shared" si="711"/>
        <v>0</v>
      </c>
      <c r="NM75" s="1205">
        <f t="shared" si="712"/>
        <v>0</v>
      </c>
      <c r="NN75" s="282">
        <f t="shared" si="713"/>
        <v>0</v>
      </c>
      <c r="NO75" s="282">
        <f t="shared" si="714"/>
        <v>0</v>
      </c>
      <c r="NP75" s="282">
        <f t="shared" si="715"/>
        <v>0</v>
      </c>
      <c r="NQ75" s="282">
        <f t="shared" si="716"/>
        <v>0</v>
      </c>
      <c r="NR75" s="282">
        <f t="shared" si="717"/>
        <v>0</v>
      </c>
      <c r="NS75" s="282">
        <f t="shared" si="718"/>
        <v>0</v>
      </c>
      <c r="NT75" s="282">
        <f t="shared" si="719"/>
        <v>0</v>
      </c>
      <c r="NU75" s="282">
        <f t="shared" si="720"/>
        <v>0</v>
      </c>
      <c r="NV75" s="286">
        <f t="shared" si="721"/>
        <v>0</v>
      </c>
      <c r="NW75" s="286">
        <f t="shared" si="722"/>
        <v>0</v>
      </c>
      <c r="NX75" s="286">
        <f t="shared" si="723"/>
        <v>0</v>
      </c>
      <c r="NY75" s="286">
        <f t="shared" si="724"/>
        <v>0</v>
      </c>
      <c r="NZ75" s="286">
        <f t="shared" si="725"/>
        <v>0</v>
      </c>
      <c r="OA75" s="286">
        <f t="shared" si="726"/>
        <v>0</v>
      </c>
      <c r="OB75" s="286">
        <f t="shared" si="727"/>
        <v>0</v>
      </c>
      <c r="OC75" s="286">
        <f t="shared" si="728"/>
        <v>0</v>
      </c>
      <c r="OD75" s="286">
        <f t="shared" si="729"/>
        <v>0</v>
      </c>
      <c r="OE75" s="282">
        <f t="shared" si="730"/>
        <v>0</v>
      </c>
      <c r="OF75" s="282">
        <f t="shared" si="731"/>
        <v>0</v>
      </c>
      <c r="OG75" s="286">
        <f t="shared" si="732"/>
        <v>0</v>
      </c>
      <c r="OH75" s="286">
        <f t="shared" si="733"/>
        <v>0</v>
      </c>
      <c r="OI75" s="286">
        <f t="shared" si="734"/>
        <v>0</v>
      </c>
      <c r="OJ75" s="286">
        <f t="shared" si="735"/>
        <v>0</v>
      </c>
      <c r="OK75" s="286">
        <f t="shared" si="736"/>
        <v>0</v>
      </c>
      <c r="OL75" s="286">
        <f t="shared" si="737"/>
        <v>0</v>
      </c>
      <c r="OM75" s="286">
        <f t="shared" si="738"/>
        <v>0</v>
      </c>
      <c r="ON75" s="286">
        <f t="shared" si="739"/>
        <v>0</v>
      </c>
      <c r="OO75" s="286">
        <f t="shared" si="740"/>
        <v>0</v>
      </c>
      <c r="OP75" s="434">
        <f t="shared" si="741"/>
        <v>0</v>
      </c>
      <c r="OQ75" s="434">
        <f t="shared" si="742"/>
        <v>0</v>
      </c>
      <c r="OR75" s="282">
        <f t="shared" si="743"/>
        <v>0</v>
      </c>
      <c r="OS75" s="282">
        <f t="shared" si="744"/>
        <v>0</v>
      </c>
      <c r="OT75" s="282">
        <f t="shared" si="745"/>
        <v>0</v>
      </c>
      <c r="OU75" s="282">
        <f t="shared" si="746"/>
        <v>0</v>
      </c>
      <c r="OV75" s="282">
        <f t="shared" si="747"/>
        <v>0</v>
      </c>
      <c r="OW75" s="286">
        <f t="shared" si="748"/>
        <v>0</v>
      </c>
      <c r="OX75" s="286">
        <f t="shared" si="749"/>
        <v>0</v>
      </c>
      <c r="OY75" s="286">
        <f t="shared" si="750"/>
        <v>0</v>
      </c>
      <c r="OZ75" s="286">
        <f t="shared" si="751"/>
        <v>0</v>
      </c>
      <c r="PA75" s="286">
        <f t="shared" si="752"/>
        <v>0</v>
      </c>
      <c r="PB75" s="286">
        <f t="shared" si="753"/>
        <v>0</v>
      </c>
      <c r="PC75" s="286">
        <f t="shared" si="754"/>
        <v>0</v>
      </c>
      <c r="PD75" s="282">
        <f t="shared" si="755"/>
        <v>0</v>
      </c>
      <c r="PE75" s="282">
        <f t="shared" si="756"/>
        <v>0</v>
      </c>
      <c r="PF75" s="286">
        <f t="shared" si="757"/>
        <v>0</v>
      </c>
      <c r="PG75" s="286">
        <f t="shared" si="758"/>
        <v>0</v>
      </c>
      <c r="PH75" s="286">
        <f t="shared" si="759"/>
        <v>0</v>
      </c>
      <c r="PI75" s="286">
        <f t="shared" si="760"/>
        <v>0</v>
      </c>
      <c r="PJ75" s="286">
        <f t="shared" si="761"/>
        <v>0</v>
      </c>
      <c r="PK75" s="286">
        <f t="shared" si="762"/>
        <v>0</v>
      </c>
      <c r="PL75" s="286">
        <f t="shared" si="763"/>
        <v>0</v>
      </c>
      <c r="PM75" s="562">
        <v>19</v>
      </c>
    </row>
    <row r="76" spans="1:431" s="289" customFormat="1" ht="15.75" customHeight="1">
      <c r="A76" s="1935" t="s">
        <v>1128</v>
      </c>
      <c r="B76" s="1040" t="str">
        <f>VLOOKUP(A76,'Area (&amp;golfacre for lookup)'!$A$2:$B$162,2,FALSE)</f>
        <v>Yacht &amp; Beach</v>
      </c>
      <c r="C76" s="1936"/>
      <c r="D76" s="1937">
        <v>44681</v>
      </c>
      <c r="E76" s="402"/>
      <c r="F76" s="1936">
        <v>1</v>
      </c>
      <c r="G76" s="1936">
        <v>0</v>
      </c>
      <c r="H76" s="1936">
        <v>681</v>
      </c>
      <c r="I76" s="1936">
        <v>243</v>
      </c>
      <c r="J76" s="1936">
        <v>924</v>
      </c>
      <c r="K76" s="1938">
        <v>796.04374838208651</v>
      </c>
      <c r="L76" s="1939" t="s">
        <v>1208</v>
      </c>
      <c r="M76" s="1939" t="s">
        <v>1208</v>
      </c>
      <c r="N76" s="1939" t="s">
        <v>1208</v>
      </c>
      <c r="O76" s="1939" t="s">
        <v>1208</v>
      </c>
      <c r="P76" s="1939" t="s">
        <v>1208</v>
      </c>
      <c r="Q76" s="1936">
        <v>0</v>
      </c>
      <c r="R76" s="1936">
        <v>25000</v>
      </c>
      <c r="S76" s="1936">
        <v>25000</v>
      </c>
      <c r="T76" s="1939" t="s">
        <v>1208</v>
      </c>
      <c r="U76" s="1939" t="s">
        <v>1208</v>
      </c>
      <c r="V76" s="1939" t="s">
        <v>1208</v>
      </c>
      <c r="W76" s="1936">
        <v>4100</v>
      </c>
      <c r="X76" s="1936">
        <v>3863</v>
      </c>
      <c r="Y76" s="1939" t="s">
        <v>1208</v>
      </c>
      <c r="Z76" s="1939" t="s">
        <v>1208</v>
      </c>
      <c r="AA76" s="1936">
        <v>237</v>
      </c>
      <c r="AB76" s="1362">
        <v>6.1351281387522653E-2</v>
      </c>
      <c r="AC76" s="1939" t="s">
        <v>1208</v>
      </c>
      <c r="AD76" s="1363" t="s">
        <v>1208</v>
      </c>
      <c r="AE76" s="1936">
        <v>0</v>
      </c>
      <c r="AF76" s="1936">
        <v>0</v>
      </c>
      <c r="AG76" s="1939" t="s">
        <v>1208</v>
      </c>
      <c r="AH76" s="1936">
        <v>0</v>
      </c>
      <c r="AI76" s="1936">
        <v>0</v>
      </c>
      <c r="AJ76" s="1939" t="s">
        <v>1208</v>
      </c>
      <c r="AK76" s="1938">
        <v>0</v>
      </c>
      <c r="AL76" s="1938">
        <v>0</v>
      </c>
      <c r="AM76" s="1936">
        <v>3863</v>
      </c>
      <c r="AN76" s="1939" t="s">
        <v>1208</v>
      </c>
      <c r="AO76" s="1936">
        <v>500</v>
      </c>
      <c r="AP76" s="1936">
        <v>840</v>
      </c>
      <c r="AQ76" s="1936">
        <v>5203</v>
      </c>
      <c r="AR76" s="1939" t="s">
        <v>1208</v>
      </c>
      <c r="AS76" s="1363" t="s">
        <v>1208</v>
      </c>
      <c r="AT76" s="1363" t="s">
        <v>1208</v>
      </c>
      <c r="AU76" s="1363" t="s">
        <v>1208</v>
      </c>
      <c r="AV76" s="1363" t="s">
        <v>1208</v>
      </c>
      <c r="AW76" s="1363" t="s">
        <v>1291</v>
      </c>
      <c r="AX76" s="1938">
        <v>0</v>
      </c>
      <c r="AY76" s="1938">
        <v>0</v>
      </c>
      <c r="AZ76" s="1938">
        <v>0</v>
      </c>
      <c r="BA76" s="1938">
        <v>0</v>
      </c>
      <c r="BB76" s="1938">
        <v>0</v>
      </c>
      <c r="BC76" s="1938">
        <v>0</v>
      </c>
      <c r="BD76" s="1938">
        <v>0</v>
      </c>
      <c r="BE76" s="1936">
        <v>1</v>
      </c>
      <c r="BF76" s="1936">
        <v>175000</v>
      </c>
      <c r="BG76" s="1936">
        <v>250000</v>
      </c>
      <c r="BH76" s="1936">
        <v>425000</v>
      </c>
      <c r="BI76" s="1938">
        <v>8370531</v>
      </c>
      <c r="BJ76" s="1936">
        <v>584461</v>
      </c>
      <c r="BK76" s="1936">
        <v>667829</v>
      </c>
      <c r="BL76" s="1362">
        <v>0.87516564869150637</v>
      </c>
      <c r="BM76" s="1936">
        <v>1</v>
      </c>
      <c r="BN76" s="1936">
        <v>888889</v>
      </c>
      <c r="BO76" s="1363" t="s">
        <v>1208</v>
      </c>
      <c r="BP76" s="1938">
        <v>2935133</v>
      </c>
      <c r="BQ76" s="1938">
        <v>4075730</v>
      </c>
      <c r="BR76" s="1940">
        <v>0.72014902851759066</v>
      </c>
      <c r="BS76" s="1409">
        <v>0</v>
      </c>
      <c r="BT76" s="1938">
        <v>4986330</v>
      </c>
      <c r="BU76" s="1938">
        <v>10008332</v>
      </c>
      <c r="BV76" s="1940">
        <v>0.49821788485833601</v>
      </c>
      <c r="BW76" s="1936">
        <v>1116.6333531374578</v>
      </c>
      <c r="BX76" s="1936">
        <v>734.20713520818879</v>
      </c>
      <c r="BY76" s="1936">
        <v>533.8902552325651</v>
      </c>
      <c r="BZ76" s="1936">
        <v>0</v>
      </c>
      <c r="CA76" s="1936">
        <v>0</v>
      </c>
      <c r="CB76" s="1936">
        <v>0</v>
      </c>
      <c r="CC76" s="1936">
        <v>1816813</v>
      </c>
      <c r="CD76" s="1936">
        <v>3075117</v>
      </c>
      <c r="CE76" s="1936">
        <v>0</v>
      </c>
      <c r="CF76" s="1936">
        <v>0</v>
      </c>
      <c r="CG76" s="1936">
        <v>1914978</v>
      </c>
      <c r="CH76" s="1936">
        <v>1351598</v>
      </c>
      <c r="CI76" s="1936">
        <v>422544</v>
      </c>
      <c r="CJ76" s="1936">
        <v>8581050</v>
      </c>
      <c r="CK76" s="1366">
        <v>0</v>
      </c>
      <c r="CL76" s="1366">
        <v>0</v>
      </c>
      <c r="CM76" s="1366">
        <v>0</v>
      </c>
      <c r="CN76" s="1366">
        <v>0.21172385663759097</v>
      </c>
      <c r="CO76" s="1366">
        <v>0.35836138934046535</v>
      </c>
      <c r="CP76" s="1366">
        <v>0</v>
      </c>
      <c r="CQ76" s="1366">
        <v>0</v>
      </c>
      <c r="CR76" s="1366">
        <v>0.22316359886027934</v>
      </c>
      <c r="CS76" s="1366">
        <v>0.15750962877503336</v>
      </c>
      <c r="CT76" s="1366">
        <v>4.9241526386631006E-2</v>
      </c>
      <c r="CU76" s="1366">
        <v>1</v>
      </c>
      <c r="CV76" s="1936">
        <v>4489521</v>
      </c>
      <c r="CW76" s="1936">
        <v>1390504</v>
      </c>
      <c r="CX76" s="1936">
        <v>0</v>
      </c>
      <c r="CY76" s="1936">
        <v>2469739</v>
      </c>
      <c r="CZ76" s="1936">
        <v>108919</v>
      </c>
      <c r="DA76" s="1936">
        <v>344976</v>
      </c>
      <c r="DB76" s="1936">
        <v>8803659</v>
      </c>
      <c r="DC76" s="1366">
        <v>0.50996080152582013</v>
      </c>
      <c r="DD76" s="1366">
        <v>0.15794614489270881</v>
      </c>
      <c r="DE76" s="1366">
        <v>0</v>
      </c>
      <c r="DF76" s="1366">
        <v>0.28053551369947427</v>
      </c>
      <c r="DG76" s="1366">
        <v>1.2372014863365335E-2</v>
      </c>
      <c r="DH76" s="1366">
        <v>3.9185525018631456E-2</v>
      </c>
      <c r="DI76" s="1366">
        <v>1</v>
      </c>
      <c r="DJ76" s="1936">
        <v>-222609</v>
      </c>
      <c r="DK76" s="1936">
        <v>0</v>
      </c>
      <c r="DL76" s="1936">
        <v>0</v>
      </c>
      <c r="DM76" s="1936">
        <v>0</v>
      </c>
      <c r="DN76" s="1936">
        <v>2282.3029559525703</v>
      </c>
      <c r="DO76" s="1936">
        <v>3863</v>
      </c>
      <c r="DP76" s="1936">
        <v>0</v>
      </c>
      <c r="DQ76" s="1936">
        <v>0</v>
      </c>
      <c r="DR76" s="1936">
        <v>2405.61904278764</v>
      </c>
      <c r="DS76" s="1936">
        <v>1697.8941204513519</v>
      </c>
      <c r="DT76" s="1936">
        <v>530.80499766350351</v>
      </c>
      <c r="DU76" s="1936">
        <v>10779.621116855065</v>
      </c>
      <c r="DV76" s="1936">
        <v>5639.7917942634376</v>
      </c>
      <c r="DW76" s="1936">
        <v>1746.7683187338887</v>
      </c>
      <c r="DX76" s="1936">
        <v>0</v>
      </c>
      <c r="DY76" s="1936">
        <v>3102.516670747812</v>
      </c>
      <c r="DZ76" s="1936">
        <v>136.8253946110018</v>
      </c>
      <c r="EA76" s="1936">
        <v>433.36311691555147</v>
      </c>
      <c r="EB76" s="1936">
        <v>11059.265295271691</v>
      </c>
      <c r="EC76" s="1936">
        <v>-279.64417841662606</v>
      </c>
      <c r="ED76" s="1941">
        <v>75</v>
      </c>
      <c r="EE76" s="1936">
        <v>0</v>
      </c>
      <c r="EF76" s="1936">
        <v>0</v>
      </c>
      <c r="EG76" s="1938">
        <v>0</v>
      </c>
      <c r="EH76" s="1938">
        <v>1</v>
      </c>
      <c r="EI76" s="1368">
        <v>0.24</v>
      </c>
      <c r="EJ76" s="1936">
        <v>10.613916645094486</v>
      </c>
      <c r="EK76" s="1936">
        <v>1</v>
      </c>
      <c r="EL76" s="1936">
        <v>500</v>
      </c>
      <c r="EM76" s="1936">
        <v>0</v>
      </c>
      <c r="EN76" s="1362">
        <v>0</v>
      </c>
      <c r="EO76" s="1936">
        <v>1</v>
      </c>
      <c r="EP76" s="1936">
        <v>70</v>
      </c>
      <c r="EQ76" s="1936">
        <v>1</v>
      </c>
      <c r="ER76" s="1938">
        <v>0</v>
      </c>
      <c r="ES76" s="1936">
        <v>4103.5131632389921</v>
      </c>
      <c r="ET76" s="1936">
        <v>-984.42680015101837</v>
      </c>
      <c r="EU76" s="1938">
        <v>2</v>
      </c>
      <c r="EV76" s="1936">
        <v>46806</v>
      </c>
      <c r="EW76" s="1936">
        <v>4731</v>
      </c>
      <c r="EX76" s="1938">
        <v>0</v>
      </c>
      <c r="EY76" s="1936">
        <v>1914978</v>
      </c>
      <c r="EZ76" s="1936">
        <v>972526</v>
      </c>
      <c r="FA76" s="1936">
        <v>942452</v>
      </c>
      <c r="FB76" s="1936">
        <v>1351598</v>
      </c>
      <c r="FC76" s="1936">
        <v>417978</v>
      </c>
      <c r="FD76" s="1936">
        <v>933620</v>
      </c>
      <c r="FE76" s="1936">
        <v>3266576</v>
      </c>
      <c r="FF76" s="1936">
        <v>1390504</v>
      </c>
      <c r="FG76" s="1936">
        <v>1876072</v>
      </c>
      <c r="FH76" s="1366">
        <v>1</v>
      </c>
      <c r="FI76" s="1366">
        <v>0.50785230953044891</v>
      </c>
      <c r="FJ76" s="1366">
        <v>0.49214769046955109</v>
      </c>
      <c r="FK76" s="1366">
        <v>1</v>
      </c>
      <c r="FL76" s="1366">
        <v>0.30924727618715031</v>
      </c>
      <c r="FM76" s="1366">
        <v>0.69075272381284969</v>
      </c>
      <c r="FN76" s="1366">
        <v>1</v>
      </c>
      <c r="FO76" s="1366">
        <v>0.42567630448518573</v>
      </c>
      <c r="FP76" s="1366">
        <v>0.57432369551481433</v>
      </c>
      <c r="FQ76" s="1936">
        <v>2367222</v>
      </c>
      <c r="FR76" s="1936">
        <v>-653315.20000000007</v>
      </c>
      <c r="FS76" s="1936">
        <v>517780</v>
      </c>
      <c r="FT76" s="1936">
        <v>37380</v>
      </c>
      <c r="FU76" s="1936">
        <v>71619</v>
      </c>
      <c r="FV76" s="1936">
        <v>33205</v>
      </c>
      <c r="FW76" s="1936">
        <v>285828</v>
      </c>
      <c r="FX76" s="1936">
        <v>2659718.7999999998</v>
      </c>
      <c r="FY76" s="1936">
        <v>-783646.79999999981</v>
      </c>
      <c r="FZ76" s="1366">
        <v>0.72467990948320193</v>
      </c>
      <c r="GA76" s="1366">
        <v>-0.2</v>
      </c>
      <c r="GB76" s="1366">
        <v>0.158508481051719</v>
      </c>
      <c r="GC76" s="1366">
        <v>1.1443174749339981E-2</v>
      </c>
      <c r="GD76" s="1366">
        <v>2.1924792198314075E-2</v>
      </c>
      <c r="GE76" s="1366">
        <v>1.016507805114591E-2</v>
      </c>
      <c r="GF76" s="1366">
        <v>8.7500795940458759E-2</v>
      </c>
      <c r="GG76" s="1366">
        <v>0.8142222314741796</v>
      </c>
      <c r="GH76" s="1366">
        <v>-0.23989853595936533</v>
      </c>
      <c r="GI76" s="1942">
        <v>1.4168251210789007</v>
      </c>
      <c r="GJ76" s="1943">
        <v>1</v>
      </c>
      <c r="GK76" s="1371">
        <v>0.15</v>
      </c>
      <c r="GL76" s="1943">
        <v>1</v>
      </c>
      <c r="GM76" s="1371">
        <v>0.2</v>
      </c>
      <c r="GN76" s="1943">
        <v>0</v>
      </c>
      <c r="GO76" s="1985">
        <f>IF(GN76=0,0,VLOOKUP(A76,'Area (&amp;golfacre for lookup)'!$G$2:$H$133,2,FALSE))</f>
        <v>0</v>
      </c>
      <c r="GP76" s="1943">
        <v>0</v>
      </c>
      <c r="GQ76" s="1943">
        <v>0</v>
      </c>
      <c r="GR76" s="1943">
        <v>0</v>
      </c>
      <c r="GS76" s="1943">
        <v>0</v>
      </c>
      <c r="GT76" s="1943">
        <v>0</v>
      </c>
      <c r="GU76" s="1943">
        <v>0</v>
      </c>
      <c r="GV76" s="1943">
        <v>0</v>
      </c>
      <c r="GW76" s="1943">
        <v>0</v>
      </c>
      <c r="GX76" s="1936">
        <v>0</v>
      </c>
      <c r="GY76" s="1985">
        <f t="shared" si="764"/>
        <v>0</v>
      </c>
      <c r="GZ76" s="1936">
        <v>0</v>
      </c>
      <c r="HA76" s="1936">
        <v>0</v>
      </c>
      <c r="HB76" s="1936">
        <v>0</v>
      </c>
      <c r="HC76" s="1936">
        <v>0</v>
      </c>
      <c r="HD76" s="1936">
        <v>0</v>
      </c>
      <c r="HE76" s="1936">
        <v>0</v>
      </c>
      <c r="HF76" s="1936">
        <v>0</v>
      </c>
      <c r="HG76" s="1936">
        <v>0</v>
      </c>
      <c r="HH76" s="1988">
        <f>IF(HG76=0,0,VLOOKUP(A76,'Area (&amp;golfacre for lookup)'!$G$2:$H$134,2,FALSE))</f>
        <v>0</v>
      </c>
      <c r="HI76" s="1936">
        <v>0</v>
      </c>
      <c r="HJ76" s="1936">
        <v>0</v>
      </c>
      <c r="HK76" s="1936">
        <v>0</v>
      </c>
      <c r="HL76" s="1936">
        <v>0</v>
      </c>
      <c r="HM76" s="1936">
        <v>0</v>
      </c>
      <c r="HN76" s="1936">
        <v>0</v>
      </c>
      <c r="HO76" s="1936">
        <v>0</v>
      </c>
      <c r="HP76" s="1936">
        <v>0</v>
      </c>
      <c r="HQ76" s="1936">
        <v>0</v>
      </c>
      <c r="HR76" s="1988">
        <f t="shared" si="765"/>
        <v>0</v>
      </c>
      <c r="HS76" s="1936">
        <v>0</v>
      </c>
      <c r="HT76" s="1936">
        <v>0</v>
      </c>
      <c r="HU76" s="1936">
        <v>0</v>
      </c>
      <c r="HV76" s="1936">
        <v>0</v>
      </c>
      <c r="HW76" s="1936">
        <v>0</v>
      </c>
      <c r="HX76" s="1936">
        <v>0</v>
      </c>
      <c r="HY76" s="1936">
        <v>0</v>
      </c>
      <c r="HZ76" s="51"/>
      <c r="IA76" s="59">
        <f t="shared" si="766"/>
        <v>0</v>
      </c>
      <c r="IB76" s="59"/>
      <c r="IC76" s="815">
        <f t="shared" si="581"/>
        <v>1</v>
      </c>
      <c r="ID76" s="815"/>
      <c r="IE76" s="284">
        <f t="shared" si="582"/>
        <v>0</v>
      </c>
      <c r="IF76" s="284"/>
      <c r="IG76" s="284">
        <f t="shared" si="583"/>
        <v>10515.164545934349</v>
      </c>
      <c r="IH76" s="284"/>
      <c r="II76" s="1288">
        <f t="shared" si="584"/>
        <v>0</v>
      </c>
      <c r="IJ76" s="1288">
        <f t="shared" si="585"/>
        <v>0.72014902851759066</v>
      </c>
      <c r="IK76" s="284">
        <f t="shared" si="586"/>
        <v>0</v>
      </c>
      <c r="IL76" s="284">
        <f t="shared" si="587"/>
        <v>1</v>
      </c>
      <c r="IM76" s="284">
        <f t="shared" si="588"/>
        <v>0</v>
      </c>
      <c r="IN76" s="284">
        <f t="shared" si="589"/>
        <v>0</v>
      </c>
      <c r="IO76" s="753">
        <f t="shared" si="590"/>
        <v>-848.10259740259721</v>
      </c>
      <c r="IP76" s="113">
        <f t="shared" si="591"/>
        <v>-984.42680015101837</v>
      </c>
      <c r="IQ76" s="30">
        <f t="shared" si="592"/>
        <v>-0.25483479165182976</v>
      </c>
      <c r="IR76" s="438">
        <f t="shared" si="593"/>
        <v>1914978</v>
      </c>
      <c r="IS76" s="438">
        <f t="shared" si="594"/>
        <v>1351598</v>
      </c>
      <c r="IT76" s="438">
        <f t="shared" si="595"/>
        <v>2367222</v>
      </c>
      <c r="IU76" s="438">
        <f t="shared" si="596"/>
        <v>555160</v>
      </c>
      <c r="IV76" s="438">
        <f t="shared" si="597"/>
        <v>1390504</v>
      </c>
      <c r="IW76" s="438">
        <f t="shared" si="598"/>
        <v>-262663.20000000007</v>
      </c>
      <c r="IX76" s="285">
        <f t="shared" si="599"/>
        <v>0.58623402608725461</v>
      </c>
      <c r="IY76" s="285">
        <f t="shared" si="600"/>
        <v>0.41376597391274533</v>
      </c>
      <c r="IZ76" s="285">
        <f t="shared" si="601"/>
        <v>0.72467990948320193</v>
      </c>
      <c r="JA76" s="285">
        <f t="shared" si="602"/>
        <v>0.16995165580105898</v>
      </c>
      <c r="JB76" s="285">
        <f t="shared" si="603"/>
        <v>0.42567630448518573</v>
      </c>
      <c r="JC76" s="285">
        <f t="shared" si="604"/>
        <v>-8.0409333810081279E-2</v>
      </c>
      <c r="JD76" s="60">
        <f t="shared" si="605"/>
        <v>3075117</v>
      </c>
      <c r="JE76" s="60">
        <f t="shared" si="606"/>
        <v>1816813</v>
      </c>
      <c r="JF76" s="60">
        <f t="shared" si="607"/>
        <v>0</v>
      </c>
      <c r="JG76" s="60">
        <f t="shared" si="608"/>
        <v>453895</v>
      </c>
      <c r="JH76" s="284">
        <f t="shared" si="609"/>
        <v>0</v>
      </c>
      <c r="JI76" s="284" t="str">
        <f t="shared" si="610"/>
        <v/>
      </c>
      <c r="JJ76" s="560">
        <f t="shared" si="611"/>
        <v>0</v>
      </c>
      <c r="JK76" s="561">
        <f t="shared" si="612"/>
        <v>0.52319016903525795</v>
      </c>
      <c r="JL76" s="561">
        <f t="shared" si="613"/>
        <v>0.16204357275624778</v>
      </c>
      <c r="JM76" s="561">
        <f t="shared" si="614"/>
        <v>0</v>
      </c>
      <c r="JN76" s="561">
        <f t="shared" si="615"/>
        <v>0.28781314640982164</v>
      </c>
      <c r="JO76" s="561">
        <f t="shared" si="616"/>
        <v>1.2692968809178364E-2</v>
      </c>
      <c r="JP76" s="561">
        <f t="shared" si="617"/>
        <v>4.0202073172863458E-2</v>
      </c>
      <c r="JQ76" s="561">
        <f t="shared" si="618"/>
        <v>1.0259419301833692</v>
      </c>
      <c r="JR76" s="61">
        <f t="shared" si="619"/>
        <v>0</v>
      </c>
      <c r="JS76" s="61">
        <f t="shared" si="620"/>
        <v>0</v>
      </c>
      <c r="JT76" s="61">
        <f t="shared" si="621"/>
        <v>0</v>
      </c>
      <c r="JU76" s="61">
        <f t="shared" si="622"/>
        <v>0</v>
      </c>
      <c r="JV76" s="61">
        <f t="shared" si="623"/>
        <v>0</v>
      </c>
      <c r="JW76" s="61">
        <f t="shared" si="624"/>
        <v>0</v>
      </c>
      <c r="JX76" s="61">
        <f t="shared" si="625"/>
        <v>0</v>
      </c>
      <c r="JY76" s="394">
        <f t="shared" si="626"/>
        <v>0</v>
      </c>
      <c r="JZ76" s="61">
        <f t="shared" si="627"/>
        <v>0</v>
      </c>
      <c r="KA76" s="61">
        <f t="shared" si="628"/>
        <v>0</v>
      </c>
      <c r="KB76" s="61">
        <f t="shared" si="629"/>
        <v>0</v>
      </c>
      <c r="KC76" s="61">
        <f t="shared" si="630"/>
        <v>0</v>
      </c>
      <c r="KD76" s="61">
        <f t="shared" si="631"/>
        <v>0</v>
      </c>
      <c r="KE76" s="61">
        <f t="shared" si="632"/>
        <v>0</v>
      </c>
      <c r="KF76" s="61">
        <f t="shared" si="633"/>
        <v>0</v>
      </c>
      <c r="KG76" s="61">
        <f t="shared" si="634"/>
        <v>0</v>
      </c>
      <c r="KH76" s="61">
        <f t="shared" si="635"/>
        <v>0</v>
      </c>
      <c r="KI76" s="394">
        <f t="shared" si="636"/>
        <v>0</v>
      </c>
      <c r="KJ76" s="438">
        <f t="shared" si="637"/>
        <v>0</v>
      </c>
      <c r="KK76" s="438">
        <f t="shared" si="638"/>
        <v>0</v>
      </c>
      <c r="KL76" s="438">
        <f t="shared" si="639"/>
        <v>0</v>
      </c>
      <c r="KM76" s="438">
        <f t="shared" si="640"/>
        <v>0</v>
      </c>
      <c r="KN76" s="438">
        <f t="shared" si="641"/>
        <v>0</v>
      </c>
      <c r="KO76" s="438">
        <f t="shared" si="642"/>
        <v>0</v>
      </c>
      <c r="KP76" s="438">
        <f t="shared" si="643"/>
        <v>0</v>
      </c>
      <c r="KQ76" s="438">
        <f t="shared" si="644"/>
        <v>0</v>
      </c>
      <c r="KR76" s="438">
        <f t="shared" si="645"/>
        <v>0</v>
      </c>
      <c r="KS76" s="438">
        <f t="shared" si="646"/>
        <v>0</v>
      </c>
      <c r="KT76" s="438">
        <f t="shared" si="647"/>
        <v>0</v>
      </c>
      <c r="KU76" s="438">
        <f t="shared" si="648"/>
        <v>0</v>
      </c>
      <c r="KV76" s="420">
        <f t="shared" si="649"/>
        <v>0</v>
      </c>
      <c r="KW76" s="420">
        <f t="shared" si="650"/>
        <v>0</v>
      </c>
      <c r="KX76" s="108"/>
      <c r="KY76" s="282">
        <f t="shared" si="651"/>
        <v>0</v>
      </c>
      <c r="KZ76" s="282"/>
      <c r="LA76" s="282">
        <f t="shared" si="652"/>
        <v>0</v>
      </c>
      <c r="LB76" s="282"/>
      <c r="LC76" s="286">
        <f t="shared" si="653"/>
        <v>0</v>
      </c>
      <c r="LD76" s="286"/>
      <c r="LE76" s="282">
        <f t="shared" si="654"/>
        <v>0</v>
      </c>
      <c r="LF76" s="282"/>
      <c r="LG76" s="282">
        <f t="shared" si="655"/>
        <v>0</v>
      </c>
      <c r="LH76" s="282">
        <f t="shared" si="656"/>
        <v>0</v>
      </c>
      <c r="LI76" s="282">
        <f t="shared" si="657"/>
        <v>0</v>
      </c>
      <c r="LJ76" s="282">
        <f t="shared" si="658"/>
        <v>0</v>
      </c>
      <c r="LK76" s="282"/>
      <c r="LL76" s="282">
        <f t="shared" si="659"/>
        <v>0</v>
      </c>
      <c r="LM76" s="282">
        <f t="shared" si="660"/>
        <v>0</v>
      </c>
      <c r="LN76" s="282">
        <f t="shared" si="661"/>
        <v>0</v>
      </c>
      <c r="LO76" s="282">
        <f t="shared" si="662"/>
        <v>0</v>
      </c>
      <c r="LP76" s="286">
        <f t="shared" si="663"/>
        <v>0</v>
      </c>
      <c r="LQ76" s="282">
        <f t="shared" si="664"/>
        <v>0</v>
      </c>
      <c r="LR76" s="282">
        <f t="shared" si="665"/>
        <v>0</v>
      </c>
      <c r="LS76" s="282">
        <f t="shared" si="666"/>
        <v>0</v>
      </c>
      <c r="LT76" s="286">
        <f t="shared" si="667"/>
        <v>0</v>
      </c>
      <c r="LU76" s="286">
        <f t="shared" si="668"/>
        <v>0</v>
      </c>
      <c r="LV76" s="286">
        <f t="shared" si="669"/>
        <v>0</v>
      </c>
      <c r="LW76" s="286">
        <f t="shared" si="670"/>
        <v>0</v>
      </c>
      <c r="LX76" s="286">
        <f t="shared" si="671"/>
        <v>0</v>
      </c>
      <c r="LY76" s="286">
        <f t="shared" si="672"/>
        <v>0</v>
      </c>
      <c r="LZ76" s="286">
        <f t="shared" si="673"/>
        <v>0</v>
      </c>
      <c r="MA76" s="286">
        <f t="shared" si="674"/>
        <v>0</v>
      </c>
      <c r="MB76" s="286">
        <f t="shared" si="675"/>
        <v>0</v>
      </c>
      <c r="MC76" s="286">
        <f t="shared" si="676"/>
        <v>0</v>
      </c>
      <c r="MD76" s="286">
        <f t="shared" si="677"/>
        <v>0</v>
      </c>
      <c r="ME76" s="286">
        <f t="shared" si="678"/>
        <v>0</v>
      </c>
      <c r="MF76" s="286">
        <f t="shared" si="679"/>
        <v>0</v>
      </c>
      <c r="MG76" s="286">
        <f t="shared" si="680"/>
        <v>0</v>
      </c>
      <c r="MH76" s="286">
        <f t="shared" si="681"/>
        <v>0</v>
      </c>
      <c r="MI76" s="286">
        <f t="shared" si="682"/>
        <v>0</v>
      </c>
      <c r="MJ76" s="286">
        <f t="shared" si="683"/>
        <v>0</v>
      </c>
      <c r="MK76" s="286">
        <f t="shared" si="684"/>
        <v>0</v>
      </c>
      <c r="ML76" s="282">
        <f t="shared" si="685"/>
        <v>0</v>
      </c>
      <c r="MM76" s="1232">
        <f t="shared" si="686"/>
        <v>0</v>
      </c>
      <c r="MN76" s="1232">
        <f t="shared" si="687"/>
        <v>0</v>
      </c>
      <c r="MO76" s="1232">
        <f t="shared" si="688"/>
        <v>0</v>
      </c>
      <c r="MP76" s="1232">
        <f t="shared" si="689"/>
        <v>0</v>
      </c>
      <c r="MQ76" s="282">
        <f t="shared" si="690"/>
        <v>0</v>
      </c>
      <c r="MR76" s="282">
        <f t="shared" si="691"/>
        <v>0</v>
      </c>
      <c r="MS76" s="282">
        <f t="shared" si="692"/>
        <v>0</v>
      </c>
      <c r="MT76" s="282">
        <f t="shared" si="693"/>
        <v>0</v>
      </c>
      <c r="MU76" s="282">
        <f t="shared" si="694"/>
        <v>0</v>
      </c>
      <c r="MV76" s="282">
        <f t="shared" si="695"/>
        <v>0</v>
      </c>
      <c r="MW76" s="282">
        <f t="shared" si="696"/>
        <v>0</v>
      </c>
      <c r="MX76" s="282">
        <f t="shared" si="697"/>
        <v>0</v>
      </c>
      <c r="MY76" s="282">
        <f t="shared" si="698"/>
        <v>0</v>
      </c>
      <c r="MZ76" s="282">
        <f t="shared" si="699"/>
        <v>0</v>
      </c>
      <c r="NA76" s="282">
        <f t="shared" si="700"/>
        <v>0</v>
      </c>
      <c r="NB76" s="282">
        <f t="shared" si="701"/>
        <v>0</v>
      </c>
      <c r="NC76" s="282">
        <f t="shared" si="702"/>
        <v>0</v>
      </c>
      <c r="ND76" s="282">
        <f t="shared" si="703"/>
        <v>0</v>
      </c>
      <c r="NE76" s="282">
        <f t="shared" si="704"/>
        <v>0</v>
      </c>
      <c r="NF76" s="282">
        <f t="shared" si="705"/>
        <v>0</v>
      </c>
      <c r="NG76" s="282">
        <f t="shared" si="706"/>
        <v>0</v>
      </c>
      <c r="NH76" s="282">
        <f t="shared" si="707"/>
        <v>0</v>
      </c>
      <c r="NI76" s="282">
        <f t="shared" si="708"/>
        <v>0</v>
      </c>
      <c r="NJ76" s="282">
        <f t="shared" si="709"/>
        <v>0</v>
      </c>
      <c r="NK76" s="282">
        <f t="shared" si="710"/>
        <v>0</v>
      </c>
      <c r="NL76" s="282">
        <f t="shared" si="711"/>
        <v>0</v>
      </c>
      <c r="NM76" s="1205">
        <f t="shared" si="712"/>
        <v>0</v>
      </c>
      <c r="NN76" s="282">
        <f t="shared" si="713"/>
        <v>0</v>
      </c>
      <c r="NO76" s="282">
        <f t="shared" si="714"/>
        <v>0</v>
      </c>
      <c r="NP76" s="282">
        <f t="shared" si="715"/>
        <v>0</v>
      </c>
      <c r="NQ76" s="282">
        <f t="shared" si="716"/>
        <v>0</v>
      </c>
      <c r="NR76" s="282">
        <f t="shared" si="717"/>
        <v>0</v>
      </c>
      <c r="NS76" s="282">
        <f t="shared" si="718"/>
        <v>0</v>
      </c>
      <c r="NT76" s="282">
        <f t="shared" si="719"/>
        <v>0</v>
      </c>
      <c r="NU76" s="282">
        <f t="shared" si="720"/>
        <v>0</v>
      </c>
      <c r="NV76" s="286">
        <f t="shared" si="721"/>
        <v>0</v>
      </c>
      <c r="NW76" s="286">
        <f t="shared" si="722"/>
        <v>0</v>
      </c>
      <c r="NX76" s="286">
        <f t="shared" si="723"/>
        <v>0</v>
      </c>
      <c r="NY76" s="286">
        <f t="shared" si="724"/>
        <v>0</v>
      </c>
      <c r="NZ76" s="286">
        <f t="shared" si="725"/>
        <v>0</v>
      </c>
      <c r="OA76" s="286">
        <f t="shared" si="726"/>
        <v>0</v>
      </c>
      <c r="OB76" s="286">
        <f t="shared" si="727"/>
        <v>0</v>
      </c>
      <c r="OC76" s="286">
        <f t="shared" si="728"/>
        <v>0</v>
      </c>
      <c r="OD76" s="286">
        <f t="shared" si="729"/>
        <v>0</v>
      </c>
      <c r="OE76" s="282">
        <f t="shared" si="730"/>
        <v>0</v>
      </c>
      <c r="OF76" s="282">
        <f t="shared" si="731"/>
        <v>0</v>
      </c>
      <c r="OG76" s="286">
        <f t="shared" si="732"/>
        <v>0</v>
      </c>
      <c r="OH76" s="286">
        <f t="shared" si="733"/>
        <v>0</v>
      </c>
      <c r="OI76" s="286">
        <f t="shared" si="734"/>
        <v>0</v>
      </c>
      <c r="OJ76" s="286">
        <f t="shared" si="735"/>
        <v>0</v>
      </c>
      <c r="OK76" s="286">
        <f t="shared" si="736"/>
        <v>0</v>
      </c>
      <c r="OL76" s="286">
        <f t="shared" si="737"/>
        <v>0</v>
      </c>
      <c r="OM76" s="286">
        <f t="shared" si="738"/>
        <v>0</v>
      </c>
      <c r="ON76" s="286">
        <f t="shared" si="739"/>
        <v>0</v>
      </c>
      <c r="OO76" s="286">
        <f t="shared" si="740"/>
        <v>0</v>
      </c>
      <c r="OP76" s="434">
        <f t="shared" si="741"/>
        <v>0</v>
      </c>
      <c r="OQ76" s="434">
        <f t="shared" si="742"/>
        <v>0</v>
      </c>
      <c r="OR76" s="282">
        <f t="shared" si="743"/>
        <v>0</v>
      </c>
      <c r="OS76" s="282">
        <f t="shared" si="744"/>
        <v>0</v>
      </c>
      <c r="OT76" s="282">
        <f t="shared" si="745"/>
        <v>0</v>
      </c>
      <c r="OU76" s="282">
        <f t="shared" si="746"/>
        <v>0</v>
      </c>
      <c r="OV76" s="282">
        <f t="shared" si="747"/>
        <v>0</v>
      </c>
      <c r="OW76" s="286">
        <f t="shared" si="748"/>
        <v>0</v>
      </c>
      <c r="OX76" s="286">
        <f t="shared" si="749"/>
        <v>0</v>
      </c>
      <c r="OY76" s="286">
        <f t="shared" si="750"/>
        <v>0</v>
      </c>
      <c r="OZ76" s="286">
        <f t="shared" si="751"/>
        <v>0</v>
      </c>
      <c r="PA76" s="286">
        <f t="shared" si="752"/>
        <v>0</v>
      </c>
      <c r="PB76" s="286">
        <f t="shared" si="753"/>
        <v>0</v>
      </c>
      <c r="PC76" s="286">
        <f t="shared" si="754"/>
        <v>0</v>
      </c>
      <c r="PD76" s="282">
        <f t="shared" si="755"/>
        <v>0</v>
      </c>
      <c r="PE76" s="282">
        <f t="shared" si="756"/>
        <v>0</v>
      </c>
      <c r="PF76" s="286">
        <f t="shared" si="757"/>
        <v>0</v>
      </c>
      <c r="PG76" s="286">
        <f t="shared" si="758"/>
        <v>0</v>
      </c>
      <c r="PH76" s="286">
        <f t="shared" si="759"/>
        <v>0</v>
      </c>
      <c r="PI76" s="286">
        <f t="shared" si="760"/>
        <v>0</v>
      </c>
      <c r="PJ76" s="286">
        <f t="shared" si="761"/>
        <v>0</v>
      </c>
      <c r="PK76" s="286">
        <f t="shared" si="762"/>
        <v>0</v>
      </c>
      <c r="PL76" s="286">
        <f t="shared" si="763"/>
        <v>0</v>
      </c>
      <c r="PM76" s="562">
        <v>20</v>
      </c>
    </row>
    <row r="77" spans="1:431" s="289" customFormat="1" ht="15.75" customHeight="1">
      <c r="A77" s="1935" t="s">
        <v>1323</v>
      </c>
      <c r="B77" s="1040" t="str">
        <f>VLOOKUP(A77,'Area (&amp;golfacre for lookup)'!$A$2:$B$162,2,FALSE)</f>
        <v>BOCA</v>
      </c>
      <c r="C77" s="1936"/>
      <c r="D77" s="1937">
        <v>44865</v>
      </c>
      <c r="E77" s="402"/>
      <c r="F77" s="1936">
        <v>1</v>
      </c>
      <c r="G77" s="1936">
        <v>1</v>
      </c>
      <c r="H77" s="1936">
        <v>425</v>
      </c>
      <c r="I77" s="1936">
        <v>859</v>
      </c>
      <c r="J77" s="1936">
        <v>1284</v>
      </c>
      <c r="K77" s="1938">
        <v>1089.902908364593</v>
      </c>
      <c r="L77" s="1939" t="s">
        <v>1208</v>
      </c>
      <c r="M77" s="1939" t="s">
        <v>1208</v>
      </c>
      <c r="N77" s="1939" t="s">
        <v>1208</v>
      </c>
      <c r="O77" s="1939" t="s">
        <v>1208</v>
      </c>
      <c r="P77" s="1939" t="s">
        <v>1208</v>
      </c>
      <c r="Q77" s="1936">
        <v>11250</v>
      </c>
      <c r="R77" s="1936">
        <v>113750</v>
      </c>
      <c r="S77" s="1936">
        <v>125000</v>
      </c>
      <c r="T77" s="1939" t="s">
        <v>1208</v>
      </c>
      <c r="U77" s="1939" t="s">
        <v>1208</v>
      </c>
      <c r="V77" s="1939" t="s">
        <v>1208</v>
      </c>
      <c r="W77" s="1936">
        <v>22695</v>
      </c>
      <c r="X77" s="1936">
        <v>20527</v>
      </c>
      <c r="Y77" s="1939" t="s">
        <v>1208</v>
      </c>
      <c r="Z77" s="1939" t="s">
        <v>1208</v>
      </c>
      <c r="AA77" s="1936">
        <v>2168</v>
      </c>
      <c r="AB77" s="1362">
        <v>0.10561699225410436</v>
      </c>
      <c r="AC77" s="1939" t="s">
        <v>1208</v>
      </c>
      <c r="AD77" s="1363" t="s">
        <v>1208</v>
      </c>
      <c r="AE77" s="1936">
        <v>1</v>
      </c>
      <c r="AF77" s="1936">
        <v>2315</v>
      </c>
      <c r="AG77" s="1939" t="s">
        <v>1208</v>
      </c>
      <c r="AH77" s="1936">
        <v>0</v>
      </c>
      <c r="AI77" s="1936">
        <v>0</v>
      </c>
      <c r="AJ77" s="1939" t="s">
        <v>1208</v>
      </c>
      <c r="AK77" s="1938">
        <v>0</v>
      </c>
      <c r="AL77" s="1938">
        <v>0</v>
      </c>
      <c r="AM77" s="1936">
        <v>22842</v>
      </c>
      <c r="AN77" s="1939" t="s">
        <v>1208</v>
      </c>
      <c r="AO77" s="1936">
        <v>2500</v>
      </c>
      <c r="AP77" s="1936">
        <v>0</v>
      </c>
      <c r="AQ77" s="1936">
        <v>25342</v>
      </c>
      <c r="AR77" s="1939" t="s">
        <v>1208</v>
      </c>
      <c r="AS77" s="1363" t="s">
        <v>1208</v>
      </c>
      <c r="AT77" s="1363" t="s">
        <v>1208</v>
      </c>
      <c r="AU77" s="1363" t="s">
        <v>1208</v>
      </c>
      <c r="AV77" s="1363" t="s">
        <v>1208</v>
      </c>
      <c r="AW77" s="1363" t="s">
        <v>1291</v>
      </c>
      <c r="AX77" s="1938">
        <v>1</v>
      </c>
      <c r="AY77" s="1938">
        <v>0</v>
      </c>
      <c r="AZ77" s="1938">
        <v>0</v>
      </c>
      <c r="BA77" s="1938">
        <v>1</v>
      </c>
      <c r="BB77" s="1938">
        <v>0</v>
      </c>
      <c r="BC77" s="1938">
        <v>0</v>
      </c>
      <c r="BD77" s="1938">
        <v>0</v>
      </c>
      <c r="BE77" s="1936">
        <v>1</v>
      </c>
      <c r="BF77" s="1936">
        <v>1250000</v>
      </c>
      <c r="BG77" s="1936">
        <v>3000000</v>
      </c>
      <c r="BH77" s="1936">
        <v>4250000</v>
      </c>
      <c r="BI77" s="1938">
        <v>68637678</v>
      </c>
      <c r="BJ77" s="1936">
        <v>5000113</v>
      </c>
      <c r="BK77" s="1936">
        <v>4779565</v>
      </c>
      <c r="BL77" s="1362">
        <v>1.0461439482463362</v>
      </c>
      <c r="BM77" s="1936">
        <v>1</v>
      </c>
      <c r="BN77" s="1936">
        <v>12750000</v>
      </c>
      <c r="BO77" s="1363" t="s">
        <v>1208</v>
      </c>
      <c r="BP77" s="1938">
        <v>35637678</v>
      </c>
      <c r="BQ77" s="1938">
        <v>37333415</v>
      </c>
      <c r="BR77" s="1940">
        <v>0.95457857257365819</v>
      </c>
      <c r="BS77" s="1409">
        <v>0</v>
      </c>
      <c r="BT77" s="1938">
        <v>50083415</v>
      </c>
      <c r="BU77" s="1938">
        <v>121694036</v>
      </c>
      <c r="BV77" s="1940">
        <v>0.41155192683394937</v>
      </c>
      <c r="BW77" s="1936">
        <v>11698.289730349894</v>
      </c>
      <c r="BX77" s="1936">
        <v>4587.6682790971763</v>
      </c>
      <c r="BY77" s="1936">
        <v>3899.4299101166312</v>
      </c>
      <c r="BZ77" s="1936">
        <v>1725550</v>
      </c>
      <c r="CA77" s="1936">
        <v>1363502</v>
      </c>
      <c r="CB77" s="1936">
        <v>1704433</v>
      </c>
      <c r="CC77" s="1936">
        <v>2156769</v>
      </c>
      <c r="CD77" s="1936">
        <v>22372437</v>
      </c>
      <c r="CE77" s="1936">
        <v>0</v>
      </c>
      <c r="CF77" s="1936">
        <v>0</v>
      </c>
      <c r="CG77" s="1936">
        <v>7714571</v>
      </c>
      <c r="CH77" s="1936">
        <v>1592328</v>
      </c>
      <c r="CI77" s="1936">
        <v>849738</v>
      </c>
      <c r="CJ77" s="1936">
        <v>39479328</v>
      </c>
      <c r="CK77" s="1366">
        <v>4.3707684183479513E-2</v>
      </c>
      <c r="CL77" s="1366">
        <v>3.4537112688442922E-2</v>
      </c>
      <c r="CM77" s="1366">
        <v>4.3172796659558137E-2</v>
      </c>
      <c r="CN77" s="1366">
        <v>5.4630337172912366E-2</v>
      </c>
      <c r="CO77" s="1366">
        <v>0.56668738130497054</v>
      </c>
      <c r="CP77" s="1366">
        <v>0</v>
      </c>
      <c r="CQ77" s="1366">
        <v>0</v>
      </c>
      <c r="CR77" s="1366">
        <v>0.19540786003247065</v>
      </c>
      <c r="CS77" s="1366">
        <v>4.0333209319064395E-2</v>
      </c>
      <c r="CT77" s="1366">
        <v>2.1523618639101457E-2</v>
      </c>
      <c r="CU77" s="1366">
        <v>1</v>
      </c>
      <c r="CV77" s="1936">
        <v>23045701</v>
      </c>
      <c r="CW77" s="1936">
        <v>4533870</v>
      </c>
      <c r="CX77" s="1936">
        <v>1365800</v>
      </c>
      <c r="CY77" s="1936">
        <v>9102720</v>
      </c>
      <c r="CZ77" s="1936">
        <v>556049</v>
      </c>
      <c r="DA77" s="1936">
        <v>902415</v>
      </c>
      <c r="DB77" s="1936">
        <v>39506555</v>
      </c>
      <c r="DC77" s="1366">
        <v>0.58333866367239562</v>
      </c>
      <c r="DD77" s="1366">
        <v>0.11476247422737822</v>
      </c>
      <c r="DE77" s="1366">
        <v>3.4571478074967563E-2</v>
      </c>
      <c r="DF77" s="1366">
        <v>0.23041037113967544</v>
      </c>
      <c r="DG77" s="1366">
        <v>1.4074854160277959E-2</v>
      </c>
      <c r="DH77" s="1366">
        <v>2.2842158725305206E-2</v>
      </c>
      <c r="DI77" s="1366">
        <v>1</v>
      </c>
      <c r="DJ77" s="1936">
        <v>-27227</v>
      </c>
      <c r="DK77" s="1936">
        <v>1583.2144191533537</v>
      </c>
      <c r="DL77" s="1936">
        <v>1251.0307014832581</v>
      </c>
      <c r="DM77" s="1936">
        <v>1563.8392988211342</v>
      </c>
      <c r="DN77" s="1936">
        <v>1978.8634230146674</v>
      </c>
      <c r="DO77" s="1936">
        <v>20527</v>
      </c>
      <c r="DP77" s="1936">
        <v>0</v>
      </c>
      <c r="DQ77" s="1936">
        <v>0</v>
      </c>
      <c r="DR77" s="1936">
        <v>7078.2185649690282</v>
      </c>
      <c r="DS77" s="1936">
        <v>1460.9815129214578</v>
      </c>
      <c r="DT77" s="1936">
        <v>779.64559363827902</v>
      </c>
      <c r="DU77" s="1936">
        <v>36222.793514001176</v>
      </c>
      <c r="DV77" s="1936">
        <v>21144.728418589355</v>
      </c>
      <c r="DW77" s="1936">
        <v>4159.8843027248213</v>
      </c>
      <c r="DX77" s="1936">
        <v>1253.1391461734811</v>
      </c>
      <c r="DY77" s="1936">
        <v>8351.8632073922035</v>
      </c>
      <c r="DZ77" s="1936">
        <v>510.18214166833945</v>
      </c>
      <c r="EA77" s="1936">
        <v>827.97742172656467</v>
      </c>
      <c r="EB77" s="1936">
        <v>36247.774638274765</v>
      </c>
      <c r="EC77" s="1936">
        <v>-24.981124273587181</v>
      </c>
      <c r="ED77" s="1941">
        <v>400</v>
      </c>
      <c r="EE77" s="1936">
        <v>1</v>
      </c>
      <c r="EF77" s="1936">
        <v>50</v>
      </c>
      <c r="EG77" s="1938">
        <v>300000</v>
      </c>
      <c r="EH77" s="1938">
        <v>1</v>
      </c>
      <c r="EI77" s="1368">
        <v>7.0000000000000007E-2</v>
      </c>
      <c r="EJ77" s="1936">
        <v>2.7247572709114825</v>
      </c>
      <c r="EK77" s="1936">
        <v>1</v>
      </c>
      <c r="EL77" s="1936">
        <v>2500</v>
      </c>
      <c r="EM77" s="1936">
        <v>1</v>
      </c>
      <c r="EN77" s="1362">
        <v>0.2</v>
      </c>
      <c r="EO77" s="1936">
        <v>0</v>
      </c>
      <c r="EP77" s="1936">
        <v>0</v>
      </c>
      <c r="EQ77" s="1936">
        <v>0</v>
      </c>
      <c r="ER77" s="1938">
        <v>0</v>
      </c>
      <c r="ES77" s="1936">
        <v>8539.2000778904858</v>
      </c>
      <c r="ET77" s="1936">
        <v>-5712.3969045482172</v>
      </c>
      <c r="EU77" s="1938">
        <v>4</v>
      </c>
      <c r="EV77" s="1936">
        <v>313000</v>
      </c>
      <c r="EW77" s="1936">
        <v>20000</v>
      </c>
      <c r="EX77" s="1938">
        <v>1</v>
      </c>
      <c r="EY77" s="1936">
        <v>7714571</v>
      </c>
      <c r="EZ77" s="1936">
        <v>4063722</v>
      </c>
      <c r="FA77" s="1936">
        <v>3650849</v>
      </c>
      <c r="FB77" s="1936">
        <v>1592328</v>
      </c>
      <c r="FC77" s="1936">
        <v>470148</v>
      </c>
      <c r="FD77" s="1936">
        <v>1122180</v>
      </c>
      <c r="FE77" s="1936">
        <v>9306899</v>
      </c>
      <c r="FF77" s="1936">
        <v>4533870</v>
      </c>
      <c r="FG77" s="1936">
        <v>4773029</v>
      </c>
      <c r="FH77" s="1366">
        <v>1</v>
      </c>
      <c r="FI77" s="1366">
        <v>0.5267592974385743</v>
      </c>
      <c r="FJ77" s="1366">
        <v>0.47324070256142564</v>
      </c>
      <c r="FK77" s="1366">
        <v>1</v>
      </c>
      <c r="FL77" s="1366">
        <v>0.29525826337287292</v>
      </c>
      <c r="FM77" s="1366">
        <v>0.70474173662712702</v>
      </c>
      <c r="FN77" s="1366">
        <v>1</v>
      </c>
      <c r="FO77" s="1366">
        <v>0.48715152060852923</v>
      </c>
      <c r="FP77" s="1366">
        <v>0.51284847939147082</v>
      </c>
      <c r="FQ77" s="1936">
        <v>7540083</v>
      </c>
      <c r="FR77" s="1936">
        <v>0</v>
      </c>
      <c r="FS77" s="1936">
        <v>1323566</v>
      </c>
      <c r="FT77" s="1936">
        <v>92700</v>
      </c>
      <c r="FU77" s="1936">
        <v>97904</v>
      </c>
      <c r="FV77" s="1936">
        <v>59028</v>
      </c>
      <c r="FW77" s="1936">
        <v>1885706</v>
      </c>
      <c r="FX77" s="1936">
        <v>10998987</v>
      </c>
      <c r="FY77" s="1936">
        <v>-6225958</v>
      </c>
      <c r="FZ77" s="1366">
        <v>0.8101606131107687</v>
      </c>
      <c r="GA77" s="1366">
        <v>0</v>
      </c>
      <c r="GB77" s="1366">
        <v>0.14221342683529714</v>
      </c>
      <c r="GC77" s="1366">
        <v>9.9603530671172006E-3</v>
      </c>
      <c r="GD77" s="1366">
        <v>1.0519508162708116E-2</v>
      </c>
      <c r="GE77" s="1366">
        <v>6.3423918106342405E-3</v>
      </c>
      <c r="GF77" s="1366">
        <v>0.20261378145395154</v>
      </c>
      <c r="GG77" s="1366">
        <v>1.1818100744404769</v>
      </c>
      <c r="GH77" s="1366">
        <v>-0.6689615950490061</v>
      </c>
      <c r="GI77" s="1942">
        <v>4.844837872599113</v>
      </c>
      <c r="GJ77" s="1943">
        <v>1</v>
      </c>
      <c r="GK77" s="1371">
        <v>0.1</v>
      </c>
      <c r="GL77" s="1943">
        <v>1</v>
      </c>
      <c r="GM77" s="1371">
        <v>0.03</v>
      </c>
      <c r="GN77" s="1943">
        <v>18</v>
      </c>
      <c r="GO77" s="1985">
        <f>IF(GN77=0,0,VLOOKUP(A77,'Area (&amp;golfacre for lookup)'!$G$2:$H$133,2,FALSE))</f>
        <v>125</v>
      </c>
      <c r="GP77" s="1943">
        <v>38000</v>
      </c>
      <c r="GQ77" s="1943">
        <v>1187889</v>
      </c>
      <c r="GR77" s="1943">
        <v>185596</v>
      </c>
      <c r="GS77" s="1943">
        <v>459135</v>
      </c>
      <c r="GT77" s="1943">
        <v>94533</v>
      </c>
      <c r="GU77" s="1943">
        <v>0</v>
      </c>
      <c r="GV77" s="1943">
        <v>423262</v>
      </c>
      <c r="GW77" s="1943">
        <v>2350415</v>
      </c>
      <c r="GX77" s="1943">
        <v>130578.61111111111</v>
      </c>
      <c r="GY77" s="1985">
        <f t="shared" si="764"/>
        <v>18803.32</v>
      </c>
      <c r="GZ77" s="1366">
        <v>0.50539543016871491</v>
      </c>
      <c r="HA77" s="1366">
        <v>7.8963076733257739E-2</v>
      </c>
      <c r="HB77" s="1366">
        <v>0.19534209916121195</v>
      </c>
      <c r="HC77" s="1366">
        <v>4.0219705881727269E-2</v>
      </c>
      <c r="HD77" s="1366">
        <v>0</v>
      </c>
      <c r="HE77" s="1366">
        <v>0.18007968805508814</v>
      </c>
      <c r="HF77" s="1366">
        <v>1</v>
      </c>
      <c r="HG77" s="1936">
        <v>0</v>
      </c>
      <c r="HH77" s="1988">
        <f>IF(HG77=0,0,VLOOKUP(A77,'Area (&amp;golfacre for lookup)'!$G$2:$H$134,2,FALSE))</f>
        <v>0</v>
      </c>
      <c r="HI77" s="1936">
        <v>0</v>
      </c>
      <c r="HJ77" s="1936">
        <v>0</v>
      </c>
      <c r="HK77" s="1936">
        <v>0</v>
      </c>
      <c r="HL77" s="1936">
        <v>0</v>
      </c>
      <c r="HM77" s="1936">
        <v>0</v>
      </c>
      <c r="HN77" s="1936">
        <v>0</v>
      </c>
      <c r="HO77" s="1936">
        <v>0</v>
      </c>
      <c r="HP77" s="1936">
        <v>0</v>
      </c>
      <c r="HQ77" s="1936">
        <v>0</v>
      </c>
      <c r="HR77" s="1988">
        <f t="shared" si="765"/>
        <v>0</v>
      </c>
      <c r="HS77" s="1936">
        <v>0</v>
      </c>
      <c r="HT77" s="1936">
        <v>0</v>
      </c>
      <c r="HU77" s="1936">
        <v>0</v>
      </c>
      <c r="HV77" s="1936">
        <v>0</v>
      </c>
      <c r="HW77" s="1936">
        <v>0</v>
      </c>
      <c r="HX77" s="1936">
        <v>0</v>
      </c>
      <c r="HY77" s="1936">
        <v>0</v>
      </c>
      <c r="HZ77" s="51"/>
      <c r="IA77" s="59">
        <f t="shared" si="766"/>
        <v>0.09</v>
      </c>
      <c r="IB77" s="59"/>
      <c r="IC77" s="815">
        <f t="shared" si="581"/>
        <v>1</v>
      </c>
      <c r="ID77" s="815"/>
      <c r="IE77" s="284">
        <f t="shared" si="582"/>
        <v>0</v>
      </c>
      <c r="IF77" s="284"/>
      <c r="IG77" s="284">
        <f t="shared" si="583"/>
        <v>62975.956365683356</v>
      </c>
      <c r="IH77" s="284"/>
      <c r="II77" s="1288">
        <f t="shared" si="584"/>
        <v>0</v>
      </c>
      <c r="IJ77" s="1288">
        <f t="shared" si="585"/>
        <v>0.95457857257365819</v>
      </c>
      <c r="IK77" s="284">
        <f t="shared" si="586"/>
        <v>0</v>
      </c>
      <c r="IL77" s="284">
        <f t="shared" si="587"/>
        <v>0</v>
      </c>
      <c r="IM77" s="284">
        <f t="shared" si="588"/>
        <v>1</v>
      </c>
      <c r="IN77" s="284">
        <f t="shared" si="589"/>
        <v>0</v>
      </c>
      <c r="IO77" s="753">
        <f t="shared" si="590"/>
        <v>-4848.8769470404986</v>
      </c>
      <c r="IP77" s="113">
        <f t="shared" si="591"/>
        <v>-5712.3969045482172</v>
      </c>
      <c r="IQ77" s="30">
        <f t="shared" si="592"/>
        <v>-0.27828698321957507</v>
      </c>
      <c r="IR77" s="438">
        <f t="shared" si="593"/>
        <v>7714571</v>
      </c>
      <c r="IS77" s="438">
        <f t="shared" si="594"/>
        <v>1592328</v>
      </c>
      <c r="IT77" s="438">
        <f t="shared" si="595"/>
        <v>7540083</v>
      </c>
      <c r="IU77" s="438">
        <f t="shared" si="596"/>
        <v>1416266</v>
      </c>
      <c r="IV77" s="438">
        <f t="shared" si="597"/>
        <v>4533870</v>
      </c>
      <c r="IW77" s="438">
        <f t="shared" si="598"/>
        <v>2042638</v>
      </c>
      <c r="IX77" s="285">
        <f t="shared" si="599"/>
        <v>0.82890885567792238</v>
      </c>
      <c r="IY77" s="285">
        <f t="shared" si="600"/>
        <v>0.17109114432207764</v>
      </c>
      <c r="IZ77" s="285">
        <f t="shared" si="601"/>
        <v>0.8101606131107687</v>
      </c>
      <c r="JA77" s="285">
        <f t="shared" si="602"/>
        <v>0.15217377990241432</v>
      </c>
      <c r="JB77" s="285">
        <f t="shared" si="603"/>
        <v>0.48715152060852923</v>
      </c>
      <c r="JC77" s="285">
        <f t="shared" si="604"/>
        <v>0.21947568142729387</v>
      </c>
      <c r="JD77" s="60">
        <f t="shared" si="605"/>
        <v>22372437</v>
      </c>
      <c r="JE77" s="60">
        <f t="shared" si="606"/>
        <v>6950254</v>
      </c>
      <c r="JF77" s="60">
        <f t="shared" si="607"/>
        <v>0</v>
      </c>
      <c r="JG77" s="60">
        <f t="shared" si="608"/>
        <v>1458464</v>
      </c>
      <c r="JH77" s="284">
        <f t="shared" si="609"/>
        <v>0</v>
      </c>
      <c r="JI77" s="284">
        <f t="shared" si="610"/>
        <v>1</v>
      </c>
      <c r="JJ77" s="560">
        <f t="shared" si="611"/>
        <v>0.80132219922989056</v>
      </c>
      <c r="JK77" s="561">
        <f t="shared" si="612"/>
        <v>0.58374096438520939</v>
      </c>
      <c r="JL77" s="561">
        <f t="shared" si="613"/>
        <v>0.11484162040448105</v>
      </c>
      <c r="JM77" s="561">
        <f t="shared" si="614"/>
        <v>3.4595320366141998E-2</v>
      </c>
      <c r="JN77" s="561">
        <f t="shared" si="615"/>
        <v>0.23056927412746236</v>
      </c>
      <c r="JO77" s="561">
        <f t="shared" si="616"/>
        <v>1.4084560912485644E-2</v>
      </c>
      <c r="JP77" s="561">
        <f t="shared" si="617"/>
        <v>2.2857911867192875E-2</v>
      </c>
      <c r="JQ77" s="561">
        <f t="shared" si="618"/>
        <v>1.0006896520629733</v>
      </c>
      <c r="JR77" s="61">
        <f t="shared" si="619"/>
        <v>65993.833333333328</v>
      </c>
      <c r="JS77" s="61">
        <f t="shared" si="620"/>
        <v>10310.888888888889</v>
      </c>
      <c r="JT77" s="61">
        <f t="shared" si="621"/>
        <v>25507.5</v>
      </c>
      <c r="JU77" s="61">
        <f t="shared" si="622"/>
        <v>5251.833333333333</v>
      </c>
      <c r="JV77" s="61">
        <f t="shared" si="623"/>
        <v>0</v>
      </c>
      <c r="JW77" s="61">
        <f t="shared" si="624"/>
        <v>23514.555555555555</v>
      </c>
      <c r="JX77" s="61">
        <f t="shared" si="625"/>
        <v>61.853026315789471</v>
      </c>
      <c r="JY77" s="394">
        <f t="shared" si="626"/>
        <v>5.9494304173066975E-2</v>
      </c>
      <c r="JZ77" s="61">
        <f t="shared" si="627"/>
        <v>0</v>
      </c>
      <c r="KA77" s="61">
        <f t="shared" si="628"/>
        <v>0</v>
      </c>
      <c r="KB77" s="61">
        <f t="shared" si="629"/>
        <v>0</v>
      </c>
      <c r="KC77" s="61">
        <f t="shared" si="630"/>
        <v>0</v>
      </c>
      <c r="KD77" s="61">
        <f t="shared" si="631"/>
        <v>0</v>
      </c>
      <c r="KE77" s="61">
        <f t="shared" si="632"/>
        <v>0</v>
      </c>
      <c r="KF77" s="61">
        <f t="shared" si="633"/>
        <v>0</v>
      </c>
      <c r="KG77" s="61">
        <f t="shared" si="634"/>
        <v>0</v>
      </c>
      <c r="KH77" s="61">
        <f t="shared" si="635"/>
        <v>0</v>
      </c>
      <c r="KI77" s="394">
        <f t="shared" si="636"/>
        <v>0</v>
      </c>
      <c r="KJ77" s="438">
        <f t="shared" si="637"/>
        <v>18</v>
      </c>
      <c r="KK77" s="438">
        <f t="shared" si="638"/>
        <v>38000</v>
      </c>
      <c r="KL77" s="438">
        <f t="shared" si="639"/>
        <v>125</v>
      </c>
      <c r="KM77" s="438">
        <f t="shared" si="640"/>
        <v>130578.61111111111</v>
      </c>
      <c r="KN77" s="438">
        <f t="shared" si="641"/>
        <v>61.853026315789471</v>
      </c>
      <c r="KO77" s="438">
        <f t="shared" si="642"/>
        <v>18803.32</v>
      </c>
      <c r="KP77" s="438">
        <f t="shared" si="643"/>
        <v>1187889</v>
      </c>
      <c r="KQ77" s="438">
        <f t="shared" si="644"/>
        <v>185596</v>
      </c>
      <c r="KR77" s="438">
        <f t="shared" si="645"/>
        <v>459135</v>
      </c>
      <c r="KS77" s="438">
        <f t="shared" si="646"/>
        <v>94533</v>
      </c>
      <c r="KT77" s="438">
        <f t="shared" si="647"/>
        <v>0</v>
      </c>
      <c r="KU77" s="438">
        <f t="shared" si="648"/>
        <v>423262</v>
      </c>
      <c r="KV77" s="420">
        <f t="shared" si="649"/>
        <v>5.9494304173066975E-2</v>
      </c>
      <c r="KW77" s="420">
        <f t="shared" si="650"/>
        <v>-8.6139610092543784E-2</v>
      </c>
      <c r="KX77" s="108"/>
      <c r="KY77" s="282">
        <f t="shared" si="651"/>
        <v>0</v>
      </c>
      <c r="KZ77" s="282"/>
      <c r="LA77" s="282">
        <f t="shared" si="652"/>
        <v>0</v>
      </c>
      <c r="LB77" s="282"/>
      <c r="LC77" s="286">
        <f t="shared" si="653"/>
        <v>0</v>
      </c>
      <c r="LD77" s="286"/>
      <c r="LE77" s="282">
        <f t="shared" si="654"/>
        <v>0</v>
      </c>
      <c r="LF77" s="282"/>
      <c r="LG77" s="282">
        <f t="shared" si="655"/>
        <v>0</v>
      </c>
      <c r="LH77" s="282">
        <f t="shared" si="656"/>
        <v>0</v>
      </c>
      <c r="LI77" s="282">
        <f t="shared" si="657"/>
        <v>0</v>
      </c>
      <c r="LJ77" s="282">
        <f t="shared" si="658"/>
        <v>0</v>
      </c>
      <c r="LK77" s="282"/>
      <c r="LL77" s="282">
        <f t="shared" si="659"/>
        <v>0</v>
      </c>
      <c r="LM77" s="282">
        <f t="shared" si="660"/>
        <v>0</v>
      </c>
      <c r="LN77" s="282">
        <f t="shared" si="661"/>
        <v>0</v>
      </c>
      <c r="LO77" s="282">
        <f t="shared" si="662"/>
        <v>0</v>
      </c>
      <c r="LP77" s="286">
        <f t="shared" si="663"/>
        <v>0</v>
      </c>
      <c r="LQ77" s="282">
        <f t="shared" si="664"/>
        <v>0</v>
      </c>
      <c r="LR77" s="282">
        <f t="shared" si="665"/>
        <v>0</v>
      </c>
      <c r="LS77" s="282">
        <f t="shared" si="666"/>
        <v>0</v>
      </c>
      <c r="LT77" s="286">
        <f t="shared" si="667"/>
        <v>0</v>
      </c>
      <c r="LU77" s="286">
        <f t="shared" si="668"/>
        <v>0</v>
      </c>
      <c r="LV77" s="286">
        <f t="shared" si="669"/>
        <v>0</v>
      </c>
      <c r="LW77" s="286">
        <f t="shared" si="670"/>
        <v>0</v>
      </c>
      <c r="LX77" s="286">
        <f t="shared" si="671"/>
        <v>0</v>
      </c>
      <c r="LY77" s="286">
        <f t="shared" si="672"/>
        <v>0</v>
      </c>
      <c r="LZ77" s="286">
        <f t="shared" si="673"/>
        <v>0</v>
      </c>
      <c r="MA77" s="286">
        <f t="shared" si="674"/>
        <v>0</v>
      </c>
      <c r="MB77" s="286">
        <f t="shared" si="675"/>
        <v>0</v>
      </c>
      <c r="MC77" s="286">
        <f t="shared" si="676"/>
        <v>0</v>
      </c>
      <c r="MD77" s="286">
        <f t="shared" si="677"/>
        <v>0</v>
      </c>
      <c r="ME77" s="286">
        <f t="shared" si="678"/>
        <v>0</v>
      </c>
      <c r="MF77" s="286">
        <f t="shared" si="679"/>
        <v>0</v>
      </c>
      <c r="MG77" s="286">
        <f t="shared" si="680"/>
        <v>0</v>
      </c>
      <c r="MH77" s="286">
        <f t="shared" si="681"/>
        <v>0</v>
      </c>
      <c r="MI77" s="286">
        <f t="shared" si="682"/>
        <v>0</v>
      </c>
      <c r="MJ77" s="286">
        <f t="shared" si="683"/>
        <v>0</v>
      </c>
      <c r="MK77" s="286">
        <f t="shared" si="684"/>
        <v>0</v>
      </c>
      <c r="ML77" s="282">
        <f t="shared" si="685"/>
        <v>0</v>
      </c>
      <c r="MM77" s="1232">
        <f t="shared" si="686"/>
        <v>0</v>
      </c>
      <c r="MN77" s="1232">
        <f t="shared" si="687"/>
        <v>0</v>
      </c>
      <c r="MO77" s="1232">
        <f t="shared" si="688"/>
        <v>0</v>
      </c>
      <c r="MP77" s="1232">
        <f t="shared" si="689"/>
        <v>0</v>
      </c>
      <c r="MQ77" s="282">
        <f t="shared" si="690"/>
        <v>0</v>
      </c>
      <c r="MR77" s="282">
        <f t="shared" si="691"/>
        <v>0</v>
      </c>
      <c r="MS77" s="282">
        <f t="shared" si="692"/>
        <v>0</v>
      </c>
      <c r="MT77" s="282">
        <f t="shared" si="693"/>
        <v>0</v>
      </c>
      <c r="MU77" s="282">
        <f t="shared" si="694"/>
        <v>0</v>
      </c>
      <c r="MV77" s="282">
        <f t="shared" si="695"/>
        <v>0</v>
      </c>
      <c r="MW77" s="282">
        <f t="shared" si="696"/>
        <v>0</v>
      </c>
      <c r="MX77" s="282">
        <f t="shared" si="697"/>
        <v>0</v>
      </c>
      <c r="MY77" s="282">
        <f t="shared" si="698"/>
        <v>0</v>
      </c>
      <c r="MZ77" s="282">
        <f t="shared" si="699"/>
        <v>0</v>
      </c>
      <c r="NA77" s="282">
        <f t="shared" si="700"/>
        <v>0</v>
      </c>
      <c r="NB77" s="282">
        <f t="shared" si="701"/>
        <v>0</v>
      </c>
      <c r="NC77" s="282">
        <f t="shared" si="702"/>
        <v>0</v>
      </c>
      <c r="ND77" s="282">
        <f t="shared" si="703"/>
        <v>0</v>
      </c>
      <c r="NE77" s="282">
        <f t="shared" si="704"/>
        <v>0</v>
      </c>
      <c r="NF77" s="282">
        <f t="shared" si="705"/>
        <v>0</v>
      </c>
      <c r="NG77" s="282">
        <f t="shared" si="706"/>
        <v>0</v>
      </c>
      <c r="NH77" s="282">
        <f t="shared" si="707"/>
        <v>0</v>
      </c>
      <c r="NI77" s="282">
        <f t="shared" si="708"/>
        <v>0</v>
      </c>
      <c r="NJ77" s="282">
        <f t="shared" si="709"/>
        <v>0</v>
      </c>
      <c r="NK77" s="282">
        <f t="shared" si="710"/>
        <v>0</v>
      </c>
      <c r="NL77" s="282">
        <f t="shared" si="711"/>
        <v>0</v>
      </c>
      <c r="NM77" s="1205">
        <f t="shared" si="712"/>
        <v>0</v>
      </c>
      <c r="NN77" s="282">
        <f t="shared" si="713"/>
        <v>0</v>
      </c>
      <c r="NO77" s="282">
        <f t="shared" si="714"/>
        <v>0</v>
      </c>
      <c r="NP77" s="282">
        <f t="shared" si="715"/>
        <v>0</v>
      </c>
      <c r="NQ77" s="282">
        <f t="shared" si="716"/>
        <v>0</v>
      </c>
      <c r="NR77" s="282">
        <f t="shared" si="717"/>
        <v>0</v>
      </c>
      <c r="NS77" s="282">
        <f t="shared" si="718"/>
        <v>0</v>
      </c>
      <c r="NT77" s="282">
        <f t="shared" si="719"/>
        <v>0</v>
      </c>
      <c r="NU77" s="282">
        <f t="shared" si="720"/>
        <v>0</v>
      </c>
      <c r="NV77" s="286">
        <f t="shared" si="721"/>
        <v>0</v>
      </c>
      <c r="NW77" s="286">
        <f t="shared" si="722"/>
        <v>0</v>
      </c>
      <c r="NX77" s="286">
        <f t="shared" si="723"/>
        <v>0</v>
      </c>
      <c r="NY77" s="286">
        <f t="shared" si="724"/>
        <v>0</v>
      </c>
      <c r="NZ77" s="286">
        <f t="shared" si="725"/>
        <v>0</v>
      </c>
      <c r="OA77" s="286">
        <f t="shared" si="726"/>
        <v>0</v>
      </c>
      <c r="OB77" s="286">
        <f t="shared" si="727"/>
        <v>0</v>
      </c>
      <c r="OC77" s="286">
        <f t="shared" si="728"/>
        <v>0</v>
      </c>
      <c r="OD77" s="286">
        <f t="shared" si="729"/>
        <v>0</v>
      </c>
      <c r="OE77" s="282">
        <f t="shared" si="730"/>
        <v>0</v>
      </c>
      <c r="OF77" s="282">
        <f t="shared" si="731"/>
        <v>0</v>
      </c>
      <c r="OG77" s="286">
        <f t="shared" si="732"/>
        <v>0</v>
      </c>
      <c r="OH77" s="286">
        <f t="shared" si="733"/>
        <v>0</v>
      </c>
      <c r="OI77" s="286">
        <f t="shared" si="734"/>
        <v>0</v>
      </c>
      <c r="OJ77" s="286">
        <f t="shared" si="735"/>
        <v>0</v>
      </c>
      <c r="OK77" s="286">
        <f t="shared" si="736"/>
        <v>0</v>
      </c>
      <c r="OL77" s="286">
        <f t="shared" si="737"/>
        <v>0</v>
      </c>
      <c r="OM77" s="286">
        <f t="shared" si="738"/>
        <v>0</v>
      </c>
      <c r="ON77" s="286">
        <f t="shared" si="739"/>
        <v>0</v>
      </c>
      <c r="OO77" s="286">
        <f t="shared" si="740"/>
        <v>0</v>
      </c>
      <c r="OP77" s="434">
        <f t="shared" si="741"/>
        <v>0</v>
      </c>
      <c r="OQ77" s="434">
        <f t="shared" si="742"/>
        <v>0</v>
      </c>
      <c r="OR77" s="282">
        <f t="shared" si="743"/>
        <v>0</v>
      </c>
      <c r="OS77" s="282">
        <f t="shared" si="744"/>
        <v>0</v>
      </c>
      <c r="OT77" s="282">
        <f t="shared" si="745"/>
        <v>0</v>
      </c>
      <c r="OU77" s="282">
        <f t="shared" si="746"/>
        <v>0</v>
      </c>
      <c r="OV77" s="282">
        <f t="shared" si="747"/>
        <v>0</v>
      </c>
      <c r="OW77" s="286">
        <f t="shared" si="748"/>
        <v>0</v>
      </c>
      <c r="OX77" s="286">
        <f t="shared" si="749"/>
        <v>0</v>
      </c>
      <c r="OY77" s="286">
        <f t="shared" si="750"/>
        <v>0</v>
      </c>
      <c r="OZ77" s="286">
        <f t="shared" si="751"/>
        <v>0</v>
      </c>
      <c r="PA77" s="286">
        <f t="shared" si="752"/>
        <v>0</v>
      </c>
      <c r="PB77" s="286">
        <f t="shared" si="753"/>
        <v>0</v>
      </c>
      <c r="PC77" s="286">
        <f t="shared" si="754"/>
        <v>0</v>
      </c>
      <c r="PD77" s="282">
        <f t="shared" si="755"/>
        <v>0</v>
      </c>
      <c r="PE77" s="282">
        <f t="shared" si="756"/>
        <v>0</v>
      </c>
      <c r="PF77" s="286">
        <f t="shared" si="757"/>
        <v>0</v>
      </c>
      <c r="PG77" s="286">
        <f t="shared" si="758"/>
        <v>0</v>
      </c>
      <c r="PH77" s="286">
        <f t="shared" si="759"/>
        <v>0</v>
      </c>
      <c r="PI77" s="286">
        <f t="shared" si="760"/>
        <v>0</v>
      </c>
      <c r="PJ77" s="286">
        <f t="shared" si="761"/>
        <v>0</v>
      </c>
      <c r="PK77" s="286">
        <f t="shared" si="762"/>
        <v>0</v>
      </c>
      <c r="PL77" s="286">
        <f t="shared" si="763"/>
        <v>0</v>
      </c>
      <c r="PM77" s="562">
        <v>21</v>
      </c>
    </row>
    <row r="78" spans="1:431" s="289" customFormat="1" ht="15.75" customHeight="1">
      <c r="A78" s="1040" t="s">
        <v>713</v>
      </c>
      <c r="B78" s="1040" t="str">
        <f>VLOOKUP(A78,'Area (&amp;golfacre for lookup)'!$A$2:$B$162,2,FALSE)</f>
        <v>SE exc BOCA</v>
      </c>
      <c r="C78" s="1936"/>
      <c r="D78" s="1937">
        <v>44804</v>
      </c>
      <c r="E78" s="402"/>
      <c r="F78" s="1936">
        <v>1</v>
      </c>
      <c r="G78" s="1936">
        <v>0</v>
      </c>
      <c r="H78" s="1936">
        <v>274</v>
      </c>
      <c r="I78" s="1936">
        <v>87</v>
      </c>
      <c r="J78" s="1936">
        <v>361</v>
      </c>
      <c r="K78" s="1938">
        <v>318.58949044585989</v>
      </c>
      <c r="L78" s="1939" t="s">
        <v>1208</v>
      </c>
      <c r="M78" s="1939" t="s">
        <v>1208</v>
      </c>
      <c r="N78" s="1939" t="s">
        <v>1208</v>
      </c>
      <c r="O78" s="1939" t="s">
        <v>1208</v>
      </c>
      <c r="P78" s="1939" t="s">
        <v>1208</v>
      </c>
      <c r="Q78" s="1936">
        <v>0</v>
      </c>
      <c r="R78" s="1936">
        <v>170000</v>
      </c>
      <c r="S78" s="1936">
        <v>170000</v>
      </c>
      <c r="T78" s="1939" t="s">
        <v>1208</v>
      </c>
      <c r="U78" s="1939" t="s">
        <v>1208</v>
      </c>
      <c r="V78" s="1939" t="s">
        <v>1208</v>
      </c>
      <c r="W78" s="1936">
        <v>17665</v>
      </c>
      <c r="X78" s="1936">
        <v>15700</v>
      </c>
      <c r="Y78" s="1939" t="s">
        <v>1208</v>
      </c>
      <c r="Z78" s="1939" t="s">
        <v>1208</v>
      </c>
      <c r="AA78" s="1936">
        <v>1965</v>
      </c>
      <c r="AB78" s="1362">
        <v>0.12515923566878981</v>
      </c>
      <c r="AC78" s="1939" t="s">
        <v>1208</v>
      </c>
      <c r="AD78" s="1363" t="s">
        <v>1208</v>
      </c>
      <c r="AE78" s="1936">
        <v>1</v>
      </c>
      <c r="AF78" s="1936">
        <v>2000</v>
      </c>
      <c r="AG78" s="1939" t="s">
        <v>1208</v>
      </c>
      <c r="AH78" s="1936">
        <v>0</v>
      </c>
      <c r="AI78" s="1936">
        <v>0</v>
      </c>
      <c r="AJ78" s="1939" t="s">
        <v>1208</v>
      </c>
      <c r="AK78" s="1938">
        <v>0</v>
      </c>
      <c r="AL78" s="1938">
        <v>0</v>
      </c>
      <c r="AM78" s="1936">
        <v>17700</v>
      </c>
      <c r="AN78" s="1939" t="s">
        <v>1208</v>
      </c>
      <c r="AO78" s="1936">
        <v>0</v>
      </c>
      <c r="AP78" s="1936">
        <v>0</v>
      </c>
      <c r="AQ78" s="1936">
        <v>17700</v>
      </c>
      <c r="AR78" s="1939" t="s">
        <v>1208</v>
      </c>
      <c r="AS78" s="1363" t="s">
        <v>1208</v>
      </c>
      <c r="AT78" s="1363" t="s">
        <v>1208</v>
      </c>
      <c r="AU78" s="1363" t="s">
        <v>1208</v>
      </c>
      <c r="AV78" s="1363" t="s">
        <v>1208</v>
      </c>
      <c r="AW78" s="1363" t="s">
        <v>1291</v>
      </c>
      <c r="AX78" s="1938">
        <v>1</v>
      </c>
      <c r="AY78" s="1938">
        <v>1</v>
      </c>
      <c r="AZ78" s="1938">
        <v>1</v>
      </c>
      <c r="BA78" s="1938">
        <v>0</v>
      </c>
      <c r="BB78" s="1938">
        <v>0</v>
      </c>
      <c r="BC78" s="1938">
        <v>0</v>
      </c>
      <c r="BD78" s="1938">
        <v>0</v>
      </c>
      <c r="BE78" s="1936">
        <v>1</v>
      </c>
      <c r="BF78" s="1936">
        <v>4450000</v>
      </c>
      <c r="BG78" s="1936">
        <v>1224900</v>
      </c>
      <c r="BH78" s="1936">
        <v>5674900</v>
      </c>
      <c r="BI78" s="1938">
        <v>18576959</v>
      </c>
      <c r="BJ78" s="1936">
        <v>1823351</v>
      </c>
      <c r="BK78" s="1936">
        <v>1663399</v>
      </c>
      <c r="BL78" s="1362">
        <v>1.0961597307681441</v>
      </c>
      <c r="BM78" s="1936">
        <v>1</v>
      </c>
      <c r="BN78" s="1936">
        <v>106327</v>
      </c>
      <c r="BO78" s="1363" t="s">
        <v>1208</v>
      </c>
      <c r="BP78" s="1938">
        <v>4882781</v>
      </c>
      <c r="BQ78" s="1938">
        <v>7210745</v>
      </c>
      <c r="BR78" s="1940">
        <v>0.67715347027248918</v>
      </c>
      <c r="BS78" s="1409">
        <v>0</v>
      </c>
      <c r="BT78" s="1938">
        <v>7234535</v>
      </c>
      <c r="BU78" s="1938">
        <v>16257125</v>
      </c>
      <c r="BV78" s="1940">
        <v>0.44500703537679631</v>
      </c>
      <c r="BW78" s="1936">
        <v>333.74296136133495</v>
      </c>
      <c r="BX78" s="1936">
        <v>5723.1988332328701</v>
      </c>
      <c r="BY78" s="1936">
        <v>17812.577533734984</v>
      </c>
      <c r="BZ78" s="1936">
        <v>1193271</v>
      </c>
      <c r="CA78" s="1936">
        <v>0</v>
      </c>
      <c r="CB78" s="1936">
        <v>0</v>
      </c>
      <c r="CC78" s="1936">
        <v>376120</v>
      </c>
      <c r="CD78" s="1936">
        <v>5001855</v>
      </c>
      <c r="CE78" s="1936">
        <v>0</v>
      </c>
      <c r="CF78" s="1936">
        <v>0</v>
      </c>
      <c r="CG78" s="1936">
        <v>959452</v>
      </c>
      <c r="CH78" s="1936">
        <v>412539</v>
      </c>
      <c r="CI78" s="1936">
        <v>187742</v>
      </c>
      <c r="CJ78" s="1936">
        <v>8130979</v>
      </c>
      <c r="CK78" s="1366">
        <v>0.14675612862854523</v>
      </c>
      <c r="CL78" s="1366">
        <v>0</v>
      </c>
      <c r="CM78" s="1366">
        <v>0</v>
      </c>
      <c r="CN78" s="1366">
        <v>4.6257652368798391E-2</v>
      </c>
      <c r="CO78" s="1366">
        <v>0.61516024085168586</v>
      </c>
      <c r="CP78" s="1366">
        <v>0</v>
      </c>
      <c r="CQ78" s="1366">
        <v>0</v>
      </c>
      <c r="CR78" s="1366">
        <v>0.11799956684182802</v>
      </c>
      <c r="CS78" s="1366">
        <v>5.0736694806369567E-2</v>
      </c>
      <c r="CT78" s="1366">
        <v>2.3089716502772913E-2</v>
      </c>
      <c r="CU78" s="1366">
        <v>1</v>
      </c>
      <c r="CV78" s="1936">
        <v>4873606</v>
      </c>
      <c r="CW78" s="1936">
        <v>628552</v>
      </c>
      <c r="CX78" s="1936">
        <v>0</v>
      </c>
      <c r="CY78" s="1936">
        <v>2177717</v>
      </c>
      <c r="CZ78" s="1936">
        <v>296633</v>
      </c>
      <c r="DA78" s="1936">
        <v>306241</v>
      </c>
      <c r="DB78" s="1936">
        <v>8282749</v>
      </c>
      <c r="DC78" s="1366">
        <v>0.58840440534899707</v>
      </c>
      <c r="DD78" s="1366">
        <v>7.58868824830983E-2</v>
      </c>
      <c r="DE78" s="1366">
        <v>0</v>
      </c>
      <c r="DF78" s="1366">
        <v>0.26292200814005107</v>
      </c>
      <c r="DG78" s="1366">
        <v>3.5813351340237401E-2</v>
      </c>
      <c r="DH78" s="1366">
        <v>3.6973352687616153E-2</v>
      </c>
      <c r="DI78" s="1366">
        <v>1</v>
      </c>
      <c r="DJ78" s="1936">
        <v>-151770</v>
      </c>
      <c r="DK78" s="1936">
        <v>3745.4813664130606</v>
      </c>
      <c r="DL78" s="1936">
        <v>0</v>
      </c>
      <c r="DM78" s="1936">
        <v>0</v>
      </c>
      <c r="DN78" s="1936">
        <v>1180.5788052632472</v>
      </c>
      <c r="DO78" s="1936">
        <v>15699.999999999998</v>
      </c>
      <c r="DP78" s="1936">
        <v>0</v>
      </c>
      <c r="DQ78" s="1936">
        <v>0</v>
      </c>
      <c r="DR78" s="1936">
        <v>3011.5619905015237</v>
      </c>
      <c r="DS78" s="1936">
        <v>1294.8920550475773</v>
      </c>
      <c r="DT78" s="1936">
        <v>589.29125294515734</v>
      </c>
      <c r="DU78" s="1936">
        <v>25521.805470170566</v>
      </c>
      <c r="DV78" s="1936">
        <v>15297.447486982328</v>
      </c>
      <c r="DW78" s="1936">
        <v>1972.9213261879841</v>
      </c>
      <c r="DX78" s="1936">
        <v>0</v>
      </c>
      <c r="DY78" s="1936">
        <v>6835.4954112024434</v>
      </c>
      <c r="DZ78" s="1936">
        <v>931.0821885080635</v>
      </c>
      <c r="EA78" s="1936">
        <v>961.24011991551129</v>
      </c>
      <c r="EB78" s="1936">
        <v>25998.186532796331</v>
      </c>
      <c r="EC78" s="1936">
        <v>-476.38106262576582</v>
      </c>
      <c r="ED78" s="1941">
        <v>118</v>
      </c>
      <c r="EE78" s="1936">
        <v>1</v>
      </c>
      <c r="EF78" s="1936">
        <v>15</v>
      </c>
      <c r="EG78" s="1938">
        <v>80467</v>
      </c>
      <c r="EH78" s="1938">
        <v>1</v>
      </c>
      <c r="EI78" s="1368">
        <v>0.04</v>
      </c>
      <c r="EJ78" s="1936">
        <v>2.6999109359818636</v>
      </c>
      <c r="EK78" s="1936">
        <v>0</v>
      </c>
      <c r="EL78" s="1936">
        <v>0</v>
      </c>
      <c r="EM78" s="1936">
        <v>0</v>
      </c>
      <c r="EN78" s="1362">
        <v>0</v>
      </c>
      <c r="EO78" s="1936">
        <v>0</v>
      </c>
      <c r="EP78" s="1936">
        <v>0</v>
      </c>
      <c r="EQ78" s="1936">
        <v>0</v>
      </c>
      <c r="ER78" s="1938">
        <v>1</v>
      </c>
      <c r="ES78" s="1936">
        <v>4306.4540455491006</v>
      </c>
      <c r="ET78" s="1936">
        <v>-1915.9232124881667</v>
      </c>
      <c r="EU78" s="1938">
        <v>1</v>
      </c>
      <c r="EV78" s="1936">
        <v>29654</v>
      </c>
      <c r="EW78" s="1936">
        <v>2192</v>
      </c>
      <c r="EX78" s="1938">
        <v>0</v>
      </c>
      <c r="EY78" s="1936">
        <v>959452</v>
      </c>
      <c r="EZ78" s="1936">
        <v>477713</v>
      </c>
      <c r="FA78" s="1936">
        <v>481739</v>
      </c>
      <c r="FB78" s="1936">
        <v>412539</v>
      </c>
      <c r="FC78" s="1936">
        <v>150839</v>
      </c>
      <c r="FD78" s="1936">
        <v>261700</v>
      </c>
      <c r="FE78" s="1936">
        <v>1371991</v>
      </c>
      <c r="FF78" s="1936">
        <v>628552</v>
      </c>
      <c r="FG78" s="1936">
        <v>743439</v>
      </c>
      <c r="FH78" s="1366">
        <v>1</v>
      </c>
      <c r="FI78" s="1366">
        <v>0.49790192735019573</v>
      </c>
      <c r="FJ78" s="1366">
        <v>0.50209807264980422</v>
      </c>
      <c r="FK78" s="1366">
        <v>1</v>
      </c>
      <c r="FL78" s="1366">
        <v>0.36563573383364967</v>
      </c>
      <c r="FM78" s="1366">
        <v>0.63436426616635033</v>
      </c>
      <c r="FN78" s="1366">
        <v>1</v>
      </c>
      <c r="FO78" s="1366">
        <v>0.45813128511775952</v>
      </c>
      <c r="FP78" s="1366">
        <v>0.54186871488224053</v>
      </c>
      <c r="FQ78" s="1936">
        <v>1022950</v>
      </c>
      <c r="FR78" s="1936">
        <v>0</v>
      </c>
      <c r="FS78" s="1936">
        <v>148730</v>
      </c>
      <c r="FT78" s="1936">
        <v>25430</v>
      </c>
      <c r="FU78" s="1936">
        <v>26979</v>
      </c>
      <c r="FV78" s="1936">
        <v>22249</v>
      </c>
      <c r="FW78" s="1936">
        <v>107494</v>
      </c>
      <c r="FX78" s="1936">
        <v>1353832</v>
      </c>
      <c r="FY78" s="1936">
        <v>-610393</v>
      </c>
      <c r="FZ78" s="1366">
        <v>0.7455952699398174</v>
      </c>
      <c r="GA78" s="1366">
        <v>0</v>
      </c>
      <c r="GB78" s="1366">
        <v>0.10840450119570755</v>
      </c>
      <c r="GC78" s="1366">
        <v>1.8535107008719444E-2</v>
      </c>
      <c r="GD78" s="1366">
        <v>1.9664123161157763E-2</v>
      </c>
      <c r="GE78" s="1366">
        <v>1.6216578680180848E-2</v>
      </c>
      <c r="GF78" s="1366">
        <v>7.8348910452036499E-2</v>
      </c>
      <c r="GG78" s="1366">
        <v>0.98676449043761949</v>
      </c>
      <c r="GH78" s="1366">
        <v>-0.44489577555537901</v>
      </c>
      <c r="GI78" s="1942">
        <v>2.3257243557578797</v>
      </c>
      <c r="GJ78" s="1943">
        <v>0</v>
      </c>
      <c r="GK78" s="1371">
        <v>0</v>
      </c>
      <c r="GL78" s="1943">
        <v>0</v>
      </c>
      <c r="GM78" s="1371">
        <v>0</v>
      </c>
      <c r="GN78" s="1943">
        <v>18</v>
      </c>
      <c r="GO78" s="1985">
        <f>IF(GN78=0,0,VLOOKUP(A78,'Area (&amp;golfacre for lookup)'!$G$2:$H$133,2,FALSE))</f>
        <v>130</v>
      </c>
      <c r="GP78" s="1943">
        <v>18467</v>
      </c>
      <c r="GQ78" s="1943">
        <v>994383</v>
      </c>
      <c r="GR78" s="1943">
        <v>206145</v>
      </c>
      <c r="GS78" s="1943">
        <v>504026</v>
      </c>
      <c r="GT78" s="1943">
        <v>169857</v>
      </c>
      <c r="GU78" s="1943">
        <v>0</v>
      </c>
      <c r="GV78" s="1943">
        <v>152335</v>
      </c>
      <c r="GW78" s="1943">
        <v>2026746</v>
      </c>
      <c r="GX78" s="1943">
        <v>112597</v>
      </c>
      <c r="GY78" s="1985">
        <f t="shared" si="764"/>
        <v>15590.353846153846</v>
      </c>
      <c r="GZ78" s="1366">
        <v>0.49063030098492855</v>
      </c>
      <c r="HA78" s="1366">
        <v>0.1017123013934652</v>
      </c>
      <c r="HB78" s="1366">
        <v>0.24868730467458675</v>
      </c>
      <c r="HC78" s="1366">
        <v>8.3807739104949514E-2</v>
      </c>
      <c r="HD78" s="1366">
        <v>0</v>
      </c>
      <c r="HE78" s="1366">
        <v>7.5162353842069998E-2</v>
      </c>
      <c r="HF78" s="1366">
        <v>1</v>
      </c>
      <c r="HG78" s="1936">
        <v>0</v>
      </c>
      <c r="HH78" s="1988">
        <f>IF(HG78=0,0,VLOOKUP(A78,'Area (&amp;golfacre for lookup)'!$G$2:$H$134,2,FALSE))</f>
        <v>0</v>
      </c>
      <c r="HI78" s="1936">
        <v>0</v>
      </c>
      <c r="HJ78" s="1936">
        <v>0</v>
      </c>
      <c r="HK78" s="1936">
        <v>0</v>
      </c>
      <c r="HL78" s="1936">
        <v>0</v>
      </c>
      <c r="HM78" s="1936">
        <v>0</v>
      </c>
      <c r="HN78" s="1936">
        <v>0</v>
      </c>
      <c r="HO78" s="1936">
        <v>0</v>
      </c>
      <c r="HP78" s="1936">
        <v>0</v>
      </c>
      <c r="HQ78" s="1936">
        <v>0</v>
      </c>
      <c r="HR78" s="1988">
        <f t="shared" si="765"/>
        <v>0</v>
      </c>
      <c r="HS78" s="1936">
        <v>0</v>
      </c>
      <c r="HT78" s="1936">
        <v>0</v>
      </c>
      <c r="HU78" s="1936">
        <v>0</v>
      </c>
      <c r="HV78" s="1936">
        <v>0</v>
      </c>
      <c r="HW78" s="1936">
        <v>0</v>
      </c>
      <c r="HX78" s="1936">
        <v>0</v>
      </c>
      <c r="HY78" s="1936">
        <v>0</v>
      </c>
      <c r="HZ78" s="51"/>
      <c r="IA78" s="59">
        <f t="shared" si="766"/>
        <v>0</v>
      </c>
      <c r="IB78" s="59"/>
      <c r="IC78" s="815">
        <f t="shared" si="581"/>
        <v>1</v>
      </c>
      <c r="ID78" s="815"/>
      <c r="IE78" s="284">
        <f t="shared" si="582"/>
        <v>0</v>
      </c>
      <c r="IF78" s="284"/>
      <c r="IG78" s="284">
        <f t="shared" si="583"/>
        <v>58310.01824323176</v>
      </c>
      <c r="IH78" s="284"/>
      <c r="II78" s="1288">
        <f t="shared" si="584"/>
        <v>0</v>
      </c>
      <c r="IJ78" s="1288">
        <f t="shared" si="585"/>
        <v>0.67715347027248918</v>
      </c>
      <c r="IK78" s="284">
        <f t="shared" si="586"/>
        <v>1</v>
      </c>
      <c r="IL78" s="284">
        <f t="shared" si="587"/>
        <v>0</v>
      </c>
      <c r="IM78" s="284">
        <f t="shared" si="588"/>
        <v>0</v>
      </c>
      <c r="IN78" s="284">
        <f t="shared" si="589"/>
        <v>0</v>
      </c>
      <c r="IO78" s="753">
        <f t="shared" si="590"/>
        <v>-1690.8393351800555</v>
      </c>
      <c r="IP78" s="113">
        <f t="shared" si="591"/>
        <v>-1915.9232124881667</v>
      </c>
      <c r="IQ78" s="30">
        <f t="shared" si="592"/>
        <v>-0.12203332563618897</v>
      </c>
      <c r="IR78" s="438">
        <f t="shared" si="593"/>
        <v>959452</v>
      </c>
      <c r="IS78" s="438">
        <f t="shared" si="594"/>
        <v>412539</v>
      </c>
      <c r="IT78" s="438">
        <f t="shared" si="595"/>
        <v>1022950</v>
      </c>
      <c r="IU78" s="438">
        <f t="shared" si="596"/>
        <v>174160</v>
      </c>
      <c r="IV78" s="438">
        <f t="shared" si="597"/>
        <v>628552</v>
      </c>
      <c r="IW78" s="438">
        <f t="shared" si="598"/>
        <v>156722</v>
      </c>
      <c r="IX78" s="285">
        <f t="shared" si="599"/>
        <v>0.69931362523515095</v>
      </c>
      <c r="IY78" s="285">
        <f t="shared" si="600"/>
        <v>0.30068637476484905</v>
      </c>
      <c r="IZ78" s="285">
        <f t="shared" si="601"/>
        <v>0.7455952699398174</v>
      </c>
      <c r="JA78" s="285">
        <f t="shared" si="602"/>
        <v>0.12693960820442698</v>
      </c>
      <c r="JB78" s="285">
        <f t="shared" si="603"/>
        <v>0.45813128511775952</v>
      </c>
      <c r="JC78" s="285">
        <f t="shared" si="604"/>
        <v>0.1142296122933751</v>
      </c>
      <c r="JD78" s="60">
        <f t="shared" si="605"/>
        <v>5001855</v>
      </c>
      <c r="JE78" s="60">
        <f t="shared" si="606"/>
        <v>1569391</v>
      </c>
      <c r="JF78" s="60">
        <f t="shared" si="607"/>
        <v>0</v>
      </c>
      <c r="JG78" s="60">
        <f t="shared" si="608"/>
        <v>602874</v>
      </c>
      <c r="JH78" s="284">
        <f t="shared" si="609"/>
        <v>0</v>
      </c>
      <c r="JI78" s="284">
        <f t="shared" si="610"/>
        <v>0</v>
      </c>
      <c r="JJ78" s="560">
        <f t="shared" si="611"/>
        <v>0</v>
      </c>
      <c r="JK78" s="561">
        <f t="shared" si="612"/>
        <v>0.59938735544637367</v>
      </c>
      <c r="JL78" s="561">
        <f t="shared" si="613"/>
        <v>7.7303360394855275E-2</v>
      </c>
      <c r="JM78" s="561">
        <f t="shared" si="614"/>
        <v>0</v>
      </c>
      <c r="JN78" s="561">
        <f t="shared" si="615"/>
        <v>0.26782961805706301</v>
      </c>
      <c r="JO78" s="561">
        <f t="shared" si="616"/>
        <v>3.6481830785690138E-2</v>
      </c>
      <c r="JP78" s="561">
        <f t="shared" si="617"/>
        <v>3.7663484311052826E-2</v>
      </c>
      <c r="JQ78" s="561">
        <f t="shared" si="618"/>
        <v>1.018665648995035</v>
      </c>
      <c r="JR78" s="61">
        <f t="shared" si="619"/>
        <v>55243.5</v>
      </c>
      <c r="JS78" s="61">
        <f t="shared" si="620"/>
        <v>11452.5</v>
      </c>
      <c r="JT78" s="61">
        <f t="shared" si="621"/>
        <v>28001.444444444445</v>
      </c>
      <c r="JU78" s="61">
        <f t="shared" si="622"/>
        <v>9436.5</v>
      </c>
      <c r="JV78" s="61">
        <f t="shared" si="623"/>
        <v>0</v>
      </c>
      <c r="JW78" s="61">
        <f t="shared" si="624"/>
        <v>8463.0555555555547</v>
      </c>
      <c r="JX78" s="61">
        <f t="shared" si="625"/>
        <v>109.74960740780853</v>
      </c>
      <c r="JY78" s="394">
        <f t="shared" si="626"/>
        <v>0.24469484708518874</v>
      </c>
      <c r="JZ78" s="61">
        <f t="shared" si="627"/>
        <v>0</v>
      </c>
      <c r="KA78" s="61">
        <f t="shared" si="628"/>
        <v>0</v>
      </c>
      <c r="KB78" s="61">
        <f t="shared" si="629"/>
        <v>0</v>
      </c>
      <c r="KC78" s="61">
        <f t="shared" si="630"/>
        <v>0</v>
      </c>
      <c r="KD78" s="61">
        <f t="shared" si="631"/>
        <v>0</v>
      </c>
      <c r="KE78" s="61">
        <f t="shared" si="632"/>
        <v>0</v>
      </c>
      <c r="KF78" s="61">
        <f t="shared" si="633"/>
        <v>0</v>
      </c>
      <c r="KG78" s="61">
        <f t="shared" si="634"/>
        <v>0</v>
      </c>
      <c r="KH78" s="61">
        <f t="shared" si="635"/>
        <v>0</v>
      </c>
      <c r="KI78" s="394">
        <f t="shared" si="636"/>
        <v>0</v>
      </c>
      <c r="KJ78" s="438">
        <f t="shared" si="637"/>
        <v>18</v>
      </c>
      <c r="KK78" s="438">
        <f t="shared" si="638"/>
        <v>18467</v>
      </c>
      <c r="KL78" s="438">
        <f t="shared" si="639"/>
        <v>130</v>
      </c>
      <c r="KM78" s="438">
        <f t="shared" si="640"/>
        <v>112597</v>
      </c>
      <c r="KN78" s="438">
        <f t="shared" si="641"/>
        <v>109.74960740780853</v>
      </c>
      <c r="KO78" s="438">
        <f t="shared" si="642"/>
        <v>15590.353846153846</v>
      </c>
      <c r="KP78" s="438">
        <f t="shared" si="643"/>
        <v>994383</v>
      </c>
      <c r="KQ78" s="438">
        <f t="shared" si="644"/>
        <v>206145</v>
      </c>
      <c r="KR78" s="438">
        <f t="shared" si="645"/>
        <v>504026</v>
      </c>
      <c r="KS78" s="438">
        <f t="shared" si="646"/>
        <v>169857</v>
      </c>
      <c r="KT78" s="438">
        <f t="shared" si="647"/>
        <v>0</v>
      </c>
      <c r="KU78" s="438">
        <f t="shared" si="648"/>
        <v>152335</v>
      </c>
      <c r="KV78" s="420">
        <f t="shared" si="649"/>
        <v>0.24469484708518874</v>
      </c>
      <c r="KW78" s="420">
        <f t="shared" si="650"/>
        <v>-0.3747431702838247</v>
      </c>
      <c r="KX78" s="108"/>
      <c r="KY78" s="282">
        <f t="shared" si="651"/>
        <v>0</v>
      </c>
      <c r="KZ78" s="282"/>
      <c r="LA78" s="282">
        <f t="shared" si="652"/>
        <v>0</v>
      </c>
      <c r="LB78" s="282"/>
      <c r="LC78" s="286">
        <f t="shared" si="653"/>
        <v>0</v>
      </c>
      <c r="LD78" s="286"/>
      <c r="LE78" s="282">
        <f t="shared" si="654"/>
        <v>0</v>
      </c>
      <c r="LF78" s="282"/>
      <c r="LG78" s="282">
        <f t="shared" si="655"/>
        <v>0</v>
      </c>
      <c r="LH78" s="282">
        <f t="shared" si="656"/>
        <v>0</v>
      </c>
      <c r="LI78" s="282">
        <f t="shared" si="657"/>
        <v>0</v>
      </c>
      <c r="LJ78" s="282">
        <f t="shared" si="658"/>
        <v>0</v>
      </c>
      <c r="LK78" s="282"/>
      <c r="LL78" s="282">
        <f t="shared" si="659"/>
        <v>0</v>
      </c>
      <c r="LM78" s="282">
        <f t="shared" si="660"/>
        <v>0</v>
      </c>
      <c r="LN78" s="282">
        <f t="shared" si="661"/>
        <v>0</v>
      </c>
      <c r="LO78" s="282">
        <f t="shared" si="662"/>
        <v>0</v>
      </c>
      <c r="LP78" s="286">
        <f t="shared" si="663"/>
        <v>0</v>
      </c>
      <c r="LQ78" s="282">
        <f t="shared" si="664"/>
        <v>0</v>
      </c>
      <c r="LR78" s="282">
        <f t="shared" si="665"/>
        <v>0</v>
      </c>
      <c r="LS78" s="282">
        <f t="shared" si="666"/>
        <v>0</v>
      </c>
      <c r="LT78" s="286">
        <f t="shared" si="667"/>
        <v>0</v>
      </c>
      <c r="LU78" s="286">
        <f t="shared" si="668"/>
        <v>0</v>
      </c>
      <c r="LV78" s="286">
        <f t="shared" si="669"/>
        <v>0</v>
      </c>
      <c r="LW78" s="286">
        <f t="shared" si="670"/>
        <v>0</v>
      </c>
      <c r="LX78" s="286">
        <f t="shared" si="671"/>
        <v>0</v>
      </c>
      <c r="LY78" s="286">
        <f t="shared" si="672"/>
        <v>0</v>
      </c>
      <c r="LZ78" s="286">
        <f t="shared" si="673"/>
        <v>0</v>
      </c>
      <c r="MA78" s="286">
        <f t="shared" si="674"/>
        <v>0</v>
      </c>
      <c r="MB78" s="286">
        <f t="shared" si="675"/>
        <v>0</v>
      </c>
      <c r="MC78" s="286">
        <f t="shared" si="676"/>
        <v>0</v>
      </c>
      <c r="MD78" s="286">
        <f t="shared" si="677"/>
        <v>0</v>
      </c>
      <c r="ME78" s="286">
        <f t="shared" si="678"/>
        <v>0</v>
      </c>
      <c r="MF78" s="286">
        <f t="shared" si="679"/>
        <v>0</v>
      </c>
      <c r="MG78" s="286">
        <f t="shared" si="680"/>
        <v>0</v>
      </c>
      <c r="MH78" s="286">
        <f t="shared" si="681"/>
        <v>0</v>
      </c>
      <c r="MI78" s="286">
        <f t="shared" si="682"/>
        <v>0</v>
      </c>
      <c r="MJ78" s="286">
        <f t="shared" si="683"/>
        <v>0</v>
      </c>
      <c r="MK78" s="286">
        <f t="shared" si="684"/>
        <v>0</v>
      </c>
      <c r="ML78" s="282">
        <f t="shared" si="685"/>
        <v>0</v>
      </c>
      <c r="MM78" s="1232">
        <f t="shared" si="686"/>
        <v>0</v>
      </c>
      <c r="MN78" s="1232">
        <f t="shared" si="687"/>
        <v>0</v>
      </c>
      <c r="MO78" s="1232">
        <f t="shared" si="688"/>
        <v>0</v>
      </c>
      <c r="MP78" s="1232">
        <f t="shared" si="689"/>
        <v>0</v>
      </c>
      <c r="MQ78" s="282">
        <f t="shared" si="690"/>
        <v>0</v>
      </c>
      <c r="MR78" s="282">
        <f t="shared" si="691"/>
        <v>0</v>
      </c>
      <c r="MS78" s="282">
        <f t="shared" si="692"/>
        <v>0</v>
      </c>
      <c r="MT78" s="282">
        <f t="shared" si="693"/>
        <v>0</v>
      </c>
      <c r="MU78" s="282">
        <f t="shared" si="694"/>
        <v>0</v>
      </c>
      <c r="MV78" s="282">
        <f t="shared" si="695"/>
        <v>0</v>
      </c>
      <c r="MW78" s="282">
        <f t="shared" si="696"/>
        <v>0</v>
      </c>
      <c r="MX78" s="282">
        <f t="shared" si="697"/>
        <v>0</v>
      </c>
      <c r="MY78" s="282">
        <f t="shared" si="698"/>
        <v>0</v>
      </c>
      <c r="MZ78" s="282">
        <f t="shared" si="699"/>
        <v>0</v>
      </c>
      <c r="NA78" s="282">
        <f t="shared" si="700"/>
        <v>0</v>
      </c>
      <c r="NB78" s="282">
        <f t="shared" si="701"/>
        <v>0</v>
      </c>
      <c r="NC78" s="282">
        <f t="shared" si="702"/>
        <v>0</v>
      </c>
      <c r="ND78" s="282">
        <f t="shared" si="703"/>
        <v>0</v>
      </c>
      <c r="NE78" s="282">
        <f t="shared" si="704"/>
        <v>0</v>
      </c>
      <c r="NF78" s="282">
        <f t="shared" si="705"/>
        <v>0</v>
      </c>
      <c r="NG78" s="282">
        <f t="shared" si="706"/>
        <v>0</v>
      </c>
      <c r="NH78" s="282">
        <f t="shared" si="707"/>
        <v>0</v>
      </c>
      <c r="NI78" s="282">
        <f t="shared" si="708"/>
        <v>0</v>
      </c>
      <c r="NJ78" s="282">
        <f t="shared" si="709"/>
        <v>0</v>
      </c>
      <c r="NK78" s="282">
        <f t="shared" si="710"/>
        <v>0</v>
      </c>
      <c r="NL78" s="282">
        <f t="shared" si="711"/>
        <v>0</v>
      </c>
      <c r="NM78" s="1205">
        <f t="shared" si="712"/>
        <v>0</v>
      </c>
      <c r="NN78" s="282">
        <f t="shared" si="713"/>
        <v>0</v>
      </c>
      <c r="NO78" s="282">
        <f t="shared" si="714"/>
        <v>0</v>
      </c>
      <c r="NP78" s="282">
        <f t="shared" si="715"/>
        <v>0</v>
      </c>
      <c r="NQ78" s="282">
        <f t="shared" si="716"/>
        <v>0</v>
      </c>
      <c r="NR78" s="282">
        <f t="shared" si="717"/>
        <v>0</v>
      </c>
      <c r="NS78" s="282">
        <f t="shared" si="718"/>
        <v>0</v>
      </c>
      <c r="NT78" s="282">
        <f t="shared" si="719"/>
        <v>0</v>
      </c>
      <c r="NU78" s="282">
        <f t="shared" si="720"/>
        <v>0</v>
      </c>
      <c r="NV78" s="286">
        <f t="shared" si="721"/>
        <v>0</v>
      </c>
      <c r="NW78" s="286">
        <f t="shared" si="722"/>
        <v>0</v>
      </c>
      <c r="NX78" s="286">
        <f t="shared" si="723"/>
        <v>0</v>
      </c>
      <c r="NY78" s="286">
        <f t="shared" si="724"/>
        <v>0</v>
      </c>
      <c r="NZ78" s="286">
        <f t="shared" si="725"/>
        <v>0</v>
      </c>
      <c r="OA78" s="286">
        <f t="shared" si="726"/>
        <v>0</v>
      </c>
      <c r="OB78" s="286">
        <f t="shared" si="727"/>
        <v>0</v>
      </c>
      <c r="OC78" s="286">
        <f t="shared" si="728"/>
        <v>0</v>
      </c>
      <c r="OD78" s="286">
        <f t="shared" si="729"/>
        <v>0</v>
      </c>
      <c r="OE78" s="282">
        <f t="shared" si="730"/>
        <v>0</v>
      </c>
      <c r="OF78" s="282">
        <f t="shared" si="731"/>
        <v>0</v>
      </c>
      <c r="OG78" s="286">
        <f t="shared" si="732"/>
        <v>0</v>
      </c>
      <c r="OH78" s="286">
        <f t="shared" si="733"/>
        <v>0</v>
      </c>
      <c r="OI78" s="286">
        <f t="shared" si="734"/>
        <v>0</v>
      </c>
      <c r="OJ78" s="286">
        <f t="shared" si="735"/>
        <v>0</v>
      </c>
      <c r="OK78" s="286">
        <f t="shared" si="736"/>
        <v>0</v>
      </c>
      <c r="OL78" s="286">
        <f t="shared" si="737"/>
        <v>0</v>
      </c>
      <c r="OM78" s="286">
        <f t="shared" si="738"/>
        <v>0</v>
      </c>
      <c r="ON78" s="286">
        <f t="shared" si="739"/>
        <v>0</v>
      </c>
      <c r="OO78" s="286">
        <f t="shared" si="740"/>
        <v>0</v>
      </c>
      <c r="OP78" s="434">
        <f t="shared" si="741"/>
        <v>0</v>
      </c>
      <c r="OQ78" s="434">
        <f t="shared" si="742"/>
        <v>0</v>
      </c>
      <c r="OR78" s="282">
        <f t="shared" si="743"/>
        <v>0</v>
      </c>
      <c r="OS78" s="282">
        <f t="shared" si="744"/>
        <v>0</v>
      </c>
      <c r="OT78" s="282">
        <f t="shared" si="745"/>
        <v>0</v>
      </c>
      <c r="OU78" s="282">
        <f t="shared" si="746"/>
        <v>0</v>
      </c>
      <c r="OV78" s="282">
        <f t="shared" si="747"/>
        <v>0</v>
      </c>
      <c r="OW78" s="286">
        <f t="shared" si="748"/>
        <v>0</v>
      </c>
      <c r="OX78" s="286">
        <f t="shared" si="749"/>
        <v>0</v>
      </c>
      <c r="OY78" s="286">
        <f t="shared" si="750"/>
        <v>0</v>
      </c>
      <c r="OZ78" s="286">
        <f t="shared" si="751"/>
        <v>0</v>
      </c>
      <c r="PA78" s="286">
        <f t="shared" si="752"/>
        <v>0</v>
      </c>
      <c r="PB78" s="286">
        <f t="shared" si="753"/>
        <v>0</v>
      </c>
      <c r="PC78" s="286">
        <f t="shared" si="754"/>
        <v>0</v>
      </c>
      <c r="PD78" s="282">
        <f t="shared" si="755"/>
        <v>0</v>
      </c>
      <c r="PE78" s="282">
        <f t="shared" si="756"/>
        <v>0</v>
      </c>
      <c r="PF78" s="286">
        <f t="shared" si="757"/>
        <v>0</v>
      </c>
      <c r="PG78" s="286">
        <f t="shared" si="758"/>
        <v>0</v>
      </c>
      <c r="PH78" s="286">
        <f t="shared" si="759"/>
        <v>0</v>
      </c>
      <c r="PI78" s="286">
        <f t="shared" si="760"/>
        <v>0</v>
      </c>
      <c r="PJ78" s="286">
        <f t="shared" si="761"/>
        <v>0</v>
      </c>
      <c r="PK78" s="286">
        <f t="shared" si="762"/>
        <v>0</v>
      </c>
      <c r="PL78" s="286">
        <f t="shared" si="763"/>
        <v>0</v>
      </c>
      <c r="PM78" s="562">
        <v>22</v>
      </c>
    </row>
    <row r="79" spans="1:431" s="289" customFormat="1" ht="15.75" customHeight="1">
      <c r="A79" s="1040" t="s">
        <v>683</v>
      </c>
      <c r="B79" s="1040" t="str">
        <f>VLOOKUP(A79,'Area (&amp;golfacre for lookup)'!$A$2:$B$162,2,FALSE)</f>
        <v>SW exc CIRA</v>
      </c>
      <c r="C79" s="1936"/>
      <c r="D79" s="1937">
        <v>44742</v>
      </c>
      <c r="E79" s="402"/>
      <c r="F79" s="1936">
        <v>1</v>
      </c>
      <c r="G79" s="1936">
        <v>0</v>
      </c>
      <c r="H79" s="1936">
        <v>333</v>
      </c>
      <c r="I79" s="1936">
        <v>132</v>
      </c>
      <c r="J79" s="1936">
        <v>465</v>
      </c>
      <c r="K79" s="1938">
        <v>353.10006215040397</v>
      </c>
      <c r="L79" s="1939" t="s">
        <v>1208</v>
      </c>
      <c r="M79" s="1939" t="s">
        <v>1208</v>
      </c>
      <c r="N79" s="1939" t="s">
        <v>1208</v>
      </c>
      <c r="O79" s="1939" t="s">
        <v>1208</v>
      </c>
      <c r="P79" s="1939" t="s">
        <v>1208</v>
      </c>
      <c r="Q79" s="1936">
        <v>1</v>
      </c>
      <c r="R79" s="1936">
        <v>84999</v>
      </c>
      <c r="S79" s="1936">
        <v>85000</v>
      </c>
      <c r="T79" s="1939" t="s">
        <v>1208</v>
      </c>
      <c r="U79" s="1939" t="s">
        <v>1208</v>
      </c>
      <c r="V79" s="1939" t="s">
        <v>1208</v>
      </c>
      <c r="W79" s="1936">
        <v>13584</v>
      </c>
      <c r="X79" s="1936">
        <v>12872</v>
      </c>
      <c r="Y79" s="1939" t="s">
        <v>1208</v>
      </c>
      <c r="Z79" s="1939" t="s">
        <v>1208</v>
      </c>
      <c r="AA79" s="1936">
        <v>712</v>
      </c>
      <c r="AB79" s="1362">
        <v>5.531385954008701E-2</v>
      </c>
      <c r="AC79" s="1939" t="s">
        <v>1208</v>
      </c>
      <c r="AD79" s="1363" t="s">
        <v>1208</v>
      </c>
      <c r="AE79" s="1936">
        <v>1</v>
      </c>
      <c r="AF79" s="1936">
        <v>1002</v>
      </c>
      <c r="AG79" s="1939" t="s">
        <v>1208</v>
      </c>
      <c r="AH79" s="1936">
        <v>0</v>
      </c>
      <c r="AI79" s="1936">
        <v>0</v>
      </c>
      <c r="AJ79" s="1939" t="s">
        <v>1208</v>
      </c>
      <c r="AK79" s="1938">
        <v>1</v>
      </c>
      <c r="AL79" s="1938">
        <v>7980</v>
      </c>
      <c r="AM79" s="1936">
        <v>21854</v>
      </c>
      <c r="AN79" s="1939" t="s">
        <v>1208</v>
      </c>
      <c r="AO79" s="1936">
        <v>1200</v>
      </c>
      <c r="AP79" s="1936">
        <v>550</v>
      </c>
      <c r="AQ79" s="1936">
        <v>23604</v>
      </c>
      <c r="AR79" s="1939" t="s">
        <v>1208</v>
      </c>
      <c r="AS79" s="1363" t="s">
        <v>1208</v>
      </c>
      <c r="AT79" s="1363" t="s">
        <v>1208</v>
      </c>
      <c r="AU79" s="1363" t="s">
        <v>1208</v>
      </c>
      <c r="AV79" s="1363" t="s">
        <v>1208</v>
      </c>
      <c r="AW79" s="1363" t="s">
        <v>1291</v>
      </c>
      <c r="AX79" s="1938">
        <v>1</v>
      </c>
      <c r="AY79" s="1938">
        <v>1</v>
      </c>
      <c r="AZ79" s="1938">
        <v>0</v>
      </c>
      <c r="BA79" s="1938">
        <v>0</v>
      </c>
      <c r="BB79" s="1938">
        <v>0</v>
      </c>
      <c r="BC79" s="1938">
        <v>0</v>
      </c>
      <c r="BD79" s="1938">
        <v>0</v>
      </c>
      <c r="BE79" s="1936">
        <v>1</v>
      </c>
      <c r="BF79" s="1936">
        <v>8000000</v>
      </c>
      <c r="BG79" s="1936">
        <v>1559000</v>
      </c>
      <c r="BH79" s="1936">
        <v>9559000</v>
      </c>
      <c r="BI79" s="1938">
        <v>10537922</v>
      </c>
      <c r="BJ79" s="1936">
        <v>1742272</v>
      </c>
      <c r="BK79" s="1936">
        <v>916538</v>
      </c>
      <c r="BL79" s="1362">
        <v>1.900927184688469</v>
      </c>
      <c r="BM79" s="1936">
        <v>1</v>
      </c>
      <c r="BN79" s="1936">
        <v>4636121</v>
      </c>
      <c r="BO79" s="1363" t="s">
        <v>1208</v>
      </c>
      <c r="BP79" s="1938">
        <v>2035892</v>
      </c>
      <c r="BQ79" s="1938">
        <v>1309855</v>
      </c>
      <c r="BR79" s="1940">
        <v>1.5542880700535555</v>
      </c>
      <c r="BS79" s="1409">
        <v>1</v>
      </c>
      <c r="BT79" s="1938">
        <v>6009575</v>
      </c>
      <c r="BU79" s="1938">
        <v>14688734</v>
      </c>
      <c r="BV79" s="1940">
        <v>0.40912817946053076</v>
      </c>
      <c r="BW79" s="1936">
        <v>13129.765460152286</v>
      </c>
      <c r="BX79" s="1936">
        <v>4934.2160672231039</v>
      </c>
      <c r="BY79" s="1936">
        <v>27071.646325364614</v>
      </c>
      <c r="BZ79" s="1936">
        <v>885746</v>
      </c>
      <c r="CA79" s="1936">
        <v>0</v>
      </c>
      <c r="CB79" s="1936">
        <v>410432</v>
      </c>
      <c r="CC79" s="1936">
        <v>0</v>
      </c>
      <c r="CD79" s="1936">
        <v>4545104</v>
      </c>
      <c r="CE79" s="1936">
        <v>0</v>
      </c>
      <c r="CF79" s="1936">
        <v>0</v>
      </c>
      <c r="CG79" s="1936">
        <v>837156</v>
      </c>
      <c r="CH79" s="1936">
        <v>414002</v>
      </c>
      <c r="CI79" s="1936">
        <v>93773</v>
      </c>
      <c r="CJ79" s="1936">
        <v>7186213</v>
      </c>
      <c r="CK79" s="1366">
        <v>0.12325629646658122</v>
      </c>
      <c r="CL79" s="1366">
        <v>0</v>
      </c>
      <c r="CM79" s="1366">
        <v>5.7113809457081222E-2</v>
      </c>
      <c r="CN79" s="1366">
        <v>0</v>
      </c>
      <c r="CO79" s="1366">
        <v>0.63247554727364752</v>
      </c>
      <c r="CP79" s="1366">
        <v>0</v>
      </c>
      <c r="CQ79" s="1366">
        <v>0</v>
      </c>
      <c r="CR79" s="1366">
        <v>0.11649473790993949</v>
      </c>
      <c r="CS79" s="1366">
        <v>5.7610594063938821E-2</v>
      </c>
      <c r="CT79" s="1366">
        <v>1.3049014828811782E-2</v>
      </c>
      <c r="CU79" s="1366">
        <v>1</v>
      </c>
      <c r="CV79" s="1936">
        <v>3897237</v>
      </c>
      <c r="CW79" s="1936">
        <v>507923</v>
      </c>
      <c r="CX79" s="1936">
        <v>287929</v>
      </c>
      <c r="CY79" s="1936">
        <v>1935300</v>
      </c>
      <c r="CZ79" s="1936">
        <v>74329</v>
      </c>
      <c r="DA79" s="1936">
        <v>232372</v>
      </c>
      <c r="DB79" s="1936">
        <v>6935090</v>
      </c>
      <c r="DC79" s="1366">
        <v>0.56195910939872451</v>
      </c>
      <c r="DD79" s="1366">
        <v>7.3239568628525376E-2</v>
      </c>
      <c r="DE79" s="1366">
        <v>4.1517702005309229E-2</v>
      </c>
      <c r="DF79" s="1366">
        <v>0.27905910377514925</v>
      </c>
      <c r="DG79" s="1366">
        <v>1.0717813323258963E-2</v>
      </c>
      <c r="DH79" s="1366">
        <v>3.3506702869032699E-2</v>
      </c>
      <c r="DI79" s="1366">
        <v>1</v>
      </c>
      <c r="DJ79" s="1936">
        <v>251123</v>
      </c>
      <c r="DK79" s="1936">
        <v>2508.4844069574647</v>
      </c>
      <c r="DL79" s="1936">
        <v>0</v>
      </c>
      <c r="DM79" s="1936">
        <v>1162.3673966536298</v>
      </c>
      <c r="DN79" s="1936">
        <v>0</v>
      </c>
      <c r="DO79" s="1936">
        <v>12872</v>
      </c>
      <c r="DP79" s="1936">
        <v>0</v>
      </c>
      <c r="DQ79" s="1936">
        <v>0</v>
      </c>
      <c r="DR79" s="1936">
        <v>2370.8746888960077</v>
      </c>
      <c r="DS79" s="1936">
        <v>1172.4778451714196</v>
      </c>
      <c r="DT79" s="1936">
        <v>265.57061312568425</v>
      </c>
      <c r="DU79" s="1936">
        <v>20351.774950804207</v>
      </c>
      <c r="DV79" s="1936">
        <v>11037.202815161105</v>
      </c>
      <c r="DW79" s="1936">
        <v>1438.4676029415389</v>
      </c>
      <c r="DX79" s="1936">
        <v>815.43174545620957</v>
      </c>
      <c r="DY79" s="1936">
        <v>5480.8826376690167</v>
      </c>
      <c r="DZ79" s="1936">
        <v>210.50406943383473</v>
      </c>
      <c r="EA79" s="1936">
        <v>658.09107646381688</v>
      </c>
      <c r="EB79" s="1936">
        <v>19640.579947125523</v>
      </c>
      <c r="EC79" s="1936">
        <v>711.19500367868375</v>
      </c>
      <c r="ED79" s="1941">
        <v>82</v>
      </c>
      <c r="EE79" s="1936">
        <v>1</v>
      </c>
      <c r="EF79" s="1936">
        <v>15</v>
      </c>
      <c r="EG79" s="1938">
        <v>118000</v>
      </c>
      <c r="EH79" s="1938">
        <v>1</v>
      </c>
      <c r="EI79" s="1368">
        <v>0.04</v>
      </c>
      <c r="EJ79" s="1936">
        <v>4.3060983189073658</v>
      </c>
      <c r="EK79" s="1936">
        <v>1</v>
      </c>
      <c r="EL79" s="1936">
        <v>1200</v>
      </c>
      <c r="EM79" s="1936">
        <v>0</v>
      </c>
      <c r="EN79" s="1362">
        <v>0</v>
      </c>
      <c r="EO79" s="1936">
        <v>1</v>
      </c>
      <c r="EP79" s="1936">
        <v>45.833333333333336</v>
      </c>
      <c r="EQ79" s="1936">
        <v>1</v>
      </c>
      <c r="ER79" s="1938">
        <v>0</v>
      </c>
      <c r="ES79" s="1936">
        <v>3543.3525340674273</v>
      </c>
      <c r="ET79" s="1936">
        <v>-2030.3066378239087</v>
      </c>
      <c r="EU79" s="1938">
        <v>1</v>
      </c>
      <c r="EV79" s="1936">
        <v>51427</v>
      </c>
      <c r="EW79" s="1936">
        <v>4010</v>
      </c>
      <c r="EX79" s="1938">
        <v>0</v>
      </c>
      <c r="EY79" s="1936">
        <v>837156</v>
      </c>
      <c r="EZ79" s="1936">
        <v>368824</v>
      </c>
      <c r="FA79" s="1936">
        <v>468332</v>
      </c>
      <c r="FB79" s="1936">
        <v>414002</v>
      </c>
      <c r="FC79" s="1936">
        <v>139099</v>
      </c>
      <c r="FD79" s="1936">
        <v>274903</v>
      </c>
      <c r="FE79" s="1936">
        <v>1251158</v>
      </c>
      <c r="FF79" s="1936">
        <v>507923</v>
      </c>
      <c r="FG79" s="1936">
        <v>743235</v>
      </c>
      <c r="FH79" s="1366">
        <v>1</v>
      </c>
      <c r="FI79" s="1366">
        <v>0.44056782726278015</v>
      </c>
      <c r="FJ79" s="1366">
        <v>0.55943217273721979</v>
      </c>
      <c r="FK79" s="1366">
        <v>1</v>
      </c>
      <c r="FL79" s="1366">
        <v>0.33598629958309378</v>
      </c>
      <c r="FM79" s="1366">
        <v>0.66401370041690622</v>
      </c>
      <c r="FN79" s="1366">
        <v>1</v>
      </c>
      <c r="FO79" s="1366">
        <v>0.40596231650998515</v>
      </c>
      <c r="FP79" s="1366">
        <v>0.59403768349001485</v>
      </c>
      <c r="FQ79" s="1936">
        <v>1163702</v>
      </c>
      <c r="FR79" s="1936">
        <v>-250231.6</v>
      </c>
      <c r="FS79" s="1936">
        <v>214703</v>
      </c>
      <c r="FT79" s="1936">
        <v>32717</v>
      </c>
      <c r="FU79" s="1936">
        <v>43056</v>
      </c>
      <c r="FV79" s="1936">
        <v>6240</v>
      </c>
      <c r="FW79" s="1936">
        <v>249950</v>
      </c>
      <c r="FX79" s="1936">
        <v>1460136.4</v>
      </c>
      <c r="FY79" s="1936">
        <v>-716901.39999999991</v>
      </c>
      <c r="FZ79" s="1366">
        <v>0.93009995540131618</v>
      </c>
      <c r="GA79" s="1366">
        <v>-0.2</v>
      </c>
      <c r="GB79" s="1366">
        <v>0.17160342658561109</v>
      </c>
      <c r="GC79" s="1366">
        <v>2.6149375218797306E-2</v>
      </c>
      <c r="GD79" s="1366">
        <v>3.4412919871031476E-2</v>
      </c>
      <c r="GE79" s="1366">
        <v>4.987379691453837E-3</v>
      </c>
      <c r="GF79" s="1366">
        <v>0.19977492850623182</v>
      </c>
      <c r="GG79" s="1366">
        <v>1.1670279852744416</v>
      </c>
      <c r="GH79" s="1366">
        <v>-0.57299030178442678</v>
      </c>
      <c r="GI79" s="1942">
        <v>2.0221061734001284</v>
      </c>
      <c r="GJ79" s="1943">
        <v>1</v>
      </c>
      <c r="GK79" s="1371">
        <v>0.05</v>
      </c>
      <c r="GL79" s="1943">
        <v>1</v>
      </c>
      <c r="GM79" s="1371">
        <v>0.05</v>
      </c>
      <c r="GN79" s="1943">
        <v>18</v>
      </c>
      <c r="GO79" s="1985">
        <f>IF(GN79=0,0,VLOOKUP(A79,'Area (&amp;golfacre for lookup)'!$G$2:$H$133,2,FALSE))</f>
        <v>92</v>
      </c>
      <c r="GP79" s="1943">
        <v>32278</v>
      </c>
      <c r="GQ79" s="1943">
        <v>917777</v>
      </c>
      <c r="GR79" s="1943">
        <v>193940</v>
      </c>
      <c r="GS79" s="1943">
        <v>526822</v>
      </c>
      <c r="GT79" s="1943">
        <v>268049</v>
      </c>
      <c r="GU79" s="1943">
        <v>0</v>
      </c>
      <c r="GV79" s="1943">
        <v>162437</v>
      </c>
      <c r="GW79" s="1943">
        <v>2069025</v>
      </c>
      <c r="GX79" s="1943">
        <v>114945.83333333333</v>
      </c>
      <c r="GY79" s="1985">
        <f t="shared" si="764"/>
        <v>22489.402173913044</v>
      </c>
      <c r="GZ79" s="1366">
        <v>0.44357946375708363</v>
      </c>
      <c r="HA79" s="1366">
        <v>9.3734971786227819E-2</v>
      </c>
      <c r="HB79" s="1366">
        <v>0.2546233129130871</v>
      </c>
      <c r="HC79" s="1366">
        <v>0.1295532920095214</v>
      </c>
      <c r="HD79" s="1366">
        <v>0</v>
      </c>
      <c r="HE79" s="1366">
        <v>7.8508959534080061E-2</v>
      </c>
      <c r="HF79" s="1366">
        <v>1</v>
      </c>
      <c r="HG79" s="1936">
        <v>0</v>
      </c>
      <c r="HH79" s="1988">
        <f>IF(HG79=0,0,VLOOKUP(A79,'Area (&amp;golfacre for lookup)'!$G$2:$H$134,2,FALSE))</f>
        <v>0</v>
      </c>
      <c r="HI79" s="1936">
        <v>0</v>
      </c>
      <c r="HJ79" s="1936">
        <v>0</v>
      </c>
      <c r="HK79" s="1936">
        <v>0</v>
      </c>
      <c r="HL79" s="1936">
        <v>0</v>
      </c>
      <c r="HM79" s="1936">
        <v>0</v>
      </c>
      <c r="HN79" s="1936">
        <v>0</v>
      </c>
      <c r="HO79" s="1936">
        <v>0</v>
      </c>
      <c r="HP79" s="1936">
        <v>0</v>
      </c>
      <c r="HQ79" s="1936">
        <v>0</v>
      </c>
      <c r="HR79" s="1988">
        <f t="shared" si="765"/>
        <v>0</v>
      </c>
      <c r="HS79" s="1936">
        <v>0</v>
      </c>
      <c r="HT79" s="1936">
        <v>0</v>
      </c>
      <c r="HU79" s="1936">
        <v>0</v>
      </c>
      <c r="HV79" s="1936">
        <v>0</v>
      </c>
      <c r="HW79" s="1936">
        <v>0</v>
      </c>
      <c r="HX79" s="1936">
        <v>0</v>
      </c>
      <c r="HY79" s="1936">
        <v>0</v>
      </c>
      <c r="HZ79" s="51"/>
      <c r="IA79" s="59">
        <f t="shared" si="766"/>
        <v>0</v>
      </c>
      <c r="IB79" s="59"/>
      <c r="IC79" s="815">
        <f t="shared" si="581"/>
        <v>1</v>
      </c>
      <c r="ID79" s="815"/>
      <c r="IE79" s="284">
        <f t="shared" si="582"/>
        <v>0</v>
      </c>
      <c r="IF79" s="284"/>
      <c r="IG79" s="284">
        <f t="shared" si="583"/>
        <v>29844.01060657798</v>
      </c>
      <c r="IH79" s="284"/>
      <c r="II79" s="1288">
        <f t="shared" si="584"/>
        <v>1.5542880700535555</v>
      </c>
      <c r="IJ79" s="1288">
        <f t="shared" si="585"/>
        <v>0</v>
      </c>
      <c r="IK79" s="284">
        <f t="shared" si="586"/>
        <v>0</v>
      </c>
      <c r="IL79" s="284">
        <f t="shared" si="587"/>
        <v>1</v>
      </c>
      <c r="IM79" s="284">
        <f t="shared" si="588"/>
        <v>0</v>
      </c>
      <c r="IN79" s="284">
        <f t="shared" si="589"/>
        <v>0</v>
      </c>
      <c r="IO79" s="753">
        <f t="shared" si="590"/>
        <v>-1541.7234408602149</v>
      </c>
      <c r="IP79" s="113">
        <f t="shared" si="591"/>
        <v>-2030.3066378239087</v>
      </c>
      <c r="IQ79" s="30">
        <f t="shared" si="592"/>
        <v>-0.15773047217401404</v>
      </c>
      <c r="IR79" s="438">
        <f t="shared" si="593"/>
        <v>837156</v>
      </c>
      <c r="IS79" s="438">
        <f t="shared" si="594"/>
        <v>414002</v>
      </c>
      <c r="IT79" s="438">
        <f t="shared" si="595"/>
        <v>1163702</v>
      </c>
      <c r="IU79" s="438">
        <f t="shared" si="596"/>
        <v>247420</v>
      </c>
      <c r="IV79" s="438">
        <f t="shared" si="597"/>
        <v>507923</v>
      </c>
      <c r="IW79" s="438">
        <f t="shared" si="598"/>
        <v>49014.399999999994</v>
      </c>
      <c r="IX79" s="285">
        <f t="shared" si="599"/>
        <v>0.66910494118248853</v>
      </c>
      <c r="IY79" s="285">
        <f t="shared" si="600"/>
        <v>0.33089505881751147</v>
      </c>
      <c r="IZ79" s="285">
        <f t="shared" si="601"/>
        <v>0.93009995540131618</v>
      </c>
      <c r="JA79" s="285">
        <f t="shared" si="602"/>
        <v>0.19775280180440841</v>
      </c>
      <c r="JB79" s="285">
        <f t="shared" si="603"/>
        <v>0.40596231650998515</v>
      </c>
      <c r="JC79" s="285">
        <f t="shared" si="604"/>
        <v>3.9175228068717136E-2</v>
      </c>
      <c r="JD79" s="60">
        <f t="shared" si="605"/>
        <v>4545104</v>
      </c>
      <c r="JE79" s="60">
        <f t="shared" si="606"/>
        <v>1296178</v>
      </c>
      <c r="JF79" s="60">
        <f t="shared" si="607"/>
        <v>0</v>
      </c>
      <c r="JG79" s="60">
        <f t="shared" si="608"/>
        <v>306701</v>
      </c>
      <c r="JH79" s="284">
        <f t="shared" si="609"/>
        <v>1</v>
      </c>
      <c r="JI79" s="284">
        <f t="shared" si="610"/>
        <v>1</v>
      </c>
      <c r="JJ79" s="560">
        <f t="shared" si="611"/>
        <v>0.70152668407921415</v>
      </c>
      <c r="JK79" s="561">
        <f t="shared" si="612"/>
        <v>0.54232138679997377</v>
      </c>
      <c r="JL79" s="561">
        <f t="shared" si="613"/>
        <v>7.068020388485563E-2</v>
      </c>
      <c r="JM79" s="561">
        <f t="shared" si="614"/>
        <v>4.0066861363558248E-2</v>
      </c>
      <c r="JN79" s="561">
        <f t="shared" si="615"/>
        <v>0.26930735284356311</v>
      </c>
      <c r="JO79" s="561">
        <f t="shared" si="616"/>
        <v>1.0343278163338604E-2</v>
      </c>
      <c r="JP79" s="561">
        <f t="shared" si="617"/>
        <v>3.2335807469107858E-2</v>
      </c>
      <c r="JQ79" s="561">
        <f t="shared" si="618"/>
        <v>0.96505489052439719</v>
      </c>
      <c r="JR79" s="61">
        <f t="shared" si="619"/>
        <v>50987.611111111109</v>
      </c>
      <c r="JS79" s="61">
        <f t="shared" si="620"/>
        <v>10774.444444444445</v>
      </c>
      <c r="JT79" s="61">
        <f t="shared" si="621"/>
        <v>29267.888888888891</v>
      </c>
      <c r="JU79" s="61">
        <f t="shared" si="622"/>
        <v>14891.611111111111</v>
      </c>
      <c r="JV79" s="61">
        <f t="shared" si="623"/>
        <v>0</v>
      </c>
      <c r="JW79" s="61">
        <f t="shared" si="624"/>
        <v>9024.2777777777774</v>
      </c>
      <c r="JX79" s="61">
        <f t="shared" si="625"/>
        <v>64.100161100439934</v>
      </c>
      <c r="JY79" s="394">
        <f t="shared" si="626"/>
        <v>0.29834147790439636</v>
      </c>
      <c r="JZ79" s="61">
        <f t="shared" si="627"/>
        <v>0</v>
      </c>
      <c r="KA79" s="61">
        <f t="shared" si="628"/>
        <v>0</v>
      </c>
      <c r="KB79" s="61">
        <f t="shared" si="629"/>
        <v>0</v>
      </c>
      <c r="KC79" s="61">
        <f t="shared" si="630"/>
        <v>0</v>
      </c>
      <c r="KD79" s="61">
        <f t="shared" si="631"/>
        <v>0</v>
      </c>
      <c r="KE79" s="61">
        <f t="shared" si="632"/>
        <v>0</v>
      </c>
      <c r="KF79" s="61">
        <f t="shared" si="633"/>
        <v>0</v>
      </c>
      <c r="KG79" s="61">
        <f t="shared" si="634"/>
        <v>0</v>
      </c>
      <c r="KH79" s="61">
        <f t="shared" si="635"/>
        <v>0</v>
      </c>
      <c r="KI79" s="394">
        <f t="shared" si="636"/>
        <v>0</v>
      </c>
      <c r="KJ79" s="438">
        <f t="shared" si="637"/>
        <v>18</v>
      </c>
      <c r="KK79" s="438">
        <f t="shared" si="638"/>
        <v>32278</v>
      </c>
      <c r="KL79" s="438">
        <f t="shared" si="639"/>
        <v>92</v>
      </c>
      <c r="KM79" s="438">
        <f t="shared" si="640"/>
        <v>114945.83333333333</v>
      </c>
      <c r="KN79" s="438">
        <f t="shared" si="641"/>
        <v>64.100161100439934</v>
      </c>
      <c r="KO79" s="438">
        <f t="shared" si="642"/>
        <v>22489.402173913044</v>
      </c>
      <c r="KP79" s="438">
        <f t="shared" si="643"/>
        <v>917777</v>
      </c>
      <c r="KQ79" s="438">
        <f t="shared" si="644"/>
        <v>193940</v>
      </c>
      <c r="KR79" s="438">
        <f t="shared" si="645"/>
        <v>526822</v>
      </c>
      <c r="KS79" s="438">
        <f t="shared" si="646"/>
        <v>268049</v>
      </c>
      <c r="KT79" s="438">
        <f t="shared" si="647"/>
        <v>0</v>
      </c>
      <c r="KU79" s="438">
        <f t="shared" si="648"/>
        <v>162437</v>
      </c>
      <c r="KV79" s="420">
        <f t="shared" si="649"/>
        <v>0.29834147790439636</v>
      </c>
      <c r="KW79" s="420">
        <f t="shared" si="650"/>
        <v>-0.41948171042950833</v>
      </c>
      <c r="KX79" s="108"/>
      <c r="KY79" s="282">
        <f t="shared" si="651"/>
        <v>0</v>
      </c>
      <c r="KZ79" s="282"/>
      <c r="LA79" s="282">
        <f t="shared" si="652"/>
        <v>0</v>
      </c>
      <c r="LB79" s="282"/>
      <c r="LC79" s="286">
        <f t="shared" si="653"/>
        <v>0</v>
      </c>
      <c r="LD79" s="286"/>
      <c r="LE79" s="282">
        <f t="shared" si="654"/>
        <v>0</v>
      </c>
      <c r="LF79" s="282"/>
      <c r="LG79" s="282">
        <f t="shared" si="655"/>
        <v>0</v>
      </c>
      <c r="LH79" s="282">
        <f t="shared" si="656"/>
        <v>0</v>
      </c>
      <c r="LI79" s="282">
        <f t="shared" si="657"/>
        <v>0</v>
      </c>
      <c r="LJ79" s="282">
        <f t="shared" si="658"/>
        <v>0</v>
      </c>
      <c r="LK79" s="282"/>
      <c r="LL79" s="282">
        <f t="shared" si="659"/>
        <v>0</v>
      </c>
      <c r="LM79" s="282">
        <f t="shared" si="660"/>
        <v>0</v>
      </c>
      <c r="LN79" s="282">
        <f t="shared" si="661"/>
        <v>0</v>
      </c>
      <c r="LO79" s="282">
        <f t="shared" si="662"/>
        <v>0</v>
      </c>
      <c r="LP79" s="286">
        <f t="shared" si="663"/>
        <v>0</v>
      </c>
      <c r="LQ79" s="282">
        <f t="shared" si="664"/>
        <v>0</v>
      </c>
      <c r="LR79" s="282">
        <f t="shared" si="665"/>
        <v>0</v>
      </c>
      <c r="LS79" s="282">
        <f t="shared" si="666"/>
        <v>0</v>
      </c>
      <c r="LT79" s="286">
        <f t="shared" si="667"/>
        <v>0</v>
      </c>
      <c r="LU79" s="286">
        <f t="shared" si="668"/>
        <v>0</v>
      </c>
      <c r="LV79" s="286">
        <f t="shared" si="669"/>
        <v>0</v>
      </c>
      <c r="LW79" s="286">
        <f t="shared" si="670"/>
        <v>0</v>
      </c>
      <c r="LX79" s="286">
        <f t="shared" si="671"/>
        <v>0</v>
      </c>
      <c r="LY79" s="286">
        <f t="shared" si="672"/>
        <v>0</v>
      </c>
      <c r="LZ79" s="286">
        <f t="shared" si="673"/>
        <v>0</v>
      </c>
      <c r="MA79" s="286">
        <f t="shared" si="674"/>
        <v>0</v>
      </c>
      <c r="MB79" s="286">
        <f t="shared" si="675"/>
        <v>0</v>
      </c>
      <c r="MC79" s="286">
        <f t="shared" si="676"/>
        <v>0</v>
      </c>
      <c r="MD79" s="286">
        <f t="shared" si="677"/>
        <v>0</v>
      </c>
      <c r="ME79" s="286">
        <f t="shared" si="678"/>
        <v>0</v>
      </c>
      <c r="MF79" s="286">
        <f t="shared" si="679"/>
        <v>0</v>
      </c>
      <c r="MG79" s="286">
        <f t="shared" si="680"/>
        <v>0</v>
      </c>
      <c r="MH79" s="286">
        <f t="shared" si="681"/>
        <v>0</v>
      </c>
      <c r="MI79" s="286">
        <f t="shared" si="682"/>
        <v>0</v>
      </c>
      <c r="MJ79" s="286">
        <f t="shared" si="683"/>
        <v>0</v>
      </c>
      <c r="MK79" s="286">
        <f t="shared" si="684"/>
        <v>0</v>
      </c>
      <c r="ML79" s="282">
        <f t="shared" si="685"/>
        <v>0</v>
      </c>
      <c r="MM79" s="1232">
        <f t="shared" si="686"/>
        <v>0</v>
      </c>
      <c r="MN79" s="1232">
        <f t="shared" si="687"/>
        <v>0</v>
      </c>
      <c r="MO79" s="1232">
        <f t="shared" si="688"/>
        <v>0</v>
      </c>
      <c r="MP79" s="1232">
        <f t="shared" si="689"/>
        <v>0</v>
      </c>
      <c r="MQ79" s="282">
        <f t="shared" si="690"/>
        <v>0</v>
      </c>
      <c r="MR79" s="282">
        <f t="shared" si="691"/>
        <v>0</v>
      </c>
      <c r="MS79" s="282">
        <f t="shared" si="692"/>
        <v>0</v>
      </c>
      <c r="MT79" s="282">
        <f t="shared" si="693"/>
        <v>0</v>
      </c>
      <c r="MU79" s="282">
        <f t="shared" si="694"/>
        <v>0</v>
      </c>
      <c r="MV79" s="282">
        <f t="shared" si="695"/>
        <v>0</v>
      </c>
      <c r="MW79" s="282">
        <f t="shared" si="696"/>
        <v>0</v>
      </c>
      <c r="MX79" s="282">
        <f t="shared" si="697"/>
        <v>0</v>
      </c>
      <c r="MY79" s="282">
        <f t="shared" si="698"/>
        <v>0</v>
      </c>
      <c r="MZ79" s="282">
        <f t="shared" si="699"/>
        <v>0</v>
      </c>
      <c r="NA79" s="282">
        <f t="shared" si="700"/>
        <v>0</v>
      </c>
      <c r="NB79" s="282">
        <f t="shared" si="701"/>
        <v>0</v>
      </c>
      <c r="NC79" s="282">
        <f t="shared" si="702"/>
        <v>0</v>
      </c>
      <c r="ND79" s="282">
        <f t="shared" si="703"/>
        <v>0</v>
      </c>
      <c r="NE79" s="282">
        <f t="shared" si="704"/>
        <v>0</v>
      </c>
      <c r="NF79" s="282">
        <f t="shared" si="705"/>
        <v>0</v>
      </c>
      <c r="NG79" s="282">
        <f t="shared" si="706"/>
        <v>0</v>
      </c>
      <c r="NH79" s="282">
        <f t="shared" si="707"/>
        <v>0</v>
      </c>
      <c r="NI79" s="282">
        <f t="shared" si="708"/>
        <v>0</v>
      </c>
      <c r="NJ79" s="282">
        <f t="shared" si="709"/>
        <v>0</v>
      </c>
      <c r="NK79" s="282">
        <f t="shared" si="710"/>
        <v>0</v>
      </c>
      <c r="NL79" s="282">
        <f t="shared" si="711"/>
        <v>0</v>
      </c>
      <c r="NM79" s="1205">
        <f t="shared" si="712"/>
        <v>0</v>
      </c>
      <c r="NN79" s="282">
        <f t="shared" si="713"/>
        <v>0</v>
      </c>
      <c r="NO79" s="282">
        <f t="shared" si="714"/>
        <v>0</v>
      </c>
      <c r="NP79" s="282">
        <f t="shared" si="715"/>
        <v>0</v>
      </c>
      <c r="NQ79" s="282">
        <f t="shared" si="716"/>
        <v>0</v>
      </c>
      <c r="NR79" s="282">
        <f t="shared" si="717"/>
        <v>0</v>
      </c>
      <c r="NS79" s="282">
        <f t="shared" si="718"/>
        <v>0</v>
      </c>
      <c r="NT79" s="282">
        <f t="shared" si="719"/>
        <v>0</v>
      </c>
      <c r="NU79" s="282">
        <f t="shared" si="720"/>
        <v>0</v>
      </c>
      <c r="NV79" s="286">
        <f t="shared" si="721"/>
        <v>0</v>
      </c>
      <c r="NW79" s="286">
        <f t="shared" si="722"/>
        <v>0</v>
      </c>
      <c r="NX79" s="286">
        <f t="shared" si="723"/>
        <v>0</v>
      </c>
      <c r="NY79" s="286">
        <f t="shared" si="724"/>
        <v>0</v>
      </c>
      <c r="NZ79" s="286">
        <f t="shared" si="725"/>
        <v>0</v>
      </c>
      <c r="OA79" s="286">
        <f t="shared" si="726"/>
        <v>0</v>
      </c>
      <c r="OB79" s="286">
        <f t="shared" si="727"/>
        <v>0</v>
      </c>
      <c r="OC79" s="286">
        <f t="shared" si="728"/>
        <v>0</v>
      </c>
      <c r="OD79" s="286">
        <f t="shared" si="729"/>
        <v>0</v>
      </c>
      <c r="OE79" s="282">
        <f t="shared" si="730"/>
        <v>0</v>
      </c>
      <c r="OF79" s="282">
        <f t="shared" si="731"/>
        <v>0</v>
      </c>
      <c r="OG79" s="286">
        <f t="shared" si="732"/>
        <v>0</v>
      </c>
      <c r="OH79" s="286">
        <f t="shared" si="733"/>
        <v>0</v>
      </c>
      <c r="OI79" s="286">
        <f t="shared" si="734"/>
        <v>0</v>
      </c>
      <c r="OJ79" s="286">
        <f t="shared" si="735"/>
        <v>0</v>
      </c>
      <c r="OK79" s="286">
        <f t="shared" si="736"/>
        <v>0</v>
      </c>
      <c r="OL79" s="286">
        <f t="shared" si="737"/>
        <v>0</v>
      </c>
      <c r="OM79" s="286">
        <f t="shared" si="738"/>
        <v>0</v>
      </c>
      <c r="ON79" s="286">
        <f t="shared" si="739"/>
        <v>0</v>
      </c>
      <c r="OO79" s="286">
        <f t="shared" si="740"/>
        <v>0</v>
      </c>
      <c r="OP79" s="434">
        <f t="shared" si="741"/>
        <v>0</v>
      </c>
      <c r="OQ79" s="434">
        <f t="shared" si="742"/>
        <v>0</v>
      </c>
      <c r="OR79" s="282">
        <f t="shared" si="743"/>
        <v>0</v>
      </c>
      <c r="OS79" s="282">
        <f t="shared" si="744"/>
        <v>0</v>
      </c>
      <c r="OT79" s="282">
        <f t="shared" si="745"/>
        <v>0</v>
      </c>
      <c r="OU79" s="282">
        <f t="shared" si="746"/>
        <v>0</v>
      </c>
      <c r="OV79" s="282">
        <f t="shared" si="747"/>
        <v>0</v>
      </c>
      <c r="OW79" s="286">
        <f t="shared" si="748"/>
        <v>0</v>
      </c>
      <c r="OX79" s="286">
        <f t="shared" si="749"/>
        <v>0</v>
      </c>
      <c r="OY79" s="286">
        <f t="shared" si="750"/>
        <v>0</v>
      </c>
      <c r="OZ79" s="286">
        <f t="shared" si="751"/>
        <v>0</v>
      </c>
      <c r="PA79" s="286">
        <f t="shared" si="752"/>
        <v>0</v>
      </c>
      <c r="PB79" s="286">
        <f t="shared" si="753"/>
        <v>0</v>
      </c>
      <c r="PC79" s="286">
        <f t="shared" si="754"/>
        <v>0</v>
      </c>
      <c r="PD79" s="282">
        <f t="shared" si="755"/>
        <v>0</v>
      </c>
      <c r="PE79" s="282">
        <f t="shared" si="756"/>
        <v>0</v>
      </c>
      <c r="PF79" s="286">
        <f t="shared" si="757"/>
        <v>0</v>
      </c>
      <c r="PG79" s="286">
        <f t="shared" si="758"/>
        <v>0</v>
      </c>
      <c r="PH79" s="286">
        <f t="shared" si="759"/>
        <v>0</v>
      </c>
      <c r="PI79" s="286">
        <f t="shared" si="760"/>
        <v>0</v>
      </c>
      <c r="PJ79" s="286">
        <f t="shared" si="761"/>
        <v>0</v>
      </c>
      <c r="PK79" s="286">
        <f t="shared" si="762"/>
        <v>0</v>
      </c>
      <c r="PL79" s="286">
        <f t="shared" si="763"/>
        <v>0</v>
      </c>
      <c r="PM79" s="562">
        <v>23</v>
      </c>
    </row>
    <row r="80" spans="1:431" s="289" customFormat="1" ht="15.75" customHeight="1">
      <c r="A80" s="1935" t="s">
        <v>684</v>
      </c>
      <c r="B80" s="1040" t="str">
        <f>VLOOKUP(A80,'Area (&amp;golfacre for lookup)'!$A$2:$B$162,2,FALSE)</f>
        <v>SW CIRA</v>
      </c>
      <c r="C80" s="1936"/>
      <c r="D80" s="1937">
        <v>44834</v>
      </c>
      <c r="E80" s="402"/>
      <c r="F80" s="1936">
        <v>0</v>
      </c>
      <c r="G80" s="1936">
        <v>1</v>
      </c>
      <c r="H80" s="1936">
        <v>850</v>
      </c>
      <c r="I80" s="1936">
        <v>283</v>
      </c>
      <c r="J80" s="1936">
        <v>1133</v>
      </c>
      <c r="K80" s="1938">
        <v>869.33890909090906</v>
      </c>
      <c r="L80" s="1939" t="s">
        <v>1208</v>
      </c>
      <c r="M80" s="1939" t="s">
        <v>1208</v>
      </c>
      <c r="N80" s="1939" t="s">
        <v>1208</v>
      </c>
      <c r="O80" s="1939" t="s">
        <v>1208</v>
      </c>
      <c r="P80" s="1939" t="s">
        <v>1208</v>
      </c>
      <c r="Q80" s="1936">
        <v>0</v>
      </c>
      <c r="R80" s="1979">
        <v>4250</v>
      </c>
      <c r="S80" s="1979">
        <v>4250</v>
      </c>
      <c r="T80" s="1939" t="s">
        <v>1208</v>
      </c>
      <c r="U80" s="1939" t="s">
        <v>1208</v>
      </c>
      <c r="V80" s="1939" t="s">
        <v>1208</v>
      </c>
      <c r="W80" s="1936">
        <v>5889</v>
      </c>
      <c r="X80" s="1936">
        <v>5500</v>
      </c>
      <c r="Y80" s="1939" t="s">
        <v>1208</v>
      </c>
      <c r="Z80" s="1939" t="s">
        <v>1208</v>
      </c>
      <c r="AA80" s="1936">
        <v>389</v>
      </c>
      <c r="AB80" s="1362">
        <v>7.0727272727272722E-2</v>
      </c>
      <c r="AC80" s="1939" t="s">
        <v>1208</v>
      </c>
      <c r="AD80" s="1363" t="s">
        <v>1208</v>
      </c>
      <c r="AE80" s="1936">
        <v>1</v>
      </c>
      <c r="AF80" s="1936">
        <v>924</v>
      </c>
      <c r="AG80" s="1939" t="s">
        <v>1208</v>
      </c>
      <c r="AH80" s="1936">
        <v>0</v>
      </c>
      <c r="AI80" s="1936">
        <v>0</v>
      </c>
      <c r="AJ80" s="1939" t="s">
        <v>1208</v>
      </c>
      <c r="AK80" s="1938">
        <v>0</v>
      </c>
      <c r="AL80" s="1938">
        <v>0</v>
      </c>
      <c r="AM80" s="1936">
        <v>6424</v>
      </c>
      <c r="AN80" s="1939" t="s">
        <v>1208</v>
      </c>
      <c r="AO80" s="1936">
        <v>600</v>
      </c>
      <c r="AP80" s="1936">
        <v>0</v>
      </c>
      <c r="AQ80" s="1936">
        <v>7024</v>
      </c>
      <c r="AR80" s="1939" t="s">
        <v>1208</v>
      </c>
      <c r="AS80" s="1363" t="s">
        <v>1208</v>
      </c>
      <c r="AT80" s="1363" t="s">
        <v>1208</v>
      </c>
      <c r="AU80" s="1363" t="s">
        <v>1208</v>
      </c>
      <c r="AV80" s="1363" t="s">
        <v>1208</v>
      </c>
      <c r="AW80" s="1363" t="s">
        <v>1291</v>
      </c>
      <c r="AX80" s="1938">
        <v>0</v>
      </c>
      <c r="AY80" s="1938">
        <v>0</v>
      </c>
      <c r="AZ80" s="1938">
        <v>0</v>
      </c>
      <c r="BA80" s="1938">
        <v>0</v>
      </c>
      <c r="BB80" s="1938">
        <v>0</v>
      </c>
      <c r="BC80" s="1938">
        <v>0</v>
      </c>
      <c r="BD80" s="1938">
        <v>0</v>
      </c>
      <c r="BE80" s="1936">
        <v>1</v>
      </c>
      <c r="BF80" s="1936">
        <v>14200000</v>
      </c>
      <c r="BG80" s="1936">
        <v>0</v>
      </c>
      <c r="BH80" s="1936">
        <v>14200000</v>
      </c>
      <c r="BI80" s="1938">
        <v>12308431</v>
      </c>
      <c r="BJ80" s="1936">
        <v>947367</v>
      </c>
      <c r="BK80" s="1936">
        <v>1331933</v>
      </c>
      <c r="BL80" s="1362">
        <v>0.71127226369494556</v>
      </c>
      <c r="BM80" s="1936">
        <v>0</v>
      </c>
      <c r="BN80" s="1936">
        <v>0</v>
      </c>
      <c r="BO80" s="1363" t="s">
        <v>1208</v>
      </c>
      <c r="BP80" s="1938">
        <v>5280153</v>
      </c>
      <c r="BQ80" s="1938">
        <v>3095824</v>
      </c>
      <c r="BR80" s="1940">
        <v>1.7055727328168526</v>
      </c>
      <c r="BS80" s="1409">
        <v>1</v>
      </c>
      <c r="BT80" s="1938">
        <v>3236467</v>
      </c>
      <c r="BU80" s="1938">
        <v>18972240</v>
      </c>
      <c r="BV80" s="1940">
        <v>0.17058960881793611</v>
      </c>
      <c r="BW80" s="1936">
        <v>0</v>
      </c>
      <c r="BX80" s="1936">
        <v>1089.7556638649557</v>
      </c>
      <c r="BY80" s="1936">
        <v>16334.251063085765</v>
      </c>
      <c r="BZ80" s="1936">
        <v>1283599</v>
      </c>
      <c r="CA80" s="1936">
        <v>0</v>
      </c>
      <c r="CB80" s="1936">
        <v>299714</v>
      </c>
      <c r="CC80" s="1936">
        <v>0</v>
      </c>
      <c r="CD80" s="1936">
        <v>4781364</v>
      </c>
      <c r="CE80" s="1936">
        <v>0</v>
      </c>
      <c r="CF80" s="1936">
        <v>0</v>
      </c>
      <c r="CG80" s="1936">
        <v>1087070</v>
      </c>
      <c r="CH80" s="1936">
        <v>386708</v>
      </c>
      <c r="CI80" s="1936">
        <v>208720</v>
      </c>
      <c r="CJ80" s="1936">
        <v>8047175</v>
      </c>
      <c r="CK80" s="1366">
        <v>0.15950926878065905</v>
      </c>
      <c r="CL80" s="1366">
        <v>0</v>
      </c>
      <c r="CM80" s="1366">
        <v>3.7244623113080057E-2</v>
      </c>
      <c r="CN80" s="1366">
        <v>0</v>
      </c>
      <c r="CO80" s="1366">
        <v>0.5941667728115767</v>
      </c>
      <c r="CP80" s="1366">
        <v>0</v>
      </c>
      <c r="CQ80" s="1366">
        <v>0</v>
      </c>
      <c r="CR80" s="1366">
        <v>0.13508715791566606</v>
      </c>
      <c r="CS80" s="1366">
        <v>4.8055124935148047E-2</v>
      </c>
      <c r="CT80" s="1366">
        <v>2.5937052443870054E-2</v>
      </c>
      <c r="CU80" s="1366">
        <v>1</v>
      </c>
      <c r="CV80" s="1936">
        <v>4179027</v>
      </c>
      <c r="CW80" s="1936">
        <v>680979</v>
      </c>
      <c r="CX80" s="1936">
        <v>237406</v>
      </c>
      <c r="CY80" s="1936">
        <v>2493503</v>
      </c>
      <c r="CZ80" s="1936">
        <v>0</v>
      </c>
      <c r="DA80" s="1936">
        <v>287301</v>
      </c>
      <c r="DB80" s="1936">
        <v>7878216</v>
      </c>
      <c r="DC80" s="1366">
        <v>0.53045346814558014</v>
      </c>
      <c r="DD80" s="1366">
        <v>8.643822408524976E-2</v>
      </c>
      <c r="DE80" s="1366">
        <v>3.0134487300170494E-2</v>
      </c>
      <c r="DF80" s="1366">
        <v>0.31650604654657855</v>
      </c>
      <c r="DG80" s="1366">
        <v>0</v>
      </c>
      <c r="DH80" s="1366">
        <v>3.6467773922421017E-2</v>
      </c>
      <c r="DI80" s="1366">
        <v>1</v>
      </c>
      <c r="DJ80" s="1936">
        <v>168959</v>
      </c>
      <c r="DK80" s="1936">
        <v>1476.5231218539313</v>
      </c>
      <c r="DL80" s="1936">
        <v>0</v>
      </c>
      <c r="DM80" s="1936">
        <v>344.76082557194979</v>
      </c>
      <c r="DN80" s="1936">
        <v>0</v>
      </c>
      <c r="DO80" s="1936">
        <v>5500</v>
      </c>
      <c r="DP80" s="1936">
        <v>0</v>
      </c>
      <c r="DQ80" s="1936">
        <v>0</v>
      </c>
      <c r="DR80" s="1936">
        <v>1250.4559368414536</v>
      </c>
      <c r="DS80" s="1936">
        <v>444.82996902139223</v>
      </c>
      <c r="DT80" s="1936">
        <v>240.09048463994793</v>
      </c>
      <c r="DU80" s="1936">
        <v>9256.6603379286753</v>
      </c>
      <c r="DV80" s="1936">
        <v>4807.1321279869089</v>
      </c>
      <c r="DW80" s="1936">
        <v>783.32971511894937</v>
      </c>
      <c r="DX80" s="1936">
        <v>273.08797238612249</v>
      </c>
      <c r="DY80" s="1936">
        <v>2868.2749315885594</v>
      </c>
      <c r="DZ80" s="1936">
        <v>0</v>
      </c>
      <c r="EA80" s="1936">
        <v>330.48215948419738</v>
      </c>
      <c r="EB80" s="1936">
        <v>9062.3069065647378</v>
      </c>
      <c r="EC80" s="1936">
        <v>194.35343136393715</v>
      </c>
      <c r="ED80" s="1941">
        <v>98</v>
      </c>
      <c r="EE80" s="1936">
        <v>0</v>
      </c>
      <c r="EF80" s="1936">
        <v>0</v>
      </c>
      <c r="EG80" s="1938">
        <v>0</v>
      </c>
      <c r="EH80" s="1938">
        <v>1</v>
      </c>
      <c r="EI80" s="1368">
        <v>0.06</v>
      </c>
      <c r="EJ80" s="1936">
        <v>8.8708051948051949</v>
      </c>
      <c r="EK80" s="1936">
        <v>1</v>
      </c>
      <c r="EL80" s="1936">
        <v>600</v>
      </c>
      <c r="EM80" s="1936">
        <v>1</v>
      </c>
      <c r="EN80" s="1362">
        <v>0.18</v>
      </c>
      <c r="EO80" s="1936">
        <v>0</v>
      </c>
      <c r="EP80" s="1936">
        <v>0</v>
      </c>
      <c r="EQ80" s="1936">
        <v>0</v>
      </c>
      <c r="ER80" s="1938">
        <v>0</v>
      </c>
      <c r="ES80" s="1936">
        <v>1695.285905862846</v>
      </c>
      <c r="ET80" s="1936">
        <v>-593.03223933588822</v>
      </c>
      <c r="EU80" s="1938">
        <v>1</v>
      </c>
      <c r="EV80" s="1936">
        <v>43509</v>
      </c>
      <c r="EW80" s="1936">
        <v>10877</v>
      </c>
      <c r="EX80" s="1938">
        <v>1</v>
      </c>
      <c r="EY80" s="1936">
        <v>1087070</v>
      </c>
      <c r="EZ80" s="1936">
        <v>561789</v>
      </c>
      <c r="FA80" s="1936">
        <v>525281</v>
      </c>
      <c r="FB80" s="1936">
        <v>386708</v>
      </c>
      <c r="FC80" s="1936">
        <v>119190</v>
      </c>
      <c r="FD80" s="1936">
        <v>267518</v>
      </c>
      <c r="FE80" s="1936">
        <v>1473778</v>
      </c>
      <c r="FF80" s="1936">
        <v>680979</v>
      </c>
      <c r="FG80" s="1936">
        <v>792799</v>
      </c>
      <c r="FH80" s="1366">
        <v>1</v>
      </c>
      <c r="FI80" s="1366">
        <v>0.51679192692282927</v>
      </c>
      <c r="FJ80" s="1366">
        <v>0.48320807307717073</v>
      </c>
      <c r="FK80" s="1366">
        <v>1</v>
      </c>
      <c r="FL80" s="1366">
        <v>0.30821705265988808</v>
      </c>
      <c r="FM80" s="1366">
        <v>0.69178294734011192</v>
      </c>
      <c r="FN80" s="1366">
        <v>1</v>
      </c>
      <c r="FO80" s="1366">
        <v>0.46206348581672407</v>
      </c>
      <c r="FP80" s="1366">
        <v>0.53793651418327593</v>
      </c>
      <c r="FQ80" s="1936">
        <v>736121</v>
      </c>
      <c r="FR80" s="1936">
        <v>0</v>
      </c>
      <c r="FS80" s="1936">
        <v>231313</v>
      </c>
      <c r="FT80" s="1936">
        <v>40241</v>
      </c>
      <c r="FU80" s="1936">
        <v>50079</v>
      </c>
      <c r="FV80" s="1936">
        <v>7135</v>
      </c>
      <c r="FW80" s="1936">
        <v>243456</v>
      </c>
      <c r="FX80" s="1936">
        <v>1308345</v>
      </c>
      <c r="FY80" s="1936">
        <v>-515546</v>
      </c>
      <c r="FZ80" s="1366">
        <v>0.49947889030776682</v>
      </c>
      <c r="GA80" s="1366">
        <v>0</v>
      </c>
      <c r="GB80" s="1366">
        <v>0.15695240395771956</v>
      </c>
      <c r="GC80" s="1366">
        <v>2.73046551108783E-2</v>
      </c>
      <c r="GD80" s="1366">
        <v>3.3980015986125454E-2</v>
      </c>
      <c r="GE80" s="1366">
        <v>4.8412990287546699E-3</v>
      </c>
      <c r="GF80" s="1366">
        <v>0.16519177243791128</v>
      </c>
      <c r="GG80" s="1366">
        <v>0.88774903682915607</v>
      </c>
      <c r="GH80" s="1366">
        <v>-0.3498125226458802</v>
      </c>
      <c r="GI80" s="1942">
        <v>2.8110874354810349</v>
      </c>
      <c r="GJ80" s="1943">
        <v>1</v>
      </c>
      <c r="GK80" s="1371">
        <v>0.08</v>
      </c>
      <c r="GL80" s="1943">
        <v>1</v>
      </c>
      <c r="GM80" s="1371">
        <v>0.05</v>
      </c>
      <c r="GN80" s="1943">
        <v>18</v>
      </c>
      <c r="GO80" s="1985">
        <f>IF(GN80=0,0,VLOOKUP(A80,'Area (&amp;golfacre for lookup)'!$G$2:$H$133,2,FALSE))</f>
        <v>75</v>
      </c>
      <c r="GP80" s="1943">
        <v>43440</v>
      </c>
      <c r="GQ80" s="1943">
        <v>669278</v>
      </c>
      <c r="GR80" s="1943">
        <v>187545</v>
      </c>
      <c r="GS80" s="1943">
        <v>356815</v>
      </c>
      <c r="GT80" s="1943">
        <v>95545</v>
      </c>
      <c r="GU80" s="1943">
        <v>0</v>
      </c>
      <c r="GV80" s="1943">
        <v>90960</v>
      </c>
      <c r="GW80" s="1943">
        <v>1400143</v>
      </c>
      <c r="GX80" s="1943">
        <v>77785.722222222219</v>
      </c>
      <c r="GY80" s="1985">
        <f t="shared" si="764"/>
        <v>18668.573333333334</v>
      </c>
      <c r="GZ80" s="1366">
        <v>0.47800688929630758</v>
      </c>
      <c r="HA80" s="1366">
        <v>0.1339470325531035</v>
      </c>
      <c r="HB80" s="1366">
        <v>0.25484182687054108</v>
      </c>
      <c r="HC80" s="1366">
        <v>6.8239458398177896E-2</v>
      </c>
      <c r="HD80" s="1366">
        <v>0</v>
      </c>
      <c r="HE80" s="1366">
        <v>6.4964792881869918E-2</v>
      </c>
      <c r="HF80" s="1366">
        <v>1</v>
      </c>
      <c r="HG80" s="1936">
        <v>0</v>
      </c>
      <c r="HH80" s="1988">
        <f>IF(HG80=0,0,VLOOKUP(A80,'Area (&amp;golfacre for lookup)'!$G$2:$H$134,2,FALSE))</f>
        <v>0</v>
      </c>
      <c r="HI80" s="1936">
        <v>0</v>
      </c>
      <c r="HJ80" s="1936">
        <v>0</v>
      </c>
      <c r="HK80" s="1936">
        <v>0</v>
      </c>
      <c r="HL80" s="1936">
        <v>0</v>
      </c>
      <c r="HM80" s="1936">
        <v>0</v>
      </c>
      <c r="HN80" s="1936">
        <v>0</v>
      </c>
      <c r="HO80" s="1936">
        <v>0</v>
      </c>
      <c r="HP80" s="1936">
        <v>0</v>
      </c>
      <c r="HQ80" s="1936">
        <v>0</v>
      </c>
      <c r="HR80" s="1988">
        <f t="shared" si="765"/>
        <v>0</v>
      </c>
      <c r="HS80" s="1936">
        <v>0</v>
      </c>
      <c r="HT80" s="1936">
        <v>0</v>
      </c>
      <c r="HU80" s="1936">
        <v>0</v>
      </c>
      <c r="HV80" s="1936">
        <v>0</v>
      </c>
      <c r="HW80" s="1936">
        <v>0</v>
      </c>
      <c r="HX80" s="1936">
        <v>0</v>
      </c>
      <c r="HY80" s="1936">
        <v>0</v>
      </c>
      <c r="HZ80" s="51"/>
      <c r="IA80" s="59">
        <f t="shared" si="766"/>
        <v>0</v>
      </c>
      <c r="IB80" s="59"/>
      <c r="IC80" s="815">
        <f t="shared" si="581"/>
        <v>1</v>
      </c>
      <c r="ID80" s="815"/>
      <c r="IE80" s="284">
        <f t="shared" si="582"/>
        <v>0</v>
      </c>
      <c r="IF80" s="284"/>
      <c r="IG80" s="284">
        <f t="shared" si="583"/>
        <v>14158.380432863929</v>
      </c>
      <c r="IH80" s="284"/>
      <c r="II80" s="1288">
        <f t="shared" si="584"/>
        <v>1.7055727328168526</v>
      </c>
      <c r="IJ80" s="1288">
        <f t="shared" si="585"/>
        <v>0</v>
      </c>
      <c r="IK80" s="284">
        <f t="shared" si="586"/>
        <v>0</v>
      </c>
      <c r="IL80" s="284">
        <f t="shared" si="587"/>
        <v>0</v>
      </c>
      <c r="IM80" s="284">
        <f t="shared" si="588"/>
        <v>1</v>
      </c>
      <c r="IN80" s="284">
        <f t="shared" si="589"/>
        <v>0</v>
      </c>
      <c r="IO80" s="753">
        <f t="shared" si="590"/>
        <v>-455.02736098852603</v>
      </c>
      <c r="IP80" s="113">
        <f t="shared" si="591"/>
        <v>-593.03223933588822</v>
      </c>
      <c r="IQ80" s="30">
        <f t="shared" si="592"/>
        <v>-0.10782404351561604</v>
      </c>
      <c r="IR80" s="438">
        <f t="shared" si="593"/>
        <v>1087070</v>
      </c>
      <c r="IS80" s="438">
        <f t="shared" si="594"/>
        <v>386708</v>
      </c>
      <c r="IT80" s="438">
        <f t="shared" si="595"/>
        <v>736121</v>
      </c>
      <c r="IU80" s="438">
        <f t="shared" si="596"/>
        <v>271554</v>
      </c>
      <c r="IV80" s="438">
        <f t="shared" si="597"/>
        <v>680979</v>
      </c>
      <c r="IW80" s="438">
        <f t="shared" si="598"/>
        <v>300670</v>
      </c>
      <c r="IX80" s="285">
        <f t="shared" si="599"/>
        <v>0.7376076993957027</v>
      </c>
      <c r="IY80" s="285">
        <f t="shared" si="600"/>
        <v>0.26239230060429725</v>
      </c>
      <c r="IZ80" s="285">
        <f t="shared" si="601"/>
        <v>0.49947889030776682</v>
      </c>
      <c r="JA80" s="285">
        <f t="shared" si="602"/>
        <v>0.18425705906859785</v>
      </c>
      <c r="JB80" s="285">
        <f t="shared" si="603"/>
        <v>0.46206348581672407</v>
      </c>
      <c r="JC80" s="285">
        <f t="shared" si="604"/>
        <v>0.2040130874527914</v>
      </c>
      <c r="JD80" s="60">
        <f t="shared" si="605"/>
        <v>4781364</v>
      </c>
      <c r="JE80" s="60">
        <f t="shared" si="606"/>
        <v>1583313</v>
      </c>
      <c r="JF80" s="60">
        <f t="shared" si="607"/>
        <v>0</v>
      </c>
      <c r="JG80" s="60">
        <f t="shared" si="608"/>
        <v>287301</v>
      </c>
      <c r="JH80" s="284">
        <f t="shared" si="609"/>
        <v>1</v>
      </c>
      <c r="JI80" s="284">
        <f t="shared" si="610"/>
        <v>1</v>
      </c>
      <c r="JJ80" s="560">
        <f t="shared" si="611"/>
        <v>0.79210847674783291</v>
      </c>
      <c r="JK80" s="561">
        <f t="shared" si="612"/>
        <v>0.51931603326633258</v>
      </c>
      <c r="JL80" s="561">
        <f t="shared" si="613"/>
        <v>8.4623361614479614E-2</v>
      </c>
      <c r="JM80" s="561">
        <f t="shared" si="614"/>
        <v>2.9501781681148975E-2</v>
      </c>
      <c r="JN80" s="561">
        <f t="shared" si="615"/>
        <v>0.30986066538878548</v>
      </c>
      <c r="JO80" s="561">
        <f t="shared" si="616"/>
        <v>0</v>
      </c>
      <c r="JP80" s="561">
        <f t="shared" si="617"/>
        <v>3.5702094213186618E-2</v>
      </c>
      <c r="JQ80" s="561">
        <f t="shared" si="618"/>
        <v>0.97900393616393322</v>
      </c>
      <c r="JR80" s="61">
        <f t="shared" si="619"/>
        <v>37182.111111111109</v>
      </c>
      <c r="JS80" s="61">
        <f t="shared" si="620"/>
        <v>10419.166666666666</v>
      </c>
      <c r="JT80" s="61">
        <f t="shared" si="621"/>
        <v>19823.055555555555</v>
      </c>
      <c r="JU80" s="61">
        <f t="shared" si="622"/>
        <v>5308.0555555555557</v>
      </c>
      <c r="JV80" s="61">
        <f t="shared" si="623"/>
        <v>0</v>
      </c>
      <c r="JW80" s="61">
        <f t="shared" si="624"/>
        <v>5053.333333333333</v>
      </c>
      <c r="JX80" s="61">
        <f t="shared" si="625"/>
        <v>32.231652854511971</v>
      </c>
      <c r="JY80" s="394">
        <f t="shared" si="626"/>
        <v>0.17772335767386932</v>
      </c>
      <c r="JZ80" s="61">
        <f t="shared" si="627"/>
        <v>0</v>
      </c>
      <c r="KA80" s="61">
        <f t="shared" si="628"/>
        <v>0</v>
      </c>
      <c r="KB80" s="61">
        <f t="shared" si="629"/>
        <v>0</v>
      </c>
      <c r="KC80" s="61">
        <f t="shared" si="630"/>
        <v>0</v>
      </c>
      <c r="KD80" s="61">
        <f t="shared" si="631"/>
        <v>0</v>
      </c>
      <c r="KE80" s="61">
        <f t="shared" si="632"/>
        <v>0</v>
      </c>
      <c r="KF80" s="61">
        <f t="shared" si="633"/>
        <v>0</v>
      </c>
      <c r="KG80" s="61">
        <f t="shared" si="634"/>
        <v>0</v>
      </c>
      <c r="KH80" s="61">
        <f t="shared" si="635"/>
        <v>0</v>
      </c>
      <c r="KI80" s="394">
        <f t="shared" si="636"/>
        <v>0</v>
      </c>
      <c r="KJ80" s="438">
        <f t="shared" si="637"/>
        <v>18</v>
      </c>
      <c r="KK80" s="438">
        <f t="shared" si="638"/>
        <v>43440</v>
      </c>
      <c r="KL80" s="438">
        <f t="shared" si="639"/>
        <v>75</v>
      </c>
      <c r="KM80" s="438">
        <f t="shared" si="640"/>
        <v>77785.722222222219</v>
      </c>
      <c r="KN80" s="438">
        <f t="shared" si="641"/>
        <v>32.231652854511971</v>
      </c>
      <c r="KO80" s="438">
        <f t="shared" si="642"/>
        <v>18668.573333333334</v>
      </c>
      <c r="KP80" s="438">
        <f t="shared" si="643"/>
        <v>669278</v>
      </c>
      <c r="KQ80" s="438">
        <f t="shared" si="644"/>
        <v>187545</v>
      </c>
      <c r="KR80" s="438">
        <f t="shared" si="645"/>
        <v>356815</v>
      </c>
      <c r="KS80" s="438">
        <f t="shared" si="646"/>
        <v>95545</v>
      </c>
      <c r="KT80" s="438">
        <f t="shared" si="647"/>
        <v>0</v>
      </c>
      <c r="KU80" s="438">
        <f t="shared" si="648"/>
        <v>90960</v>
      </c>
      <c r="KV80" s="420">
        <f t="shared" si="649"/>
        <v>0.17772335767386932</v>
      </c>
      <c r="KW80" s="420">
        <f t="shared" si="650"/>
        <v>-0.27380952380952384</v>
      </c>
      <c r="KX80" s="108"/>
      <c r="KY80" s="282">
        <f t="shared" si="651"/>
        <v>0</v>
      </c>
      <c r="KZ80" s="282"/>
      <c r="LA80" s="282">
        <f t="shared" si="652"/>
        <v>0</v>
      </c>
      <c r="LB80" s="282"/>
      <c r="LC80" s="286">
        <f t="shared" si="653"/>
        <v>0</v>
      </c>
      <c r="LD80" s="286"/>
      <c r="LE80" s="282">
        <f t="shared" si="654"/>
        <v>0</v>
      </c>
      <c r="LF80" s="282"/>
      <c r="LG80" s="282">
        <f t="shared" si="655"/>
        <v>0</v>
      </c>
      <c r="LH80" s="282">
        <f t="shared" si="656"/>
        <v>0</v>
      </c>
      <c r="LI80" s="282">
        <f t="shared" si="657"/>
        <v>0</v>
      </c>
      <c r="LJ80" s="282">
        <f t="shared" si="658"/>
        <v>0</v>
      </c>
      <c r="LK80" s="282"/>
      <c r="LL80" s="282">
        <f t="shared" si="659"/>
        <v>0</v>
      </c>
      <c r="LM80" s="282">
        <f t="shared" si="660"/>
        <v>0</v>
      </c>
      <c r="LN80" s="282">
        <f t="shared" si="661"/>
        <v>0</v>
      </c>
      <c r="LO80" s="282">
        <f t="shared" si="662"/>
        <v>0</v>
      </c>
      <c r="LP80" s="286">
        <f t="shared" si="663"/>
        <v>0</v>
      </c>
      <c r="LQ80" s="282">
        <f t="shared" si="664"/>
        <v>0</v>
      </c>
      <c r="LR80" s="282">
        <f t="shared" si="665"/>
        <v>0</v>
      </c>
      <c r="LS80" s="282">
        <f t="shared" si="666"/>
        <v>0</v>
      </c>
      <c r="LT80" s="286">
        <f t="shared" si="667"/>
        <v>0</v>
      </c>
      <c r="LU80" s="286">
        <f t="shared" si="668"/>
        <v>0</v>
      </c>
      <c r="LV80" s="286">
        <f t="shared" si="669"/>
        <v>0</v>
      </c>
      <c r="LW80" s="286">
        <f t="shared" si="670"/>
        <v>0</v>
      </c>
      <c r="LX80" s="286">
        <f t="shared" si="671"/>
        <v>0</v>
      </c>
      <c r="LY80" s="286">
        <f t="shared" si="672"/>
        <v>0</v>
      </c>
      <c r="LZ80" s="286">
        <f t="shared" si="673"/>
        <v>0</v>
      </c>
      <c r="MA80" s="286">
        <f t="shared" si="674"/>
        <v>0</v>
      </c>
      <c r="MB80" s="286">
        <f t="shared" si="675"/>
        <v>0</v>
      </c>
      <c r="MC80" s="286">
        <f t="shared" si="676"/>
        <v>0</v>
      </c>
      <c r="MD80" s="286">
        <f t="shared" si="677"/>
        <v>0</v>
      </c>
      <c r="ME80" s="286">
        <f t="shared" si="678"/>
        <v>0</v>
      </c>
      <c r="MF80" s="286">
        <f t="shared" si="679"/>
        <v>0</v>
      </c>
      <c r="MG80" s="286">
        <f t="shared" si="680"/>
        <v>0</v>
      </c>
      <c r="MH80" s="286">
        <f t="shared" si="681"/>
        <v>0</v>
      </c>
      <c r="MI80" s="286">
        <f t="shared" si="682"/>
        <v>0</v>
      </c>
      <c r="MJ80" s="286">
        <f t="shared" si="683"/>
        <v>0</v>
      </c>
      <c r="MK80" s="286">
        <f t="shared" si="684"/>
        <v>0</v>
      </c>
      <c r="ML80" s="282">
        <f t="shared" si="685"/>
        <v>0</v>
      </c>
      <c r="MM80" s="1232">
        <f t="shared" si="686"/>
        <v>0</v>
      </c>
      <c r="MN80" s="1232">
        <f t="shared" si="687"/>
        <v>0</v>
      </c>
      <c r="MO80" s="1232">
        <f t="shared" si="688"/>
        <v>0</v>
      </c>
      <c r="MP80" s="1232">
        <f t="shared" si="689"/>
        <v>0</v>
      </c>
      <c r="MQ80" s="282">
        <f t="shared" si="690"/>
        <v>0</v>
      </c>
      <c r="MR80" s="282">
        <f t="shared" si="691"/>
        <v>0</v>
      </c>
      <c r="MS80" s="282">
        <f t="shared" si="692"/>
        <v>0</v>
      </c>
      <c r="MT80" s="282">
        <f t="shared" si="693"/>
        <v>0</v>
      </c>
      <c r="MU80" s="282">
        <f t="shared" si="694"/>
        <v>0</v>
      </c>
      <c r="MV80" s="282">
        <f t="shared" si="695"/>
        <v>0</v>
      </c>
      <c r="MW80" s="282">
        <f t="shared" si="696"/>
        <v>0</v>
      </c>
      <c r="MX80" s="282">
        <f t="shared" si="697"/>
        <v>0</v>
      </c>
      <c r="MY80" s="282">
        <f t="shared" si="698"/>
        <v>0</v>
      </c>
      <c r="MZ80" s="282">
        <f t="shared" si="699"/>
        <v>0</v>
      </c>
      <c r="NA80" s="282">
        <f t="shared" si="700"/>
        <v>0</v>
      </c>
      <c r="NB80" s="282">
        <f t="shared" si="701"/>
        <v>0</v>
      </c>
      <c r="NC80" s="282">
        <f t="shared" si="702"/>
        <v>0</v>
      </c>
      <c r="ND80" s="282">
        <f t="shared" si="703"/>
        <v>0</v>
      </c>
      <c r="NE80" s="282">
        <f t="shared" si="704"/>
        <v>0</v>
      </c>
      <c r="NF80" s="282">
        <f t="shared" si="705"/>
        <v>0</v>
      </c>
      <c r="NG80" s="282">
        <f t="shared" si="706"/>
        <v>0</v>
      </c>
      <c r="NH80" s="282">
        <f t="shared" si="707"/>
        <v>0</v>
      </c>
      <c r="NI80" s="282">
        <f t="shared" si="708"/>
        <v>0</v>
      </c>
      <c r="NJ80" s="282">
        <f t="shared" si="709"/>
        <v>0</v>
      </c>
      <c r="NK80" s="282">
        <f t="shared" si="710"/>
        <v>0</v>
      </c>
      <c r="NL80" s="282">
        <f t="shared" si="711"/>
        <v>0</v>
      </c>
      <c r="NM80" s="1205">
        <f t="shared" si="712"/>
        <v>0</v>
      </c>
      <c r="NN80" s="282">
        <f t="shared" si="713"/>
        <v>0</v>
      </c>
      <c r="NO80" s="282">
        <f t="shared" si="714"/>
        <v>0</v>
      </c>
      <c r="NP80" s="282">
        <f t="shared" si="715"/>
        <v>0</v>
      </c>
      <c r="NQ80" s="282">
        <f t="shared" si="716"/>
        <v>0</v>
      </c>
      <c r="NR80" s="282">
        <f t="shared" si="717"/>
        <v>0</v>
      </c>
      <c r="NS80" s="282">
        <f t="shared" si="718"/>
        <v>0</v>
      </c>
      <c r="NT80" s="282">
        <f t="shared" si="719"/>
        <v>0</v>
      </c>
      <c r="NU80" s="282">
        <f t="shared" si="720"/>
        <v>0</v>
      </c>
      <c r="NV80" s="286">
        <f t="shared" si="721"/>
        <v>0</v>
      </c>
      <c r="NW80" s="286">
        <f t="shared" si="722"/>
        <v>0</v>
      </c>
      <c r="NX80" s="286">
        <f t="shared" si="723"/>
        <v>0</v>
      </c>
      <c r="NY80" s="286">
        <f t="shared" si="724"/>
        <v>0</v>
      </c>
      <c r="NZ80" s="286">
        <f t="shared" si="725"/>
        <v>0</v>
      </c>
      <c r="OA80" s="286">
        <f t="shared" si="726"/>
        <v>0</v>
      </c>
      <c r="OB80" s="286">
        <f t="shared" si="727"/>
        <v>0</v>
      </c>
      <c r="OC80" s="286">
        <f t="shared" si="728"/>
        <v>0</v>
      </c>
      <c r="OD80" s="286">
        <f t="shared" si="729"/>
        <v>0</v>
      </c>
      <c r="OE80" s="282">
        <f t="shared" si="730"/>
        <v>0</v>
      </c>
      <c r="OF80" s="282">
        <f t="shared" si="731"/>
        <v>0</v>
      </c>
      <c r="OG80" s="286">
        <f t="shared" si="732"/>
        <v>0</v>
      </c>
      <c r="OH80" s="286">
        <f t="shared" si="733"/>
        <v>0</v>
      </c>
      <c r="OI80" s="286">
        <f t="shared" si="734"/>
        <v>0</v>
      </c>
      <c r="OJ80" s="286">
        <f t="shared" si="735"/>
        <v>0</v>
      </c>
      <c r="OK80" s="286">
        <f t="shared" si="736"/>
        <v>0</v>
      </c>
      <c r="OL80" s="286">
        <f t="shared" si="737"/>
        <v>0</v>
      </c>
      <c r="OM80" s="286">
        <f t="shared" si="738"/>
        <v>0</v>
      </c>
      <c r="ON80" s="286">
        <f t="shared" si="739"/>
        <v>0</v>
      </c>
      <c r="OO80" s="286">
        <f t="shared" si="740"/>
        <v>0</v>
      </c>
      <c r="OP80" s="434">
        <f t="shared" si="741"/>
        <v>0</v>
      </c>
      <c r="OQ80" s="434">
        <f t="shared" si="742"/>
        <v>0</v>
      </c>
      <c r="OR80" s="282">
        <f t="shared" si="743"/>
        <v>0</v>
      </c>
      <c r="OS80" s="282">
        <f t="shared" si="744"/>
        <v>0</v>
      </c>
      <c r="OT80" s="282">
        <f t="shared" si="745"/>
        <v>0</v>
      </c>
      <c r="OU80" s="282">
        <f t="shared" si="746"/>
        <v>0</v>
      </c>
      <c r="OV80" s="282">
        <f t="shared" si="747"/>
        <v>0</v>
      </c>
      <c r="OW80" s="286">
        <f t="shared" si="748"/>
        <v>0</v>
      </c>
      <c r="OX80" s="286">
        <f t="shared" si="749"/>
        <v>0</v>
      </c>
      <c r="OY80" s="286">
        <f t="shared" si="750"/>
        <v>0</v>
      </c>
      <c r="OZ80" s="286">
        <f t="shared" si="751"/>
        <v>0</v>
      </c>
      <c r="PA80" s="286">
        <f t="shared" si="752"/>
        <v>0</v>
      </c>
      <c r="PB80" s="286">
        <f t="shared" si="753"/>
        <v>0</v>
      </c>
      <c r="PC80" s="286">
        <f t="shared" si="754"/>
        <v>0</v>
      </c>
      <c r="PD80" s="282">
        <f t="shared" si="755"/>
        <v>0</v>
      </c>
      <c r="PE80" s="282">
        <f t="shared" si="756"/>
        <v>0</v>
      </c>
      <c r="PF80" s="286">
        <f t="shared" si="757"/>
        <v>0</v>
      </c>
      <c r="PG80" s="286">
        <f t="shared" si="758"/>
        <v>0</v>
      </c>
      <c r="PH80" s="286">
        <f t="shared" si="759"/>
        <v>0</v>
      </c>
      <c r="PI80" s="286">
        <f t="shared" si="760"/>
        <v>0</v>
      </c>
      <c r="PJ80" s="286">
        <f t="shared" si="761"/>
        <v>0</v>
      </c>
      <c r="PK80" s="286">
        <f t="shared" si="762"/>
        <v>0</v>
      </c>
      <c r="PL80" s="286">
        <f t="shared" si="763"/>
        <v>0</v>
      </c>
      <c r="PM80" s="562">
        <v>24</v>
      </c>
      <c r="PO80" s="571"/>
    </row>
    <row r="81" spans="1:431" s="289" customFormat="1" ht="15.75" customHeight="1">
      <c r="A81" s="1935" t="s">
        <v>1408</v>
      </c>
      <c r="B81" s="1040" t="str">
        <f>VLOOKUP(A81,'Area (&amp;golfacre for lookup)'!$A$2:$B$162,2,FALSE)</f>
        <v>SE exc BOCA</v>
      </c>
      <c r="C81" s="1936"/>
      <c r="D81" s="1937">
        <v>44926</v>
      </c>
      <c r="E81" s="402"/>
      <c r="F81" s="1936">
        <v>1</v>
      </c>
      <c r="G81" s="1936">
        <v>0</v>
      </c>
      <c r="H81" s="1936">
        <v>311</v>
      </c>
      <c r="I81" s="1936">
        <v>191</v>
      </c>
      <c r="J81" s="1936">
        <v>502</v>
      </c>
      <c r="K81" s="1938">
        <v>405.76975461503827</v>
      </c>
      <c r="L81" s="1939" t="s">
        <v>1208</v>
      </c>
      <c r="M81" s="1939" t="s">
        <v>1208</v>
      </c>
      <c r="N81" s="1939" t="s">
        <v>1208</v>
      </c>
      <c r="O81" s="1939" t="s">
        <v>1208</v>
      </c>
      <c r="P81" s="1939" t="s">
        <v>1208</v>
      </c>
      <c r="Q81" s="1936">
        <v>1000</v>
      </c>
      <c r="R81" s="1936">
        <v>74000</v>
      </c>
      <c r="S81" s="1936">
        <v>75000</v>
      </c>
      <c r="T81" s="1939" t="s">
        <v>1208</v>
      </c>
      <c r="U81" s="1939" t="s">
        <v>1208</v>
      </c>
      <c r="V81" s="1939" t="s">
        <v>1208</v>
      </c>
      <c r="W81" s="1936">
        <v>18656</v>
      </c>
      <c r="X81" s="1936">
        <v>17768</v>
      </c>
      <c r="Y81" s="1939" t="s">
        <v>1208</v>
      </c>
      <c r="Z81" s="1939" t="s">
        <v>1208</v>
      </c>
      <c r="AA81" s="1936">
        <v>888</v>
      </c>
      <c r="AB81" s="1362">
        <v>4.9977487618190007E-2</v>
      </c>
      <c r="AC81" s="1939" t="s">
        <v>1208</v>
      </c>
      <c r="AD81" s="1363" t="s">
        <v>1208</v>
      </c>
      <c r="AE81" s="1936">
        <v>1</v>
      </c>
      <c r="AF81" s="1936">
        <v>3000</v>
      </c>
      <c r="AG81" s="1939" t="s">
        <v>1208</v>
      </c>
      <c r="AH81" s="1936">
        <v>0</v>
      </c>
      <c r="AI81" s="1936">
        <v>0</v>
      </c>
      <c r="AJ81" s="1939" t="s">
        <v>1208</v>
      </c>
      <c r="AK81" s="1938">
        <v>0</v>
      </c>
      <c r="AL81" s="1938">
        <v>0</v>
      </c>
      <c r="AM81" s="1936">
        <v>20768</v>
      </c>
      <c r="AN81" s="1939" t="s">
        <v>1208</v>
      </c>
      <c r="AO81" s="1936">
        <v>2600</v>
      </c>
      <c r="AP81" s="1936">
        <v>0</v>
      </c>
      <c r="AQ81" s="1936">
        <v>23368</v>
      </c>
      <c r="AR81" s="1939" t="s">
        <v>1208</v>
      </c>
      <c r="AS81" s="1363" t="s">
        <v>1208</v>
      </c>
      <c r="AT81" s="1363" t="s">
        <v>1208</v>
      </c>
      <c r="AU81" s="1363" t="s">
        <v>1208</v>
      </c>
      <c r="AV81" s="1363" t="s">
        <v>1208</v>
      </c>
      <c r="AW81" s="1363" t="s">
        <v>1291</v>
      </c>
      <c r="AX81" s="1938">
        <v>1</v>
      </c>
      <c r="AY81" s="1938">
        <v>1</v>
      </c>
      <c r="AZ81" s="1938">
        <v>0</v>
      </c>
      <c r="BA81" s="1938">
        <v>1</v>
      </c>
      <c r="BB81" s="1938">
        <v>0</v>
      </c>
      <c r="BC81" s="1938">
        <v>0</v>
      </c>
      <c r="BD81" s="1938">
        <v>1</v>
      </c>
      <c r="BE81" s="1936">
        <v>1</v>
      </c>
      <c r="BF81" s="1936">
        <v>3200000</v>
      </c>
      <c r="BG81" s="1936">
        <v>1000000</v>
      </c>
      <c r="BH81" s="1936">
        <v>4200000</v>
      </c>
      <c r="BI81" s="1938">
        <v>29075658</v>
      </c>
      <c r="BJ81" s="1936">
        <v>3300630</v>
      </c>
      <c r="BK81" s="1936">
        <v>1322271</v>
      </c>
      <c r="BL81" s="1362">
        <v>2.4961827038481523</v>
      </c>
      <c r="BM81" s="1936">
        <v>1</v>
      </c>
      <c r="BN81" s="1936">
        <v>7535169</v>
      </c>
      <c r="BO81" s="1363" t="s">
        <v>1208</v>
      </c>
      <c r="BP81" s="1938">
        <v>7307924</v>
      </c>
      <c r="BQ81" s="1938">
        <v>1799050</v>
      </c>
      <c r="BR81" s="1940">
        <v>4.0621016647675159</v>
      </c>
      <c r="BS81" s="1409">
        <v>1</v>
      </c>
      <c r="BT81" s="1938">
        <v>8811692</v>
      </c>
      <c r="BU81" s="1938">
        <v>28100679</v>
      </c>
      <c r="BV81" s="1940">
        <v>0.31357576804460846</v>
      </c>
      <c r="BW81" s="1936">
        <v>18570.060765491904</v>
      </c>
      <c r="BX81" s="1936">
        <v>8134.2435271731192</v>
      </c>
      <c r="BY81" s="1936">
        <v>10350.697537781303</v>
      </c>
      <c r="BZ81" s="1936">
        <v>1241159</v>
      </c>
      <c r="CA81" s="1936">
        <v>256750</v>
      </c>
      <c r="CB81" s="1936">
        <v>392751</v>
      </c>
      <c r="CC81" s="1936">
        <v>145918</v>
      </c>
      <c r="CD81" s="1936">
        <v>7209717</v>
      </c>
      <c r="CE81" s="1936">
        <v>0</v>
      </c>
      <c r="CF81" s="1936">
        <v>0</v>
      </c>
      <c r="CG81" s="1936">
        <v>1523777</v>
      </c>
      <c r="CH81" s="1936">
        <v>523422</v>
      </c>
      <c r="CI81" s="1936">
        <v>689420</v>
      </c>
      <c r="CJ81" s="1936">
        <v>11982914</v>
      </c>
      <c r="CK81" s="1366">
        <v>0.10357739361227161</v>
      </c>
      <c r="CL81" s="1366">
        <v>2.1426340871677791E-2</v>
      </c>
      <c r="CM81" s="1366">
        <v>3.2775917443787043E-2</v>
      </c>
      <c r="CN81" s="1366">
        <v>1.2177171596157662E-2</v>
      </c>
      <c r="CO81" s="1366">
        <v>0.60166642270819937</v>
      </c>
      <c r="CP81" s="1366">
        <v>0</v>
      </c>
      <c r="CQ81" s="1366">
        <v>0</v>
      </c>
      <c r="CR81" s="1366">
        <v>0.12716247483708887</v>
      </c>
      <c r="CS81" s="1366">
        <v>4.3680694028180457E-2</v>
      </c>
      <c r="CT81" s="1366">
        <v>5.7533584902637207E-2</v>
      </c>
      <c r="CU81" s="1366">
        <v>1</v>
      </c>
      <c r="CV81" s="1936">
        <v>4895563</v>
      </c>
      <c r="CW81" s="1936">
        <v>1146432</v>
      </c>
      <c r="CX81" s="1936">
        <v>291621</v>
      </c>
      <c r="CY81" s="1936">
        <v>4717211</v>
      </c>
      <c r="CZ81" s="1936">
        <v>145240</v>
      </c>
      <c r="DA81" s="1936">
        <v>266097</v>
      </c>
      <c r="DB81" s="1936">
        <v>11462164</v>
      </c>
      <c r="DC81" s="1366">
        <v>0.42710634745760051</v>
      </c>
      <c r="DD81" s="1366">
        <v>0.100018809711674</v>
      </c>
      <c r="DE81" s="1366">
        <v>2.5442054397406981E-2</v>
      </c>
      <c r="DF81" s="1366">
        <v>0.41154628393032938</v>
      </c>
      <c r="DG81" s="1366">
        <v>1.2671254747358352E-2</v>
      </c>
      <c r="DH81" s="1366">
        <v>2.3215249755630787E-2</v>
      </c>
      <c r="DI81" s="1366">
        <v>1</v>
      </c>
      <c r="DJ81" s="1936">
        <v>520750</v>
      </c>
      <c r="DK81" s="1936">
        <v>3058.7765250702628</v>
      </c>
      <c r="DL81" s="1936">
        <v>632.74799829174992</v>
      </c>
      <c r="DM81" s="1936">
        <v>967.91590682408196</v>
      </c>
      <c r="DN81" s="1936">
        <v>359.60787698046954</v>
      </c>
      <c r="DO81" s="1936">
        <v>17768</v>
      </c>
      <c r="DP81" s="1936">
        <v>0</v>
      </c>
      <c r="DQ81" s="1936">
        <v>0</v>
      </c>
      <c r="DR81" s="1936">
        <v>3755.2749623875666</v>
      </c>
      <c r="DS81" s="1936">
        <v>1289.9482872906108</v>
      </c>
      <c r="DT81" s="1936">
        <v>1699.0423563088536</v>
      </c>
      <c r="DU81" s="1936">
        <v>29531.313913153597</v>
      </c>
      <c r="DV81" s="1936">
        <v>12064.87902146506</v>
      </c>
      <c r="DW81" s="1936">
        <v>2825.3263999127844</v>
      </c>
      <c r="DX81" s="1936">
        <v>718.6858968250765</v>
      </c>
      <c r="DY81" s="1936">
        <v>11625.339114974971</v>
      </c>
      <c r="DZ81" s="1936">
        <v>357.9369786636563</v>
      </c>
      <c r="EA81" s="1936">
        <v>655.78322921690267</v>
      </c>
      <c r="EB81" s="1936">
        <v>28247.950641058451</v>
      </c>
      <c r="EC81" s="1936">
        <v>1283.3632720951462</v>
      </c>
      <c r="ED81" s="1941">
        <v>93</v>
      </c>
      <c r="EE81" s="1936">
        <v>0</v>
      </c>
      <c r="EF81" s="1936">
        <v>0</v>
      </c>
      <c r="EG81" s="1938">
        <v>0</v>
      </c>
      <c r="EH81" s="1938">
        <v>1</v>
      </c>
      <c r="EI81" s="1368">
        <v>0.03</v>
      </c>
      <c r="EJ81" s="1936">
        <v>4.363115641021917</v>
      </c>
      <c r="EK81" s="1936">
        <v>1</v>
      </c>
      <c r="EL81" s="1936">
        <v>2600</v>
      </c>
      <c r="EM81" s="1936">
        <v>1</v>
      </c>
      <c r="EN81" s="1362">
        <v>0.2</v>
      </c>
      <c r="EO81" s="1936">
        <v>0</v>
      </c>
      <c r="EP81" s="1936">
        <v>0</v>
      </c>
      <c r="EQ81" s="1936">
        <v>0</v>
      </c>
      <c r="ER81" s="1938">
        <v>0</v>
      </c>
      <c r="ES81" s="1936">
        <v>5045.2232496781771</v>
      </c>
      <c r="ET81" s="1936">
        <v>-3879.3724325101803</v>
      </c>
      <c r="EU81" s="1938">
        <v>1</v>
      </c>
      <c r="EV81" s="1936">
        <v>81697</v>
      </c>
      <c r="EW81" s="1936">
        <v>2374</v>
      </c>
      <c r="EX81" s="1938">
        <v>1</v>
      </c>
      <c r="EY81" s="1936">
        <v>1523777</v>
      </c>
      <c r="EZ81" s="1936">
        <v>953245</v>
      </c>
      <c r="FA81" s="1936">
        <v>570532</v>
      </c>
      <c r="FB81" s="1936">
        <v>523422</v>
      </c>
      <c r="FC81" s="1936">
        <v>193187</v>
      </c>
      <c r="FD81" s="1936">
        <v>330235</v>
      </c>
      <c r="FE81" s="1936">
        <v>2047199</v>
      </c>
      <c r="FF81" s="1936">
        <v>1146432</v>
      </c>
      <c r="FG81" s="1936">
        <v>900767</v>
      </c>
      <c r="FH81" s="1366">
        <v>1</v>
      </c>
      <c r="FI81" s="1366">
        <v>0.62558038348130995</v>
      </c>
      <c r="FJ81" s="1366">
        <v>0.37441961651869005</v>
      </c>
      <c r="FK81" s="1366">
        <v>1</v>
      </c>
      <c r="FL81" s="1366">
        <v>0.36908460095295959</v>
      </c>
      <c r="FM81" s="1366">
        <v>0.63091539904704041</v>
      </c>
      <c r="FN81" s="1366">
        <v>1</v>
      </c>
      <c r="FO81" s="1366">
        <v>0.56000027354448689</v>
      </c>
      <c r="FP81" s="1366">
        <v>0.43999972645551311</v>
      </c>
      <c r="FQ81" s="1936">
        <v>1639559</v>
      </c>
      <c r="FR81" s="1936">
        <v>0</v>
      </c>
      <c r="FS81" s="1936">
        <v>295912</v>
      </c>
      <c r="FT81" s="1936">
        <v>23057</v>
      </c>
      <c r="FU81" s="1936">
        <v>73801</v>
      </c>
      <c r="FV81" s="1936">
        <v>8781</v>
      </c>
      <c r="FW81" s="1936">
        <v>433789</v>
      </c>
      <c r="FX81" s="1936">
        <v>2474899</v>
      </c>
      <c r="FY81" s="1936">
        <v>-1574132</v>
      </c>
      <c r="FZ81" s="1366">
        <v>0.8008791524419463</v>
      </c>
      <c r="GA81" s="1366">
        <v>0</v>
      </c>
      <c r="GB81" s="1366">
        <v>0.14454481464674415</v>
      </c>
      <c r="GC81" s="1366">
        <v>1.1262705775061438E-2</v>
      </c>
      <c r="GD81" s="1366">
        <v>3.6049744064939458E-2</v>
      </c>
      <c r="GE81" s="1366">
        <v>4.2892752487667298E-3</v>
      </c>
      <c r="GF81" s="1366">
        <v>0.21189390967854127</v>
      </c>
      <c r="GG81" s="1366">
        <v>1.2089196018559993</v>
      </c>
      <c r="GH81" s="1366">
        <v>-0.76891987540048623</v>
      </c>
      <c r="GI81" s="1942">
        <v>2.9111825639732376</v>
      </c>
      <c r="GJ81" s="1943">
        <v>1</v>
      </c>
      <c r="GK81" s="1371">
        <v>0.02</v>
      </c>
      <c r="GL81" s="1943">
        <v>1</v>
      </c>
      <c r="GM81" s="1371">
        <v>0.02</v>
      </c>
      <c r="GN81" s="1943">
        <v>18</v>
      </c>
      <c r="GO81" s="1985">
        <f>IF(GN81=0,0,VLOOKUP(A81,'Area (&amp;golfacre for lookup)'!$G$2:$H$133,2,FALSE))</f>
        <v>79</v>
      </c>
      <c r="GP81" s="1943">
        <v>26536</v>
      </c>
      <c r="GQ81" s="1943">
        <v>835114</v>
      </c>
      <c r="GR81" s="1943">
        <v>144694</v>
      </c>
      <c r="GS81" s="1943">
        <v>418257</v>
      </c>
      <c r="GT81" s="1943">
        <v>171537</v>
      </c>
      <c r="GU81" s="1943">
        <v>46421</v>
      </c>
      <c r="GV81" s="1943">
        <v>152237</v>
      </c>
      <c r="GW81" s="1943">
        <v>1768260</v>
      </c>
      <c r="GX81" s="1943">
        <v>98236.666666666672</v>
      </c>
      <c r="GY81" s="1985">
        <v>22383.037974683546</v>
      </c>
      <c r="GZ81" s="1366">
        <v>0.47228009455623043</v>
      </c>
      <c r="HA81" s="1366">
        <v>8.1828464139888923E-2</v>
      </c>
      <c r="HB81" s="1366">
        <v>0.23653591666383902</v>
      </c>
      <c r="HC81" s="1366">
        <v>9.7008924027009599E-2</v>
      </c>
      <c r="HD81" s="1366">
        <v>2.6252361078121997E-2</v>
      </c>
      <c r="HE81" s="1366">
        <v>8.6094239534910022E-2</v>
      </c>
      <c r="HF81" s="1366">
        <v>1</v>
      </c>
      <c r="HG81" s="1936">
        <v>0</v>
      </c>
      <c r="HH81" s="1988">
        <f>IF(HG81=0,0,VLOOKUP(A81,'Area (&amp;golfacre for lookup)'!$G$2:$H$134,2,FALSE))</f>
        <v>0</v>
      </c>
      <c r="HI81" s="1936">
        <v>0</v>
      </c>
      <c r="HJ81" s="1936">
        <v>0</v>
      </c>
      <c r="HK81" s="1936">
        <v>0</v>
      </c>
      <c r="HL81" s="1936">
        <v>0</v>
      </c>
      <c r="HM81" s="1936">
        <v>0</v>
      </c>
      <c r="HN81" s="1936">
        <v>0</v>
      </c>
      <c r="HO81" s="1936">
        <v>0</v>
      </c>
      <c r="HP81" s="1936">
        <v>0</v>
      </c>
      <c r="HQ81" s="1936">
        <v>0</v>
      </c>
      <c r="HR81" s="1988">
        <v>0</v>
      </c>
      <c r="HS81" s="1936">
        <v>0</v>
      </c>
      <c r="HT81" s="1936">
        <v>0</v>
      </c>
      <c r="HU81" s="1936">
        <v>0</v>
      </c>
      <c r="HV81" s="1936">
        <v>0</v>
      </c>
      <c r="HW81" s="1936">
        <v>0</v>
      </c>
      <c r="HX81" s="1936">
        <v>0</v>
      </c>
      <c r="HY81" s="1936">
        <v>0</v>
      </c>
      <c r="HZ81" s="51"/>
      <c r="IA81" s="59">
        <f t="shared" si="766"/>
        <v>0.01</v>
      </c>
      <c r="IB81" s="59"/>
      <c r="IC81" s="815">
        <f t="shared" si="581"/>
        <v>1</v>
      </c>
      <c r="ID81" s="815"/>
      <c r="IE81" s="284">
        <f t="shared" si="582"/>
        <v>0</v>
      </c>
      <c r="IF81" s="284"/>
      <c r="IG81" s="284">
        <f t="shared" si="583"/>
        <v>71655.557540469337</v>
      </c>
      <c r="IH81" s="284"/>
      <c r="II81" s="1288">
        <f t="shared" si="584"/>
        <v>4.0621016647675159</v>
      </c>
      <c r="IJ81" s="1288">
        <f t="shared" si="585"/>
        <v>0</v>
      </c>
      <c r="IK81" s="284">
        <f t="shared" si="586"/>
        <v>0</v>
      </c>
      <c r="IL81" s="284">
        <f t="shared" si="587"/>
        <v>0</v>
      </c>
      <c r="IM81" s="284">
        <f t="shared" si="588"/>
        <v>1</v>
      </c>
      <c r="IN81" s="284">
        <f t="shared" si="589"/>
        <v>0</v>
      </c>
      <c r="IO81" s="753">
        <f t="shared" si="590"/>
        <v>-3135.7211155378486</v>
      </c>
      <c r="IP81" s="113">
        <f t="shared" si="591"/>
        <v>-3879.3724325101803</v>
      </c>
      <c r="IQ81" s="30">
        <f t="shared" si="592"/>
        <v>-0.21833478345960042</v>
      </c>
      <c r="IR81" s="438">
        <f t="shared" si="593"/>
        <v>1523777</v>
      </c>
      <c r="IS81" s="438">
        <f t="shared" si="594"/>
        <v>523422</v>
      </c>
      <c r="IT81" s="438">
        <f t="shared" si="595"/>
        <v>1639559</v>
      </c>
      <c r="IU81" s="438">
        <f t="shared" si="596"/>
        <v>318969</v>
      </c>
      <c r="IV81" s="438">
        <f t="shared" si="597"/>
        <v>1146432</v>
      </c>
      <c r="IW81" s="438">
        <f t="shared" si="598"/>
        <v>516371</v>
      </c>
      <c r="IX81" s="285">
        <f t="shared" si="599"/>
        <v>0.74432285283453148</v>
      </c>
      <c r="IY81" s="285">
        <f t="shared" si="600"/>
        <v>0.25567714716546852</v>
      </c>
      <c r="IZ81" s="285">
        <f t="shared" si="601"/>
        <v>0.8008791524419463</v>
      </c>
      <c r="JA81" s="285">
        <f t="shared" si="602"/>
        <v>0.1558075204218056</v>
      </c>
      <c r="JB81" s="285">
        <f t="shared" si="603"/>
        <v>0.56000027354448689</v>
      </c>
      <c r="JC81" s="285">
        <f t="shared" si="604"/>
        <v>0.25223292899224747</v>
      </c>
      <c r="JD81" s="60">
        <f t="shared" si="605"/>
        <v>7209717</v>
      </c>
      <c r="JE81" s="60">
        <f t="shared" si="606"/>
        <v>2036578</v>
      </c>
      <c r="JF81" s="60">
        <f t="shared" si="607"/>
        <v>0</v>
      </c>
      <c r="JG81" s="60">
        <f t="shared" si="608"/>
        <v>411337</v>
      </c>
      <c r="JH81" s="284">
        <f t="shared" si="609"/>
        <v>1</v>
      </c>
      <c r="JI81" s="284">
        <f t="shared" si="610"/>
        <v>1</v>
      </c>
      <c r="JJ81" s="560">
        <f t="shared" si="611"/>
        <v>0.74250861232689414</v>
      </c>
      <c r="JK81" s="561">
        <f t="shared" si="612"/>
        <v>0.40854528372647919</v>
      </c>
      <c r="JL81" s="561">
        <f t="shared" si="613"/>
        <v>9.5672221297757792E-2</v>
      </c>
      <c r="JM81" s="561">
        <f t="shared" si="614"/>
        <v>2.4336400978927163E-2</v>
      </c>
      <c r="JN81" s="561">
        <f t="shared" si="615"/>
        <v>0.39366142492552314</v>
      </c>
      <c r="JO81" s="561">
        <f t="shared" si="616"/>
        <v>1.212059103486848E-2</v>
      </c>
      <c r="JP81" s="561">
        <f t="shared" si="617"/>
        <v>2.2206368167208744E-2</v>
      </c>
      <c r="JQ81" s="561">
        <f t="shared" si="618"/>
        <v>0.95654229013076464</v>
      </c>
      <c r="JR81" s="61">
        <f t="shared" si="619"/>
        <v>46395.222222222219</v>
      </c>
      <c r="JS81" s="61">
        <f t="shared" si="620"/>
        <v>8038.5555555555557</v>
      </c>
      <c r="JT81" s="61">
        <f t="shared" si="621"/>
        <v>23236.5</v>
      </c>
      <c r="JU81" s="61">
        <f t="shared" si="622"/>
        <v>9529.8333333333339</v>
      </c>
      <c r="JV81" s="61">
        <f t="shared" si="623"/>
        <v>2578.9444444444443</v>
      </c>
      <c r="JW81" s="61">
        <f t="shared" si="624"/>
        <v>8457.6111111111113</v>
      </c>
      <c r="JX81" s="61">
        <f t="shared" si="625"/>
        <v>66.636267711787767</v>
      </c>
      <c r="JY81" s="394">
        <f t="shared" si="626"/>
        <v>0.15426929853734425</v>
      </c>
      <c r="JZ81" s="61">
        <f t="shared" si="627"/>
        <v>0</v>
      </c>
      <c r="KA81" s="61">
        <f t="shared" si="628"/>
        <v>0</v>
      </c>
      <c r="KB81" s="61">
        <f t="shared" si="629"/>
        <v>0</v>
      </c>
      <c r="KC81" s="61">
        <f t="shared" si="630"/>
        <v>0</v>
      </c>
      <c r="KD81" s="61">
        <f t="shared" si="631"/>
        <v>0</v>
      </c>
      <c r="KE81" s="61">
        <f t="shared" si="632"/>
        <v>0</v>
      </c>
      <c r="KF81" s="61">
        <f t="shared" si="633"/>
        <v>0</v>
      </c>
      <c r="KG81" s="61">
        <f t="shared" si="634"/>
        <v>0</v>
      </c>
      <c r="KH81" s="61">
        <f t="shared" si="635"/>
        <v>0</v>
      </c>
      <c r="KI81" s="394">
        <f t="shared" si="636"/>
        <v>0</v>
      </c>
      <c r="KJ81" s="438">
        <f t="shared" si="637"/>
        <v>18</v>
      </c>
      <c r="KK81" s="438">
        <f t="shared" si="638"/>
        <v>26536</v>
      </c>
      <c r="KL81" s="438">
        <f t="shared" si="639"/>
        <v>79</v>
      </c>
      <c r="KM81" s="438">
        <f t="shared" si="640"/>
        <v>98236.666666666672</v>
      </c>
      <c r="KN81" s="438">
        <f t="shared" si="641"/>
        <v>66.636267711787767</v>
      </c>
      <c r="KO81" s="438">
        <f t="shared" si="642"/>
        <v>22383.037974683546</v>
      </c>
      <c r="KP81" s="438">
        <f t="shared" si="643"/>
        <v>835114</v>
      </c>
      <c r="KQ81" s="438">
        <f t="shared" si="644"/>
        <v>144694</v>
      </c>
      <c r="KR81" s="438">
        <f t="shared" si="645"/>
        <v>418257</v>
      </c>
      <c r="KS81" s="438">
        <f t="shared" si="646"/>
        <v>171537</v>
      </c>
      <c r="KT81" s="438">
        <f t="shared" si="647"/>
        <v>46421</v>
      </c>
      <c r="KU81" s="438">
        <f t="shared" si="648"/>
        <v>152237</v>
      </c>
      <c r="KV81" s="420">
        <f t="shared" si="649"/>
        <v>0.15426929853734425</v>
      </c>
      <c r="KW81" s="420">
        <f t="shared" si="650"/>
        <v>-0.22414513634862507</v>
      </c>
      <c r="KX81" s="108"/>
      <c r="KY81" s="282">
        <f t="shared" si="651"/>
        <v>0</v>
      </c>
      <c r="KZ81" s="282"/>
      <c r="LA81" s="282">
        <f t="shared" si="652"/>
        <v>0</v>
      </c>
      <c r="LB81" s="282"/>
      <c r="LC81" s="286">
        <f t="shared" si="653"/>
        <v>0</v>
      </c>
      <c r="LD81" s="286"/>
      <c r="LE81" s="282">
        <f t="shared" si="654"/>
        <v>0</v>
      </c>
      <c r="LF81" s="282"/>
      <c r="LG81" s="282">
        <f t="shared" si="655"/>
        <v>0</v>
      </c>
      <c r="LH81" s="282">
        <f t="shared" si="656"/>
        <v>0</v>
      </c>
      <c r="LI81" s="282">
        <f t="shared" si="657"/>
        <v>0</v>
      </c>
      <c r="LJ81" s="282">
        <f t="shared" si="658"/>
        <v>0</v>
      </c>
      <c r="LK81" s="282"/>
      <c r="LL81" s="282">
        <f t="shared" si="659"/>
        <v>0</v>
      </c>
      <c r="LM81" s="282">
        <f t="shared" si="660"/>
        <v>0</v>
      </c>
      <c r="LN81" s="282">
        <f t="shared" si="661"/>
        <v>0</v>
      </c>
      <c r="LO81" s="282">
        <f t="shared" si="662"/>
        <v>0</v>
      </c>
      <c r="LP81" s="286">
        <f t="shared" si="663"/>
        <v>0</v>
      </c>
      <c r="LQ81" s="282">
        <f t="shared" si="664"/>
        <v>0</v>
      </c>
      <c r="LR81" s="282">
        <f t="shared" si="665"/>
        <v>0</v>
      </c>
      <c r="LS81" s="282">
        <f t="shared" si="666"/>
        <v>0</v>
      </c>
      <c r="LT81" s="286">
        <f t="shared" si="667"/>
        <v>0</v>
      </c>
      <c r="LU81" s="286">
        <f t="shared" si="668"/>
        <v>0</v>
      </c>
      <c r="LV81" s="286">
        <f t="shared" si="669"/>
        <v>0</v>
      </c>
      <c r="LW81" s="286">
        <f t="shared" si="670"/>
        <v>0</v>
      </c>
      <c r="LX81" s="286">
        <f t="shared" si="671"/>
        <v>0</v>
      </c>
      <c r="LY81" s="286">
        <f t="shared" si="672"/>
        <v>0</v>
      </c>
      <c r="LZ81" s="286">
        <f t="shared" si="673"/>
        <v>0</v>
      </c>
      <c r="MA81" s="286">
        <f t="shared" si="674"/>
        <v>0</v>
      </c>
      <c r="MB81" s="286">
        <f t="shared" si="675"/>
        <v>0</v>
      </c>
      <c r="MC81" s="286">
        <f t="shared" si="676"/>
        <v>0</v>
      </c>
      <c r="MD81" s="286">
        <f t="shared" si="677"/>
        <v>0</v>
      </c>
      <c r="ME81" s="286">
        <f t="shared" si="678"/>
        <v>0</v>
      </c>
      <c r="MF81" s="286">
        <f t="shared" si="679"/>
        <v>0</v>
      </c>
      <c r="MG81" s="286">
        <f t="shared" si="680"/>
        <v>0</v>
      </c>
      <c r="MH81" s="286">
        <f t="shared" si="681"/>
        <v>0</v>
      </c>
      <c r="MI81" s="286">
        <f t="shared" si="682"/>
        <v>0</v>
      </c>
      <c r="MJ81" s="286">
        <f t="shared" si="683"/>
        <v>0</v>
      </c>
      <c r="MK81" s="286">
        <f t="shared" si="684"/>
        <v>0</v>
      </c>
      <c r="ML81" s="282">
        <f t="shared" si="685"/>
        <v>0</v>
      </c>
      <c r="MM81" s="1232">
        <f t="shared" si="686"/>
        <v>0</v>
      </c>
      <c r="MN81" s="1232">
        <f t="shared" si="687"/>
        <v>0</v>
      </c>
      <c r="MO81" s="1232">
        <f t="shared" si="688"/>
        <v>0</v>
      </c>
      <c r="MP81" s="1232">
        <f t="shared" si="689"/>
        <v>0</v>
      </c>
      <c r="MQ81" s="282">
        <f t="shared" si="690"/>
        <v>0</v>
      </c>
      <c r="MR81" s="282">
        <f t="shared" si="691"/>
        <v>0</v>
      </c>
      <c r="MS81" s="282">
        <f t="shared" si="692"/>
        <v>0</v>
      </c>
      <c r="MT81" s="282">
        <f t="shared" si="693"/>
        <v>0</v>
      </c>
      <c r="MU81" s="282">
        <f t="shared" si="694"/>
        <v>0</v>
      </c>
      <c r="MV81" s="282">
        <f t="shared" si="695"/>
        <v>0</v>
      </c>
      <c r="MW81" s="282">
        <f t="shared" si="696"/>
        <v>0</v>
      </c>
      <c r="MX81" s="282">
        <f t="shared" si="697"/>
        <v>0</v>
      </c>
      <c r="MY81" s="282">
        <f t="shared" si="698"/>
        <v>0</v>
      </c>
      <c r="MZ81" s="282">
        <f t="shared" si="699"/>
        <v>0</v>
      </c>
      <c r="NA81" s="282">
        <f t="shared" si="700"/>
        <v>0</v>
      </c>
      <c r="NB81" s="282">
        <f t="shared" si="701"/>
        <v>0</v>
      </c>
      <c r="NC81" s="282">
        <f t="shared" si="702"/>
        <v>0</v>
      </c>
      <c r="ND81" s="282">
        <f t="shared" si="703"/>
        <v>0</v>
      </c>
      <c r="NE81" s="282">
        <f t="shared" si="704"/>
        <v>0</v>
      </c>
      <c r="NF81" s="282">
        <f t="shared" si="705"/>
        <v>0</v>
      </c>
      <c r="NG81" s="282">
        <f t="shared" si="706"/>
        <v>0</v>
      </c>
      <c r="NH81" s="282">
        <f t="shared" si="707"/>
        <v>0</v>
      </c>
      <c r="NI81" s="282">
        <f t="shared" si="708"/>
        <v>0</v>
      </c>
      <c r="NJ81" s="282">
        <f t="shared" si="709"/>
        <v>0</v>
      </c>
      <c r="NK81" s="282">
        <f t="shared" si="710"/>
        <v>0</v>
      </c>
      <c r="NL81" s="282">
        <f t="shared" si="711"/>
        <v>0</v>
      </c>
      <c r="NM81" s="1205">
        <f t="shared" si="712"/>
        <v>0</v>
      </c>
      <c r="NN81" s="282">
        <f t="shared" si="713"/>
        <v>0</v>
      </c>
      <c r="NO81" s="282">
        <f t="shared" si="714"/>
        <v>0</v>
      </c>
      <c r="NP81" s="282">
        <f t="shared" si="715"/>
        <v>0</v>
      </c>
      <c r="NQ81" s="282">
        <f t="shared" si="716"/>
        <v>0</v>
      </c>
      <c r="NR81" s="282">
        <f t="shared" si="717"/>
        <v>0</v>
      </c>
      <c r="NS81" s="282">
        <f t="shared" si="718"/>
        <v>0</v>
      </c>
      <c r="NT81" s="282">
        <f t="shared" si="719"/>
        <v>0</v>
      </c>
      <c r="NU81" s="282">
        <f t="shared" si="720"/>
        <v>0</v>
      </c>
      <c r="NV81" s="286">
        <f t="shared" si="721"/>
        <v>0</v>
      </c>
      <c r="NW81" s="286">
        <f t="shared" si="722"/>
        <v>0</v>
      </c>
      <c r="NX81" s="286">
        <f t="shared" si="723"/>
        <v>0</v>
      </c>
      <c r="NY81" s="286">
        <f t="shared" si="724"/>
        <v>0</v>
      </c>
      <c r="NZ81" s="286">
        <f t="shared" si="725"/>
        <v>0</v>
      </c>
      <c r="OA81" s="286">
        <f t="shared" si="726"/>
        <v>0</v>
      </c>
      <c r="OB81" s="286">
        <f t="shared" si="727"/>
        <v>0</v>
      </c>
      <c r="OC81" s="286">
        <f t="shared" si="728"/>
        <v>0</v>
      </c>
      <c r="OD81" s="286">
        <f t="shared" si="729"/>
        <v>0</v>
      </c>
      <c r="OE81" s="282">
        <f t="shared" si="730"/>
        <v>0</v>
      </c>
      <c r="OF81" s="282">
        <f t="shared" si="731"/>
        <v>0</v>
      </c>
      <c r="OG81" s="286">
        <f t="shared" si="732"/>
        <v>0</v>
      </c>
      <c r="OH81" s="286">
        <f t="shared" si="733"/>
        <v>0</v>
      </c>
      <c r="OI81" s="286">
        <f t="shared" si="734"/>
        <v>0</v>
      </c>
      <c r="OJ81" s="286">
        <f t="shared" si="735"/>
        <v>0</v>
      </c>
      <c r="OK81" s="286">
        <f t="shared" si="736"/>
        <v>0</v>
      </c>
      <c r="OL81" s="286">
        <f t="shared" si="737"/>
        <v>0</v>
      </c>
      <c r="OM81" s="286">
        <f t="shared" si="738"/>
        <v>0</v>
      </c>
      <c r="ON81" s="286">
        <f t="shared" si="739"/>
        <v>0</v>
      </c>
      <c r="OO81" s="286">
        <f t="shared" si="740"/>
        <v>0</v>
      </c>
      <c r="OP81" s="434">
        <f t="shared" si="741"/>
        <v>0</v>
      </c>
      <c r="OQ81" s="434">
        <f t="shared" si="742"/>
        <v>0</v>
      </c>
      <c r="OR81" s="282">
        <f t="shared" si="743"/>
        <v>0</v>
      </c>
      <c r="OS81" s="282">
        <f t="shared" si="744"/>
        <v>0</v>
      </c>
      <c r="OT81" s="282">
        <f t="shared" si="745"/>
        <v>0</v>
      </c>
      <c r="OU81" s="282">
        <f t="shared" si="746"/>
        <v>0</v>
      </c>
      <c r="OV81" s="282">
        <f t="shared" si="747"/>
        <v>0</v>
      </c>
      <c r="OW81" s="286">
        <f t="shared" si="748"/>
        <v>0</v>
      </c>
      <c r="OX81" s="286">
        <f t="shared" si="749"/>
        <v>0</v>
      </c>
      <c r="OY81" s="286">
        <f t="shared" si="750"/>
        <v>0</v>
      </c>
      <c r="OZ81" s="286">
        <f t="shared" si="751"/>
        <v>0</v>
      </c>
      <c r="PA81" s="286">
        <f t="shared" si="752"/>
        <v>0</v>
      </c>
      <c r="PB81" s="286">
        <f t="shared" si="753"/>
        <v>0</v>
      </c>
      <c r="PC81" s="286">
        <f t="shared" si="754"/>
        <v>0</v>
      </c>
      <c r="PD81" s="282">
        <f t="shared" si="755"/>
        <v>0</v>
      </c>
      <c r="PE81" s="282">
        <f t="shared" si="756"/>
        <v>0</v>
      </c>
      <c r="PF81" s="286">
        <f t="shared" si="757"/>
        <v>0</v>
      </c>
      <c r="PG81" s="286">
        <f t="shared" si="758"/>
        <v>0</v>
      </c>
      <c r="PH81" s="286">
        <f t="shared" si="759"/>
        <v>0</v>
      </c>
      <c r="PI81" s="286">
        <f t="shared" si="760"/>
        <v>0</v>
      </c>
      <c r="PJ81" s="286">
        <f t="shared" si="761"/>
        <v>0</v>
      </c>
      <c r="PK81" s="286">
        <f t="shared" si="762"/>
        <v>0</v>
      </c>
      <c r="PL81" s="286">
        <f t="shared" si="763"/>
        <v>0</v>
      </c>
      <c r="PM81" s="562">
        <v>25</v>
      </c>
      <c r="PO81" s="571"/>
    </row>
    <row r="82" spans="1:431" s="289" customFormat="1" ht="15.75" customHeight="1">
      <c r="A82" s="1050" t="s">
        <v>1326</v>
      </c>
      <c r="B82" s="1040" t="str">
        <f>VLOOKUP(A82,'Area (&amp;golfacre for lookup)'!$A$2:$B$162,2,FALSE)</f>
        <v>BOCA</v>
      </c>
      <c r="C82" s="1936"/>
      <c r="D82" s="1937">
        <v>44926</v>
      </c>
      <c r="E82" s="402"/>
      <c r="F82" s="1936">
        <v>1</v>
      </c>
      <c r="G82" s="1936">
        <v>1</v>
      </c>
      <c r="H82" s="1936">
        <v>325</v>
      </c>
      <c r="I82" s="1936">
        <v>64</v>
      </c>
      <c r="J82" s="1936">
        <v>389</v>
      </c>
      <c r="K82" s="1938">
        <v>398.82488839285713</v>
      </c>
      <c r="L82" s="1939" t="s">
        <v>1208</v>
      </c>
      <c r="M82" s="1939" t="s">
        <v>1208</v>
      </c>
      <c r="N82" s="1939" t="s">
        <v>1208</v>
      </c>
      <c r="O82" s="1939" t="s">
        <v>1208</v>
      </c>
      <c r="P82" s="1939" t="s">
        <v>1208</v>
      </c>
      <c r="Q82" s="1936">
        <v>0</v>
      </c>
      <c r="R82" s="1936">
        <v>150000</v>
      </c>
      <c r="S82" s="1936">
        <v>150000</v>
      </c>
      <c r="T82" s="1939" t="s">
        <v>1208</v>
      </c>
      <c r="U82" s="1939" t="s">
        <v>1208</v>
      </c>
      <c r="V82" s="1939" t="s">
        <v>1208</v>
      </c>
      <c r="W82" s="1936">
        <v>33120</v>
      </c>
      <c r="X82" s="1936">
        <v>26880</v>
      </c>
      <c r="Y82" s="1939" t="s">
        <v>1208</v>
      </c>
      <c r="Z82" s="1939" t="s">
        <v>1208</v>
      </c>
      <c r="AA82" s="1936">
        <v>6240</v>
      </c>
      <c r="AB82" s="1362">
        <v>0.23214285714285715</v>
      </c>
      <c r="AC82" s="1939" t="s">
        <v>1208</v>
      </c>
      <c r="AD82" s="1363" t="s">
        <v>1208</v>
      </c>
      <c r="AE82" s="1936">
        <v>0</v>
      </c>
      <c r="AF82" s="1936">
        <v>0</v>
      </c>
      <c r="AG82" s="1939" t="s">
        <v>1208</v>
      </c>
      <c r="AH82" s="1936">
        <v>1</v>
      </c>
      <c r="AI82" s="1936">
        <v>3338</v>
      </c>
      <c r="AJ82" s="1939" t="s">
        <v>1208</v>
      </c>
      <c r="AK82" s="1938">
        <v>1</v>
      </c>
      <c r="AL82" s="1938">
        <v>4920</v>
      </c>
      <c r="AM82" s="1936">
        <v>35138</v>
      </c>
      <c r="AN82" s="1939" t="s">
        <v>1208</v>
      </c>
      <c r="AO82" s="1936">
        <v>0</v>
      </c>
      <c r="AP82" s="1936">
        <v>0</v>
      </c>
      <c r="AQ82" s="1936">
        <v>35138</v>
      </c>
      <c r="AR82" s="1939" t="s">
        <v>1208</v>
      </c>
      <c r="AS82" s="1363" t="s">
        <v>1208</v>
      </c>
      <c r="AT82" s="1363" t="s">
        <v>1208</v>
      </c>
      <c r="AU82" s="1363" t="s">
        <v>1208</v>
      </c>
      <c r="AV82" s="1363" t="s">
        <v>1208</v>
      </c>
      <c r="AW82" s="1363" t="s">
        <v>1291</v>
      </c>
      <c r="AX82" s="1938">
        <v>1</v>
      </c>
      <c r="AY82" s="1938">
        <v>1</v>
      </c>
      <c r="AZ82" s="1938">
        <v>0</v>
      </c>
      <c r="BA82" s="1938">
        <v>0</v>
      </c>
      <c r="BB82" s="1938">
        <v>0</v>
      </c>
      <c r="BC82" s="1938">
        <v>0</v>
      </c>
      <c r="BD82" s="1938">
        <v>0</v>
      </c>
      <c r="BE82" s="1936">
        <v>1</v>
      </c>
      <c r="BF82" s="1936">
        <v>13500000</v>
      </c>
      <c r="BG82" s="1936">
        <v>750000</v>
      </c>
      <c r="BH82" s="1936">
        <v>14250000</v>
      </c>
      <c r="BI82" s="1938">
        <v>16772334</v>
      </c>
      <c r="BJ82" s="1936">
        <v>3589461</v>
      </c>
      <c r="BK82" s="1936">
        <v>1631733</v>
      </c>
      <c r="BL82" s="1362">
        <v>2.1997845235709517</v>
      </c>
      <c r="BM82" s="1936">
        <v>1</v>
      </c>
      <c r="BN82" s="1936">
        <v>6006719</v>
      </c>
      <c r="BO82" s="1363" t="s">
        <v>1208</v>
      </c>
      <c r="BP82" s="1938">
        <v>2571763</v>
      </c>
      <c r="BQ82" s="1938">
        <v>3449084</v>
      </c>
      <c r="BR82" s="1940">
        <v>0.74563652262455771</v>
      </c>
      <c r="BS82" s="1409">
        <v>0</v>
      </c>
      <c r="BT82" s="1938">
        <v>8640919</v>
      </c>
      <c r="BU82" s="1938">
        <v>15850719</v>
      </c>
      <c r="BV82" s="1940">
        <v>0.54514366193735442</v>
      </c>
      <c r="BW82" s="1936">
        <v>15061.043517633136</v>
      </c>
      <c r="BX82" s="1936">
        <v>9000.0927837388354</v>
      </c>
      <c r="BY82" s="1936">
        <v>35729.966746616949</v>
      </c>
      <c r="BZ82" s="1936">
        <v>105287</v>
      </c>
      <c r="CA82" s="1936">
        <v>0</v>
      </c>
      <c r="CB82" s="1936">
        <v>410974</v>
      </c>
      <c r="CC82" s="1936">
        <v>43150</v>
      </c>
      <c r="CD82" s="1936">
        <v>10720413</v>
      </c>
      <c r="CE82" s="1936">
        <v>1318099</v>
      </c>
      <c r="CF82" s="1936">
        <v>0</v>
      </c>
      <c r="CG82" s="1936">
        <v>1689601</v>
      </c>
      <c r="CH82" s="1936">
        <v>320835</v>
      </c>
      <c r="CI82" s="1936">
        <v>81827</v>
      </c>
      <c r="CJ82" s="1936">
        <v>14690186</v>
      </c>
      <c r="CK82" s="1366">
        <v>7.1671658888457918E-3</v>
      </c>
      <c r="CL82" s="1366">
        <v>0</v>
      </c>
      <c r="CM82" s="1366">
        <v>2.7976092338109267E-2</v>
      </c>
      <c r="CN82" s="1366">
        <v>2.937335170568977E-3</v>
      </c>
      <c r="CO82" s="1366">
        <v>0.72976700226940627</v>
      </c>
      <c r="CP82" s="1366">
        <v>8.9726501761107719E-2</v>
      </c>
      <c r="CQ82" s="1366">
        <v>0</v>
      </c>
      <c r="CR82" s="1366">
        <v>0.11501563016288562</v>
      </c>
      <c r="CS82" s="1366">
        <v>2.1840091064878279E-2</v>
      </c>
      <c r="CT82" s="1366">
        <v>5.5701813441980923E-3</v>
      </c>
      <c r="CU82" s="1366">
        <v>1</v>
      </c>
      <c r="CV82" s="1936">
        <v>8170317</v>
      </c>
      <c r="CW82" s="1936">
        <v>1358069</v>
      </c>
      <c r="CX82" s="1936">
        <v>384305</v>
      </c>
      <c r="CY82" s="1936">
        <v>4124986</v>
      </c>
      <c r="CZ82" s="1936">
        <v>379941</v>
      </c>
      <c r="DA82" s="1936">
        <v>230416</v>
      </c>
      <c r="DB82" s="1936">
        <v>14648034</v>
      </c>
      <c r="DC82" s="1366">
        <v>0.55777567146553597</v>
      </c>
      <c r="DD82" s="1366">
        <v>9.2713397579497703E-2</v>
      </c>
      <c r="DE82" s="1366">
        <v>2.6235944018152879E-2</v>
      </c>
      <c r="DF82" s="1366">
        <v>0.2816068012949724</v>
      </c>
      <c r="DG82" s="1366">
        <v>2.5938020078325869E-2</v>
      </c>
      <c r="DH82" s="1366">
        <v>1.5730165563515214E-2</v>
      </c>
      <c r="DI82" s="1366">
        <v>1</v>
      </c>
      <c r="DJ82" s="1936">
        <v>42152</v>
      </c>
      <c r="DK82" s="1936">
        <v>263.99305325270586</v>
      </c>
      <c r="DL82" s="1936">
        <v>0</v>
      </c>
      <c r="DM82" s="1936">
        <v>1030.4622704367825</v>
      </c>
      <c r="DN82" s="1936">
        <v>108.19284667484359</v>
      </c>
      <c r="DO82" s="1936">
        <v>26880</v>
      </c>
      <c r="DP82" s="1936">
        <v>3304.9567325437929</v>
      </c>
      <c r="DQ82" s="1936">
        <v>0</v>
      </c>
      <c r="DR82" s="1936">
        <v>4236.4482487754904</v>
      </c>
      <c r="DS82" s="1936">
        <v>804.45079867725246</v>
      </c>
      <c r="DT82" s="1936">
        <v>205.17024484038069</v>
      </c>
      <c r="DU82" s="1936">
        <v>36833.674195201253</v>
      </c>
      <c r="DV82" s="1936">
        <v>20485.975769776782</v>
      </c>
      <c r="DW82" s="1936">
        <v>3405.1761550604442</v>
      </c>
      <c r="DX82" s="1936">
        <v>963.59332424972808</v>
      </c>
      <c r="DY82" s="1936">
        <v>10342.850007737576</v>
      </c>
      <c r="DZ82" s="1936">
        <v>952.65117864395711</v>
      </c>
      <c r="EA82" s="1936">
        <v>577.73726441322742</v>
      </c>
      <c r="EB82" s="1936">
        <v>36727.983699881712</v>
      </c>
      <c r="EC82" s="1936">
        <v>105.69049531953667</v>
      </c>
      <c r="ED82" s="1941">
        <v>127</v>
      </c>
      <c r="EE82" s="1936">
        <v>1</v>
      </c>
      <c r="EF82" s="1936">
        <v>16</v>
      </c>
      <c r="EG82" s="1938">
        <v>100000</v>
      </c>
      <c r="EH82" s="1938">
        <v>1</v>
      </c>
      <c r="EI82" s="1368">
        <v>0.08</v>
      </c>
      <c r="EJ82" s="1936">
        <v>3.1403534519122607</v>
      </c>
      <c r="EK82" s="1936">
        <v>0</v>
      </c>
      <c r="EL82" s="1936">
        <v>0</v>
      </c>
      <c r="EM82" s="1936">
        <v>0</v>
      </c>
      <c r="EN82" s="1362">
        <v>0</v>
      </c>
      <c r="EO82" s="1936">
        <v>0</v>
      </c>
      <c r="EP82" s="1936">
        <v>0</v>
      </c>
      <c r="EQ82" s="1936">
        <v>0</v>
      </c>
      <c r="ER82" s="1938">
        <v>1</v>
      </c>
      <c r="ES82" s="1936">
        <v>5040.8990474527427</v>
      </c>
      <c r="ET82" s="1936">
        <v>-6128.1852540569098</v>
      </c>
      <c r="EU82" s="1938">
        <v>1</v>
      </c>
      <c r="EV82" s="1936">
        <v>57930</v>
      </c>
      <c r="EW82" s="1936">
        <v>1720</v>
      </c>
      <c r="EX82" s="1938">
        <v>0</v>
      </c>
      <c r="EY82" s="1936">
        <v>1689601</v>
      </c>
      <c r="EZ82" s="1936">
        <v>1245133</v>
      </c>
      <c r="FA82" s="1936">
        <v>444468</v>
      </c>
      <c r="FB82" s="1936">
        <v>320835</v>
      </c>
      <c r="FC82" s="1936">
        <v>112936</v>
      </c>
      <c r="FD82" s="1936">
        <v>207899</v>
      </c>
      <c r="FE82" s="1936">
        <v>2010436</v>
      </c>
      <c r="FF82" s="1936">
        <v>1358069</v>
      </c>
      <c r="FG82" s="1936">
        <v>652367</v>
      </c>
      <c r="FH82" s="1366">
        <v>1</v>
      </c>
      <c r="FI82" s="1366">
        <v>0.73693907614874754</v>
      </c>
      <c r="FJ82" s="1366">
        <v>0.26306092385125246</v>
      </c>
      <c r="FK82" s="1366">
        <v>1</v>
      </c>
      <c r="FL82" s="1366">
        <v>0.35200648308320476</v>
      </c>
      <c r="FM82" s="1366">
        <v>0.64799351691679519</v>
      </c>
      <c r="FN82" s="1366">
        <v>1</v>
      </c>
      <c r="FO82" s="1366">
        <v>0.67550969043530851</v>
      </c>
      <c r="FP82" s="1366">
        <v>0.32449030956469144</v>
      </c>
      <c r="FQ82" s="1936">
        <v>2151011.7999999998</v>
      </c>
      <c r="FR82" s="1936">
        <v>0</v>
      </c>
      <c r="FS82" s="1936">
        <v>526928</v>
      </c>
      <c r="FT82" s="1936">
        <v>64934</v>
      </c>
      <c r="FU82" s="1936">
        <v>55</v>
      </c>
      <c r="FV82" s="1936">
        <v>18025</v>
      </c>
      <c r="FW82" s="1936">
        <v>335486</v>
      </c>
      <c r="FX82" s="1936">
        <v>3096439.8</v>
      </c>
      <c r="FY82" s="1936">
        <v>-2444072.7999999998</v>
      </c>
      <c r="FZ82" s="1366">
        <v>1.0699230415690923</v>
      </c>
      <c r="GA82" s="1366">
        <v>0</v>
      </c>
      <c r="GB82" s="1366">
        <v>0.26209638108350625</v>
      </c>
      <c r="GC82" s="1366">
        <v>3.2298466601274549E-2</v>
      </c>
      <c r="GD82" s="1366">
        <v>2.7357249870177415E-5</v>
      </c>
      <c r="GE82" s="1366">
        <v>8.9657168892717798E-3</v>
      </c>
      <c r="GF82" s="1366">
        <v>0.1668722605444789</v>
      </c>
      <c r="GG82" s="1366">
        <v>1.540183223937494</v>
      </c>
      <c r="GH82" s="1366">
        <v>-1.2156929143728026</v>
      </c>
      <c r="GI82" s="1942">
        <v>5.2662614739663693</v>
      </c>
      <c r="GJ82" s="1943">
        <v>1</v>
      </c>
      <c r="GK82" s="1371">
        <v>0.05</v>
      </c>
      <c r="GL82" s="1943">
        <v>1</v>
      </c>
      <c r="GM82" s="1371">
        <v>0.05</v>
      </c>
      <c r="GN82" s="1943">
        <v>0</v>
      </c>
      <c r="GO82" s="1985">
        <f>IF(GN82=0,0,VLOOKUP(A82,'Area (&amp;golfacre for lookup)'!$G$2:$H$133,2,FALSE))</f>
        <v>0</v>
      </c>
      <c r="GP82" s="1943">
        <v>0</v>
      </c>
      <c r="GQ82" s="1943">
        <v>0</v>
      </c>
      <c r="GR82" s="1943">
        <v>0</v>
      </c>
      <c r="GS82" s="1943">
        <v>0</v>
      </c>
      <c r="GT82" s="1943">
        <v>0</v>
      </c>
      <c r="GU82" s="1943">
        <v>0</v>
      </c>
      <c r="GV82" s="1943">
        <v>0</v>
      </c>
      <c r="GW82" s="1943">
        <v>0</v>
      </c>
      <c r="GX82" s="1936">
        <v>0</v>
      </c>
      <c r="GY82" s="1985">
        <f t="shared" si="764"/>
        <v>0</v>
      </c>
      <c r="GZ82" s="1936">
        <v>0</v>
      </c>
      <c r="HA82" s="1936">
        <v>0</v>
      </c>
      <c r="HB82" s="1936">
        <v>0</v>
      </c>
      <c r="HC82" s="1936">
        <v>0</v>
      </c>
      <c r="HD82" s="1936">
        <v>0</v>
      </c>
      <c r="HE82" s="1936">
        <v>0</v>
      </c>
      <c r="HF82" s="1936">
        <v>0</v>
      </c>
      <c r="HG82" s="1936">
        <v>27</v>
      </c>
      <c r="HH82" s="1988">
        <f>IF(HG82=0,0,VLOOKUP(A82,'Area (&amp;golfacre for lookup)'!$G$2:$H$134,2,FALSE))</f>
        <v>135</v>
      </c>
      <c r="HI82" s="1936">
        <v>38152</v>
      </c>
      <c r="HJ82" s="1936">
        <v>1386207</v>
      </c>
      <c r="HK82" s="1936">
        <v>160409</v>
      </c>
      <c r="HL82" s="1936">
        <v>676206</v>
      </c>
      <c r="HM82" s="1936">
        <v>235602</v>
      </c>
      <c r="HN82" s="1936">
        <v>185150</v>
      </c>
      <c r="HO82" s="1936">
        <v>125549</v>
      </c>
      <c r="HP82" s="1936">
        <v>2769123</v>
      </c>
      <c r="HQ82" s="1936">
        <v>102560.11111111111</v>
      </c>
      <c r="HR82" s="1988">
        <f t="shared" si="765"/>
        <v>20512.022222222222</v>
      </c>
      <c r="HS82" s="1366">
        <v>0.50059423145884097</v>
      </c>
      <c r="HT82" s="1366">
        <v>5.7927726576248145E-2</v>
      </c>
      <c r="HU82" s="1366">
        <v>0.24419500325554336</v>
      </c>
      <c r="HV82" s="1366">
        <v>8.5081811100481991E-2</v>
      </c>
      <c r="HW82" s="1366">
        <v>6.6862324281008828E-2</v>
      </c>
      <c r="HX82" s="1366">
        <v>4.5338903327876733E-2</v>
      </c>
      <c r="HY82" s="1366">
        <v>1</v>
      </c>
      <c r="HZ82" s="51"/>
      <c r="IA82" s="59">
        <f t="shared" si="766"/>
        <v>0</v>
      </c>
      <c r="IB82" s="59"/>
      <c r="IC82" s="815">
        <f t="shared" si="581"/>
        <v>1</v>
      </c>
      <c r="ID82" s="815"/>
      <c r="IE82" s="284">
        <f t="shared" si="582"/>
        <v>0</v>
      </c>
      <c r="IF82" s="284"/>
      <c r="IG82" s="284">
        <f t="shared" si="583"/>
        <v>42054.381479519492</v>
      </c>
      <c r="IH82" s="284"/>
      <c r="II82" s="1288">
        <f t="shared" si="584"/>
        <v>0</v>
      </c>
      <c r="IJ82" s="1288">
        <f t="shared" si="585"/>
        <v>0.74563652262455771</v>
      </c>
      <c r="IK82" s="284">
        <f t="shared" si="586"/>
        <v>1</v>
      </c>
      <c r="IL82" s="284">
        <f t="shared" si="587"/>
        <v>0</v>
      </c>
      <c r="IM82" s="284">
        <f t="shared" si="588"/>
        <v>0</v>
      </c>
      <c r="IN82" s="284">
        <f t="shared" si="589"/>
        <v>0</v>
      </c>
      <c r="IO82" s="753">
        <f t="shared" si="590"/>
        <v>-6282.9634961439588</v>
      </c>
      <c r="IP82" s="113">
        <f t="shared" si="591"/>
        <v>-6128.1852540569098</v>
      </c>
      <c r="IQ82" s="30">
        <f t="shared" si="592"/>
        <v>-0.22798308236818859</v>
      </c>
      <c r="IR82" s="438">
        <f t="shared" si="593"/>
        <v>1689601</v>
      </c>
      <c r="IS82" s="438">
        <f t="shared" si="594"/>
        <v>320835</v>
      </c>
      <c r="IT82" s="438">
        <f t="shared" si="595"/>
        <v>2151011.7999999998</v>
      </c>
      <c r="IU82" s="438">
        <f t="shared" si="596"/>
        <v>591862</v>
      </c>
      <c r="IV82" s="438">
        <f t="shared" si="597"/>
        <v>1358069</v>
      </c>
      <c r="IW82" s="438">
        <f t="shared" si="598"/>
        <v>353566</v>
      </c>
      <c r="IX82" s="285">
        <f t="shared" si="599"/>
        <v>0.84041521341639325</v>
      </c>
      <c r="IY82" s="285">
        <f t="shared" si="600"/>
        <v>0.15958478658360675</v>
      </c>
      <c r="IZ82" s="285">
        <f t="shared" si="601"/>
        <v>1.0699230415690923</v>
      </c>
      <c r="JA82" s="285">
        <f t="shared" si="602"/>
        <v>0.2943948476847808</v>
      </c>
      <c r="JB82" s="285">
        <f t="shared" si="603"/>
        <v>0.67550969043530851</v>
      </c>
      <c r="JC82" s="285">
        <f t="shared" si="604"/>
        <v>0.17586533468362087</v>
      </c>
      <c r="JD82" s="60">
        <f t="shared" si="605"/>
        <v>12038512</v>
      </c>
      <c r="JE82" s="60">
        <f t="shared" si="606"/>
        <v>559411</v>
      </c>
      <c r="JF82" s="60">
        <f t="shared" si="607"/>
        <v>0</v>
      </c>
      <c r="JG82" s="60">
        <f t="shared" si="608"/>
        <v>610357</v>
      </c>
      <c r="JH82" s="284">
        <f t="shared" si="609"/>
        <v>1</v>
      </c>
      <c r="JI82" s="284">
        <f t="shared" si="610"/>
        <v>1</v>
      </c>
      <c r="JJ82" s="560">
        <f t="shared" si="611"/>
        <v>0.93510781703952073</v>
      </c>
      <c r="JK82" s="561">
        <f t="shared" si="612"/>
        <v>0.55617519070214627</v>
      </c>
      <c r="JL82" s="561">
        <f t="shared" si="613"/>
        <v>9.2447365880867674E-2</v>
      </c>
      <c r="JM82" s="561">
        <f t="shared" si="614"/>
        <v>2.6160662635585419E-2</v>
      </c>
      <c r="JN82" s="561">
        <f t="shared" si="615"/>
        <v>0.28079875911714119</v>
      </c>
      <c r="JO82" s="561">
        <f t="shared" si="616"/>
        <v>2.5863593558311651E-2</v>
      </c>
      <c r="JP82" s="561">
        <f t="shared" si="617"/>
        <v>1.5685029447550902E-2</v>
      </c>
      <c r="JQ82" s="561">
        <f t="shared" si="618"/>
        <v>0.99713060134160325</v>
      </c>
      <c r="JR82" s="61">
        <f t="shared" si="619"/>
        <v>0</v>
      </c>
      <c r="JS82" s="61">
        <f t="shared" si="620"/>
        <v>0</v>
      </c>
      <c r="JT82" s="61">
        <f t="shared" si="621"/>
        <v>0</v>
      </c>
      <c r="JU82" s="61">
        <f t="shared" si="622"/>
        <v>0</v>
      </c>
      <c r="JV82" s="61">
        <f t="shared" si="623"/>
        <v>0</v>
      </c>
      <c r="JW82" s="61">
        <f t="shared" si="624"/>
        <v>0</v>
      </c>
      <c r="JX82" s="61">
        <f t="shared" si="625"/>
        <v>0</v>
      </c>
      <c r="JY82" s="394">
        <f t="shared" si="626"/>
        <v>0</v>
      </c>
      <c r="JZ82" s="61">
        <f t="shared" si="627"/>
        <v>51341</v>
      </c>
      <c r="KA82" s="61">
        <f t="shared" si="628"/>
        <v>5941.0740740740739</v>
      </c>
      <c r="KB82" s="61">
        <f t="shared" si="629"/>
        <v>25044.666666666668</v>
      </c>
      <c r="KC82" s="61">
        <f t="shared" si="630"/>
        <v>8726</v>
      </c>
      <c r="KD82" s="61">
        <f t="shared" si="631"/>
        <v>6857.4074074074078</v>
      </c>
      <c r="KE82" s="61">
        <f t="shared" si="632"/>
        <v>4649.9629629629626</v>
      </c>
      <c r="KF82" s="61">
        <f t="shared" si="633"/>
        <v>25400</v>
      </c>
      <c r="KG82" s="61">
        <f t="shared" si="634"/>
        <v>180</v>
      </c>
      <c r="KH82" s="61">
        <f t="shared" si="635"/>
        <v>72.581332564478927</v>
      </c>
      <c r="KI82" s="394">
        <f t="shared" si="636"/>
        <v>0.18904400413052017</v>
      </c>
      <c r="KJ82" s="438">
        <f t="shared" si="637"/>
        <v>27</v>
      </c>
      <c r="KK82" s="438">
        <f t="shared" si="638"/>
        <v>38152</v>
      </c>
      <c r="KL82" s="438">
        <f t="shared" si="639"/>
        <v>135</v>
      </c>
      <c r="KM82" s="438">
        <f t="shared" si="640"/>
        <v>102560.11111111111</v>
      </c>
      <c r="KN82" s="438">
        <f t="shared" si="641"/>
        <v>72.581332564478927</v>
      </c>
      <c r="KO82" s="438">
        <f t="shared" si="642"/>
        <v>20512.022222222222</v>
      </c>
      <c r="KP82" s="438">
        <f t="shared" si="643"/>
        <v>1386207</v>
      </c>
      <c r="KQ82" s="438">
        <f t="shared" si="644"/>
        <v>160409</v>
      </c>
      <c r="KR82" s="438">
        <f t="shared" si="645"/>
        <v>676206</v>
      </c>
      <c r="KS82" s="438">
        <f t="shared" si="646"/>
        <v>235602</v>
      </c>
      <c r="KT82" s="438">
        <f t="shared" si="647"/>
        <v>185150</v>
      </c>
      <c r="KU82" s="438">
        <f t="shared" si="648"/>
        <v>125549</v>
      </c>
      <c r="KV82" s="420">
        <f t="shared" si="649"/>
        <v>0.18904400413052017</v>
      </c>
      <c r="KW82" s="420">
        <f t="shared" si="650"/>
        <v>-0.24659255198470431</v>
      </c>
      <c r="KX82" s="108"/>
      <c r="KY82" s="282">
        <f t="shared" si="651"/>
        <v>0</v>
      </c>
      <c r="KZ82" s="282"/>
      <c r="LA82" s="282">
        <f t="shared" si="652"/>
        <v>0</v>
      </c>
      <c r="LB82" s="282"/>
      <c r="LC82" s="286">
        <f t="shared" si="653"/>
        <v>0</v>
      </c>
      <c r="LD82" s="286"/>
      <c r="LE82" s="282">
        <f t="shared" si="654"/>
        <v>0</v>
      </c>
      <c r="LF82" s="282"/>
      <c r="LG82" s="282">
        <f t="shared" si="655"/>
        <v>0</v>
      </c>
      <c r="LH82" s="282">
        <f t="shared" si="656"/>
        <v>0</v>
      </c>
      <c r="LI82" s="282">
        <f t="shared" si="657"/>
        <v>0</v>
      </c>
      <c r="LJ82" s="282">
        <f t="shared" si="658"/>
        <v>0</v>
      </c>
      <c r="LK82" s="282"/>
      <c r="LL82" s="282">
        <f t="shared" si="659"/>
        <v>0</v>
      </c>
      <c r="LM82" s="282">
        <f t="shared" si="660"/>
        <v>0</v>
      </c>
      <c r="LN82" s="282">
        <f t="shared" si="661"/>
        <v>0</v>
      </c>
      <c r="LO82" s="282">
        <f t="shared" si="662"/>
        <v>0</v>
      </c>
      <c r="LP82" s="286">
        <f t="shared" si="663"/>
        <v>0</v>
      </c>
      <c r="LQ82" s="282">
        <f t="shared" si="664"/>
        <v>0</v>
      </c>
      <c r="LR82" s="282">
        <f t="shared" si="665"/>
        <v>0</v>
      </c>
      <c r="LS82" s="282">
        <f t="shared" si="666"/>
        <v>0</v>
      </c>
      <c r="LT82" s="286">
        <f t="shared" si="667"/>
        <v>0</v>
      </c>
      <c r="LU82" s="286">
        <f t="shared" si="668"/>
        <v>0</v>
      </c>
      <c r="LV82" s="286">
        <f t="shared" si="669"/>
        <v>0</v>
      </c>
      <c r="LW82" s="286">
        <f t="shared" si="670"/>
        <v>0</v>
      </c>
      <c r="LX82" s="286">
        <f t="shared" si="671"/>
        <v>0</v>
      </c>
      <c r="LY82" s="286">
        <f t="shared" si="672"/>
        <v>0</v>
      </c>
      <c r="LZ82" s="286">
        <f t="shared" si="673"/>
        <v>0</v>
      </c>
      <c r="MA82" s="286">
        <f t="shared" si="674"/>
        <v>0</v>
      </c>
      <c r="MB82" s="286">
        <f t="shared" si="675"/>
        <v>0</v>
      </c>
      <c r="MC82" s="286">
        <f t="shared" si="676"/>
        <v>0</v>
      </c>
      <c r="MD82" s="286">
        <f t="shared" si="677"/>
        <v>0</v>
      </c>
      <c r="ME82" s="286">
        <f t="shared" si="678"/>
        <v>0</v>
      </c>
      <c r="MF82" s="286">
        <f t="shared" si="679"/>
        <v>0</v>
      </c>
      <c r="MG82" s="286">
        <f t="shared" si="680"/>
        <v>0</v>
      </c>
      <c r="MH82" s="286">
        <f t="shared" si="681"/>
        <v>0</v>
      </c>
      <c r="MI82" s="286">
        <f t="shared" si="682"/>
        <v>0</v>
      </c>
      <c r="MJ82" s="286">
        <f t="shared" si="683"/>
        <v>0</v>
      </c>
      <c r="MK82" s="286">
        <f t="shared" si="684"/>
        <v>0</v>
      </c>
      <c r="ML82" s="282">
        <f t="shared" si="685"/>
        <v>0</v>
      </c>
      <c r="MM82" s="1232">
        <f t="shared" si="686"/>
        <v>0</v>
      </c>
      <c r="MN82" s="1232">
        <f t="shared" si="687"/>
        <v>0</v>
      </c>
      <c r="MO82" s="1232">
        <f t="shared" si="688"/>
        <v>0</v>
      </c>
      <c r="MP82" s="1232">
        <f t="shared" si="689"/>
        <v>0</v>
      </c>
      <c r="MQ82" s="282">
        <f t="shared" si="690"/>
        <v>0</v>
      </c>
      <c r="MR82" s="282">
        <f t="shared" si="691"/>
        <v>0</v>
      </c>
      <c r="MS82" s="282">
        <f t="shared" si="692"/>
        <v>0</v>
      </c>
      <c r="MT82" s="282">
        <f t="shared" si="693"/>
        <v>0</v>
      </c>
      <c r="MU82" s="282">
        <f t="shared" si="694"/>
        <v>0</v>
      </c>
      <c r="MV82" s="282">
        <f t="shared" si="695"/>
        <v>0</v>
      </c>
      <c r="MW82" s="282">
        <f t="shared" si="696"/>
        <v>0</v>
      </c>
      <c r="MX82" s="282">
        <f t="shared" si="697"/>
        <v>0</v>
      </c>
      <c r="MY82" s="282">
        <f t="shared" si="698"/>
        <v>0</v>
      </c>
      <c r="MZ82" s="282">
        <f t="shared" si="699"/>
        <v>0</v>
      </c>
      <c r="NA82" s="282">
        <f t="shared" si="700"/>
        <v>0</v>
      </c>
      <c r="NB82" s="282">
        <f t="shared" si="701"/>
        <v>0</v>
      </c>
      <c r="NC82" s="282">
        <f t="shared" si="702"/>
        <v>0</v>
      </c>
      <c r="ND82" s="282">
        <f t="shared" si="703"/>
        <v>0</v>
      </c>
      <c r="NE82" s="282">
        <f t="shared" si="704"/>
        <v>0</v>
      </c>
      <c r="NF82" s="282">
        <f t="shared" si="705"/>
        <v>0</v>
      </c>
      <c r="NG82" s="282">
        <f t="shared" si="706"/>
        <v>0</v>
      </c>
      <c r="NH82" s="282">
        <f t="shared" si="707"/>
        <v>0</v>
      </c>
      <c r="NI82" s="282">
        <f t="shared" si="708"/>
        <v>0</v>
      </c>
      <c r="NJ82" s="282">
        <f t="shared" si="709"/>
        <v>0</v>
      </c>
      <c r="NK82" s="282">
        <f t="shared" si="710"/>
        <v>0</v>
      </c>
      <c r="NL82" s="282">
        <f t="shared" si="711"/>
        <v>0</v>
      </c>
      <c r="NM82" s="1205">
        <f t="shared" si="712"/>
        <v>0</v>
      </c>
      <c r="NN82" s="282">
        <f t="shared" si="713"/>
        <v>0</v>
      </c>
      <c r="NO82" s="282">
        <f t="shared" si="714"/>
        <v>0</v>
      </c>
      <c r="NP82" s="282">
        <f t="shared" si="715"/>
        <v>0</v>
      </c>
      <c r="NQ82" s="282">
        <f t="shared" si="716"/>
        <v>0</v>
      </c>
      <c r="NR82" s="282">
        <f t="shared" si="717"/>
        <v>0</v>
      </c>
      <c r="NS82" s="282">
        <f t="shared" si="718"/>
        <v>0</v>
      </c>
      <c r="NT82" s="282">
        <f t="shared" si="719"/>
        <v>0</v>
      </c>
      <c r="NU82" s="282">
        <f t="shared" si="720"/>
        <v>0</v>
      </c>
      <c r="NV82" s="286">
        <f t="shared" si="721"/>
        <v>0</v>
      </c>
      <c r="NW82" s="286">
        <f t="shared" si="722"/>
        <v>0</v>
      </c>
      <c r="NX82" s="286">
        <f t="shared" si="723"/>
        <v>0</v>
      </c>
      <c r="NY82" s="286">
        <f t="shared" si="724"/>
        <v>0</v>
      </c>
      <c r="NZ82" s="286">
        <f t="shared" si="725"/>
        <v>0</v>
      </c>
      <c r="OA82" s="286">
        <f t="shared" si="726"/>
        <v>0</v>
      </c>
      <c r="OB82" s="286">
        <f t="shared" si="727"/>
        <v>0</v>
      </c>
      <c r="OC82" s="286">
        <f t="shared" si="728"/>
        <v>0</v>
      </c>
      <c r="OD82" s="286">
        <f t="shared" si="729"/>
        <v>0</v>
      </c>
      <c r="OE82" s="282">
        <f t="shared" si="730"/>
        <v>0</v>
      </c>
      <c r="OF82" s="282">
        <f t="shared" si="731"/>
        <v>0</v>
      </c>
      <c r="OG82" s="286">
        <f t="shared" si="732"/>
        <v>0</v>
      </c>
      <c r="OH82" s="286">
        <f t="shared" si="733"/>
        <v>0</v>
      </c>
      <c r="OI82" s="286">
        <f t="shared" si="734"/>
        <v>0</v>
      </c>
      <c r="OJ82" s="286">
        <f t="shared" si="735"/>
        <v>0</v>
      </c>
      <c r="OK82" s="286">
        <f t="shared" si="736"/>
        <v>0</v>
      </c>
      <c r="OL82" s="286">
        <f t="shared" si="737"/>
        <v>0</v>
      </c>
      <c r="OM82" s="286">
        <f t="shared" si="738"/>
        <v>0</v>
      </c>
      <c r="ON82" s="286">
        <f t="shared" si="739"/>
        <v>0</v>
      </c>
      <c r="OO82" s="286">
        <f t="shared" si="740"/>
        <v>0</v>
      </c>
      <c r="OP82" s="434">
        <f t="shared" si="741"/>
        <v>0</v>
      </c>
      <c r="OQ82" s="434">
        <f t="shared" si="742"/>
        <v>0</v>
      </c>
      <c r="OR82" s="282">
        <f t="shared" si="743"/>
        <v>0</v>
      </c>
      <c r="OS82" s="282">
        <f t="shared" si="744"/>
        <v>0</v>
      </c>
      <c r="OT82" s="282">
        <f t="shared" si="745"/>
        <v>0</v>
      </c>
      <c r="OU82" s="282">
        <f t="shared" si="746"/>
        <v>0</v>
      </c>
      <c r="OV82" s="282">
        <f t="shared" si="747"/>
        <v>0</v>
      </c>
      <c r="OW82" s="286">
        <f t="shared" si="748"/>
        <v>0</v>
      </c>
      <c r="OX82" s="286">
        <f t="shared" si="749"/>
        <v>0</v>
      </c>
      <c r="OY82" s="286">
        <f t="shared" si="750"/>
        <v>0</v>
      </c>
      <c r="OZ82" s="286">
        <f t="shared" si="751"/>
        <v>0</v>
      </c>
      <c r="PA82" s="286">
        <f t="shared" si="752"/>
        <v>0</v>
      </c>
      <c r="PB82" s="286">
        <f t="shared" si="753"/>
        <v>0</v>
      </c>
      <c r="PC82" s="286">
        <f t="shared" si="754"/>
        <v>0</v>
      </c>
      <c r="PD82" s="282">
        <f t="shared" si="755"/>
        <v>0</v>
      </c>
      <c r="PE82" s="282">
        <f t="shared" si="756"/>
        <v>0</v>
      </c>
      <c r="PF82" s="286">
        <f t="shared" si="757"/>
        <v>0</v>
      </c>
      <c r="PG82" s="286">
        <f t="shared" si="758"/>
        <v>0</v>
      </c>
      <c r="PH82" s="286">
        <f t="shared" si="759"/>
        <v>0</v>
      </c>
      <c r="PI82" s="286">
        <f t="shared" si="760"/>
        <v>0</v>
      </c>
      <c r="PJ82" s="286">
        <f t="shared" si="761"/>
        <v>0</v>
      </c>
      <c r="PK82" s="286">
        <f t="shared" si="762"/>
        <v>0</v>
      </c>
      <c r="PL82" s="286">
        <f t="shared" si="763"/>
        <v>0</v>
      </c>
      <c r="PM82" s="562">
        <v>26</v>
      </c>
    </row>
    <row r="83" spans="1:431" s="289" customFormat="1" ht="15.75" customHeight="1">
      <c r="A83" s="1040" t="s">
        <v>523</v>
      </c>
      <c r="B83" s="1040" t="str">
        <f>VLOOKUP(A83,'Area (&amp;golfacre for lookup)'!$A$2:$B$162,2,FALSE)</f>
        <v>Yacht &amp; Beach</v>
      </c>
      <c r="C83" s="1936"/>
      <c r="D83" s="1937">
        <v>44926</v>
      </c>
      <c r="E83" s="402"/>
      <c r="F83" s="1936">
        <v>1</v>
      </c>
      <c r="G83" s="1936">
        <v>0</v>
      </c>
      <c r="H83" s="1936">
        <v>472</v>
      </c>
      <c r="I83" s="1936">
        <v>158</v>
      </c>
      <c r="J83" s="1936">
        <v>630</v>
      </c>
      <c r="K83" s="1938">
        <v>571.16052824651501</v>
      </c>
      <c r="L83" s="1939" t="s">
        <v>1208</v>
      </c>
      <c r="M83" s="1939" t="s">
        <v>1208</v>
      </c>
      <c r="N83" s="1939" t="s">
        <v>1208</v>
      </c>
      <c r="O83" s="1939" t="s">
        <v>1208</v>
      </c>
      <c r="P83" s="1939" t="s">
        <v>1208</v>
      </c>
      <c r="Q83" s="1936">
        <v>0</v>
      </c>
      <c r="R83" s="1936">
        <v>45000</v>
      </c>
      <c r="S83" s="1936">
        <v>45000</v>
      </c>
      <c r="T83" s="1939" t="s">
        <v>1208</v>
      </c>
      <c r="U83" s="1939" t="s">
        <v>1208</v>
      </c>
      <c r="V83" s="1939" t="s">
        <v>1208</v>
      </c>
      <c r="W83" s="1936">
        <v>7380</v>
      </c>
      <c r="X83" s="1936">
        <v>6815</v>
      </c>
      <c r="Y83" s="1939" t="s">
        <v>1208</v>
      </c>
      <c r="Z83" s="1939" t="s">
        <v>1208</v>
      </c>
      <c r="AA83" s="1936">
        <v>565</v>
      </c>
      <c r="AB83" s="1362">
        <v>8.2905355832721933E-2</v>
      </c>
      <c r="AC83" s="1939" t="s">
        <v>1208</v>
      </c>
      <c r="AD83" s="1363" t="s">
        <v>1208</v>
      </c>
      <c r="AE83" s="1936">
        <v>1</v>
      </c>
      <c r="AF83" s="1936">
        <v>650</v>
      </c>
      <c r="AG83" s="1939" t="s">
        <v>1208</v>
      </c>
      <c r="AH83" s="1936">
        <v>0</v>
      </c>
      <c r="AI83" s="1936">
        <v>0</v>
      </c>
      <c r="AJ83" s="1939" t="s">
        <v>1208</v>
      </c>
      <c r="AK83" s="1938">
        <v>0</v>
      </c>
      <c r="AL83" s="1938">
        <v>0</v>
      </c>
      <c r="AM83" s="1936">
        <v>7465</v>
      </c>
      <c r="AN83" s="1939" t="s">
        <v>1208</v>
      </c>
      <c r="AO83" s="1936">
        <v>0</v>
      </c>
      <c r="AP83" s="1936">
        <v>0</v>
      </c>
      <c r="AQ83" s="1936">
        <v>7465</v>
      </c>
      <c r="AR83" s="1939" t="s">
        <v>1208</v>
      </c>
      <c r="AS83" s="1363" t="s">
        <v>1208</v>
      </c>
      <c r="AT83" s="1363" t="s">
        <v>1208</v>
      </c>
      <c r="AU83" s="1363" t="s">
        <v>1208</v>
      </c>
      <c r="AV83" s="1363" t="s">
        <v>1208</v>
      </c>
      <c r="AW83" s="1363" t="s">
        <v>1291</v>
      </c>
      <c r="AX83" s="1938">
        <v>1</v>
      </c>
      <c r="AY83" s="1938">
        <v>1</v>
      </c>
      <c r="AZ83" s="1938">
        <v>0</v>
      </c>
      <c r="BA83" s="1938">
        <v>0</v>
      </c>
      <c r="BB83" s="1938">
        <v>0</v>
      </c>
      <c r="BC83" s="1938">
        <v>0</v>
      </c>
      <c r="BD83" s="1938">
        <v>0</v>
      </c>
      <c r="BE83" s="1936">
        <v>0</v>
      </c>
      <c r="BF83" s="1936">
        <v>0</v>
      </c>
      <c r="BG83" s="1936">
        <v>300000</v>
      </c>
      <c r="BH83" s="1936">
        <v>300000</v>
      </c>
      <c r="BI83" s="1938">
        <v>14386856</v>
      </c>
      <c r="BJ83" s="1936">
        <v>5927321</v>
      </c>
      <c r="BK83" s="1936">
        <v>334195</v>
      </c>
      <c r="BL83" s="1362">
        <v>17.736115142357008</v>
      </c>
      <c r="BM83" s="1936">
        <v>1</v>
      </c>
      <c r="BN83" s="1936">
        <v>8704982</v>
      </c>
      <c r="BO83" s="1363" t="s">
        <v>1208</v>
      </c>
      <c r="BP83" s="1938">
        <v>5704513</v>
      </c>
      <c r="BQ83" s="1938">
        <v>6797707</v>
      </c>
      <c r="BR83" s="1940">
        <v>0.83918194767735654</v>
      </c>
      <c r="BS83" s="1409">
        <v>0</v>
      </c>
      <c r="BT83" s="1938">
        <v>15096756</v>
      </c>
      <c r="BU83" s="1938">
        <v>7621792</v>
      </c>
      <c r="BV83" s="1940">
        <v>1.9807357639778151</v>
      </c>
      <c r="BW83" s="1936">
        <v>15240.867618644153</v>
      </c>
      <c r="BX83" s="1936">
        <v>10377.679665990059</v>
      </c>
      <c r="BY83" s="1936">
        <v>525.24638024446756</v>
      </c>
      <c r="BZ83" s="1936">
        <v>0</v>
      </c>
      <c r="CA83" s="1936">
        <v>0</v>
      </c>
      <c r="CB83" s="1936">
        <v>0</v>
      </c>
      <c r="CC83" s="1936">
        <v>48920</v>
      </c>
      <c r="CD83" s="1936">
        <v>3892459</v>
      </c>
      <c r="CE83" s="1936">
        <v>0</v>
      </c>
      <c r="CF83" s="1936">
        <v>0</v>
      </c>
      <c r="CG83" s="1936">
        <v>809785</v>
      </c>
      <c r="CH83" s="1936">
        <v>445546</v>
      </c>
      <c r="CI83" s="1936">
        <v>228849</v>
      </c>
      <c r="CJ83" s="1936">
        <v>5425559</v>
      </c>
      <c r="CK83" s="1366">
        <v>0</v>
      </c>
      <c r="CL83" s="1366">
        <v>0</v>
      </c>
      <c r="CM83" s="1366">
        <v>0</v>
      </c>
      <c r="CN83" s="1366">
        <v>9.0165824387864919E-3</v>
      </c>
      <c r="CO83" s="1366">
        <v>0.71743003808455497</v>
      </c>
      <c r="CP83" s="1366">
        <v>0</v>
      </c>
      <c r="CQ83" s="1366">
        <v>0</v>
      </c>
      <c r="CR83" s="1366">
        <v>0.14925374509797054</v>
      </c>
      <c r="CS83" s="1366">
        <v>8.2119833182166119E-2</v>
      </c>
      <c r="CT83" s="1366">
        <v>4.2179801196521871E-2</v>
      </c>
      <c r="CU83" s="1366">
        <v>1</v>
      </c>
      <c r="CV83" s="1936">
        <v>2715559</v>
      </c>
      <c r="CW83" s="1936">
        <v>549381</v>
      </c>
      <c r="CX83" s="1936">
        <v>0</v>
      </c>
      <c r="CY83" s="1936">
        <v>1639067</v>
      </c>
      <c r="CZ83" s="1936">
        <v>110004</v>
      </c>
      <c r="DA83" s="1936">
        <v>210898</v>
      </c>
      <c r="DB83" s="1936">
        <v>5224909</v>
      </c>
      <c r="DC83" s="1366">
        <v>0.51973326234007133</v>
      </c>
      <c r="DD83" s="1366">
        <v>0.10514652025518531</v>
      </c>
      <c r="DE83" s="1366">
        <v>0</v>
      </c>
      <c r="DF83" s="1366">
        <v>0.31370249701956532</v>
      </c>
      <c r="DG83" s="1366">
        <v>2.1053763807178268E-2</v>
      </c>
      <c r="DH83" s="1366">
        <v>4.0363956577999731E-2</v>
      </c>
      <c r="DI83" s="1366">
        <v>1</v>
      </c>
      <c r="DJ83" s="1936">
        <v>200650</v>
      </c>
      <c r="DK83" s="1936">
        <v>0</v>
      </c>
      <c r="DL83" s="1936">
        <v>0</v>
      </c>
      <c r="DM83" s="1936">
        <v>0</v>
      </c>
      <c r="DN83" s="1936">
        <v>85.650176405197854</v>
      </c>
      <c r="DO83" s="1936">
        <v>6815</v>
      </c>
      <c r="DP83" s="1936">
        <v>0</v>
      </c>
      <c r="DQ83" s="1936">
        <v>0</v>
      </c>
      <c r="DR83" s="1936">
        <v>1417.7888000875539</v>
      </c>
      <c r="DS83" s="1936">
        <v>780.07141244133857</v>
      </c>
      <c r="DT83" s="1936">
        <v>400.67369624188723</v>
      </c>
      <c r="DU83" s="1936">
        <v>9499.1840851759771</v>
      </c>
      <c r="DV83" s="1936">
        <v>4754.4584503009537</v>
      </c>
      <c r="DW83" s="1936">
        <v>961.86793875028616</v>
      </c>
      <c r="DX83" s="1936">
        <v>0</v>
      </c>
      <c r="DY83" s="1936">
        <v>2869.713362427196</v>
      </c>
      <c r="DZ83" s="1936">
        <v>192.59734270804137</v>
      </c>
      <c r="EA83" s="1936">
        <v>369.24470366932576</v>
      </c>
      <c r="EB83" s="1936">
        <v>9147.8817978558036</v>
      </c>
      <c r="EC83" s="1936">
        <v>351.30228732017474</v>
      </c>
      <c r="ED83" s="1941">
        <v>43</v>
      </c>
      <c r="EE83" s="1936">
        <v>1</v>
      </c>
      <c r="EF83" s="1936">
        <v>10</v>
      </c>
      <c r="EG83" s="1938">
        <v>96000</v>
      </c>
      <c r="EH83" s="1938">
        <v>1</v>
      </c>
      <c r="EI83" s="1368">
        <v>0.31</v>
      </c>
      <c r="EJ83" s="1936">
        <v>13.282802982477094</v>
      </c>
      <c r="EK83" s="1936">
        <v>0</v>
      </c>
      <c r="EL83" s="1936">
        <v>0</v>
      </c>
      <c r="EM83" s="1936">
        <v>0</v>
      </c>
      <c r="EN83" s="1362">
        <v>0</v>
      </c>
      <c r="EO83" s="1936">
        <v>0</v>
      </c>
      <c r="EP83" s="1936">
        <v>0</v>
      </c>
      <c r="EQ83" s="1936">
        <v>0</v>
      </c>
      <c r="ER83" s="1938">
        <v>1</v>
      </c>
      <c r="ES83" s="1936">
        <v>2197.8602125288926</v>
      </c>
      <c r="ET83" s="1936">
        <v>-1464.6337739202907</v>
      </c>
      <c r="EU83" s="1938">
        <v>2</v>
      </c>
      <c r="EV83" s="1936">
        <v>16641</v>
      </c>
      <c r="EW83" s="1936">
        <v>740</v>
      </c>
      <c r="EX83" s="1938">
        <v>0</v>
      </c>
      <c r="EY83" s="1936">
        <v>809785</v>
      </c>
      <c r="EZ83" s="1936">
        <v>416562</v>
      </c>
      <c r="FA83" s="1936">
        <v>393223</v>
      </c>
      <c r="FB83" s="1936">
        <v>445546</v>
      </c>
      <c r="FC83" s="1936">
        <v>132819</v>
      </c>
      <c r="FD83" s="1936">
        <v>312727</v>
      </c>
      <c r="FE83" s="1936">
        <v>1255331</v>
      </c>
      <c r="FF83" s="1936">
        <v>549381</v>
      </c>
      <c r="FG83" s="1936">
        <v>705950</v>
      </c>
      <c r="FH83" s="1366">
        <v>1</v>
      </c>
      <c r="FI83" s="1366">
        <v>0.51441061516328412</v>
      </c>
      <c r="FJ83" s="1366">
        <v>0.48558938483671593</v>
      </c>
      <c r="FK83" s="1366">
        <v>1</v>
      </c>
      <c r="FL83" s="1366">
        <v>0.29810389948512611</v>
      </c>
      <c r="FM83" s="1366">
        <v>0.70189610051487383</v>
      </c>
      <c r="FN83" s="1366">
        <v>1</v>
      </c>
      <c r="FO83" s="1366">
        <v>0.43763835992260208</v>
      </c>
      <c r="FP83" s="1366">
        <v>0.56236164007739786</v>
      </c>
      <c r="FQ83" s="1936">
        <v>1138747</v>
      </c>
      <c r="FR83" s="1936">
        <v>0</v>
      </c>
      <c r="FS83" s="1936">
        <v>174266</v>
      </c>
      <c r="FT83" s="1936">
        <v>23150</v>
      </c>
      <c r="FU83" s="1936">
        <v>9819</v>
      </c>
      <c r="FV83" s="1936">
        <v>0</v>
      </c>
      <c r="FW83" s="1936">
        <v>196509</v>
      </c>
      <c r="FX83" s="1936">
        <v>1542491</v>
      </c>
      <c r="FY83" s="1936">
        <v>-836541</v>
      </c>
      <c r="FZ83" s="1366">
        <v>0.90712887676636678</v>
      </c>
      <c r="GA83" s="1366">
        <v>0</v>
      </c>
      <c r="GB83" s="1366">
        <v>0.13882075723454612</v>
      </c>
      <c r="GC83" s="1366">
        <v>1.8441351324869695E-2</v>
      </c>
      <c r="GD83" s="1366">
        <v>7.8218414107514272E-3</v>
      </c>
      <c r="GE83" s="1366">
        <v>0</v>
      </c>
      <c r="GF83" s="1366">
        <v>0.15653958995675243</v>
      </c>
      <c r="GG83" s="1366">
        <v>1.2287524166932864</v>
      </c>
      <c r="GH83" s="1366">
        <v>-0.66639077661588852</v>
      </c>
      <c r="GI83" s="1942">
        <v>1.817511547629201</v>
      </c>
      <c r="GJ83" s="1943">
        <v>0</v>
      </c>
      <c r="GK83" s="1371">
        <v>0</v>
      </c>
      <c r="GL83" s="1943">
        <v>0</v>
      </c>
      <c r="GM83" s="1371">
        <v>0</v>
      </c>
      <c r="GN83" s="1943">
        <v>0</v>
      </c>
      <c r="GO83" s="1985">
        <f>IF(GN83=0,0,VLOOKUP(A83,'Area (&amp;golfacre for lookup)'!$G$2:$H$133,2,FALSE))</f>
        <v>0</v>
      </c>
      <c r="GP83" s="1943">
        <v>0</v>
      </c>
      <c r="GQ83" s="1943">
        <v>0</v>
      </c>
      <c r="GR83" s="1943">
        <v>0</v>
      </c>
      <c r="GS83" s="1943">
        <v>0</v>
      </c>
      <c r="GT83" s="1943">
        <v>0</v>
      </c>
      <c r="GU83" s="1943">
        <v>0</v>
      </c>
      <c r="GV83" s="1943">
        <v>0</v>
      </c>
      <c r="GW83" s="1943">
        <v>0</v>
      </c>
      <c r="GX83" s="1936">
        <v>0</v>
      </c>
      <c r="GY83" s="1985">
        <f t="shared" si="764"/>
        <v>0</v>
      </c>
      <c r="GZ83" s="1936">
        <v>0</v>
      </c>
      <c r="HA83" s="1936">
        <v>0</v>
      </c>
      <c r="HB83" s="1936">
        <v>0</v>
      </c>
      <c r="HC83" s="1936">
        <v>0</v>
      </c>
      <c r="HD83" s="1936">
        <v>0</v>
      </c>
      <c r="HE83" s="1936">
        <v>0</v>
      </c>
      <c r="HF83" s="1936">
        <v>0</v>
      </c>
      <c r="HG83" s="1936">
        <v>0</v>
      </c>
      <c r="HH83" s="1988">
        <f>IF(HG83=0,0,VLOOKUP(A83,'Area (&amp;golfacre for lookup)'!$G$2:$H$134,2,FALSE))</f>
        <v>0</v>
      </c>
      <c r="HI83" s="1936">
        <v>0</v>
      </c>
      <c r="HJ83" s="1936">
        <v>0</v>
      </c>
      <c r="HK83" s="1936">
        <v>0</v>
      </c>
      <c r="HL83" s="1936">
        <v>0</v>
      </c>
      <c r="HM83" s="1936">
        <v>0</v>
      </c>
      <c r="HN83" s="1936">
        <v>0</v>
      </c>
      <c r="HO83" s="1936">
        <v>0</v>
      </c>
      <c r="HP83" s="1936">
        <v>0</v>
      </c>
      <c r="HQ83" s="1936">
        <v>0</v>
      </c>
      <c r="HR83" s="1988">
        <f t="shared" si="765"/>
        <v>0</v>
      </c>
      <c r="HS83" s="1936">
        <v>0</v>
      </c>
      <c r="HT83" s="1936">
        <v>0</v>
      </c>
      <c r="HU83" s="1936">
        <v>0</v>
      </c>
      <c r="HV83" s="1936">
        <v>0</v>
      </c>
      <c r="HW83" s="1936">
        <v>0</v>
      </c>
      <c r="HX83" s="1936">
        <v>0</v>
      </c>
      <c r="HY83" s="1936">
        <v>0</v>
      </c>
      <c r="HZ83" s="51"/>
      <c r="IA83" s="59">
        <f t="shared" si="766"/>
        <v>0</v>
      </c>
      <c r="IB83" s="59"/>
      <c r="IC83" s="815">
        <f t="shared" si="581"/>
        <v>1</v>
      </c>
      <c r="ID83" s="815"/>
      <c r="IE83" s="284">
        <f t="shared" si="582"/>
        <v>0</v>
      </c>
      <c r="IF83" s="284"/>
      <c r="IG83" s="284">
        <f t="shared" si="583"/>
        <v>25188.813456994667</v>
      </c>
      <c r="IH83" s="284"/>
      <c r="II83" s="1288">
        <f t="shared" si="584"/>
        <v>0</v>
      </c>
      <c r="IJ83" s="1288">
        <f t="shared" si="585"/>
        <v>0.83918194767735654</v>
      </c>
      <c r="IK83" s="284">
        <f t="shared" si="586"/>
        <v>1</v>
      </c>
      <c r="IL83" s="284">
        <f t="shared" si="587"/>
        <v>0</v>
      </c>
      <c r="IM83" s="284">
        <f t="shared" si="588"/>
        <v>0</v>
      </c>
      <c r="IN83" s="284">
        <f t="shared" si="589"/>
        <v>0</v>
      </c>
      <c r="IO83" s="753">
        <f t="shared" si="590"/>
        <v>-1327.8428571428572</v>
      </c>
      <c r="IP83" s="113">
        <f t="shared" si="591"/>
        <v>-1464.6337739202907</v>
      </c>
      <c r="IQ83" s="30">
        <f t="shared" si="592"/>
        <v>-0.21491324635660902</v>
      </c>
      <c r="IR83" s="438">
        <f t="shared" si="593"/>
        <v>809785</v>
      </c>
      <c r="IS83" s="438">
        <f t="shared" si="594"/>
        <v>445546</v>
      </c>
      <c r="IT83" s="438">
        <f t="shared" si="595"/>
        <v>1138747</v>
      </c>
      <c r="IU83" s="438">
        <f t="shared" si="596"/>
        <v>197416</v>
      </c>
      <c r="IV83" s="438">
        <f t="shared" si="597"/>
        <v>549381</v>
      </c>
      <c r="IW83" s="438">
        <f t="shared" si="598"/>
        <v>206328</v>
      </c>
      <c r="IX83" s="285">
        <f t="shared" si="599"/>
        <v>0.64507687613864395</v>
      </c>
      <c r="IY83" s="285">
        <f t="shared" si="600"/>
        <v>0.3549231238613561</v>
      </c>
      <c r="IZ83" s="285">
        <f t="shared" si="601"/>
        <v>0.90712887676636678</v>
      </c>
      <c r="JA83" s="285">
        <f t="shared" si="602"/>
        <v>0.1572621085594158</v>
      </c>
      <c r="JB83" s="285">
        <f t="shared" si="603"/>
        <v>0.43763835992260208</v>
      </c>
      <c r="JC83" s="285">
        <f t="shared" si="604"/>
        <v>0.16436143136750386</v>
      </c>
      <c r="JD83" s="60">
        <f t="shared" si="605"/>
        <v>3892459</v>
      </c>
      <c r="JE83" s="60">
        <f t="shared" si="606"/>
        <v>48920</v>
      </c>
      <c r="JF83" s="60">
        <f t="shared" si="607"/>
        <v>0</v>
      </c>
      <c r="JG83" s="60">
        <f t="shared" si="608"/>
        <v>320902</v>
      </c>
      <c r="JH83" s="284">
        <f t="shared" si="609"/>
        <v>1</v>
      </c>
      <c r="JI83" s="284" t="str">
        <f t="shared" si="610"/>
        <v/>
      </c>
      <c r="JJ83" s="560">
        <f t="shared" si="611"/>
        <v>0</v>
      </c>
      <c r="JK83" s="561">
        <f t="shared" si="612"/>
        <v>0.50051229744253078</v>
      </c>
      <c r="JL83" s="561">
        <f t="shared" si="613"/>
        <v>0.1012579533279428</v>
      </c>
      <c r="JM83" s="561">
        <f t="shared" si="614"/>
        <v>0</v>
      </c>
      <c r="JN83" s="561">
        <f t="shared" si="615"/>
        <v>0.30210103696227431</v>
      </c>
      <c r="JO83" s="561">
        <f t="shared" si="616"/>
        <v>2.027514584211507E-2</v>
      </c>
      <c r="JP83" s="561">
        <f t="shared" si="617"/>
        <v>3.8871202027293411E-2</v>
      </c>
      <c r="JQ83" s="561">
        <f t="shared" si="618"/>
        <v>0.96301763560215647</v>
      </c>
      <c r="JR83" s="61">
        <f t="shared" si="619"/>
        <v>0</v>
      </c>
      <c r="JS83" s="61">
        <f t="shared" si="620"/>
        <v>0</v>
      </c>
      <c r="JT83" s="61">
        <f t="shared" si="621"/>
        <v>0</v>
      </c>
      <c r="JU83" s="61">
        <f t="shared" si="622"/>
        <v>0</v>
      </c>
      <c r="JV83" s="61">
        <f t="shared" si="623"/>
        <v>0</v>
      </c>
      <c r="JW83" s="61">
        <f t="shared" si="624"/>
        <v>0</v>
      </c>
      <c r="JX83" s="61">
        <f t="shared" si="625"/>
        <v>0</v>
      </c>
      <c r="JY83" s="394">
        <f t="shared" si="626"/>
        <v>0</v>
      </c>
      <c r="JZ83" s="61">
        <f t="shared" si="627"/>
        <v>0</v>
      </c>
      <c r="KA83" s="61">
        <f t="shared" si="628"/>
        <v>0</v>
      </c>
      <c r="KB83" s="61">
        <f t="shared" si="629"/>
        <v>0</v>
      </c>
      <c r="KC83" s="61">
        <f t="shared" si="630"/>
        <v>0</v>
      </c>
      <c r="KD83" s="61">
        <f t="shared" si="631"/>
        <v>0</v>
      </c>
      <c r="KE83" s="61">
        <f t="shared" si="632"/>
        <v>0</v>
      </c>
      <c r="KF83" s="61">
        <f t="shared" si="633"/>
        <v>0</v>
      </c>
      <c r="KG83" s="61">
        <f t="shared" si="634"/>
        <v>0</v>
      </c>
      <c r="KH83" s="61">
        <f t="shared" si="635"/>
        <v>0</v>
      </c>
      <c r="KI83" s="394">
        <f t="shared" si="636"/>
        <v>0</v>
      </c>
      <c r="KJ83" s="438">
        <f t="shared" si="637"/>
        <v>0</v>
      </c>
      <c r="KK83" s="438">
        <f t="shared" si="638"/>
        <v>0</v>
      </c>
      <c r="KL83" s="438">
        <f t="shared" si="639"/>
        <v>0</v>
      </c>
      <c r="KM83" s="438">
        <f t="shared" si="640"/>
        <v>0</v>
      </c>
      <c r="KN83" s="438">
        <f t="shared" si="641"/>
        <v>0</v>
      </c>
      <c r="KO83" s="438">
        <f t="shared" si="642"/>
        <v>0</v>
      </c>
      <c r="KP83" s="438">
        <f t="shared" si="643"/>
        <v>0</v>
      </c>
      <c r="KQ83" s="438">
        <f t="shared" si="644"/>
        <v>0</v>
      </c>
      <c r="KR83" s="438">
        <f t="shared" si="645"/>
        <v>0</v>
      </c>
      <c r="KS83" s="438">
        <f t="shared" si="646"/>
        <v>0</v>
      </c>
      <c r="KT83" s="438">
        <f t="shared" si="647"/>
        <v>0</v>
      </c>
      <c r="KU83" s="438">
        <f t="shared" si="648"/>
        <v>0</v>
      </c>
      <c r="KV83" s="420">
        <f t="shared" si="649"/>
        <v>0</v>
      </c>
      <c r="KW83" s="420">
        <f t="shared" si="650"/>
        <v>0</v>
      </c>
      <c r="KX83" s="108"/>
      <c r="KY83" s="282">
        <f t="shared" si="651"/>
        <v>0</v>
      </c>
      <c r="KZ83" s="282"/>
      <c r="LA83" s="282">
        <f t="shared" si="652"/>
        <v>0</v>
      </c>
      <c r="LB83" s="282"/>
      <c r="LC83" s="286">
        <f t="shared" si="653"/>
        <v>0</v>
      </c>
      <c r="LD83" s="286"/>
      <c r="LE83" s="282">
        <f t="shared" si="654"/>
        <v>0</v>
      </c>
      <c r="LF83" s="282"/>
      <c r="LG83" s="282">
        <f t="shared" si="655"/>
        <v>0</v>
      </c>
      <c r="LH83" s="282">
        <f t="shared" si="656"/>
        <v>0</v>
      </c>
      <c r="LI83" s="282">
        <f t="shared" si="657"/>
        <v>0</v>
      </c>
      <c r="LJ83" s="282">
        <f t="shared" si="658"/>
        <v>0</v>
      </c>
      <c r="LK83" s="282"/>
      <c r="LL83" s="282">
        <f t="shared" si="659"/>
        <v>0</v>
      </c>
      <c r="LM83" s="282">
        <f t="shared" si="660"/>
        <v>0</v>
      </c>
      <c r="LN83" s="282">
        <f t="shared" si="661"/>
        <v>0</v>
      </c>
      <c r="LO83" s="282">
        <f t="shared" si="662"/>
        <v>0</v>
      </c>
      <c r="LP83" s="286">
        <f t="shared" si="663"/>
        <v>0</v>
      </c>
      <c r="LQ83" s="282">
        <f t="shared" si="664"/>
        <v>0</v>
      </c>
      <c r="LR83" s="282">
        <f t="shared" si="665"/>
        <v>0</v>
      </c>
      <c r="LS83" s="282">
        <f t="shared" si="666"/>
        <v>0</v>
      </c>
      <c r="LT83" s="286">
        <f t="shared" si="667"/>
        <v>0</v>
      </c>
      <c r="LU83" s="286">
        <f t="shared" si="668"/>
        <v>0</v>
      </c>
      <c r="LV83" s="286">
        <f t="shared" si="669"/>
        <v>0</v>
      </c>
      <c r="LW83" s="286">
        <f t="shared" si="670"/>
        <v>0</v>
      </c>
      <c r="LX83" s="286">
        <f t="shared" si="671"/>
        <v>0</v>
      </c>
      <c r="LY83" s="286">
        <f t="shared" si="672"/>
        <v>0</v>
      </c>
      <c r="LZ83" s="286">
        <f t="shared" si="673"/>
        <v>0</v>
      </c>
      <c r="MA83" s="286">
        <f t="shared" si="674"/>
        <v>0</v>
      </c>
      <c r="MB83" s="286">
        <f t="shared" si="675"/>
        <v>0</v>
      </c>
      <c r="MC83" s="286">
        <f t="shared" si="676"/>
        <v>0</v>
      </c>
      <c r="MD83" s="286">
        <f t="shared" si="677"/>
        <v>0</v>
      </c>
      <c r="ME83" s="286">
        <f t="shared" si="678"/>
        <v>0</v>
      </c>
      <c r="MF83" s="286">
        <f t="shared" si="679"/>
        <v>0</v>
      </c>
      <c r="MG83" s="286">
        <f t="shared" si="680"/>
        <v>0</v>
      </c>
      <c r="MH83" s="286">
        <f t="shared" si="681"/>
        <v>0</v>
      </c>
      <c r="MI83" s="286">
        <f t="shared" si="682"/>
        <v>0</v>
      </c>
      <c r="MJ83" s="286">
        <f t="shared" si="683"/>
        <v>0</v>
      </c>
      <c r="MK83" s="286">
        <f t="shared" si="684"/>
        <v>0</v>
      </c>
      <c r="ML83" s="282">
        <f t="shared" si="685"/>
        <v>0</v>
      </c>
      <c r="MM83" s="1232">
        <f t="shared" si="686"/>
        <v>0</v>
      </c>
      <c r="MN83" s="1232">
        <f t="shared" si="687"/>
        <v>0</v>
      </c>
      <c r="MO83" s="1232">
        <f t="shared" si="688"/>
        <v>0</v>
      </c>
      <c r="MP83" s="1232">
        <f t="shared" si="689"/>
        <v>0</v>
      </c>
      <c r="MQ83" s="282">
        <f t="shared" si="690"/>
        <v>0</v>
      </c>
      <c r="MR83" s="282">
        <f t="shared" si="691"/>
        <v>0</v>
      </c>
      <c r="MS83" s="282">
        <f t="shared" si="692"/>
        <v>0</v>
      </c>
      <c r="MT83" s="282">
        <f t="shared" si="693"/>
        <v>0</v>
      </c>
      <c r="MU83" s="282">
        <f t="shared" si="694"/>
        <v>0</v>
      </c>
      <c r="MV83" s="282">
        <f t="shared" si="695"/>
        <v>0</v>
      </c>
      <c r="MW83" s="282">
        <f t="shared" si="696"/>
        <v>0</v>
      </c>
      <c r="MX83" s="282">
        <f t="shared" si="697"/>
        <v>0</v>
      </c>
      <c r="MY83" s="282">
        <f t="shared" si="698"/>
        <v>0</v>
      </c>
      <c r="MZ83" s="282">
        <f t="shared" si="699"/>
        <v>0</v>
      </c>
      <c r="NA83" s="282">
        <f t="shared" si="700"/>
        <v>0</v>
      </c>
      <c r="NB83" s="282">
        <f t="shared" si="701"/>
        <v>0</v>
      </c>
      <c r="NC83" s="282">
        <f t="shared" si="702"/>
        <v>0</v>
      </c>
      <c r="ND83" s="282">
        <f t="shared" si="703"/>
        <v>0</v>
      </c>
      <c r="NE83" s="282">
        <f t="shared" si="704"/>
        <v>0</v>
      </c>
      <c r="NF83" s="282">
        <f t="shared" si="705"/>
        <v>0</v>
      </c>
      <c r="NG83" s="282">
        <f t="shared" si="706"/>
        <v>0</v>
      </c>
      <c r="NH83" s="282">
        <f t="shared" si="707"/>
        <v>0</v>
      </c>
      <c r="NI83" s="282">
        <f t="shared" si="708"/>
        <v>0</v>
      </c>
      <c r="NJ83" s="282">
        <f t="shared" si="709"/>
        <v>0</v>
      </c>
      <c r="NK83" s="282">
        <f t="shared" si="710"/>
        <v>0</v>
      </c>
      <c r="NL83" s="282">
        <f t="shared" si="711"/>
        <v>0</v>
      </c>
      <c r="NM83" s="1205">
        <f t="shared" si="712"/>
        <v>0</v>
      </c>
      <c r="NN83" s="282">
        <f t="shared" si="713"/>
        <v>0</v>
      </c>
      <c r="NO83" s="282">
        <f t="shared" si="714"/>
        <v>0</v>
      </c>
      <c r="NP83" s="282">
        <f t="shared" si="715"/>
        <v>0</v>
      </c>
      <c r="NQ83" s="282">
        <f t="shared" si="716"/>
        <v>0</v>
      </c>
      <c r="NR83" s="282">
        <f t="shared" si="717"/>
        <v>0</v>
      </c>
      <c r="NS83" s="282">
        <f t="shared" si="718"/>
        <v>0</v>
      </c>
      <c r="NT83" s="282">
        <f t="shared" si="719"/>
        <v>0</v>
      </c>
      <c r="NU83" s="282">
        <f t="shared" si="720"/>
        <v>0</v>
      </c>
      <c r="NV83" s="286">
        <f t="shared" si="721"/>
        <v>0</v>
      </c>
      <c r="NW83" s="286">
        <f t="shared" si="722"/>
        <v>0</v>
      </c>
      <c r="NX83" s="286">
        <f t="shared" si="723"/>
        <v>0</v>
      </c>
      <c r="NY83" s="286">
        <f t="shared" si="724"/>
        <v>0</v>
      </c>
      <c r="NZ83" s="286">
        <f t="shared" si="725"/>
        <v>0</v>
      </c>
      <c r="OA83" s="286">
        <f t="shared" si="726"/>
        <v>0</v>
      </c>
      <c r="OB83" s="286">
        <f t="shared" si="727"/>
        <v>0</v>
      </c>
      <c r="OC83" s="286">
        <f t="shared" si="728"/>
        <v>0</v>
      </c>
      <c r="OD83" s="286">
        <f t="shared" si="729"/>
        <v>0</v>
      </c>
      <c r="OE83" s="282">
        <f t="shared" si="730"/>
        <v>0</v>
      </c>
      <c r="OF83" s="282">
        <f t="shared" si="731"/>
        <v>0</v>
      </c>
      <c r="OG83" s="286">
        <f t="shared" si="732"/>
        <v>0</v>
      </c>
      <c r="OH83" s="286">
        <f t="shared" si="733"/>
        <v>0</v>
      </c>
      <c r="OI83" s="286">
        <f t="shared" si="734"/>
        <v>0</v>
      </c>
      <c r="OJ83" s="286">
        <f t="shared" si="735"/>
        <v>0</v>
      </c>
      <c r="OK83" s="286">
        <f t="shared" si="736"/>
        <v>0</v>
      </c>
      <c r="OL83" s="286">
        <f t="shared" si="737"/>
        <v>0</v>
      </c>
      <c r="OM83" s="286">
        <f t="shared" si="738"/>
        <v>0</v>
      </c>
      <c r="ON83" s="286">
        <f t="shared" si="739"/>
        <v>0</v>
      </c>
      <c r="OO83" s="286">
        <f t="shared" si="740"/>
        <v>0</v>
      </c>
      <c r="OP83" s="434">
        <f t="shared" si="741"/>
        <v>0</v>
      </c>
      <c r="OQ83" s="434">
        <f t="shared" si="742"/>
        <v>0</v>
      </c>
      <c r="OR83" s="282">
        <f t="shared" si="743"/>
        <v>0</v>
      </c>
      <c r="OS83" s="282">
        <f t="shared" si="744"/>
        <v>0</v>
      </c>
      <c r="OT83" s="282">
        <f t="shared" si="745"/>
        <v>0</v>
      </c>
      <c r="OU83" s="282">
        <f t="shared" si="746"/>
        <v>0</v>
      </c>
      <c r="OV83" s="282">
        <f t="shared" si="747"/>
        <v>0</v>
      </c>
      <c r="OW83" s="286">
        <f t="shared" si="748"/>
        <v>0</v>
      </c>
      <c r="OX83" s="286">
        <f t="shared" si="749"/>
        <v>0</v>
      </c>
      <c r="OY83" s="286">
        <f t="shared" si="750"/>
        <v>0</v>
      </c>
      <c r="OZ83" s="286">
        <f t="shared" si="751"/>
        <v>0</v>
      </c>
      <c r="PA83" s="286">
        <f t="shared" si="752"/>
        <v>0</v>
      </c>
      <c r="PB83" s="286">
        <f t="shared" si="753"/>
        <v>0</v>
      </c>
      <c r="PC83" s="286">
        <f t="shared" si="754"/>
        <v>0</v>
      </c>
      <c r="PD83" s="282">
        <f t="shared" si="755"/>
        <v>0</v>
      </c>
      <c r="PE83" s="282">
        <f t="shared" si="756"/>
        <v>0</v>
      </c>
      <c r="PF83" s="286">
        <f t="shared" si="757"/>
        <v>0</v>
      </c>
      <c r="PG83" s="286">
        <f t="shared" si="758"/>
        <v>0</v>
      </c>
      <c r="PH83" s="286">
        <f t="shared" si="759"/>
        <v>0</v>
      </c>
      <c r="PI83" s="286">
        <f t="shared" si="760"/>
        <v>0</v>
      </c>
      <c r="PJ83" s="286">
        <f t="shared" si="761"/>
        <v>0</v>
      </c>
      <c r="PK83" s="286">
        <f t="shared" si="762"/>
        <v>0</v>
      </c>
      <c r="PL83" s="286">
        <f t="shared" si="763"/>
        <v>0</v>
      </c>
      <c r="PM83" s="562">
        <v>27</v>
      </c>
    </row>
    <row r="84" spans="1:431" s="289" customFormat="1" ht="15.75" customHeight="1">
      <c r="A84" s="1935" t="s">
        <v>445</v>
      </c>
      <c r="B84" s="1040" t="str">
        <f>VLOOKUP(A84,'Area (&amp;golfacre for lookup)'!$A$2:$B$162,2,FALSE)</f>
        <v>SE exc BOCA</v>
      </c>
      <c r="C84" s="1936"/>
      <c r="D84" s="1937">
        <v>44865</v>
      </c>
      <c r="E84" s="402"/>
      <c r="F84" s="1936">
        <v>1</v>
      </c>
      <c r="G84" s="1936">
        <v>1</v>
      </c>
      <c r="H84" s="1936">
        <v>327</v>
      </c>
      <c r="I84" s="1936">
        <v>80</v>
      </c>
      <c r="J84" s="1936">
        <v>407</v>
      </c>
      <c r="K84" s="1938">
        <v>448.7105789849893</v>
      </c>
      <c r="L84" s="1939" t="s">
        <v>1208</v>
      </c>
      <c r="M84" s="1939" t="s">
        <v>1208</v>
      </c>
      <c r="N84" s="1939" t="s">
        <v>1208</v>
      </c>
      <c r="O84" s="1939" t="s">
        <v>1208</v>
      </c>
      <c r="P84" s="1939" t="s">
        <v>1208</v>
      </c>
      <c r="Q84" s="1936">
        <v>0</v>
      </c>
      <c r="R84" s="1936">
        <v>75000</v>
      </c>
      <c r="S84" s="1936">
        <v>75000</v>
      </c>
      <c r="T84" s="1939" t="s">
        <v>1208</v>
      </c>
      <c r="U84" s="1939" t="s">
        <v>1208</v>
      </c>
      <c r="V84" s="1939" t="s">
        <v>1208</v>
      </c>
      <c r="W84" s="1936">
        <v>16550</v>
      </c>
      <c r="X84" s="1979">
        <v>13990</v>
      </c>
      <c r="Y84" s="1939" t="s">
        <v>1208</v>
      </c>
      <c r="Z84" s="1939" t="s">
        <v>1208</v>
      </c>
      <c r="AA84" s="1936">
        <v>2560</v>
      </c>
      <c r="AB84" s="1362">
        <v>0.182987848463188</v>
      </c>
      <c r="AC84" s="1939" t="s">
        <v>1208</v>
      </c>
      <c r="AD84" s="1363" t="s">
        <v>1208</v>
      </c>
      <c r="AE84" s="1936">
        <v>0</v>
      </c>
      <c r="AF84" s="1936">
        <v>0</v>
      </c>
      <c r="AG84" s="1939" t="s">
        <v>1208</v>
      </c>
      <c r="AH84" s="1936">
        <v>0</v>
      </c>
      <c r="AI84" s="1936">
        <v>0</v>
      </c>
      <c r="AJ84" s="1939" t="s">
        <v>1208</v>
      </c>
      <c r="AK84" s="1938">
        <v>1</v>
      </c>
      <c r="AL84" s="1938">
        <v>1500</v>
      </c>
      <c r="AM84" s="1936">
        <v>15490</v>
      </c>
      <c r="AN84" s="1939" t="s">
        <v>1208</v>
      </c>
      <c r="AO84" s="1936">
        <v>0</v>
      </c>
      <c r="AP84" s="1936">
        <v>720</v>
      </c>
      <c r="AQ84" s="1936">
        <v>16210</v>
      </c>
      <c r="AR84" s="1939" t="s">
        <v>1208</v>
      </c>
      <c r="AS84" s="1363" t="s">
        <v>1208</v>
      </c>
      <c r="AT84" s="1363" t="s">
        <v>1208</v>
      </c>
      <c r="AU84" s="1363" t="s">
        <v>1208</v>
      </c>
      <c r="AV84" s="1363" t="s">
        <v>1208</v>
      </c>
      <c r="AW84" s="1363" t="s">
        <v>1291</v>
      </c>
      <c r="AX84" s="1938">
        <v>1</v>
      </c>
      <c r="AY84" s="1938">
        <v>0</v>
      </c>
      <c r="AZ84" s="1938">
        <v>0</v>
      </c>
      <c r="BA84" s="1938">
        <v>0</v>
      </c>
      <c r="BB84" s="1938">
        <v>0</v>
      </c>
      <c r="BC84" s="1938">
        <v>0</v>
      </c>
      <c r="BD84" s="1938">
        <v>1</v>
      </c>
      <c r="BE84" s="1936">
        <v>1</v>
      </c>
      <c r="BF84" s="1936">
        <v>400000</v>
      </c>
      <c r="BG84" s="1936">
        <v>737128</v>
      </c>
      <c r="BH84" s="1936">
        <v>1137128</v>
      </c>
      <c r="BI84" s="1938">
        <v>13941477</v>
      </c>
      <c r="BJ84" s="1936">
        <v>2528117</v>
      </c>
      <c r="BK84" s="1936">
        <v>773334</v>
      </c>
      <c r="BL84" s="1362">
        <v>3.2691139921431103</v>
      </c>
      <c r="BM84" s="1936">
        <v>1</v>
      </c>
      <c r="BN84" s="1936">
        <v>1816232</v>
      </c>
      <c r="BO84" s="1363" t="s">
        <v>1208</v>
      </c>
      <c r="BP84" s="1938">
        <v>1288887</v>
      </c>
      <c r="BQ84" s="1938">
        <v>1334277</v>
      </c>
      <c r="BR84" s="1940">
        <v>0.96598157653920436</v>
      </c>
      <c r="BS84" s="1409">
        <v>0</v>
      </c>
      <c r="BT84" s="1938">
        <v>3070704</v>
      </c>
      <c r="BU84" s="1938">
        <v>13423208</v>
      </c>
      <c r="BV84" s="1940">
        <v>0.22876081485141256</v>
      </c>
      <c r="BW84" s="1936">
        <v>4047.6692216805486</v>
      </c>
      <c r="BX84" s="1936">
        <v>5634.1818499549418</v>
      </c>
      <c r="BY84" s="1936">
        <v>2534.2125932761669</v>
      </c>
      <c r="BZ84" s="1936">
        <v>587220</v>
      </c>
      <c r="CA84" s="1936">
        <v>42607</v>
      </c>
      <c r="CB84" s="1936">
        <v>0</v>
      </c>
      <c r="CC84" s="1936">
        <v>19850</v>
      </c>
      <c r="CD84" s="1936">
        <v>6277461</v>
      </c>
      <c r="CE84" s="1936">
        <v>0</v>
      </c>
      <c r="CF84" s="1936">
        <v>0</v>
      </c>
      <c r="CG84" s="1936">
        <v>1186623</v>
      </c>
      <c r="CH84" s="1936">
        <v>673348</v>
      </c>
      <c r="CI84" s="1936">
        <v>227324</v>
      </c>
      <c r="CJ84" s="1936">
        <v>9014433</v>
      </c>
      <c r="CK84" s="1366">
        <v>6.5142200291465918E-2</v>
      </c>
      <c r="CL84" s="1366">
        <v>4.7265313303676447E-3</v>
      </c>
      <c r="CM84" s="1366">
        <v>0</v>
      </c>
      <c r="CN84" s="1366">
        <v>2.2020242426783803E-3</v>
      </c>
      <c r="CO84" s="1366">
        <v>0.69637890702609917</v>
      </c>
      <c r="CP84" s="1366">
        <v>0</v>
      </c>
      <c r="CQ84" s="1366">
        <v>0</v>
      </c>
      <c r="CR84" s="1366">
        <v>0.13163589989520139</v>
      </c>
      <c r="CS84" s="1366">
        <v>7.4696655907254508E-2</v>
      </c>
      <c r="CT84" s="1366">
        <v>2.5217781306933005E-2</v>
      </c>
      <c r="CU84" s="1366">
        <v>1</v>
      </c>
      <c r="CV84" s="1936">
        <v>5109159</v>
      </c>
      <c r="CW84" s="1936">
        <v>1011418</v>
      </c>
      <c r="CX84" s="1936">
        <v>0</v>
      </c>
      <c r="CY84" s="1936">
        <v>2215271</v>
      </c>
      <c r="CZ84" s="1936">
        <v>170852</v>
      </c>
      <c r="DA84" s="1936">
        <v>275234</v>
      </c>
      <c r="DB84" s="1936">
        <v>8781934</v>
      </c>
      <c r="DC84" s="1366">
        <v>0.58178061916657542</v>
      </c>
      <c r="DD84" s="1366">
        <v>0.1151703030334776</v>
      </c>
      <c r="DE84" s="1366">
        <v>0</v>
      </c>
      <c r="DF84" s="1366">
        <v>0.25225320527346257</v>
      </c>
      <c r="DG84" s="1366">
        <v>1.94549401077257E-2</v>
      </c>
      <c r="DH84" s="1366">
        <v>3.1340932418758786E-2</v>
      </c>
      <c r="DI84" s="1366">
        <v>1</v>
      </c>
      <c r="DJ84" s="1936">
        <v>232499</v>
      </c>
      <c r="DK84" s="1936">
        <v>1308.6832080677202</v>
      </c>
      <c r="DL84" s="1936">
        <v>94.954302384355714</v>
      </c>
      <c r="DM84" s="1936">
        <v>0</v>
      </c>
      <c r="DN84" s="1936">
        <v>44.237869418862175</v>
      </c>
      <c r="DO84" s="1936">
        <v>13990</v>
      </c>
      <c r="DP84" s="1936">
        <v>0</v>
      </c>
      <c r="DQ84" s="1936">
        <v>0</v>
      </c>
      <c r="DR84" s="1936">
        <v>2644.5175477792691</v>
      </c>
      <c r="DS84" s="1936">
        <v>1500.6287605769276</v>
      </c>
      <c r="DT84" s="1936">
        <v>506.6160920792658</v>
      </c>
      <c r="DU84" s="1936">
        <v>20089.637780306399</v>
      </c>
      <c r="DV84" s="1936">
        <v>11386.312779959922</v>
      </c>
      <c r="DW84" s="1936">
        <v>2254.0542776769144</v>
      </c>
      <c r="DX84" s="1936">
        <v>0</v>
      </c>
      <c r="DY84" s="1936">
        <v>4936.9707418333619</v>
      </c>
      <c r="DZ84" s="1936">
        <v>380.76213934264183</v>
      </c>
      <c r="EA84" s="1936">
        <v>613.38870285295275</v>
      </c>
      <c r="EB84" s="1936">
        <v>19571.488641665794</v>
      </c>
      <c r="EC84" s="1936">
        <v>518.14913864060645</v>
      </c>
      <c r="ED84" s="1941">
        <v>76</v>
      </c>
      <c r="EE84" s="1936">
        <v>1</v>
      </c>
      <c r="EF84" s="1936">
        <v>30</v>
      </c>
      <c r="EG84" s="1938">
        <v>0</v>
      </c>
      <c r="EH84" s="1938">
        <v>1</v>
      </c>
      <c r="EI84" s="1368">
        <v>0.1</v>
      </c>
      <c r="EJ84" s="1936">
        <v>5.9040865655919648</v>
      </c>
      <c r="EK84" s="1936">
        <v>0</v>
      </c>
      <c r="EL84" s="1936">
        <v>0</v>
      </c>
      <c r="EM84" s="1936">
        <v>0</v>
      </c>
      <c r="EN84" s="1362">
        <v>0</v>
      </c>
      <c r="EO84" s="1936">
        <v>1</v>
      </c>
      <c r="EP84" s="1936">
        <v>60</v>
      </c>
      <c r="EQ84" s="1936">
        <v>0</v>
      </c>
      <c r="ER84" s="1938">
        <v>0</v>
      </c>
      <c r="ES84" s="1936">
        <v>4145.1463083561966</v>
      </c>
      <c r="ET84" s="1936">
        <v>-3581.5754637105665</v>
      </c>
      <c r="EU84" s="1938">
        <v>2</v>
      </c>
      <c r="EV84" s="1936">
        <v>73332</v>
      </c>
      <c r="EW84" s="1936">
        <v>2020</v>
      </c>
      <c r="EX84" s="1938">
        <v>1</v>
      </c>
      <c r="EY84" s="1936">
        <v>1186623</v>
      </c>
      <c r="EZ84" s="1936">
        <v>758965</v>
      </c>
      <c r="FA84" s="1936">
        <v>427658</v>
      </c>
      <c r="FB84" s="1936">
        <v>673348</v>
      </c>
      <c r="FC84" s="1936">
        <v>252453</v>
      </c>
      <c r="FD84" s="1936">
        <v>420895</v>
      </c>
      <c r="FE84" s="1936">
        <v>1859971</v>
      </c>
      <c r="FF84" s="1936">
        <v>1011418</v>
      </c>
      <c r="FG84" s="1936">
        <v>848553</v>
      </c>
      <c r="FH84" s="1366">
        <v>1</v>
      </c>
      <c r="FI84" s="1366">
        <v>0.63960078306252277</v>
      </c>
      <c r="FJ84" s="1366">
        <v>0.36039921693747717</v>
      </c>
      <c r="FK84" s="1366">
        <v>1</v>
      </c>
      <c r="FL84" s="1366">
        <v>0.37492203140129621</v>
      </c>
      <c r="FM84" s="1366">
        <v>0.62507796859870379</v>
      </c>
      <c r="FN84" s="1366">
        <v>1</v>
      </c>
      <c r="FO84" s="1366">
        <v>0.54378159659478564</v>
      </c>
      <c r="FP84" s="1366">
        <v>0.45621840340521436</v>
      </c>
      <c r="FQ84" s="1936">
        <v>1982670</v>
      </c>
      <c r="FR84" s="1936">
        <v>-371994.2</v>
      </c>
      <c r="FS84" s="1936">
        <v>330944</v>
      </c>
      <c r="FT84" s="1936">
        <v>36720</v>
      </c>
      <c r="FU84" s="1936">
        <v>0</v>
      </c>
      <c r="FV84" s="1936">
        <v>81985</v>
      </c>
      <c r="FW84" s="1936">
        <v>395319</v>
      </c>
      <c r="FX84" s="1936">
        <v>2455643.7999999998</v>
      </c>
      <c r="FY84" s="1936">
        <v>-1607090.7999999998</v>
      </c>
      <c r="FZ84" s="1366">
        <v>1.0659682328380389</v>
      </c>
      <c r="GA84" s="1366">
        <v>-0.2</v>
      </c>
      <c r="GB84" s="1366">
        <v>0.17792965589248436</v>
      </c>
      <c r="GC84" s="1366">
        <v>1.9742243293040591E-2</v>
      </c>
      <c r="GD84" s="1366">
        <v>0</v>
      </c>
      <c r="GE84" s="1366">
        <v>4.4078644236926277E-2</v>
      </c>
      <c r="GF84" s="1366">
        <v>0.21254041057629394</v>
      </c>
      <c r="GG84" s="1366">
        <v>1.3202591868367839</v>
      </c>
      <c r="GH84" s="1366">
        <v>-0.86404078343156954</v>
      </c>
      <c r="GI84" s="1942">
        <v>1.7622729999940596</v>
      </c>
      <c r="GJ84" s="1943">
        <v>1</v>
      </c>
      <c r="GK84" s="1371">
        <v>0.17</v>
      </c>
      <c r="GL84" s="1943">
        <v>1</v>
      </c>
      <c r="GM84" s="1371">
        <v>0.08</v>
      </c>
      <c r="GN84" s="1943">
        <v>18</v>
      </c>
      <c r="GO84" s="1985">
        <f>IF(GN84=0,0,VLOOKUP(A84,'Area (&amp;golfacre for lookup)'!$G$2:$H$133,2,FALSE))</f>
        <v>95</v>
      </c>
      <c r="GP84" s="1943">
        <v>26564</v>
      </c>
      <c r="GQ84" s="1943">
        <v>1086366</v>
      </c>
      <c r="GR84" s="1943">
        <v>218397</v>
      </c>
      <c r="GS84" s="1943">
        <v>389554</v>
      </c>
      <c r="GT84" s="1943">
        <v>373105</v>
      </c>
      <c r="GU84" s="1943">
        <v>0</v>
      </c>
      <c r="GV84" s="1943">
        <v>110586</v>
      </c>
      <c r="GW84" s="1943">
        <v>2178008</v>
      </c>
      <c r="GX84" s="1943">
        <v>121000.44444444444</v>
      </c>
      <c r="GY84" s="1985">
        <f t="shared" si="764"/>
        <v>22926.400000000001</v>
      </c>
      <c r="GZ84" s="1366">
        <v>0.49878880151037097</v>
      </c>
      <c r="HA84" s="1366">
        <v>0.1002737363682778</v>
      </c>
      <c r="HB84" s="1366">
        <v>0.17885792889649624</v>
      </c>
      <c r="HC84" s="1366">
        <v>0.17130561503906322</v>
      </c>
      <c r="HD84" s="1366">
        <v>0</v>
      </c>
      <c r="HE84" s="1366">
        <v>5.0773918185791786E-2</v>
      </c>
      <c r="HF84" s="1366">
        <v>1</v>
      </c>
      <c r="HG84" s="1936">
        <v>0</v>
      </c>
      <c r="HH84" s="1988">
        <f>IF(HG84=0,0,VLOOKUP(A84,'Area (&amp;golfacre for lookup)'!$G$2:$H$134,2,FALSE))</f>
        <v>0</v>
      </c>
      <c r="HI84" s="1936">
        <v>0</v>
      </c>
      <c r="HJ84" s="1936">
        <v>0</v>
      </c>
      <c r="HK84" s="1936">
        <v>0</v>
      </c>
      <c r="HL84" s="1936">
        <v>0</v>
      </c>
      <c r="HM84" s="1936">
        <v>0</v>
      </c>
      <c r="HN84" s="1936">
        <v>0</v>
      </c>
      <c r="HO84" s="1936">
        <v>0</v>
      </c>
      <c r="HP84" s="1936">
        <v>0</v>
      </c>
      <c r="HQ84" s="1936">
        <v>0</v>
      </c>
      <c r="HR84" s="1988">
        <f t="shared" si="765"/>
        <v>0</v>
      </c>
      <c r="HS84" s="1936">
        <v>0</v>
      </c>
      <c r="HT84" s="1936">
        <v>0</v>
      </c>
      <c r="HU84" s="1936">
        <v>0</v>
      </c>
      <c r="HV84" s="1936">
        <v>0</v>
      </c>
      <c r="HW84" s="1936">
        <v>0</v>
      </c>
      <c r="HX84" s="1936">
        <v>0</v>
      </c>
      <c r="HY84" s="1936">
        <v>0</v>
      </c>
      <c r="HZ84" s="51"/>
      <c r="IA84" s="59">
        <f t="shared" si="766"/>
        <v>0</v>
      </c>
      <c r="IB84" s="59"/>
      <c r="IC84" s="815">
        <f t="shared" si="581"/>
        <v>1</v>
      </c>
      <c r="ID84" s="815"/>
      <c r="IE84" s="284">
        <f t="shared" si="582"/>
        <v>0</v>
      </c>
      <c r="IF84" s="284"/>
      <c r="IG84" s="284">
        <f t="shared" si="583"/>
        <v>31070.087608668535</v>
      </c>
      <c r="IH84" s="284"/>
      <c r="II84" s="1288">
        <f t="shared" si="584"/>
        <v>0</v>
      </c>
      <c r="IJ84" s="1288">
        <f t="shared" si="585"/>
        <v>0.96598157653920436</v>
      </c>
      <c r="IK84" s="284">
        <f t="shared" si="586"/>
        <v>0</v>
      </c>
      <c r="IL84" s="284">
        <f t="shared" si="587"/>
        <v>0</v>
      </c>
      <c r="IM84" s="284">
        <f t="shared" si="588"/>
        <v>0</v>
      </c>
      <c r="IN84" s="284">
        <f t="shared" si="589"/>
        <v>0</v>
      </c>
      <c r="IO84" s="753">
        <f t="shared" si="590"/>
        <v>-3948.6260442260436</v>
      </c>
      <c r="IP84" s="113">
        <f t="shared" si="591"/>
        <v>-3581.5754637105665</v>
      </c>
      <c r="IQ84" s="30">
        <f t="shared" si="592"/>
        <v>-0.25600968289568027</v>
      </c>
      <c r="IR84" s="438">
        <f t="shared" si="593"/>
        <v>1186623</v>
      </c>
      <c r="IS84" s="438">
        <f t="shared" si="594"/>
        <v>673348</v>
      </c>
      <c r="IT84" s="438">
        <f t="shared" si="595"/>
        <v>1982670</v>
      </c>
      <c r="IU84" s="438">
        <f t="shared" si="596"/>
        <v>367664</v>
      </c>
      <c r="IV84" s="438">
        <f t="shared" si="597"/>
        <v>1011418</v>
      </c>
      <c r="IW84" s="438">
        <f t="shared" si="598"/>
        <v>105309.79999999999</v>
      </c>
      <c r="IX84" s="285">
        <f t="shared" si="599"/>
        <v>0.63797930182782425</v>
      </c>
      <c r="IY84" s="285">
        <f t="shared" si="600"/>
        <v>0.3620206981721758</v>
      </c>
      <c r="IZ84" s="285">
        <f t="shared" si="601"/>
        <v>1.0659682328380389</v>
      </c>
      <c r="JA84" s="285">
        <f t="shared" si="602"/>
        <v>0.19767189918552494</v>
      </c>
      <c r="JB84" s="285">
        <f t="shared" si="603"/>
        <v>0.54378159659478564</v>
      </c>
      <c r="JC84" s="285">
        <f t="shared" si="604"/>
        <v>5.6619054813220202E-2</v>
      </c>
      <c r="JD84" s="60">
        <f t="shared" si="605"/>
        <v>6277461</v>
      </c>
      <c r="JE84" s="60">
        <f t="shared" si="606"/>
        <v>649677</v>
      </c>
      <c r="JF84" s="60">
        <f t="shared" si="607"/>
        <v>0</v>
      </c>
      <c r="JG84" s="60">
        <f t="shared" si="608"/>
        <v>446086</v>
      </c>
      <c r="JH84" s="284">
        <f t="shared" si="609"/>
        <v>1</v>
      </c>
      <c r="JI84" s="284">
        <f t="shared" si="610"/>
        <v>0</v>
      </c>
      <c r="JJ84" s="560">
        <f t="shared" si="611"/>
        <v>0</v>
      </c>
      <c r="JK84" s="561">
        <f t="shared" si="612"/>
        <v>0.56677541449362367</v>
      </c>
      <c r="JL84" s="561">
        <f t="shared" si="613"/>
        <v>0.11219984662374217</v>
      </c>
      <c r="JM84" s="561">
        <f t="shared" si="614"/>
        <v>0</v>
      </c>
      <c r="JN84" s="561">
        <f t="shared" si="615"/>
        <v>0.24574712574823065</v>
      </c>
      <c r="JO84" s="561">
        <f t="shared" si="616"/>
        <v>1.8953161003027033E-2</v>
      </c>
      <c r="JP84" s="561">
        <f t="shared" si="617"/>
        <v>3.0532591456389993E-2</v>
      </c>
      <c r="JQ84" s="561">
        <f t="shared" si="618"/>
        <v>0.97420813932501349</v>
      </c>
      <c r="JR84" s="61">
        <f t="shared" si="619"/>
        <v>60353.666666666664</v>
      </c>
      <c r="JS84" s="61">
        <f t="shared" si="620"/>
        <v>12133.166666666666</v>
      </c>
      <c r="JT84" s="61">
        <f t="shared" si="621"/>
        <v>21641.888888888891</v>
      </c>
      <c r="JU84" s="61">
        <f t="shared" si="622"/>
        <v>20728.055555555555</v>
      </c>
      <c r="JV84" s="61">
        <f t="shared" si="623"/>
        <v>0</v>
      </c>
      <c r="JW84" s="61">
        <f t="shared" si="624"/>
        <v>6143.666666666667</v>
      </c>
      <c r="JX84" s="61">
        <f t="shared" si="625"/>
        <v>81.990965216081918</v>
      </c>
      <c r="JY84" s="394">
        <f t="shared" si="626"/>
        <v>0.24801006247598764</v>
      </c>
      <c r="JZ84" s="61">
        <f t="shared" si="627"/>
        <v>0</v>
      </c>
      <c r="KA84" s="61">
        <f t="shared" si="628"/>
        <v>0</v>
      </c>
      <c r="KB84" s="61">
        <f t="shared" si="629"/>
        <v>0</v>
      </c>
      <c r="KC84" s="61">
        <f t="shared" si="630"/>
        <v>0</v>
      </c>
      <c r="KD84" s="61">
        <f t="shared" si="631"/>
        <v>0</v>
      </c>
      <c r="KE84" s="61">
        <f t="shared" si="632"/>
        <v>0</v>
      </c>
      <c r="KF84" s="61">
        <f t="shared" si="633"/>
        <v>0</v>
      </c>
      <c r="KG84" s="61">
        <f t="shared" si="634"/>
        <v>0</v>
      </c>
      <c r="KH84" s="61">
        <f t="shared" si="635"/>
        <v>0</v>
      </c>
      <c r="KI84" s="394">
        <f t="shared" si="636"/>
        <v>0</v>
      </c>
      <c r="KJ84" s="438">
        <f t="shared" si="637"/>
        <v>18</v>
      </c>
      <c r="KK84" s="438">
        <f t="shared" si="638"/>
        <v>26564</v>
      </c>
      <c r="KL84" s="438">
        <f t="shared" si="639"/>
        <v>95</v>
      </c>
      <c r="KM84" s="438">
        <f t="shared" si="640"/>
        <v>121000.44444444444</v>
      </c>
      <c r="KN84" s="438">
        <f t="shared" si="641"/>
        <v>81.990965216081918</v>
      </c>
      <c r="KO84" s="438">
        <f t="shared" si="642"/>
        <v>22926.400000000001</v>
      </c>
      <c r="KP84" s="438">
        <f t="shared" si="643"/>
        <v>1086366</v>
      </c>
      <c r="KQ84" s="438">
        <f t="shared" si="644"/>
        <v>218397</v>
      </c>
      <c r="KR84" s="438">
        <f t="shared" si="645"/>
        <v>389554</v>
      </c>
      <c r="KS84" s="438">
        <f t="shared" si="646"/>
        <v>373105</v>
      </c>
      <c r="KT84" s="438">
        <f t="shared" si="647"/>
        <v>0</v>
      </c>
      <c r="KU84" s="438">
        <f t="shared" si="648"/>
        <v>110586</v>
      </c>
      <c r="KV84" s="420">
        <f t="shared" si="649"/>
        <v>0.24801006247598764</v>
      </c>
      <c r="KW84" s="420">
        <f t="shared" si="650"/>
        <v>-0.32934047698583868</v>
      </c>
      <c r="KX84" s="108"/>
      <c r="KY84" s="282">
        <f t="shared" si="651"/>
        <v>0</v>
      </c>
      <c r="KZ84" s="282"/>
      <c r="LA84" s="282">
        <f t="shared" si="652"/>
        <v>0</v>
      </c>
      <c r="LB84" s="282"/>
      <c r="LC84" s="286">
        <f t="shared" si="653"/>
        <v>0</v>
      </c>
      <c r="LD84" s="286"/>
      <c r="LE84" s="282">
        <f t="shared" si="654"/>
        <v>0</v>
      </c>
      <c r="LF84" s="282"/>
      <c r="LG84" s="282">
        <f t="shared" si="655"/>
        <v>0</v>
      </c>
      <c r="LH84" s="282">
        <f t="shared" si="656"/>
        <v>0</v>
      </c>
      <c r="LI84" s="282">
        <f t="shared" si="657"/>
        <v>0</v>
      </c>
      <c r="LJ84" s="282">
        <f t="shared" si="658"/>
        <v>0</v>
      </c>
      <c r="LK84" s="282"/>
      <c r="LL84" s="282">
        <f t="shared" si="659"/>
        <v>0</v>
      </c>
      <c r="LM84" s="282">
        <f t="shared" si="660"/>
        <v>0</v>
      </c>
      <c r="LN84" s="282">
        <f t="shared" si="661"/>
        <v>0</v>
      </c>
      <c r="LO84" s="282">
        <f t="shared" si="662"/>
        <v>0</v>
      </c>
      <c r="LP84" s="286">
        <f t="shared" si="663"/>
        <v>0</v>
      </c>
      <c r="LQ84" s="282">
        <f t="shared" si="664"/>
        <v>0</v>
      </c>
      <c r="LR84" s="282">
        <f t="shared" si="665"/>
        <v>0</v>
      </c>
      <c r="LS84" s="282">
        <f t="shared" si="666"/>
        <v>0</v>
      </c>
      <c r="LT84" s="286">
        <f t="shared" si="667"/>
        <v>0</v>
      </c>
      <c r="LU84" s="286">
        <f t="shared" si="668"/>
        <v>0</v>
      </c>
      <c r="LV84" s="286">
        <f t="shared" si="669"/>
        <v>0</v>
      </c>
      <c r="LW84" s="286">
        <f t="shared" si="670"/>
        <v>0</v>
      </c>
      <c r="LX84" s="286">
        <f t="shared" si="671"/>
        <v>0</v>
      </c>
      <c r="LY84" s="286">
        <f t="shared" si="672"/>
        <v>0</v>
      </c>
      <c r="LZ84" s="286">
        <f t="shared" si="673"/>
        <v>0</v>
      </c>
      <c r="MA84" s="286">
        <f t="shared" si="674"/>
        <v>0</v>
      </c>
      <c r="MB84" s="286">
        <f t="shared" si="675"/>
        <v>0</v>
      </c>
      <c r="MC84" s="286">
        <f t="shared" si="676"/>
        <v>0</v>
      </c>
      <c r="MD84" s="286">
        <f t="shared" si="677"/>
        <v>0</v>
      </c>
      <c r="ME84" s="286">
        <f t="shared" si="678"/>
        <v>0</v>
      </c>
      <c r="MF84" s="286">
        <f t="shared" si="679"/>
        <v>0</v>
      </c>
      <c r="MG84" s="286">
        <f t="shared" si="680"/>
        <v>0</v>
      </c>
      <c r="MH84" s="286">
        <f t="shared" si="681"/>
        <v>0</v>
      </c>
      <c r="MI84" s="286">
        <f t="shared" si="682"/>
        <v>0</v>
      </c>
      <c r="MJ84" s="286">
        <f t="shared" si="683"/>
        <v>0</v>
      </c>
      <c r="MK84" s="286">
        <f t="shared" si="684"/>
        <v>0</v>
      </c>
      <c r="ML84" s="282">
        <f t="shared" si="685"/>
        <v>0</v>
      </c>
      <c r="MM84" s="1232">
        <f t="shared" si="686"/>
        <v>0</v>
      </c>
      <c r="MN84" s="1232">
        <f t="shared" si="687"/>
        <v>0</v>
      </c>
      <c r="MO84" s="1232">
        <f t="shared" si="688"/>
        <v>0</v>
      </c>
      <c r="MP84" s="1232">
        <f t="shared" si="689"/>
        <v>0</v>
      </c>
      <c r="MQ84" s="282">
        <f t="shared" si="690"/>
        <v>0</v>
      </c>
      <c r="MR84" s="282">
        <f t="shared" si="691"/>
        <v>0</v>
      </c>
      <c r="MS84" s="282">
        <f t="shared" si="692"/>
        <v>0</v>
      </c>
      <c r="MT84" s="282">
        <f t="shared" si="693"/>
        <v>0</v>
      </c>
      <c r="MU84" s="282">
        <f t="shared" si="694"/>
        <v>0</v>
      </c>
      <c r="MV84" s="282">
        <f t="shared" si="695"/>
        <v>0</v>
      </c>
      <c r="MW84" s="282">
        <f t="shared" si="696"/>
        <v>0</v>
      </c>
      <c r="MX84" s="282">
        <f t="shared" si="697"/>
        <v>0</v>
      </c>
      <c r="MY84" s="282">
        <f t="shared" si="698"/>
        <v>0</v>
      </c>
      <c r="MZ84" s="282">
        <f t="shared" si="699"/>
        <v>0</v>
      </c>
      <c r="NA84" s="282">
        <f t="shared" si="700"/>
        <v>0</v>
      </c>
      <c r="NB84" s="282">
        <f t="shared" si="701"/>
        <v>0</v>
      </c>
      <c r="NC84" s="282">
        <f t="shared" si="702"/>
        <v>0</v>
      </c>
      <c r="ND84" s="282">
        <f t="shared" si="703"/>
        <v>0</v>
      </c>
      <c r="NE84" s="282">
        <f t="shared" si="704"/>
        <v>0</v>
      </c>
      <c r="NF84" s="282">
        <f t="shared" si="705"/>
        <v>0</v>
      </c>
      <c r="NG84" s="282">
        <f t="shared" si="706"/>
        <v>0</v>
      </c>
      <c r="NH84" s="282">
        <f t="shared" si="707"/>
        <v>0</v>
      </c>
      <c r="NI84" s="282">
        <f t="shared" si="708"/>
        <v>0</v>
      </c>
      <c r="NJ84" s="282">
        <f t="shared" si="709"/>
        <v>0</v>
      </c>
      <c r="NK84" s="282">
        <f t="shared" si="710"/>
        <v>0</v>
      </c>
      <c r="NL84" s="282">
        <f t="shared" si="711"/>
        <v>0</v>
      </c>
      <c r="NM84" s="1205">
        <f t="shared" si="712"/>
        <v>0</v>
      </c>
      <c r="NN84" s="282">
        <f t="shared" si="713"/>
        <v>0</v>
      </c>
      <c r="NO84" s="282">
        <f t="shared" si="714"/>
        <v>0</v>
      </c>
      <c r="NP84" s="282">
        <f t="shared" si="715"/>
        <v>0</v>
      </c>
      <c r="NQ84" s="282">
        <f t="shared" si="716"/>
        <v>0</v>
      </c>
      <c r="NR84" s="282">
        <f t="shared" si="717"/>
        <v>0</v>
      </c>
      <c r="NS84" s="282">
        <f t="shared" si="718"/>
        <v>0</v>
      </c>
      <c r="NT84" s="282">
        <f t="shared" si="719"/>
        <v>0</v>
      </c>
      <c r="NU84" s="282">
        <f t="shared" si="720"/>
        <v>0</v>
      </c>
      <c r="NV84" s="286">
        <f t="shared" si="721"/>
        <v>0</v>
      </c>
      <c r="NW84" s="286">
        <f t="shared" si="722"/>
        <v>0</v>
      </c>
      <c r="NX84" s="286">
        <f t="shared" si="723"/>
        <v>0</v>
      </c>
      <c r="NY84" s="286">
        <f t="shared" si="724"/>
        <v>0</v>
      </c>
      <c r="NZ84" s="286">
        <f t="shared" si="725"/>
        <v>0</v>
      </c>
      <c r="OA84" s="286">
        <f t="shared" si="726"/>
        <v>0</v>
      </c>
      <c r="OB84" s="286">
        <f t="shared" si="727"/>
        <v>0</v>
      </c>
      <c r="OC84" s="286">
        <f t="shared" si="728"/>
        <v>0</v>
      </c>
      <c r="OD84" s="286">
        <f t="shared" si="729"/>
        <v>0</v>
      </c>
      <c r="OE84" s="282">
        <f t="shared" si="730"/>
        <v>0</v>
      </c>
      <c r="OF84" s="282">
        <f t="shared" si="731"/>
        <v>0</v>
      </c>
      <c r="OG84" s="286">
        <f t="shared" si="732"/>
        <v>0</v>
      </c>
      <c r="OH84" s="286">
        <f t="shared" si="733"/>
        <v>0</v>
      </c>
      <c r="OI84" s="286">
        <f t="shared" si="734"/>
        <v>0</v>
      </c>
      <c r="OJ84" s="286">
        <f t="shared" si="735"/>
        <v>0</v>
      </c>
      <c r="OK84" s="286">
        <f t="shared" si="736"/>
        <v>0</v>
      </c>
      <c r="OL84" s="286">
        <f t="shared" si="737"/>
        <v>0</v>
      </c>
      <c r="OM84" s="286">
        <f t="shared" si="738"/>
        <v>0</v>
      </c>
      <c r="ON84" s="286">
        <f t="shared" si="739"/>
        <v>0</v>
      </c>
      <c r="OO84" s="286">
        <f t="shared" si="740"/>
        <v>0</v>
      </c>
      <c r="OP84" s="434">
        <f t="shared" si="741"/>
        <v>0</v>
      </c>
      <c r="OQ84" s="434">
        <f t="shared" si="742"/>
        <v>0</v>
      </c>
      <c r="OR84" s="282">
        <f t="shared" si="743"/>
        <v>0</v>
      </c>
      <c r="OS84" s="282">
        <f t="shared" si="744"/>
        <v>0</v>
      </c>
      <c r="OT84" s="282">
        <f t="shared" si="745"/>
        <v>0</v>
      </c>
      <c r="OU84" s="282">
        <f t="shared" si="746"/>
        <v>0</v>
      </c>
      <c r="OV84" s="282">
        <f t="shared" si="747"/>
        <v>0</v>
      </c>
      <c r="OW84" s="286">
        <f t="shared" si="748"/>
        <v>0</v>
      </c>
      <c r="OX84" s="286">
        <f t="shared" si="749"/>
        <v>0</v>
      </c>
      <c r="OY84" s="286">
        <f t="shared" si="750"/>
        <v>0</v>
      </c>
      <c r="OZ84" s="286">
        <f t="shared" si="751"/>
        <v>0</v>
      </c>
      <c r="PA84" s="286">
        <f t="shared" si="752"/>
        <v>0</v>
      </c>
      <c r="PB84" s="286">
        <f t="shared" si="753"/>
        <v>0</v>
      </c>
      <c r="PC84" s="286">
        <f t="shared" si="754"/>
        <v>0</v>
      </c>
      <c r="PD84" s="282">
        <f t="shared" si="755"/>
        <v>0</v>
      </c>
      <c r="PE84" s="282">
        <f t="shared" si="756"/>
        <v>0</v>
      </c>
      <c r="PF84" s="286">
        <f t="shared" si="757"/>
        <v>0</v>
      </c>
      <c r="PG84" s="286">
        <f t="shared" si="758"/>
        <v>0</v>
      </c>
      <c r="PH84" s="286">
        <f t="shared" si="759"/>
        <v>0</v>
      </c>
      <c r="PI84" s="286">
        <f t="shared" si="760"/>
        <v>0</v>
      </c>
      <c r="PJ84" s="286">
        <f t="shared" si="761"/>
        <v>0</v>
      </c>
      <c r="PK84" s="286">
        <f t="shared" si="762"/>
        <v>0</v>
      </c>
      <c r="PL84" s="286">
        <f t="shared" si="763"/>
        <v>0</v>
      </c>
      <c r="PM84" s="562">
        <v>28</v>
      </c>
    </row>
    <row r="85" spans="1:431" s="289" customFormat="1" ht="15.75" customHeight="1">
      <c r="A85" s="1935" t="s">
        <v>1318</v>
      </c>
      <c r="B85" s="1040" t="str">
        <f>VLOOKUP(A85,'Area (&amp;golfacre for lookup)'!$A$2:$B$162,2,FALSE)</f>
        <v>SW exc CIRA</v>
      </c>
      <c r="C85" s="1936"/>
      <c r="D85" s="1937">
        <v>44865</v>
      </c>
      <c r="E85" s="402"/>
      <c r="F85" s="1936">
        <v>1</v>
      </c>
      <c r="G85" s="1936">
        <v>1</v>
      </c>
      <c r="H85" s="1936">
        <v>360</v>
      </c>
      <c r="I85" s="1936">
        <v>127</v>
      </c>
      <c r="J85" s="1936">
        <v>487</v>
      </c>
      <c r="K85" s="1938">
        <v>441.51482746225736</v>
      </c>
      <c r="L85" s="1939" t="s">
        <v>1208</v>
      </c>
      <c r="M85" s="1939" t="s">
        <v>1208</v>
      </c>
      <c r="N85" s="1939" t="s">
        <v>1208</v>
      </c>
      <c r="O85" s="1939" t="s">
        <v>1208</v>
      </c>
      <c r="P85" s="1939" t="s">
        <v>1208</v>
      </c>
      <c r="Q85" s="1936">
        <v>100</v>
      </c>
      <c r="R85" s="1936">
        <v>84900</v>
      </c>
      <c r="S85" s="1936">
        <v>85000</v>
      </c>
      <c r="T85" s="1939" t="s">
        <v>1208</v>
      </c>
      <c r="U85" s="1939" t="s">
        <v>1208</v>
      </c>
      <c r="V85" s="1939" t="s">
        <v>1208</v>
      </c>
      <c r="W85" s="1936">
        <v>12600</v>
      </c>
      <c r="X85" s="1936">
        <v>11128</v>
      </c>
      <c r="Y85" s="1939" t="s">
        <v>1208</v>
      </c>
      <c r="Z85" s="1939" t="s">
        <v>1208</v>
      </c>
      <c r="AA85" s="1936">
        <v>1472</v>
      </c>
      <c r="AB85" s="1362">
        <v>0.13227893601725377</v>
      </c>
      <c r="AC85" s="1939" t="s">
        <v>1208</v>
      </c>
      <c r="AD85" s="1363" t="s">
        <v>1208</v>
      </c>
      <c r="AE85" s="1936">
        <v>1</v>
      </c>
      <c r="AF85" s="1936">
        <v>2100</v>
      </c>
      <c r="AG85" s="1939" t="s">
        <v>1208</v>
      </c>
      <c r="AH85" s="1936">
        <v>0</v>
      </c>
      <c r="AI85" s="1936">
        <v>0</v>
      </c>
      <c r="AJ85" s="1939" t="s">
        <v>1208</v>
      </c>
      <c r="AK85" s="1938">
        <v>0</v>
      </c>
      <c r="AL85" s="1938">
        <v>0</v>
      </c>
      <c r="AM85" s="1936">
        <v>13228</v>
      </c>
      <c r="AN85" s="1939" t="s">
        <v>1208</v>
      </c>
      <c r="AO85" s="1936">
        <v>1200</v>
      </c>
      <c r="AP85" s="1936">
        <v>0</v>
      </c>
      <c r="AQ85" s="1936">
        <v>14428</v>
      </c>
      <c r="AR85" s="1939" t="s">
        <v>1208</v>
      </c>
      <c r="AS85" s="1363" t="s">
        <v>1208</v>
      </c>
      <c r="AT85" s="1363" t="s">
        <v>1208</v>
      </c>
      <c r="AU85" s="1363" t="s">
        <v>1208</v>
      </c>
      <c r="AV85" s="1363" t="s">
        <v>1208</v>
      </c>
      <c r="AW85" s="1363" t="s">
        <v>1291</v>
      </c>
      <c r="AX85" s="1938">
        <v>0</v>
      </c>
      <c r="AY85" s="1938">
        <v>0</v>
      </c>
      <c r="AZ85" s="1938">
        <v>0</v>
      </c>
      <c r="BA85" s="1938">
        <v>0</v>
      </c>
      <c r="BB85" s="1938">
        <v>0</v>
      </c>
      <c r="BC85" s="1938">
        <v>0</v>
      </c>
      <c r="BD85" s="1938">
        <v>0</v>
      </c>
      <c r="BE85" s="1936">
        <v>1</v>
      </c>
      <c r="BF85" s="1936">
        <v>9300000</v>
      </c>
      <c r="BG85" s="1936">
        <v>2203816</v>
      </c>
      <c r="BH85" s="1936">
        <v>11503816</v>
      </c>
      <c r="BI85" s="1938">
        <v>20921901</v>
      </c>
      <c r="BJ85" s="1936">
        <v>2977400</v>
      </c>
      <c r="BK85" s="1936">
        <v>1708434</v>
      </c>
      <c r="BL85" s="1362">
        <v>1.7427655970321358</v>
      </c>
      <c r="BM85" s="1936">
        <v>1</v>
      </c>
      <c r="BN85" s="1936">
        <v>2559861</v>
      </c>
      <c r="BO85" s="1363" t="s">
        <v>1208</v>
      </c>
      <c r="BP85" s="1938">
        <v>4481514</v>
      </c>
      <c r="BQ85" s="1938">
        <v>2914837</v>
      </c>
      <c r="BR85" s="1940">
        <v>1.5374835711225019</v>
      </c>
      <c r="BS85" s="1409">
        <v>1</v>
      </c>
      <c r="BT85" s="1938">
        <v>4808010</v>
      </c>
      <c r="BU85" s="1938">
        <v>21063592</v>
      </c>
      <c r="BV85" s="1940">
        <v>0.22826163742632311</v>
      </c>
      <c r="BW85" s="1936">
        <v>5797.9049417515389</v>
      </c>
      <c r="BX85" s="1936">
        <v>6743.6013805323928</v>
      </c>
      <c r="BY85" s="1936">
        <v>26055.333330755231</v>
      </c>
      <c r="BZ85" s="1936">
        <v>1171448</v>
      </c>
      <c r="CA85" s="1936">
        <v>17267</v>
      </c>
      <c r="CB85" s="1936">
        <v>345048</v>
      </c>
      <c r="CC85" s="1936">
        <v>21645</v>
      </c>
      <c r="CD85" s="1936">
        <v>4913177</v>
      </c>
      <c r="CE85" s="1936">
        <v>0</v>
      </c>
      <c r="CF85" s="1936">
        <v>0</v>
      </c>
      <c r="CG85" s="1936">
        <v>830976</v>
      </c>
      <c r="CH85" s="1936">
        <v>438604</v>
      </c>
      <c r="CI85" s="1936">
        <v>150475</v>
      </c>
      <c r="CJ85" s="1936">
        <v>7888640</v>
      </c>
      <c r="CK85" s="1366">
        <v>0.14849809346097681</v>
      </c>
      <c r="CL85" s="1366">
        <v>2.1888437043647573E-3</v>
      </c>
      <c r="CM85" s="1366">
        <v>4.3739858834982964E-2</v>
      </c>
      <c r="CN85" s="1366">
        <v>2.7438189599221161E-3</v>
      </c>
      <c r="CO85" s="1366">
        <v>0.62281673393639458</v>
      </c>
      <c r="CP85" s="1366">
        <v>0</v>
      </c>
      <c r="CQ85" s="1366">
        <v>0</v>
      </c>
      <c r="CR85" s="1366">
        <v>0.10533830926496836</v>
      </c>
      <c r="CS85" s="1366">
        <v>5.5599444264157069E-2</v>
      </c>
      <c r="CT85" s="1366">
        <v>1.9074897574233328E-2</v>
      </c>
      <c r="CU85" s="1366">
        <v>1</v>
      </c>
      <c r="CV85" s="1936">
        <v>4424271</v>
      </c>
      <c r="CW85" s="1936">
        <v>444133</v>
      </c>
      <c r="CX85" s="1936">
        <v>225683</v>
      </c>
      <c r="CY85" s="1936">
        <v>2469340</v>
      </c>
      <c r="CZ85" s="1936">
        <v>112149</v>
      </c>
      <c r="DA85" s="1936">
        <v>409792</v>
      </c>
      <c r="DB85" s="1936">
        <v>8085368</v>
      </c>
      <c r="DC85" s="1366">
        <v>0.54719475971903819</v>
      </c>
      <c r="DD85" s="1366">
        <v>5.4930462039575689E-2</v>
      </c>
      <c r="DE85" s="1366">
        <v>2.7912520493810548E-2</v>
      </c>
      <c r="DF85" s="1366">
        <v>0.30540848604540943</v>
      </c>
      <c r="DG85" s="1366">
        <v>1.3870611702522384E-2</v>
      </c>
      <c r="DH85" s="1366">
        <v>5.0683159999643804E-2</v>
      </c>
      <c r="DI85" s="1366">
        <v>1</v>
      </c>
      <c r="DJ85" s="1936">
        <v>-196728</v>
      </c>
      <c r="DK85" s="1936">
        <v>2653.2472459266173</v>
      </c>
      <c r="DL85" s="1936">
        <v>39.108539342262652</v>
      </c>
      <c r="DM85" s="1936">
        <v>781.50942740308358</v>
      </c>
      <c r="DN85" s="1936">
        <v>49.024401115612157</v>
      </c>
      <c r="DO85" s="1936">
        <v>11128</v>
      </c>
      <c r="DP85" s="1936">
        <v>0</v>
      </c>
      <c r="DQ85" s="1936">
        <v>0</v>
      </c>
      <c r="DR85" s="1936">
        <v>1882.1021363569846</v>
      </c>
      <c r="DS85" s="1936">
        <v>993.40718073051312</v>
      </c>
      <c r="DT85" s="1936">
        <v>340.81528102895538</v>
      </c>
      <c r="DU85" s="1936">
        <v>17867.214211904029</v>
      </c>
      <c r="DV85" s="1936">
        <v>10020.66233070781</v>
      </c>
      <c r="DW85" s="1936">
        <v>1005.9299764694006</v>
      </c>
      <c r="DX85" s="1936">
        <v>511.1561061203372</v>
      </c>
      <c r="DY85" s="1936">
        <v>5592.8812497493982</v>
      </c>
      <c r="DZ85" s="1936">
        <v>254.00958931461253</v>
      </c>
      <c r="EA85" s="1936">
        <v>928.15002919699418</v>
      </c>
      <c r="EB85" s="1936">
        <v>18312.789281558551</v>
      </c>
      <c r="EC85" s="1936">
        <v>-445.57506965452296</v>
      </c>
      <c r="ED85" s="1941">
        <v>106</v>
      </c>
      <c r="EE85" s="1936">
        <v>1</v>
      </c>
      <c r="EF85" s="1936">
        <v>14</v>
      </c>
      <c r="EG85" s="1938">
        <v>89000</v>
      </c>
      <c r="EH85" s="1938">
        <v>1</v>
      </c>
      <c r="EI85" s="1368">
        <v>0.09</v>
      </c>
      <c r="EJ85" s="1936">
        <v>4.1652342213420503</v>
      </c>
      <c r="EK85" s="1936">
        <v>1</v>
      </c>
      <c r="EL85" s="1936">
        <v>1200</v>
      </c>
      <c r="EM85" s="1936">
        <v>1</v>
      </c>
      <c r="EN85" s="1362">
        <v>0.22</v>
      </c>
      <c r="EO85" s="1936">
        <v>0</v>
      </c>
      <c r="EP85" s="1936">
        <v>0</v>
      </c>
      <c r="EQ85" s="1936">
        <v>0</v>
      </c>
      <c r="ER85" s="1938">
        <v>0</v>
      </c>
      <c r="ES85" s="1936">
        <v>2875.5093170874975</v>
      </c>
      <c r="ET85" s="1936">
        <v>-1508.9912242119508</v>
      </c>
      <c r="EU85" s="1938">
        <v>2</v>
      </c>
      <c r="EV85" s="1936">
        <v>72400</v>
      </c>
      <c r="EW85" s="1936">
        <v>1113</v>
      </c>
      <c r="EX85" s="1938">
        <v>1</v>
      </c>
      <c r="EY85" s="1936">
        <v>830976</v>
      </c>
      <c r="EZ85" s="1936">
        <v>315847</v>
      </c>
      <c r="FA85" s="1936">
        <v>515129</v>
      </c>
      <c r="FB85" s="1936">
        <v>438604</v>
      </c>
      <c r="FC85" s="1936">
        <v>128286</v>
      </c>
      <c r="FD85" s="1936">
        <v>310318</v>
      </c>
      <c r="FE85" s="1936">
        <v>1269580</v>
      </c>
      <c r="FF85" s="1936">
        <v>444133</v>
      </c>
      <c r="FG85" s="1936">
        <v>825447</v>
      </c>
      <c r="FH85" s="1366">
        <v>1</v>
      </c>
      <c r="FI85" s="1366">
        <v>0.38009160312692547</v>
      </c>
      <c r="FJ85" s="1366">
        <v>0.61990839687307453</v>
      </c>
      <c r="FK85" s="1366">
        <v>1</v>
      </c>
      <c r="FL85" s="1366">
        <v>0.29248707262131673</v>
      </c>
      <c r="FM85" s="1366">
        <v>0.70751292737868332</v>
      </c>
      <c r="FN85" s="1366">
        <v>1</v>
      </c>
      <c r="FO85" s="1366">
        <v>0.34982671434647677</v>
      </c>
      <c r="FP85" s="1366">
        <v>0.65017328565352317</v>
      </c>
      <c r="FQ85" s="1936">
        <v>988274</v>
      </c>
      <c r="FR85" s="1936">
        <v>0</v>
      </c>
      <c r="FS85" s="1936">
        <v>237704</v>
      </c>
      <c r="FT85" s="1936">
        <v>15975</v>
      </c>
      <c r="FU85" s="1936">
        <v>10711</v>
      </c>
      <c r="FV85" s="1936">
        <v>8505</v>
      </c>
      <c r="FW85" s="1936">
        <v>230520</v>
      </c>
      <c r="FX85" s="1936">
        <v>1491689</v>
      </c>
      <c r="FY85" s="1936">
        <v>-666242</v>
      </c>
      <c r="FZ85" s="1366">
        <v>0.77842593613636002</v>
      </c>
      <c r="GA85" s="1366">
        <v>0</v>
      </c>
      <c r="GB85" s="1366">
        <v>0.18723042265946219</v>
      </c>
      <c r="GC85" s="1366">
        <v>1.2582901431969627E-2</v>
      </c>
      <c r="GD85" s="1366">
        <v>8.4366483403960357E-3</v>
      </c>
      <c r="GE85" s="1366">
        <v>6.6990658327950973E-3</v>
      </c>
      <c r="GF85" s="1366">
        <v>0.18157185840986784</v>
      </c>
      <c r="GG85" s="1366">
        <v>1.1749468328108508</v>
      </c>
      <c r="GH85" s="1366">
        <v>-0.5247735471573276</v>
      </c>
      <c r="GI85" s="1942">
        <v>1.8945928445705009</v>
      </c>
      <c r="GJ85" s="1943">
        <v>1</v>
      </c>
      <c r="GK85" s="1371">
        <v>0.1</v>
      </c>
      <c r="GL85" s="1943">
        <v>1</v>
      </c>
      <c r="GM85" s="1371">
        <v>0.15</v>
      </c>
      <c r="GN85" s="1943">
        <v>18</v>
      </c>
      <c r="GO85" s="1985">
        <f>IF(GN85=0,0,VLOOKUP(A85,'Area (&amp;golfacre for lookup)'!$G$2:$H$133,2,FALSE))</f>
        <v>72</v>
      </c>
      <c r="GP85" s="1943">
        <v>27193</v>
      </c>
      <c r="GQ85" s="1943">
        <v>1127485</v>
      </c>
      <c r="GR85" s="1943">
        <v>215831</v>
      </c>
      <c r="GS85" s="1943">
        <v>718138</v>
      </c>
      <c r="GT85" s="1943">
        <v>201392</v>
      </c>
      <c r="GU85" s="1943">
        <v>0</v>
      </c>
      <c r="GV85" s="1943">
        <v>231319</v>
      </c>
      <c r="GW85" s="1943">
        <v>2494165</v>
      </c>
      <c r="GX85" s="1943">
        <v>138564.72222222222</v>
      </c>
      <c r="GY85" s="1985">
        <f t="shared" si="764"/>
        <v>34641.180555555555</v>
      </c>
      <c r="GZ85" s="1366">
        <v>0.45204908255869197</v>
      </c>
      <c r="HA85" s="1366">
        <v>8.6534371222433154E-2</v>
      </c>
      <c r="HB85" s="1366">
        <v>0.28792722213646649</v>
      </c>
      <c r="HC85" s="1366">
        <v>8.0745259435522507E-2</v>
      </c>
      <c r="HD85" s="1366">
        <v>0</v>
      </c>
      <c r="HE85" s="1366">
        <v>9.2744064646885838E-2</v>
      </c>
      <c r="HF85" s="1366">
        <v>1</v>
      </c>
      <c r="HG85" s="1936">
        <v>0</v>
      </c>
      <c r="HH85" s="1988">
        <f>IF(HG85=0,0,VLOOKUP(A85,'Area (&amp;golfacre for lookup)'!$G$2:$H$134,2,FALSE))</f>
        <v>0</v>
      </c>
      <c r="HI85" s="1936">
        <v>0</v>
      </c>
      <c r="HJ85" s="1936">
        <v>0</v>
      </c>
      <c r="HK85" s="1936">
        <v>0</v>
      </c>
      <c r="HL85" s="1936">
        <v>0</v>
      </c>
      <c r="HM85" s="1936">
        <v>0</v>
      </c>
      <c r="HN85" s="1936">
        <v>0</v>
      </c>
      <c r="HO85" s="1936">
        <v>0</v>
      </c>
      <c r="HP85" s="1936">
        <v>0</v>
      </c>
      <c r="HQ85" s="1936">
        <v>0</v>
      </c>
      <c r="HR85" s="1988">
        <f t="shared" si="765"/>
        <v>0</v>
      </c>
      <c r="HS85" s="1936">
        <v>0</v>
      </c>
      <c r="HT85" s="1936">
        <v>0</v>
      </c>
      <c r="HU85" s="1936">
        <v>0</v>
      </c>
      <c r="HV85" s="1936">
        <v>0</v>
      </c>
      <c r="HW85" s="1936">
        <v>0</v>
      </c>
      <c r="HX85" s="1936">
        <v>0</v>
      </c>
      <c r="HY85" s="1936">
        <v>0</v>
      </c>
      <c r="HZ85" s="51"/>
      <c r="IA85" s="59">
        <f t="shared" si="766"/>
        <v>0</v>
      </c>
      <c r="IB85" s="59"/>
      <c r="IC85" s="815">
        <f t="shared" si="581"/>
        <v>1</v>
      </c>
      <c r="ID85" s="815"/>
      <c r="IE85" s="284">
        <f t="shared" si="582"/>
        <v>0</v>
      </c>
      <c r="IF85" s="284"/>
      <c r="IG85" s="284">
        <f t="shared" si="583"/>
        <v>47386.632789333664</v>
      </c>
      <c r="IH85" s="284"/>
      <c r="II85" s="1288">
        <f t="shared" si="584"/>
        <v>1.5374835711225019</v>
      </c>
      <c r="IJ85" s="1288">
        <f t="shared" si="585"/>
        <v>0</v>
      </c>
      <c r="IK85" s="284">
        <f t="shared" si="586"/>
        <v>0</v>
      </c>
      <c r="IL85" s="284">
        <f t="shared" si="587"/>
        <v>0</v>
      </c>
      <c r="IM85" s="284">
        <f t="shared" si="588"/>
        <v>1</v>
      </c>
      <c r="IN85" s="284">
        <f t="shared" si="589"/>
        <v>0</v>
      </c>
      <c r="IO85" s="753">
        <f t="shared" si="590"/>
        <v>-1368.053388090349</v>
      </c>
      <c r="IP85" s="113">
        <f t="shared" si="591"/>
        <v>-1508.9912242119508</v>
      </c>
      <c r="IQ85" s="30">
        <f t="shared" si="592"/>
        <v>-0.13560309347699054</v>
      </c>
      <c r="IR85" s="438">
        <f t="shared" si="593"/>
        <v>830976</v>
      </c>
      <c r="IS85" s="438">
        <f t="shared" si="594"/>
        <v>438604</v>
      </c>
      <c r="IT85" s="438">
        <f t="shared" si="595"/>
        <v>988274</v>
      </c>
      <c r="IU85" s="438">
        <f t="shared" si="596"/>
        <v>253679</v>
      </c>
      <c r="IV85" s="438">
        <f t="shared" si="597"/>
        <v>444133</v>
      </c>
      <c r="IW85" s="438">
        <f t="shared" si="598"/>
        <v>249736</v>
      </c>
      <c r="IX85" s="285">
        <f t="shared" si="599"/>
        <v>0.65452826919138618</v>
      </c>
      <c r="IY85" s="285">
        <f t="shared" si="600"/>
        <v>0.34547173080861387</v>
      </c>
      <c r="IZ85" s="285">
        <f t="shared" si="601"/>
        <v>0.77842593613636002</v>
      </c>
      <c r="JA85" s="285">
        <f t="shared" si="602"/>
        <v>0.19981332409143182</v>
      </c>
      <c r="JB85" s="285">
        <f t="shared" si="603"/>
        <v>0.34982671434647677</v>
      </c>
      <c r="JC85" s="285">
        <f t="shared" si="604"/>
        <v>0.19670757258305896</v>
      </c>
      <c r="JD85" s="60">
        <f t="shared" si="605"/>
        <v>4913177</v>
      </c>
      <c r="JE85" s="60">
        <f t="shared" si="606"/>
        <v>1555408</v>
      </c>
      <c r="JF85" s="60">
        <f t="shared" si="607"/>
        <v>0</v>
      </c>
      <c r="JG85" s="60">
        <f t="shared" si="608"/>
        <v>521941</v>
      </c>
      <c r="JH85" s="284">
        <f t="shared" si="609"/>
        <v>0</v>
      </c>
      <c r="JI85" s="284">
        <f t="shared" si="610"/>
        <v>1</v>
      </c>
      <c r="JJ85" s="560">
        <f t="shared" si="611"/>
        <v>0.65406262317126895</v>
      </c>
      <c r="JK85" s="561">
        <f t="shared" si="612"/>
        <v>0.56084077863865001</v>
      </c>
      <c r="JL85" s="561">
        <f t="shared" si="613"/>
        <v>5.630032553139705E-2</v>
      </c>
      <c r="JM85" s="561">
        <f t="shared" si="614"/>
        <v>2.860860680674996E-2</v>
      </c>
      <c r="JN85" s="561">
        <f t="shared" si="615"/>
        <v>0.31302480528963167</v>
      </c>
      <c r="JO85" s="561">
        <f t="shared" si="616"/>
        <v>1.4216518943696252E-2</v>
      </c>
      <c r="JP85" s="561">
        <f t="shared" si="617"/>
        <v>5.1947103683271136E-2</v>
      </c>
      <c r="JQ85" s="561">
        <f t="shared" si="618"/>
        <v>1.024938138893396</v>
      </c>
      <c r="JR85" s="61">
        <f t="shared" si="619"/>
        <v>62638.055555555555</v>
      </c>
      <c r="JS85" s="61">
        <f t="shared" si="620"/>
        <v>11990.611111111111</v>
      </c>
      <c r="JT85" s="61">
        <f t="shared" si="621"/>
        <v>39896.555555555555</v>
      </c>
      <c r="JU85" s="61">
        <f t="shared" si="622"/>
        <v>11188.444444444445</v>
      </c>
      <c r="JV85" s="61">
        <f t="shared" si="623"/>
        <v>0</v>
      </c>
      <c r="JW85" s="61">
        <f t="shared" si="624"/>
        <v>12851.055555555555</v>
      </c>
      <c r="JX85" s="61">
        <f t="shared" si="625"/>
        <v>91.720847276872718</v>
      </c>
      <c r="JY85" s="394">
        <f t="shared" si="626"/>
        <v>0.30847884722130148</v>
      </c>
      <c r="JZ85" s="61">
        <f t="shared" si="627"/>
        <v>0</v>
      </c>
      <c r="KA85" s="61">
        <f t="shared" si="628"/>
        <v>0</v>
      </c>
      <c r="KB85" s="61">
        <f t="shared" si="629"/>
        <v>0</v>
      </c>
      <c r="KC85" s="61">
        <f t="shared" si="630"/>
        <v>0</v>
      </c>
      <c r="KD85" s="61">
        <f t="shared" si="631"/>
        <v>0</v>
      </c>
      <c r="KE85" s="61">
        <f t="shared" si="632"/>
        <v>0</v>
      </c>
      <c r="KF85" s="61">
        <f t="shared" si="633"/>
        <v>0</v>
      </c>
      <c r="KG85" s="61">
        <f t="shared" si="634"/>
        <v>0</v>
      </c>
      <c r="KH85" s="61">
        <f t="shared" si="635"/>
        <v>0</v>
      </c>
      <c r="KI85" s="394">
        <f t="shared" si="636"/>
        <v>0</v>
      </c>
      <c r="KJ85" s="438">
        <f t="shared" si="637"/>
        <v>18</v>
      </c>
      <c r="KK85" s="438">
        <f t="shared" si="638"/>
        <v>27193</v>
      </c>
      <c r="KL85" s="438">
        <f t="shared" si="639"/>
        <v>72</v>
      </c>
      <c r="KM85" s="438">
        <f t="shared" si="640"/>
        <v>138564.72222222222</v>
      </c>
      <c r="KN85" s="438">
        <f t="shared" si="641"/>
        <v>91.720847276872718</v>
      </c>
      <c r="KO85" s="438">
        <f t="shared" si="642"/>
        <v>34641.180555555555</v>
      </c>
      <c r="KP85" s="438">
        <f t="shared" si="643"/>
        <v>1127485</v>
      </c>
      <c r="KQ85" s="438">
        <f t="shared" si="644"/>
        <v>215831</v>
      </c>
      <c r="KR85" s="438">
        <f t="shared" si="645"/>
        <v>718138</v>
      </c>
      <c r="KS85" s="438">
        <f t="shared" si="646"/>
        <v>201392</v>
      </c>
      <c r="KT85" s="438">
        <f t="shared" si="647"/>
        <v>0</v>
      </c>
      <c r="KU85" s="438">
        <f t="shared" si="648"/>
        <v>231319</v>
      </c>
      <c r="KV85" s="420">
        <f t="shared" si="649"/>
        <v>0.30847884722130148</v>
      </c>
      <c r="KW85" s="420">
        <f t="shared" si="650"/>
        <v>-0.46056675751758996</v>
      </c>
      <c r="KX85" s="108"/>
      <c r="KY85" s="282">
        <f t="shared" si="651"/>
        <v>0</v>
      </c>
      <c r="KZ85" s="282"/>
      <c r="LA85" s="282">
        <f t="shared" si="652"/>
        <v>0</v>
      </c>
      <c r="LB85" s="282"/>
      <c r="LC85" s="286">
        <f t="shared" si="653"/>
        <v>0</v>
      </c>
      <c r="LD85" s="286"/>
      <c r="LE85" s="282">
        <f t="shared" si="654"/>
        <v>0</v>
      </c>
      <c r="LF85" s="282"/>
      <c r="LG85" s="282">
        <f t="shared" si="655"/>
        <v>0</v>
      </c>
      <c r="LH85" s="282">
        <f t="shared" si="656"/>
        <v>0</v>
      </c>
      <c r="LI85" s="282">
        <f t="shared" si="657"/>
        <v>0</v>
      </c>
      <c r="LJ85" s="282">
        <f t="shared" si="658"/>
        <v>0</v>
      </c>
      <c r="LK85" s="282"/>
      <c r="LL85" s="282">
        <f t="shared" si="659"/>
        <v>0</v>
      </c>
      <c r="LM85" s="282">
        <f t="shared" si="660"/>
        <v>0</v>
      </c>
      <c r="LN85" s="282">
        <f t="shared" si="661"/>
        <v>0</v>
      </c>
      <c r="LO85" s="282">
        <f t="shared" si="662"/>
        <v>0</v>
      </c>
      <c r="LP85" s="286">
        <f t="shared" si="663"/>
        <v>0</v>
      </c>
      <c r="LQ85" s="282">
        <f t="shared" si="664"/>
        <v>0</v>
      </c>
      <c r="LR85" s="282">
        <f t="shared" si="665"/>
        <v>0</v>
      </c>
      <c r="LS85" s="282">
        <f t="shared" si="666"/>
        <v>0</v>
      </c>
      <c r="LT85" s="286">
        <f t="shared" si="667"/>
        <v>0</v>
      </c>
      <c r="LU85" s="286">
        <f t="shared" si="668"/>
        <v>0</v>
      </c>
      <c r="LV85" s="286">
        <f t="shared" si="669"/>
        <v>0</v>
      </c>
      <c r="LW85" s="286">
        <f t="shared" si="670"/>
        <v>0</v>
      </c>
      <c r="LX85" s="286">
        <f t="shared" si="671"/>
        <v>0</v>
      </c>
      <c r="LY85" s="286">
        <f t="shared" si="672"/>
        <v>0</v>
      </c>
      <c r="LZ85" s="286">
        <f t="shared" si="673"/>
        <v>0</v>
      </c>
      <c r="MA85" s="286">
        <f t="shared" si="674"/>
        <v>0</v>
      </c>
      <c r="MB85" s="286">
        <f t="shared" si="675"/>
        <v>0</v>
      </c>
      <c r="MC85" s="286">
        <f t="shared" si="676"/>
        <v>0</v>
      </c>
      <c r="MD85" s="286">
        <f t="shared" si="677"/>
        <v>0</v>
      </c>
      <c r="ME85" s="286">
        <f t="shared" si="678"/>
        <v>0</v>
      </c>
      <c r="MF85" s="286">
        <f t="shared" si="679"/>
        <v>0</v>
      </c>
      <c r="MG85" s="286">
        <f t="shared" si="680"/>
        <v>0</v>
      </c>
      <c r="MH85" s="286">
        <f t="shared" si="681"/>
        <v>0</v>
      </c>
      <c r="MI85" s="286">
        <f t="shared" si="682"/>
        <v>0</v>
      </c>
      <c r="MJ85" s="286">
        <f t="shared" si="683"/>
        <v>0</v>
      </c>
      <c r="MK85" s="286">
        <f t="shared" si="684"/>
        <v>0</v>
      </c>
      <c r="ML85" s="282">
        <f t="shared" si="685"/>
        <v>0</v>
      </c>
      <c r="MM85" s="1232">
        <f t="shared" si="686"/>
        <v>0</v>
      </c>
      <c r="MN85" s="1232">
        <f t="shared" si="687"/>
        <v>0</v>
      </c>
      <c r="MO85" s="1232">
        <f t="shared" si="688"/>
        <v>0</v>
      </c>
      <c r="MP85" s="1232">
        <f t="shared" si="689"/>
        <v>0</v>
      </c>
      <c r="MQ85" s="282">
        <f t="shared" si="690"/>
        <v>0</v>
      </c>
      <c r="MR85" s="282">
        <f t="shared" si="691"/>
        <v>0</v>
      </c>
      <c r="MS85" s="282">
        <f t="shared" si="692"/>
        <v>0</v>
      </c>
      <c r="MT85" s="282">
        <f t="shared" si="693"/>
        <v>0</v>
      </c>
      <c r="MU85" s="282">
        <f t="shared" si="694"/>
        <v>0</v>
      </c>
      <c r="MV85" s="282">
        <f t="shared" si="695"/>
        <v>0</v>
      </c>
      <c r="MW85" s="282">
        <f t="shared" si="696"/>
        <v>0</v>
      </c>
      <c r="MX85" s="282">
        <f t="shared" si="697"/>
        <v>0</v>
      </c>
      <c r="MY85" s="282">
        <f t="shared" si="698"/>
        <v>0</v>
      </c>
      <c r="MZ85" s="282">
        <f t="shared" si="699"/>
        <v>0</v>
      </c>
      <c r="NA85" s="282">
        <f t="shared" si="700"/>
        <v>0</v>
      </c>
      <c r="NB85" s="282">
        <f t="shared" si="701"/>
        <v>0</v>
      </c>
      <c r="NC85" s="282">
        <f t="shared" si="702"/>
        <v>0</v>
      </c>
      <c r="ND85" s="282">
        <f t="shared" si="703"/>
        <v>0</v>
      </c>
      <c r="NE85" s="282">
        <f t="shared" si="704"/>
        <v>0</v>
      </c>
      <c r="NF85" s="282">
        <f t="shared" si="705"/>
        <v>0</v>
      </c>
      <c r="NG85" s="282">
        <f t="shared" si="706"/>
        <v>0</v>
      </c>
      <c r="NH85" s="282">
        <f t="shared" si="707"/>
        <v>0</v>
      </c>
      <c r="NI85" s="282">
        <f t="shared" si="708"/>
        <v>0</v>
      </c>
      <c r="NJ85" s="282">
        <f t="shared" si="709"/>
        <v>0</v>
      </c>
      <c r="NK85" s="282">
        <f t="shared" si="710"/>
        <v>0</v>
      </c>
      <c r="NL85" s="282">
        <f t="shared" si="711"/>
        <v>0</v>
      </c>
      <c r="NM85" s="1205">
        <f t="shared" si="712"/>
        <v>0</v>
      </c>
      <c r="NN85" s="282">
        <f t="shared" si="713"/>
        <v>0</v>
      </c>
      <c r="NO85" s="282">
        <f t="shared" si="714"/>
        <v>0</v>
      </c>
      <c r="NP85" s="282">
        <f t="shared" si="715"/>
        <v>0</v>
      </c>
      <c r="NQ85" s="282">
        <f t="shared" si="716"/>
        <v>0</v>
      </c>
      <c r="NR85" s="282">
        <f t="shared" si="717"/>
        <v>0</v>
      </c>
      <c r="NS85" s="282">
        <f t="shared" si="718"/>
        <v>0</v>
      </c>
      <c r="NT85" s="282">
        <f t="shared" si="719"/>
        <v>0</v>
      </c>
      <c r="NU85" s="282">
        <f t="shared" si="720"/>
        <v>0</v>
      </c>
      <c r="NV85" s="286">
        <f t="shared" si="721"/>
        <v>0</v>
      </c>
      <c r="NW85" s="286">
        <f t="shared" si="722"/>
        <v>0</v>
      </c>
      <c r="NX85" s="286">
        <f t="shared" si="723"/>
        <v>0</v>
      </c>
      <c r="NY85" s="286">
        <f t="shared" si="724"/>
        <v>0</v>
      </c>
      <c r="NZ85" s="286">
        <f t="shared" si="725"/>
        <v>0</v>
      </c>
      <c r="OA85" s="286">
        <f t="shared" si="726"/>
        <v>0</v>
      </c>
      <c r="OB85" s="286">
        <f t="shared" si="727"/>
        <v>0</v>
      </c>
      <c r="OC85" s="286">
        <f t="shared" si="728"/>
        <v>0</v>
      </c>
      <c r="OD85" s="286">
        <f t="shared" si="729"/>
        <v>0</v>
      </c>
      <c r="OE85" s="282">
        <f t="shared" si="730"/>
        <v>0</v>
      </c>
      <c r="OF85" s="282">
        <f t="shared" si="731"/>
        <v>0</v>
      </c>
      <c r="OG85" s="286">
        <f t="shared" si="732"/>
        <v>0</v>
      </c>
      <c r="OH85" s="286">
        <f t="shared" si="733"/>
        <v>0</v>
      </c>
      <c r="OI85" s="286">
        <f t="shared" si="734"/>
        <v>0</v>
      </c>
      <c r="OJ85" s="286">
        <f t="shared" si="735"/>
        <v>0</v>
      </c>
      <c r="OK85" s="286">
        <f t="shared" si="736"/>
        <v>0</v>
      </c>
      <c r="OL85" s="286">
        <f t="shared" si="737"/>
        <v>0</v>
      </c>
      <c r="OM85" s="286">
        <f t="shared" si="738"/>
        <v>0</v>
      </c>
      <c r="ON85" s="286">
        <f t="shared" si="739"/>
        <v>0</v>
      </c>
      <c r="OO85" s="286">
        <f t="shared" si="740"/>
        <v>0</v>
      </c>
      <c r="OP85" s="434">
        <f t="shared" si="741"/>
        <v>0</v>
      </c>
      <c r="OQ85" s="434">
        <f t="shared" si="742"/>
        <v>0</v>
      </c>
      <c r="OR85" s="282">
        <f t="shared" si="743"/>
        <v>0</v>
      </c>
      <c r="OS85" s="282">
        <f t="shared" si="744"/>
        <v>0</v>
      </c>
      <c r="OT85" s="282">
        <f t="shared" si="745"/>
        <v>0</v>
      </c>
      <c r="OU85" s="282">
        <f t="shared" si="746"/>
        <v>0</v>
      </c>
      <c r="OV85" s="282">
        <f t="shared" si="747"/>
        <v>0</v>
      </c>
      <c r="OW85" s="286">
        <f t="shared" si="748"/>
        <v>0</v>
      </c>
      <c r="OX85" s="286">
        <f t="shared" si="749"/>
        <v>0</v>
      </c>
      <c r="OY85" s="286">
        <f t="shared" si="750"/>
        <v>0</v>
      </c>
      <c r="OZ85" s="286">
        <f t="shared" si="751"/>
        <v>0</v>
      </c>
      <c r="PA85" s="286">
        <f t="shared" si="752"/>
        <v>0</v>
      </c>
      <c r="PB85" s="286">
        <f t="shared" si="753"/>
        <v>0</v>
      </c>
      <c r="PC85" s="286">
        <f t="shared" si="754"/>
        <v>0</v>
      </c>
      <c r="PD85" s="282">
        <f t="shared" si="755"/>
        <v>0</v>
      </c>
      <c r="PE85" s="282">
        <f t="shared" si="756"/>
        <v>0</v>
      </c>
      <c r="PF85" s="286">
        <f t="shared" si="757"/>
        <v>0</v>
      </c>
      <c r="PG85" s="286">
        <f t="shared" si="758"/>
        <v>0</v>
      </c>
      <c r="PH85" s="286">
        <f t="shared" si="759"/>
        <v>0</v>
      </c>
      <c r="PI85" s="286">
        <f t="shared" si="760"/>
        <v>0</v>
      </c>
      <c r="PJ85" s="286">
        <f t="shared" si="761"/>
        <v>0</v>
      </c>
      <c r="PK85" s="286">
        <f t="shared" si="762"/>
        <v>0</v>
      </c>
      <c r="PL85" s="286">
        <f t="shared" si="763"/>
        <v>0</v>
      </c>
      <c r="PM85" s="562">
        <v>29</v>
      </c>
      <c r="PO85" s="571"/>
    </row>
    <row r="86" spans="1:431" s="289" customFormat="1">
      <c r="A86" s="1640" t="s">
        <v>1846</v>
      </c>
      <c r="B86" s="1040" t="str">
        <f>VLOOKUP(A86,'Area (&amp;golfacre for lookup)'!$A$2:$B$162,2,FALSE)</f>
        <v>SW CIRA</v>
      </c>
      <c r="C86" s="1409"/>
      <c r="D86" s="1410">
        <v>44926</v>
      </c>
      <c r="E86" s="671"/>
      <c r="F86" s="1409">
        <v>0</v>
      </c>
      <c r="G86" s="1409">
        <v>1</v>
      </c>
      <c r="H86" s="1409">
        <v>821</v>
      </c>
      <c r="I86" s="1409">
        <v>429</v>
      </c>
      <c r="J86" s="1409">
        <v>1250</v>
      </c>
      <c r="K86" s="1411">
        <v>1013.656355455568</v>
      </c>
      <c r="L86" s="1412" t="s">
        <v>1208</v>
      </c>
      <c r="M86" s="1412" t="s">
        <v>1208</v>
      </c>
      <c r="N86" s="1412" t="s">
        <v>1208</v>
      </c>
      <c r="O86" s="1412" t="s">
        <v>1208</v>
      </c>
      <c r="P86" s="1412" t="s">
        <v>1208</v>
      </c>
      <c r="Q86" s="1409">
        <v>0</v>
      </c>
      <c r="R86" s="1409">
        <v>4000</v>
      </c>
      <c r="S86" s="1409">
        <v>4000</v>
      </c>
      <c r="T86" s="1412" t="s">
        <v>1208</v>
      </c>
      <c r="U86" s="1412" t="s">
        <v>1208</v>
      </c>
      <c r="V86" s="1412" t="s">
        <v>1208</v>
      </c>
      <c r="W86" s="1409">
        <v>6181</v>
      </c>
      <c r="X86" s="1409">
        <v>5334</v>
      </c>
      <c r="Y86" s="1412" t="s">
        <v>1208</v>
      </c>
      <c r="Z86" s="1412" t="s">
        <v>1208</v>
      </c>
      <c r="AA86" s="1409">
        <v>847</v>
      </c>
      <c r="AB86" s="1331">
        <v>0.15879265091863518</v>
      </c>
      <c r="AC86" s="1412" t="s">
        <v>1208</v>
      </c>
      <c r="AD86" s="1200" t="s">
        <v>1208</v>
      </c>
      <c r="AE86" s="1409">
        <v>0</v>
      </c>
      <c r="AF86" s="1409">
        <v>0</v>
      </c>
      <c r="AG86" s="1412" t="s">
        <v>1208</v>
      </c>
      <c r="AH86" s="1409">
        <v>0</v>
      </c>
      <c r="AI86" s="1409">
        <v>0</v>
      </c>
      <c r="AJ86" s="1412" t="s">
        <v>1208</v>
      </c>
      <c r="AK86" s="1411">
        <v>1</v>
      </c>
      <c r="AL86" s="1411">
        <v>450</v>
      </c>
      <c r="AM86" s="1409">
        <v>5784</v>
      </c>
      <c r="AN86" s="1412" t="s">
        <v>1208</v>
      </c>
      <c r="AO86" s="1409">
        <v>500</v>
      </c>
      <c r="AP86" s="1409">
        <v>0</v>
      </c>
      <c r="AQ86" s="1409">
        <v>6284</v>
      </c>
      <c r="AR86" s="1412" t="s">
        <v>1208</v>
      </c>
      <c r="AS86" s="1200" t="s">
        <v>1208</v>
      </c>
      <c r="AT86" s="1200" t="s">
        <v>1208</v>
      </c>
      <c r="AU86" s="1200" t="s">
        <v>1208</v>
      </c>
      <c r="AV86" s="1200" t="s">
        <v>1208</v>
      </c>
      <c r="AW86" s="1200" t="s">
        <v>1291</v>
      </c>
      <c r="AX86" s="1411">
        <v>1</v>
      </c>
      <c r="AY86" s="1411">
        <v>0</v>
      </c>
      <c r="AZ86" s="1411">
        <v>1</v>
      </c>
      <c r="BA86" s="1411">
        <v>0</v>
      </c>
      <c r="BB86" s="1411">
        <v>0</v>
      </c>
      <c r="BC86" s="1411">
        <v>0</v>
      </c>
      <c r="BD86" s="1411">
        <v>0</v>
      </c>
      <c r="BE86" s="1409">
        <v>0</v>
      </c>
      <c r="BF86" s="1409">
        <v>0</v>
      </c>
      <c r="BG86" s="1409">
        <v>722300</v>
      </c>
      <c r="BH86" s="1409">
        <v>722300</v>
      </c>
      <c r="BI86" s="1411">
        <v>2003541</v>
      </c>
      <c r="BJ86" s="1409">
        <v>1477740</v>
      </c>
      <c r="BK86" s="1409">
        <v>419828</v>
      </c>
      <c r="BL86" s="1331">
        <v>3.5198700420172071</v>
      </c>
      <c r="BM86" s="1409">
        <v>1</v>
      </c>
      <c r="BN86" s="1409">
        <v>429529</v>
      </c>
      <c r="BO86" s="1200" t="s">
        <v>1208</v>
      </c>
      <c r="BP86" s="1411">
        <v>1380303</v>
      </c>
      <c r="BQ86" s="1411">
        <v>1853126</v>
      </c>
      <c r="BR86" s="1413">
        <v>0.74485113262670755</v>
      </c>
      <c r="BS86" s="1409">
        <v>0</v>
      </c>
      <c r="BT86" s="1411">
        <v>282655</v>
      </c>
      <c r="BU86" s="1411">
        <v>3735258</v>
      </c>
      <c r="BV86" s="1413">
        <v>7.5672149018889731E-2</v>
      </c>
      <c r="BW86" s="1409">
        <v>423.74222554640482</v>
      </c>
      <c r="BX86" s="1409">
        <v>1457.8313370667504</v>
      </c>
      <c r="BY86" s="1409">
        <v>712.56890573667488</v>
      </c>
      <c r="BZ86" s="1409">
        <v>1413955</v>
      </c>
      <c r="CA86" s="1409">
        <v>68254</v>
      </c>
      <c r="CB86" s="1409">
        <v>211287</v>
      </c>
      <c r="CC86" s="1409">
        <v>693738</v>
      </c>
      <c r="CD86" s="1409">
        <v>5406843</v>
      </c>
      <c r="CE86" s="1409">
        <v>0</v>
      </c>
      <c r="CF86" s="1409">
        <v>0</v>
      </c>
      <c r="CG86" s="1409">
        <v>1684250</v>
      </c>
      <c r="CH86" s="1409">
        <v>963808</v>
      </c>
      <c r="CI86" s="1409">
        <v>133800</v>
      </c>
      <c r="CJ86" s="1409">
        <v>10575935</v>
      </c>
      <c r="CK86" s="30">
        <v>0.1336955077730716</v>
      </c>
      <c r="CL86" s="30">
        <v>6.4537083482453326E-3</v>
      </c>
      <c r="CM86" s="30">
        <v>1.9978091771554948E-2</v>
      </c>
      <c r="CN86" s="30">
        <v>6.5595902395391051E-2</v>
      </c>
      <c r="CO86" s="30">
        <v>0.51124018821976491</v>
      </c>
      <c r="CP86" s="30">
        <v>0</v>
      </c>
      <c r="CQ86" s="30">
        <v>0</v>
      </c>
      <c r="CR86" s="30">
        <v>0.15925305894939784</v>
      </c>
      <c r="CS86" s="30">
        <v>9.113217885699941E-2</v>
      </c>
      <c r="CT86" s="30">
        <v>1.2651363685574846E-2</v>
      </c>
      <c r="CU86" s="30">
        <v>1</v>
      </c>
      <c r="CV86" s="1409">
        <v>4153784</v>
      </c>
      <c r="CW86" s="1409">
        <v>901744</v>
      </c>
      <c r="CX86" s="1409">
        <v>153297</v>
      </c>
      <c r="CY86" s="1409">
        <v>4725902</v>
      </c>
      <c r="CZ86" s="1409">
        <v>46729</v>
      </c>
      <c r="DA86" s="1409">
        <v>256130</v>
      </c>
      <c r="DB86" s="1409">
        <v>10237586</v>
      </c>
      <c r="DC86" s="30">
        <v>0.40573861845946885</v>
      </c>
      <c r="DD86" s="30">
        <v>8.8081702073125448E-2</v>
      </c>
      <c r="DE86" s="30">
        <v>1.497394014565543E-2</v>
      </c>
      <c r="DF86" s="30">
        <v>0.46162269113050675</v>
      </c>
      <c r="DG86" s="30">
        <v>4.5644549408424993E-3</v>
      </c>
      <c r="DH86" s="30">
        <v>2.5018593250401022E-2</v>
      </c>
      <c r="DI86" s="30">
        <v>1</v>
      </c>
      <c r="DJ86" s="1409">
        <v>338349</v>
      </c>
      <c r="DK86" s="1409">
        <v>1394.9056723119204</v>
      </c>
      <c r="DL86" s="1409">
        <v>67.334456724561818</v>
      </c>
      <c r="DM86" s="1409">
        <v>208.44046294667703</v>
      </c>
      <c r="DN86" s="1409">
        <v>684.39170362446259</v>
      </c>
      <c r="DO86" s="1409">
        <v>5334</v>
      </c>
      <c r="DP86" s="1409">
        <v>0</v>
      </c>
      <c r="DQ86" s="1409">
        <v>0</v>
      </c>
      <c r="DR86" s="1409">
        <v>1661.559157534258</v>
      </c>
      <c r="DS86" s="1409">
        <v>950.8232201304902</v>
      </c>
      <c r="DT86" s="1409">
        <v>131.99739663237864</v>
      </c>
      <c r="DU86" s="1409">
        <v>10433.452069904748</v>
      </c>
      <c r="DV86" s="1409">
        <v>4097.8226769299572</v>
      </c>
      <c r="DW86" s="1409">
        <v>889.59536942352497</v>
      </c>
      <c r="DX86" s="1409">
        <v>151.23172579636582</v>
      </c>
      <c r="DY86" s="1409">
        <v>4662.2328904316255</v>
      </c>
      <c r="DZ86" s="1409">
        <v>46.09944953090001</v>
      </c>
      <c r="EA86" s="1409">
        <v>252.67932137108477</v>
      </c>
      <c r="EB86" s="1409">
        <v>10099.661433483458</v>
      </c>
      <c r="EC86" s="1409">
        <v>333.79063642129057</v>
      </c>
      <c r="ED86" s="1414">
        <v>90</v>
      </c>
      <c r="EE86" s="1409">
        <v>0</v>
      </c>
      <c r="EF86" s="1409">
        <v>0</v>
      </c>
      <c r="EG86" s="1411">
        <v>0</v>
      </c>
      <c r="EH86" s="1411">
        <v>1</v>
      </c>
      <c r="EI86" s="1203">
        <v>0.03</v>
      </c>
      <c r="EJ86" s="1409">
        <v>11.262848393950756</v>
      </c>
      <c r="EK86" s="1409">
        <v>1</v>
      </c>
      <c r="EL86" s="1409">
        <v>500</v>
      </c>
      <c r="EM86" s="1409">
        <v>1</v>
      </c>
      <c r="EN86" s="1331">
        <v>0.18</v>
      </c>
      <c r="EO86" s="1409">
        <v>0</v>
      </c>
      <c r="EP86" s="1409">
        <v>0</v>
      </c>
      <c r="EQ86" s="1409">
        <v>0</v>
      </c>
      <c r="ER86" s="1411">
        <v>0</v>
      </c>
      <c r="ES86" s="1409">
        <v>2612.3823776647482</v>
      </c>
      <c r="ET86" s="1409">
        <v>-315.78256109896296</v>
      </c>
      <c r="EU86" s="1411">
        <v>2</v>
      </c>
      <c r="EV86" s="1409">
        <v>57526</v>
      </c>
      <c r="EW86" s="1409">
        <v>2385</v>
      </c>
      <c r="EX86" s="1411">
        <v>1</v>
      </c>
      <c r="EY86" s="1409">
        <v>1684250</v>
      </c>
      <c r="EZ86" s="1409">
        <v>596776</v>
      </c>
      <c r="FA86" s="1409">
        <v>1087474</v>
      </c>
      <c r="FB86" s="1409">
        <v>963808</v>
      </c>
      <c r="FC86" s="1409">
        <v>304968</v>
      </c>
      <c r="FD86" s="1409">
        <v>658840</v>
      </c>
      <c r="FE86" s="1409">
        <v>2648058</v>
      </c>
      <c r="FF86" s="1409">
        <v>901744</v>
      </c>
      <c r="FG86" s="1409">
        <v>1746314</v>
      </c>
      <c r="FH86" s="30">
        <v>1</v>
      </c>
      <c r="FI86" s="30">
        <v>0.35432744545049727</v>
      </c>
      <c r="FJ86" s="30">
        <v>0.64567255454950279</v>
      </c>
      <c r="FK86" s="30">
        <v>1</v>
      </c>
      <c r="FL86" s="30">
        <v>0.31641986785749859</v>
      </c>
      <c r="FM86" s="30">
        <v>0.68358013214250146</v>
      </c>
      <c r="FN86" s="30">
        <v>1</v>
      </c>
      <c r="FO86" s="30">
        <v>0.34053030560508873</v>
      </c>
      <c r="FP86" s="30">
        <v>0.65946969439491132</v>
      </c>
      <c r="FQ86" s="1409">
        <v>1302037</v>
      </c>
      <c r="FR86" s="1409">
        <v>0</v>
      </c>
      <c r="FS86" s="1409">
        <v>370222</v>
      </c>
      <c r="FT86" s="1409">
        <v>10212</v>
      </c>
      <c r="FU86" s="1409">
        <v>51405</v>
      </c>
      <c r="FV86" s="1409">
        <v>2817</v>
      </c>
      <c r="FW86" s="1409">
        <v>329716</v>
      </c>
      <c r="FX86" s="1409">
        <v>2066409</v>
      </c>
      <c r="FY86" s="1409">
        <v>-320095</v>
      </c>
      <c r="FZ86" s="30">
        <v>0.49169504595443153</v>
      </c>
      <c r="GA86" s="30">
        <v>0</v>
      </c>
      <c r="GB86" s="30">
        <v>0.13980887125584107</v>
      </c>
      <c r="GC86" s="30">
        <v>3.8564110000611769E-3</v>
      </c>
      <c r="GD86" s="30">
        <v>1.9412339155713356E-2</v>
      </c>
      <c r="GE86" s="30">
        <v>1.0637984515444903E-3</v>
      </c>
      <c r="GF86" s="30">
        <v>0.12451237850530464</v>
      </c>
      <c r="GG86" s="30">
        <v>0.7803488443228962</v>
      </c>
      <c r="GH86" s="30">
        <v>-0.12087914992798496</v>
      </c>
      <c r="GI86" s="1415">
        <v>1.7474953517713072</v>
      </c>
      <c r="GJ86" s="1416">
        <v>0</v>
      </c>
      <c r="GK86" s="622">
        <v>0</v>
      </c>
      <c r="GL86" s="1416">
        <v>0</v>
      </c>
      <c r="GM86" s="622">
        <v>0</v>
      </c>
      <c r="GN86" s="1416">
        <v>18</v>
      </c>
      <c r="GO86" s="1985">
        <f>IF(GN86=0,0,VLOOKUP(A86,'Area (&amp;golfacre for lookup)'!$G$2:$H$133,2,FALSE))</f>
        <v>110</v>
      </c>
      <c r="GP86" s="1416">
        <v>53333</v>
      </c>
      <c r="GQ86" s="1416">
        <v>711143</v>
      </c>
      <c r="GR86" s="1416">
        <v>107625</v>
      </c>
      <c r="GS86" s="1416">
        <v>462878</v>
      </c>
      <c r="GT86" s="1416">
        <v>59048</v>
      </c>
      <c r="GU86" s="1416">
        <v>34693</v>
      </c>
      <c r="GV86" s="1416">
        <v>136422</v>
      </c>
      <c r="GW86" s="1416">
        <v>1511809</v>
      </c>
      <c r="GX86" s="1416">
        <v>83989.388888888891</v>
      </c>
      <c r="GY86" s="1985">
        <f t="shared" si="764"/>
        <v>13743.718181818182</v>
      </c>
      <c r="GZ86" s="30">
        <v>0.47039209318108305</v>
      </c>
      <c r="HA86" s="30">
        <v>7.1189548415176787E-2</v>
      </c>
      <c r="HB86" s="30">
        <v>0.30617492024455473</v>
      </c>
      <c r="HC86" s="30">
        <v>3.9057843947218202E-2</v>
      </c>
      <c r="HD86" s="30">
        <v>2.294800467519376E-2</v>
      </c>
      <c r="HE86" s="30">
        <v>9.0237589536773494E-2</v>
      </c>
      <c r="HF86" s="30">
        <v>1</v>
      </c>
      <c r="HG86" s="1409">
        <v>0</v>
      </c>
      <c r="HH86" s="1988">
        <f>IF(HG86=0,0,VLOOKUP(A86,'Area (&amp;golfacre for lookup)'!$G$2:$H$134,2,FALSE))</f>
        <v>0</v>
      </c>
      <c r="HI86" s="1409">
        <v>0</v>
      </c>
      <c r="HJ86" s="1409">
        <v>0</v>
      </c>
      <c r="HK86" s="1409">
        <v>0</v>
      </c>
      <c r="HL86" s="1409">
        <v>0</v>
      </c>
      <c r="HM86" s="1409">
        <v>0</v>
      </c>
      <c r="HN86" s="1409">
        <v>0</v>
      </c>
      <c r="HO86" s="1409">
        <v>0</v>
      </c>
      <c r="HP86" s="1409">
        <v>0</v>
      </c>
      <c r="HQ86" s="1409">
        <v>0</v>
      </c>
      <c r="HR86" s="1988">
        <f t="shared" si="765"/>
        <v>0</v>
      </c>
      <c r="HS86" s="1409">
        <v>0</v>
      </c>
      <c r="HT86" s="1409">
        <v>0</v>
      </c>
      <c r="HU86" s="1409">
        <v>0</v>
      </c>
      <c r="HV86" s="1409">
        <v>0</v>
      </c>
      <c r="HW86" s="1409">
        <v>0</v>
      </c>
      <c r="HX86" s="1409">
        <v>0</v>
      </c>
      <c r="HY86" s="1409">
        <v>0</v>
      </c>
      <c r="HZ86" s="51"/>
      <c r="IA86" s="59">
        <f t="shared" si="766"/>
        <v>0</v>
      </c>
      <c r="IB86" s="59"/>
      <c r="IC86" s="815">
        <f t="shared" si="581"/>
        <v>1</v>
      </c>
      <c r="ID86" s="815"/>
      <c r="IE86" s="284">
        <f t="shared" si="582"/>
        <v>0</v>
      </c>
      <c r="IF86" s="284"/>
      <c r="IG86" s="284">
        <f t="shared" si="583"/>
        <v>1976.5485504202732</v>
      </c>
      <c r="IH86" s="284"/>
      <c r="II86" s="1288">
        <f t="shared" si="584"/>
        <v>0</v>
      </c>
      <c r="IJ86" s="1288">
        <f t="shared" si="585"/>
        <v>0.74485113262670755</v>
      </c>
      <c r="IK86" s="284">
        <f t="shared" si="586"/>
        <v>0</v>
      </c>
      <c r="IL86" s="284">
        <f t="shared" si="587"/>
        <v>0</v>
      </c>
      <c r="IM86" s="284">
        <f t="shared" si="588"/>
        <v>1</v>
      </c>
      <c r="IN86" s="284">
        <f t="shared" si="589"/>
        <v>0</v>
      </c>
      <c r="IO86" s="753">
        <f t="shared" si="590"/>
        <v>-256.07600000000002</v>
      </c>
      <c r="IP86" s="113">
        <f t="shared" si="591"/>
        <v>-315.78256109896296</v>
      </c>
      <c r="IQ86" s="30">
        <f t="shared" si="592"/>
        <v>-5.9201829977308384E-2</v>
      </c>
      <c r="IR86" s="438">
        <f t="shared" si="593"/>
        <v>1684250</v>
      </c>
      <c r="IS86" s="438">
        <f t="shared" si="594"/>
        <v>963808</v>
      </c>
      <c r="IT86" s="438">
        <f t="shared" si="595"/>
        <v>1302037</v>
      </c>
      <c r="IU86" s="438">
        <f t="shared" si="596"/>
        <v>380434</v>
      </c>
      <c r="IV86" s="438">
        <f t="shared" si="597"/>
        <v>901744</v>
      </c>
      <c r="IW86" s="438">
        <f t="shared" si="598"/>
        <v>383938</v>
      </c>
      <c r="IX86" s="285">
        <f t="shared" si="599"/>
        <v>0.63603214128995667</v>
      </c>
      <c r="IY86" s="285">
        <f t="shared" si="600"/>
        <v>0.36396785871004333</v>
      </c>
      <c r="IZ86" s="285">
        <f t="shared" si="601"/>
        <v>0.49169504595443153</v>
      </c>
      <c r="JA86" s="285">
        <f t="shared" si="602"/>
        <v>0.14366528225590225</v>
      </c>
      <c r="JB86" s="285">
        <f t="shared" si="603"/>
        <v>0.34053030560508873</v>
      </c>
      <c r="JC86" s="285">
        <f t="shared" si="604"/>
        <v>0.1449885161125625</v>
      </c>
      <c r="JD86" s="60">
        <f t="shared" si="605"/>
        <v>5406843</v>
      </c>
      <c r="JE86" s="60">
        <f t="shared" si="606"/>
        <v>2387234</v>
      </c>
      <c r="JF86" s="60">
        <f t="shared" si="607"/>
        <v>0</v>
      </c>
      <c r="JG86" s="60">
        <f t="shared" si="608"/>
        <v>302859</v>
      </c>
      <c r="JH86" s="284">
        <f t="shared" si="609"/>
        <v>1</v>
      </c>
      <c r="JI86" s="284">
        <f t="shared" si="610"/>
        <v>1</v>
      </c>
      <c r="JJ86" s="560">
        <f t="shared" si="611"/>
        <v>0.72553919550185297</v>
      </c>
      <c r="JK86" s="561">
        <f t="shared" si="612"/>
        <v>0.39275808711002858</v>
      </c>
      <c r="JL86" s="561">
        <f t="shared" si="613"/>
        <v>8.5263761549215264E-2</v>
      </c>
      <c r="JM86" s="561">
        <f t="shared" si="614"/>
        <v>1.4494888631596167E-2</v>
      </c>
      <c r="JN86" s="561">
        <f t="shared" si="615"/>
        <v>0.44685429704324015</v>
      </c>
      <c r="JO86" s="561">
        <f t="shared" si="616"/>
        <v>4.4184273069000522E-3</v>
      </c>
      <c r="JP86" s="561">
        <f t="shared" si="617"/>
        <v>2.4218189691975225E-2</v>
      </c>
      <c r="JQ86" s="561">
        <f t="shared" si="618"/>
        <v>0.96800765133295541</v>
      </c>
      <c r="JR86" s="61">
        <f t="shared" si="619"/>
        <v>39507.944444444445</v>
      </c>
      <c r="JS86" s="61">
        <f t="shared" si="620"/>
        <v>5979.166666666667</v>
      </c>
      <c r="JT86" s="61">
        <f t="shared" si="621"/>
        <v>25715.444444444445</v>
      </c>
      <c r="JU86" s="61">
        <f t="shared" si="622"/>
        <v>3280.4444444444443</v>
      </c>
      <c r="JV86" s="61">
        <f t="shared" si="623"/>
        <v>1927.3888888888889</v>
      </c>
      <c r="JW86" s="61">
        <f t="shared" si="624"/>
        <v>7579</v>
      </c>
      <c r="JX86" s="61">
        <f t="shared" si="625"/>
        <v>28.346595916224476</v>
      </c>
      <c r="JY86" s="394">
        <f t="shared" si="626"/>
        <v>0.14767241027328121</v>
      </c>
      <c r="JZ86" s="61">
        <f t="shared" si="627"/>
        <v>0</v>
      </c>
      <c r="KA86" s="61">
        <f t="shared" si="628"/>
        <v>0</v>
      </c>
      <c r="KB86" s="61">
        <f t="shared" si="629"/>
        <v>0</v>
      </c>
      <c r="KC86" s="61">
        <f t="shared" si="630"/>
        <v>0</v>
      </c>
      <c r="KD86" s="61">
        <f t="shared" si="631"/>
        <v>0</v>
      </c>
      <c r="KE86" s="61">
        <f t="shared" si="632"/>
        <v>0</v>
      </c>
      <c r="KF86" s="61">
        <f t="shared" si="633"/>
        <v>0</v>
      </c>
      <c r="KG86" s="61">
        <f t="shared" si="634"/>
        <v>0</v>
      </c>
      <c r="KH86" s="61">
        <f t="shared" si="635"/>
        <v>0</v>
      </c>
      <c r="KI86" s="394">
        <f t="shared" si="636"/>
        <v>0</v>
      </c>
      <c r="KJ86" s="438">
        <f t="shared" si="637"/>
        <v>18</v>
      </c>
      <c r="KK86" s="438">
        <f t="shared" si="638"/>
        <v>53333</v>
      </c>
      <c r="KL86" s="438">
        <f t="shared" si="639"/>
        <v>110</v>
      </c>
      <c r="KM86" s="438">
        <f t="shared" si="640"/>
        <v>83989.388888888891</v>
      </c>
      <c r="KN86" s="438">
        <f t="shared" si="641"/>
        <v>28.346595916224476</v>
      </c>
      <c r="KO86" s="438">
        <f t="shared" si="642"/>
        <v>13743.718181818182</v>
      </c>
      <c r="KP86" s="438">
        <f t="shared" si="643"/>
        <v>711143</v>
      </c>
      <c r="KQ86" s="438">
        <f t="shared" si="644"/>
        <v>107625</v>
      </c>
      <c r="KR86" s="438">
        <f t="shared" si="645"/>
        <v>462878</v>
      </c>
      <c r="KS86" s="438">
        <f t="shared" si="646"/>
        <v>59048</v>
      </c>
      <c r="KT86" s="438">
        <f t="shared" si="647"/>
        <v>34693</v>
      </c>
      <c r="KU86" s="438">
        <f t="shared" si="648"/>
        <v>136422</v>
      </c>
      <c r="KV86" s="420">
        <f t="shared" si="649"/>
        <v>0.14767241027328121</v>
      </c>
      <c r="KW86" s="420">
        <f t="shared" si="650"/>
        <v>-0.25437894164857383</v>
      </c>
      <c r="KX86" s="108"/>
      <c r="KY86" s="282">
        <f t="shared" si="651"/>
        <v>0</v>
      </c>
      <c r="KZ86" s="282"/>
      <c r="LA86" s="282">
        <f t="shared" si="652"/>
        <v>0</v>
      </c>
      <c r="LB86" s="282"/>
      <c r="LC86" s="286">
        <f t="shared" si="653"/>
        <v>0</v>
      </c>
      <c r="LD86" s="286"/>
      <c r="LE86" s="282">
        <f t="shared" si="654"/>
        <v>0</v>
      </c>
      <c r="LF86" s="282"/>
      <c r="LG86" s="282">
        <f t="shared" si="655"/>
        <v>0</v>
      </c>
      <c r="LH86" s="282">
        <f t="shared" si="656"/>
        <v>0</v>
      </c>
      <c r="LI86" s="282">
        <f t="shared" si="657"/>
        <v>0</v>
      </c>
      <c r="LJ86" s="282">
        <f t="shared" si="658"/>
        <v>0</v>
      </c>
      <c r="LK86" s="282"/>
      <c r="LL86" s="282">
        <f t="shared" si="659"/>
        <v>0</v>
      </c>
      <c r="LM86" s="282">
        <f t="shared" si="660"/>
        <v>0</v>
      </c>
      <c r="LN86" s="282">
        <f t="shared" si="661"/>
        <v>0</v>
      </c>
      <c r="LO86" s="282">
        <f t="shared" si="662"/>
        <v>0</v>
      </c>
      <c r="LP86" s="286">
        <f t="shared" si="663"/>
        <v>0</v>
      </c>
      <c r="LQ86" s="282">
        <f t="shared" si="664"/>
        <v>0</v>
      </c>
      <c r="LR86" s="282">
        <f t="shared" si="665"/>
        <v>0</v>
      </c>
      <c r="LS86" s="282">
        <f t="shared" si="666"/>
        <v>0</v>
      </c>
      <c r="LT86" s="286">
        <f t="shared" si="667"/>
        <v>0</v>
      </c>
      <c r="LU86" s="286">
        <f t="shared" si="668"/>
        <v>0</v>
      </c>
      <c r="LV86" s="286">
        <f t="shared" si="669"/>
        <v>0</v>
      </c>
      <c r="LW86" s="286">
        <f t="shared" si="670"/>
        <v>0</v>
      </c>
      <c r="LX86" s="286">
        <f t="shared" si="671"/>
        <v>0</v>
      </c>
      <c r="LY86" s="286">
        <f t="shared" si="672"/>
        <v>0</v>
      </c>
      <c r="LZ86" s="286">
        <f t="shared" si="673"/>
        <v>0</v>
      </c>
      <c r="MA86" s="286">
        <f t="shared" si="674"/>
        <v>0</v>
      </c>
      <c r="MB86" s="286">
        <f t="shared" si="675"/>
        <v>0</v>
      </c>
      <c r="MC86" s="286">
        <f t="shared" si="676"/>
        <v>0</v>
      </c>
      <c r="MD86" s="286">
        <f t="shared" si="677"/>
        <v>0</v>
      </c>
      <c r="ME86" s="286">
        <f t="shared" si="678"/>
        <v>0</v>
      </c>
      <c r="MF86" s="286">
        <f t="shared" si="679"/>
        <v>0</v>
      </c>
      <c r="MG86" s="286">
        <f t="shared" si="680"/>
        <v>0</v>
      </c>
      <c r="MH86" s="286">
        <f t="shared" si="681"/>
        <v>0</v>
      </c>
      <c r="MI86" s="286">
        <f t="shared" si="682"/>
        <v>0</v>
      </c>
      <c r="MJ86" s="286">
        <f t="shared" si="683"/>
        <v>0</v>
      </c>
      <c r="MK86" s="286">
        <f t="shared" si="684"/>
        <v>0</v>
      </c>
      <c r="ML86" s="282">
        <f t="shared" si="685"/>
        <v>0</v>
      </c>
      <c r="MM86" s="1232">
        <f t="shared" si="686"/>
        <v>0</v>
      </c>
      <c r="MN86" s="1232">
        <f t="shared" si="687"/>
        <v>0</v>
      </c>
      <c r="MO86" s="1232">
        <f t="shared" si="688"/>
        <v>0</v>
      </c>
      <c r="MP86" s="1232">
        <f t="shared" si="689"/>
        <v>0</v>
      </c>
      <c r="MQ86" s="282">
        <f t="shared" si="690"/>
        <v>0</v>
      </c>
      <c r="MR86" s="282">
        <f t="shared" si="691"/>
        <v>0</v>
      </c>
      <c r="MS86" s="282">
        <f t="shared" si="692"/>
        <v>0</v>
      </c>
      <c r="MT86" s="282">
        <f t="shared" si="693"/>
        <v>0</v>
      </c>
      <c r="MU86" s="282">
        <f t="shared" si="694"/>
        <v>0</v>
      </c>
      <c r="MV86" s="282">
        <f t="shared" si="695"/>
        <v>0</v>
      </c>
      <c r="MW86" s="282">
        <f t="shared" si="696"/>
        <v>0</v>
      </c>
      <c r="MX86" s="282">
        <f t="shared" si="697"/>
        <v>0</v>
      </c>
      <c r="MY86" s="282">
        <f t="shared" si="698"/>
        <v>0</v>
      </c>
      <c r="MZ86" s="282">
        <f t="shared" si="699"/>
        <v>0</v>
      </c>
      <c r="NA86" s="282">
        <f t="shared" si="700"/>
        <v>0</v>
      </c>
      <c r="NB86" s="282">
        <f t="shared" si="701"/>
        <v>0</v>
      </c>
      <c r="NC86" s="282">
        <f t="shared" si="702"/>
        <v>0</v>
      </c>
      <c r="ND86" s="282">
        <f t="shared" si="703"/>
        <v>0</v>
      </c>
      <c r="NE86" s="282">
        <f t="shared" si="704"/>
        <v>0</v>
      </c>
      <c r="NF86" s="282">
        <f t="shared" si="705"/>
        <v>0</v>
      </c>
      <c r="NG86" s="282">
        <f t="shared" si="706"/>
        <v>0</v>
      </c>
      <c r="NH86" s="282">
        <f t="shared" si="707"/>
        <v>0</v>
      </c>
      <c r="NI86" s="282">
        <f t="shared" si="708"/>
        <v>0</v>
      </c>
      <c r="NJ86" s="282">
        <f t="shared" si="709"/>
        <v>0</v>
      </c>
      <c r="NK86" s="282">
        <f t="shared" si="710"/>
        <v>0</v>
      </c>
      <c r="NL86" s="282">
        <f t="shared" si="711"/>
        <v>0</v>
      </c>
      <c r="NM86" s="1205">
        <f t="shared" si="712"/>
        <v>0</v>
      </c>
      <c r="NN86" s="282">
        <f t="shared" si="713"/>
        <v>0</v>
      </c>
      <c r="NO86" s="282">
        <f t="shared" si="714"/>
        <v>0</v>
      </c>
      <c r="NP86" s="282">
        <f t="shared" si="715"/>
        <v>0</v>
      </c>
      <c r="NQ86" s="282">
        <f t="shared" si="716"/>
        <v>0</v>
      </c>
      <c r="NR86" s="282">
        <f t="shared" si="717"/>
        <v>0</v>
      </c>
      <c r="NS86" s="282">
        <f t="shared" si="718"/>
        <v>0</v>
      </c>
      <c r="NT86" s="282">
        <f t="shared" si="719"/>
        <v>0</v>
      </c>
      <c r="NU86" s="282">
        <f t="shared" si="720"/>
        <v>0</v>
      </c>
      <c r="NV86" s="286">
        <f t="shared" si="721"/>
        <v>0</v>
      </c>
      <c r="NW86" s="286">
        <f t="shared" si="722"/>
        <v>0</v>
      </c>
      <c r="NX86" s="286">
        <f t="shared" si="723"/>
        <v>0</v>
      </c>
      <c r="NY86" s="286">
        <f t="shared" si="724"/>
        <v>0</v>
      </c>
      <c r="NZ86" s="286">
        <f t="shared" si="725"/>
        <v>0</v>
      </c>
      <c r="OA86" s="286">
        <f t="shared" si="726"/>
        <v>0</v>
      </c>
      <c r="OB86" s="286">
        <f t="shared" si="727"/>
        <v>0</v>
      </c>
      <c r="OC86" s="286">
        <f t="shared" si="728"/>
        <v>0</v>
      </c>
      <c r="OD86" s="286">
        <f t="shared" si="729"/>
        <v>0</v>
      </c>
      <c r="OE86" s="282">
        <f t="shared" si="730"/>
        <v>0</v>
      </c>
      <c r="OF86" s="282">
        <f t="shared" si="731"/>
        <v>0</v>
      </c>
      <c r="OG86" s="286">
        <f t="shared" si="732"/>
        <v>0</v>
      </c>
      <c r="OH86" s="286">
        <f t="shared" si="733"/>
        <v>0</v>
      </c>
      <c r="OI86" s="286">
        <f t="shared" si="734"/>
        <v>0</v>
      </c>
      <c r="OJ86" s="286">
        <f t="shared" si="735"/>
        <v>0</v>
      </c>
      <c r="OK86" s="286">
        <f t="shared" si="736"/>
        <v>0</v>
      </c>
      <c r="OL86" s="286">
        <f t="shared" si="737"/>
        <v>0</v>
      </c>
      <c r="OM86" s="286">
        <f t="shared" si="738"/>
        <v>0</v>
      </c>
      <c r="ON86" s="286">
        <f t="shared" si="739"/>
        <v>0</v>
      </c>
      <c r="OO86" s="286">
        <f t="shared" si="740"/>
        <v>0</v>
      </c>
      <c r="OP86" s="434">
        <f t="shared" si="741"/>
        <v>0</v>
      </c>
      <c r="OQ86" s="434">
        <f t="shared" si="742"/>
        <v>0</v>
      </c>
      <c r="OR86" s="282">
        <f t="shared" si="743"/>
        <v>0</v>
      </c>
      <c r="OS86" s="282">
        <f t="shared" si="744"/>
        <v>0</v>
      </c>
      <c r="OT86" s="282">
        <f t="shared" si="745"/>
        <v>0</v>
      </c>
      <c r="OU86" s="282">
        <f t="shared" si="746"/>
        <v>0</v>
      </c>
      <c r="OV86" s="282">
        <f t="shared" si="747"/>
        <v>0</v>
      </c>
      <c r="OW86" s="286">
        <f t="shared" si="748"/>
        <v>0</v>
      </c>
      <c r="OX86" s="286">
        <f t="shared" si="749"/>
        <v>0</v>
      </c>
      <c r="OY86" s="286">
        <f t="shared" si="750"/>
        <v>0</v>
      </c>
      <c r="OZ86" s="286">
        <f t="shared" si="751"/>
        <v>0</v>
      </c>
      <c r="PA86" s="286">
        <f t="shared" si="752"/>
        <v>0</v>
      </c>
      <c r="PB86" s="286">
        <f t="shared" si="753"/>
        <v>0</v>
      </c>
      <c r="PC86" s="286">
        <f t="shared" si="754"/>
        <v>0</v>
      </c>
      <c r="PD86" s="282">
        <f t="shared" si="755"/>
        <v>0</v>
      </c>
      <c r="PE86" s="282">
        <f t="shared" si="756"/>
        <v>0</v>
      </c>
      <c r="PF86" s="286">
        <f t="shared" si="757"/>
        <v>0</v>
      </c>
      <c r="PG86" s="286">
        <f t="shared" si="758"/>
        <v>0</v>
      </c>
      <c r="PH86" s="286">
        <f t="shared" si="759"/>
        <v>0</v>
      </c>
      <c r="PI86" s="286">
        <f t="shared" si="760"/>
        <v>0</v>
      </c>
      <c r="PJ86" s="286">
        <f t="shared" si="761"/>
        <v>0</v>
      </c>
      <c r="PK86" s="286">
        <f t="shared" si="762"/>
        <v>0</v>
      </c>
      <c r="PL86" s="286">
        <f t="shared" si="763"/>
        <v>0</v>
      </c>
      <c r="PM86" s="562">
        <v>30</v>
      </c>
      <c r="PO86" s="571"/>
    </row>
    <row r="87" spans="1:431" s="289" customFormat="1" ht="15.75" customHeight="1">
      <c r="A87" s="1640" t="s">
        <v>2148</v>
      </c>
      <c r="B87" s="1040" t="str">
        <f>VLOOKUP(A87,'Area (&amp;golfacre for lookup)'!$A$2:$B$162,2,FALSE)</f>
        <v>SW CIRA</v>
      </c>
      <c r="C87" s="1936"/>
      <c r="D87" s="1937">
        <v>44926</v>
      </c>
      <c r="E87" s="402"/>
      <c r="F87" s="1936">
        <v>0</v>
      </c>
      <c r="G87" s="1936">
        <v>1</v>
      </c>
      <c r="H87" s="1936">
        <v>839</v>
      </c>
      <c r="I87" s="1936">
        <v>345</v>
      </c>
      <c r="J87" s="1936">
        <v>1184</v>
      </c>
      <c r="K87" s="1938">
        <v>917.1969348659004</v>
      </c>
      <c r="L87" s="1939" t="s">
        <v>1208</v>
      </c>
      <c r="M87" s="1939" t="s">
        <v>1208</v>
      </c>
      <c r="N87" s="1939" t="s">
        <v>1208</v>
      </c>
      <c r="O87" s="1939" t="s">
        <v>1208</v>
      </c>
      <c r="P87" s="1939" t="s">
        <v>1208</v>
      </c>
      <c r="Q87" s="1936">
        <v>0</v>
      </c>
      <c r="R87" s="1936">
        <v>5000</v>
      </c>
      <c r="S87" s="1936">
        <v>5000</v>
      </c>
      <c r="T87" s="1939" t="s">
        <v>1208</v>
      </c>
      <c r="U87" s="1939" t="s">
        <v>1208</v>
      </c>
      <c r="V87" s="1939" t="s">
        <v>1208</v>
      </c>
      <c r="W87" s="1936">
        <v>11312</v>
      </c>
      <c r="X87" s="1936">
        <v>10440</v>
      </c>
      <c r="Y87" s="1939" t="s">
        <v>1208</v>
      </c>
      <c r="Z87" s="1939" t="s">
        <v>1208</v>
      </c>
      <c r="AA87" s="1936">
        <v>872</v>
      </c>
      <c r="AB87" s="1362">
        <v>8.3524904214559381E-2</v>
      </c>
      <c r="AC87" s="1939" t="s">
        <v>1208</v>
      </c>
      <c r="AD87" s="1363" t="s">
        <v>1208</v>
      </c>
      <c r="AE87" s="1936">
        <v>1</v>
      </c>
      <c r="AF87" s="1936">
        <v>800</v>
      </c>
      <c r="AG87" s="1939" t="s">
        <v>1208</v>
      </c>
      <c r="AH87" s="1936">
        <v>0</v>
      </c>
      <c r="AI87" s="1936">
        <v>0</v>
      </c>
      <c r="AJ87" s="1939" t="s">
        <v>1208</v>
      </c>
      <c r="AK87" s="1938">
        <v>0</v>
      </c>
      <c r="AL87" s="1938">
        <v>0</v>
      </c>
      <c r="AM87" s="1936">
        <v>11240</v>
      </c>
      <c r="AN87" s="1939" t="s">
        <v>1208</v>
      </c>
      <c r="AO87" s="1936">
        <v>750</v>
      </c>
      <c r="AP87" s="1936">
        <v>0</v>
      </c>
      <c r="AQ87" s="1936">
        <v>11990</v>
      </c>
      <c r="AR87" s="1939" t="s">
        <v>1208</v>
      </c>
      <c r="AS87" s="1363" t="s">
        <v>1208</v>
      </c>
      <c r="AT87" s="1363" t="s">
        <v>1208</v>
      </c>
      <c r="AU87" s="1363" t="s">
        <v>1208</v>
      </c>
      <c r="AV87" s="1363" t="s">
        <v>1208</v>
      </c>
      <c r="AW87" s="1363" t="s">
        <v>1291</v>
      </c>
      <c r="AX87" s="1938">
        <v>0</v>
      </c>
      <c r="AY87" s="1938">
        <v>0</v>
      </c>
      <c r="AZ87" s="1938">
        <v>0</v>
      </c>
      <c r="BA87" s="1938">
        <v>0</v>
      </c>
      <c r="BB87" s="1938">
        <v>0</v>
      </c>
      <c r="BC87" s="1938">
        <v>0</v>
      </c>
      <c r="BD87" s="1938">
        <v>0</v>
      </c>
      <c r="BE87" s="1936">
        <v>0</v>
      </c>
      <c r="BF87" s="1936">
        <v>0</v>
      </c>
      <c r="BG87" s="1936">
        <v>850000</v>
      </c>
      <c r="BH87" s="1936">
        <v>850000</v>
      </c>
      <c r="BI87" s="1938">
        <v>15034847</v>
      </c>
      <c r="BJ87" s="1936">
        <v>670154</v>
      </c>
      <c r="BK87" s="1936">
        <v>1057626</v>
      </c>
      <c r="BL87" s="1362">
        <v>0.63363986891396396</v>
      </c>
      <c r="BM87" s="1936">
        <v>1</v>
      </c>
      <c r="BN87" s="1936">
        <v>302003</v>
      </c>
      <c r="BO87" s="1363" t="s">
        <v>1208</v>
      </c>
      <c r="BP87" s="1938">
        <v>4980134</v>
      </c>
      <c r="BQ87" s="1938">
        <v>4332377</v>
      </c>
      <c r="BR87" s="1940">
        <v>1.1495153815099655</v>
      </c>
      <c r="BS87" s="1409">
        <v>1</v>
      </c>
      <c r="BT87" s="1938">
        <v>8509477</v>
      </c>
      <c r="BU87" s="1938">
        <v>13711829</v>
      </c>
      <c r="BV87" s="1940">
        <v>0.6205938682578378</v>
      </c>
      <c r="BW87" s="1936">
        <v>329.26734545199349</v>
      </c>
      <c r="BX87" s="1936">
        <v>730.65442602899725</v>
      </c>
      <c r="BY87" s="1936">
        <v>926.73663385527448</v>
      </c>
      <c r="BZ87" s="1936">
        <v>1850955</v>
      </c>
      <c r="CA87" s="1936">
        <v>100984</v>
      </c>
      <c r="CB87" s="1936">
        <v>410404</v>
      </c>
      <c r="CC87" s="1936">
        <v>433812</v>
      </c>
      <c r="CD87" s="1936">
        <v>9575536</v>
      </c>
      <c r="CE87" s="1936">
        <v>0</v>
      </c>
      <c r="CF87" s="1936">
        <v>0</v>
      </c>
      <c r="CG87" s="1936">
        <v>2017387</v>
      </c>
      <c r="CH87" s="1936">
        <v>1269518</v>
      </c>
      <c r="CI87" s="1936">
        <v>326701</v>
      </c>
      <c r="CJ87" s="1936">
        <v>15985297</v>
      </c>
      <c r="CK87" s="1366">
        <v>0.11579109227685917</v>
      </c>
      <c r="CL87" s="1366">
        <v>6.3173052086551787E-3</v>
      </c>
      <c r="CM87" s="1366">
        <v>2.5673842656786419E-2</v>
      </c>
      <c r="CN87" s="1366">
        <v>2.7138188298909929E-2</v>
      </c>
      <c r="CO87" s="1366">
        <v>0.59902146328591832</v>
      </c>
      <c r="CP87" s="1366">
        <v>0</v>
      </c>
      <c r="CQ87" s="1366">
        <v>0</v>
      </c>
      <c r="CR87" s="1366">
        <v>0.12620265985674212</v>
      </c>
      <c r="CS87" s="1366">
        <v>7.9417855045170571E-2</v>
      </c>
      <c r="CT87" s="1366">
        <v>2.0437593370958324E-2</v>
      </c>
      <c r="CU87" s="1366">
        <v>1</v>
      </c>
      <c r="CV87" s="1936">
        <v>5012142</v>
      </c>
      <c r="CW87" s="1936">
        <v>1410906</v>
      </c>
      <c r="CX87" s="1936">
        <v>282128</v>
      </c>
      <c r="CY87" s="1936">
        <v>8316496</v>
      </c>
      <c r="CZ87" s="1936">
        <v>0</v>
      </c>
      <c r="DA87" s="1936">
        <v>288350</v>
      </c>
      <c r="DB87" s="1936">
        <v>15310022</v>
      </c>
      <c r="DC87" s="1366">
        <v>0.32737653806114714</v>
      </c>
      <c r="DD87" s="1366">
        <v>9.2155713427452948E-2</v>
      </c>
      <c r="DE87" s="1366">
        <v>1.8427667837446607E-2</v>
      </c>
      <c r="DF87" s="1366">
        <v>0.5432060123754231</v>
      </c>
      <c r="DG87" s="1366">
        <v>0</v>
      </c>
      <c r="DH87" s="1366">
        <v>1.8834068298530203E-2</v>
      </c>
      <c r="DI87" s="1366">
        <v>1</v>
      </c>
      <c r="DJ87" s="1936">
        <v>675275</v>
      </c>
      <c r="DK87" s="1936">
        <v>2018.0562424912819</v>
      </c>
      <c r="DL87" s="1936">
        <v>110.1006732155777</v>
      </c>
      <c r="DM87" s="1936">
        <v>447.45461350675305</v>
      </c>
      <c r="DN87" s="1936">
        <v>472.97585012473451</v>
      </c>
      <c r="DO87" s="1936">
        <v>10440</v>
      </c>
      <c r="DP87" s="1936">
        <v>0</v>
      </c>
      <c r="DQ87" s="1936">
        <v>0</v>
      </c>
      <c r="DR87" s="1936">
        <v>2199.5134559569301</v>
      </c>
      <c r="DS87" s="1936">
        <v>1384.1280446337416</v>
      </c>
      <c r="DT87" s="1936">
        <v>356.19504119664947</v>
      </c>
      <c r="DU87" s="1936">
        <v>17428.423921125668</v>
      </c>
      <c r="DV87" s="1936">
        <v>5464.6301240995799</v>
      </c>
      <c r="DW87" s="1936">
        <v>1538.2803260308351</v>
      </c>
      <c r="DX87" s="1936">
        <v>307.5980623956716</v>
      </c>
      <c r="DY87" s="1936">
        <v>9067.2958923657116</v>
      </c>
      <c r="DZ87" s="1936">
        <v>0</v>
      </c>
      <c r="EA87" s="1936">
        <v>314.38177455549226</v>
      </c>
      <c r="EB87" s="1936">
        <v>16692.18617944729</v>
      </c>
      <c r="EC87" s="1936">
        <v>736.23774167837701</v>
      </c>
      <c r="ED87" s="1941">
        <v>100</v>
      </c>
      <c r="EE87" s="1936">
        <v>0</v>
      </c>
      <c r="EF87" s="1936">
        <v>0</v>
      </c>
      <c r="EG87" s="1938">
        <v>0</v>
      </c>
      <c r="EH87" s="1938">
        <v>1</v>
      </c>
      <c r="EI87" s="1368">
        <v>0.03</v>
      </c>
      <c r="EJ87" s="1936">
        <v>9.1719693486590046</v>
      </c>
      <c r="EK87" s="1936">
        <v>1</v>
      </c>
      <c r="EL87" s="1936">
        <v>750</v>
      </c>
      <c r="EM87" s="1936">
        <v>1</v>
      </c>
      <c r="EN87" s="1362">
        <v>0.19</v>
      </c>
      <c r="EO87" s="1936">
        <v>0</v>
      </c>
      <c r="EP87" s="1936">
        <v>0</v>
      </c>
      <c r="EQ87" s="1936">
        <v>0</v>
      </c>
      <c r="ER87" s="1938">
        <v>0</v>
      </c>
      <c r="ES87" s="1936">
        <v>3583.641500590672</v>
      </c>
      <c r="ET87" s="1936">
        <v>-618.6217795014295</v>
      </c>
      <c r="EU87" s="1938">
        <v>2</v>
      </c>
      <c r="EV87" s="1936">
        <v>147763</v>
      </c>
      <c r="EW87" s="1936">
        <v>0</v>
      </c>
      <c r="EX87" s="1938">
        <v>1</v>
      </c>
      <c r="EY87" s="1936">
        <v>2017387</v>
      </c>
      <c r="EZ87" s="1936">
        <v>910003</v>
      </c>
      <c r="FA87" s="1936">
        <v>1107384</v>
      </c>
      <c r="FB87" s="1936">
        <v>1269518</v>
      </c>
      <c r="FC87" s="1936">
        <v>500903</v>
      </c>
      <c r="FD87" s="1936">
        <v>768615</v>
      </c>
      <c r="FE87" s="1936">
        <v>3286905</v>
      </c>
      <c r="FF87" s="1936">
        <v>1410906</v>
      </c>
      <c r="FG87" s="1936">
        <v>1875999</v>
      </c>
      <c r="FH87" s="1366">
        <v>1</v>
      </c>
      <c r="FI87" s="1366">
        <v>0.45108003570955896</v>
      </c>
      <c r="FJ87" s="1366">
        <v>0.5489199642904411</v>
      </c>
      <c r="FK87" s="1366">
        <v>1</v>
      </c>
      <c r="FL87" s="1366">
        <v>0.39456155800863002</v>
      </c>
      <c r="FM87" s="1366">
        <v>0.60543844199136998</v>
      </c>
      <c r="FN87" s="1366">
        <v>1</v>
      </c>
      <c r="FO87" s="1366">
        <v>0.42925061722197627</v>
      </c>
      <c r="FP87" s="1366">
        <v>0.57074938277802367</v>
      </c>
      <c r="FQ87" s="1936">
        <v>1581740</v>
      </c>
      <c r="FR87" s="1936">
        <v>0</v>
      </c>
      <c r="FS87" s="1936">
        <v>381848</v>
      </c>
      <c r="FT87" s="1936">
        <v>6354</v>
      </c>
      <c r="FU87" s="1936">
        <v>13879</v>
      </c>
      <c r="FV87" s="1936">
        <v>61777</v>
      </c>
      <c r="FW87" s="1936">
        <v>397799</v>
      </c>
      <c r="FX87" s="1936">
        <v>2443397</v>
      </c>
      <c r="FY87" s="1936">
        <v>-567398</v>
      </c>
      <c r="FZ87" s="1366">
        <v>0.48122473877401384</v>
      </c>
      <c r="GA87" s="1366">
        <v>0</v>
      </c>
      <c r="GB87" s="1366">
        <v>0.11617250878866289</v>
      </c>
      <c r="GC87" s="1366">
        <v>1.9331255390709497E-3</v>
      </c>
      <c r="GD87" s="1366">
        <v>4.2225132761670933E-3</v>
      </c>
      <c r="GE87" s="1366">
        <v>1.8794884549446972E-2</v>
      </c>
      <c r="GF87" s="1366">
        <v>0.12102540231616064</v>
      </c>
      <c r="GG87" s="1366">
        <v>0.74337317324352237</v>
      </c>
      <c r="GH87" s="1366">
        <v>-0.17262379046549869</v>
      </c>
      <c r="GI87" s="1942">
        <v>1.5890968068195961</v>
      </c>
      <c r="GJ87" s="1943">
        <v>1</v>
      </c>
      <c r="GK87" s="1371">
        <v>0.05</v>
      </c>
      <c r="GL87" s="1943">
        <v>1</v>
      </c>
      <c r="GM87" s="1371">
        <v>0.15</v>
      </c>
      <c r="GN87" s="1943">
        <v>18</v>
      </c>
      <c r="GO87" s="1943">
        <v>170</v>
      </c>
      <c r="GP87" s="1943">
        <v>52185</v>
      </c>
      <c r="GQ87" s="1943">
        <v>970755</v>
      </c>
      <c r="GR87" s="1943">
        <v>119549</v>
      </c>
      <c r="GS87" s="1943">
        <v>555551</v>
      </c>
      <c r="GT87" s="1943">
        <v>72268</v>
      </c>
      <c r="GU87" s="1943">
        <v>243899</v>
      </c>
      <c r="GV87" s="1943">
        <v>153807</v>
      </c>
      <c r="GW87" s="1943">
        <v>2115829</v>
      </c>
      <c r="GX87" s="1943">
        <v>117546.05555555556</v>
      </c>
      <c r="GY87" s="1985">
        <f t="shared" si="764"/>
        <v>12446.052941176471</v>
      </c>
      <c r="GZ87" s="1366">
        <v>0.45880598101264325</v>
      </c>
      <c r="HA87" s="1366">
        <v>5.6502203155358963E-2</v>
      </c>
      <c r="HB87" s="1366">
        <v>0.26256895051537721</v>
      </c>
      <c r="HC87" s="1366">
        <v>3.4155879326731982E-2</v>
      </c>
      <c r="HD87" s="1366">
        <v>0.11527349327379481</v>
      </c>
      <c r="HE87" s="1366">
        <v>7.269349271609378E-2</v>
      </c>
      <c r="HF87" s="1366">
        <v>1</v>
      </c>
      <c r="HG87" s="1936">
        <v>0</v>
      </c>
      <c r="HH87" s="1988">
        <f>IF(HG87=0,0,VLOOKUP(A87,'Area (&amp;golfacre for lookup)'!$G$2:$H$134,2,FALSE))</f>
        <v>0</v>
      </c>
      <c r="HI87" s="1936">
        <v>0</v>
      </c>
      <c r="HJ87" s="1936">
        <v>0</v>
      </c>
      <c r="HK87" s="1936">
        <v>0</v>
      </c>
      <c r="HL87" s="1936">
        <v>0</v>
      </c>
      <c r="HM87" s="1936">
        <v>0</v>
      </c>
      <c r="HN87" s="1936">
        <v>0</v>
      </c>
      <c r="HO87" s="1936">
        <v>0</v>
      </c>
      <c r="HP87" s="1936">
        <v>0</v>
      </c>
      <c r="HQ87" s="1936">
        <v>0</v>
      </c>
      <c r="HR87" s="1988">
        <f t="shared" si="765"/>
        <v>0</v>
      </c>
      <c r="HS87" s="1936">
        <v>0</v>
      </c>
      <c r="HT87" s="1936">
        <v>0</v>
      </c>
      <c r="HU87" s="1936">
        <v>0</v>
      </c>
      <c r="HV87" s="1936">
        <v>0</v>
      </c>
      <c r="HW87" s="1936">
        <v>0</v>
      </c>
      <c r="HX87" s="1936">
        <v>0</v>
      </c>
      <c r="HY87" s="1936">
        <v>0</v>
      </c>
      <c r="HZ87" s="51"/>
      <c r="IA87" s="59">
        <f t="shared" si="766"/>
        <v>0</v>
      </c>
      <c r="IB87" s="59"/>
      <c r="IC87" s="815">
        <f t="shared" si="581"/>
        <v>1</v>
      </c>
      <c r="ID87" s="815"/>
      <c r="IE87" s="284">
        <f t="shared" si="582"/>
        <v>0</v>
      </c>
      <c r="IF87" s="284"/>
      <c r="IG87" s="284">
        <f t="shared" si="583"/>
        <v>16392.168822716554</v>
      </c>
      <c r="IH87" s="284"/>
      <c r="II87" s="1288">
        <f t="shared" si="584"/>
        <v>1.1495153815099655</v>
      </c>
      <c r="IJ87" s="1288">
        <f t="shared" si="585"/>
        <v>0</v>
      </c>
      <c r="IK87" s="284">
        <f t="shared" si="586"/>
        <v>0</v>
      </c>
      <c r="IL87" s="284">
        <f t="shared" si="587"/>
        <v>0</v>
      </c>
      <c r="IM87" s="284">
        <f t="shared" si="588"/>
        <v>1</v>
      </c>
      <c r="IN87" s="284">
        <f t="shared" si="589"/>
        <v>0</v>
      </c>
      <c r="IO87" s="753">
        <f t="shared" si="590"/>
        <v>-479.2212837837838</v>
      </c>
      <c r="IP87" s="113">
        <f t="shared" si="591"/>
        <v>-618.6217795014295</v>
      </c>
      <c r="IQ87" s="30">
        <f t="shared" si="592"/>
        <v>-5.9254959722359148E-2</v>
      </c>
      <c r="IR87" s="438">
        <f t="shared" si="593"/>
        <v>2017387</v>
      </c>
      <c r="IS87" s="438">
        <f t="shared" si="594"/>
        <v>1269518</v>
      </c>
      <c r="IT87" s="438">
        <f t="shared" si="595"/>
        <v>1581740</v>
      </c>
      <c r="IU87" s="438">
        <f t="shared" si="596"/>
        <v>388202</v>
      </c>
      <c r="IV87" s="438">
        <f t="shared" si="597"/>
        <v>1410906</v>
      </c>
      <c r="IW87" s="438">
        <f t="shared" si="598"/>
        <v>473455</v>
      </c>
      <c r="IX87" s="285">
        <f t="shared" si="599"/>
        <v>0.61376492475444222</v>
      </c>
      <c r="IY87" s="285">
        <f t="shared" si="600"/>
        <v>0.38623507524555772</v>
      </c>
      <c r="IZ87" s="285">
        <f t="shared" si="601"/>
        <v>0.48122473877401384</v>
      </c>
      <c r="JA87" s="285">
        <f t="shared" si="602"/>
        <v>0.11810563432773384</v>
      </c>
      <c r="JB87" s="285">
        <f t="shared" si="603"/>
        <v>0.42925061722197627</v>
      </c>
      <c r="JC87" s="285">
        <f t="shared" si="604"/>
        <v>0.1440428001417747</v>
      </c>
      <c r="JD87" s="60">
        <f t="shared" si="605"/>
        <v>9575536</v>
      </c>
      <c r="JE87" s="60">
        <f t="shared" si="606"/>
        <v>2796155</v>
      </c>
      <c r="JF87" s="60">
        <f t="shared" si="607"/>
        <v>0</v>
      </c>
      <c r="JG87" s="60">
        <f t="shared" si="608"/>
        <v>288350</v>
      </c>
      <c r="JH87" s="284">
        <f t="shared" si="609"/>
        <v>1</v>
      </c>
      <c r="JI87" s="284">
        <f t="shared" si="610"/>
        <v>1</v>
      </c>
      <c r="JJ87" s="560">
        <f t="shared" si="611"/>
        <v>0.68743969357023815</v>
      </c>
      <c r="JK87" s="561">
        <f t="shared" si="612"/>
        <v>0.31354700510099998</v>
      </c>
      <c r="JL87" s="561">
        <f t="shared" si="613"/>
        <v>8.8262732935146596E-2</v>
      </c>
      <c r="JM87" s="561">
        <f t="shared" si="614"/>
        <v>1.7649218528751766E-2</v>
      </c>
      <c r="JN87" s="561">
        <f t="shared" si="615"/>
        <v>0.52025908558345835</v>
      </c>
      <c r="JO87" s="561">
        <f t="shared" si="616"/>
        <v>0</v>
      </c>
      <c r="JP87" s="561">
        <f t="shared" si="617"/>
        <v>1.8038451209258108E-2</v>
      </c>
      <c r="JQ87" s="561">
        <f t="shared" si="618"/>
        <v>0.9577564933576147</v>
      </c>
      <c r="JR87" s="61">
        <f t="shared" si="619"/>
        <v>53930.833333333336</v>
      </c>
      <c r="JS87" s="61">
        <f t="shared" si="620"/>
        <v>6641.6111111111113</v>
      </c>
      <c r="JT87" s="61">
        <f t="shared" si="621"/>
        <v>30863.944444444445</v>
      </c>
      <c r="JU87" s="61">
        <f t="shared" si="622"/>
        <v>4014.8888888888887</v>
      </c>
      <c r="JV87" s="61">
        <f t="shared" si="623"/>
        <v>13549.944444444445</v>
      </c>
      <c r="JW87" s="61">
        <f t="shared" si="624"/>
        <v>8544.8333333333339</v>
      </c>
      <c r="JX87" s="61">
        <f t="shared" si="625"/>
        <v>40.544773402318675</v>
      </c>
      <c r="JY87" s="394">
        <f t="shared" si="626"/>
        <v>0.13819895229412471</v>
      </c>
      <c r="JZ87" s="61">
        <f t="shared" si="627"/>
        <v>0</v>
      </c>
      <c r="KA87" s="61">
        <f t="shared" si="628"/>
        <v>0</v>
      </c>
      <c r="KB87" s="61">
        <f t="shared" si="629"/>
        <v>0</v>
      </c>
      <c r="KC87" s="61">
        <f t="shared" si="630"/>
        <v>0</v>
      </c>
      <c r="KD87" s="61">
        <f t="shared" si="631"/>
        <v>0</v>
      </c>
      <c r="KE87" s="61">
        <f t="shared" si="632"/>
        <v>0</v>
      </c>
      <c r="KF87" s="61">
        <f t="shared" si="633"/>
        <v>0</v>
      </c>
      <c r="KG87" s="61">
        <f t="shared" si="634"/>
        <v>0</v>
      </c>
      <c r="KH87" s="61">
        <f t="shared" si="635"/>
        <v>0</v>
      </c>
      <c r="KI87" s="394">
        <f t="shared" si="636"/>
        <v>0</v>
      </c>
      <c r="KJ87" s="438">
        <f t="shared" si="637"/>
        <v>18</v>
      </c>
      <c r="KK87" s="438">
        <f t="shared" si="638"/>
        <v>52185</v>
      </c>
      <c r="KL87" s="438">
        <f t="shared" si="639"/>
        <v>170</v>
      </c>
      <c r="KM87" s="438">
        <f t="shared" si="640"/>
        <v>117546.05555555556</v>
      </c>
      <c r="KN87" s="438">
        <f t="shared" si="641"/>
        <v>40.544773402318675</v>
      </c>
      <c r="KO87" s="438">
        <f t="shared" si="642"/>
        <v>12446.052941176471</v>
      </c>
      <c r="KP87" s="438">
        <f t="shared" si="643"/>
        <v>970755</v>
      </c>
      <c r="KQ87" s="438">
        <f t="shared" si="644"/>
        <v>119549</v>
      </c>
      <c r="KR87" s="438">
        <f t="shared" si="645"/>
        <v>555551</v>
      </c>
      <c r="KS87" s="438">
        <f t="shared" si="646"/>
        <v>72268</v>
      </c>
      <c r="KT87" s="438">
        <f t="shared" si="647"/>
        <v>243899</v>
      </c>
      <c r="KU87" s="438">
        <f t="shared" si="648"/>
        <v>153807</v>
      </c>
      <c r="KV87" s="420">
        <f t="shared" si="649"/>
        <v>0.13819895229412471</v>
      </c>
      <c r="KW87" s="420">
        <f t="shared" si="650"/>
        <v>-0.20489944374915409</v>
      </c>
      <c r="KX87" s="108"/>
      <c r="KY87" s="282">
        <f t="shared" si="651"/>
        <v>0</v>
      </c>
      <c r="KZ87" s="282"/>
      <c r="LA87" s="282">
        <f t="shared" si="652"/>
        <v>0</v>
      </c>
      <c r="LB87" s="282"/>
      <c r="LC87" s="286">
        <f t="shared" si="653"/>
        <v>0</v>
      </c>
      <c r="LD87" s="286"/>
      <c r="LE87" s="282">
        <f t="shared" si="654"/>
        <v>0</v>
      </c>
      <c r="LF87" s="282"/>
      <c r="LG87" s="282">
        <f t="shared" si="655"/>
        <v>0</v>
      </c>
      <c r="LH87" s="282">
        <f t="shared" si="656"/>
        <v>0</v>
      </c>
      <c r="LI87" s="282">
        <f t="shared" si="657"/>
        <v>0</v>
      </c>
      <c r="LJ87" s="282">
        <f t="shared" si="658"/>
        <v>0</v>
      </c>
      <c r="LK87" s="282"/>
      <c r="LL87" s="282">
        <f t="shared" si="659"/>
        <v>0</v>
      </c>
      <c r="LM87" s="282">
        <f t="shared" si="660"/>
        <v>0</v>
      </c>
      <c r="LN87" s="282">
        <f t="shared" si="661"/>
        <v>0</v>
      </c>
      <c r="LO87" s="282">
        <f t="shared" si="662"/>
        <v>0</v>
      </c>
      <c r="LP87" s="286">
        <f t="shared" si="663"/>
        <v>0</v>
      </c>
      <c r="LQ87" s="282">
        <f t="shared" si="664"/>
        <v>0</v>
      </c>
      <c r="LR87" s="282">
        <f t="shared" si="665"/>
        <v>0</v>
      </c>
      <c r="LS87" s="282">
        <f t="shared" si="666"/>
        <v>0</v>
      </c>
      <c r="LT87" s="286">
        <f t="shared" si="667"/>
        <v>0</v>
      </c>
      <c r="LU87" s="286">
        <f t="shared" si="668"/>
        <v>0</v>
      </c>
      <c r="LV87" s="286">
        <f t="shared" si="669"/>
        <v>0</v>
      </c>
      <c r="LW87" s="286">
        <f t="shared" si="670"/>
        <v>0</v>
      </c>
      <c r="LX87" s="286">
        <f t="shared" si="671"/>
        <v>0</v>
      </c>
      <c r="LY87" s="286">
        <f t="shared" si="672"/>
        <v>0</v>
      </c>
      <c r="LZ87" s="286">
        <f t="shared" si="673"/>
        <v>0</v>
      </c>
      <c r="MA87" s="286">
        <f t="shared" si="674"/>
        <v>0</v>
      </c>
      <c r="MB87" s="286">
        <f t="shared" si="675"/>
        <v>0</v>
      </c>
      <c r="MC87" s="286">
        <f t="shared" si="676"/>
        <v>0</v>
      </c>
      <c r="MD87" s="286">
        <f t="shared" si="677"/>
        <v>0</v>
      </c>
      <c r="ME87" s="286">
        <f t="shared" si="678"/>
        <v>0</v>
      </c>
      <c r="MF87" s="286">
        <f t="shared" si="679"/>
        <v>0</v>
      </c>
      <c r="MG87" s="286">
        <f t="shared" si="680"/>
        <v>0</v>
      </c>
      <c r="MH87" s="286">
        <f t="shared" si="681"/>
        <v>0</v>
      </c>
      <c r="MI87" s="286">
        <f t="shared" si="682"/>
        <v>0</v>
      </c>
      <c r="MJ87" s="286">
        <f t="shared" si="683"/>
        <v>0</v>
      </c>
      <c r="MK87" s="286">
        <f t="shared" si="684"/>
        <v>0</v>
      </c>
      <c r="ML87" s="282">
        <f t="shared" si="685"/>
        <v>0</v>
      </c>
      <c r="MM87" s="1232">
        <f t="shared" si="686"/>
        <v>0</v>
      </c>
      <c r="MN87" s="1232">
        <f t="shared" si="687"/>
        <v>0</v>
      </c>
      <c r="MO87" s="1232">
        <f t="shared" si="688"/>
        <v>0</v>
      </c>
      <c r="MP87" s="1232">
        <f t="shared" si="689"/>
        <v>0</v>
      </c>
      <c r="MQ87" s="282">
        <f t="shared" si="690"/>
        <v>0</v>
      </c>
      <c r="MR87" s="282">
        <f t="shared" si="691"/>
        <v>0</v>
      </c>
      <c r="MS87" s="282">
        <f t="shared" si="692"/>
        <v>0</v>
      </c>
      <c r="MT87" s="282">
        <f t="shared" si="693"/>
        <v>0</v>
      </c>
      <c r="MU87" s="282">
        <f t="shared" si="694"/>
        <v>0</v>
      </c>
      <c r="MV87" s="282">
        <f t="shared" si="695"/>
        <v>0</v>
      </c>
      <c r="MW87" s="282">
        <f t="shared" si="696"/>
        <v>0</v>
      </c>
      <c r="MX87" s="282">
        <f t="shared" si="697"/>
        <v>0</v>
      </c>
      <c r="MY87" s="282">
        <f t="shared" si="698"/>
        <v>0</v>
      </c>
      <c r="MZ87" s="282">
        <f t="shared" si="699"/>
        <v>0</v>
      </c>
      <c r="NA87" s="282">
        <f t="shared" si="700"/>
        <v>0</v>
      </c>
      <c r="NB87" s="282">
        <f t="shared" si="701"/>
        <v>0</v>
      </c>
      <c r="NC87" s="282">
        <f t="shared" si="702"/>
        <v>0</v>
      </c>
      <c r="ND87" s="282">
        <f t="shared" si="703"/>
        <v>0</v>
      </c>
      <c r="NE87" s="282">
        <f t="shared" si="704"/>
        <v>0</v>
      </c>
      <c r="NF87" s="282">
        <f t="shared" si="705"/>
        <v>0</v>
      </c>
      <c r="NG87" s="282">
        <f t="shared" si="706"/>
        <v>0</v>
      </c>
      <c r="NH87" s="282">
        <f t="shared" si="707"/>
        <v>0</v>
      </c>
      <c r="NI87" s="282">
        <f t="shared" si="708"/>
        <v>0</v>
      </c>
      <c r="NJ87" s="282">
        <f t="shared" si="709"/>
        <v>0</v>
      </c>
      <c r="NK87" s="282">
        <f t="shared" si="710"/>
        <v>0</v>
      </c>
      <c r="NL87" s="282">
        <f t="shared" si="711"/>
        <v>0</v>
      </c>
      <c r="NM87" s="1205">
        <f t="shared" si="712"/>
        <v>0</v>
      </c>
      <c r="NN87" s="282">
        <f t="shared" si="713"/>
        <v>0</v>
      </c>
      <c r="NO87" s="282">
        <f t="shared" si="714"/>
        <v>0</v>
      </c>
      <c r="NP87" s="282">
        <f t="shared" si="715"/>
        <v>0</v>
      </c>
      <c r="NQ87" s="282">
        <f t="shared" si="716"/>
        <v>0</v>
      </c>
      <c r="NR87" s="282">
        <f t="shared" si="717"/>
        <v>0</v>
      </c>
      <c r="NS87" s="282">
        <f t="shared" si="718"/>
        <v>0</v>
      </c>
      <c r="NT87" s="282">
        <f t="shared" si="719"/>
        <v>0</v>
      </c>
      <c r="NU87" s="282">
        <f t="shared" si="720"/>
        <v>0</v>
      </c>
      <c r="NV87" s="286">
        <f t="shared" si="721"/>
        <v>0</v>
      </c>
      <c r="NW87" s="286">
        <f t="shared" si="722"/>
        <v>0</v>
      </c>
      <c r="NX87" s="286">
        <f t="shared" si="723"/>
        <v>0</v>
      </c>
      <c r="NY87" s="286">
        <f t="shared" si="724"/>
        <v>0</v>
      </c>
      <c r="NZ87" s="286">
        <f t="shared" si="725"/>
        <v>0</v>
      </c>
      <c r="OA87" s="286">
        <f t="shared" si="726"/>
        <v>0</v>
      </c>
      <c r="OB87" s="286">
        <f t="shared" si="727"/>
        <v>0</v>
      </c>
      <c r="OC87" s="286">
        <f t="shared" si="728"/>
        <v>0</v>
      </c>
      <c r="OD87" s="286">
        <f t="shared" si="729"/>
        <v>0</v>
      </c>
      <c r="OE87" s="282">
        <f t="shared" si="730"/>
        <v>0</v>
      </c>
      <c r="OF87" s="282">
        <f t="shared" si="731"/>
        <v>0</v>
      </c>
      <c r="OG87" s="286">
        <f t="shared" si="732"/>
        <v>0</v>
      </c>
      <c r="OH87" s="286">
        <f t="shared" si="733"/>
        <v>0</v>
      </c>
      <c r="OI87" s="286">
        <f t="shared" si="734"/>
        <v>0</v>
      </c>
      <c r="OJ87" s="286">
        <f t="shared" si="735"/>
        <v>0</v>
      </c>
      <c r="OK87" s="286">
        <f t="shared" si="736"/>
        <v>0</v>
      </c>
      <c r="OL87" s="286">
        <f t="shared" si="737"/>
        <v>0</v>
      </c>
      <c r="OM87" s="286">
        <f t="shared" si="738"/>
        <v>0</v>
      </c>
      <c r="ON87" s="286">
        <f t="shared" si="739"/>
        <v>0</v>
      </c>
      <c r="OO87" s="286">
        <f t="shared" si="740"/>
        <v>0</v>
      </c>
      <c r="OP87" s="434">
        <f t="shared" si="741"/>
        <v>0</v>
      </c>
      <c r="OQ87" s="434">
        <f t="shared" si="742"/>
        <v>0</v>
      </c>
      <c r="OR87" s="282">
        <f t="shared" si="743"/>
        <v>0</v>
      </c>
      <c r="OS87" s="282">
        <f t="shared" si="744"/>
        <v>0</v>
      </c>
      <c r="OT87" s="282">
        <f t="shared" si="745"/>
        <v>0</v>
      </c>
      <c r="OU87" s="282">
        <f t="shared" si="746"/>
        <v>0</v>
      </c>
      <c r="OV87" s="282">
        <f t="shared" si="747"/>
        <v>0</v>
      </c>
      <c r="OW87" s="286">
        <f t="shared" si="748"/>
        <v>0</v>
      </c>
      <c r="OX87" s="286">
        <f t="shared" si="749"/>
        <v>0</v>
      </c>
      <c r="OY87" s="286">
        <f t="shared" si="750"/>
        <v>0</v>
      </c>
      <c r="OZ87" s="286">
        <f t="shared" si="751"/>
        <v>0</v>
      </c>
      <c r="PA87" s="286">
        <f t="shared" si="752"/>
        <v>0</v>
      </c>
      <c r="PB87" s="286">
        <f t="shared" si="753"/>
        <v>0</v>
      </c>
      <c r="PC87" s="286">
        <f t="shared" si="754"/>
        <v>0</v>
      </c>
      <c r="PD87" s="282">
        <f t="shared" si="755"/>
        <v>0</v>
      </c>
      <c r="PE87" s="282">
        <f t="shared" si="756"/>
        <v>0</v>
      </c>
      <c r="PF87" s="286">
        <f t="shared" si="757"/>
        <v>0</v>
      </c>
      <c r="PG87" s="286">
        <f t="shared" si="758"/>
        <v>0</v>
      </c>
      <c r="PH87" s="286">
        <f t="shared" si="759"/>
        <v>0</v>
      </c>
      <c r="PI87" s="286">
        <f t="shared" si="760"/>
        <v>0</v>
      </c>
      <c r="PJ87" s="286">
        <f t="shared" si="761"/>
        <v>0</v>
      </c>
      <c r="PK87" s="286">
        <f t="shared" si="762"/>
        <v>0</v>
      </c>
      <c r="PL87" s="286">
        <f t="shared" si="763"/>
        <v>0</v>
      </c>
      <c r="PM87" s="562">
        <v>31</v>
      </c>
    </row>
    <row r="88" spans="1:431" s="289" customFormat="1" ht="15.75" customHeight="1">
      <c r="A88" s="1640" t="s">
        <v>985</v>
      </c>
      <c r="B88" s="1040" t="str">
        <f>VLOOKUP(A88,'Area (&amp;golfacre for lookup)'!$A$2:$B$162,2,FALSE)</f>
        <v>SE exc BOCA</v>
      </c>
      <c r="C88" s="1409"/>
      <c r="D88" s="1410">
        <v>44742</v>
      </c>
      <c r="E88" s="671"/>
      <c r="F88" s="1409">
        <v>1</v>
      </c>
      <c r="G88" s="1409">
        <v>0</v>
      </c>
      <c r="H88" s="1409">
        <v>533</v>
      </c>
      <c r="I88" s="1409">
        <v>494</v>
      </c>
      <c r="J88" s="1409">
        <v>1027</v>
      </c>
      <c r="K88" s="1411">
        <v>956.0452214452215</v>
      </c>
      <c r="L88" s="1412" t="s">
        <v>1208</v>
      </c>
      <c r="M88" s="1412" t="s">
        <v>1208</v>
      </c>
      <c r="N88" s="1412" t="s">
        <v>1208</v>
      </c>
      <c r="O88" s="1412" t="s">
        <v>1208</v>
      </c>
      <c r="P88" s="1412" t="s">
        <v>1208</v>
      </c>
      <c r="Q88" s="1409">
        <v>0</v>
      </c>
      <c r="R88" s="1409">
        <v>225000</v>
      </c>
      <c r="S88" s="1409">
        <v>225000</v>
      </c>
      <c r="T88" s="1412" t="s">
        <v>1208</v>
      </c>
      <c r="U88" s="1412" t="s">
        <v>1208</v>
      </c>
      <c r="V88" s="1412" t="s">
        <v>1208</v>
      </c>
      <c r="W88" s="1409">
        <v>21165</v>
      </c>
      <c r="X88" s="1409">
        <v>19305</v>
      </c>
      <c r="Y88" s="1412" t="s">
        <v>1208</v>
      </c>
      <c r="Z88" s="1412" t="s">
        <v>1208</v>
      </c>
      <c r="AA88" s="1409">
        <v>1860</v>
      </c>
      <c r="AB88" s="1331">
        <v>9.6348096348096351E-2</v>
      </c>
      <c r="AC88" s="1412" t="s">
        <v>1208</v>
      </c>
      <c r="AD88" s="1200" t="s">
        <v>1208</v>
      </c>
      <c r="AE88" s="1409">
        <v>0</v>
      </c>
      <c r="AF88" s="1409">
        <v>0</v>
      </c>
      <c r="AG88" s="1412" t="s">
        <v>1208</v>
      </c>
      <c r="AH88" s="1409">
        <v>0</v>
      </c>
      <c r="AI88" s="1409">
        <v>0</v>
      </c>
      <c r="AJ88" s="1412" t="s">
        <v>1208</v>
      </c>
      <c r="AK88" s="1411">
        <v>0</v>
      </c>
      <c r="AL88" s="1411">
        <v>0</v>
      </c>
      <c r="AM88" s="1409">
        <v>19305</v>
      </c>
      <c r="AN88" s="1412" t="s">
        <v>1208</v>
      </c>
      <c r="AO88" s="1409">
        <v>0</v>
      </c>
      <c r="AP88" s="1409">
        <v>0</v>
      </c>
      <c r="AQ88" s="1409">
        <v>19305</v>
      </c>
      <c r="AR88" s="1412" t="s">
        <v>1208</v>
      </c>
      <c r="AS88" s="1200" t="s">
        <v>1208</v>
      </c>
      <c r="AT88" s="1200" t="s">
        <v>1208</v>
      </c>
      <c r="AU88" s="1200" t="s">
        <v>1208</v>
      </c>
      <c r="AV88" s="1200" t="s">
        <v>1208</v>
      </c>
      <c r="AW88" s="1200" t="s">
        <v>1291</v>
      </c>
      <c r="AX88" s="1411">
        <v>1</v>
      </c>
      <c r="AY88" s="1411">
        <v>1</v>
      </c>
      <c r="AZ88" s="1411">
        <v>0</v>
      </c>
      <c r="BA88" s="1411">
        <v>0</v>
      </c>
      <c r="BB88" s="1411">
        <v>0</v>
      </c>
      <c r="BC88" s="1411">
        <v>0</v>
      </c>
      <c r="BD88" s="1411">
        <v>0</v>
      </c>
      <c r="BE88" s="1409">
        <v>0</v>
      </c>
      <c r="BF88" s="1409">
        <v>0</v>
      </c>
      <c r="BG88" s="1409">
        <v>5000000</v>
      </c>
      <c r="BH88" s="1409">
        <v>5000000</v>
      </c>
      <c r="BI88" s="1411">
        <v>45613523</v>
      </c>
      <c r="BJ88" s="1409">
        <v>3983420</v>
      </c>
      <c r="BK88" s="1409">
        <v>3742821</v>
      </c>
      <c r="BL88" s="1331">
        <v>1.0642827963186057</v>
      </c>
      <c r="BM88" s="1409">
        <v>0</v>
      </c>
      <c r="BN88" s="1409">
        <v>0</v>
      </c>
      <c r="BO88" s="1200" t="s">
        <v>1208</v>
      </c>
      <c r="BP88" s="1411">
        <v>6741135</v>
      </c>
      <c r="BQ88" s="1411">
        <v>2432305</v>
      </c>
      <c r="BR88" s="1413">
        <v>2.7715006958420099</v>
      </c>
      <c r="BS88" s="1409">
        <v>1</v>
      </c>
      <c r="BT88" s="1411">
        <v>3816703</v>
      </c>
      <c r="BU88" s="1411">
        <v>62969545</v>
      </c>
      <c r="BV88" s="1413">
        <v>6.0611887857852556E-2</v>
      </c>
      <c r="BW88" s="1409">
        <v>0</v>
      </c>
      <c r="BX88" s="1409">
        <v>4166.5602323480025</v>
      </c>
      <c r="BY88" s="1409">
        <v>5229.8781353058466</v>
      </c>
      <c r="BZ88" s="1409">
        <v>881761</v>
      </c>
      <c r="CA88" s="1409">
        <v>160663</v>
      </c>
      <c r="CB88" s="1409">
        <v>1016094</v>
      </c>
      <c r="CC88" s="1409">
        <v>277286</v>
      </c>
      <c r="CD88" s="1409">
        <v>18456453</v>
      </c>
      <c r="CE88" s="1409">
        <v>0</v>
      </c>
      <c r="CF88" s="1409">
        <v>0</v>
      </c>
      <c r="CG88" s="1409">
        <v>6464879</v>
      </c>
      <c r="CH88" s="1409">
        <v>2940717</v>
      </c>
      <c r="CI88" s="1409">
        <v>6050422</v>
      </c>
      <c r="CJ88" s="1409">
        <v>36248275</v>
      </c>
      <c r="CK88" s="30">
        <v>2.4325598942294496E-2</v>
      </c>
      <c r="CL88" s="30">
        <v>4.4322936746645182E-3</v>
      </c>
      <c r="CM88" s="30">
        <v>2.8031513223732714E-2</v>
      </c>
      <c r="CN88" s="30">
        <v>7.6496329825350307E-3</v>
      </c>
      <c r="CO88" s="30">
        <v>0.50916776039687406</v>
      </c>
      <c r="CP88" s="30">
        <v>0</v>
      </c>
      <c r="CQ88" s="30">
        <v>0</v>
      </c>
      <c r="CR88" s="30">
        <v>0.17834997665406147</v>
      </c>
      <c r="CS88" s="30">
        <v>8.1127088116606932E-2</v>
      </c>
      <c r="CT88" s="30">
        <v>0.16691613600923078</v>
      </c>
      <c r="CU88" s="30">
        <v>1</v>
      </c>
      <c r="CV88" s="1409">
        <v>16035032</v>
      </c>
      <c r="CW88" s="1409">
        <v>3451701</v>
      </c>
      <c r="CX88" s="1409">
        <v>739452</v>
      </c>
      <c r="CY88" s="1409">
        <v>9833402</v>
      </c>
      <c r="CZ88" s="1409">
        <v>830403</v>
      </c>
      <c r="DA88" s="1409">
        <v>979421</v>
      </c>
      <c r="DB88" s="1409">
        <v>31869411</v>
      </c>
      <c r="DC88" s="30">
        <v>0.50314805002201013</v>
      </c>
      <c r="DD88" s="30">
        <v>0.10830764961423353</v>
      </c>
      <c r="DE88" s="30">
        <v>2.320256248224983E-2</v>
      </c>
      <c r="DF88" s="30">
        <v>0.3085529883184851</v>
      </c>
      <c r="DG88" s="30">
        <v>2.6056427588197349E-2</v>
      </c>
      <c r="DH88" s="30">
        <v>3.0732321974824072E-2</v>
      </c>
      <c r="DI88" s="30">
        <v>1</v>
      </c>
      <c r="DJ88" s="1409">
        <v>4378864</v>
      </c>
      <c r="DK88" s="1409">
        <v>922.30051489308369</v>
      </c>
      <c r="DL88" s="1409">
        <v>168.04958217052865</v>
      </c>
      <c r="DM88" s="1409">
        <v>1062.8095588030917</v>
      </c>
      <c r="DN88" s="1409">
        <v>290.03439772528338</v>
      </c>
      <c r="DO88" s="1409">
        <v>19305</v>
      </c>
      <c r="DP88" s="1409">
        <v>0</v>
      </c>
      <c r="DQ88" s="1409">
        <v>0</v>
      </c>
      <c r="DR88" s="1409">
        <v>6762.1058658995853</v>
      </c>
      <c r="DS88" s="1409">
        <v>3075.9183080844405</v>
      </c>
      <c r="DT88" s="1409">
        <v>6328.5939454346935</v>
      </c>
      <c r="DU88" s="1409">
        <v>37914.812173010709</v>
      </c>
      <c r="DV88" s="1409">
        <v>16772.252651145915</v>
      </c>
      <c r="DW88" s="1409">
        <v>3610.3951179026649</v>
      </c>
      <c r="DX88" s="1409">
        <v>773.44876938163577</v>
      </c>
      <c r="DY88" s="1409">
        <v>10285.498823094556</v>
      </c>
      <c r="DZ88" s="1409">
        <v>868.58129863847614</v>
      </c>
      <c r="EA88" s="1409">
        <v>1024.4504946318775</v>
      </c>
      <c r="EB88" s="1409">
        <v>33334.627154795126</v>
      </c>
      <c r="EC88" s="1409">
        <v>4580.1850182155804</v>
      </c>
      <c r="ED88" s="1414">
        <v>305</v>
      </c>
      <c r="EE88" s="1409">
        <v>0</v>
      </c>
      <c r="EF88" s="1409">
        <v>0</v>
      </c>
      <c r="EG88" s="1411">
        <v>0</v>
      </c>
      <c r="EH88" s="1411">
        <v>1</v>
      </c>
      <c r="EI88" s="1203">
        <v>0.02</v>
      </c>
      <c r="EJ88" s="1409">
        <v>3.1345744965417097</v>
      </c>
      <c r="EK88" s="1409">
        <v>0</v>
      </c>
      <c r="EL88" s="1409">
        <v>0</v>
      </c>
      <c r="EM88" s="1409">
        <v>1</v>
      </c>
      <c r="EN88" s="1331">
        <v>0.2</v>
      </c>
      <c r="EO88" s="1409">
        <v>0</v>
      </c>
      <c r="EP88" s="1409">
        <v>0</v>
      </c>
      <c r="EQ88" s="1409">
        <v>0</v>
      </c>
      <c r="ER88" s="1411">
        <v>0</v>
      </c>
      <c r="ES88" s="1409">
        <v>9838.0241739840258</v>
      </c>
      <c r="ET88" s="1409">
        <v>-1072.8195455540672</v>
      </c>
      <c r="EU88" s="1411">
        <v>2</v>
      </c>
      <c r="EV88" s="1409">
        <v>54045</v>
      </c>
      <c r="EW88" s="1409">
        <v>12340</v>
      </c>
      <c r="EX88" s="1411">
        <v>0</v>
      </c>
      <c r="EY88" s="1409">
        <v>6464879</v>
      </c>
      <c r="EZ88" s="1409">
        <v>2627713</v>
      </c>
      <c r="FA88" s="1409">
        <v>3837166</v>
      </c>
      <c r="FB88" s="1409">
        <v>2940717</v>
      </c>
      <c r="FC88" s="1409">
        <v>823988</v>
      </c>
      <c r="FD88" s="1409">
        <v>2116729</v>
      </c>
      <c r="FE88" s="1409">
        <v>9405596</v>
      </c>
      <c r="FF88" s="1409">
        <v>3451701</v>
      </c>
      <c r="FG88" s="1409">
        <v>5953895</v>
      </c>
      <c r="FH88" s="30">
        <v>1</v>
      </c>
      <c r="FI88" s="30">
        <v>0.40645973420384202</v>
      </c>
      <c r="FJ88" s="30">
        <v>0.59354026579615793</v>
      </c>
      <c r="FK88" s="30">
        <v>1</v>
      </c>
      <c r="FL88" s="30">
        <v>0.28019969279600859</v>
      </c>
      <c r="FM88" s="30">
        <v>0.71980030720399146</v>
      </c>
      <c r="FN88" s="30">
        <v>1</v>
      </c>
      <c r="FO88" s="30">
        <v>0.36698376158193485</v>
      </c>
      <c r="FP88" s="30">
        <v>0.6330162384180652</v>
      </c>
      <c r="FQ88" s="1409">
        <v>5227495</v>
      </c>
      <c r="FR88" s="1409">
        <v>0</v>
      </c>
      <c r="FS88" s="1409">
        <v>626536</v>
      </c>
      <c r="FT88" s="1409">
        <v>278501</v>
      </c>
      <c r="FU88" s="1409">
        <v>0</v>
      </c>
      <c r="FV88" s="1409">
        <v>126195</v>
      </c>
      <c r="FW88" s="1409">
        <v>720832</v>
      </c>
      <c r="FX88" s="1409">
        <v>6979559</v>
      </c>
      <c r="FY88" s="1409">
        <v>-1025664</v>
      </c>
      <c r="FZ88" s="30">
        <v>0.55578561953968675</v>
      </c>
      <c r="GA88" s="30">
        <v>0</v>
      </c>
      <c r="GB88" s="30">
        <v>6.6613109897554604E-2</v>
      </c>
      <c r="GC88" s="30">
        <v>2.9610138475009984E-2</v>
      </c>
      <c r="GD88" s="30">
        <v>0</v>
      </c>
      <c r="GE88" s="30">
        <v>1.3417012595480393E-2</v>
      </c>
      <c r="GF88" s="30">
        <v>7.6638630874641012E-2</v>
      </c>
      <c r="GG88" s="30">
        <v>0.74206451138237284</v>
      </c>
      <c r="GH88" s="30">
        <v>-0.10904827296430764</v>
      </c>
      <c r="GI88" s="1415">
        <v>2.1984022944064323</v>
      </c>
      <c r="GJ88" s="1416">
        <v>1</v>
      </c>
      <c r="GK88" s="622">
        <v>0.02</v>
      </c>
      <c r="GL88" s="1416">
        <v>1</v>
      </c>
      <c r="GM88" s="622">
        <v>0.01</v>
      </c>
      <c r="GN88" s="1416">
        <v>18</v>
      </c>
      <c r="GO88" s="1985">
        <f>IF(GN88=0,0,VLOOKUP(A88,'Area (&amp;golfacre for lookup)'!$G$2:$H$133,2,FALSE))</f>
        <v>82.18</v>
      </c>
      <c r="GP88" s="1416">
        <v>20000</v>
      </c>
      <c r="GQ88" s="1416">
        <v>1627027</v>
      </c>
      <c r="GR88" s="1416">
        <v>121666</v>
      </c>
      <c r="GS88" s="1416">
        <v>429229</v>
      </c>
      <c r="GT88" s="1416">
        <v>208930</v>
      </c>
      <c r="GU88" s="1416">
        <v>0</v>
      </c>
      <c r="GV88" s="1416">
        <v>291499</v>
      </c>
      <c r="GW88" s="1416">
        <v>2678351</v>
      </c>
      <c r="GX88" s="1416">
        <v>148797.27777777778</v>
      </c>
      <c r="GY88" s="1985">
        <v>32591.275249452417</v>
      </c>
      <c r="GZ88" s="30">
        <v>0.60747340434468822</v>
      </c>
      <c r="HA88" s="30">
        <v>4.5425711566557184E-2</v>
      </c>
      <c r="HB88" s="30">
        <v>0.16025868155443404</v>
      </c>
      <c r="HC88" s="30">
        <v>7.8006952785501224E-2</v>
      </c>
      <c r="HD88" s="30">
        <v>0</v>
      </c>
      <c r="HE88" s="30">
        <v>0.10883524974881933</v>
      </c>
      <c r="HF88" s="30">
        <v>1</v>
      </c>
      <c r="HG88" s="1409">
        <v>0</v>
      </c>
      <c r="HH88" s="1988">
        <f>IF(HG88=0,0,VLOOKUP(A88,'Area (&amp;golfacre for lookup)'!$G$2:$H$134,2,FALSE))</f>
        <v>0</v>
      </c>
      <c r="HI88" s="1409">
        <v>0</v>
      </c>
      <c r="HJ88" s="1409">
        <v>0</v>
      </c>
      <c r="HK88" s="1409">
        <v>0</v>
      </c>
      <c r="HL88" s="1409">
        <v>0</v>
      </c>
      <c r="HM88" s="1409">
        <v>0</v>
      </c>
      <c r="HN88" s="1409">
        <v>0</v>
      </c>
      <c r="HO88" s="1409">
        <v>0</v>
      </c>
      <c r="HP88" s="1409">
        <v>0</v>
      </c>
      <c r="HQ88" s="1409">
        <v>0</v>
      </c>
      <c r="HR88" s="1988">
        <f t="shared" si="765"/>
        <v>0</v>
      </c>
      <c r="HS88" s="1409">
        <v>0</v>
      </c>
      <c r="HT88" s="1409">
        <v>0</v>
      </c>
      <c r="HU88" s="1409">
        <v>0</v>
      </c>
      <c r="HV88" s="1409">
        <v>0</v>
      </c>
      <c r="HW88" s="1409">
        <v>0</v>
      </c>
      <c r="HX88" s="1409">
        <v>0</v>
      </c>
      <c r="HY88" s="1409">
        <v>0</v>
      </c>
      <c r="HZ88" s="51"/>
      <c r="IA88" s="59">
        <f t="shared" si="766"/>
        <v>0</v>
      </c>
      <c r="IB88" s="59"/>
      <c r="IC88" s="815">
        <f t="shared" si="581"/>
        <v>1</v>
      </c>
      <c r="ID88" s="815"/>
      <c r="IE88" s="284">
        <f t="shared" si="582"/>
        <v>0</v>
      </c>
      <c r="IF88" s="284"/>
      <c r="IG88" s="284">
        <f t="shared" si="583"/>
        <v>47710.633322394067</v>
      </c>
      <c r="IH88" s="284"/>
      <c r="II88" s="1288">
        <f t="shared" si="584"/>
        <v>2.7715006958420099</v>
      </c>
      <c r="IJ88" s="1288">
        <f t="shared" si="585"/>
        <v>0</v>
      </c>
      <c r="IK88" s="284">
        <f t="shared" si="586"/>
        <v>1</v>
      </c>
      <c r="IL88" s="284">
        <f t="shared" si="587"/>
        <v>0</v>
      </c>
      <c r="IM88" s="284">
        <f t="shared" si="588"/>
        <v>0</v>
      </c>
      <c r="IN88" s="284">
        <f t="shared" si="589"/>
        <v>0</v>
      </c>
      <c r="IO88" s="753">
        <f t="shared" si="590"/>
        <v>-998.69912366114897</v>
      </c>
      <c r="IP88" s="113">
        <f t="shared" si="591"/>
        <v>-1072.8195455540672</v>
      </c>
      <c r="IQ88" s="30">
        <f t="shared" si="592"/>
        <v>-5.557210803180871E-2</v>
      </c>
      <c r="IR88" s="438">
        <f t="shared" si="593"/>
        <v>6464879</v>
      </c>
      <c r="IS88" s="438">
        <f t="shared" si="594"/>
        <v>2940717</v>
      </c>
      <c r="IT88" s="438">
        <f t="shared" si="595"/>
        <v>5227495</v>
      </c>
      <c r="IU88" s="438">
        <f t="shared" si="596"/>
        <v>905037</v>
      </c>
      <c r="IV88" s="438">
        <f t="shared" si="597"/>
        <v>3451701</v>
      </c>
      <c r="IW88" s="438">
        <f t="shared" si="598"/>
        <v>847027</v>
      </c>
      <c r="IX88" s="285">
        <f t="shared" si="599"/>
        <v>0.68734389612311653</v>
      </c>
      <c r="IY88" s="285">
        <f t="shared" si="600"/>
        <v>0.31265610387688353</v>
      </c>
      <c r="IZ88" s="285">
        <f t="shared" si="601"/>
        <v>0.55578561953968675</v>
      </c>
      <c r="JA88" s="285">
        <f t="shared" si="602"/>
        <v>9.6223248372564588E-2</v>
      </c>
      <c r="JB88" s="285">
        <f t="shared" si="603"/>
        <v>0.36698376158193485</v>
      </c>
      <c r="JC88" s="285">
        <f t="shared" si="604"/>
        <v>9.0055643470121405E-2</v>
      </c>
      <c r="JD88" s="60">
        <f t="shared" si="605"/>
        <v>18456453</v>
      </c>
      <c r="JE88" s="60">
        <f t="shared" si="606"/>
        <v>2335804</v>
      </c>
      <c r="JF88" s="60">
        <f t="shared" si="607"/>
        <v>0</v>
      </c>
      <c r="JG88" s="60">
        <f t="shared" si="608"/>
        <v>1809824</v>
      </c>
      <c r="JH88" s="284">
        <f t="shared" si="609"/>
        <v>1</v>
      </c>
      <c r="JI88" s="284">
        <f t="shared" si="610"/>
        <v>1</v>
      </c>
      <c r="JJ88" s="560">
        <f t="shared" si="611"/>
        <v>0.72773975636112409</v>
      </c>
      <c r="JK88" s="561">
        <f t="shared" si="612"/>
        <v>0.44236676090103599</v>
      </c>
      <c r="JL88" s="561">
        <f t="shared" si="613"/>
        <v>9.5223869273779238E-2</v>
      </c>
      <c r="JM88" s="561">
        <f t="shared" si="614"/>
        <v>2.0399646603872872E-2</v>
      </c>
      <c r="JN88" s="561">
        <f t="shared" si="615"/>
        <v>0.27127917121573369</v>
      </c>
      <c r="JO88" s="561">
        <f t="shared" si="616"/>
        <v>2.2908759106467825E-2</v>
      </c>
      <c r="JP88" s="561">
        <f t="shared" si="617"/>
        <v>2.7019796114435789E-2</v>
      </c>
      <c r="JQ88" s="561">
        <f t="shared" si="618"/>
        <v>0.87919800321532549</v>
      </c>
      <c r="JR88" s="61">
        <f t="shared" si="619"/>
        <v>90390.388888888891</v>
      </c>
      <c r="JS88" s="61">
        <f t="shared" si="620"/>
        <v>6759.2222222222226</v>
      </c>
      <c r="JT88" s="61">
        <f t="shared" si="621"/>
        <v>23846.055555555555</v>
      </c>
      <c r="JU88" s="61">
        <f t="shared" si="622"/>
        <v>11607.222222222223</v>
      </c>
      <c r="JV88" s="61">
        <f t="shared" si="623"/>
        <v>0</v>
      </c>
      <c r="JW88" s="61">
        <f t="shared" si="624"/>
        <v>16194.388888888889</v>
      </c>
      <c r="JX88" s="61">
        <f t="shared" si="625"/>
        <v>133.91755000000001</v>
      </c>
      <c r="JY88" s="394">
        <f t="shared" si="626"/>
        <v>8.4041433963119055E-2</v>
      </c>
      <c r="JZ88" s="61">
        <f t="shared" si="627"/>
        <v>0</v>
      </c>
      <c r="KA88" s="61">
        <f t="shared" si="628"/>
        <v>0</v>
      </c>
      <c r="KB88" s="61">
        <f t="shared" si="629"/>
        <v>0</v>
      </c>
      <c r="KC88" s="61">
        <f t="shared" si="630"/>
        <v>0</v>
      </c>
      <c r="KD88" s="61">
        <f t="shared" si="631"/>
        <v>0</v>
      </c>
      <c r="KE88" s="61">
        <f t="shared" si="632"/>
        <v>0</v>
      </c>
      <c r="KF88" s="61">
        <f t="shared" si="633"/>
        <v>0</v>
      </c>
      <c r="KG88" s="61">
        <f t="shared" si="634"/>
        <v>0</v>
      </c>
      <c r="KH88" s="61">
        <f t="shared" si="635"/>
        <v>0</v>
      </c>
      <c r="KI88" s="394">
        <f t="shared" si="636"/>
        <v>0</v>
      </c>
      <c r="KJ88" s="438">
        <f t="shared" si="637"/>
        <v>18</v>
      </c>
      <c r="KK88" s="438">
        <f t="shared" si="638"/>
        <v>20000</v>
      </c>
      <c r="KL88" s="438">
        <f t="shared" si="639"/>
        <v>82.18</v>
      </c>
      <c r="KM88" s="438">
        <f t="shared" si="640"/>
        <v>148797.27777777778</v>
      </c>
      <c r="KN88" s="438">
        <f t="shared" si="641"/>
        <v>133.91755000000001</v>
      </c>
      <c r="KO88" s="438">
        <f t="shared" si="642"/>
        <v>32591.275249452417</v>
      </c>
      <c r="KP88" s="438">
        <f t="shared" si="643"/>
        <v>1627027</v>
      </c>
      <c r="KQ88" s="438">
        <f t="shared" si="644"/>
        <v>121666</v>
      </c>
      <c r="KR88" s="438">
        <f t="shared" si="645"/>
        <v>429229</v>
      </c>
      <c r="KS88" s="438">
        <f t="shared" si="646"/>
        <v>208930</v>
      </c>
      <c r="KT88" s="438">
        <f t="shared" si="647"/>
        <v>0</v>
      </c>
      <c r="KU88" s="438">
        <f t="shared" si="648"/>
        <v>291499</v>
      </c>
      <c r="KV88" s="420">
        <f t="shared" si="649"/>
        <v>8.4041433963119055E-2</v>
      </c>
      <c r="KW88" s="420">
        <f t="shared" si="650"/>
        <v>-0.1293234404248747</v>
      </c>
      <c r="KX88" s="108"/>
      <c r="KY88" s="282">
        <f t="shared" si="651"/>
        <v>0</v>
      </c>
      <c r="KZ88" s="282"/>
      <c r="LA88" s="282">
        <f t="shared" si="652"/>
        <v>0</v>
      </c>
      <c r="LB88" s="282"/>
      <c r="LC88" s="286">
        <f t="shared" si="653"/>
        <v>0</v>
      </c>
      <c r="LD88" s="286"/>
      <c r="LE88" s="282">
        <f t="shared" si="654"/>
        <v>0</v>
      </c>
      <c r="LF88" s="282"/>
      <c r="LG88" s="282">
        <f t="shared" si="655"/>
        <v>0</v>
      </c>
      <c r="LH88" s="282">
        <f t="shared" si="656"/>
        <v>0</v>
      </c>
      <c r="LI88" s="282">
        <f t="shared" si="657"/>
        <v>0</v>
      </c>
      <c r="LJ88" s="282">
        <f t="shared" si="658"/>
        <v>0</v>
      </c>
      <c r="LK88" s="282"/>
      <c r="LL88" s="282">
        <f t="shared" si="659"/>
        <v>0</v>
      </c>
      <c r="LM88" s="282">
        <f t="shared" si="660"/>
        <v>0</v>
      </c>
      <c r="LN88" s="282">
        <f t="shared" si="661"/>
        <v>0</v>
      </c>
      <c r="LO88" s="282">
        <f t="shared" si="662"/>
        <v>0</v>
      </c>
      <c r="LP88" s="286">
        <f t="shared" si="663"/>
        <v>0</v>
      </c>
      <c r="LQ88" s="282">
        <f t="shared" si="664"/>
        <v>0</v>
      </c>
      <c r="LR88" s="282">
        <f t="shared" si="665"/>
        <v>0</v>
      </c>
      <c r="LS88" s="282">
        <f t="shared" si="666"/>
        <v>0</v>
      </c>
      <c r="LT88" s="286">
        <f t="shared" si="667"/>
        <v>0</v>
      </c>
      <c r="LU88" s="286">
        <f t="shared" si="668"/>
        <v>0</v>
      </c>
      <c r="LV88" s="286">
        <f t="shared" si="669"/>
        <v>0</v>
      </c>
      <c r="LW88" s="286">
        <f t="shared" si="670"/>
        <v>0</v>
      </c>
      <c r="LX88" s="286">
        <f t="shared" si="671"/>
        <v>0</v>
      </c>
      <c r="LY88" s="286">
        <f t="shared" si="672"/>
        <v>0</v>
      </c>
      <c r="LZ88" s="286">
        <f t="shared" si="673"/>
        <v>0</v>
      </c>
      <c r="MA88" s="286">
        <f t="shared" si="674"/>
        <v>0</v>
      </c>
      <c r="MB88" s="286">
        <f t="shared" si="675"/>
        <v>0</v>
      </c>
      <c r="MC88" s="286">
        <f t="shared" si="676"/>
        <v>0</v>
      </c>
      <c r="MD88" s="286">
        <f t="shared" si="677"/>
        <v>0</v>
      </c>
      <c r="ME88" s="286">
        <f t="shared" si="678"/>
        <v>0</v>
      </c>
      <c r="MF88" s="286">
        <f t="shared" si="679"/>
        <v>0</v>
      </c>
      <c r="MG88" s="286">
        <f t="shared" si="680"/>
        <v>0</v>
      </c>
      <c r="MH88" s="286">
        <f t="shared" si="681"/>
        <v>0</v>
      </c>
      <c r="MI88" s="286">
        <f t="shared" si="682"/>
        <v>0</v>
      </c>
      <c r="MJ88" s="286">
        <f t="shared" si="683"/>
        <v>0</v>
      </c>
      <c r="MK88" s="286">
        <f t="shared" si="684"/>
        <v>0</v>
      </c>
      <c r="ML88" s="282">
        <f t="shared" si="685"/>
        <v>0</v>
      </c>
      <c r="MM88" s="1232">
        <f t="shared" si="686"/>
        <v>0</v>
      </c>
      <c r="MN88" s="1232">
        <f t="shared" si="687"/>
        <v>0</v>
      </c>
      <c r="MO88" s="1232">
        <f t="shared" si="688"/>
        <v>0</v>
      </c>
      <c r="MP88" s="1232">
        <f t="shared" si="689"/>
        <v>0</v>
      </c>
      <c r="MQ88" s="282">
        <f t="shared" si="690"/>
        <v>0</v>
      </c>
      <c r="MR88" s="282">
        <f t="shared" si="691"/>
        <v>0</v>
      </c>
      <c r="MS88" s="282">
        <f t="shared" si="692"/>
        <v>0</v>
      </c>
      <c r="MT88" s="282">
        <f t="shared" si="693"/>
        <v>0</v>
      </c>
      <c r="MU88" s="282">
        <f t="shared" si="694"/>
        <v>0</v>
      </c>
      <c r="MV88" s="282">
        <f t="shared" si="695"/>
        <v>0</v>
      </c>
      <c r="MW88" s="282">
        <f t="shared" si="696"/>
        <v>0</v>
      </c>
      <c r="MX88" s="282">
        <f t="shared" si="697"/>
        <v>0</v>
      </c>
      <c r="MY88" s="282">
        <f t="shared" si="698"/>
        <v>0</v>
      </c>
      <c r="MZ88" s="282">
        <f t="shared" si="699"/>
        <v>0</v>
      </c>
      <c r="NA88" s="282">
        <f t="shared" si="700"/>
        <v>0</v>
      </c>
      <c r="NB88" s="282">
        <f t="shared" si="701"/>
        <v>0</v>
      </c>
      <c r="NC88" s="282">
        <f t="shared" si="702"/>
        <v>0</v>
      </c>
      <c r="ND88" s="282">
        <f t="shared" si="703"/>
        <v>0</v>
      </c>
      <c r="NE88" s="282">
        <f t="shared" si="704"/>
        <v>0</v>
      </c>
      <c r="NF88" s="282">
        <f t="shared" si="705"/>
        <v>0</v>
      </c>
      <c r="NG88" s="282">
        <f t="shared" si="706"/>
        <v>0</v>
      </c>
      <c r="NH88" s="282">
        <f t="shared" si="707"/>
        <v>0</v>
      </c>
      <c r="NI88" s="282">
        <f t="shared" si="708"/>
        <v>0</v>
      </c>
      <c r="NJ88" s="282">
        <f t="shared" si="709"/>
        <v>0</v>
      </c>
      <c r="NK88" s="282">
        <f t="shared" si="710"/>
        <v>0</v>
      </c>
      <c r="NL88" s="282">
        <f t="shared" si="711"/>
        <v>0</v>
      </c>
      <c r="NM88" s="1205">
        <f t="shared" si="712"/>
        <v>0</v>
      </c>
      <c r="NN88" s="282">
        <f t="shared" si="713"/>
        <v>0</v>
      </c>
      <c r="NO88" s="282">
        <f t="shared" si="714"/>
        <v>0</v>
      </c>
      <c r="NP88" s="282">
        <f t="shared" si="715"/>
        <v>0</v>
      </c>
      <c r="NQ88" s="282">
        <f t="shared" si="716"/>
        <v>0</v>
      </c>
      <c r="NR88" s="282">
        <f t="shared" si="717"/>
        <v>0</v>
      </c>
      <c r="NS88" s="282">
        <f t="shared" si="718"/>
        <v>0</v>
      </c>
      <c r="NT88" s="282">
        <f t="shared" si="719"/>
        <v>0</v>
      </c>
      <c r="NU88" s="282">
        <f t="shared" si="720"/>
        <v>0</v>
      </c>
      <c r="NV88" s="286">
        <f t="shared" si="721"/>
        <v>0</v>
      </c>
      <c r="NW88" s="286">
        <f t="shared" si="722"/>
        <v>0</v>
      </c>
      <c r="NX88" s="286">
        <f t="shared" si="723"/>
        <v>0</v>
      </c>
      <c r="NY88" s="286">
        <f t="shared" si="724"/>
        <v>0</v>
      </c>
      <c r="NZ88" s="286">
        <f t="shared" si="725"/>
        <v>0</v>
      </c>
      <c r="OA88" s="286">
        <f t="shared" si="726"/>
        <v>0</v>
      </c>
      <c r="OB88" s="286">
        <f t="shared" si="727"/>
        <v>0</v>
      </c>
      <c r="OC88" s="286">
        <f t="shared" si="728"/>
        <v>0</v>
      </c>
      <c r="OD88" s="286">
        <f t="shared" si="729"/>
        <v>0</v>
      </c>
      <c r="OE88" s="282">
        <f t="shared" si="730"/>
        <v>0</v>
      </c>
      <c r="OF88" s="282">
        <f t="shared" si="731"/>
        <v>0</v>
      </c>
      <c r="OG88" s="286">
        <f t="shared" si="732"/>
        <v>0</v>
      </c>
      <c r="OH88" s="286">
        <f t="shared" si="733"/>
        <v>0</v>
      </c>
      <c r="OI88" s="286">
        <f t="shared" si="734"/>
        <v>0</v>
      </c>
      <c r="OJ88" s="286">
        <f t="shared" si="735"/>
        <v>0</v>
      </c>
      <c r="OK88" s="286">
        <f t="shared" si="736"/>
        <v>0</v>
      </c>
      <c r="OL88" s="286">
        <f t="shared" si="737"/>
        <v>0</v>
      </c>
      <c r="OM88" s="286">
        <f t="shared" si="738"/>
        <v>0</v>
      </c>
      <c r="ON88" s="286">
        <f t="shared" si="739"/>
        <v>0</v>
      </c>
      <c r="OO88" s="286">
        <f t="shared" si="740"/>
        <v>0</v>
      </c>
      <c r="OP88" s="434">
        <f t="shared" si="741"/>
        <v>0</v>
      </c>
      <c r="OQ88" s="434">
        <f t="shared" si="742"/>
        <v>0</v>
      </c>
      <c r="OR88" s="282">
        <f t="shared" si="743"/>
        <v>0</v>
      </c>
      <c r="OS88" s="282">
        <f t="shared" si="744"/>
        <v>0</v>
      </c>
      <c r="OT88" s="282">
        <f t="shared" si="745"/>
        <v>0</v>
      </c>
      <c r="OU88" s="282">
        <f t="shared" si="746"/>
        <v>0</v>
      </c>
      <c r="OV88" s="282">
        <f t="shared" si="747"/>
        <v>0</v>
      </c>
      <c r="OW88" s="286">
        <f t="shared" si="748"/>
        <v>0</v>
      </c>
      <c r="OX88" s="286">
        <f t="shared" si="749"/>
        <v>0</v>
      </c>
      <c r="OY88" s="286">
        <f t="shared" si="750"/>
        <v>0</v>
      </c>
      <c r="OZ88" s="286">
        <f t="shared" si="751"/>
        <v>0</v>
      </c>
      <c r="PA88" s="286">
        <f t="shared" si="752"/>
        <v>0</v>
      </c>
      <c r="PB88" s="286">
        <f t="shared" si="753"/>
        <v>0</v>
      </c>
      <c r="PC88" s="286">
        <f t="shared" si="754"/>
        <v>0</v>
      </c>
      <c r="PD88" s="282">
        <f t="shared" si="755"/>
        <v>0</v>
      </c>
      <c r="PE88" s="282">
        <f t="shared" si="756"/>
        <v>0</v>
      </c>
      <c r="PF88" s="286">
        <f t="shared" si="757"/>
        <v>0</v>
      </c>
      <c r="PG88" s="286">
        <f t="shared" si="758"/>
        <v>0</v>
      </c>
      <c r="PH88" s="286">
        <f t="shared" si="759"/>
        <v>0</v>
      </c>
      <c r="PI88" s="286">
        <f t="shared" si="760"/>
        <v>0</v>
      </c>
      <c r="PJ88" s="286">
        <f t="shared" si="761"/>
        <v>0</v>
      </c>
      <c r="PK88" s="286">
        <f t="shared" si="762"/>
        <v>0</v>
      </c>
      <c r="PL88" s="286">
        <f t="shared" si="763"/>
        <v>0</v>
      </c>
      <c r="PM88" s="562">
        <v>32</v>
      </c>
    </row>
    <row r="89" spans="1:431" s="289" customFormat="1" ht="17.25" customHeight="1">
      <c r="A89" s="1935" t="s">
        <v>1304</v>
      </c>
      <c r="B89" s="1040" t="str">
        <f>VLOOKUP(A89,'Area (&amp;golfacre for lookup)'!$A$2:$B$162,2,FALSE)</f>
        <v>SW exc CIRA</v>
      </c>
      <c r="C89" s="1936"/>
      <c r="D89" s="1937">
        <v>44834</v>
      </c>
      <c r="E89" s="402"/>
      <c r="F89" s="1936">
        <v>0</v>
      </c>
      <c r="G89" s="1936">
        <v>1</v>
      </c>
      <c r="H89" s="1936">
        <v>585</v>
      </c>
      <c r="I89" s="1936">
        <v>34</v>
      </c>
      <c r="J89" s="1936">
        <v>619</v>
      </c>
      <c r="K89" s="1938">
        <v>605.25606641123886</v>
      </c>
      <c r="L89" s="1939" t="s">
        <v>1208</v>
      </c>
      <c r="M89" s="1939" t="s">
        <v>1208</v>
      </c>
      <c r="N89" s="1939" t="s">
        <v>1208</v>
      </c>
      <c r="O89" s="1939" t="s">
        <v>1208</v>
      </c>
      <c r="P89" s="1939" t="s">
        <v>1208</v>
      </c>
      <c r="Q89" s="1936">
        <v>0</v>
      </c>
      <c r="R89" s="1936">
        <v>65000</v>
      </c>
      <c r="S89" s="1936">
        <v>65000</v>
      </c>
      <c r="T89" s="1939" t="s">
        <v>1208</v>
      </c>
      <c r="U89" s="1939" t="s">
        <v>1208</v>
      </c>
      <c r="V89" s="1939" t="s">
        <v>1208</v>
      </c>
      <c r="W89" s="1936">
        <v>13500</v>
      </c>
      <c r="X89" s="1936">
        <v>12528</v>
      </c>
      <c r="Y89" s="1939" t="s">
        <v>1208</v>
      </c>
      <c r="Z89" s="1939" t="s">
        <v>1208</v>
      </c>
      <c r="AA89" s="1936">
        <v>972</v>
      </c>
      <c r="AB89" s="1362">
        <v>7.7586206896551727E-2</v>
      </c>
      <c r="AC89" s="1939" t="s">
        <v>1208</v>
      </c>
      <c r="AD89" s="1363" t="s">
        <v>1208</v>
      </c>
      <c r="AE89" s="1936">
        <v>1</v>
      </c>
      <c r="AF89" s="1936">
        <v>3480</v>
      </c>
      <c r="AG89" s="1939" t="s">
        <v>1208</v>
      </c>
      <c r="AH89" s="1936">
        <v>0</v>
      </c>
      <c r="AI89" s="1936">
        <v>0</v>
      </c>
      <c r="AJ89" s="1939" t="s">
        <v>1208</v>
      </c>
      <c r="AK89" s="1938">
        <v>1</v>
      </c>
      <c r="AL89" s="1938">
        <v>960</v>
      </c>
      <c r="AM89" s="1936">
        <v>16968</v>
      </c>
      <c r="AN89" s="1939" t="s">
        <v>1208</v>
      </c>
      <c r="AO89" s="1936">
        <v>1600</v>
      </c>
      <c r="AP89" s="1936">
        <v>0</v>
      </c>
      <c r="AQ89" s="1936">
        <v>18568</v>
      </c>
      <c r="AR89" s="1939" t="s">
        <v>1208</v>
      </c>
      <c r="AS89" s="1363" t="s">
        <v>1208</v>
      </c>
      <c r="AT89" s="1363" t="s">
        <v>1208</v>
      </c>
      <c r="AU89" s="1363" t="s">
        <v>1208</v>
      </c>
      <c r="AV89" s="1363" t="s">
        <v>1208</v>
      </c>
      <c r="AW89" s="1363" t="s">
        <v>1291</v>
      </c>
      <c r="AX89" s="1938">
        <v>0</v>
      </c>
      <c r="AY89" s="1938">
        <v>0</v>
      </c>
      <c r="AZ89" s="1938">
        <v>0</v>
      </c>
      <c r="BA89" s="1938">
        <v>0</v>
      </c>
      <c r="BB89" s="1938">
        <v>0</v>
      </c>
      <c r="BC89" s="1938">
        <v>0</v>
      </c>
      <c r="BD89" s="1938">
        <v>0</v>
      </c>
      <c r="BE89" s="1936">
        <v>0</v>
      </c>
      <c r="BF89" s="1936">
        <v>0</v>
      </c>
      <c r="BG89" s="1936">
        <v>2300000</v>
      </c>
      <c r="BH89" s="1936">
        <v>2300000</v>
      </c>
      <c r="BI89" s="1938">
        <v>21445260</v>
      </c>
      <c r="BJ89" s="1936">
        <v>200410</v>
      </c>
      <c r="BK89" s="1936">
        <v>2679966</v>
      </c>
      <c r="BL89" s="1362">
        <v>7.4780799457903571E-2</v>
      </c>
      <c r="BM89" s="1936">
        <v>1</v>
      </c>
      <c r="BN89" s="1936">
        <v>899610</v>
      </c>
      <c r="BO89" s="1363" t="s">
        <v>1208</v>
      </c>
      <c r="BP89" s="1938">
        <v>4673453</v>
      </c>
      <c r="BQ89" s="1938">
        <v>2953569</v>
      </c>
      <c r="BR89" s="1940">
        <v>1.5823070326103774</v>
      </c>
      <c r="BS89" s="1409">
        <v>1</v>
      </c>
      <c r="BT89" s="1938">
        <v>3459013</v>
      </c>
      <c r="BU89" s="1938">
        <v>22675734</v>
      </c>
      <c r="BV89" s="1940">
        <v>0.1525424932220496</v>
      </c>
      <c r="BW89" s="1936">
        <v>1486.3295882915836</v>
      </c>
      <c r="BX89" s="1936">
        <v>331.11605338926449</v>
      </c>
      <c r="BY89" s="1936">
        <v>3800.0445227049968</v>
      </c>
      <c r="BZ89" s="1936">
        <v>1452369</v>
      </c>
      <c r="CA89" s="1936">
        <v>132129</v>
      </c>
      <c r="CB89" s="1936">
        <v>703339</v>
      </c>
      <c r="CC89" s="1936">
        <v>118938</v>
      </c>
      <c r="CD89" s="1936">
        <v>7582648</v>
      </c>
      <c r="CE89" s="1936">
        <v>0</v>
      </c>
      <c r="CF89" s="1936">
        <v>0</v>
      </c>
      <c r="CG89" s="1936">
        <v>2025481</v>
      </c>
      <c r="CH89" s="1936">
        <v>1035807</v>
      </c>
      <c r="CI89" s="1936">
        <v>207035</v>
      </c>
      <c r="CJ89" s="1936">
        <v>13257746</v>
      </c>
      <c r="CK89" s="1366">
        <v>0.10954871212648062</v>
      </c>
      <c r="CL89" s="1366">
        <v>9.9661737372250155E-3</v>
      </c>
      <c r="CM89" s="1366">
        <v>5.3051174762286137E-2</v>
      </c>
      <c r="CN89" s="1366">
        <v>8.9712082280049722E-3</v>
      </c>
      <c r="CO89" s="1366">
        <v>0.57194096191011656</v>
      </c>
      <c r="CP89" s="1366">
        <v>0</v>
      </c>
      <c r="CQ89" s="1366">
        <v>0</v>
      </c>
      <c r="CR89" s="1366">
        <v>0.15277717645216615</v>
      </c>
      <c r="CS89" s="1366">
        <v>7.8128439027267529E-2</v>
      </c>
      <c r="CT89" s="1366">
        <v>1.5616153756453021E-2</v>
      </c>
      <c r="CU89" s="1366">
        <v>1</v>
      </c>
      <c r="CV89" s="1936">
        <v>6695937</v>
      </c>
      <c r="CW89" s="1936">
        <v>1267954</v>
      </c>
      <c r="CX89" s="1936">
        <v>478808</v>
      </c>
      <c r="CY89" s="1936">
        <v>4417656</v>
      </c>
      <c r="CZ89" s="1936">
        <v>121912</v>
      </c>
      <c r="DA89" s="1936">
        <v>369690</v>
      </c>
      <c r="DB89" s="1936">
        <v>13351957</v>
      </c>
      <c r="DC89" s="1366">
        <v>0.50149479960128696</v>
      </c>
      <c r="DD89" s="1366">
        <v>9.4963906789094665E-2</v>
      </c>
      <c r="DE89" s="1366">
        <v>3.5860510934838989E-2</v>
      </c>
      <c r="DF89" s="1366">
        <v>0.33086206014593966</v>
      </c>
      <c r="DG89" s="1366">
        <v>9.1306465411774475E-3</v>
      </c>
      <c r="DH89" s="1366">
        <v>2.7688075987662333E-2</v>
      </c>
      <c r="DI89" s="1366">
        <v>1</v>
      </c>
      <c r="DJ89" s="1936">
        <v>-94211</v>
      </c>
      <c r="DK89" s="1936">
        <v>2399.5942884332753</v>
      </c>
      <c r="DL89" s="1936">
        <v>218.30264466977761</v>
      </c>
      <c r="DM89" s="1936">
        <v>1162.0519628499173</v>
      </c>
      <c r="DN89" s="1936">
        <v>196.50856323542908</v>
      </c>
      <c r="DO89" s="1936">
        <v>12528</v>
      </c>
      <c r="DP89" s="1936">
        <v>0</v>
      </c>
      <c r="DQ89" s="1936">
        <v>0</v>
      </c>
      <c r="DR89" s="1936">
        <v>3346.4860782143651</v>
      </c>
      <c r="DS89" s="1936">
        <v>1711.3533551867367</v>
      </c>
      <c r="DT89" s="1936">
        <v>342.06183380792567</v>
      </c>
      <c r="DU89" s="1936">
        <v>21904.358726397426</v>
      </c>
      <c r="DV89" s="1936">
        <v>11062.982052707708</v>
      </c>
      <c r="DW89" s="1936">
        <v>2094.905066409518</v>
      </c>
      <c r="DX89" s="1936">
        <v>791.08335557710177</v>
      </c>
      <c r="DY89" s="1936">
        <v>7298.8215156499409</v>
      </c>
      <c r="DZ89" s="1936">
        <v>201.42218602261372</v>
      </c>
      <c r="EA89" s="1936">
        <v>610.79933026035224</v>
      </c>
      <c r="EB89" s="1936">
        <v>22060.013506627234</v>
      </c>
      <c r="EC89" s="1936">
        <v>-155.65478022980889</v>
      </c>
      <c r="ED89" s="1941">
        <v>151</v>
      </c>
      <c r="EE89" s="1936">
        <v>1</v>
      </c>
      <c r="EF89" s="1936">
        <v>24</v>
      </c>
      <c r="EG89" s="1938">
        <v>51464.77</v>
      </c>
      <c r="EH89" s="1938">
        <v>1</v>
      </c>
      <c r="EI89" s="1368">
        <v>0.03</v>
      </c>
      <c r="EJ89" s="1936">
        <v>4.0083183206042312</v>
      </c>
      <c r="EK89" s="1936">
        <v>1</v>
      </c>
      <c r="EL89" s="1936">
        <v>1600</v>
      </c>
      <c r="EM89" s="1936">
        <v>1</v>
      </c>
      <c r="EN89" s="1362">
        <v>0.2</v>
      </c>
      <c r="EO89" s="1936">
        <v>0</v>
      </c>
      <c r="EP89" s="1936">
        <v>0</v>
      </c>
      <c r="EQ89" s="1936">
        <v>0</v>
      </c>
      <c r="ER89" s="1938">
        <v>0</v>
      </c>
      <c r="ES89" s="1936">
        <v>5057.8394334011018</v>
      </c>
      <c r="ET89" s="1936">
        <v>-509.53144811680562</v>
      </c>
      <c r="EU89" s="1938">
        <v>2</v>
      </c>
      <c r="EV89" s="1936">
        <v>97000</v>
      </c>
      <c r="EW89" s="1936">
        <v>26000</v>
      </c>
      <c r="EX89" s="1938">
        <v>0</v>
      </c>
      <c r="EY89" s="1936">
        <v>2025481</v>
      </c>
      <c r="EZ89" s="1936">
        <v>959605</v>
      </c>
      <c r="FA89" s="1936">
        <v>1065876</v>
      </c>
      <c r="FB89" s="1936">
        <v>1035807</v>
      </c>
      <c r="FC89" s="1936">
        <v>308349</v>
      </c>
      <c r="FD89" s="1936">
        <v>727458</v>
      </c>
      <c r="FE89" s="1936">
        <v>3061288</v>
      </c>
      <c r="FF89" s="1936">
        <v>1267954</v>
      </c>
      <c r="FG89" s="1936">
        <v>1793334</v>
      </c>
      <c r="FH89" s="1366">
        <v>1</v>
      </c>
      <c r="FI89" s="1366">
        <v>0.47376647818468798</v>
      </c>
      <c r="FJ89" s="1366">
        <v>0.52623352181531202</v>
      </c>
      <c r="FK89" s="1366">
        <v>1</v>
      </c>
      <c r="FL89" s="1366">
        <v>0.29768962750782724</v>
      </c>
      <c r="FM89" s="1366">
        <v>0.70231037249217276</v>
      </c>
      <c r="FN89" s="1366">
        <v>1</v>
      </c>
      <c r="FO89" s="1366">
        <v>0.41418971361074164</v>
      </c>
      <c r="FP89" s="1366">
        <v>0.58581028638925836</v>
      </c>
      <c r="FQ89" s="1936">
        <v>1320661</v>
      </c>
      <c r="FR89" s="1936">
        <v>0</v>
      </c>
      <c r="FS89" s="1936">
        <v>314304</v>
      </c>
      <c r="FT89" s="1936">
        <v>63779</v>
      </c>
      <c r="FU89" s="1936">
        <v>115706</v>
      </c>
      <c r="FV89" s="1936">
        <v>2137</v>
      </c>
      <c r="FW89" s="1936">
        <v>285144</v>
      </c>
      <c r="FX89" s="1936">
        <v>2101731</v>
      </c>
      <c r="FY89" s="1936">
        <v>-308397</v>
      </c>
      <c r="FZ89" s="1366">
        <v>0.43140697640992942</v>
      </c>
      <c r="GA89" s="1366">
        <v>0</v>
      </c>
      <c r="GB89" s="1366">
        <v>0.102670509929154</v>
      </c>
      <c r="GC89" s="1366">
        <v>2.0834041096427384E-2</v>
      </c>
      <c r="GD89" s="1366">
        <v>3.7796509181756179E-2</v>
      </c>
      <c r="GE89" s="1366">
        <v>6.9807218399575602E-4</v>
      </c>
      <c r="GF89" s="1366">
        <v>9.3145107549502046E-2</v>
      </c>
      <c r="GG89" s="1366">
        <v>0.68655121635076477</v>
      </c>
      <c r="GH89" s="1366">
        <v>-0.1007409299615064</v>
      </c>
      <c r="GI89" s="1942">
        <v>1.9554617800420349</v>
      </c>
      <c r="GJ89" s="1943">
        <v>1</v>
      </c>
      <c r="GK89" s="1371">
        <v>0.15</v>
      </c>
      <c r="GL89" s="1943">
        <v>1</v>
      </c>
      <c r="GM89" s="1371">
        <v>0.15</v>
      </c>
      <c r="GN89" s="1943">
        <v>0</v>
      </c>
      <c r="GO89" s="1985">
        <f>IF(GN89=0,0,VLOOKUP(A89,'Area (&amp;golfacre for lookup)'!$G$2:$H$133,2,FALSE))</f>
        <v>0</v>
      </c>
      <c r="GP89" s="1943">
        <v>0</v>
      </c>
      <c r="GQ89" s="1943">
        <v>0</v>
      </c>
      <c r="GR89" s="1943">
        <v>0</v>
      </c>
      <c r="GS89" s="1943">
        <v>0</v>
      </c>
      <c r="GT89" s="1943">
        <v>0</v>
      </c>
      <c r="GU89" s="1943">
        <v>0</v>
      </c>
      <c r="GV89" s="1943">
        <v>0</v>
      </c>
      <c r="GW89" s="1943">
        <v>0</v>
      </c>
      <c r="GX89" s="1936">
        <v>0</v>
      </c>
      <c r="GY89" s="1985">
        <f t="shared" si="764"/>
        <v>0</v>
      </c>
      <c r="GZ89" s="1936">
        <v>0</v>
      </c>
      <c r="HA89" s="1936">
        <v>0</v>
      </c>
      <c r="HB89" s="1936">
        <v>0</v>
      </c>
      <c r="HC89" s="1936">
        <v>0</v>
      </c>
      <c r="HD89" s="1936">
        <v>0</v>
      </c>
      <c r="HE89" s="1936">
        <v>0</v>
      </c>
      <c r="HF89" s="1936">
        <v>0</v>
      </c>
      <c r="HG89" s="1936">
        <v>36</v>
      </c>
      <c r="HH89" s="1988">
        <f>IF(HG89=0,0,VLOOKUP(A89,'Area (&amp;golfacre for lookup)'!$G$2:$H$134,2,FALSE))</f>
        <v>200</v>
      </c>
      <c r="HI89" s="1936">
        <v>49934</v>
      </c>
      <c r="HJ89" s="1936">
        <v>1554328</v>
      </c>
      <c r="HK89" s="1936">
        <v>212438</v>
      </c>
      <c r="HL89" s="1936">
        <v>1327084</v>
      </c>
      <c r="HM89" s="1936">
        <v>229293</v>
      </c>
      <c r="HN89" s="1936">
        <v>0</v>
      </c>
      <c r="HO89" s="1936">
        <v>366549</v>
      </c>
      <c r="HP89" s="1936">
        <v>3689692</v>
      </c>
      <c r="HQ89" s="1936">
        <v>102491.44444444444</v>
      </c>
      <c r="HR89" s="1988">
        <f t="shared" si="765"/>
        <v>18448.46</v>
      </c>
      <c r="HS89" s="1366">
        <v>0.42126226254115517</v>
      </c>
      <c r="HT89" s="1366">
        <v>5.7576079521000668E-2</v>
      </c>
      <c r="HU89" s="1366">
        <v>0.35967338195166426</v>
      </c>
      <c r="HV89" s="1366">
        <v>6.2144211495160029E-2</v>
      </c>
      <c r="HW89" s="1366">
        <v>0</v>
      </c>
      <c r="HX89" s="1366">
        <v>9.9344064491019846E-2</v>
      </c>
      <c r="HY89" s="1366">
        <v>1</v>
      </c>
      <c r="HZ89" s="51"/>
      <c r="IA89" s="59">
        <f t="shared" ref="IA89:IA120" si="767">IF(Q89=0,0,ROUND(Q89/S89,2))</f>
        <v>0</v>
      </c>
      <c r="IB89" s="59"/>
      <c r="IC89" s="815">
        <f t="shared" ref="IC89:IC120" si="768">IF(AA89&gt;0,1,0)</f>
        <v>1</v>
      </c>
      <c r="ID89" s="815"/>
      <c r="IE89" s="284">
        <f t="shared" ref="IE89:IE120" si="769">IF(AA89&lt;0,1,0)</f>
        <v>0</v>
      </c>
      <c r="IF89" s="284"/>
      <c r="IG89" s="284">
        <f t="shared" ref="IG89:IG120" si="770">IF(BI89=0,0,+IF(K89=0,0,BI89/K89))</f>
        <v>35431.714261297631</v>
      </c>
      <c r="IH89" s="284"/>
      <c r="II89" s="1288">
        <f t="shared" ref="II89:II120" si="771">IF(BR89&gt;1,BR89,0)</f>
        <v>1.5823070326103774</v>
      </c>
      <c r="IJ89" s="1288">
        <f t="shared" ref="IJ89:IJ120" si="772">IF(BR89&lt;1,BR89,0)</f>
        <v>0</v>
      </c>
      <c r="IK89" s="284">
        <f t="shared" ref="IK89:IK120" si="773">IF(OR(EK89=1,EO89=1),0,1)</f>
        <v>0</v>
      </c>
      <c r="IL89" s="284">
        <f t="shared" ref="IL89:IL120" si="774">IF(AND(EK89=1,EO89=1),1,0)</f>
        <v>0</v>
      </c>
      <c r="IM89" s="284">
        <f t="shared" ref="IM89:IM120" si="775">IF(AND(EK89=1,EM89=1),1,0)</f>
        <v>1</v>
      </c>
      <c r="IN89" s="284">
        <f t="shared" ref="IN89:IN120" si="776">IF(AND(EK89=1,EM89=1,EO89=1),1,0)</f>
        <v>0</v>
      </c>
      <c r="IO89" s="753">
        <f t="shared" ref="IO89:IO120" si="777">IF(J89=0,0,FY89/$J89)</f>
        <v>-498.21809369951535</v>
      </c>
      <c r="IP89" s="113">
        <f t="shared" ref="IP89:IP120" si="778">IF(K89=0,0,FY89/K89)</f>
        <v>-509.53144811680562</v>
      </c>
      <c r="IQ89" s="30">
        <f t="shared" ref="IQ89:IQ120" si="779">IF(FY89=0,0,+IF(CD89=0,0,FY89/CD89))</f>
        <v>-4.0671411886718203E-2</v>
      </c>
      <c r="IR89" s="438">
        <f t="shared" ref="IR89:IR120" si="780">EY89</f>
        <v>2025481</v>
      </c>
      <c r="IS89" s="438">
        <f t="shared" ref="IS89:IS120" si="781">FB89</f>
        <v>1035807</v>
      </c>
      <c r="IT89" s="438">
        <f t="shared" ref="IT89:IT120" si="782">FQ89</f>
        <v>1320661</v>
      </c>
      <c r="IU89" s="438">
        <f t="shared" ref="IU89:IU120" si="783">FS89+FT89</f>
        <v>378083</v>
      </c>
      <c r="IV89" s="438">
        <f t="shared" ref="IV89:IV120" si="784">FF89</f>
        <v>1267954</v>
      </c>
      <c r="IW89" s="438">
        <f t="shared" ref="IW89:IW120" si="785">SUM(FU89:FW89)+FR89</f>
        <v>402987</v>
      </c>
      <c r="IX89" s="285">
        <f t="shared" ref="IX89:IX120" si="786">IF(($IR89+$IS89)=0,0,IR89/SUM($IR89+$IS89))</f>
        <v>0.66164339977159936</v>
      </c>
      <c r="IY89" s="285">
        <f t="shared" ref="IY89:IY120" si="787">IF(($IR89+$IS89)=0,0,IS89/SUM($IR89+$IS89))</f>
        <v>0.33835660022840058</v>
      </c>
      <c r="IZ89" s="285">
        <f t="shared" ref="IZ89:IZ120" si="788">IF(($IR89+$IS89)=0,0,IT89/SUM($IR89+$IS89))</f>
        <v>0.43140697640992942</v>
      </c>
      <c r="JA89" s="285">
        <f t="shared" ref="JA89:JA120" si="789">IF(($IR89+$IS89)=0,0,IU89/SUM($IR89+$IS89))</f>
        <v>0.12350455102558139</v>
      </c>
      <c r="JB89" s="285">
        <f t="shared" ref="JB89:JB120" si="790">IF(($IR89+$IS89)=0,0,IV89/SUM($IR89+$IS89))</f>
        <v>0.41418971361074164</v>
      </c>
      <c r="JC89" s="285">
        <f t="shared" ref="JC89:JC120" si="791">IF(($IR89+$IS89)=0,0,IW89/SUM($IR89+$IS89))</f>
        <v>0.13163968891525396</v>
      </c>
      <c r="JD89" s="60">
        <f t="shared" ref="JD89:JD120" si="792">CD89+CE89+CF89</f>
        <v>7582648</v>
      </c>
      <c r="JE89" s="60">
        <f t="shared" ref="JE89:JE120" si="793">BZ89+CA89+CB89+CC89</f>
        <v>2406775</v>
      </c>
      <c r="JF89" s="60">
        <f t="shared" ref="JF89:JF120" si="794">JD89+JE89+CG89+CH89+CI89-CJ89</f>
        <v>0</v>
      </c>
      <c r="JG89" s="60">
        <f t="shared" ref="JG89:JG120" si="795">CZ89+DA89</f>
        <v>491602</v>
      </c>
      <c r="JH89" s="284">
        <f t="shared" ref="JH89:JH120" si="796">IF(DJ89&gt;0,1,0)</f>
        <v>0</v>
      </c>
      <c r="JI89" s="284">
        <f t="shared" ref="JI89:JI120" si="797">IF(B89="Yacht &amp; Beach","",+IF(CB89&gt;0,1,0))</f>
        <v>1</v>
      </c>
      <c r="JJ89" s="560">
        <f t="shared" ref="JJ89:JJ120" si="798">IF(B89="Yacht &amp; Beach",0,+IF(CX89=0,0,CX89/CB89))</f>
        <v>0.68076418341653167</v>
      </c>
      <c r="JK89" s="561">
        <f t="shared" ref="JK89:JK120" si="799">CV89/$CJ89</f>
        <v>0.50505847675766302</v>
      </c>
      <c r="JL89" s="561">
        <f t="shared" ref="JL89:JL120" si="800">CW89/$CJ89</f>
        <v>9.5638730746538669E-2</v>
      </c>
      <c r="JM89" s="561">
        <f t="shared" ref="JM89:JM120" si="801">CX89/$CJ89</f>
        <v>3.6115339666335441E-2</v>
      </c>
      <c r="JN89" s="561">
        <f t="shared" ref="JN89:JN120" si="802">CY89/$CJ89</f>
        <v>0.33321320230452445</v>
      </c>
      <c r="JO89" s="561">
        <f t="shared" ref="JO89:JO120" si="803">CZ89/$CJ89</f>
        <v>9.1955299188866638E-3</v>
      </c>
      <c r="JP89" s="561">
        <f t="shared" ref="JP89:JP120" si="804">DA89/$CJ89</f>
        <v>2.7884830498336594E-2</v>
      </c>
      <c r="JQ89" s="561">
        <f t="shared" ref="JQ89:JQ120" si="805">SUM(JK89:JP89)</f>
        <v>1.0071061098922847</v>
      </c>
      <c r="JR89" s="61">
        <f t="shared" ref="JR89:JR120" si="806">IF(GQ89=0,0,GQ89/$GN89)</f>
        <v>0</v>
      </c>
      <c r="JS89" s="61">
        <f t="shared" ref="JS89:JS120" si="807">IF(GR89=0,0,GR89/$GN89)</f>
        <v>0</v>
      </c>
      <c r="JT89" s="61">
        <f t="shared" ref="JT89:JT120" si="808">IF(GS89=0,0,GS89/$GN89)</f>
        <v>0</v>
      </c>
      <c r="JU89" s="61">
        <f t="shared" ref="JU89:JU120" si="809">IF(GT89=0,0,GT89/$GN89)</f>
        <v>0</v>
      </c>
      <c r="JV89" s="61">
        <f t="shared" ref="JV89:JV120" si="810">IF(GU89=0,0,GU89/$GN89)</f>
        <v>0</v>
      </c>
      <c r="JW89" s="61">
        <f t="shared" ref="JW89:JW120" si="811">IF(GV89=0,0,GV89/$GN89)</f>
        <v>0</v>
      </c>
      <c r="JX89" s="61">
        <f t="shared" ref="JX89:JX120" si="812">IF(GP89=0,0,GW89/GP89)</f>
        <v>0</v>
      </c>
      <c r="JY89" s="394">
        <f t="shared" ref="JY89:JY120" si="813">IF(OR(GW89=0,DB89=0),0,GW89/DB89)</f>
        <v>0</v>
      </c>
      <c r="JZ89" s="61">
        <f t="shared" ref="JZ89:JZ120" si="814">IF(HJ89=0,0,HJ89/$HG89)</f>
        <v>43175.777777777781</v>
      </c>
      <c r="KA89" s="61">
        <f t="shared" ref="KA89:KA120" si="815">IF(HK89=0,0,HK89/$HG89)</f>
        <v>5901.0555555555557</v>
      </c>
      <c r="KB89" s="61">
        <f t="shared" ref="KB89:KB120" si="816">IF(HL89=0,0,HL89/$HG89)</f>
        <v>36863.444444444445</v>
      </c>
      <c r="KC89" s="61">
        <f t="shared" ref="KC89:KC120" si="817">IF(HM89=0,0,HM89/$HG89)</f>
        <v>6369.25</v>
      </c>
      <c r="KD89" s="61">
        <f t="shared" ref="KD89:KD120" si="818">IF(HN89=0,0,HN89/$HG89)</f>
        <v>0</v>
      </c>
      <c r="KE89" s="61">
        <f t="shared" ref="KE89:KE120" si="819">IF(HO89=0,0,HO89/$HG89)</f>
        <v>10181.916666666666</v>
      </c>
      <c r="KF89" s="61">
        <f t="shared" ref="KF89:KF120" si="820">IF(HI89=0,0,ROUND(HI89/HG89*18,-2))</f>
        <v>25000</v>
      </c>
      <c r="KG89" s="61">
        <f t="shared" ref="KG89:KG120" si="821">IF(HH89=0,0,HH89/HG89*36)</f>
        <v>200</v>
      </c>
      <c r="KH89" s="61">
        <f t="shared" ref="KH89:KH120" si="822">IF(HI89=0,0,HP89/HI89)</f>
        <v>73.891376617134611</v>
      </c>
      <c r="KI89" s="394">
        <f t="shared" ref="KI89:KI120" si="823">IF(OR(HP89=0,DB89=0),0,HP89/DB89)</f>
        <v>0.27634091391995946</v>
      </c>
      <c r="KJ89" s="438">
        <f t="shared" ref="KJ89:KJ120" si="824">IF($GN89&gt;0,GN89,HG89)</f>
        <v>36</v>
      </c>
      <c r="KK89" s="438">
        <f t="shared" ref="KK89:KK120" si="825">IF($GN89&gt;0,GP89,HI89)</f>
        <v>49934</v>
      </c>
      <c r="KL89" s="438">
        <f t="shared" ref="KL89:KL120" si="826">IF($GN89&gt;0,GO89,HH89)</f>
        <v>200</v>
      </c>
      <c r="KM89" s="438">
        <f t="shared" ref="KM89:KM120" si="827">IF($GN89&gt;0,GX89,HQ89)</f>
        <v>102491.44444444444</v>
      </c>
      <c r="KN89" s="438">
        <f t="shared" ref="KN89:KN120" si="828">IF($GN89&gt;0,JX89,KH89)</f>
        <v>73.891376617134611</v>
      </c>
      <c r="KO89" s="438">
        <f t="shared" ref="KO89:KO120" si="829">IF($GN89&gt;0,GY89,HR89)</f>
        <v>18448.46</v>
      </c>
      <c r="KP89" s="438">
        <f t="shared" ref="KP89:KP120" si="830">IF($GN89&gt;0,GQ89,HJ89)</f>
        <v>1554328</v>
      </c>
      <c r="KQ89" s="438">
        <f t="shared" ref="KQ89:KQ120" si="831">IF($GN89&gt;0,GR89,HK89)</f>
        <v>212438</v>
      </c>
      <c r="KR89" s="438">
        <f t="shared" ref="KR89:KR120" si="832">IF($GN89&gt;0,GS89,HL89)</f>
        <v>1327084</v>
      </c>
      <c r="KS89" s="438">
        <f t="shared" ref="KS89:KS120" si="833">IF($GN89&gt;0,GT89,HM89)</f>
        <v>229293</v>
      </c>
      <c r="KT89" s="438">
        <f t="shared" ref="KT89:KT120" si="834">IF($GN89&gt;0,GU89,HN89)</f>
        <v>0</v>
      </c>
      <c r="KU89" s="438">
        <f t="shared" ref="KU89:KU120" si="835">IF($GN89&gt;0,GV89,HO89)</f>
        <v>366549</v>
      </c>
      <c r="KV89" s="420">
        <f t="shared" ref="KV89:KV120" si="836">MAX(JY89,KI89)</f>
        <v>0.27634091391995946</v>
      </c>
      <c r="KW89" s="420">
        <f t="shared" ref="KW89:KW120" si="837">IF(CD89&gt;0,-SUM(KP89:KT89)/CD89,0)</f>
        <v>-0.43825626614871216</v>
      </c>
      <c r="KX89" s="108"/>
      <c r="KY89" s="282">
        <f t="shared" ref="KY89:KY120" si="838">Q89+R89-S89</f>
        <v>0</v>
      </c>
      <c r="KZ89" s="282"/>
      <c r="LA89" s="282">
        <f t="shared" ref="LA89:LA120" si="839">W89-X89-AA89</f>
        <v>0</v>
      </c>
      <c r="LB89" s="282"/>
      <c r="LC89" s="286">
        <f t="shared" ref="LC89:LC105" si="840">(AA89/X89)-AB89</f>
        <v>0</v>
      </c>
      <c r="LD89" s="286"/>
      <c r="LE89" s="282">
        <f t="shared" ref="LE89:LE120" si="841">X89+AF89+AI89+AL89-AM89</f>
        <v>0</v>
      </c>
      <c r="LF89" s="282"/>
      <c r="LG89" s="282">
        <f t="shared" ref="LG89:LG120" si="842">EL89-AO89</f>
        <v>0</v>
      </c>
      <c r="LH89" s="282">
        <f t="shared" ref="LH89:LH120" si="843">EP89*12-AP89</f>
        <v>0</v>
      </c>
      <c r="LI89" s="282">
        <f t="shared" ref="LI89:LI120" si="844">IF(FQ89=0,0,FQ89/$FE89-FZ89)</f>
        <v>0</v>
      </c>
      <c r="LJ89" s="282">
        <f t="shared" ref="LJ89:LJ120" si="845">X89+AF89+AI89+AL89+AO89+AP89-AQ89</f>
        <v>0</v>
      </c>
      <c r="LK89" s="282"/>
      <c r="LL89" s="282">
        <f t="shared" ref="LL89:LL120" si="846">IF(S89=V89,"Same/chk",0)</f>
        <v>0</v>
      </c>
      <c r="LM89" s="282">
        <f t="shared" ref="LM89:LM120" si="847">IF(AND(B89="SW CIRA", G89=0),"fix",0)</f>
        <v>0</v>
      </c>
      <c r="LN89" s="282">
        <f t="shared" ref="LN89:LN120" si="848">IF(AND(BM89=1,BN89=0),"fix",+IF(AND(BM89=0,BN89&gt;0),"fix",0))</f>
        <v>0</v>
      </c>
      <c r="LO89" s="282">
        <f t="shared" ref="LO89:LO120" si="849">IF($BH89=0,0,BF89+BG89-BH89)</f>
        <v>0</v>
      </c>
      <c r="LP89" s="286">
        <f t="shared" ref="LP89:LP120" si="850">IF(BK89=0,0,BJ89/BK89-BL89)</f>
        <v>0</v>
      </c>
      <c r="LQ89" s="282">
        <f t="shared" ref="LQ89:LQ120" si="851">IF(BN89=0,0,+IF(K89=0,0,BN89/K89))-BW89</f>
        <v>0</v>
      </c>
      <c r="LR89" s="282">
        <f t="shared" ref="LR89:LR120" si="852">IF(BJ89=0,0,+IF(K89=0,0,BJ89/K89))-BX89</f>
        <v>0</v>
      </c>
      <c r="LS89" s="282">
        <f t="shared" ref="LS89:LS120" si="853">IF(BH89=0,0,+IF(K89=0,0,BH89/K89))-BY89</f>
        <v>0</v>
      </c>
      <c r="LT89" s="286">
        <f t="shared" ref="LT89:LT120" si="854">BZ89/$CJ89-CK89</f>
        <v>0</v>
      </c>
      <c r="LU89" s="286">
        <f t="shared" ref="LU89:LU120" si="855">CA89/$CJ89-CL89</f>
        <v>0</v>
      </c>
      <c r="LV89" s="286">
        <f t="shared" ref="LV89:LV120" si="856">CB89/$CJ89-CM89</f>
        <v>0</v>
      </c>
      <c r="LW89" s="286">
        <f t="shared" ref="LW89:LW120" si="857">CC89/$CJ89-CN89</f>
        <v>0</v>
      </c>
      <c r="LX89" s="286">
        <f t="shared" ref="LX89:LX120" si="858">CD89/$CJ89-CO89</f>
        <v>0</v>
      </c>
      <c r="LY89" s="286">
        <f t="shared" ref="LY89:LY120" si="859">CE89/$CJ89-CP89</f>
        <v>0</v>
      </c>
      <c r="LZ89" s="286">
        <f t="shared" ref="LZ89:LZ120" si="860">CF89/$CJ89-CQ89</f>
        <v>0</v>
      </c>
      <c r="MA89" s="286">
        <f t="shared" ref="MA89:MA120" si="861">CG89/$CJ89-CR89</f>
        <v>0</v>
      </c>
      <c r="MB89" s="286">
        <f t="shared" ref="MB89:MB120" si="862">CH89/$CJ89-CS89</f>
        <v>0</v>
      </c>
      <c r="MC89" s="286">
        <f t="shared" ref="MC89:MC120" si="863">CI89/$CJ89-CT89</f>
        <v>0</v>
      </c>
      <c r="MD89" s="286">
        <f t="shared" ref="MD89:MD120" si="864">SUM(CK89:CT89)-CU89</f>
        <v>0</v>
      </c>
      <c r="ME89" s="286">
        <f t="shared" ref="ME89:ME120" si="865">CV89/$DB89-DC89</f>
        <v>0</v>
      </c>
      <c r="MF89" s="286">
        <f t="shared" ref="MF89:MF120" si="866">CW89/$DB89-DD89</f>
        <v>0</v>
      </c>
      <c r="MG89" s="286">
        <f t="shared" ref="MG89:MG120" si="867">CX89/$DB89-DE89</f>
        <v>0</v>
      </c>
      <c r="MH89" s="286">
        <f t="shared" ref="MH89:MH120" si="868">CY89/$DB89-DF89</f>
        <v>0</v>
      </c>
      <c r="MI89" s="286">
        <f t="shared" ref="MI89:MI120" si="869">CZ89/$DB89-DG89</f>
        <v>0</v>
      </c>
      <c r="MJ89" s="286">
        <f t="shared" ref="MJ89:MJ120" si="870">DA89/$DB89-DH89</f>
        <v>0</v>
      </c>
      <c r="MK89" s="286">
        <f t="shared" ref="MK89:MK120" si="871">SUM(DC89:DH89)-DI89</f>
        <v>0</v>
      </c>
      <c r="ML89" s="282">
        <f t="shared" ref="ML89:ML120" si="872">CJ89-DB89-DJ89</f>
        <v>0</v>
      </c>
      <c r="MM89" s="1232">
        <f t="shared" ref="MM89:MM120" si="873">IF(AND(CB89=0,CX89=0),0,+IF(AND(CB89&gt;0,CX89&gt;0),0,"fix"))</f>
        <v>0</v>
      </c>
      <c r="MN89" s="1232">
        <f t="shared" ref="MN89:MN120" si="874">IF(AND(AH89=1,CE89=0),"fix",+IF(AND(AH89=0,CE89&gt;0),"fix",0))</f>
        <v>0</v>
      </c>
      <c r="MO89" s="1232">
        <f t="shared" ref="MO89:MO120" si="875">IF(AND(AE89=1,AF89=0),"fix",+IF(AND(AE89=0,AF89&gt;0),"fix",0))</f>
        <v>0</v>
      </c>
      <c r="MP89" s="1232">
        <f t="shared" ref="MP89:MP120" si="876">IF(AND(AK89=1,AL89=0),"fix",+IF(AND(AK89=0,AL89&gt;0),"fix",0))</f>
        <v>0</v>
      </c>
      <c r="MQ89" s="282">
        <f t="shared" ref="MQ89:MQ120" si="877">IF(CD89=0,0,+IF(X89=0,0,CD89/X89))-K89</f>
        <v>0</v>
      </c>
      <c r="MR89" s="282">
        <f t="shared" ref="MR89:MR120" si="878">IF(BZ89=0,0,+IF($K89=0,0,BZ89/$K89))-DK89</f>
        <v>0</v>
      </c>
      <c r="MS89" s="282">
        <f t="shared" ref="MS89:MS120" si="879">IF(CA89=0,0,+IF($K89=0,0,CA89/$K89))-DL89</f>
        <v>0</v>
      </c>
      <c r="MT89" s="282">
        <f t="shared" ref="MT89:MT120" si="880">IF(CB89=0,0,+IF($K89=0,0,CB89/$K89))-DM89</f>
        <v>0</v>
      </c>
      <c r="MU89" s="282">
        <f t="shared" ref="MU89:MU120" si="881">IF(CC89=0,0,+IF($K89=0,0,CC89/$K89))-DN89</f>
        <v>0</v>
      </c>
      <c r="MV89" s="282">
        <f t="shared" ref="MV89:MV120" si="882">IF(CD89=0,0,+IF($K89=0,0,CD89/$K89))-DO89</f>
        <v>0</v>
      </c>
      <c r="MW89" s="282">
        <f t="shared" ref="MW89:MW120" si="883">IF(CE89=0,0,+IF($K89=0,0,CE89/$K89))-DP89</f>
        <v>0</v>
      </c>
      <c r="MX89" s="282">
        <f t="shared" ref="MX89:MX120" si="884">IF(CF89=0,0,+IF($K89=0,0,CF89/$K89))-DQ89</f>
        <v>0</v>
      </c>
      <c r="MY89" s="282">
        <f t="shared" ref="MY89:MY120" si="885">IF(CG89=0,0,+IF($K89=0,0,CG89/$K89))-DR89</f>
        <v>0</v>
      </c>
      <c r="MZ89" s="282">
        <f t="shared" ref="MZ89:MZ120" si="886">IF(CH89=0,0,+IF($K89=0,0,CH89/$K89))-DS89</f>
        <v>0</v>
      </c>
      <c r="NA89" s="282">
        <f t="shared" ref="NA89:NA120" si="887">IF(CI89=0,0,+IF($K89=0,0,CI89/$K89))-DT89</f>
        <v>0</v>
      </c>
      <c r="NB89" s="282">
        <f t="shared" ref="NB89:NB120" si="888">IF(CJ89=0,0,+IF($K89=0,0,CJ89/$K89))-DU89</f>
        <v>0</v>
      </c>
      <c r="NC89" s="282">
        <f t="shared" ref="NC89:NC120" si="889">SUM(DK89:DT89)-DU89</f>
        <v>0</v>
      </c>
      <c r="ND89" s="282">
        <f t="shared" ref="ND89:ND120" si="890">IF(CV89=0,0,+IF($K89=0,0,CV89/$K89))-DV89</f>
        <v>0</v>
      </c>
      <c r="NE89" s="282">
        <f t="shared" ref="NE89:NE120" si="891">IF(CW89=0,0,+IF($K89=0,0,CW89/$K89))-DW89</f>
        <v>0</v>
      </c>
      <c r="NF89" s="282">
        <f t="shared" ref="NF89:NF120" si="892">IF(CX89=0,0,+IF($K89=0,0,CX89/$K89))-DX89</f>
        <v>0</v>
      </c>
      <c r="NG89" s="282">
        <f t="shared" ref="NG89:NG120" si="893">IF(CY89=0,0,+IF($K89=0,0,CY89/$K89))-DY89</f>
        <v>0</v>
      </c>
      <c r="NH89" s="282">
        <f t="shared" ref="NH89:NH120" si="894">IF(CZ89=0,0,+IF($K89=0,0,CZ89/$K89))-DZ89</f>
        <v>0</v>
      </c>
      <c r="NI89" s="282">
        <f t="shared" ref="NI89:NI120" si="895">IF(DA89=0,0,+IF($K89=0,0,DA89/$K89))-EA89</f>
        <v>0</v>
      </c>
      <c r="NJ89" s="282">
        <f t="shared" ref="NJ89:NJ120" si="896">IF(DB89=0,0,+IF($K89=0,0,DB89/$K89))-EB89</f>
        <v>0</v>
      </c>
      <c r="NK89" s="282">
        <f t="shared" ref="NK89:NK120" si="897">SUM(DV89:EA89)-EB89</f>
        <v>0</v>
      </c>
      <c r="NL89" s="282">
        <f t="shared" ref="NL89:NL120" si="898">IF(DJ89=0,0,+IF($K89=0,0,DJ89/$K89))-EC89</f>
        <v>0</v>
      </c>
      <c r="NM89" s="1205">
        <f t="shared" ref="NM89:NM120" si="899">IF(K89=0,0,+IF(ED89=0,0,K89/ED89))-EJ89</f>
        <v>0</v>
      </c>
      <c r="NN89" s="282">
        <f t="shared" ref="NN89:NN120" si="900">CG89+CH89-EY89-FB89</f>
        <v>0</v>
      </c>
      <c r="NO89" s="282">
        <f t="shared" ref="NO89:NO120" si="901">IF(FE89=0,0,+IF(K89=0,0,FE89/K89))-ES89</f>
        <v>0</v>
      </c>
      <c r="NP89" s="282">
        <f t="shared" ref="NP89:NP120" si="902">IF(FY89=0,0,+IF(K89=0,0,FY89/K89))-ET89</f>
        <v>0</v>
      </c>
      <c r="NQ89" s="282">
        <f t="shared" ref="NQ89:NQ120" si="903">EY89-EZ89-FA89</f>
        <v>0</v>
      </c>
      <c r="NR89" s="282">
        <f t="shared" ref="NR89:NR120" si="904">FB89-FC89-FD89</f>
        <v>0</v>
      </c>
      <c r="NS89" s="282">
        <f t="shared" ref="NS89:NS120" si="905">EY89+FB89-FE89</f>
        <v>0</v>
      </c>
      <c r="NT89" s="282">
        <f t="shared" ref="NT89:NT120" si="906">EZ89+FC89-FF89</f>
        <v>0</v>
      </c>
      <c r="NU89" s="282">
        <f t="shared" ref="NU89:NU120" si="907">FE89-FF89-FG89</f>
        <v>0</v>
      </c>
      <c r="NV89" s="286">
        <f t="shared" ref="NV89:NV120" si="908">EY89/$EY89-FH89</f>
        <v>0</v>
      </c>
      <c r="NW89" s="286">
        <f t="shared" ref="NW89:NW120" si="909">EZ89/$EY89-FI89</f>
        <v>0</v>
      </c>
      <c r="NX89" s="286">
        <f t="shared" ref="NX89:NX120" si="910">FA89/$EY89-FJ89</f>
        <v>0</v>
      </c>
      <c r="NY89" s="286">
        <f t="shared" ref="NY89:NY120" si="911">FB89/$FB89-FK89</f>
        <v>0</v>
      </c>
      <c r="NZ89" s="286">
        <f t="shared" ref="NZ89:NZ120" si="912">FC89/$FB89-FL89</f>
        <v>0</v>
      </c>
      <c r="OA89" s="286">
        <f t="shared" ref="OA89:OA120" si="913">FD89/$FB89-FM89</f>
        <v>0</v>
      </c>
      <c r="OB89" s="286">
        <f t="shared" ref="OB89:OB120" si="914">FE89/$FE89-FN89</f>
        <v>0</v>
      </c>
      <c r="OC89" s="286">
        <f t="shared" ref="OC89:OC120" si="915">FF89/$FE89-FO89</f>
        <v>0</v>
      </c>
      <c r="OD89" s="286">
        <f t="shared" ref="OD89:OD120" si="916">FG89/$FE89-FP89</f>
        <v>0</v>
      </c>
      <c r="OE89" s="282">
        <f t="shared" ref="OE89:OE120" si="917">SUM(FQ89:FW89)-FX89</f>
        <v>0</v>
      </c>
      <c r="OF89" s="282">
        <f t="shared" ref="OF89:OF120" si="918">FG89-FX89-FY89</f>
        <v>0</v>
      </c>
      <c r="OG89" s="286">
        <f t="shared" ref="OG89:OG120" si="919">FQ89/$FE89-FZ89</f>
        <v>0</v>
      </c>
      <c r="OH89" s="286">
        <f t="shared" ref="OH89:OH120" si="920">FR89/$FE89-GA89</f>
        <v>0</v>
      </c>
      <c r="OI89" s="286">
        <f t="shared" ref="OI89:OI120" si="921">FS89/$FE89-GB89</f>
        <v>0</v>
      </c>
      <c r="OJ89" s="286">
        <f t="shared" ref="OJ89:OJ120" si="922">FT89/$FE89-GC89</f>
        <v>0</v>
      </c>
      <c r="OK89" s="286">
        <f t="shared" ref="OK89:OK120" si="923">FU89/$FE89-GD89</f>
        <v>0</v>
      </c>
      <c r="OL89" s="286">
        <f t="shared" ref="OL89:OL120" si="924">FV89/$FE89-GE89</f>
        <v>0</v>
      </c>
      <c r="OM89" s="286">
        <f t="shared" ref="OM89:OM120" si="925">FW89/$FE89-GF89</f>
        <v>0</v>
      </c>
      <c r="ON89" s="286">
        <f t="shared" ref="ON89:ON120" si="926">SUM(FZ89:GF89)-GG89</f>
        <v>0</v>
      </c>
      <c r="OO89" s="286">
        <f t="shared" ref="OO89:OO120" si="927">FY89/$FE89-GH89</f>
        <v>0</v>
      </c>
      <c r="OP89" s="434">
        <f t="shared" ref="OP89:OP120" si="928">IF(AND(GJ89=0,GK89&gt;0),"fix",+IF(AND(GJ89=1,GK89=0),"fix",0))</f>
        <v>0</v>
      </c>
      <c r="OQ89" s="434">
        <f t="shared" ref="OQ89:OQ120" si="929">IF(AND(GL89=0,GM89&gt;0),"fix",+IF(AND(GL89=1,GM89=0),"fix",0))</f>
        <v>0</v>
      </c>
      <c r="OR89" s="282">
        <f t="shared" ref="OR89:OR120" si="930">IF(AND(EO89=1,FR89=0),"fix",+IF(AND(EO89=0,FR89&lt;&gt;0),"fix",0))</f>
        <v>0</v>
      </c>
      <c r="OS89" s="282">
        <f t="shared" ref="OS89:OS120" si="931">IF(AND(GN89=18,GP89=0),"fix",+IF(AND(GN89=0,GP89&lt;&gt;0),"fix",0))</f>
        <v>0</v>
      </c>
      <c r="OT89" s="282">
        <f t="shared" ref="OT89:OT120" si="932">IF(AND(HG89&gt;0,HI89=0),"fix",+IF(AND(HG89=0,HI89&lt;&gt;0),"fix",0))</f>
        <v>0</v>
      </c>
      <c r="OU89" s="282">
        <f t="shared" ref="OU89:OU120" si="933">IF(GW89&gt;0,GW89/$GN89-GX89,0)</f>
        <v>0</v>
      </c>
      <c r="OV89" s="282">
        <f t="shared" ref="OV89:OV120" si="934">IF(GW89&gt;0,GW89/GO89-GY89,0)</f>
        <v>0</v>
      </c>
      <c r="OW89" s="286">
        <f t="shared" ref="OW89:OW120" si="935">IF(GQ89&gt;0,GQ89/$GW89-GZ89,0)</f>
        <v>0</v>
      </c>
      <c r="OX89" s="286">
        <f t="shared" ref="OX89:OX120" si="936">IF(GR89&gt;0,GR89/$GW89-HA89,0)</f>
        <v>0</v>
      </c>
      <c r="OY89" s="286">
        <f t="shared" ref="OY89:OY120" si="937">IF(GS89&gt;0,GS89/$GW89-HB89,0)</f>
        <v>0</v>
      </c>
      <c r="OZ89" s="286">
        <f t="shared" ref="OZ89:OZ120" si="938">IF(GT89&gt;0,GT89/$GW89-HC89,0)</f>
        <v>0</v>
      </c>
      <c r="PA89" s="286">
        <f t="shared" ref="PA89:PA120" si="939">IF(GU89&gt;0,GU89/$GW89-HD89,0)</f>
        <v>0</v>
      </c>
      <c r="PB89" s="286">
        <f t="shared" ref="PB89:PB120" si="940">IF(GV89&gt;0,GV89/$GW89-HE89,0)</f>
        <v>0</v>
      </c>
      <c r="PC89" s="286">
        <f t="shared" ref="PC89:PC120" si="941">SUM(GZ89:HE89)-HF89</f>
        <v>0</v>
      </c>
      <c r="PD89" s="282">
        <f t="shared" ref="PD89:PD120" si="942">IF(HP89&gt;0,HP89/$HG89-HQ89,0)</f>
        <v>0</v>
      </c>
      <c r="PE89" s="282">
        <f t="shared" ref="PE89:PE120" si="943">IF(HP89&gt;0,HP89/HH89-HR89,0)</f>
        <v>0</v>
      </c>
      <c r="PF89" s="286">
        <f t="shared" ref="PF89:PF120" si="944">IF(HJ89&gt;0,HJ89/$HP89-HS89,0)</f>
        <v>0</v>
      </c>
      <c r="PG89" s="286">
        <f t="shared" ref="PG89:PG120" si="945">IF(HK89&gt;0,HK89/$HP89-HT89,0)</f>
        <v>0</v>
      </c>
      <c r="PH89" s="286">
        <f t="shared" ref="PH89:PH120" si="946">IF(HL89&gt;0,HL89/$HP89-HU89,0)</f>
        <v>0</v>
      </c>
      <c r="PI89" s="286">
        <f t="shared" ref="PI89:PI120" si="947">IF(HM89&gt;0,HM89/$HP89-HV89,0)</f>
        <v>0</v>
      </c>
      <c r="PJ89" s="286">
        <f t="shared" ref="PJ89:PJ120" si="948">IF(HN89&gt;0,HN89/$HP89-HW89,0)</f>
        <v>0</v>
      </c>
      <c r="PK89" s="286">
        <f t="shared" ref="PK89:PK120" si="949">IF(HO89&gt;0,HO89/$HP89-HX89,0)</f>
        <v>0</v>
      </c>
      <c r="PL89" s="286">
        <f t="shared" ref="PL89:PL120" si="950">SUM(HS89:HX89)-HY89</f>
        <v>0</v>
      </c>
      <c r="PM89" s="562">
        <v>33</v>
      </c>
    </row>
    <row r="90" spans="1:431" s="289" customFormat="1" ht="15.75" customHeight="1">
      <c r="A90" s="1935" t="s">
        <v>686</v>
      </c>
      <c r="B90" s="1040" t="str">
        <f>VLOOKUP(A90,'Area (&amp;golfacre for lookup)'!$A$2:$B$162,2,FALSE)</f>
        <v>SW exc CIRA</v>
      </c>
      <c r="C90" s="1936"/>
      <c r="D90" s="1937">
        <v>44926</v>
      </c>
      <c r="E90" s="402"/>
      <c r="F90" s="1936">
        <v>1</v>
      </c>
      <c r="G90" s="1936">
        <v>0</v>
      </c>
      <c r="H90" s="1936">
        <v>233</v>
      </c>
      <c r="I90" s="1936">
        <v>507</v>
      </c>
      <c r="J90" s="1936">
        <v>740</v>
      </c>
      <c r="K90" s="1938">
        <v>440.67041322314049</v>
      </c>
      <c r="L90" s="1939" t="s">
        <v>1208</v>
      </c>
      <c r="M90" s="1939" t="s">
        <v>1208</v>
      </c>
      <c r="N90" s="1939" t="s">
        <v>1208</v>
      </c>
      <c r="O90" s="1939" t="s">
        <v>1208</v>
      </c>
      <c r="P90" s="1939" t="s">
        <v>1208</v>
      </c>
      <c r="Q90" s="1936">
        <v>0</v>
      </c>
      <c r="R90" s="1936">
        <v>42500</v>
      </c>
      <c r="S90" s="1936">
        <v>42500</v>
      </c>
      <c r="T90" s="1939" t="s">
        <v>1208</v>
      </c>
      <c r="U90" s="1939" t="s">
        <v>1208</v>
      </c>
      <c r="V90" s="1939" t="s">
        <v>1208</v>
      </c>
      <c r="W90" s="1936">
        <v>13200</v>
      </c>
      <c r="X90" s="1936">
        <v>12100</v>
      </c>
      <c r="Y90" s="1939" t="s">
        <v>1208</v>
      </c>
      <c r="Z90" s="1939" t="s">
        <v>1208</v>
      </c>
      <c r="AA90" s="1936">
        <v>1100</v>
      </c>
      <c r="AB90" s="1362">
        <v>9.0909090909090912E-2</v>
      </c>
      <c r="AC90" s="1939" t="s">
        <v>1208</v>
      </c>
      <c r="AD90" s="1363" t="s">
        <v>1208</v>
      </c>
      <c r="AE90" s="1936">
        <v>1</v>
      </c>
      <c r="AF90" s="1936">
        <v>1200</v>
      </c>
      <c r="AG90" s="1939" t="s">
        <v>1208</v>
      </c>
      <c r="AH90" s="1936">
        <v>0</v>
      </c>
      <c r="AI90" s="1936">
        <v>0</v>
      </c>
      <c r="AJ90" s="1939" t="s">
        <v>1208</v>
      </c>
      <c r="AK90" s="1938">
        <v>1</v>
      </c>
      <c r="AL90" s="1938">
        <v>1740</v>
      </c>
      <c r="AM90" s="1936">
        <v>15040</v>
      </c>
      <c r="AN90" s="1939" t="s">
        <v>1208</v>
      </c>
      <c r="AO90" s="1936">
        <v>0</v>
      </c>
      <c r="AP90" s="1936">
        <v>0</v>
      </c>
      <c r="AQ90" s="1936">
        <v>15040</v>
      </c>
      <c r="AR90" s="1939" t="s">
        <v>1208</v>
      </c>
      <c r="AS90" s="1363" t="s">
        <v>1208</v>
      </c>
      <c r="AT90" s="1363" t="s">
        <v>1208</v>
      </c>
      <c r="AU90" s="1363" t="s">
        <v>1208</v>
      </c>
      <c r="AV90" s="1363" t="s">
        <v>1208</v>
      </c>
      <c r="AW90" s="1363" t="s">
        <v>1291</v>
      </c>
      <c r="AX90" s="1938">
        <v>0</v>
      </c>
      <c r="AY90" s="1938">
        <v>0</v>
      </c>
      <c r="AZ90" s="1938">
        <v>0</v>
      </c>
      <c r="BA90" s="1938">
        <v>0</v>
      </c>
      <c r="BB90" s="1938">
        <v>0</v>
      </c>
      <c r="BC90" s="1938">
        <v>0</v>
      </c>
      <c r="BD90" s="1938">
        <v>0</v>
      </c>
      <c r="BE90" s="1936">
        <v>0</v>
      </c>
      <c r="BF90" s="1936">
        <v>0</v>
      </c>
      <c r="BG90" s="1936">
        <v>660000</v>
      </c>
      <c r="BH90" s="1936">
        <v>660000</v>
      </c>
      <c r="BI90" s="1938">
        <v>19099652</v>
      </c>
      <c r="BJ90" s="1936">
        <v>1401950</v>
      </c>
      <c r="BK90" s="1936">
        <v>1402906</v>
      </c>
      <c r="BL90" s="1362">
        <v>0.99931855733741248</v>
      </c>
      <c r="BM90" s="1936">
        <v>1</v>
      </c>
      <c r="BN90" s="1936">
        <v>5384950</v>
      </c>
      <c r="BO90" s="1363" t="s">
        <v>1208</v>
      </c>
      <c r="BP90" s="1938">
        <v>8376888</v>
      </c>
      <c r="BQ90" s="1938">
        <v>6054679</v>
      </c>
      <c r="BR90" s="1940">
        <v>1.3835395732787816</v>
      </c>
      <c r="BS90" s="1409">
        <v>1</v>
      </c>
      <c r="BT90" s="1938">
        <v>10890054</v>
      </c>
      <c r="BU90" s="1938">
        <v>16586486</v>
      </c>
      <c r="BV90" s="1940">
        <v>0.65656185402984091</v>
      </c>
      <c r="BW90" s="1936">
        <v>12219.903670440532</v>
      </c>
      <c r="BX90" s="1936">
        <v>3181.4026036962464</v>
      </c>
      <c r="BY90" s="1936">
        <v>1497.7179774168285</v>
      </c>
      <c r="BZ90" s="1936">
        <v>1466732</v>
      </c>
      <c r="CA90" s="1936">
        <v>6922</v>
      </c>
      <c r="CB90" s="1936">
        <v>410477</v>
      </c>
      <c r="CC90" s="1936">
        <v>96399</v>
      </c>
      <c r="CD90" s="1936">
        <v>5332112</v>
      </c>
      <c r="CE90" s="1936">
        <v>0</v>
      </c>
      <c r="CF90" s="1936">
        <v>0</v>
      </c>
      <c r="CG90" s="1936">
        <v>1209502</v>
      </c>
      <c r="CH90" s="1936">
        <v>840329</v>
      </c>
      <c r="CI90" s="1936">
        <v>28425</v>
      </c>
      <c r="CJ90" s="1936">
        <v>9390898</v>
      </c>
      <c r="CK90" s="1366">
        <v>0.1561865542571115</v>
      </c>
      <c r="CL90" s="1366">
        <v>7.3709670789737041E-4</v>
      </c>
      <c r="CM90" s="1366">
        <v>4.3710090344927607E-2</v>
      </c>
      <c r="CN90" s="1366">
        <v>1.0265152491273997E-2</v>
      </c>
      <c r="CO90" s="1366">
        <v>0.56779575286623285</v>
      </c>
      <c r="CP90" s="1366">
        <v>0</v>
      </c>
      <c r="CQ90" s="1366">
        <v>0</v>
      </c>
      <c r="CR90" s="1366">
        <v>0.1287951375896107</v>
      </c>
      <c r="CS90" s="1366">
        <v>8.9483348663780604E-2</v>
      </c>
      <c r="CT90" s="1366">
        <v>3.026867079165379E-3</v>
      </c>
      <c r="CU90" s="1366">
        <v>1</v>
      </c>
      <c r="CV90" s="1936">
        <v>4562259</v>
      </c>
      <c r="CW90" s="1936">
        <v>932670</v>
      </c>
      <c r="CX90" s="1936">
        <v>328989</v>
      </c>
      <c r="CY90" s="1936">
        <v>3104034</v>
      </c>
      <c r="CZ90" s="1936">
        <v>124577</v>
      </c>
      <c r="DA90" s="1936">
        <v>307901</v>
      </c>
      <c r="DB90" s="1936">
        <v>9360430</v>
      </c>
      <c r="DC90" s="1366">
        <v>0.48739844216558426</v>
      </c>
      <c r="DD90" s="1366">
        <v>9.9639653306525452E-2</v>
      </c>
      <c r="DE90" s="1366">
        <v>3.5146782786688216E-2</v>
      </c>
      <c r="DF90" s="1366">
        <v>0.33161232977544836</v>
      </c>
      <c r="DG90" s="1366">
        <v>1.3308897133999185E-2</v>
      </c>
      <c r="DH90" s="1366">
        <v>3.2893894831754526E-2</v>
      </c>
      <c r="DI90" s="1366">
        <v>1</v>
      </c>
      <c r="DJ90" s="1936">
        <v>30468</v>
      </c>
      <c r="DK90" s="1936">
        <v>3328.4104309886966</v>
      </c>
      <c r="DL90" s="1936">
        <v>15.707884605574677</v>
      </c>
      <c r="DM90" s="1936">
        <v>931.48300335776901</v>
      </c>
      <c r="DN90" s="1936">
        <v>218.75532621970433</v>
      </c>
      <c r="DO90" s="1936">
        <v>12100</v>
      </c>
      <c r="DP90" s="1936">
        <v>0</v>
      </c>
      <c r="DQ90" s="1936">
        <v>0</v>
      </c>
      <c r="DR90" s="1936">
        <v>2744.6861956388016</v>
      </c>
      <c r="DS90" s="1936">
        <v>1906.9331064313728</v>
      </c>
      <c r="DT90" s="1936">
        <v>64.503990163747503</v>
      </c>
      <c r="DU90" s="1936">
        <v>21310.479937405667</v>
      </c>
      <c r="DV90" s="1936">
        <v>10352.995942320791</v>
      </c>
      <c r="DW90" s="1936">
        <v>2116.4797363596263</v>
      </c>
      <c r="DX90" s="1936">
        <v>746.56475707937125</v>
      </c>
      <c r="DY90" s="1936">
        <v>7043.8901883531335</v>
      </c>
      <c r="DZ90" s="1936">
        <v>282.69880677675189</v>
      </c>
      <c r="EA90" s="1936">
        <v>698.71039843124072</v>
      </c>
      <c r="EB90" s="1936">
        <v>21241.339829320914</v>
      </c>
      <c r="EC90" s="1936">
        <v>69.140108084751404</v>
      </c>
      <c r="ED90" s="1941">
        <v>90</v>
      </c>
      <c r="EE90" s="1936">
        <v>0</v>
      </c>
      <c r="EF90" s="1936">
        <v>0</v>
      </c>
      <c r="EG90" s="1938">
        <v>0</v>
      </c>
      <c r="EH90" s="1938">
        <v>1</v>
      </c>
      <c r="EI90" s="1368">
        <v>0.5</v>
      </c>
      <c r="EJ90" s="1936">
        <v>4.8963379247015606</v>
      </c>
      <c r="EK90" s="1936">
        <v>0</v>
      </c>
      <c r="EL90" s="1936">
        <v>0</v>
      </c>
      <c r="EM90" s="1936">
        <v>1</v>
      </c>
      <c r="EN90" s="1362">
        <v>0.2</v>
      </c>
      <c r="EO90" s="1936">
        <v>0</v>
      </c>
      <c r="EP90" s="1936">
        <v>0</v>
      </c>
      <c r="EQ90" s="1936">
        <v>0</v>
      </c>
      <c r="ER90" s="1938">
        <v>0</v>
      </c>
      <c r="ES90" s="1936">
        <v>4651.6193020701739</v>
      </c>
      <c r="ET90" s="1936">
        <v>-1357.8492724833986</v>
      </c>
      <c r="EU90" s="1938">
        <v>1</v>
      </c>
      <c r="EV90" s="1936">
        <v>50000</v>
      </c>
      <c r="EW90" s="1936">
        <v>10200</v>
      </c>
      <c r="EX90" s="1938">
        <v>1</v>
      </c>
      <c r="EY90" s="1936">
        <v>1209502</v>
      </c>
      <c r="EZ90" s="1936">
        <v>589046</v>
      </c>
      <c r="FA90" s="1936">
        <v>620456</v>
      </c>
      <c r="FB90" s="1936">
        <v>840329</v>
      </c>
      <c r="FC90" s="1936">
        <v>343624</v>
      </c>
      <c r="FD90" s="1936">
        <v>496705</v>
      </c>
      <c r="FE90" s="1936">
        <v>2049831</v>
      </c>
      <c r="FF90" s="1936">
        <v>932670</v>
      </c>
      <c r="FG90" s="1936">
        <v>1117161</v>
      </c>
      <c r="FH90" s="1366">
        <v>1</v>
      </c>
      <c r="FI90" s="1366">
        <v>0.48701531704784284</v>
      </c>
      <c r="FJ90" s="1366">
        <v>0.51298468295215716</v>
      </c>
      <c r="FK90" s="1366">
        <v>1</v>
      </c>
      <c r="FL90" s="1366">
        <v>0.40891603169710911</v>
      </c>
      <c r="FM90" s="1366">
        <v>0.59108396830289089</v>
      </c>
      <c r="FN90" s="1366">
        <v>1</v>
      </c>
      <c r="FO90" s="1366">
        <v>0.45499848524097841</v>
      </c>
      <c r="FP90" s="1366">
        <v>0.54500151475902159</v>
      </c>
      <c r="FQ90" s="1936">
        <v>1159297</v>
      </c>
      <c r="FR90" s="1936">
        <v>0</v>
      </c>
      <c r="FS90" s="1936">
        <v>291425</v>
      </c>
      <c r="FT90" s="1936">
        <v>0</v>
      </c>
      <c r="FU90" s="1936">
        <v>48090</v>
      </c>
      <c r="FV90" s="1936">
        <v>9497</v>
      </c>
      <c r="FW90" s="1936">
        <v>207216</v>
      </c>
      <c r="FX90" s="1936">
        <v>1715525</v>
      </c>
      <c r="FY90" s="1936">
        <v>-598364</v>
      </c>
      <c r="FZ90" s="1366">
        <v>0.56555735570395804</v>
      </c>
      <c r="GA90" s="1366">
        <v>0</v>
      </c>
      <c r="GB90" s="1366">
        <v>0.14217025696264715</v>
      </c>
      <c r="GC90" s="1366">
        <v>0</v>
      </c>
      <c r="GD90" s="1366">
        <v>2.3460470643677456E-2</v>
      </c>
      <c r="GE90" s="1366">
        <v>4.6330648721772671E-3</v>
      </c>
      <c r="GF90" s="1366">
        <v>0.10108930931379222</v>
      </c>
      <c r="GG90" s="1366">
        <v>0.83691045749625215</v>
      </c>
      <c r="GH90" s="1366">
        <v>-0.29190894273723056</v>
      </c>
      <c r="GI90" s="1942">
        <v>1.4393195998234025</v>
      </c>
      <c r="GJ90" s="1943">
        <v>1</v>
      </c>
      <c r="GK90" s="1371">
        <v>0.12</v>
      </c>
      <c r="GL90" s="1943">
        <v>0</v>
      </c>
      <c r="GM90" s="1371">
        <v>0</v>
      </c>
      <c r="GN90" s="1943">
        <v>0</v>
      </c>
      <c r="GO90" s="1985">
        <f>IF(GN90=0,0,VLOOKUP(A90,'Area (&amp;golfacre for lookup)'!$G$2:$H$133,2,FALSE))</f>
        <v>0</v>
      </c>
      <c r="GP90" s="1943">
        <v>0</v>
      </c>
      <c r="GQ90" s="1943">
        <v>0</v>
      </c>
      <c r="GR90" s="1943">
        <v>0</v>
      </c>
      <c r="GS90" s="1943">
        <v>0</v>
      </c>
      <c r="GT90" s="1943">
        <v>0</v>
      </c>
      <c r="GU90" s="1943">
        <v>0</v>
      </c>
      <c r="GV90" s="1943">
        <v>0</v>
      </c>
      <c r="GW90" s="1943">
        <v>0</v>
      </c>
      <c r="GX90" s="1936">
        <v>0</v>
      </c>
      <c r="GY90" s="1985">
        <f t="shared" si="764"/>
        <v>0</v>
      </c>
      <c r="GZ90" s="1936">
        <v>0</v>
      </c>
      <c r="HA90" s="1936">
        <v>0</v>
      </c>
      <c r="HB90" s="1936">
        <v>0</v>
      </c>
      <c r="HC90" s="1936">
        <v>0</v>
      </c>
      <c r="HD90" s="1936">
        <v>0</v>
      </c>
      <c r="HE90" s="1936">
        <v>0</v>
      </c>
      <c r="HF90" s="1936">
        <v>0</v>
      </c>
      <c r="HG90" s="1936">
        <v>36</v>
      </c>
      <c r="HH90" s="1988">
        <f>IF(HG90=0,0,VLOOKUP(A90,'Area (&amp;golfacre for lookup)'!$G$2:$H$134,2,FALSE))</f>
        <v>240</v>
      </c>
      <c r="HI90" s="1936">
        <v>46360</v>
      </c>
      <c r="HJ90" s="1936">
        <v>862883</v>
      </c>
      <c r="HK90" s="1936">
        <v>159204</v>
      </c>
      <c r="HL90" s="1936">
        <v>1337824</v>
      </c>
      <c r="HM90" s="1936">
        <v>153436</v>
      </c>
      <c r="HN90" s="1936">
        <v>0</v>
      </c>
      <c r="HO90" s="1936">
        <v>171240</v>
      </c>
      <c r="HP90" s="1936">
        <v>2684587</v>
      </c>
      <c r="HQ90" s="1936">
        <v>74571.861111111109</v>
      </c>
      <c r="HR90" s="1988">
        <f t="shared" si="765"/>
        <v>11185.779166666667</v>
      </c>
      <c r="HS90" s="1366">
        <v>0.32142113479652551</v>
      </c>
      <c r="HT90" s="1366">
        <v>5.9302976584480221E-2</v>
      </c>
      <c r="HU90" s="1366">
        <v>0.49833512566364957</v>
      </c>
      <c r="HV90" s="1366">
        <v>5.715441518565053E-2</v>
      </c>
      <c r="HW90" s="1366">
        <v>0</v>
      </c>
      <c r="HX90" s="1366">
        <v>6.3786347769694191E-2</v>
      </c>
      <c r="HY90" s="1366">
        <v>1</v>
      </c>
      <c r="HZ90" s="51"/>
      <c r="IA90" s="59">
        <f t="shared" si="767"/>
        <v>0</v>
      </c>
      <c r="IB90" s="59"/>
      <c r="IC90" s="815">
        <f t="shared" si="768"/>
        <v>1</v>
      </c>
      <c r="ID90" s="815"/>
      <c r="IE90" s="284">
        <f t="shared" si="769"/>
        <v>0</v>
      </c>
      <c r="IF90" s="284"/>
      <c r="IG90" s="284">
        <f t="shared" si="770"/>
        <v>43342.260852735279</v>
      </c>
      <c r="IH90" s="284"/>
      <c r="II90" s="1288">
        <f t="shared" si="771"/>
        <v>1.3835395732787816</v>
      </c>
      <c r="IJ90" s="1288">
        <f t="shared" si="772"/>
        <v>0</v>
      </c>
      <c r="IK90" s="284">
        <f t="shared" si="773"/>
        <v>1</v>
      </c>
      <c r="IL90" s="284">
        <f t="shared" si="774"/>
        <v>0</v>
      </c>
      <c r="IM90" s="284">
        <f t="shared" si="775"/>
        <v>0</v>
      </c>
      <c r="IN90" s="284">
        <f t="shared" si="776"/>
        <v>0</v>
      </c>
      <c r="IO90" s="753">
        <f t="shared" si="777"/>
        <v>-808.6</v>
      </c>
      <c r="IP90" s="113">
        <f t="shared" si="778"/>
        <v>-1357.8492724833986</v>
      </c>
      <c r="IQ90" s="30">
        <f t="shared" si="779"/>
        <v>-0.11221894813912386</v>
      </c>
      <c r="IR90" s="438">
        <f t="shared" si="780"/>
        <v>1209502</v>
      </c>
      <c r="IS90" s="438">
        <f t="shared" si="781"/>
        <v>840329</v>
      </c>
      <c r="IT90" s="438">
        <f t="shared" si="782"/>
        <v>1159297</v>
      </c>
      <c r="IU90" s="438">
        <f t="shared" si="783"/>
        <v>291425</v>
      </c>
      <c r="IV90" s="438">
        <f t="shared" si="784"/>
        <v>932670</v>
      </c>
      <c r="IW90" s="438">
        <f t="shared" si="785"/>
        <v>264803</v>
      </c>
      <c r="IX90" s="285">
        <f t="shared" si="786"/>
        <v>0.59004961872466555</v>
      </c>
      <c r="IY90" s="285">
        <f t="shared" si="787"/>
        <v>0.4099503812753344</v>
      </c>
      <c r="IZ90" s="285">
        <f t="shared" si="788"/>
        <v>0.56555735570395804</v>
      </c>
      <c r="JA90" s="285">
        <f t="shared" si="789"/>
        <v>0.14217025696264715</v>
      </c>
      <c r="JB90" s="285">
        <f t="shared" si="790"/>
        <v>0.45499848524097841</v>
      </c>
      <c r="JC90" s="285">
        <f t="shared" si="791"/>
        <v>0.12918284482964693</v>
      </c>
      <c r="JD90" s="60">
        <f t="shared" si="792"/>
        <v>5332112</v>
      </c>
      <c r="JE90" s="60">
        <f t="shared" si="793"/>
        <v>1980530</v>
      </c>
      <c r="JF90" s="60">
        <f t="shared" si="794"/>
        <v>0</v>
      </c>
      <c r="JG90" s="60">
        <f t="shared" si="795"/>
        <v>432478</v>
      </c>
      <c r="JH90" s="284">
        <f t="shared" si="796"/>
        <v>1</v>
      </c>
      <c r="JI90" s="284">
        <f t="shared" si="797"/>
        <v>1</v>
      </c>
      <c r="JJ90" s="560">
        <f t="shared" si="798"/>
        <v>0.801479741861298</v>
      </c>
      <c r="JK90" s="561">
        <f t="shared" si="799"/>
        <v>0.48581711780918074</v>
      </c>
      <c r="JL90" s="561">
        <f t="shared" si="800"/>
        <v>9.931638060598677E-2</v>
      </c>
      <c r="JM90" s="561">
        <f t="shared" si="801"/>
        <v>3.5032751926386593E-2</v>
      </c>
      <c r="JN90" s="561">
        <f t="shared" si="802"/>
        <v>0.33053644071099486</v>
      </c>
      <c r="JO90" s="561">
        <f t="shared" si="803"/>
        <v>1.3265717506462108E-2</v>
      </c>
      <c r="JP90" s="561">
        <f t="shared" si="804"/>
        <v>3.2787173282043953E-2</v>
      </c>
      <c r="JQ90" s="561">
        <f t="shared" si="805"/>
        <v>0.99675558184105495</v>
      </c>
      <c r="JR90" s="61">
        <f t="shared" si="806"/>
        <v>0</v>
      </c>
      <c r="JS90" s="61">
        <f t="shared" si="807"/>
        <v>0</v>
      </c>
      <c r="JT90" s="61">
        <f t="shared" si="808"/>
        <v>0</v>
      </c>
      <c r="JU90" s="61">
        <f t="shared" si="809"/>
        <v>0</v>
      </c>
      <c r="JV90" s="61">
        <f t="shared" si="810"/>
        <v>0</v>
      </c>
      <c r="JW90" s="61">
        <f t="shared" si="811"/>
        <v>0</v>
      </c>
      <c r="JX90" s="61">
        <f t="shared" si="812"/>
        <v>0</v>
      </c>
      <c r="JY90" s="394">
        <f t="shared" si="813"/>
        <v>0</v>
      </c>
      <c r="JZ90" s="61">
        <f t="shared" si="814"/>
        <v>23968.972222222223</v>
      </c>
      <c r="KA90" s="61">
        <f t="shared" si="815"/>
        <v>4422.333333333333</v>
      </c>
      <c r="KB90" s="61">
        <f t="shared" si="816"/>
        <v>37161.777777777781</v>
      </c>
      <c r="KC90" s="61">
        <f t="shared" si="817"/>
        <v>4262.1111111111113</v>
      </c>
      <c r="KD90" s="61">
        <f t="shared" si="818"/>
        <v>0</v>
      </c>
      <c r="KE90" s="61">
        <f t="shared" si="819"/>
        <v>4756.666666666667</v>
      </c>
      <c r="KF90" s="61">
        <f t="shared" si="820"/>
        <v>23200</v>
      </c>
      <c r="KG90" s="61">
        <f t="shared" si="821"/>
        <v>240</v>
      </c>
      <c r="KH90" s="61">
        <f t="shared" si="822"/>
        <v>57.907398619499567</v>
      </c>
      <c r="KI90" s="394">
        <f t="shared" si="823"/>
        <v>0.28680167470938833</v>
      </c>
      <c r="KJ90" s="438">
        <f t="shared" si="824"/>
        <v>36</v>
      </c>
      <c r="KK90" s="438">
        <f t="shared" si="825"/>
        <v>46360</v>
      </c>
      <c r="KL90" s="438">
        <f t="shared" si="826"/>
        <v>240</v>
      </c>
      <c r="KM90" s="438">
        <f t="shared" si="827"/>
        <v>74571.861111111109</v>
      </c>
      <c r="KN90" s="438">
        <f t="shared" si="828"/>
        <v>57.907398619499567</v>
      </c>
      <c r="KO90" s="438">
        <f t="shared" si="829"/>
        <v>11185.779166666667</v>
      </c>
      <c r="KP90" s="438">
        <f t="shared" si="830"/>
        <v>862883</v>
      </c>
      <c r="KQ90" s="438">
        <f t="shared" si="831"/>
        <v>159204</v>
      </c>
      <c r="KR90" s="438">
        <f t="shared" si="832"/>
        <v>1337824</v>
      </c>
      <c r="KS90" s="438">
        <f t="shared" si="833"/>
        <v>153436</v>
      </c>
      <c r="KT90" s="438">
        <f t="shared" si="834"/>
        <v>0</v>
      </c>
      <c r="KU90" s="438">
        <f t="shared" si="835"/>
        <v>171240</v>
      </c>
      <c r="KV90" s="420">
        <f t="shared" si="836"/>
        <v>0.28680167470938833</v>
      </c>
      <c r="KW90" s="420">
        <f t="shared" si="837"/>
        <v>-0.47136050405542868</v>
      </c>
      <c r="KX90" s="108"/>
      <c r="KY90" s="282">
        <f t="shared" si="838"/>
        <v>0</v>
      </c>
      <c r="KZ90" s="282"/>
      <c r="LA90" s="282">
        <f t="shared" si="839"/>
        <v>0</v>
      </c>
      <c r="LB90" s="282"/>
      <c r="LC90" s="286">
        <f t="shared" si="840"/>
        <v>0</v>
      </c>
      <c r="LD90" s="286"/>
      <c r="LE90" s="282">
        <f t="shared" si="841"/>
        <v>0</v>
      </c>
      <c r="LF90" s="282"/>
      <c r="LG90" s="282">
        <f t="shared" si="842"/>
        <v>0</v>
      </c>
      <c r="LH90" s="282">
        <f t="shared" si="843"/>
        <v>0</v>
      </c>
      <c r="LI90" s="282">
        <f t="shared" si="844"/>
        <v>0</v>
      </c>
      <c r="LJ90" s="282">
        <f t="shared" si="845"/>
        <v>0</v>
      </c>
      <c r="LK90" s="282"/>
      <c r="LL90" s="282">
        <f t="shared" si="846"/>
        <v>0</v>
      </c>
      <c r="LM90" s="282">
        <f t="shared" si="847"/>
        <v>0</v>
      </c>
      <c r="LN90" s="282">
        <f t="shared" si="848"/>
        <v>0</v>
      </c>
      <c r="LO90" s="282">
        <f t="shared" si="849"/>
        <v>0</v>
      </c>
      <c r="LP90" s="286">
        <f t="shared" si="850"/>
        <v>0</v>
      </c>
      <c r="LQ90" s="282">
        <f t="shared" si="851"/>
        <v>0</v>
      </c>
      <c r="LR90" s="282">
        <f t="shared" si="852"/>
        <v>0</v>
      </c>
      <c r="LS90" s="282">
        <f t="shared" si="853"/>
        <v>0</v>
      </c>
      <c r="LT90" s="286">
        <f t="shared" si="854"/>
        <v>0</v>
      </c>
      <c r="LU90" s="286">
        <f t="shared" si="855"/>
        <v>0</v>
      </c>
      <c r="LV90" s="286">
        <f t="shared" si="856"/>
        <v>0</v>
      </c>
      <c r="LW90" s="286">
        <f t="shared" si="857"/>
        <v>0</v>
      </c>
      <c r="LX90" s="286">
        <f t="shared" si="858"/>
        <v>0</v>
      </c>
      <c r="LY90" s="286">
        <f t="shared" si="859"/>
        <v>0</v>
      </c>
      <c r="LZ90" s="286">
        <f t="shared" si="860"/>
        <v>0</v>
      </c>
      <c r="MA90" s="286">
        <f t="shared" si="861"/>
        <v>0</v>
      </c>
      <c r="MB90" s="286">
        <f t="shared" si="862"/>
        <v>0</v>
      </c>
      <c r="MC90" s="286">
        <f t="shared" si="863"/>
        <v>0</v>
      </c>
      <c r="MD90" s="286">
        <f t="shared" si="864"/>
        <v>0</v>
      </c>
      <c r="ME90" s="286">
        <f t="shared" si="865"/>
        <v>0</v>
      </c>
      <c r="MF90" s="286">
        <f t="shared" si="866"/>
        <v>0</v>
      </c>
      <c r="MG90" s="286">
        <f t="shared" si="867"/>
        <v>0</v>
      </c>
      <c r="MH90" s="286">
        <f t="shared" si="868"/>
        <v>0</v>
      </c>
      <c r="MI90" s="286">
        <f t="shared" si="869"/>
        <v>0</v>
      </c>
      <c r="MJ90" s="286">
        <f t="shared" si="870"/>
        <v>0</v>
      </c>
      <c r="MK90" s="286">
        <f t="shared" si="871"/>
        <v>0</v>
      </c>
      <c r="ML90" s="282">
        <f t="shared" si="872"/>
        <v>0</v>
      </c>
      <c r="MM90" s="1232">
        <f t="shared" si="873"/>
        <v>0</v>
      </c>
      <c r="MN90" s="1232">
        <f t="shared" si="874"/>
        <v>0</v>
      </c>
      <c r="MO90" s="1232">
        <f t="shared" si="875"/>
        <v>0</v>
      </c>
      <c r="MP90" s="1232">
        <f t="shared" si="876"/>
        <v>0</v>
      </c>
      <c r="MQ90" s="282">
        <f t="shared" si="877"/>
        <v>0</v>
      </c>
      <c r="MR90" s="282">
        <f t="shared" si="878"/>
        <v>0</v>
      </c>
      <c r="MS90" s="282">
        <f t="shared" si="879"/>
        <v>0</v>
      </c>
      <c r="MT90" s="282">
        <f t="shared" si="880"/>
        <v>0</v>
      </c>
      <c r="MU90" s="282">
        <f t="shared" si="881"/>
        <v>0</v>
      </c>
      <c r="MV90" s="282">
        <f t="shared" si="882"/>
        <v>0</v>
      </c>
      <c r="MW90" s="282">
        <f t="shared" si="883"/>
        <v>0</v>
      </c>
      <c r="MX90" s="282">
        <f t="shared" si="884"/>
        <v>0</v>
      </c>
      <c r="MY90" s="282">
        <f t="shared" si="885"/>
        <v>0</v>
      </c>
      <c r="MZ90" s="282">
        <f t="shared" si="886"/>
        <v>0</v>
      </c>
      <c r="NA90" s="282">
        <f t="shared" si="887"/>
        <v>0</v>
      </c>
      <c r="NB90" s="282">
        <f t="shared" si="888"/>
        <v>0</v>
      </c>
      <c r="NC90" s="282">
        <f t="shared" si="889"/>
        <v>0</v>
      </c>
      <c r="ND90" s="282">
        <f t="shared" si="890"/>
        <v>0</v>
      </c>
      <c r="NE90" s="282">
        <f t="shared" si="891"/>
        <v>0</v>
      </c>
      <c r="NF90" s="282">
        <f t="shared" si="892"/>
        <v>0</v>
      </c>
      <c r="NG90" s="282">
        <f t="shared" si="893"/>
        <v>0</v>
      </c>
      <c r="NH90" s="282">
        <f t="shared" si="894"/>
        <v>0</v>
      </c>
      <c r="NI90" s="282">
        <f t="shared" si="895"/>
        <v>0</v>
      </c>
      <c r="NJ90" s="282">
        <f t="shared" si="896"/>
        <v>0</v>
      </c>
      <c r="NK90" s="282">
        <f t="shared" si="897"/>
        <v>0</v>
      </c>
      <c r="NL90" s="282">
        <f t="shared" si="898"/>
        <v>0</v>
      </c>
      <c r="NM90" s="1205">
        <f t="shared" si="899"/>
        <v>0</v>
      </c>
      <c r="NN90" s="282">
        <f t="shared" si="900"/>
        <v>0</v>
      </c>
      <c r="NO90" s="282">
        <f t="shared" si="901"/>
        <v>0</v>
      </c>
      <c r="NP90" s="282">
        <f t="shared" si="902"/>
        <v>0</v>
      </c>
      <c r="NQ90" s="282">
        <f t="shared" si="903"/>
        <v>0</v>
      </c>
      <c r="NR90" s="282">
        <f t="shared" si="904"/>
        <v>0</v>
      </c>
      <c r="NS90" s="282">
        <f t="shared" si="905"/>
        <v>0</v>
      </c>
      <c r="NT90" s="282">
        <f t="shared" si="906"/>
        <v>0</v>
      </c>
      <c r="NU90" s="282">
        <f t="shared" si="907"/>
        <v>0</v>
      </c>
      <c r="NV90" s="286">
        <f t="shared" si="908"/>
        <v>0</v>
      </c>
      <c r="NW90" s="286">
        <f t="shared" si="909"/>
        <v>0</v>
      </c>
      <c r="NX90" s="286">
        <f t="shared" si="910"/>
        <v>0</v>
      </c>
      <c r="NY90" s="286">
        <f t="shared" si="911"/>
        <v>0</v>
      </c>
      <c r="NZ90" s="286">
        <f t="shared" si="912"/>
        <v>0</v>
      </c>
      <c r="OA90" s="286">
        <f t="shared" si="913"/>
        <v>0</v>
      </c>
      <c r="OB90" s="286">
        <f t="shared" si="914"/>
        <v>0</v>
      </c>
      <c r="OC90" s="286">
        <f t="shared" si="915"/>
        <v>0</v>
      </c>
      <c r="OD90" s="286">
        <f t="shared" si="916"/>
        <v>0</v>
      </c>
      <c r="OE90" s="282">
        <f t="shared" si="917"/>
        <v>0</v>
      </c>
      <c r="OF90" s="282">
        <f t="shared" si="918"/>
        <v>0</v>
      </c>
      <c r="OG90" s="286">
        <f t="shared" si="919"/>
        <v>0</v>
      </c>
      <c r="OH90" s="286">
        <f t="shared" si="920"/>
        <v>0</v>
      </c>
      <c r="OI90" s="286">
        <f t="shared" si="921"/>
        <v>0</v>
      </c>
      <c r="OJ90" s="286">
        <f t="shared" si="922"/>
        <v>0</v>
      </c>
      <c r="OK90" s="286">
        <f t="shared" si="923"/>
        <v>0</v>
      </c>
      <c r="OL90" s="286">
        <f t="shared" si="924"/>
        <v>0</v>
      </c>
      <c r="OM90" s="286">
        <f t="shared" si="925"/>
        <v>0</v>
      </c>
      <c r="ON90" s="286">
        <f t="shared" si="926"/>
        <v>0</v>
      </c>
      <c r="OO90" s="286">
        <f t="shared" si="927"/>
        <v>0</v>
      </c>
      <c r="OP90" s="434">
        <f t="shared" si="928"/>
        <v>0</v>
      </c>
      <c r="OQ90" s="434">
        <f t="shared" si="929"/>
        <v>0</v>
      </c>
      <c r="OR90" s="282">
        <f t="shared" si="930"/>
        <v>0</v>
      </c>
      <c r="OS90" s="282">
        <f t="shared" si="931"/>
        <v>0</v>
      </c>
      <c r="OT90" s="282">
        <f t="shared" si="932"/>
        <v>0</v>
      </c>
      <c r="OU90" s="282">
        <f t="shared" si="933"/>
        <v>0</v>
      </c>
      <c r="OV90" s="282">
        <f t="shared" si="934"/>
        <v>0</v>
      </c>
      <c r="OW90" s="286">
        <f t="shared" si="935"/>
        <v>0</v>
      </c>
      <c r="OX90" s="286">
        <f t="shared" si="936"/>
        <v>0</v>
      </c>
      <c r="OY90" s="286">
        <f t="shared" si="937"/>
        <v>0</v>
      </c>
      <c r="OZ90" s="286">
        <f t="shared" si="938"/>
        <v>0</v>
      </c>
      <c r="PA90" s="286">
        <f t="shared" si="939"/>
        <v>0</v>
      </c>
      <c r="PB90" s="286">
        <f t="shared" si="940"/>
        <v>0</v>
      </c>
      <c r="PC90" s="286">
        <f t="shared" si="941"/>
        <v>0</v>
      </c>
      <c r="PD90" s="282">
        <f t="shared" si="942"/>
        <v>0</v>
      </c>
      <c r="PE90" s="282">
        <f t="shared" si="943"/>
        <v>0</v>
      </c>
      <c r="PF90" s="286">
        <f t="shared" si="944"/>
        <v>0</v>
      </c>
      <c r="PG90" s="286">
        <f t="shared" si="945"/>
        <v>0</v>
      </c>
      <c r="PH90" s="286">
        <f t="shared" si="946"/>
        <v>0</v>
      </c>
      <c r="PI90" s="286">
        <f t="shared" si="947"/>
        <v>0</v>
      </c>
      <c r="PJ90" s="286">
        <f t="shared" si="948"/>
        <v>0</v>
      </c>
      <c r="PK90" s="286">
        <f t="shared" si="949"/>
        <v>0</v>
      </c>
      <c r="PL90" s="286">
        <f t="shared" si="950"/>
        <v>0</v>
      </c>
      <c r="PM90" s="562">
        <v>34</v>
      </c>
    </row>
    <row r="91" spans="1:431" s="289" customFormat="1" ht="15.75" customHeight="1">
      <c r="A91" s="1935" t="s">
        <v>965</v>
      </c>
      <c r="B91" s="1040" t="str">
        <f>VLOOKUP(A91,'Area (&amp;golfacre for lookup)'!$A$2:$B$162,2,FALSE)</f>
        <v>SW CIRA</v>
      </c>
      <c r="C91" s="1936"/>
      <c r="D91" s="1937">
        <v>44926</v>
      </c>
      <c r="E91" s="402"/>
      <c r="F91" s="1936">
        <v>0</v>
      </c>
      <c r="G91" s="1936">
        <v>1</v>
      </c>
      <c r="H91" s="1936">
        <v>799</v>
      </c>
      <c r="I91" s="1936">
        <v>0</v>
      </c>
      <c r="J91" s="1936">
        <v>799</v>
      </c>
      <c r="K91" s="1938">
        <v>647.96502196688073</v>
      </c>
      <c r="L91" s="1939" t="s">
        <v>1208</v>
      </c>
      <c r="M91" s="1939" t="s">
        <v>1208</v>
      </c>
      <c r="N91" s="1939" t="s">
        <v>1208</v>
      </c>
      <c r="O91" s="1939" t="s">
        <v>1208</v>
      </c>
      <c r="P91" s="1939" t="s">
        <v>1208</v>
      </c>
      <c r="Q91" s="1936">
        <v>0</v>
      </c>
      <c r="R91" s="1979">
        <v>6934</v>
      </c>
      <c r="S91" s="1979">
        <v>6934</v>
      </c>
      <c r="T91" s="1939" t="s">
        <v>1208</v>
      </c>
      <c r="U91" s="1939" t="s">
        <v>1208</v>
      </c>
      <c r="V91" s="1939" t="s">
        <v>1208</v>
      </c>
      <c r="W91" s="1936">
        <v>6113</v>
      </c>
      <c r="X91" s="1936">
        <v>5918</v>
      </c>
      <c r="Y91" s="1939" t="s">
        <v>1208</v>
      </c>
      <c r="Z91" s="1939" t="s">
        <v>1208</v>
      </c>
      <c r="AA91" s="1936">
        <v>195</v>
      </c>
      <c r="AB91" s="1362">
        <v>3.2950321054410273E-2</v>
      </c>
      <c r="AC91" s="1939" t="s">
        <v>1208</v>
      </c>
      <c r="AD91" s="1363" t="s">
        <v>1208</v>
      </c>
      <c r="AE91" s="1936">
        <v>1</v>
      </c>
      <c r="AF91" s="1936">
        <v>730</v>
      </c>
      <c r="AG91" s="1939" t="s">
        <v>1208</v>
      </c>
      <c r="AH91" s="1936">
        <v>0</v>
      </c>
      <c r="AI91" s="1936">
        <v>0</v>
      </c>
      <c r="AJ91" s="1939" t="s">
        <v>1208</v>
      </c>
      <c r="AK91" s="1938">
        <v>0</v>
      </c>
      <c r="AL91" s="1938">
        <v>0</v>
      </c>
      <c r="AM91" s="1936">
        <v>6648</v>
      </c>
      <c r="AN91" s="1939" t="s">
        <v>1208</v>
      </c>
      <c r="AO91" s="1936">
        <v>750</v>
      </c>
      <c r="AP91" s="1936">
        <v>0</v>
      </c>
      <c r="AQ91" s="1936">
        <v>7398</v>
      </c>
      <c r="AR91" s="1939" t="s">
        <v>1208</v>
      </c>
      <c r="AS91" s="1363" t="s">
        <v>1208</v>
      </c>
      <c r="AT91" s="1363" t="s">
        <v>1208</v>
      </c>
      <c r="AU91" s="1363" t="s">
        <v>1208</v>
      </c>
      <c r="AV91" s="1363" t="s">
        <v>1208</v>
      </c>
      <c r="AW91" s="1363" t="s">
        <v>1291</v>
      </c>
      <c r="AX91" s="1938">
        <v>0</v>
      </c>
      <c r="AY91" s="1938">
        <v>0</v>
      </c>
      <c r="AZ91" s="1938">
        <v>0</v>
      </c>
      <c r="BA91" s="1938">
        <v>0</v>
      </c>
      <c r="BB91" s="1938">
        <v>0</v>
      </c>
      <c r="BC91" s="1938">
        <v>0</v>
      </c>
      <c r="BD91" s="1938">
        <v>0</v>
      </c>
      <c r="BE91" s="1936">
        <v>1</v>
      </c>
      <c r="BF91" s="1936">
        <v>8300000</v>
      </c>
      <c r="BG91" s="1936">
        <v>25000</v>
      </c>
      <c r="BH91" s="1936">
        <v>8325000</v>
      </c>
      <c r="BI91" s="1938">
        <v>5549153</v>
      </c>
      <c r="BJ91" s="1936">
        <v>743290</v>
      </c>
      <c r="BK91" s="1936">
        <v>1057823</v>
      </c>
      <c r="BL91" s="1362">
        <v>0.70266008585557316</v>
      </c>
      <c r="BM91" s="1936">
        <v>1</v>
      </c>
      <c r="BN91" s="1936">
        <v>472332</v>
      </c>
      <c r="BO91" s="1363" t="s">
        <v>1208</v>
      </c>
      <c r="BP91" s="1938">
        <v>2151278</v>
      </c>
      <c r="BQ91" s="1938">
        <v>2184927</v>
      </c>
      <c r="BR91" s="1940">
        <v>0.98459948547480081</v>
      </c>
      <c r="BS91" s="1409">
        <v>0</v>
      </c>
      <c r="BT91" s="1938">
        <v>2574103</v>
      </c>
      <c r="BU91" s="1938">
        <v>10570130</v>
      </c>
      <c r="BV91" s="1940">
        <v>0.24352614395471012</v>
      </c>
      <c r="BW91" s="1936">
        <v>728.94675482057448</v>
      </c>
      <c r="BX91" s="1936">
        <v>1147.1143885880797</v>
      </c>
      <c r="BY91" s="1936">
        <v>12847.915732750022</v>
      </c>
      <c r="BZ91" s="1936">
        <v>1458246</v>
      </c>
      <c r="CA91" s="1936">
        <v>0</v>
      </c>
      <c r="CB91" s="1936">
        <v>224226</v>
      </c>
      <c r="CC91" s="1936">
        <v>0</v>
      </c>
      <c r="CD91" s="1936">
        <v>3834657</v>
      </c>
      <c r="CE91" s="1936">
        <v>0</v>
      </c>
      <c r="CF91" s="1936">
        <v>0</v>
      </c>
      <c r="CG91" s="1936">
        <v>1335255</v>
      </c>
      <c r="CH91" s="1936">
        <v>563086</v>
      </c>
      <c r="CI91" s="1936">
        <v>318317</v>
      </c>
      <c r="CJ91" s="1936">
        <v>7733787</v>
      </c>
      <c r="CK91" s="1366">
        <v>0.18855523173834501</v>
      </c>
      <c r="CL91" s="1366">
        <v>0</v>
      </c>
      <c r="CM91" s="1366">
        <v>2.8993040537578809E-2</v>
      </c>
      <c r="CN91" s="1366">
        <v>0</v>
      </c>
      <c r="CO91" s="1366">
        <v>0.49583173159540078</v>
      </c>
      <c r="CP91" s="1366">
        <v>0</v>
      </c>
      <c r="CQ91" s="1366">
        <v>0</v>
      </c>
      <c r="CR91" s="1366">
        <v>0.17265215605239709</v>
      </c>
      <c r="CS91" s="1366">
        <v>7.2808573600488355E-2</v>
      </c>
      <c r="CT91" s="1366">
        <v>4.1159266475789935E-2</v>
      </c>
      <c r="CU91" s="1366">
        <v>1</v>
      </c>
      <c r="CV91" s="1936">
        <v>3816017</v>
      </c>
      <c r="CW91" s="1936">
        <v>855719</v>
      </c>
      <c r="CX91" s="1936">
        <v>168502</v>
      </c>
      <c r="CY91" s="1936">
        <v>2384143</v>
      </c>
      <c r="CZ91" s="1936">
        <v>0</v>
      </c>
      <c r="DA91" s="1936">
        <v>156636</v>
      </c>
      <c r="DB91" s="1936">
        <v>7381017</v>
      </c>
      <c r="DC91" s="1366">
        <v>0.51700422855007655</v>
      </c>
      <c r="DD91" s="1366">
        <v>0.11593510758747744</v>
      </c>
      <c r="DE91" s="1366">
        <v>2.2829103360688642E-2</v>
      </c>
      <c r="DF91" s="1366">
        <v>0.32301009467936465</v>
      </c>
      <c r="DG91" s="1366">
        <v>0</v>
      </c>
      <c r="DH91" s="1366">
        <v>2.1221465822392767E-2</v>
      </c>
      <c r="DI91" s="1366">
        <v>1</v>
      </c>
      <c r="DJ91" s="1936">
        <v>352770</v>
      </c>
      <c r="DK91" s="1936">
        <v>2250.5011081825569</v>
      </c>
      <c r="DL91" s="1936">
        <v>0</v>
      </c>
      <c r="DM91" s="1936">
        <v>346.04645682782058</v>
      </c>
      <c r="DN91" s="1936">
        <v>0</v>
      </c>
      <c r="DO91" s="1936">
        <v>5918</v>
      </c>
      <c r="DP91" s="1936">
        <v>0</v>
      </c>
      <c r="DQ91" s="1936">
        <v>0</v>
      </c>
      <c r="DR91" s="1936">
        <v>2060.6899365445202</v>
      </c>
      <c r="DS91" s="1936">
        <v>869.00678417913252</v>
      </c>
      <c r="DT91" s="1936">
        <v>491.25645553174638</v>
      </c>
      <c r="DU91" s="1936">
        <v>11935.500741265776</v>
      </c>
      <c r="DV91" s="1936">
        <v>5889.2330151040887</v>
      </c>
      <c r="DW91" s="1936">
        <v>1320.625297647221</v>
      </c>
      <c r="DX91" s="1936">
        <v>260.04798760358489</v>
      </c>
      <c r="DY91" s="1936">
        <v>3679.431634693794</v>
      </c>
      <c r="DZ91" s="1936">
        <v>0</v>
      </c>
      <c r="EA91" s="1936">
        <v>241.7352707165204</v>
      </c>
      <c r="EB91" s="1936">
        <v>11391.073205765209</v>
      </c>
      <c r="EC91" s="1936">
        <v>544.42753550056761</v>
      </c>
      <c r="ED91" s="1941">
        <v>84</v>
      </c>
      <c r="EE91" s="1936">
        <v>1</v>
      </c>
      <c r="EF91" s="1936">
        <v>15</v>
      </c>
      <c r="EG91" s="1938">
        <v>25000</v>
      </c>
      <c r="EH91" s="1938">
        <v>0</v>
      </c>
      <c r="EI91" s="1368">
        <v>0</v>
      </c>
      <c r="EJ91" s="1936">
        <v>7.7138693091295325</v>
      </c>
      <c r="EK91" s="1936">
        <v>1</v>
      </c>
      <c r="EL91" s="1936">
        <v>750</v>
      </c>
      <c r="EM91" s="1936">
        <v>1</v>
      </c>
      <c r="EN91" s="1362">
        <v>0.18</v>
      </c>
      <c r="EO91" s="1936">
        <v>0</v>
      </c>
      <c r="EP91" s="1936">
        <v>0</v>
      </c>
      <c r="EQ91" s="1936">
        <v>0</v>
      </c>
      <c r="ER91" s="1938">
        <v>0</v>
      </c>
      <c r="ES91" s="1936">
        <v>2929.6967207236526</v>
      </c>
      <c r="ET91" s="1936">
        <v>-958.2075867541738</v>
      </c>
      <c r="EU91" s="1938">
        <v>2</v>
      </c>
      <c r="EV91" s="1936">
        <v>110000</v>
      </c>
      <c r="EW91" s="1936">
        <v>8000</v>
      </c>
      <c r="EX91" s="1938">
        <v>1</v>
      </c>
      <c r="EY91" s="1936">
        <v>1335255</v>
      </c>
      <c r="EZ91" s="1936">
        <v>665411</v>
      </c>
      <c r="FA91" s="1936">
        <v>669844</v>
      </c>
      <c r="FB91" s="1936">
        <v>563086</v>
      </c>
      <c r="FC91" s="1936">
        <v>190308</v>
      </c>
      <c r="FD91" s="1936">
        <v>372778</v>
      </c>
      <c r="FE91" s="1936">
        <v>1898341</v>
      </c>
      <c r="FF91" s="1936">
        <v>855719</v>
      </c>
      <c r="FG91" s="1936">
        <v>1042622</v>
      </c>
      <c r="FH91" s="1366">
        <v>1</v>
      </c>
      <c r="FI91" s="1366">
        <v>0.4983400174498504</v>
      </c>
      <c r="FJ91" s="1366">
        <v>0.50165998255014965</v>
      </c>
      <c r="FK91" s="1366">
        <v>1</v>
      </c>
      <c r="FL91" s="1366">
        <v>0.33797324032208226</v>
      </c>
      <c r="FM91" s="1366">
        <v>0.6620267596779178</v>
      </c>
      <c r="FN91" s="1366">
        <v>1</v>
      </c>
      <c r="FO91" s="1366">
        <v>0.45077201619730067</v>
      </c>
      <c r="FP91" s="1366">
        <v>0.54922798380269933</v>
      </c>
      <c r="FQ91" s="1936">
        <v>1069290</v>
      </c>
      <c r="FR91" s="1936">
        <v>0</v>
      </c>
      <c r="FS91" s="1936">
        <v>213885</v>
      </c>
      <c r="FT91" s="1936">
        <v>21400</v>
      </c>
      <c r="FU91" s="1936">
        <v>0</v>
      </c>
      <c r="FV91" s="1936">
        <v>6658</v>
      </c>
      <c r="FW91" s="1936">
        <v>352274</v>
      </c>
      <c r="FX91" s="1936">
        <v>1663507</v>
      </c>
      <c r="FY91" s="1936">
        <v>-620885</v>
      </c>
      <c r="FZ91" s="1366">
        <v>0.56327603944707505</v>
      </c>
      <c r="GA91" s="1366">
        <v>0</v>
      </c>
      <c r="GB91" s="1366">
        <v>0.11266943083460769</v>
      </c>
      <c r="GC91" s="1366">
        <v>1.1273001004561351E-2</v>
      </c>
      <c r="GD91" s="1366">
        <v>0</v>
      </c>
      <c r="GE91" s="1366">
        <v>3.5072729293630597E-3</v>
      </c>
      <c r="GF91" s="1366">
        <v>0.18556939980751613</v>
      </c>
      <c r="GG91" s="1366">
        <v>0.87629514402312336</v>
      </c>
      <c r="GH91" s="1366">
        <v>-0.32706716022042404</v>
      </c>
      <c r="GI91" s="1942">
        <v>2.3713162820599338</v>
      </c>
      <c r="GJ91" s="1943">
        <v>1</v>
      </c>
      <c r="GK91" s="1371">
        <v>0.1</v>
      </c>
      <c r="GL91" s="1943">
        <v>1</v>
      </c>
      <c r="GM91" s="1371">
        <v>0.1</v>
      </c>
      <c r="GN91" s="1943">
        <v>18</v>
      </c>
      <c r="GO91" s="1985">
        <f>IF(GN91=0,0,VLOOKUP(A91,'Area (&amp;golfacre for lookup)'!$G$2:$H$133,2,FALSE))</f>
        <v>65</v>
      </c>
      <c r="GP91" s="1943">
        <v>54000</v>
      </c>
      <c r="GQ91" s="1943">
        <v>792154</v>
      </c>
      <c r="GR91" s="1943">
        <v>127517</v>
      </c>
      <c r="GS91" s="1943">
        <v>544869</v>
      </c>
      <c r="GT91" s="1943">
        <v>82199</v>
      </c>
      <c r="GU91" s="1943">
        <v>84568</v>
      </c>
      <c r="GV91" s="1943">
        <v>138343</v>
      </c>
      <c r="GW91" s="1943">
        <v>1769650</v>
      </c>
      <c r="GX91" s="1943">
        <v>98313.888888888891</v>
      </c>
      <c r="GY91" s="1985">
        <f t="shared" si="764"/>
        <v>27225.384615384617</v>
      </c>
      <c r="GZ91" s="1366">
        <v>0.44763314779758712</v>
      </c>
      <c r="HA91" s="1366">
        <v>7.2057751532788969E-2</v>
      </c>
      <c r="HB91" s="1366">
        <v>0.3078964767044331</v>
      </c>
      <c r="HC91" s="1366">
        <v>4.6449297883762328E-2</v>
      </c>
      <c r="HD91" s="1366">
        <v>4.7787980674144602E-2</v>
      </c>
      <c r="HE91" s="1366">
        <v>7.8175345407283922E-2</v>
      </c>
      <c r="HF91" s="1366">
        <v>1</v>
      </c>
      <c r="HG91" s="1936">
        <v>0</v>
      </c>
      <c r="HH91" s="1988">
        <f>IF(HG91=0,0,VLOOKUP(A91,'Area (&amp;golfacre for lookup)'!$G$2:$H$134,2,FALSE))</f>
        <v>0</v>
      </c>
      <c r="HI91" s="1936">
        <v>0</v>
      </c>
      <c r="HJ91" s="1936">
        <v>0</v>
      </c>
      <c r="HK91" s="1936">
        <v>0</v>
      </c>
      <c r="HL91" s="1936">
        <v>0</v>
      </c>
      <c r="HM91" s="1936">
        <v>0</v>
      </c>
      <c r="HN91" s="1936">
        <v>0</v>
      </c>
      <c r="HO91" s="1936">
        <v>0</v>
      </c>
      <c r="HP91" s="1936">
        <v>0</v>
      </c>
      <c r="HQ91" s="1936">
        <v>0</v>
      </c>
      <c r="HR91" s="1988">
        <f t="shared" si="765"/>
        <v>0</v>
      </c>
      <c r="HS91" s="1936">
        <v>0</v>
      </c>
      <c r="HT91" s="1936">
        <v>0</v>
      </c>
      <c r="HU91" s="1936">
        <v>0</v>
      </c>
      <c r="HV91" s="1936">
        <v>0</v>
      </c>
      <c r="HW91" s="1936">
        <v>0</v>
      </c>
      <c r="HX91" s="1936">
        <v>0</v>
      </c>
      <c r="HY91" s="1936">
        <v>0</v>
      </c>
      <c r="HZ91" s="51"/>
      <c r="IA91" s="59">
        <f t="shared" si="767"/>
        <v>0</v>
      </c>
      <c r="IB91" s="59"/>
      <c r="IC91" s="815">
        <f t="shared" si="768"/>
        <v>1</v>
      </c>
      <c r="ID91" s="815"/>
      <c r="IE91" s="284">
        <f t="shared" si="769"/>
        <v>0</v>
      </c>
      <c r="IF91" s="284"/>
      <c r="IG91" s="284">
        <f t="shared" si="770"/>
        <v>8563.9699858422791</v>
      </c>
      <c r="IH91" s="284"/>
      <c r="II91" s="1288">
        <f t="shared" si="771"/>
        <v>0</v>
      </c>
      <c r="IJ91" s="1288">
        <f t="shared" si="772"/>
        <v>0.98459948547480081</v>
      </c>
      <c r="IK91" s="284">
        <f t="shared" si="773"/>
        <v>0</v>
      </c>
      <c r="IL91" s="284">
        <f t="shared" si="774"/>
        <v>0</v>
      </c>
      <c r="IM91" s="284">
        <f t="shared" si="775"/>
        <v>1</v>
      </c>
      <c r="IN91" s="284">
        <f t="shared" si="776"/>
        <v>0</v>
      </c>
      <c r="IO91" s="753">
        <f t="shared" si="777"/>
        <v>-777.07759699624535</v>
      </c>
      <c r="IP91" s="113">
        <f t="shared" si="778"/>
        <v>-958.2075867541738</v>
      </c>
      <c r="IQ91" s="30">
        <f t="shared" si="779"/>
        <v>-0.16191409036062418</v>
      </c>
      <c r="IR91" s="438">
        <f t="shared" si="780"/>
        <v>1335255</v>
      </c>
      <c r="IS91" s="438">
        <f t="shared" si="781"/>
        <v>563086</v>
      </c>
      <c r="IT91" s="438">
        <f t="shared" si="782"/>
        <v>1069290</v>
      </c>
      <c r="IU91" s="438">
        <f t="shared" si="783"/>
        <v>235285</v>
      </c>
      <c r="IV91" s="438">
        <f t="shared" si="784"/>
        <v>855719</v>
      </c>
      <c r="IW91" s="438">
        <f t="shared" si="785"/>
        <v>358932</v>
      </c>
      <c r="IX91" s="285">
        <f t="shared" si="786"/>
        <v>0.70337995123110131</v>
      </c>
      <c r="IY91" s="285">
        <f t="shared" si="787"/>
        <v>0.29662004876889875</v>
      </c>
      <c r="IZ91" s="285">
        <f t="shared" si="788"/>
        <v>0.56327603944707505</v>
      </c>
      <c r="JA91" s="285">
        <f t="shared" si="789"/>
        <v>0.12394243183916905</v>
      </c>
      <c r="JB91" s="285">
        <f t="shared" si="790"/>
        <v>0.45077201619730067</v>
      </c>
      <c r="JC91" s="285">
        <f t="shared" si="791"/>
        <v>0.1890766727368792</v>
      </c>
      <c r="JD91" s="60">
        <f t="shared" si="792"/>
        <v>3834657</v>
      </c>
      <c r="JE91" s="60">
        <f t="shared" si="793"/>
        <v>1682472</v>
      </c>
      <c r="JF91" s="60">
        <f t="shared" si="794"/>
        <v>0</v>
      </c>
      <c r="JG91" s="60">
        <f t="shared" si="795"/>
        <v>156636</v>
      </c>
      <c r="JH91" s="284">
        <f t="shared" si="796"/>
        <v>1</v>
      </c>
      <c r="JI91" s="284">
        <f t="shared" si="797"/>
        <v>1</v>
      </c>
      <c r="JJ91" s="560">
        <f t="shared" si="798"/>
        <v>0.75148287888112886</v>
      </c>
      <c r="JK91" s="561">
        <f t="shared" si="799"/>
        <v>0.49342152815949031</v>
      </c>
      <c r="JL91" s="561">
        <f t="shared" si="800"/>
        <v>0.11064682800289173</v>
      </c>
      <c r="JM91" s="561">
        <f t="shared" si="801"/>
        <v>2.1787773570696996E-2</v>
      </c>
      <c r="JN91" s="561">
        <f t="shared" si="802"/>
        <v>0.30827626879302467</v>
      </c>
      <c r="JO91" s="561">
        <f t="shared" si="803"/>
        <v>0</v>
      </c>
      <c r="JP91" s="561">
        <f t="shared" si="804"/>
        <v>2.0253467027214481E-2</v>
      </c>
      <c r="JQ91" s="561">
        <f t="shared" si="805"/>
        <v>0.95438586555331817</v>
      </c>
      <c r="JR91" s="61">
        <f t="shared" si="806"/>
        <v>44008.555555555555</v>
      </c>
      <c r="JS91" s="61">
        <f t="shared" si="807"/>
        <v>7084.2777777777774</v>
      </c>
      <c r="JT91" s="61">
        <f t="shared" si="808"/>
        <v>30270.5</v>
      </c>
      <c r="JU91" s="61">
        <f t="shared" si="809"/>
        <v>4566.6111111111113</v>
      </c>
      <c r="JV91" s="61">
        <f t="shared" si="810"/>
        <v>4698.2222222222226</v>
      </c>
      <c r="JW91" s="61">
        <f t="shared" si="811"/>
        <v>7685.7222222222226</v>
      </c>
      <c r="JX91" s="61">
        <f t="shared" si="812"/>
        <v>32.771296296296299</v>
      </c>
      <c r="JY91" s="394">
        <f t="shared" si="813"/>
        <v>0.23975693322478461</v>
      </c>
      <c r="JZ91" s="61">
        <f t="shared" si="814"/>
        <v>0</v>
      </c>
      <c r="KA91" s="61">
        <f t="shared" si="815"/>
        <v>0</v>
      </c>
      <c r="KB91" s="61">
        <f t="shared" si="816"/>
        <v>0</v>
      </c>
      <c r="KC91" s="61">
        <f t="shared" si="817"/>
        <v>0</v>
      </c>
      <c r="KD91" s="61">
        <f t="shared" si="818"/>
        <v>0</v>
      </c>
      <c r="KE91" s="61">
        <f t="shared" si="819"/>
        <v>0</v>
      </c>
      <c r="KF91" s="61">
        <f t="shared" si="820"/>
        <v>0</v>
      </c>
      <c r="KG91" s="61">
        <f t="shared" si="821"/>
        <v>0</v>
      </c>
      <c r="KH91" s="61">
        <f t="shared" si="822"/>
        <v>0</v>
      </c>
      <c r="KI91" s="394">
        <f t="shared" si="823"/>
        <v>0</v>
      </c>
      <c r="KJ91" s="438">
        <f t="shared" si="824"/>
        <v>18</v>
      </c>
      <c r="KK91" s="438">
        <f t="shared" si="825"/>
        <v>54000</v>
      </c>
      <c r="KL91" s="438">
        <f t="shared" si="826"/>
        <v>65</v>
      </c>
      <c r="KM91" s="438">
        <f t="shared" si="827"/>
        <v>98313.888888888891</v>
      </c>
      <c r="KN91" s="438">
        <f t="shared" si="828"/>
        <v>32.771296296296299</v>
      </c>
      <c r="KO91" s="438">
        <f t="shared" si="829"/>
        <v>27225.384615384617</v>
      </c>
      <c r="KP91" s="438">
        <f t="shared" si="830"/>
        <v>792154</v>
      </c>
      <c r="KQ91" s="438">
        <f t="shared" si="831"/>
        <v>127517</v>
      </c>
      <c r="KR91" s="438">
        <f t="shared" si="832"/>
        <v>544869</v>
      </c>
      <c r="KS91" s="438">
        <f t="shared" si="833"/>
        <v>82199</v>
      </c>
      <c r="KT91" s="438">
        <f t="shared" si="834"/>
        <v>84568</v>
      </c>
      <c r="KU91" s="438">
        <f t="shared" si="835"/>
        <v>138343</v>
      </c>
      <c r="KV91" s="420">
        <f t="shared" si="836"/>
        <v>0.23975693322478461</v>
      </c>
      <c r="KW91" s="420">
        <f t="shared" si="837"/>
        <v>-0.42541145140230274</v>
      </c>
      <c r="KX91" s="108"/>
      <c r="KY91" s="282">
        <f t="shared" si="838"/>
        <v>0</v>
      </c>
      <c r="KZ91" s="282"/>
      <c r="LA91" s="282">
        <f t="shared" si="839"/>
        <v>0</v>
      </c>
      <c r="LB91" s="282"/>
      <c r="LC91" s="286">
        <f t="shared" si="840"/>
        <v>0</v>
      </c>
      <c r="LD91" s="286"/>
      <c r="LE91" s="282">
        <f t="shared" si="841"/>
        <v>0</v>
      </c>
      <c r="LF91" s="282"/>
      <c r="LG91" s="282">
        <f t="shared" si="842"/>
        <v>0</v>
      </c>
      <c r="LH91" s="282">
        <f t="shared" si="843"/>
        <v>0</v>
      </c>
      <c r="LI91" s="282">
        <f t="shared" si="844"/>
        <v>0</v>
      </c>
      <c r="LJ91" s="282">
        <f t="shared" si="845"/>
        <v>0</v>
      </c>
      <c r="LK91" s="282"/>
      <c r="LL91" s="282">
        <f t="shared" si="846"/>
        <v>0</v>
      </c>
      <c r="LM91" s="282">
        <f t="shared" si="847"/>
        <v>0</v>
      </c>
      <c r="LN91" s="282">
        <f t="shared" si="848"/>
        <v>0</v>
      </c>
      <c r="LO91" s="282">
        <f t="shared" si="849"/>
        <v>0</v>
      </c>
      <c r="LP91" s="286">
        <f t="shared" si="850"/>
        <v>0</v>
      </c>
      <c r="LQ91" s="282">
        <f t="shared" si="851"/>
        <v>0</v>
      </c>
      <c r="LR91" s="282">
        <f t="shared" si="852"/>
        <v>0</v>
      </c>
      <c r="LS91" s="282">
        <f t="shared" si="853"/>
        <v>0</v>
      </c>
      <c r="LT91" s="286">
        <f t="shared" si="854"/>
        <v>0</v>
      </c>
      <c r="LU91" s="286">
        <f t="shared" si="855"/>
        <v>0</v>
      </c>
      <c r="LV91" s="286">
        <f t="shared" si="856"/>
        <v>0</v>
      </c>
      <c r="LW91" s="286">
        <f t="shared" si="857"/>
        <v>0</v>
      </c>
      <c r="LX91" s="286">
        <f t="shared" si="858"/>
        <v>0</v>
      </c>
      <c r="LY91" s="286">
        <f t="shared" si="859"/>
        <v>0</v>
      </c>
      <c r="LZ91" s="286">
        <f t="shared" si="860"/>
        <v>0</v>
      </c>
      <c r="MA91" s="286">
        <f t="shared" si="861"/>
        <v>0</v>
      </c>
      <c r="MB91" s="286">
        <f t="shared" si="862"/>
        <v>0</v>
      </c>
      <c r="MC91" s="286">
        <f t="shared" si="863"/>
        <v>0</v>
      </c>
      <c r="MD91" s="286">
        <f t="shared" si="864"/>
        <v>0</v>
      </c>
      <c r="ME91" s="286">
        <f t="shared" si="865"/>
        <v>0</v>
      </c>
      <c r="MF91" s="286">
        <f t="shared" si="866"/>
        <v>0</v>
      </c>
      <c r="MG91" s="286">
        <f t="shared" si="867"/>
        <v>0</v>
      </c>
      <c r="MH91" s="286">
        <f t="shared" si="868"/>
        <v>0</v>
      </c>
      <c r="MI91" s="286">
        <f t="shared" si="869"/>
        <v>0</v>
      </c>
      <c r="MJ91" s="286">
        <f t="shared" si="870"/>
        <v>0</v>
      </c>
      <c r="MK91" s="286">
        <f t="shared" si="871"/>
        <v>0</v>
      </c>
      <c r="ML91" s="282">
        <f t="shared" si="872"/>
        <v>0</v>
      </c>
      <c r="MM91" s="1232">
        <f t="shared" si="873"/>
        <v>0</v>
      </c>
      <c r="MN91" s="1232">
        <f t="shared" si="874"/>
        <v>0</v>
      </c>
      <c r="MO91" s="1232">
        <f t="shared" si="875"/>
        <v>0</v>
      </c>
      <c r="MP91" s="1232">
        <f t="shared" si="876"/>
        <v>0</v>
      </c>
      <c r="MQ91" s="282">
        <f t="shared" si="877"/>
        <v>0</v>
      </c>
      <c r="MR91" s="282">
        <f t="shared" si="878"/>
        <v>0</v>
      </c>
      <c r="MS91" s="282">
        <f t="shared" si="879"/>
        <v>0</v>
      </c>
      <c r="MT91" s="282">
        <f t="shared" si="880"/>
        <v>0</v>
      </c>
      <c r="MU91" s="282">
        <f t="shared" si="881"/>
        <v>0</v>
      </c>
      <c r="MV91" s="282">
        <f t="shared" si="882"/>
        <v>0</v>
      </c>
      <c r="MW91" s="282">
        <f t="shared" si="883"/>
        <v>0</v>
      </c>
      <c r="MX91" s="282">
        <f t="shared" si="884"/>
        <v>0</v>
      </c>
      <c r="MY91" s="282">
        <f t="shared" si="885"/>
        <v>0</v>
      </c>
      <c r="MZ91" s="282">
        <f t="shared" si="886"/>
        <v>0</v>
      </c>
      <c r="NA91" s="282">
        <f t="shared" si="887"/>
        <v>0</v>
      </c>
      <c r="NB91" s="282">
        <f t="shared" si="888"/>
        <v>0</v>
      </c>
      <c r="NC91" s="282">
        <f t="shared" si="889"/>
        <v>0</v>
      </c>
      <c r="ND91" s="282">
        <f t="shared" si="890"/>
        <v>0</v>
      </c>
      <c r="NE91" s="282">
        <f t="shared" si="891"/>
        <v>0</v>
      </c>
      <c r="NF91" s="282">
        <f t="shared" si="892"/>
        <v>0</v>
      </c>
      <c r="NG91" s="282">
        <f t="shared" si="893"/>
        <v>0</v>
      </c>
      <c r="NH91" s="282">
        <f t="shared" si="894"/>
        <v>0</v>
      </c>
      <c r="NI91" s="282">
        <f t="shared" si="895"/>
        <v>0</v>
      </c>
      <c r="NJ91" s="282">
        <f t="shared" si="896"/>
        <v>0</v>
      </c>
      <c r="NK91" s="282">
        <f t="shared" si="897"/>
        <v>0</v>
      </c>
      <c r="NL91" s="282">
        <f t="shared" si="898"/>
        <v>0</v>
      </c>
      <c r="NM91" s="1205">
        <f t="shared" si="899"/>
        <v>0</v>
      </c>
      <c r="NN91" s="282">
        <f t="shared" si="900"/>
        <v>0</v>
      </c>
      <c r="NO91" s="282">
        <f t="shared" si="901"/>
        <v>0</v>
      </c>
      <c r="NP91" s="282">
        <f t="shared" si="902"/>
        <v>0</v>
      </c>
      <c r="NQ91" s="282">
        <f t="shared" si="903"/>
        <v>0</v>
      </c>
      <c r="NR91" s="282">
        <f t="shared" si="904"/>
        <v>0</v>
      </c>
      <c r="NS91" s="282">
        <f t="shared" si="905"/>
        <v>0</v>
      </c>
      <c r="NT91" s="282">
        <f t="shared" si="906"/>
        <v>0</v>
      </c>
      <c r="NU91" s="282">
        <f t="shared" si="907"/>
        <v>0</v>
      </c>
      <c r="NV91" s="286">
        <f t="shared" si="908"/>
        <v>0</v>
      </c>
      <c r="NW91" s="286">
        <f t="shared" si="909"/>
        <v>0</v>
      </c>
      <c r="NX91" s="286">
        <f t="shared" si="910"/>
        <v>0</v>
      </c>
      <c r="NY91" s="286">
        <f t="shared" si="911"/>
        <v>0</v>
      </c>
      <c r="NZ91" s="286">
        <f t="shared" si="912"/>
        <v>0</v>
      </c>
      <c r="OA91" s="286">
        <f t="shared" si="913"/>
        <v>0</v>
      </c>
      <c r="OB91" s="286">
        <f t="shared" si="914"/>
        <v>0</v>
      </c>
      <c r="OC91" s="286">
        <f t="shared" si="915"/>
        <v>0</v>
      </c>
      <c r="OD91" s="286">
        <f t="shared" si="916"/>
        <v>0</v>
      </c>
      <c r="OE91" s="282">
        <f t="shared" si="917"/>
        <v>0</v>
      </c>
      <c r="OF91" s="282">
        <f t="shared" si="918"/>
        <v>0</v>
      </c>
      <c r="OG91" s="286">
        <f t="shared" si="919"/>
        <v>0</v>
      </c>
      <c r="OH91" s="286">
        <f t="shared" si="920"/>
        <v>0</v>
      </c>
      <c r="OI91" s="286">
        <f t="shared" si="921"/>
        <v>0</v>
      </c>
      <c r="OJ91" s="286">
        <f t="shared" si="922"/>
        <v>0</v>
      </c>
      <c r="OK91" s="286">
        <f t="shared" si="923"/>
        <v>0</v>
      </c>
      <c r="OL91" s="286">
        <f t="shared" si="924"/>
        <v>0</v>
      </c>
      <c r="OM91" s="286">
        <f t="shared" si="925"/>
        <v>0</v>
      </c>
      <c r="ON91" s="286">
        <f t="shared" si="926"/>
        <v>0</v>
      </c>
      <c r="OO91" s="286">
        <f t="shared" si="927"/>
        <v>0</v>
      </c>
      <c r="OP91" s="434">
        <f t="shared" si="928"/>
        <v>0</v>
      </c>
      <c r="OQ91" s="434">
        <f t="shared" si="929"/>
        <v>0</v>
      </c>
      <c r="OR91" s="282">
        <f t="shared" si="930"/>
        <v>0</v>
      </c>
      <c r="OS91" s="282">
        <f t="shared" si="931"/>
        <v>0</v>
      </c>
      <c r="OT91" s="282">
        <f t="shared" si="932"/>
        <v>0</v>
      </c>
      <c r="OU91" s="282">
        <f t="shared" si="933"/>
        <v>0</v>
      </c>
      <c r="OV91" s="282">
        <f t="shared" si="934"/>
        <v>0</v>
      </c>
      <c r="OW91" s="286">
        <f t="shared" si="935"/>
        <v>0</v>
      </c>
      <c r="OX91" s="286">
        <f t="shared" si="936"/>
        <v>0</v>
      </c>
      <c r="OY91" s="286">
        <f t="shared" si="937"/>
        <v>0</v>
      </c>
      <c r="OZ91" s="286">
        <f t="shared" si="938"/>
        <v>0</v>
      </c>
      <c r="PA91" s="286">
        <f t="shared" si="939"/>
        <v>0</v>
      </c>
      <c r="PB91" s="286">
        <f t="shared" si="940"/>
        <v>0</v>
      </c>
      <c r="PC91" s="286">
        <f t="shared" si="941"/>
        <v>0</v>
      </c>
      <c r="PD91" s="282">
        <f t="shared" si="942"/>
        <v>0</v>
      </c>
      <c r="PE91" s="282">
        <f t="shared" si="943"/>
        <v>0</v>
      </c>
      <c r="PF91" s="286">
        <f t="shared" si="944"/>
        <v>0</v>
      </c>
      <c r="PG91" s="286">
        <f t="shared" si="945"/>
        <v>0</v>
      </c>
      <c r="PH91" s="286">
        <f t="shared" si="946"/>
        <v>0</v>
      </c>
      <c r="PI91" s="286">
        <f t="shared" si="947"/>
        <v>0</v>
      </c>
      <c r="PJ91" s="286">
        <f t="shared" si="948"/>
        <v>0</v>
      </c>
      <c r="PK91" s="286">
        <f t="shared" si="949"/>
        <v>0</v>
      </c>
      <c r="PL91" s="286">
        <f t="shared" si="950"/>
        <v>0</v>
      </c>
      <c r="PM91" s="562">
        <v>35</v>
      </c>
      <c r="PO91" s="571"/>
    </row>
    <row r="92" spans="1:431" s="289" customFormat="1" ht="15.75" customHeight="1">
      <c r="A92" s="1040" t="s">
        <v>916</v>
      </c>
      <c r="B92" s="1040" t="str">
        <f>VLOOKUP(A92,'Area (&amp;golfacre for lookup)'!$A$2:$B$162,2,FALSE)</f>
        <v>SE exc BOCA</v>
      </c>
      <c r="C92" s="1936"/>
      <c r="D92" s="1937">
        <v>44834</v>
      </c>
      <c r="E92" s="402"/>
      <c r="F92" s="1936">
        <v>1</v>
      </c>
      <c r="G92" s="1936">
        <v>0</v>
      </c>
      <c r="H92" s="1936">
        <v>332</v>
      </c>
      <c r="I92" s="1936">
        <v>280</v>
      </c>
      <c r="J92" s="1936">
        <v>612</v>
      </c>
      <c r="K92" s="1938">
        <v>483.85064935064935</v>
      </c>
      <c r="L92" s="1939" t="s">
        <v>1208</v>
      </c>
      <c r="M92" s="1939" t="s">
        <v>1208</v>
      </c>
      <c r="N92" s="1939" t="s">
        <v>1208</v>
      </c>
      <c r="O92" s="1939" t="s">
        <v>1208</v>
      </c>
      <c r="P92" s="1939" t="s">
        <v>1208</v>
      </c>
      <c r="Q92" s="1936">
        <v>8500</v>
      </c>
      <c r="R92" s="1936">
        <v>40000</v>
      </c>
      <c r="S92" s="1936">
        <v>48500</v>
      </c>
      <c r="T92" s="1939" t="s">
        <v>1208</v>
      </c>
      <c r="U92" s="1939" t="s">
        <v>1208</v>
      </c>
      <c r="V92" s="1939" t="s">
        <v>1208</v>
      </c>
      <c r="W92" s="1936">
        <v>9960</v>
      </c>
      <c r="X92" s="1936">
        <v>9240</v>
      </c>
      <c r="Y92" s="1939" t="s">
        <v>1208</v>
      </c>
      <c r="Z92" s="1939" t="s">
        <v>1208</v>
      </c>
      <c r="AA92" s="1936">
        <v>720</v>
      </c>
      <c r="AB92" s="1362">
        <v>7.792207792207792E-2</v>
      </c>
      <c r="AC92" s="1939" t="s">
        <v>1208</v>
      </c>
      <c r="AD92" s="1363" t="s">
        <v>1208</v>
      </c>
      <c r="AE92" s="1936">
        <v>0</v>
      </c>
      <c r="AF92" s="1936">
        <v>0</v>
      </c>
      <c r="AG92" s="1939" t="s">
        <v>1208</v>
      </c>
      <c r="AH92" s="1936">
        <v>0</v>
      </c>
      <c r="AI92" s="1936">
        <v>0</v>
      </c>
      <c r="AJ92" s="1939" t="s">
        <v>1208</v>
      </c>
      <c r="AK92" s="1938">
        <v>1</v>
      </c>
      <c r="AL92" s="1938">
        <v>3600</v>
      </c>
      <c r="AM92" s="1936">
        <v>12840</v>
      </c>
      <c r="AN92" s="1939" t="s">
        <v>1208</v>
      </c>
      <c r="AO92" s="1936">
        <v>1200</v>
      </c>
      <c r="AP92" s="1936">
        <v>0</v>
      </c>
      <c r="AQ92" s="1936">
        <v>14040</v>
      </c>
      <c r="AR92" s="1939" t="s">
        <v>1208</v>
      </c>
      <c r="AS92" s="1363" t="s">
        <v>1208</v>
      </c>
      <c r="AT92" s="1363" t="s">
        <v>1208</v>
      </c>
      <c r="AU92" s="1363" t="s">
        <v>1208</v>
      </c>
      <c r="AV92" s="1363" t="s">
        <v>1208</v>
      </c>
      <c r="AW92" s="1363" t="s">
        <v>1291</v>
      </c>
      <c r="AX92" s="1938">
        <v>0</v>
      </c>
      <c r="AY92" s="1938">
        <v>0</v>
      </c>
      <c r="AZ92" s="1938">
        <v>0</v>
      </c>
      <c r="BA92" s="1938">
        <v>0</v>
      </c>
      <c r="BB92" s="1938">
        <v>0</v>
      </c>
      <c r="BC92" s="1938">
        <v>0</v>
      </c>
      <c r="BD92" s="1938">
        <v>0</v>
      </c>
      <c r="BE92" s="1936">
        <v>0</v>
      </c>
      <c r="BF92" s="1936">
        <v>0</v>
      </c>
      <c r="BG92" s="1936">
        <v>720000</v>
      </c>
      <c r="BH92" s="1936">
        <v>720000</v>
      </c>
      <c r="BI92" s="1938">
        <v>9915123</v>
      </c>
      <c r="BJ92" s="1936">
        <v>434858</v>
      </c>
      <c r="BK92" s="1936">
        <v>741227</v>
      </c>
      <c r="BL92" s="1362">
        <v>0.58667317839204458</v>
      </c>
      <c r="BM92" s="1936">
        <v>1</v>
      </c>
      <c r="BN92" s="1936">
        <v>2965556</v>
      </c>
      <c r="BO92" s="1363" t="s">
        <v>1208</v>
      </c>
      <c r="BP92" s="1938">
        <v>1376842</v>
      </c>
      <c r="BQ92" s="1938">
        <v>1366993</v>
      </c>
      <c r="BR92" s="1940">
        <v>1.0072048649846781</v>
      </c>
      <c r="BS92" s="1409">
        <v>1</v>
      </c>
      <c r="BT92" s="1938">
        <v>4030109</v>
      </c>
      <c r="BU92" s="1938">
        <v>10070959</v>
      </c>
      <c r="BV92" s="1940">
        <v>0.40017132429990032</v>
      </c>
      <c r="BW92" s="1936">
        <v>6129.0731013380218</v>
      </c>
      <c r="BX92" s="1936">
        <v>898.74427281145574</v>
      </c>
      <c r="BY92" s="1936">
        <v>1488.0624857407433</v>
      </c>
      <c r="BZ92" s="1936">
        <v>2660499</v>
      </c>
      <c r="CA92" s="1936">
        <v>0</v>
      </c>
      <c r="CB92" s="1936">
        <v>561458</v>
      </c>
      <c r="CC92" s="1936">
        <v>0</v>
      </c>
      <c r="CD92" s="1936">
        <v>4470780</v>
      </c>
      <c r="CE92" s="1936">
        <v>0</v>
      </c>
      <c r="CF92" s="1936">
        <v>0</v>
      </c>
      <c r="CG92" s="1936">
        <v>1009009</v>
      </c>
      <c r="CH92" s="1936">
        <v>744918</v>
      </c>
      <c r="CI92" s="1936">
        <v>72297</v>
      </c>
      <c r="CJ92" s="1936">
        <v>9518961</v>
      </c>
      <c r="CK92" s="1366">
        <v>0.27949468434632729</v>
      </c>
      <c r="CL92" s="1366">
        <v>0</v>
      </c>
      <c r="CM92" s="1366">
        <v>5.8983118010463534E-2</v>
      </c>
      <c r="CN92" s="1366">
        <v>0</v>
      </c>
      <c r="CO92" s="1366">
        <v>0.46967100716139082</v>
      </c>
      <c r="CP92" s="1366">
        <v>0</v>
      </c>
      <c r="CQ92" s="1366">
        <v>0</v>
      </c>
      <c r="CR92" s="1366">
        <v>0.10599990902368442</v>
      </c>
      <c r="CS92" s="1366">
        <v>7.82562298553382E-2</v>
      </c>
      <c r="CT92" s="1366">
        <v>7.595051602795725E-3</v>
      </c>
      <c r="CU92" s="1366">
        <v>1</v>
      </c>
      <c r="CV92" s="1936">
        <v>4524668</v>
      </c>
      <c r="CW92" s="1936">
        <v>855389</v>
      </c>
      <c r="CX92" s="1936">
        <v>393634</v>
      </c>
      <c r="CY92" s="1936">
        <v>3167354</v>
      </c>
      <c r="CZ92" s="1936">
        <v>136710</v>
      </c>
      <c r="DA92" s="1936">
        <v>219931</v>
      </c>
      <c r="DB92" s="1936">
        <v>9297686</v>
      </c>
      <c r="DC92" s="1366">
        <v>0.48664452639076</v>
      </c>
      <c r="DD92" s="1366">
        <v>9.2000203061277833E-2</v>
      </c>
      <c r="DE92" s="1366">
        <v>4.2336770676058538E-2</v>
      </c>
      <c r="DF92" s="1366">
        <v>0.34066046110828008</v>
      </c>
      <c r="DG92" s="1366">
        <v>1.4703658523206741E-2</v>
      </c>
      <c r="DH92" s="1366">
        <v>2.3654380240416811E-2</v>
      </c>
      <c r="DI92" s="1366">
        <v>1</v>
      </c>
      <c r="DJ92" s="1936">
        <v>221275</v>
      </c>
      <c r="DK92" s="1936">
        <v>5498.5954934038355</v>
      </c>
      <c r="DL92" s="1936">
        <v>0</v>
      </c>
      <c r="DM92" s="1936">
        <v>1160.3952598875364</v>
      </c>
      <c r="DN92" s="1936">
        <v>0</v>
      </c>
      <c r="DO92" s="1936">
        <v>9240</v>
      </c>
      <c r="DP92" s="1936">
        <v>0</v>
      </c>
      <c r="DQ92" s="1936">
        <v>0</v>
      </c>
      <c r="DR92" s="1936">
        <v>2085.3728342705299</v>
      </c>
      <c r="DS92" s="1936">
        <v>1539.5618482680875</v>
      </c>
      <c r="DT92" s="1936">
        <v>149.42007434944239</v>
      </c>
      <c r="DU92" s="1936">
        <v>19673.345510179432</v>
      </c>
      <c r="DV92" s="1936">
        <v>9351.3732100438847</v>
      </c>
      <c r="DW92" s="1936">
        <v>1767.8781689101231</v>
      </c>
      <c r="DX92" s="1936">
        <v>813.5444284889885</v>
      </c>
      <c r="DY92" s="1936">
        <v>6546.1398145290086</v>
      </c>
      <c r="DZ92" s="1936">
        <v>282.54586448002362</v>
      </c>
      <c r="EA92" s="1936">
        <v>454.54315354367697</v>
      </c>
      <c r="EB92" s="1936">
        <v>19216.024639995707</v>
      </c>
      <c r="EC92" s="1936">
        <v>457.32087018372636</v>
      </c>
      <c r="ED92" s="1941">
        <v>95</v>
      </c>
      <c r="EE92" s="1936">
        <v>1</v>
      </c>
      <c r="EF92" s="1936">
        <v>2</v>
      </c>
      <c r="EG92" s="1938">
        <v>8000</v>
      </c>
      <c r="EH92" s="1938">
        <v>1</v>
      </c>
      <c r="EI92" s="1368">
        <v>0.14000000000000001</v>
      </c>
      <c r="EJ92" s="1936">
        <v>5.0931647300068352</v>
      </c>
      <c r="EK92" s="1936">
        <v>1</v>
      </c>
      <c r="EL92" s="1936">
        <v>1200</v>
      </c>
      <c r="EM92" s="1936">
        <v>1</v>
      </c>
      <c r="EN92" s="1362">
        <v>0.2</v>
      </c>
      <c r="EO92" s="1936">
        <v>0</v>
      </c>
      <c r="EP92" s="1936">
        <v>0</v>
      </c>
      <c r="EQ92" s="1936">
        <v>0</v>
      </c>
      <c r="ER92" s="1938">
        <v>0</v>
      </c>
      <c r="ES92" s="1936">
        <v>3624.9346825386174</v>
      </c>
      <c r="ET92" s="1936">
        <v>-1080.5545072671882</v>
      </c>
      <c r="EU92" s="1938">
        <v>1</v>
      </c>
      <c r="EV92" s="1936">
        <v>70000</v>
      </c>
      <c r="EW92" s="1936">
        <v>7200</v>
      </c>
      <c r="EX92" s="1938">
        <v>1</v>
      </c>
      <c r="EY92" s="1936">
        <v>1009009</v>
      </c>
      <c r="EZ92" s="1936">
        <v>572885</v>
      </c>
      <c r="FA92" s="1936">
        <v>436124</v>
      </c>
      <c r="FB92" s="1936">
        <v>744918</v>
      </c>
      <c r="FC92" s="1936">
        <v>282504</v>
      </c>
      <c r="FD92" s="1936">
        <v>462414</v>
      </c>
      <c r="FE92" s="1936">
        <v>1753927</v>
      </c>
      <c r="FF92" s="1936">
        <v>855389</v>
      </c>
      <c r="FG92" s="1936">
        <v>898538</v>
      </c>
      <c r="FH92" s="1366">
        <v>1</v>
      </c>
      <c r="FI92" s="1366">
        <v>0.56776996042651751</v>
      </c>
      <c r="FJ92" s="1366">
        <v>0.43223003957348249</v>
      </c>
      <c r="FK92" s="1366">
        <v>1</v>
      </c>
      <c r="FL92" s="1366">
        <v>0.37924174204409078</v>
      </c>
      <c r="FM92" s="1366">
        <v>0.62075825795590922</v>
      </c>
      <c r="FN92" s="1366">
        <v>1</v>
      </c>
      <c r="FO92" s="1366">
        <v>0.48769931701832514</v>
      </c>
      <c r="FP92" s="1366">
        <v>0.51230068298167486</v>
      </c>
      <c r="FQ92" s="1936">
        <v>821621</v>
      </c>
      <c r="FR92" s="1936">
        <v>0</v>
      </c>
      <c r="FS92" s="1936">
        <v>215182</v>
      </c>
      <c r="FT92" s="1936">
        <v>1088</v>
      </c>
      <c r="FU92" s="1936">
        <v>25497</v>
      </c>
      <c r="FV92" s="1936">
        <v>11560</v>
      </c>
      <c r="FW92" s="1936">
        <v>346417</v>
      </c>
      <c r="FX92" s="1936">
        <v>1421365</v>
      </c>
      <c r="FY92" s="1936">
        <v>-522827</v>
      </c>
      <c r="FZ92" s="1366">
        <v>0.46844652029417416</v>
      </c>
      <c r="GA92" s="1366">
        <v>0</v>
      </c>
      <c r="GB92" s="1366">
        <v>0.1226858358415145</v>
      </c>
      <c r="GC92" s="1366">
        <v>6.2032228251232807E-4</v>
      </c>
      <c r="GD92" s="1366">
        <v>1.4537093048912526E-2</v>
      </c>
      <c r="GE92" s="1366">
        <v>6.5909242516934852E-3</v>
      </c>
      <c r="GF92" s="1366">
        <v>0.19750936042378048</v>
      </c>
      <c r="GG92" s="1366">
        <v>0.81039005614258741</v>
      </c>
      <c r="GH92" s="1366">
        <v>-0.29808937316091261</v>
      </c>
      <c r="GI92" s="1942">
        <v>1.3545235851462845</v>
      </c>
      <c r="GJ92" s="1943">
        <v>1</v>
      </c>
      <c r="GK92" s="1371">
        <v>0.05</v>
      </c>
      <c r="GL92" s="1943">
        <v>1</v>
      </c>
      <c r="GM92" s="1371">
        <v>0.03</v>
      </c>
      <c r="GN92" s="1943">
        <v>0</v>
      </c>
      <c r="GO92" s="1985">
        <f>IF(GN92=0,0,VLOOKUP(A92,'Area (&amp;golfacre for lookup)'!$G$2:$H$133,2,FALSE))</f>
        <v>0</v>
      </c>
      <c r="GP92" s="1943">
        <v>0</v>
      </c>
      <c r="GQ92" s="1943">
        <v>0</v>
      </c>
      <c r="GR92" s="1943">
        <v>0</v>
      </c>
      <c r="GS92" s="1943">
        <v>0</v>
      </c>
      <c r="GT92" s="1943">
        <v>0</v>
      </c>
      <c r="GU92" s="1943">
        <v>0</v>
      </c>
      <c r="GV92" s="1943">
        <v>0</v>
      </c>
      <c r="GW92" s="1943">
        <v>0</v>
      </c>
      <c r="GX92" s="1936">
        <v>0</v>
      </c>
      <c r="GY92" s="1985">
        <f t="shared" si="764"/>
        <v>0</v>
      </c>
      <c r="GZ92" s="1936">
        <v>0</v>
      </c>
      <c r="HA92" s="1936">
        <v>0</v>
      </c>
      <c r="HB92" s="1936">
        <v>0</v>
      </c>
      <c r="HC92" s="1936">
        <v>0</v>
      </c>
      <c r="HD92" s="1936">
        <v>0</v>
      </c>
      <c r="HE92" s="1936">
        <v>0</v>
      </c>
      <c r="HF92" s="1936">
        <v>0</v>
      </c>
      <c r="HG92" s="1936">
        <v>36</v>
      </c>
      <c r="HH92" s="1988">
        <f>IF(HG92=0,0,VLOOKUP(A92,'Area (&amp;golfacre for lookup)'!$G$2:$H$134,2,FALSE))</f>
        <v>275</v>
      </c>
      <c r="HI92" s="1936">
        <v>47000</v>
      </c>
      <c r="HJ92" s="1936">
        <v>1414684</v>
      </c>
      <c r="HK92" s="1936">
        <v>319034</v>
      </c>
      <c r="HL92" s="1936">
        <v>788539</v>
      </c>
      <c r="HM92" s="1936">
        <v>332651</v>
      </c>
      <c r="HN92" s="1936">
        <v>75287</v>
      </c>
      <c r="HO92" s="1936">
        <v>276746</v>
      </c>
      <c r="HP92" s="1936">
        <v>3206941</v>
      </c>
      <c r="HQ92" s="1936">
        <v>89081.694444444438</v>
      </c>
      <c r="HR92" s="1988">
        <f t="shared" si="765"/>
        <v>11661.603636363636</v>
      </c>
      <c r="HS92" s="1366">
        <v>0.44113190732227375</v>
      </c>
      <c r="HT92" s="1366">
        <v>9.948234158345913E-2</v>
      </c>
      <c r="HU92" s="1366">
        <v>0.24588509735601621</v>
      </c>
      <c r="HV92" s="1366">
        <v>0.10372844402188877</v>
      </c>
      <c r="HW92" s="1366">
        <v>2.3476266011753882E-2</v>
      </c>
      <c r="HX92" s="1366">
        <v>8.6295943704608219E-2</v>
      </c>
      <c r="HY92" s="1366">
        <v>1</v>
      </c>
      <c r="HZ92" s="51"/>
      <c r="IA92" s="59">
        <f t="shared" si="767"/>
        <v>0.18</v>
      </c>
      <c r="IB92" s="59"/>
      <c r="IC92" s="815">
        <f t="shared" si="768"/>
        <v>1</v>
      </c>
      <c r="ID92" s="815"/>
      <c r="IE92" s="284">
        <f t="shared" si="769"/>
        <v>0</v>
      </c>
      <c r="IF92" s="284"/>
      <c r="IG92" s="284">
        <f t="shared" si="770"/>
        <v>20492.114691396131</v>
      </c>
      <c r="IH92" s="284"/>
      <c r="II92" s="1288">
        <f t="shared" si="771"/>
        <v>1.0072048649846781</v>
      </c>
      <c r="IJ92" s="1288">
        <f t="shared" si="772"/>
        <v>0</v>
      </c>
      <c r="IK92" s="284">
        <f t="shared" si="773"/>
        <v>0</v>
      </c>
      <c r="IL92" s="284">
        <f t="shared" si="774"/>
        <v>0</v>
      </c>
      <c r="IM92" s="284">
        <f t="shared" si="775"/>
        <v>1</v>
      </c>
      <c r="IN92" s="284">
        <f t="shared" si="776"/>
        <v>0</v>
      </c>
      <c r="IO92" s="753">
        <f t="shared" si="777"/>
        <v>-854.29248366013076</v>
      </c>
      <c r="IP92" s="113">
        <f t="shared" si="778"/>
        <v>-1080.5545072671882</v>
      </c>
      <c r="IQ92" s="30">
        <f t="shared" si="779"/>
        <v>-0.11694312849211995</v>
      </c>
      <c r="IR92" s="438">
        <f t="shared" si="780"/>
        <v>1009009</v>
      </c>
      <c r="IS92" s="438">
        <f t="shared" si="781"/>
        <v>744918</v>
      </c>
      <c r="IT92" s="438">
        <f t="shared" si="782"/>
        <v>821621</v>
      </c>
      <c r="IU92" s="438">
        <f t="shared" si="783"/>
        <v>216270</v>
      </c>
      <c r="IV92" s="438">
        <f t="shared" si="784"/>
        <v>855389</v>
      </c>
      <c r="IW92" s="438">
        <f t="shared" si="785"/>
        <v>383474</v>
      </c>
      <c r="IX92" s="285">
        <f t="shared" si="786"/>
        <v>0.57528563047378822</v>
      </c>
      <c r="IY92" s="285">
        <f t="shared" si="787"/>
        <v>0.42471436952621178</v>
      </c>
      <c r="IZ92" s="285">
        <f t="shared" si="788"/>
        <v>0.46844652029417416</v>
      </c>
      <c r="JA92" s="285">
        <f t="shared" si="789"/>
        <v>0.12330615812402683</v>
      </c>
      <c r="JB92" s="285">
        <f t="shared" si="790"/>
        <v>0.48769931701832514</v>
      </c>
      <c r="JC92" s="285">
        <f t="shared" si="791"/>
        <v>0.21863737772438649</v>
      </c>
      <c r="JD92" s="60">
        <f t="shared" si="792"/>
        <v>4470780</v>
      </c>
      <c r="JE92" s="60">
        <f t="shared" si="793"/>
        <v>3221957</v>
      </c>
      <c r="JF92" s="60">
        <f t="shared" si="794"/>
        <v>0</v>
      </c>
      <c r="JG92" s="60">
        <f t="shared" si="795"/>
        <v>356641</v>
      </c>
      <c r="JH92" s="284">
        <f t="shared" si="796"/>
        <v>1</v>
      </c>
      <c r="JI92" s="284">
        <f t="shared" si="797"/>
        <v>1</v>
      </c>
      <c r="JJ92" s="560">
        <f t="shared" si="798"/>
        <v>0.70109251270798523</v>
      </c>
      <c r="JK92" s="561">
        <f t="shared" si="799"/>
        <v>0.47533212921032031</v>
      </c>
      <c r="JL92" s="561">
        <f t="shared" si="800"/>
        <v>8.9861593087733005E-2</v>
      </c>
      <c r="JM92" s="561">
        <f t="shared" si="801"/>
        <v>4.1352622413307505E-2</v>
      </c>
      <c r="JN92" s="561">
        <f t="shared" si="802"/>
        <v>0.33274156706808655</v>
      </c>
      <c r="JO92" s="561">
        <f t="shared" si="803"/>
        <v>1.4361861551906769E-2</v>
      </c>
      <c r="JP92" s="561">
        <f t="shared" si="804"/>
        <v>2.3104517394282844E-2</v>
      </c>
      <c r="JQ92" s="561">
        <f t="shared" si="805"/>
        <v>0.97675429072563702</v>
      </c>
      <c r="JR92" s="61">
        <f t="shared" si="806"/>
        <v>0</v>
      </c>
      <c r="JS92" s="61">
        <f t="shared" si="807"/>
        <v>0</v>
      </c>
      <c r="JT92" s="61">
        <f t="shared" si="808"/>
        <v>0</v>
      </c>
      <c r="JU92" s="61">
        <f t="shared" si="809"/>
        <v>0</v>
      </c>
      <c r="JV92" s="61">
        <f t="shared" si="810"/>
        <v>0</v>
      </c>
      <c r="JW92" s="61">
        <f t="shared" si="811"/>
        <v>0</v>
      </c>
      <c r="JX92" s="61">
        <f t="shared" si="812"/>
        <v>0</v>
      </c>
      <c r="JY92" s="394">
        <f t="shared" si="813"/>
        <v>0</v>
      </c>
      <c r="JZ92" s="61">
        <f t="shared" si="814"/>
        <v>39296.777777777781</v>
      </c>
      <c r="KA92" s="61">
        <f t="shared" si="815"/>
        <v>8862.0555555555547</v>
      </c>
      <c r="KB92" s="61">
        <f t="shared" si="816"/>
        <v>21903.861111111109</v>
      </c>
      <c r="KC92" s="61">
        <f t="shared" si="817"/>
        <v>9240.3055555555547</v>
      </c>
      <c r="KD92" s="61">
        <f t="shared" si="818"/>
        <v>2091.3055555555557</v>
      </c>
      <c r="KE92" s="61">
        <f t="shared" si="819"/>
        <v>7687.3888888888887</v>
      </c>
      <c r="KF92" s="61">
        <f t="shared" si="820"/>
        <v>23500</v>
      </c>
      <c r="KG92" s="61">
        <f t="shared" si="821"/>
        <v>275</v>
      </c>
      <c r="KH92" s="61">
        <f t="shared" si="822"/>
        <v>68.232787234042547</v>
      </c>
      <c r="KI92" s="394">
        <f t="shared" si="823"/>
        <v>0.3449181871704422</v>
      </c>
      <c r="KJ92" s="438">
        <f t="shared" si="824"/>
        <v>36</v>
      </c>
      <c r="KK92" s="438">
        <f t="shared" si="825"/>
        <v>47000</v>
      </c>
      <c r="KL92" s="438">
        <f t="shared" si="826"/>
        <v>275</v>
      </c>
      <c r="KM92" s="438">
        <f t="shared" si="827"/>
        <v>89081.694444444438</v>
      </c>
      <c r="KN92" s="438">
        <f t="shared" si="828"/>
        <v>68.232787234042547</v>
      </c>
      <c r="KO92" s="438">
        <f t="shared" si="829"/>
        <v>11661.603636363636</v>
      </c>
      <c r="KP92" s="438">
        <f t="shared" si="830"/>
        <v>1414684</v>
      </c>
      <c r="KQ92" s="438">
        <f t="shared" si="831"/>
        <v>319034</v>
      </c>
      <c r="KR92" s="438">
        <f t="shared" si="832"/>
        <v>788539</v>
      </c>
      <c r="KS92" s="438">
        <f t="shared" si="833"/>
        <v>332651</v>
      </c>
      <c r="KT92" s="438">
        <f t="shared" si="834"/>
        <v>75287</v>
      </c>
      <c r="KU92" s="438">
        <f t="shared" si="835"/>
        <v>276746</v>
      </c>
      <c r="KV92" s="420">
        <f t="shared" si="836"/>
        <v>0.3449181871704422</v>
      </c>
      <c r="KW92" s="420">
        <f t="shared" si="837"/>
        <v>-0.65541024161332029</v>
      </c>
      <c r="KX92" s="108"/>
      <c r="KY92" s="282">
        <f t="shared" si="838"/>
        <v>0</v>
      </c>
      <c r="KZ92" s="282"/>
      <c r="LA92" s="282">
        <f t="shared" si="839"/>
        <v>0</v>
      </c>
      <c r="LB92" s="282"/>
      <c r="LC92" s="286">
        <f t="shared" si="840"/>
        <v>0</v>
      </c>
      <c r="LD92" s="286"/>
      <c r="LE92" s="282">
        <f t="shared" si="841"/>
        <v>0</v>
      </c>
      <c r="LF92" s="282"/>
      <c r="LG92" s="282">
        <f t="shared" si="842"/>
        <v>0</v>
      </c>
      <c r="LH92" s="282">
        <f t="shared" si="843"/>
        <v>0</v>
      </c>
      <c r="LI92" s="282">
        <f t="shared" si="844"/>
        <v>0</v>
      </c>
      <c r="LJ92" s="282">
        <f t="shared" si="845"/>
        <v>0</v>
      </c>
      <c r="LK92" s="282"/>
      <c r="LL92" s="282">
        <f t="shared" si="846"/>
        <v>0</v>
      </c>
      <c r="LM92" s="282">
        <f t="shared" si="847"/>
        <v>0</v>
      </c>
      <c r="LN92" s="282">
        <f t="shared" si="848"/>
        <v>0</v>
      </c>
      <c r="LO92" s="282">
        <f t="shared" si="849"/>
        <v>0</v>
      </c>
      <c r="LP92" s="286">
        <f t="shared" si="850"/>
        <v>0</v>
      </c>
      <c r="LQ92" s="282">
        <f t="shared" si="851"/>
        <v>0</v>
      </c>
      <c r="LR92" s="282">
        <f t="shared" si="852"/>
        <v>0</v>
      </c>
      <c r="LS92" s="282">
        <f t="shared" si="853"/>
        <v>0</v>
      </c>
      <c r="LT92" s="286">
        <f t="shared" si="854"/>
        <v>0</v>
      </c>
      <c r="LU92" s="286">
        <f t="shared" si="855"/>
        <v>0</v>
      </c>
      <c r="LV92" s="286">
        <f t="shared" si="856"/>
        <v>0</v>
      </c>
      <c r="LW92" s="286">
        <f t="shared" si="857"/>
        <v>0</v>
      </c>
      <c r="LX92" s="286">
        <f t="shared" si="858"/>
        <v>0</v>
      </c>
      <c r="LY92" s="286">
        <f t="shared" si="859"/>
        <v>0</v>
      </c>
      <c r="LZ92" s="286">
        <f t="shared" si="860"/>
        <v>0</v>
      </c>
      <c r="MA92" s="286">
        <f t="shared" si="861"/>
        <v>0</v>
      </c>
      <c r="MB92" s="286">
        <f t="shared" si="862"/>
        <v>0</v>
      </c>
      <c r="MC92" s="286">
        <f t="shared" si="863"/>
        <v>0</v>
      </c>
      <c r="MD92" s="286">
        <f t="shared" si="864"/>
        <v>0</v>
      </c>
      <c r="ME92" s="286">
        <f t="shared" si="865"/>
        <v>0</v>
      </c>
      <c r="MF92" s="286">
        <f t="shared" si="866"/>
        <v>0</v>
      </c>
      <c r="MG92" s="286">
        <f t="shared" si="867"/>
        <v>0</v>
      </c>
      <c r="MH92" s="286">
        <f t="shared" si="868"/>
        <v>0</v>
      </c>
      <c r="MI92" s="286">
        <f t="shared" si="869"/>
        <v>0</v>
      </c>
      <c r="MJ92" s="286">
        <f t="shared" si="870"/>
        <v>0</v>
      </c>
      <c r="MK92" s="286">
        <f t="shared" si="871"/>
        <v>0</v>
      </c>
      <c r="ML92" s="282">
        <f t="shared" si="872"/>
        <v>0</v>
      </c>
      <c r="MM92" s="1232">
        <f t="shared" si="873"/>
        <v>0</v>
      </c>
      <c r="MN92" s="1232">
        <f t="shared" si="874"/>
        <v>0</v>
      </c>
      <c r="MO92" s="1232">
        <f t="shared" si="875"/>
        <v>0</v>
      </c>
      <c r="MP92" s="1232">
        <f t="shared" si="876"/>
        <v>0</v>
      </c>
      <c r="MQ92" s="282">
        <f t="shared" si="877"/>
        <v>0</v>
      </c>
      <c r="MR92" s="282">
        <f t="shared" si="878"/>
        <v>0</v>
      </c>
      <c r="MS92" s="282">
        <f t="shared" si="879"/>
        <v>0</v>
      </c>
      <c r="MT92" s="282">
        <f t="shared" si="880"/>
        <v>0</v>
      </c>
      <c r="MU92" s="282">
        <f t="shared" si="881"/>
        <v>0</v>
      </c>
      <c r="MV92" s="282">
        <f t="shared" si="882"/>
        <v>0</v>
      </c>
      <c r="MW92" s="282">
        <f t="shared" si="883"/>
        <v>0</v>
      </c>
      <c r="MX92" s="282">
        <f t="shared" si="884"/>
        <v>0</v>
      </c>
      <c r="MY92" s="282">
        <f t="shared" si="885"/>
        <v>0</v>
      </c>
      <c r="MZ92" s="282">
        <f t="shared" si="886"/>
        <v>0</v>
      </c>
      <c r="NA92" s="282">
        <f t="shared" si="887"/>
        <v>0</v>
      </c>
      <c r="NB92" s="282">
        <f t="shared" si="888"/>
        <v>0</v>
      </c>
      <c r="NC92" s="282">
        <f t="shared" si="889"/>
        <v>0</v>
      </c>
      <c r="ND92" s="282">
        <f t="shared" si="890"/>
        <v>0</v>
      </c>
      <c r="NE92" s="282">
        <f t="shared" si="891"/>
        <v>0</v>
      </c>
      <c r="NF92" s="282">
        <f t="shared" si="892"/>
        <v>0</v>
      </c>
      <c r="NG92" s="282">
        <f t="shared" si="893"/>
        <v>0</v>
      </c>
      <c r="NH92" s="282">
        <f t="shared" si="894"/>
        <v>0</v>
      </c>
      <c r="NI92" s="282">
        <f t="shared" si="895"/>
        <v>0</v>
      </c>
      <c r="NJ92" s="282">
        <f t="shared" si="896"/>
        <v>0</v>
      </c>
      <c r="NK92" s="282">
        <f t="shared" si="897"/>
        <v>0</v>
      </c>
      <c r="NL92" s="282">
        <f t="shared" si="898"/>
        <v>0</v>
      </c>
      <c r="NM92" s="1205">
        <f t="shared" si="899"/>
        <v>0</v>
      </c>
      <c r="NN92" s="282">
        <f t="shared" si="900"/>
        <v>0</v>
      </c>
      <c r="NO92" s="282">
        <f t="shared" si="901"/>
        <v>0</v>
      </c>
      <c r="NP92" s="282">
        <f t="shared" si="902"/>
        <v>0</v>
      </c>
      <c r="NQ92" s="282">
        <f t="shared" si="903"/>
        <v>0</v>
      </c>
      <c r="NR92" s="282">
        <f t="shared" si="904"/>
        <v>0</v>
      </c>
      <c r="NS92" s="282">
        <f t="shared" si="905"/>
        <v>0</v>
      </c>
      <c r="NT92" s="282">
        <f t="shared" si="906"/>
        <v>0</v>
      </c>
      <c r="NU92" s="282">
        <f t="shared" si="907"/>
        <v>0</v>
      </c>
      <c r="NV92" s="286">
        <f t="shared" si="908"/>
        <v>0</v>
      </c>
      <c r="NW92" s="286">
        <f t="shared" si="909"/>
        <v>0</v>
      </c>
      <c r="NX92" s="286">
        <f t="shared" si="910"/>
        <v>0</v>
      </c>
      <c r="NY92" s="286">
        <f t="shared" si="911"/>
        <v>0</v>
      </c>
      <c r="NZ92" s="286">
        <f t="shared" si="912"/>
        <v>0</v>
      </c>
      <c r="OA92" s="286">
        <f t="shared" si="913"/>
        <v>0</v>
      </c>
      <c r="OB92" s="286">
        <f t="shared" si="914"/>
        <v>0</v>
      </c>
      <c r="OC92" s="286">
        <f t="shared" si="915"/>
        <v>0</v>
      </c>
      <c r="OD92" s="286">
        <f t="shared" si="916"/>
        <v>0</v>
      </c>
      <c r="OE92" s="282">
        <f t="shared" si="917"/>
        <v>0</v>
      </c>
      <c r="OF92" s="282">
        <f t="shared" si="918"/>
        <v>0</v>
      </c>
      <c r="OG92" s="286">
        <f t="shared" si="919"/>
        <v>0</v>
      </c>
      <c r="OH92" s="286">
        <f t="shared" si="920"/>
        <v>0</v>
      </c>
      <c r="OI92" s="286">
        <f t="shared" si="921"/>
        <v>0</v>
      </c>
      <c r="OJ92" s="286">
        <f t="shared" si="922"/>
        <v>0</v>
      </c>
      <c r="OK92" s="286">
        <f t="shared" si="923"/>
        <v>0</v>
      </c>
      <c r="OL92" s="286">
        <f t="shared" si="924"/>
        <v>0</v>
      </c>
      <c r="OM92" s="286">
        <f t="shared" si="925"/>
        <v>0</v>
      </c>
      <c r="ON92" s="286">
        <f t="shared" si="926"/>
        <v>0</v>
      </c>
      <c r="OO92" s="286">
        <f t="shared" si="927"/>
        <v>0</v>
      </c>
      <c r="OP92" s="434">
        <f t="shared" si="928"/>
        <v>0</v>
      </c>
      <c r="OQ92" s="434">
        <f t="shared" si="929"/>
        <v>0</v>
      </c>
      <c r="OR92" s="282">
        <f t="shared" si="930"/>
        <v>0</v>
      </c>
      <c r="OS92" s="282">
        <f t="shared" si="931"/>
        <v>0</v>
      </c>
      <c r="OT92" s="282">
        <f t="shared" si="932"/>
        <v>0</v>
      </c>
      <c r="OU92" s="282">
        <f t="shared" si="933"/>
        <v>0</v>
      </c>
      <c r="OV92" s="282">
        <f t="shared" si="934"/>
        <v>0</v>
      </c>
      <c r="OW92" s="286">
        <f t="shared" si="935"/>
        <v>0</v>
      </c>
      <c r="OX92" s="286">
        <f t="shared" si="936"/>
        <v>0</v>
      </c>
      <c r="OY92" s="286">
        <f t="shared" si="937"/>
        <v>0</v>
      </c>
      <c r="OZ92" s="286">
        <f t="shared" si="938"/>
        <v>0</v>
      </c>
      <c r="PA92" s="286">
        <f t="shared" si="939"/>
        <v>0</v>
      </c>
      <c r="PB92" s="286">
        <f t="shared" si="940"/>
        <v>0</v>
      </c>
      <c r="PC92" s="286">
        <f t="shared" si="941"/>
        <v>0</v>
      </c>
      <c r="PD92" s="282">
        <f t="shared" si="942"/>
        <v>0</v>
      </c>
      <c r="PE92" s="282">
        <f t="shared" si="943"/>
        <v>0</v>
      </c>
      <c r="PF92" s="286">
        <f t="shared" si="944"/>
        <v>0</v>
      </c>
      <c r="PG92" s="286">
        <f t="shared" si="945"/>
        <v>0</v>
      </c>
      <c r="PH92" s="286">
        <f t="shared" si="946"/>
        <v>0</v>
      </c>
      <c r="PI92" s="286">
        <f t="shared" si="947"/>
        <v>0</v>
      </c>
      <c r="PJ92" s="286">
        <f t="shared" si="948"/>
        <v>0</v>
      </c>
      <c r="PK92" s="286">
        <f t="shared" si="949"/>
        <v>0</v>
      </c>
      <c r="PL92" s="286">
        <f t="shared" si="950"/>
        <v>0</v>
      </c>
      <c r="PM92" s="562">
        <v>36</v>
      </c>
      <c r="PO92" s="571"/>
    </row>
    <row r="93" spans="1:431" s="289" customFormat="1" ht="15.75" customHeight="1">
      <c r="A93" s="1935" t="s">
        <v>1194</v>
      </c>
      <c r="B93" s="1040" t="str">
        <f>VLOOKUP(A93,'Area (&amp;golfacre for lookup)'!$A$2:$B$162,2,FALSE)</f>
        <v>SW CIRA</v>
      </c>
      <c r="C93" s="1936"/>
      <c r="D93" s="1937">
        <v>44834</v>
      </c>
      <c r="E93" s="402"/>
      <c r="F93" s="1936">
        <v>0</v>
      </c>
      <c r="G93" s="1936">
        <v>1</v>
      </c>
      <c r="H93" s="1936">
        <v>931</v>
      </c>
      <c r="I93" s="1936">
        <v>0</v>
      </c>
      <c r="J93" s="1936">
        <v>931</v>
      </c>
      <c r="K93" s="1938">
        <v>931</v>
      </c>
      <c r="L93" s="1939" t="s">
        <v>1208</v>
      </c>
      <c r="M93" s="1939" t="s">
        <v>1208</v>
      </c>
      <c r="N93" s="1939" t="s">
        <v>1208</v>
      </c>
      <c r="O93" s="1939" t="s">
        <v>1208</v>
      </c>
      <c r="P93" s="1939" t="s">
        <v>1208</v>
      </c>
      <c r="Q93" s="1936">
        <v>0</v>
      </c>
      <c r="R93" s="1979">
        <v>6250</v>
      </c>
      <c r="S93" s="1979">
        <v>6250</v>
      </c>
      <c r="T93" s="1939" t="s">
        <v>1208</v>
      </c>
      <c r="U93" s="1939" t="s">
        <v>1208</v>
      </c>
      <c r="V93" s="1939" t="s">
        <v>1208</v>
      </c>
      <c r="W93" s="1936">
        <v>5040</v>
      </c>
      <c r="X93" s="1936">
        <v>4800</v>
      </c>
      <c r="Y93" s="1939" t="s">
        <v>1208</v>
      </c>
      <c r="Z93" s="1939" t="s">
        <v>1208</v>
      </c>
      <c r="AA93" s="1936">
        <v>240</v>
      </c>
      <c r="AB93" s="1362">
        <v>0.05</v>
      </c>
      <c r="AC93" s="1939" t="s">
        <v>1208</v>
      </c>
      <c r="AD93" s="1363" t="s">
        <v>1208</v>
      </c>
      <c r="AE93" s="1936">
        <v>0</v>
      </c>
      <c r="AF93" s="1936">
        <v>0</v>
      </c>
      <c r="AG93" s="1939" t="s">
        <v>1208</v>
      </c>
      <c r="AH93" s="1936">
        <v>0</v>
      </c>
      <c r="AI93" s="1936">
        <v>0</v>
      </c>
      <c r="AJ93" s="1939" t="s">
        <v>1208</v>
      </c>
      <c r="AK93" s="1938">
        <v>0</v>
      </c>
      <c r="AL93" s="1938">
        <v>0</v>
      </c>
      <c r="AM93" s="1936">
        <v>4800</v>
      </c>
      <c r="AN93" s="1939" t="s">
        <v>1208</v>
      </c>
      <c r="AO93" s="1936">
        <v>0</v>
      </c>
      <c r="AP93" s="1936">
        <v>0</v>
      </c>
      <c r="AQ93" s="1936">
        <v>4800</v>
      </c>
      <c r="AR93" s="1939" t="s">
        <v>1208</v>
      </c>
      <c r="AS93" s="1363" t="s">
        <v>1208</v>
      </c>
      <c r="AT93" s="1363" t="s">
        <v>1208</v>
      </c>
      <c r="AU93" s="1363" t="s">
        <v>1208</v>
      </c>
      <c r="AV93" s="1363" t="s">
        <v>1208</v>
      </c>
      <c r="AW93" s="1363" t="s">
        <v>1291</v>
      </c>
      <c r="AX93" s="1938">
        <v>1</v>
      </c>
      <c r="AY93" s="1938">
        <v>1</v>
      </c>
      <c r="AZ93" s="1938">
        <v>0</v>
      </c>
      <c r="BA93" s="1938">
        <v>0</v>
      </c>
      <c r="BB93" s="1938">
        <v>0</v>
      </c>
      <c r="BC93" s="1938">
        <v>0</v>
      </c>
      <c r="BD93" s="1938">
        <v>0</v>
      </c>
      <c r="BE93" s="1936">
        <v>1</v>
      </c>
      <c r="BF93" s="1936">
        <v>9738020</v>
      </c>
      <c r="BG93" s="1936">
        <v>456530</v>
      </c>
      <c r="BH93" s="1936">
        <v>10194550</v>
      </c>
      <c r="BI93" s="1938">
        <v>19244487</v>
      </c>
      <c r="BJ93" s="1936">
        <v>1277321</v>
      </c>
      <c r="BK93" s="1936">
        <v>1127719</v>
      </c>
      <c r="BL93" s="1362">
        <v>1.1326589336527983</v>
      </c>
      <c r="BM93" s="1936">
        <v>1</v>
      </c>
      <c r="BN93" s="1936">
        <v>5773132</v>
      </c>
      <c r="BO93" s="1363" t="s">
        <v>1208</v>
      </c>
      <c r="BP93" s="1938">
        <v>14817671</v>
      </c>
      <c r="BQ93" s="1938">
        <v>3486073</v>
      </c>
      <c r="BR93" s="1940">
        <v>4.2505337667914587</v>
      </c>
      <c r="BS93" s="1409">
        <v>1</v>
      </c>
      <c r="BT93" s="1938">
        <v>8722718</v>
      </c>
      <c r="BU93" s="1938">
        <v>25761770</v>
      </c>
      <c r="BV93" s="1940">
        <v>0.33859156416659258</v>
      </c>
      <c r="BW93" s="1936">
        <v>6201.0010741138558</v>
      </c>
      <c r="BX93" s="1936">
        <v>1371.9881847475833</v>
      </c>
      <c r="BY93" s="1936">
        <v>10950.107411385607</v>
      </c>
      <c r="BZ93" s="1936">
        <v>1439938</v>
      </c>
      <c r="CA93" s="1936">
        <v>0</v>
      </c>
      <c r="CB93" s="1936">
        <v>278036</v>
      </c>
      <c r="CC93" s="1936">
        <v>0</v>
      </c>
      <c r="CD93" s="1936">
        <v>4468800</v>
      </c>
      <c r="CE93" s="1936">
        <v>0</v>
      </c>
      <c r="CF93" s="1936">
        <v>0</v>
      </c>
      <c r="CG93" s="1936">
        <v>699319</v>
      </c>
      <c r="CH93" s="1936">
        <v>438092</v>
      </c>
      <c r="CI93" s="1936">
        <v>379870</v>
      </c>
      <c r="CJ93" s="1936">
        <v>7704055</v>
      </c>
      <c r="CK93" s="1366">
        <v>0.18690650572977477</v>
      </c>
      <c r="CL93" s="1366">
        <v>0</v>
      </c>
      <c r="CM93" s="1366">
        <v>3.6089565819558661E-2</v>
      </c>
      <c r="CN93" s="1366">
        <v>0</v>
      </c>
      <c r="CO93" s="1366">
        <v>0.58005816417458078</v>
      </c>
      <c r="CP93" s="1366">
        <v>0</v>
      </c>
      <c r="CQ93" s="1366">
        <v>0</v>
      </c>
      <c r="CR93" s="1366">
        <v>9.077284624785259E-2</v>
      </c>
      <c r="CS93" s="1366">
        <v>5.6865118434382932E-2</v>
      </c>
      <c r="CT93" s="1366">
        <v>4.9307799593850253E-2</v>
      </c>
      <c r="CU93" s="1366">
        <v>1</v>
      </c>
      <c r="CV93" s="1936">
        <v>4021004</v>
      </c>
      <c r="CW93" s="1936">
        <v>463913</v>
      </c>
      <c r="CX93" s="1936">
        <v>185692</v>
      </c>
      <c r="CY93" s="1936">
        <v>2523649</v>
      </c>
      <c r="CZ93" s="1936">
        <v>0</v>
      </c>
      <c r="DA93" s="1936">
        <v>191359</v>
      </c>
      <c r="DB93" s="1936">
        <v>7385617</v>
      </c>
      <c r="DC93" s="1366">
        <v>0.54443711337861145</v>
      </c>
      <c r="DD93" s="1366">
        <v>6.2813032411510095E-2</v>
      </c>
      <c r="DE93" s="1366">
        <v>2.5142381469280089E-2</v>
      </c>
      <c r="DF93" s="1366">
        <v>0.34169778909466875</v>
      </c>
      <c r="DG93" s="1366">
        <v>0</v>
      </c>
      <c r="DH93" s="1366">
        <v>2.5909683645929649E-2</v>
      </c>
      <c r="DI93" s="1366">
        <v>1</v>
      </c>
      <c r="DJ93" s="1936">
        <v>318438</v>
      </c>
      <c r="DK93" s="1936">
        <v>1546.657357679914</v>
      </c>
      <c r="DL93" s="1936">
        <v>0</v>
      </c>
      <c r="DM93" s="1936">
        <v>298.6423200859291</v>
      </c>
      <c r="DN93" s="1936">
        <v>0</v>
      </c>
      <c r="DO93" s="1936">
        <v>4800</v>
      </c>
      <c r="DP93" s="1936">
        <v>0</v>
      </c>
      <c r="DQ93" s="1936">
        <v>0</v>
      </c>
      <c r="DR93" s="1936">
        <v>751.14822771213744</v>
      </c>
      <c r="DS93" s="1936">
        <v>470.56068743286789</v>
      </c>
      <c r="DT93" s="1936">
        <v>408.02363050483353</v>
      </c>
      <c r="DU93" s="1936">
        <v>8275.0322234156829</v>
      </c>
      <c r="DV93" s="1936">
        <v>4319.0161117078414</v>
      </c>
      <c r="DW93" s="1936">
        <v>498.29538131041892</v>
      </c>
      <c r="DX93" s="1936">
        <v>199.45435016111708</v>
      </c>
      <c r="DY93" s="1936">
        <v>2710.6863587540279</v>
      </c>
      <c r="DZ93" s="1936">
        <v>0</v>
      </c>
      <c r="EA93" s="1936">
        <v>205.54135338345864</v>
      </c>
      <c r="EB93" s="1936">
        <v>7932.9935553168634</v>
      </c>
      <c r="EC93" s="1936">
        <v>342.03866809881845</v>
      </c>
      <c r="ED93" s="1941">
        <v>90</v>
      </c>
      <c r="EE93" s="1936">
        <v>0</v>
      </c>
      <c r="EF93" s="1936">
        <v>0</v>
      </c>
      <c r="EG93" s="1938">
        <v>0</v>
      </c>
      <c r="EH93" s="1938">
        <v>1</v>
      </c>
      <c r="EI93" s="1368">
        <v>0.01</v>
      </c>
      <c r="EJ93" s="1936">
        <v>10.344444444444445</v>
      </c>
      <c r="EK93" s="1936">
        <v>0</v>
      </c>
      <c r="EL93" s="1936">
        <v>0</v>
      </c>
      <c r="EM93" s="1936">
        <v>1</v>
      </c>
      <c r="EN93" s="1362">
        <v>0.18</v>
      </c>
      <c r="EO93" s="1936">
        <v>0</v>
      </c>
      <c r="EP93" s="1936">
        <v>0</v>
      </c>
      <c r="EQ93" s="1936">
        <v>0</v>
      </c>
      <c r="ER93" s="1938">
        <v>0</v>
      </c>
      <c r="ES93" s="1936">
        <v>1221.7089151450054</v>
      </c>
      <c r="ET93" s="1936">
        <v>-636.27067669172936</v>
      </c>
      <c r="EU93" s="1938">
        <v>1</v>
      </c>
      <c r="EV93" s="1936">
        <v>41946</v>
      </c>
      <c r="EW93" s="1936">
        <v>8726</v>
      </c>
      <c r="EX93" s="1938">
        <v>1</v>
      </c>
      <c r="EY93" s="1936">
        <v>699319</v>
      </c>
      <c r="EZ93" s="1936">
        <v>349820</v>
      </c>
      <c r="FA93" s="1936">
        <v>349499</v>
      </c>
      <c r="FB93" s="1936">
        <v>438092</v>
      </c>
      <c r="FC93" s="1936">
        <v>114093</v>
      </c>
      <c r="FD93" s="1936">
        <v>323999</v>
      </c>
      <c r="FE93" s="1936">
        <v>1137411</v>
      </c>
      <c r="FF93" s="1936">
        <v>463913</v>
      </c>
      <c r="FG93" s="1936">
        <v>673498</v>
      </c>
      <c r="FH93" s="1366">
        <v>1</v>
      </c>
      <c r="FI93" s="1366">
        <v>0.50022950899374963</v>
      </c>
      <c r="FJ93" s="1366">
        <v>0.49977049100625037</v>
      </c>
      <c r="FK93" s="1366">
        <v>1</v>
      </c>
      <c r="FL93" s="1366">
        <v>0.26043159884225231</v>
      </c>
      <c r="FM93" s="1366">
        <v>0.73956840115774769</v>
      </c>
      <c r="FN93" s="1366">
        <v>1</v>
      </c>
      <c r="FO93" s="1366">
        <v>0.40786751666723814</v>
      </c>
      <c r="FP93" s="1366">
        <v>0.59213248333276181</v>
      </c>
      <c r="FQ93" s="1936">
        <v>768820</v>
      </c>
      <c r="FR93" s="1936">
        <v>0</v>
      </c>
      <c r="FS93" s="1936">
        <v>245053</v>
      </c>
      <c r="FT93" s="1936">
        <v>31538</v>
      </c>
      <c r="FU93" s="1936">
        <v>7399</v>
      </c>
      <c r="FV93" s="1936">
        <v>25207</v>
      </c>
      <c r="FW93" s="1936">
        <v>187849</v>
      </c>
      <c r="FX93" s="1936">
        <v>1265866</v>
      </c>
      <c r="FY93" s="1936">
        <v>-592368</v>
      </c>
      <c r="FZ93" s="1366">
        <v>0.67593860091031299</v>
      </c>
      <c r="GA93" s="1366">
        <v>0</v>
      </c>
      <c r="GB93" s="1366">
        <v>0.21544806582668885</v>
      </c>
      <c r="GC93" s="1366">
        <v>2.7727883764092312E-2</v>
      </c>
      <c r="GD93" s="1366">
        <v>6.5051243569826563E-3</v>
      </c>
      <c r="GE93" s="1366">
        <v>2.2161733973031734E-2</v>
      </c>
      <c r="GF93" s="1366">
        <v>0.16515490003173874</v>
      </c>
      <c r="GG93" s="1366">
        <v>1.1129363088628472</v>
      </c>
      <c r="GH93" s="1366">
        <v>-0.52080382553008542</v>
      </c>
      <c r="GI93" s="1942">
        <v>1.5962834290514321</v>
      </c>
      <c r="GJ93" s="1943">
        <v>0</v>
      </c>
      <c r="GK93" s="1371">
        <v>0</v>
      </c>
      <c r="GL93" s="1943">
        <v>0</v>
      </c>
      <c r="GM93" s="1371">
        <v>0</v>
      </c>
      <c r="GN93" s="1943">
        <v>0</v>
      </c>
      <c r="GO93" s="1985">
        <f>IF(GN93=0,0,VLOOKUP(A93,'Area (&amp;golfacre for lookup)'!$G$2:$H$133,2,FALSE))</f>
        <v>0</v>
      </c>
      <c r="GP93" s="1943">
        <v>0</v>
      </c>
      <c r="GQ93" s="1943">
        <v>0</v>
      </c>
      <c r="GR93" s="1943">
        <v>0</v>
      </c>
      <c r="GS93" s="1943">
        <v>0</v>
      </c>
      <c r="GT93" s="1943">
        <v>0</v>
      </c>
      <c r="GU93" s="1943">
        <v>0</v>
      </c>
      <c r="GV93" s="1943">
        <v>0</v>
      </c>
      <c r="GW93" s="1943">
        <v>0</v>
      </c>
      <c r="GX93" s="1936">
        <v>0</v>
      </c>
      <c r="GY93" s="1985">
        <f t="shared" si="764"/>
        <v>0</v>
      </c>
      <c r="GZ93" s="1936">
        <v>0</v>
      </c>
      <c r="HA93" s="1936">
        <v>0</v>
      </c>
      <c r="HB93" s="1936">
        <v>0</v>
      </c>
      <c r="HC93" s="1936">
        <v>0</v>
      </c>
      <c r="HD93" s="1936">
        <v>0</v>
      </c>
      <c r="HE93" s="1936">
        <v>0</v>
      </c>
      <c r="HF93" s="1936">
        <v>0</v>
      </c>
      <c r="HG93" s="1936">
        <v>27</v>
      </c>
      <c r="HH93" s="1988">
        <f>IF(HG93=0,0,VLOOKUP(A93,'Area (&amp;golfacre for lookup)'!$G$2:$H$134,2,FALSE))</f>
        <v>165</v>
      </c>
      <c r="HI93" s="1936">
        <v>60946</v>
      </c>
      <c r="HJ93" s="1936">
        <v>960449</v>
      </c>
      <c r="HK93" s="1936">
        <v>334451</v>
      </c>
      <c r="HL93" s="1936">
        <v>890239</v>
      </c>
      <c r="HM93" s="1936">
        <v>111200</v>
      </c>
      <c r="HN93" s="1936">
        <v>46781</v>
      </c>
      <c r="HO93" s="1936">
        <v>252094</v>
      </c>
      <c r="HP93" s="1936">
        <v>2595214</v>
      </c>
      <c r="HQ93" s="1936">
        <v>96119.037037037036</v>
      </c>
      <c r="HR93" s="1988">
        <f t="shared" si="765"/>
        <v>15728.569696969696</v>
      </c>
      <c r="HS93" s="1366">
        <v>0.3700847020708119</v>
      </c>
      <c r="HT93" s="1366">
        <v>0.12887222402468543</v>
      </c>
      <c r="HU93" s="1366">
        <v>0.3430310563984319</v>
      </c>
      <c r="HV93" s="1366">
        <v>4.2848104241114605E-2</v>
      </c>
      <c r="HW93" s="1366">
        <v>1.8025873781507034E-2</v>
      </c>
      <c r="HX93" s="1366">
        <v>9.7138039483449151E-2</v>
      </c>
      <c r="HY93" s="1366">
        <v>1</v>
      </c>
      <c r="HZ93" s="51"/>
      <c r="IA93" s="59">
        <f t="shared" si="767"/>
        <v>0</v>
      </c>
      <c r="IB93" s="59"/>
      <c r="IC93" s="815">
        <f t="shared" si="768"/>
        <v>1</v>
      </c>
      <c r="ID93" s="815"/>
      <c r="IE93" s="284">
        <f t="shared" si="769"/>
        <v>0</v>
      </c>
      <c r="IF93" s="284"/>
      <c r="IG93" s="284">
        <f t="shared" si="770"/>
        <v>20670.770139634802</v>
      </c>
      <c r="IH93" s="284"/>
      <c r="II93" s="1288">
        <f t="shared" si="771"/>
        <v>4.2505337667914587</v>
      </c>
      <c r="IJ93" s="1288">
        <f t="shared" si="772"/>
        <v>0</v>
      </c>
      <c r="IK93" s="284">
        <f t="shared" si="773"/>
        <v>1</v>
      </c>
      <c r="IL93" s="284">
        <f t="shared" si="774"/>
        <v>0</v>
      </c>
      <c r="IM93" s="284">
        <f t="shared" si="775"/>
        <v>0</v>
      </c>
      <c r="IN93" s="284">
        <f t="shared" si="776"/>
        <v>0</v>
      </c>
      <c r="IO93" s="753">
        <f t="shared" si="777"/>
        <v>-636.27067669172936</v>
      </c>
      <c r="IP93" s="113">
        <f t="shared" si="778"/>
        <v>-636.27067669172936</v>
      </c>
      <c r="IQ93" s="30">
        <f t="shared" si="779"/>
        <v>-0.13255639097744362</v>
      </c>
      <c r="IR93" s="438">
        <f t="shared" si="780"/>
        <v>699319</v>
      </c>
      <c r="IS93" s="438">
        <f t="shared" si="781"/>
        <v>438092</v>
      </c>
      <c r="IT93" s="438">
        <f t="shared" si="782"/>
        <v>768820</v>
      </c>
      <c r="IU93" s="438">
        <f t="shared" si="783"/>
        <v>276591</v>
      </c>
      <c r="IV93" s="438">
        <f t="shared" si="784"/>
        <v>463913</v>
      </c>
      <c r="IW93" s="438">
        <f t="shared" si="785"/>
        <v>220455</v>
      </c>
      <c r="IX93" s="285">
        <f t="shared" si="786"/>
        <v>0.61483403976223194</v>
      </c>
      <c r="IY93" s="285">
        <f t="shared" si="787"/>
        <v>0.38516596023776806</v>
      </c>
      <c r="IZ93" s="285">
        <f t="shared" si="788"/>
        <v>0.67593860091031299</v>
      </c>
      <c r="JA93" s="285">
        <f t="shared" si="789"/>
        <v>0.24317594959078118</v>
      </c>
      <c r="JB93" s="285">
        <f t="shared" si="790"/>
        <v>0.40786751666723814</v>
      </c>
      <c r="JC93" s="285">
        <f t="shared" si="791"/>
        <v>0.19382175836175314</v>
      </c>
      <c r="JD93" s="60">
        <f t="shared" si="792"/>
        <v>4468800</v>
      </c>
      <c r="JE93" s="60">
        <f t="shared" si="793"/>
        <v>1717974</v>
      </c>
      <c r="JF93" s="60">
        <f t="shared" si="794"/>
        <v>0</v>
      </c>
      <c r="JG93" s="60">
        <f t="shared" si="795"/>
        <v>191359</v>
      </c>
      <c r="JH93" s="284">
        <f t="shared" si="796"/>
        <v>1</v>
      </c>
      <c r="JI93" s="284">
        <f t="shared" si="797"/>
        <v>1</v>
      </c>
      <c r="JJ93" s="560">
        <f t="shared" si="798"/>
        <v>0.66787034772475506</v>
      </c>
      <c r="JK93" s="561">
        <f t="shared" si="799"/>
        <v>0.52193344933285135</v>
      </c>
      <c r="JL93" s="561">
        <f t="shared" si="800"/>
        <v>6.0216730020748815E-2</v>
      </c>
      <c r="JM93" s="561">
        <f t="shared" si="801"/>
        <v>2.4103150873144078E-2</v>
      </c>
      <c r="JN93" s="561">
        <f t="shared" si="802"/>
        <v>0.32757411518998764</v>
      </c>
      <c r="JO93" s="561">
        <f t="shared" si="803"/>
        <v>0</v>
      </c>
      <c r="JP93" s="561">
        <f t="shared" si="804"/>
        <v>2.4838737521993288E-2</v>
      </c>
      <c r="JQ93" s="561">
        <f t="shared" si="805"/>
        <v>0.95866618293872519</v>
      </c>
      <c r="JR93" s="61">
        <f t="shared" si="806"/>
        <v>0</v>
      </c>
      <c r="JS93" s="61">
        <f t="shared" si="807"/>
        <v>0</v>
      </c>
      <c r="JT93" s="61">
        <f t="shared" si="808"/>
        <v>0</v>
      </c>
      <c r="JU93" s="61">
        <f t="shared" si="809"/>
        <v>0</v>
      </c>
      <c r="JV93" s="61">
        <f t="shared" si="810"/>
        <v>0</v>
      </c>
      <c r="JW93" s="61">
        <f t="shared" si="811"/>
        <v>0</v>
      </c>
      <c r="JX93" s="61">
        <f t="shared" si="812"/>
        <v>0</v>
      </c>
      <c r="JY93" s="394">
        <f t="shared" si="813"/>
        <v>0</v>
      </c>
      <c r="JZ93" s="61">
        <f t="shared" si="814"/>
        <v>35572.185185185182</v>
      </c>
      <c r="KA93" s="61">
        <f t="shared" si="815"/>
        <v>12387.074074074075</v>
      </c>
      <c r="KB93" s="61">
        <f t="shared" si="816"/>
        <v>32971.814814814818</v>
      </c>
      <c r="KC93" s="61">
        <f t="shared" si="817"/>
        <v>4118.5185185185182</v>
      </c>
      <c r="KD93" s="61">
        <f t="shared" si="818"/>
        <v>1732.6296296296296</v>
      </c>
      <c r="KE93" s="61">
        <f t="shared" si="819"/>
        <v>9336.8148148148157</v>
      </c>
      <c r="KF93" s="61">
        <f t="shared" si="820"/>
        <v>40600</v>
      </c>
      <c r="KG93" s="61">
        <f t="shared" si="821"/>
        <v>220</v>
      </c>
      <c r="KH93" s="61">
        <f t="shared" si="822"/>
        <v>42.582187510254982</v>
      </c>
      <c r="KI93" s="394">
        <f t="shared" si="823"/>
        <v>0.35138756856739256</v>
      </c>
      <c r="KJ93" s="438">
        <f t="shared" si="824"/>
        <v>27</v>
      </c>
      <c r="KK93" s="438">
        <f t="shared" si="825"/>
        <v>60946</v>
      </c>
      <c r="KL93" s="438">
        <f t="shared" si="826"/>
        <v>165</v>
      </c>
      <c r="KM93" s="438">
        <f t="shared" si="827"/>
        <v>96119.037037037036</v>
      </c>
      <c r="KN93" s="438">
        <f t="shared" si="828"/>
        <v>42.582187510254982</v>
      </c>
      <c r="KO93" s="438">
        <f t="shared" si="829"/>
        <v>15728.569696969696</v>
      </c>
      <c r="KP93" s="438">
        <f t="shared" si="830"/>
        <v>960449</v>
      </c>
      <c r="KQ93" s="438">
        <f t="shared" si="831"/>
        <v>334451</v>
      </c>
      <c r="KR93" s="438">
        <f t="shared" si="832"/>
        <v>890239</v>
      </c>
      <c r="KS93" s="438">
        <f t="shared" si="833"/>
        <v>111200</v>
      </c>
      <c r="KT93" s="438">
        <f t="shared" si="834"/>
        <v>46781</v>
      </c>
      <c r="KU93" s="438">
        <f t="shared" si="835"/>
        <v>252094</v>
      </c>
      <c r="KV93" s="420">
        <f t="shared" si="836"/>
        <v>0.35138756856739256</v>
      </c>
      <c r="KW93" s="420">
        <f t="shared" si="837"/>
        <v>-0.52432867883995704</v>
      </c>
      <c r="KX93" s="108"/>
      <c r="KY93" s="282">
        <f t="shared" si="838"/>
        <v>0</v>
      </c>
      <c r="KZ93" s="282"/>
      <c r="LA93" s="282">
        <f t="shared" si="839"/>
        <v>0</v>
      </c>
      <c r="LB93" s="282"/>
      <c r="LC93" s="286">
        <f t="shared" si="840"/>
        <v>0</v>
      </c>
      <c r="LD93" s="286"/>
      <c r="LE93" s="282">
        <f t="shared" si="841"/>
        <v>0</v>
      </c>
      <c r="LF93" s="282"/>
      <c r="LG93" s="282">
        <f t="shared" si="842"/>
        <v>0</v>
      </c>
      <c r="LH93" s="282">
        <f t="shared" si="843"/>
        <v>0</v>
      </c>
      <c r="LI93" s="282">
        <f t="shared" si="844"/>
        <v>0</v>
      </c>
      <c r="LJ93" s="282">
        <f t="shared" si="845"/>
        <v>0</v>
      </c>
      <c r="LK93" s="282"/>
      <c r="LL93" s="282">
        <f t="shared" si="846"/>
        <v>0</v>
      </c>
      <c r="LM93" s="282">
        <f t="shared" si="847"/>
        <v>0</v>
      </c>
      <c r="LN93" s="282">
        <f t="shared" si="848"/>
        <v>0</v>
      </c>
      <c r="LO93" s="282">
        <f t="shared" si="849"/>
        <v>0</v>
      </c>
      <c r="LP93" s="286">
        <f t="shared" si="850"/>
        <v>0</v>
      </c>
      <c r="LQ93" s="282">
        <f t="shared" si="851"/>
        <v>0</v>
      </c>
      <c r="LR93" s="282">
        <f t="shared" si="852"/>
        <v>0</v>
      </c>
      <c r="LS93" s="282">
        <f t="shared" si="853"/>
        <v>0</v>
      </c>
      <c r="LT93" s="286">
        <f t="shared" si="854"/>
        <v>0</v>
      </c>
      <c r="LU93" s="286">
        <f t="shared" si="855"/>
        <v>0</v>
      </c>
      <c r="LV93" s="286">
        <f t="shared" si="856"/>
        <v>0</v>
      </c>
      <c r="LW93" s="286">
        <f t="shared" si="857"/>
        <v>0</v>
      </c>
      <c r="LX93" s="286">
        <f t="shared" si="858"/>
        <v>0</v>
      </c>
      <c r="LY93" s="286">
        <f t="shared" si="859"/>
        <v>0</v>
      </c>
      <c r="LZ93" s="286">
        <f t="shared" si="860"/>
        <v>0</v>
      </c>
      <c r="MA93" s="286">
        <f t="shared" si="861"/>
        <v>0</v>
      </c>
      <c r="MB93" s="286">
        <f t="shared" si="862"/>
        <v>0</v>
      </c>
      <c r="MC93" s="286">
        <f t="shared" si="863"/>
        <v>0</v>
      </c>
      <c r="MD93" s="286">
        <f t="shared" si="864"/>
        <v>0</v>
      </c>
      <c r="ME93" s="286">
        <f t="shared" si="865"/>
        <v>0</v>
      </c>
      <c r="MF93" s="286">
        <f t="shared" si="866"/>
        <v>0</v>
      </c>
      <c r="MG93" s="286">
        <f t="shared" si="867"/>
        <v>0</v>
      </c>
      <c r="MH93" s="286">
        <f t="shared" si="868"/>
        <v>0</v>
      </c>
      <c r="MI93" s="286">
        <f t="shared" si="869"/>
        <v>0</v>
      </c>
      <c r="MJ93" s="286">
        <f t="shared" si="870"/>
        <v>0</v>
      </c>
      <c r="MK93" s="286">
        <f t="shared" si="871"/>
        <v>0</v>
      </c>
      <c r="ML93" s="282">
        <f t="shared" si="872"/>
        <v>0</v>
      </c>
      <c r="MM93" s="1232">
        <f t="shared" si="873"/>
        <v>0</v>
      </c>
      <c r="MN93" s="1232">
        <f t="shared" si="874"/>
        <v>0</v>
      </c>
      <c r="MO93" s="1232">
        <f t="shared" si="875"/>
        <v>0</v>
      </c>
      <c r="MP93" s="1232">
        <f t="shared" si="876"/>
        <v>0</v>
      </c>
      <c r="MQ93" s="282">
        <f t="shared" si="877"/>
        <v>0</v>
      </c>
      <c r="MR93" s="282">
        <f t="shared" si="878"/>
        <v>0</v>
      </c>
      <c r="MS93" s="282">
        <f t="shared" si="879"/>
        <v>0</v>
      </c>
      <c r="MT93" s="282">
        <f t="shared" si="880"/>
        <v>0</v>
      </c>
      <c r="MU93" s="282">
        <f t="shared" si="881"/>
        <v>0</v>
      </c>
      <c r="MV93" s="282">
        <f t="shared" si="882"/>
        <v>0</v>
      </c>
      <c r="MW93" s="282">
        <f t="shared" si="883"/>
        <v>0</v>
      </c>
      <c r="MX93" s="282">
        <f t="shared" si="884"/>
        <v>0</v>
      </c>
      <c r="MY93" s="282">
        <f t="shared" si="885"/>
        <v>0</v>
      </c>
      <c r="MZ93" s="282">
        <f t="shared" si="886"/>
        <v>0</v>
      </c>
      <c r="NA93" s="282">
        <f t="shared" si="887"/>
        <v>0</v>
      </c>
      <c r="NB93" s="282">
        <f t="shared" si="888"/>
        <v>0</v>
      </c>
      <c r="NC93" s="282">
        <f t="shared" si="889"/>
        <v>0</v>
      </c>
      <c r="ND93" s="282">
        <f t="shared" si="890"/>
        <v>0</v>
      </c>
      <c r="NE93" s="282">
        <f t="shared" si="891"/>
        <v>0</v>
      </c>
      <c r="NF93" s="282">
        <f t="shared" si="892"/>
        <v>0</v>
      </c>
      <c r="NG93" s="282">
        <f t="shared" si="893"/>
        <v>0</v>
      </c>
      <c r="NH93" s="282">
        <f t="shared" si="894"/>
        <v>0</v>
      </c>
      <c r="NI93" s="282">
        <f t="shared" si="895"/>
        <v>0</v>
      </c>
      <c r="NJ93" s="282">
        <f t="shared" si="896"/>
        <v>0</v>
      </c>
      <c r="NK93" s="282">
        <f t="shared" si="897"/>
        <v>0</v>
      </c>
      <c r="NL93" s="282">
        <f t="shared" si="898"/>
        <v>0</v>
      </c>
      <c r="NM93" s="1205">
        <f t="shared" si="899"/>
        <v>0</v>
      </c>
      <c r="NN93" s="282">
        <f t="shared" si="900"/>
        <v>0</v>
      </c>
      <c r="NO93" s="282">
        <f t="shared" si="901"/>
        <v>0</v>
      </c>
      <c r="NP93" s="282">
        <f t="shared" si="902"/>
        <v>0</v>
      </c>
      <c r="NQ93" s="282">
        <f t="shared" si="903"/>
        <v>0</v>
      </c>
      <c r="NR93" s="282">
        <f t="shared" si="904"/>
        <v>0</v>
      </c>
      <c r="NS93" s="282">
        <f t="shared" si="905"/>
        <v>0</v>
      </c>
      <c r="NT93" s="282">
        <f t="shared" si="906"/>
        <v>0</v>
      </c>
      <c r="NU93" s="282">
        <f t="shared" si="907"/>
        <v>0</v>
      </c>
      <c r="NV93" s="286">
        <f t="shared" si="908"/>
        <v>0</v>
      </c>
      <c r="NW93" s="286">
        <f t="shared" si="909"/>
        <v>0</v>
      </c>
      <c r="NX93" s="286">
        <f t="shared" si="910"/>
        <v>0</v>
      </c>
      <c r="NY93" s="286">
        <f t="shared" si="911"/>
        <v>0</v>
      </c>
      <c r="NZ93" s="286">
        <f t="shared" si="912"/>
        <v>0</v>
      </c>
      <c r="OA93" s="286">
        <f t="shared" si="913"/>
        <v>0</v>
      </c>
      <c r="OB93" s="286">
        <f t="shared" si="914"/>
        <v>0</v>
      </c>
      <c r="OC93" s="286">
        <f t="shared" si="915"/>
        <v>0</v>
      </c>
      <c r="OD93" s="286">
        <f t="shared" si="916"/>
        <v>0</v>
      </c>
      <c r="OE93" s="282">
        <f t="shared" si="917"/>
        <v>0</v>
      </c>
      <c r="OF93" s="282">
        <f t="shared" si="918"/>
        <v>0</v>
      </c>
      <c r="OG93" s="286">
        <f t="shared" si="919"/>
        <v>0</v>
      </c>
      <c r="OH93" s="286">
        <f t="shared" si="920"/>
        <v>0</v>
      </c>
      <c r="OI93" s="286">
        <f t="shared" si="921"/>
        <v>0</v>
      </c>
      <c r="OJ93" s="286">
        <f t="shared" si="922"/>
        <v>0</v>
      </c>
      <c r="OK93" s="286">
        <f t="shared" si="923"/>
        <v>0</v>
      </c>
      <c r="OL93" s="286">
        <f t="shared" si="924"/>
        <v>0</v>
      </c>
      <c r="OM93" s="286">
        <f t="shared" si="925"/>
        <v>0</v>
      </c>
      <c r="ON93" s="286">
        <f t="shared" si="926"/>
        <v>0</v>
      </c>
      <c r="OO93" s="286">
        <f t="shared" si="927"/>
        <v>0</v>
      </c>
      <c r="OP93" s="434">
        <f t="shared" si="928"/>
        <v>0</v>
      </c>
      <c r="OQ93" s="434">
        <f t="shared" si="929"/>
        <v>0</v>
      </c>
      <c r="OR93" s="282">
        <f t="shared" si="930"/>
        <v>0</v>
      </c>
      <c r="OS93" s="282">
        <f t="shared" si="931"/>
        <v>0</v>
      </c>
      <c r="OT93" s="282">
        <f t="shared" si="932"/>
        <v>0</v>
      </c>
      <c r="OU93" s="282">
        <f t="shared" si="933"/>
        <v>0</v>
      </c>
      <c r="OV93" s="282">
        <f t="shared" si="934"/>
        <v>0</v>
      </c>
      <c r="OW93" s="286">
        <f t="shared" si="935"/>
        <v>0</v>
      </c>
      <c r="OX93" s="286">
        <f t="shared" si="936"/>
        <v>0</v>
      </c>
      <c r="OY93" s="286">
        <f t="shared" si="937"/>
        <v>0</v>
      </c>
      <c r="OZ93" s="286">
        <f t="shared" si="938"/>
        <v>0</v>
      </c>
      <c r="PA93" s="286">
        <f t="shared" si="939"/>
        <v>0</v>
      </c>
      <c r="PB93" s="286">
        <f t="shared" si="940"/>
        <v>0</v>
      </c>
      <c r="PC93" s="286">
        <f t="shared" si="941"/>
        <v>0</v>
      </c>
      <c r="PD93" s="282">
        <f t="shared" si="942"/>
        <v>0</v>
      </c>
      <c r="PE93" s="282">
        <f t="shared" si="943"/>
        <v>0</v>
      </c>
      <c r="PF93" s="286">
        <f t="shared" si="944"/>
        <v>0</v>
      </c>
      <c r="PG93" s="286">
        <f t="shared" si="945"/>
        <v>0</v>
      </c>
      <c r="PH93" s="286">
        <f t="shared" si="946"/>
        <v>0</v>
      </c>
      <c r="PI93" s="286">
        <f t="shared" si="947"/>
        <v>0</v>
      </c>
      <c r="PJ93" s="286">
        <f t="shared" si="948"/>
        <v>0</v>
      </c>
      <c r="PK93" s="286">
        <f t="shared" si="949"/>
        <v>0</v>
      </c>
      <c r="PL93" s="286">
        <f t="shared" si="950"/>
        <v>0</v>
      </c>
      <c r="PM93" s="562">
        <v>37</v>
      </c>
      <c r="PO93" s="571"/>
    </row>
    <row r="94" spans="1:431" s="289" customFormat="1" ht="15.75" customHeight="1">
      <c r="A94" s="1050" t="s">
        <v>1312</v>
      </c>
      <c r="B94" s="1040" t="str">
        <f>VLOOKUP(A94,'Area (&amp;golfacre for lookup)'!$A$2:$B$162,2,FALSE)</f>
        <v>SE exc BOCA</v>
      </c>
      <c r="C94" s="1936" t="s">
        <v>2159</v>
      </c>
      <c r="D94" s="1937">
        <v>44681</v>
      </c>
      <c r="E94" s="402"/>
      <c r="F94" s="1936">
        <v>0</v>
      </c>
      <c r="G94" s="1936">
        <v>1</v>
      </c>
      <c r="H94" s="1936">
        <v>599</v>
      </c>
      <c r="I94" s="1936">
        <v>0</v>
      </c>
      <c r="J94" s="1936">
        <v>599</v>
      </c>
      <c r="K94" s="1938">
        <v>991.41298123884269</v>
      </c>
      <c r="L94" s="1939" t="s">
        <v>1208</v>
      </c>
      <c r="M94" s="1939" t="s">
        <v>1208</v>
      </c>
      <c r="N94" s="1939" t="s">
        <v>1208</v>
      </c>
      <c r="O94" s="1939" t="s">
        <v>1208</v>
      </c>
      <c r="P94" s="1939" t="s">
        <v>1208</v>
      </c>
      <c r="Q94" s="1936">
        <v>60000</v>
      </c>
      <c r="R94" s="1936">
        <v>140000</v>
      </c>
      <c r="S94" s="1936">
        <v>200000</v>
      </c>
      <c r="T94" s="1939" t="s">
        <v>1208</v>
      </c>
      <c r="U94" s="1939" t="s">
        <v>1208</v>
      </c>
      <c r="V94" s="1939" t="s">
        <v>1208</v>
      </c>
      <c r="W94" s="1936">
        <v>31992</v>
      </c>
      <c r="X94" s="1936">
        <v>29689</v>
      </c>
      <c r="Y94" s="1939" t="s">
        <v>1208</v>
      </c>
      <c r="Z94" s="1939" t="s">
        <v>1208</v>
      </c>
      <c r="AA94" s="1936">
        <v>2303</v>
      </c>
      <c r="AB94" s="1362">
        <v>7.7570817474485493E-2</v>
      </c>
      <c r="AC94" s="1939" t="s">
        <v>1208</v>
      </c>
      <c r="AD94" s="1363" t="s">
        <v>1208</v>
      </c>
      <c r="AE94" s="1936">
        <v>1</v>
      </c>
      <c r="AF94" s="1936">
        <v>2400</v>
      </c>
      <c r="AG94" s="1939" t="s">
        <v>1208</v>
      </c>
      <c r="AH94" s="1936">
        <v>0</v>
      </c>
      <c r="AI94" s="1936">
        <v>0</v>
      </c>
      <c r="AJ94" s="1939" t="s">
        <v>1208</v>
      </c>
      <c r="AK94" s="1938">
        <v>1</v>
      </c>
      <c r="AL94" s="1938">
        <v>5352</v>
      </c>
      <c r="AM94" s="1936">
        <v>37441</v>
      </c>
      <c r="AN94" s="1939" t="s">
        <v>1208</v>
      </c>
      <c r="AO94" s="1936">
        <v>2000</v>
      </c>
      <c r="AP94" s="1936">
        <v>2100</v>
      </c>
      <c r="AQ94" s="1936">
        <v>41541</v>
      </c>
      <c r="AR94" s="1939" t="s">
        <v>1208</v>
      </c>
      <c r="AS94" s="1363" t="s">
        <v>1208</v>
      </c>
      <c r="AT94" s="1363" t="s">
        <v>1208</v>
      </c>
      <c r="AU94" s="1363" t="s">
        <v>1208</v>
      </c>
      <c r="AV94" s="1363" t="s">
        <v>1208</v>
      </c>
      <c r="AW94" s="1363" t="s">
        <v>1291</v>
      </c>
      <c r="AX94" s="1938">
        <v>0</v>
      </c>
      <c r="AY94" s="1938">
        <v>0</v>
      </c>
      <c r="AZ94" s="1938">
        <v>0</v>
      </c>
      <c r="BA94" s="1938">
        <v>0</v>
      </c>
      <c r="BB94" s="1938">
        <v>0</v>
      </c>
      <c r="BC94" s="1938">
        <v>0</v>
      </c>
      <c r="BD94" s="1938">
        <v>0</v>
      </c>
      <c r="BE94" s="1936">
        <v>0</v>
      </c>
      <c r="BF94" s="1936">
        <v>0</v>
      </c>
      <c r="BG94" s="1936">
        <v>0</v>
      </c>
      <c r="BH94" s="1936">
        <v>0</v>
      </c>
      <c r="BI94" s="1938">
        <v>38184117</v>
      </c>
      <c r="BJ94" s="1936">
        <v>7518237</v>
      </c>
      <c r="BK94" s="1936">
        <v>3715694</v>
      </c>
      <c r="BL94" s="1362">
        <v>2.0233735609014092</v>
      </c>
      <c r="BM94" s="1936">
        <v>0</v>
      </c>
      <c r="BN94" s="1936">
        <v>0</v>
      </c>
      <c r="BO94" s="1363" t="s">
        <v>1208</v>
      </c>
      <c r="BP94" s="1938">
        <v>16125548</v>
      </c>
      <c r="BQ94" s="1938">
        <v>8123997</v>
      </c>
      <c r="BR94" s="1940">
        <v>1.9849278624795159</v>
      </c>
      <c r="BS94" s="1409">
        <v>1</v>
      </c>
      <c r="BT94" s="1938">
        <v>10888642</v>
      </c>
      <c r="BU94" s="1938">
        <v>52998574</v>
      </c>
      <c r="BV94" s="1940">
        <v>0.20545160328276002</v>
      </c>
      <c r="BW94" s="1936">
        <v>0</v>
      </c>
      <c r="BX94" s="1936">
        <v>7583.3554152230445</v>
      </c>
      <c r="BY94" s="1936">
        <v>0</v>
      </c>
      <c r="BZ94" s="1936">
        <v>827211</v>
      </c>
      <c r="CA94" s="1936">
        <v>102196</v>
      </c>
      <c r="CB94" s="1936">
        <v>993810</v>
      </c>
      <c r="CC94" s="1936">
        <v>1693072</v>
      </c>
      <c r="CD94" s="1936">
        <v>29434060</v>
      </c>
      <c r="CE94" s="1936">
        <v>0</v>
      </c>
      <c r="CF94" s="1936">
        <v>0</v>
      </c>
      <c r="CG94" s="1936">
        <v>4377473</v>
      </c>
      <c r="CH94" s="1936">
        <v>727244</v>
      </c>
      <c r="CI94" s="1936">
        <v>909610</v>
      </c>
      <c r="CJ94" s="1936">
        <v>39064676</v>
      </c>
      <c r="CK94" s="1366">
        <v>2.1175422010411657E-2</v>
      </c>
      <c r="CL94" s="1366">
        <v>2.6160718701468302E-3</v>
      </c>
      <c r="CM94" s="1366">
        <v>2.5440118842915783E-2</v>
      </c>
      <c r="CN94" s="1366">
        <v>4.3340228906544626E-2</v>
      </c>
      <c r="CO94" s="1366">
        <v>0.75346996350360107</v>
      </c>
      <c r="CP94" s="1366">
        <v>0</v>
      </c>
      <c r="CQ94" s="1366">
        <v>0</v>
      </c>
      <c r="CR94" s="1366">
        <v>0.11205706659387114</v>
      </c>
      <c r="CS94" s="1366">
        <v>1.8616409361746657E-2</v>
      </c>
      <c r="CT94" s="1366">
        <v>2.3284718910762246E-2</v>
      </c>
      <c r="CU94" s="1366">
        <v>1</v>
      </c>
      <c r="CV94" s="1936">
        <v>12896360</v>
      </c>
      <c r="CW94" s="1936">
        <v>3564213</v>
      </c>
      <c r="CX94" s="1936">
        <v>946551</v>
      </c>
      <c r="CY94" s="1936">
        <v>21339202</v>
      </c>
      <c r="CZ94" s="1936">
        <v>0</v>
      </c>
      <c r="DA94" s="1936">
        <v>1017713</v>
      </c>
      <c r="DB94" s="1936">
        <v>39764039</v>
      </c>
      <c r="DC94" s="1366">
        <v>0.32432218467545515</v>
      </c>
      <c r="DD94" s="1366">
        <v>8.9634078670931788E-2</v>
      </c>
      <c r="DE94" s="1366">
        <v>2.3804196550556649E-2</v>
      </c>
      <c r="DF94" s="1366">
        <v>0.53664573661644377</v>
      </c>
      <c r="DG94" s="1366">
        <v>0</v>
      </c>
      <c r="DH94" s="1366">
        <v>2.5593803486612617E-2</v>
      </c>
      <c r="DI94" s="1366">
        <v>1</v>
      </c>
      <c r="DJ94" s="1936">
        <v>-699363</v>
      </c>
      <c r="DK94" s="1936">
        <v>834.37580065407212</v>
      </c>
      <c r="DL94" s="1936">
        <v>103.08115985358458</v>
      </c>
      <c r="DM94" s="1936">
        <v>1002.4177802858321</v>
      </c>
      <c r="DN94" s="1936">
        <v>1707.736364198483</v>
      </c>
      <c r="DO94" s="1936">
        <v>29689</v>
      </c>
      <c r="DP94" s="1936">
        <v>0</v>
      </c>
      <c r="DQ94" s="1936">
        <v>0</v>
      </c>
      <c r="DR94" s="1936">
        <v>4415.3880197634981</v>
      </c>
      <c r="DS94" s="1936">
        <v>733.54294704841936</v>
      </c>
      <c r="DT94" s="1936">
        <v>917.48849088436998</v>
      </c>
      <c r="DU94" s="1936">
        <v>39403.030562688262</v>
      </c>
      <c r="DV94" s="1936">
        <v>13008.060459209501</v>
      </c>
      <c r="DW94" s="1936">
        <v>3595.0840542215378</v>
      </c>
      <c r="DX94" s="1936">
        <v>954.74945145182141</v>
      </c>
      <c r="DY94" s="1936">
        <v>21524.029242924695</v>
      </c>
      <c r="DZ94" s="1936">
        <v>0</v>
      </c>
      <c r="EA94" s="1936">
        <v>1026.527813594183</v>
      </c>
      <c r="EB94" s="1936">
        <v>40108.451021401735</v>
      </c>
      <c r="EC94" s="1936">
        <v>-705.42045871347682</v>
      </c>
      <c r="ED94" s="1941">
        <v>255</v>
      </c>
      <c r="EE94" s="1984">
        <v>1</v>
      </c>
      <c r="EF94" s="1984">
        <v>123</v>
      </c>
      <c r="EG94" s="1938">
        <v>805000</v>
      </c>
      <c r="EH94" s="1938">
        <v>0</v>
      </c>
      <c r="EI94" s="1368">
        <v>0</v>
      </c>
      <c r="EJ94" s="1979">
        <v>3.8878940440738927</v>
      </c>
      <c r="EK94" s="1936">
        <v>1</v>
      </c>
      <c r="EL94" s="1936">
        <v>2000</v>
      </c>
      <c r="EM94" s="1936">
        <v>0</v>
      </c>
      <c r="EN94" s="1362">
        <v>0</v>
      </c>
      <c r="EO94" s="1936">
        <v>1</v>
      </c>
      <c r="EP94" s="1936">
        <v>175</v>
      </c>
      <c r="EQ94" s="1936">
        <v>1</v>
      </c>
      <c r="ER94" s="1938">
        <v>0</v>
      </c>
      <c r="ES94" s="1936">
        <v>5148.9309668119176</v>
      </c>
      <c r="ET94" s="1936">
        <v>-2834.8020988066201</v>
      </c>
      <c r="EU94" s="1938">
        <v>8</v>
      </c>
      <c r="EV94" s="1936">
        <v>194711</v>
      </c>
      <c r="EW94" s="1936">
        <v>639</v>
      </c>
      <c r="EX94" s="1938">
        <v>1</v>
      </c>
      <c r="EY94" s="1936">
        <v>4377473</v>
      </c>
      <c r="EZ94" s="1936">
        <v>3144617</v>
      </c>
      <c r="FA94" s="1936">
        <v>1232856</v>
      </c>
      <c r="FB94" s="1936">
        <v>727244</v>
      </c>
      <c r="FC94" s="1936">
        <v>419596</v>
      </c>
      <c r="FD94" s="1936">
        <v>307648</v>
      </c>
      <c r="FE94" s="1936">
        <v>5104717</v>
      </c>
      <c r="FF94" s="1936">
        <v>3564213</v>
      </c>
      <c r="FG94" s="1936">
        <v>1540504</v>
      </c>
      <c r="FH94" s="1366">
        <v>1</v>
      </c>
      <c r="FI94" s="1366">
        <v>0.7183635398779159</v>
      </c>
      <c r="FJ94" s="1366">
        <v>0.28163646012208415</v>
      </c>
      <c r="FK94" s="1366">
        <v>1</v>
      </c>
      <c r="FL94" s="1366">
        <v>0.57696729020796322</v>
      </c>
      <c r="FM94" s="1366">
        <v>0.42303270979203678</v>
      </c>
      <c r="FN94" s="1366">
        <v>1</v>
      </c>
      <c r="FO94" s="1366">
        <v>0.69821950952423029</v>
      </c>
      <c r="FP94" s="1366">
        <v>0.30178049047576977</v>
      </c>
      <c r="FQ94" s="1936">
        <v>3653143</v>
      </c>
      <c r="FR94" s="1936">
        <v>-1020943.4</v>
      </c>
      <c r="FS94" s="1936">
        <v>995859</v>
      </c>
      <c r="FT94" s="1936">
        <v>0</v>
      </c>
      <c r="FU94" s="1936">
        <v>0</v>
      </c>
      <c r="FV94" s="1936">
        <v>43728</v>
      </c>
      <c r="FW94" s="1936">
        <v>679177</v>
      </c>
      <c r="FX94" s="1936">
        <v>4350963.5999999996</v>
      </c>
      <c r="FY94" s="1936">
        <v>-2810459.5999999996</v>
      </c>
      <c r="FZ94" s="1366">
        <v>0.71564065157774659</v>
      </c>
      <c r="GA94" s="1366">
        <v>-0.2</v>
      </c>
      <c r="GB94" s="1366">
        <v>0.19508603513182024</v>
      </c>
      <c r="GC94" s="1366">
        <v>0</v>
      </c>
      <c r="GD94" s="1366">
        <v>0</v>
      </c>
      <c r="GE94" s="1366">
        <v>8.5661947567318621E-3</v>
      </c>
      <c r="GF94" s="1366">
        <v>0.13304890359250082</v>
      </c>
      <c r="GG94" s="1366">
        <v>0.85234178505879943</v>
      </c>
      <c r="GH94" s="1366">
        <v>-0.55056129458302971</v>
      </c>
      <c r="GI94" s="1942">
        <v>6.1115031543745975</v>
      </c>
      <c r="GJ94" s="1943">
        <v>0</v>
      </c>
      <c r="GK94" s="1371">
        <v>0</v>
      </c>
      <c r="GL94" s="1943">
        <v>0</v>
      </c>
      <c r="GM94" s="1371">
        <v>0</v>
      </c>
      <c r="GN94" s="1943">
        <v>0</v>
      </c>
      <c r="GO94" s="1985">
        <v>0</v>
      </c>
      <c r="GP94" s="1943">
        <v>0</v>
      </c>
      <c r="GQ94" s="1943">
        <v>0</v>
      </c>
      <c r="GR94" s="1943">
        <v>0</v>
      </c>
      <c r="GS94" s="1943">
        <v>0</v>
      </c>
      <c r="GT94" s="1943">
        <v>0</v>
      </c>
      <c r="GU94" s="1943">
        <v>0</v>
      </c>
      <c r="GV94" s="1943">
        <v>0</v>
      </c>
      <c r="GW94" s="1943">
        <v>0</v>
      </c>
      <c r="GX94" s="1943">
        <v>0</v>
      </c>
      <c r="GY94" s="1943">
        <v>0</v>
      </c>
      <c r="GZ94" s="1943">
        <v>0</v>
      </c>
      <c r="HA94" s="1943">
        <v>0</v>
      </c>
      <c r="HB94" s="1943">
        <v>0</v>
      </c>
      <c r="HC94" s="1943">
        <v>0</v>
      </c>
      <c r="HD94" s="1943">
        <v>0</v>
      </c>
      <c r="HE94" s="1943">
        <v>0</v>
      </c>
      <c r="HF94" s="1943">
        <v>0</v>
      </c>
      <c r="HG94" s="1936">
        <v>36</v>
      </c>
      <c r="HH94" s="1988">
        <v>240</v>
      </c>
      <c r="HI94" s="1979">
        <v>39707</v>
      </c>
      <c r="HJ94" s="1936">
        <v>1621689</v>
      </c>
      <c r="HK94" s="1936">
        <v>419573</v>
      </c>
      <c r="HL94" s="1936">
        <v>657992</v>
      </c>
      <c r="HM94" s="1936">
        <v>197356</v>
      </c>
      <c r="HN94" s="1936">
        <v>5869</v>
      </c>
      <c r="HO94" s="1936">
        <v>58603</v>
      </c>
      <c r="HP94" s="1936">
        <v>2961082</v>
      </c>
      <c r="HQ94" s="1936">
        <v>82252.277777777781</v>
      </c>
      <c r="HR94" s="1988">
        <v>14100.390476190476</v>
      </c>
      <c r="HS94" s="1366">
        <v>0.54766771065441622</v>
      </c>
      <c r="HT94" s="1366">
        <v>0.14169583956134954</v>
      </c>
      <c r="HU94" s="1366">
        <v>0.22221336660045213</v>
      </c>
      <c r="HV94" s="1366">
        <v>6.6649961061530885E-2</v>
      </c>
      <c r="HW94" s="1366">
        <v>1.9820457521946369E-3</v>
      </c>
      <c r="HX94" s="1366">
        <v>1.9791076370056622E-2</v>
      </c>
      <c r="HY94" s="1366">
        <v>1</v>
      </c>
      <c r="HZ94" s="51"/>
      <c r="IA94" s="59">
        <f t="shared" si="767"/>
        <v>0.3</v>
      </c>
      <c r="IB94" s="59"/>
      <c r="IC94" s="815">
        <f t="shared" si="768"/>
        <v>1</v>
      </c>
      <c r="ID94" s="815"/>
      <c r="IE94" s="284">
        <f t="shared" si="769"/>
        <v>0</v>
      </c>
      <c r="IF94" s="284"/>
      <c r="IG94" s="284">
        <f t="shared" si="770"/>
        <v>38514.844693970183</v>
      </c>
      <c r="IH94" s="284"/>
      <c r="II94" s="1288">
        <f t="shared" si="771"/>
        <v>1.9849278624795159</v>
      </c>
      <c r="IJ94" s="1288">
        <f t="shared" si="772"/>
        <v>0</v>
      </c>
      <c r="IK94" s="284">
        <f t="shared" si="773"/>
        <v>0</v>
      </c>
      <c r="IL94" s="284">
        <f t="shared" si="774"/>
        <v>1</v>
      </c>
      <c r="IM94" s="284">
        <f t="shared" si="775"/>
        <v>0</v>
      </c>
      <c r="IN94" s="284">
        <f t="shared" si="776"/>
        <v>0</v>
      </c>
      <c r="IO94" s="753">
        <f t="shared" si="777"/>
        <v>-4691.91919866444</v>
      </c>
      <c r="IP94" s="113">
        <f t="shared" si="778"/>
        <v>-2834.8020988066201</v>
      </c>
      <c r="IQ94" s="30">
        <f t="shared" si="779"/>
        <v>-9.54832462799899E-2</v>
      </c>
      <c r="IR94" s="438">
        <f t="shared" si="780"/>
        <v>4377473</v>
      </c>
      <c r="IS94" s="438">
        <f t="shared" si="781"/>
        <v>727244</v>
      </c>
      <c r="IT94" s="438">
        <f t="shared" si="782"/>
        <v>3653143</v>
      </c>
      <c r="IU94" s="438">
        <f t="shared" si="783"/>
        <v>995859</v>
      </c>
      <c r="IV94" s="438">
        <f t="shared" si="784"/>
        <v>3564213</v>
      </c>
      <c r="IW94" s="438">
        <f t="shared" si="785"/>
        <v>-298038.40000000002</v>
      </c>
      <c r="IX94" s="285">
        <f t="shared" si="786"/>
        <v>0.85753490350199624</v>
      </c>
      <c r="IY94" s="285">
        <f t="shared" si="787"/>
        <v>0.14246509649800371</v>
      </c>
      <c r="IZ94" s="285">
        <f t="shared" si="788"/>
        <v>0.71564065157774659</v>
      </c>
      <c r="JA94" s="285">
        <f t="shared" si="789"/>
        <v>0.19508603513182024</v>
      </c>
      <c r="JB94" s="285">
        <f t="shared" si="790"/>
        <v>0.69821950952423029</v>
      </c>
      <c r="JC94" s="285">
        <f t="shared" si="791"/>
        <v>-5.8384901650767325E-2</v>
      </c>
      <c r="JD94" s="60">
        <f t="shared" si="792"/>
        <v>29434060</v>
      </c>
      <c r="JE94" s="60">
        <f t="shared" si="793"/>
        <v>3616289</v>
      </c>
      <c r="JF94" s="60">
        <f t="shared" si="794"/>
        <v>0</v>
      </c>
      <c r="JG94" s="60">
        <f t="shared" si="795"/>
        <v>1017713</v>
      </c>
      <c r="JH94" s="284">
        <f t="shared" si="796"/>
        <v>0</v>
      </c>
      <c r="JI94" s="284">
        <f t="shared" si="797"/>
        <v>1</v>
      </c>
      <c r="JJ94" s="560">
        <f t="shared" si="798"/>
        <v>0.95244664473088414</v>
      </c>
      <c r="JK94" s="561">
        <f t="shared" si="799"/>
        <v>0.33012842599795272</v>
      </c>
      <c r="JL94" s="561">
        <f t="shared" si="800"/>
        <v>9.1238770289557763E-2</v>
      </c>
      <c r="JM94" s="561">
        <f t="shared" si="801"/>
        <v>2.4230355833490081E-2</v>
      </c>
      <c r="JN94" s="561">
        <f t="shared" si="802"/>
        <v>0.54625314184098184</v>
      </c>
      <c r="JO94" s="561">
        <f t="shared" si="803"/>
        <v>0</v>
      </c>
      <c r="JP94" s="561">
        <f t="shared" si="804"/>
        <v>2.605200155762203E-2</v>
      </c>
      <c r="JQ94" s="561">
        <f t="shared" si="805"/>
        <v>1.0179026955196044</v>
      </c>
      <c r="JR94" s="61">
        <f t="shared" si="806"/>
        <v>0</v>
      </c>
      <c r="JS94" s="61">
        <f t="shared" si="807"/>
        <v>0</v>
      </c>
      <c r="JT94" s="61">
        <f t="shared" si="808"/>
        <v>0</v>
      </c>
      <c r="JU94" s="61">
        <f t="shared" si="809"/>
        <v>0</v>
      </c>
      <c r="JV94" s="61">
        <f t="shared" si="810"/>
        <v>0</v>
      </c>
      <c r="JW94" s="61">
        <f t="shared" si="811"/>
        <v>0</v>
      </c>
      <c r="JX94" s="61">
        <f t="shared" si="812"/>
        <v>0</v>
      </c>
      <c r="JY94" s="394">
        <f t="shared" si="813"/>
        <v>0</v>
      </c>
      <c r="JZ94" s="61">
        <f t="shared" si="814"/>
        <v>45046.916666666664</v>
      </c>
      <c r="KA94" s="61">
        <f t="shared" si="815"/>
        <v>11654.805555555555</v>
      </c>
      <c r="KB94" s="61">
        <f t="shared" si="816"/>
        <v>18277.555555555555</v>
      </c>
      <c r="KC94" s="61">
        <f t="shared" si="817"/>
        <v>5482.1111111111113</v>
      </c>
      <c r="KD94" s="61">
        <f t="shared" si="818"/>
        <v>163.02777777777777</v>
      </c>
      <c r="KE94" s="61">
        <f t="shared" si="819"/>
        <v>1627.8611111111111</v>
      </c>
      <c r="KF94" s="61">
        <f t="shared" si="820"/>
        <v>19900</v>
      </c>
      <c r="KG94" s="61">
        <f t="shared" si="821"/>
        <v>240</v>
      </c>
      <c r="KH94" s="61">
        <f t="shared" si="822"/>
        <v>74.573299418238591</v>
      </c>
      <c r="KI94" s="394">
        <f t="shared" si="823"/>
        <v>7.4466328734865195E-2</v>
      </c>
      <c r="KJ94" s="438">
        <f t="shared" si="824"/>
        <v>36</v>
      </c>
      <c r="KK94" s="438">
        <f t="shared" si="825"/>
        <v>39707</v>
      </c>
      <c r="KL94" s="438">
        <f t="shared" si="826"/>
        <v>240</v>
      </c>
      <c r="KM94" s="438">
        <f t="shared" si="827"/>
        <v>82252.277777777781</v>
      </c>
      <c r="KN94" s="438">
        <f t="shared" si="828"/>
        <v>74.573299418238591</v>
      </c>
      <c r="KO94" s="438">
        <f t="shared" si="829"/>
        <v>14100.390476190476</v>
      </c>
      <c r="KP94" s="438">
        <f t="shared" si="830"/>
        <v>1621689</v>
      </c>
      <c r="KQ94" s="438">
        <f t="shared" si="831"/>
        <v>419573</v>
      </c>
      <c r="KR94" s="438">
        <f t="shared" si="832"/>
        <v>657992</v>
      </c>
      <c r="KS94" s="438">
        <f t="shared" si="833"/>
        <v>197356</v>
      </c>
      <c r="KT94" s="438">
        <f t="shared" si="834"/>
        <v>5869</v>
      </c>
      <c r="KU94" s="438">
        <f t="shared" si="835"/>
        <v>58603</v>
      </c>
      <c r="KV94" s="420">
        <f t="shared" si="836"/>
        <v>7.4466328734865195E-2</v>
      </c>
      <c r="KW94" s="420">
        <f t="shared" si="837"/>
        <v>-9.860953602730986E-2</v>
      </c>
      <c r="KX94" s="108"/>
      <c r="KY94" s="282">
        <f t="shared" si="838"/>
        <v>0</v>
      </c>
      <c r="KZ94" s="282"/>
      <c r="LA94" s="282">
        <f t="shared" si="839"/>
        <v>0</v>
      </c>
      <c r="LB94" s="282"/>
      <c r="LC94" s="286">
        <f t="shared" si="840"/>
        <v>0</v>
      </c>
      <c r="LD94" s="286"/>
      <c r="LE94" s="282">
        <f t="shared" si="841"/>
        <v>0</v>
      </c>
      <c r="LF94" s="282"/>
      <c r="LG94" s="282">
        <f t="shared" si="842"/>
        <v>0</v>
      </c>
      <c r="LH94" s="282">
        <f t="shared" si="843"/>
        <v>0</v>
      </c>
      <c r="LI94" s="282">
        <f t="shared" si="844"/>
        <v>0</v>
      </c>
      <c r="LJ94" s="282">
        <f t="shared" si="845"/>
        <v>0</v>
      </c>
      <c r="LK94" s="282"/>
      <c r="LL94" s="282">
        <f t="shared" si="846"/>
        <v>0</v>
      </c>
      <c r="LM94" s="282">
        <f t="shared" si="847"/>
        <v>0</v>
      </c>
      <c r="LN94" s="282">
        <f t="shared" si="848"/>
        <v>0</v>
      </c>
      <c r="LO94" s="282">
        <f t="shared" si="849"/>
        <v>0</v>
      </c>
      <c r="LP94" s="286">
        <f t="shared" si="850"/>
        <v>0</v>
      </c>
      <c r="LQ94" s="282">
        <f t="shared" si="851"/>
        <v>0</v>
      </c>
      <c r="LR94" s="282">
        <f t="shared" si="852"/>
        <v>0</v>
      </c>
      <c r="LS94" s="282">
        <f t="shared" si="853"/>
        <v>0</v>
      </c>
      <c r="LT94" s="286">
        <f t="shared" si="854"/>
        <v>0</v>
      </c>
      <c r="LU94" s="286">
        <f t="shared" si="855"/>
        <v>0</v>
      </c>
      <c r="LV94" s="286">
        <f t="shared" si="856"/>
        <v>0</v>
      </c>
      <c r="LW94" s="286">
        <f t="shared" si="857"/>
        <v>0</v>
      </c>
      <c r="LX94" s="286">
        <f t="shared" si="858"/>
        <v>0</v>
      </c>
      <c r="LY94" s="286">
        <f t="shared" si="859"/>
        <v>0</v>
      </c>
      <c r="LZ94" s="286">
        <f t="shared" si="860"/>
        <v>0</v>
      </c>
      <c r="MA94" s="286">
        <f t="shared" si="861"/>
        <v>0</v>
      </c>
      <c r="MB94" s="286">
        <f t="shared" si="862"/>
        <v>0</v>
      </c>
      <c r="MC94" s="286">
        <f t="shared" si="863"/>
        <v>0</v>
      </c>
      <c r="MD94" s="286">
        <f t="shared" si="864"/>
        <v>0</v>
      </c>
      <c r="ME94" s="286">
        <f t="shared" si="865"/>
        <v>0</v>
      </c>
      <c r="MF94" s="286">
        <f t="shared" si="866"/>
        <v>0</v>
      </c>
      <c r="MG94" s="286">
        <f t="shared" si="867"/>
        <v>0</v>
      </c>
      <c r="MH94" s="286">
        <f t="shared" si="868"/>
        <v>0</v>
      </c>
      <c r="MI94" s="286">
        <f t="shared" si="869"/>
        <v>0</v>
      </c>
      <c r="MJ94" s="286">
        <f t="shared" si="870"/>
        <v>0</v>
      </c>
      <c r="MK94" s="286">
        <f t="shared" si="871"/>
        <v>0</v>
      </c>
      <c r="ML94" s="282">
        <f t="shared" si="872"/>
        <v>0</v>
      </c>
      <c r="MM94" s="1232">
        <f t="shared" si="873"/>
        <v>0</v>
      </c>
      <c r="MN94" s="1232">
        <f t="shared" si="874"/>
        <v>0</v>
      </c>
      <c r="MO94" s="1232">
        <f t="shared" si="875"/>
        <v>0</v>
      </c>
      <c r="MP94" s="1232">
        <f t="shared" si="876"/>
        <v>0</v>
      </c>
      <c r="MQ94" s="282">
        <f t="shared" si="877"/>
        <v>0</v>
      </c>
      <c r="MR94" s="282">
        <f t="shared" si="878"/>
        <v>0</v>
      </c>
      <c r="MS94" s="282">
        <f t="shared" si="879"/>
        <v>0</v>
      </c>
      <c r="MT94" s="282">
        <f t="shared" si="880"/>
        <v>0</v>
      </c>
      <c r="MU94" s="282">
        <f t="shared" si="881"/>
        <v>0</v>
      </c>
      <c r="MV94" s="282">
        <f t="shared" si="882"/>
        <v>0</v>
      </c>
      <c r="MW94" s="282">
        <f t="shared" si="883"/>
        <v>0</v>
      </c>
      <c r="MX94" s="282">
        <f t="shared" si="884"/>
        <v>0</v>
      </c>
      <c r="MY94" s="282">
        <f t="shared" si="885"/>
        <v>0</v>
      </c>
      <c r="MZ94" s="282">
        <f t="shared" si="886"/>
        <v>0</v>
      </c>
      <c r="NA94" s="282">
        <f t="shared" si="887"/>
        <v>0</v>
      </c>
      <c r="NB94" s="282">
        <f t="shared" si="888"/>
        <v>0</v>
      </c>
      <c r="NC94" s="282">
        <f t="shared" si="889"/>
        <v>0</v>
      </c>
      <c r="ND94" s="282">
        <f t="shared" si="890"/>
        <v>0</v>
      </c>
      <c r="NE94" s="282">
        <f t="shared" si="891"/>
        <v>0</v>
      </c>
      <c r="NF94" s="282">
        <f t="shared" si="892"/>
        <v>0</v>
      </c>
      <c r="NG94" s="282">
        <f t="shared" si="893"/>
        <v>0</v>
      </c>
      <c r="NH94" s="282">
        <f t="shared" si="894"/>
        <v>0</v>
      </c>
      <c r="NI94" s="282">
        <f t="shared" si="895"/>
        <v>0</v>
      </c>
      <c r="NJ94" s="282">
        <f t="shared" si="896"/>
        <v>0</v>
      </c>
      <c r="NK94" s="282">
        <f t="shared" si="897"/>
        <v>0</v>
      </c>
      <c r="NL94" s="282">
        <f t="shared" si="898"/>
        <v>0</v>
      </c>
      <c r="NM94" s="1205">
        <f t="shared" si="899"/>
        <v>0</v>
      </c>
      <c r="NN94" s="282">
        <f t="shared" si="900"/>
        <v>0</v>
      </c>
      <c r="NO94" s="282">
        <f t="shared" si="901"/>
        <v>0</v>
      </c>
      <c r="NP94" s="282">
        <f t="shared" si="902"/>
        <v>0</v>
      </c>
      <c r="NQ94" s="282">
        <f t="shared" si="903"/>
        <v>0</v>
      </c>
      <c r="NR94" s="282">
        <f t="shared" si="904"/>
        <v>0</v>
      </c>
      <c r="NS94" s="282">
        <f t="shared" si="905"/>
        <v>0</v>
      </c>
      <c r="NT94" s="282">
        <f t="shared" si="906"/>
        <v>0</v>
      </c>
      <c r="NU94" s="282">
        <f t="shared" si="907"/>
        <v>0</v>
      </c>
      <c r="NV94" s="286">
        <f t="shared" si="908"/>
        <v>0</v>
      </c>
      <c r="NW94" s="286">
        <f t="shared" si="909"/>
        <v>0</v>
      </c>
      <c r="NX94" s="286">
        <f t="shared" si="910"/>
        <v>0</v>
      </c>
      <c r="NY94" s="286">
        <f t="shared" si="911"/>
        <v>0</v>
      </c>
      <c r="NZ94" s="286">
        <f t="shared" si="912"/>
        <v>0</v>
      </c>
      <c r="OA94" s="286">
        <f t="shared" si="913"/>
        <v>0</v>
      </c>
      <c r="OB94" s="286">
        <f t="shared" si="914"/>
        <v>0</v>
      </c>
      <c r="OC94" s="286">
        <f t="shared" si="915"/>
        <v>0</v>
      </c>
      <c r="OD94" s="286">
        <f t="shared" si="916"/>
        <v>0</v>
      </c>
      <c r="OE94" s="282">
        <f t="shared" si="917"/>
        <v>0</v>
      </c>
      <c r="OF94" s="282">
        <f t="shared" si="918"/>
        <v>0</v>
      </c>
      <c r="OG94" s="286">
        <f t="shared" si="919"/>
        <v>0</v>
      </c>
      <c r="OH94" s="286">
        <f t="shared" si="920"/>
        <v>0</v>
      </c>
      <c r="OI94" s="286">
        <f t="shared" si="921"/>
        <v>0</v>
      </c>
      <c r="OJ94" s="286">
        <f t="shared" si="922"/>
        <v>0</v>
      </c>
      <c r="OK94" s="286">
        <f t="shared" si="923"/>
        <v>0</v>
      </c>
      <c r="OL94" s="286">
        <f t="shared" si="924"/>
        <v>0</v>
      </c>
      <c r="OM94" s="286">
        <f t="shared" si="925"/>
        <v>0</v>
      </c>
      <c r="ON94" s="286">
        <f t="shared" si="926"/>
        <v>0</v>
      </c>
      <c r="OO94" s="286">
        <f t="shared" si="927"/>
        <v>0</v>
      </c>
      <c r="OP94" s="434">
        <f t="shared" si="928"/>
        <v>0</v>
      </c>
      <c r="OQ94" s="434">
        <f t="shared" si="929"/>
        <v>0</v>
      </c>
      <c r="OR94" s="282">
        <f t="shared" si="930"/>
        <v>0</v>
      </c>
      <c r="OS94" s="282">
        <f t="shared" si="931"/>
        <v>0</v>
      </c>
      <c r="OT94" s="282">
        <f t="shared" si="932"/>
        <v>0</v>
      </c>
      <c r="OU94" s="282">
        <f t="shared" si="933"/>
        <v>0</v>
      </c>
      <c r="OV94" s="282">
        <f t="shared" si="934"/>
        <v>0</v>
      </c>
      <c r="OW94" s="286">
        <f t="shared" si="935"/>
        <v>0</v>
      </c>
      <c r="OX94" s="286">
        <f t="shared" si="936"/>
        <v>0</v>
      </c>
      <c r="OY94" s="286">
        <f t="shared" si="937"/>
        <v>0</v>
      </c>
      <c r="OZ94" s="286">
        <f t="shared" si="938"/>
        <v>0</v>
      </c>
      <c r="PA94" s="286">
        <f t="shared" si="939"/>
        <v>0</v>
      </c>
      <c r="PB94" s="286">
        <f t="shared" si="940"/>
        <v>0</v>
      </c>
      <c r="PC94" s="286">
        <f t="shared" si="941"/>
        <v>0</v>
      </c>
      <c r="PD94" s="282">
        <f t="shared" si="942"/>
        <v>0</v>
      </c>
      <c r="PE94" s="282">
        <f t="shared" si="943"/>
        <v>-1762.5488095238088</v>
      </c>
      <c r="PF94" s="286">
        <f t="shared" si="944"/>
        <v>0</v>
      </c>
      <c r="PG94" s="286">
        <f t="shared" si="945"/>
        <v>0</v>
      </c>
      <c r="PH94" s="286">
        <f t="shared" si="946"/>
        <v>0</v>
      </c>
      <c r="PI94" s="286">
        <f t="shared" si="947"/>
        <v>0</v>
      </c>
      <c r="PJ94" s="286">
        <f t="shared" si="948"/>
        <v>0</v>
      </c>
      <c r="PK94" s="286">
        <f t="shared" si="949"/>
        <v>0</v>
      </c>
      <c r="PL94" s="286">
        <f t="shared" si="950"/>
        <v>0</v>
      </c>
      <c r="PM94" s="562">
        <v>38</v>
      </c>
      <c r="PO94" s="571"/>
    </row>
    <row r="95" spans="1:431" s="289" customFormat="1" ht="15.75" customHeight="1">
      <c r="A95" s="1050" t="s">
        <v>1160</v>
      </c>
      <c r="B95" s="1040" t="str">
        <f>VLOOKUP(A95,'Area (&amp;golfacre for lookup)'!$A$2:$B$162,2,FALSE)</f>
        <v>SE exc BOCA</v>
      </c>
      <c r="C95" s="1936"/>
      <c r="D95" s="1937">
        <v>44865</v>
      </c>
      <c r="E95" s="402"/>
      <c r="F95" s="1936">
        <v>1</v>
      </c>
      <c r="G95" s="1936">
        <v>1</v>
      </c>
      <c r="H95" s="1936">
        <v>349</v>
      </c>
      <c r="I95" s="1936">
        <v>125</v>
      </c>
      <c r="J95" s="1936">
        <v>474</v>
      </c>
      <c r="K95" s="1938">
        <v>408.73997833152765</v>
      </c>
      <c r="L95" s="1939" t="s">
        <v>1208</v>
      </c>
      <c r="M95" s="1939" t="s">
        <v>1208</v>
      </c>
      <c r="N95" s="1939" t="s">
        <v>1208</v>
      </c>
      <c r="O95" s="1939" t="s">
        <v>1208</v>
      </c>
      <c r="P95" s="1939" t="s">
        <v>1208</v>
      </c>
      <c r="Q95" s="1936">
        <v>75000</v>
      </c>
      <c r="R95" s="1936">
        <v>75000</v>
      </c>
      <c r="S95" s="1936">
        <v>150000</v>
      </c>
      <c r="T95" s="1939" t="s">
        <v>1208</v>
      </c>
      <c r="U95" s="1939" t="s">
        <v>1208</v>
      </c>
      <c r="V95" s="1939" t="s">
        <v>1208</v>
      </c>
      <c r="W95" s="1936">
        <v>24450</v>
      </c>
      <c r="X95" s="1936">
        <v>23075</v>
      </c>
      <c r="Y95" s="1939" t="s">
        <v>1208</v>
      </c>
      <c r="Z95" s="1939" t="s">
        <v>1208</v>
      </c>
      <c r="AA95" s="1936">
        <v>1375</v>
      </c>
      <c r="AB95" s="1362">
        <v>5.9588299024918745E-2</v>
      </c>
      <c r="AC95" s="1939" t="s">
        <v>1208</v>
      </c>
      <c r="AD95" s="1363" t="s">
        <v>1208</v>
      </c>
      <c r="AE95" s="1936">
        <v>1</v>
      </c>
      <c r="AF95" s="1936">
        <v>1300</v>
      </c>
      <c r="AG95" s="1939" t="s">
        <v>1208</v>
      </c>
      <c r="AH95" s="1936">
        <v>0</v>
      </c>
      <c r="AI95" s="1936">
        <v>0</v>
      </c>
      <c r="AJ95" s="1939" t="s">
        <v>1208</v>
      </c>
      <c r="AK95" s="1938">
        <v>1</v>
      </c>
      <c r="AL95" s="1938">
        <v>1500</v>
      </c>
      <c r="AM95" s="1936">
        <v>25875</v>
      </c>
      <c r="AN95" s="1939" t="s">
        <v>1208</v>
      </c>
      <c r="AO95" s="1936">
        <v>1200</v>
      </c>
      <c r="AP95" s="1936">
        <v>0</v>
      </c>
      <c r="AQ95" s="1936">
        <v>27075</v>
      </c>
      <c r="AR95" s="1939" t="s">
        <v>1208</v>
      </c>
      <c r="AS95" s="1363" t="s">
        <v>1208</v>
      </c>
      <c r="AT95" s="1363" t="s">
        <v>1208</v>
      </c>
      <c r="AU95" s="1363" t="s">
        <v>1208</v>
      </c>
      <c r="AV95" s="1363" t="s">
        <v>1208</v>
      </c>
      <c r="AW95" s="1363" t="s">
        <v>1291</v>
      </c>
      <c r="AX95" s="1938">
        <v>0</v>
      </c>
      <c r="AY95" s="1938">
        <v>1</v>
      </c>
      <c r="AZ95" s="1938">
        <v>0</v>
      </c>
      <c r="BA95" s="1938">
        <v>0</v>
      </c>
      <c r="BB95" s="1938">
        <v>0</v>
      </c>
      <c r="BC95" s="1938">
        <v>0</v>
      </c>
      <c r="BD95" s="1938">
        <v>0</v>
      </c>
      <c r="BE95" s="1936">
        <v>0</v>
      </c>
      <c r="BF95" s="1936">
        <v>0</v>
      </c>
      <c r="BG95" s="1936">
        <v>979631</v>
      </c>
      <c r="BH95" s="1936">
        <v>979631</v>
      </c>
      <c r="BI95" s="1938">
        <v>32084176</v>
      </c>
      <c r="BJ95" s="1936">
        <v>1572616</v>
      </c>
      <c r="BK95" s="1936">
        <v>1960016</v>
      </c>
      <c r="BL95" s="1362">
        <v>0.80234855225671631</v>
      </c>
      <c r="BM95" s="1936">
        <v>1</v>
      </c>
      <c r="BN95" s="1936">
        <v>4970256</v>
      </c>
      <c r="BO95" s="1363" t="s">
        <v>1208</v>
      </c>
      <c r="BP95" s="1938">
        <v>6029098</v>
      </c>
      <c r="BQ95" s="1938">
        <v>6230476</v>
      </c>
      <c r="BR95" s="1940">
        <v>0.96767855297091265</v>
      </c>
      <c r="BS95" s="1409">
        <v>0</v>
      </c>
      <c r="BT95" s="1938">
        <v>10262210</v>
      </c>
      <c r="BU95" s="1938">
        <v>29952434</v>
      </c>
      <c r="BV95" s="1940">
        <v>0.34261689717770516</v>
      </c>
      <c r="BW95" s="1936">
        <v>12159.945842069408</v>
      </c>
      <c r="BX95" s="1936">
        <v>3847.4729250106684</v>
      </c>
      <c r="BY95" s="1936">
        <v>2396.7095266747419</v>
      </c>
      <c r="BZ95" s="1936">
        <v>1192957</v>
      </c>
      <c r="CA95" s="1936">
        <v>263821</v>
      </c>
      <c r="CB95" s="1936">
        <v>570139</v>
      </c>
      <c r="CC95" s="1936">
        <v>668001</v>
      </c>
      <c r="CD95" s="1936">
        <v>9431675</v>
      </c>
      <c r="CE95" s="1936">
        <v>0</v>
      </c>
      <c r="CF95" s="1936">
        <v>0</v>
      </c>
      <c r="CG95" s="1936">
        <v>2377212</v>
      </c>
      <c r="CH95" s="1936">
        <v>817241</v>
      </c>
      <c r="CI95" s="1936">
        <v>250520</v>
      </c>
      <c r="CJ95" s="1936">
        <v>15571566</v>
      </c>
      <c r="CK95" s="1366">
        <v>7.661124128427417E-2</v>
      </c>
      <c r="CL95" s="1366">
        <v>1.6942483498448391E-2</v>
      </c>
      <c r="CM95" s="1366">
        <v>3.6614108047963834E-2</v>
      </c>
      <c r="CN95" s="1366">
        <v>4.2898768177844153E-2</v>
      </c>
      <c r="CO95" s="1366">
        <v>0.60569855337607026</v>
      </c>
      <c r="CP95" s="1366">
        <v>0</v>
      </c>
      <c r="CQ95" s="1366">
        <v>0</v>
      </c>
      <c r="CR95" s="1366">
        <v>0.15266364346399072</v>
      </c>
      <c r="CS95" s="1366">
        <v>5.2482903774739159E-2</v>
      </c>
      <c r="CT95" s="1366">
        <v>1.6088298376669374E-2</v>
      </c>
      <c r="CU95" s="1366">
        <v>1</v>
      </c>
      <c r="CV95" s="1936">
        <v>9510006</v>
      </c>
      <c r="CW95" s="1936">
        <v>1635914</v>
      </c>
      <c r="CX95" s="1936">
        <v>768798</v>
      </c>
      <c r="CY95" s="1936">
        <v>3506125</v>
      </c>
      <c r="CZ95" s="1936">
        <v>449589</v>
      </c>
      <c r="DA95" s="1936">
        <v>342050</v>
      </c>
      <c r="DB95" s="1936">
        <v>16212482</v>
      </c>
      <c r="DC95" s="1366">
        <v>0.58658544694143688</v>
      </c>
      <c r="DD95" s="1366">
        <v>0.10090459930811334</v>
      </c>
      <c r="DE95" s="1366">
        <v>4.7420129749411594E-2</v>
      </c>
      <c r="DF95" s="1366">
        <v>0.21626084149237607</v>
      </c>
      <c r="DG95" s="1366">
        <v>2.7731040811641301E-2</v>
      </c>
      <c r="DH95" s="1366">
        <v>2.1097941697020849E-2</v>
      </c>
      <c r="DI95" s="1366">
        <v>1</v>
      </c>
      <c r="DJ95" s="1936">
        <v>-640916</v>
      </c>
      <c r="DK95" s="1936">
        <v>2918.6207937614472</v>
      </c>
      <c r="DL95" s="1936">
        <v>645.44946417258859</v>
      </c>
      <c r="DM95" s="1936">
        <v>1394.8696732022679</v>
      </c>
      <c r="DN95" s="1936">
        <v>1634.2932803558222</v>
      </c>
      <c r="DO95" s="1936">
        <v>23075</v>
      </c>
      <c r="DP95" s="1936">
        <v>0</v>
      </c>
      <c r="DQ95" s="1936">
        <v>0</v>
      </c>
      <c r="DR95" s="1936">
        <v>5815.9517689063714</v>
      </c>
      <c r="DS95" s="1936">
        <v>1999.4153822094165</v>
      </c>
      <c r="DT95" s="1936">
        <v>612.90799354303442</v>
      </c>
      <c r="DU95" s="1936">
        <v>38096.508356150945</v>
      </c>
      <c r="DV95" s="1936">
        <v>23266.640172609848</v>
      </c>
      <c r="DW95" s="1936">
        <v>4002.3342142302399</v>
      </c>
      <c r="DX95" s="1936">
        <v>1880.8974916968618</v>
      </c>
      <c r="DY95" s="1936">
        <v>8577.8861522476127</v>
      </c>
      <c r="DZ95" s="1936">
        <v>1099.9388947350285</v>
      </c>
      <c r="EA95" s="1936">
        <v>836.84008937967008</v>
      </c>
      <c r="EB95" s="1936">
        <v>39664.537014899259</v>
      </c>
      <c r="EC95" s="1936">
        <v>-1568.0286587483135</v>
      </c>
      <c r="ED95" s="1941">
        <v>145</v>
      </c>
      <c r="EE95" s="1936">
        <v>1</v>
      </c>
      <c r="EF95" s="1936">
        <v>40</v>
      </c>
      <c r="EG95" s="1938">
        <v>250000</v>
      </c>
      <c r="EH95" s="1938">
        <v>1</v>
      </c>
      <c r="EI95" s="1368">
        <v>0.15</v>
      </c>
      <c r="EJ95" s="1936">
        <v>2.8188964022863976</v>
      </c>
      <c r="EK95" s="1936">
        <v>1</v>
      </c>
      <c r="EL95" s="1936">
        <v>1200</v>
      </c>
      <c r="EM95" s="1936">
        <v>0</v>
      </c>
      <c r="EN95" s="1362">
        <v>0</v>
      </c>
      <c r="EO95" s="1936">
        <v>0</v>
      </c>
      <c r="EP95" s="1936">
        <v>0</v>
      </c>
      <c r="EQ95" s="1936">
        <v>0</v>
      </c>
      <c r="ER95" s="1938">
        <v>1</v>
      </c>
      <c r="ES95" s="1936">
        <v>7815.3671511157872</v>
      </c>
      <c r="ET95" s="1936">
        <v>-6272.0657041299655</v>
      </c>
      <c r="EU95" s="1938">
        <v>2</v>
      </c>
      <c r="EV95" s="1936">
        <v>63081</v>
      </c>
      <c r="EW95" s="1936">
        <v>6000</v>
      </c>
      <c r="EX95" s="1938">
        <v>0</v>
      </c>
      <c r="EY95" s="1936">
        <v>2377212</v>
      </c>
      <c r="EZ95" s="1936">
        <v>1353337</v>
      </c>
      <c r="FA95" s="1936">
        <v>1023875</v>
      </c>
      <c r="FB95" s="1936">
        <v>817241</v>
      </c>
      <c r="FC95" s="1936">
        <v>282577</v>
      </c>
      <c r="FD95" s="1936">
        <v>534664</v>
      </c>
      <c r="FE95" s="1936">
        <v>3194453</v>
      </c>
      <c r="FF95" s="1936">
        <v>1635914</v>
      </c>
      <c r="FG95" s="1936">
        <v>1558539</v>
      </c>
      <c r="FH95" s="1366">
        <v>1</v>
      </c>
      <c r="FI95" s="1366">
        <v>0.56929588105730577</v>
      </c>
      <c r="FJ95" s="1366">
        <v>0.43070411894269423</v>
      </c>
      <c r="FK95" s="1366">
        <v>1</v>
      </c>
      <c r="FL95" s="1366">
        <v>0.34576948537824215</v>
      </c>
      <c r="FM95" s="1366">
        <v>0.65423051462175785</v>
      </c>
      <c r="FN95" s="1366">
        <v>1</v>
      </c>
      <c r="FO95" s="1366">
        <v>0.51211083712923622</v>
      </c>
      <c r="FP95" s="1366">
        <v>0.48788916287076378</v>
      </c>
      <c r="FQ95" s="1936">
        <v>2933300</v>
      </c>
      <c r="FR95" s="1936">
        <v>0</v>
      </c>
      <c r="FS95" s="1936">
        <v>481867</v>
      </c>
      <c r="FT95" s="1936">
        <v>50432</v>
      </c>
      <c r="FU95" s="1936">
        <v>0</v>
      </c>
      <c r="FV95" s="1936">
        <v>81911</v>
      </c>
      <c r="FW95" s="1936">
        <v>574673</v>
      </c>
      <c r="FX95" s="1936">
        <v>4122183</v>
      </c>
      <c r="FY95" s="1936">
        <v>-2563644</v>
      </c>
      <c r="FZ95" s="1366">
        <v>0.91824797547498738</v>
      </c>
      <c r="GA95" s="1366">
        <v>0</v>
      </c>
      <c r="GB95" s="1366">
        <v>0.15084491773708988</v>
      </c>
      <c r="GC95" s="1366">
        <v>1.5787366412966478E-2</v>
      </c>
      <c r="GD95" s="1366">
        <v>0</v>
      </c>
      <c r="GE95" s="1366">
        <v>2.5641635672836633E-2</v>
      </c>
      <c r="GF95" s="1366">
        <v>0.17989715297110334</v>
      </c>
      <c r="GG95" s="1366">
        <v>1.2904190482689837</v>
      </c>
      <c r="GH95" s="1366">
        <v>-0.80252988539822001</v>
      </c>
      <c r="GI95" s="1942">
        <v>2.9088261602146734</v>
      </c>
      <c r="GJ95" s="1943">
        <v>1</v>
      </c>
      <c r="GK95" s="1371">
        <v>0.1</v>
      </c>
      <c r="GL95" s="1943">
        <v>1</v>
      </c>
      <c r="GM95" s="1371">
        <v>0.1</v>
      </c>
      <c r="GN95" s="1943">
        <v>18</v>
      </c>
      <c r="GO95" s="1985">
        <f>IF(GN95=0,0,VLOOKUP(A95,'Area (&amp;golfacre for lookup)'!$G$2:$H$133,2,FALSE))</f>
        <v>115</v>
      </c>
      <c r="GP95" s="1943">
        <v>28480</v>
      </c>
      <c r="GQ95" s="1943">
        <v>1177363</v>
      </c>
      <c r="GR95" s="1943">
        <v>217600</v>
      </c>
      <c r="GS95" s="1943">
        <v>643044</v>
      </c>
      <c r="GT95" s="1943">
        <v>85276</v>
      </c>
      <c r="GU95" s="1943">
        <v>146033</v>
      </c>
      <c r="GV95" s="1943">
        <v>239640.80000000005</v>
      </c>
      <c r="GW95" s="1943">
        <v>2508956.7999999998</v>
      </c>
      <c r="GX95" s="1943">
        <v>139386.48888888888</v>
      </c>
      <c r="GY95" s="1985">
        <f t="shared" si="764"/>
        <v>21817.015652173912</v>
      </c>
      <c r="GZ95" s="1366">
        <v>0.46926395863013665</v>
      </c>
      <c r="HA95" s="1366">
        <v>8.6729273297969908E-2</v>
      </c>
      <c r="HB95" s="1366">
        <v>0.25629935118850994</v>
      </c>
      <c r="HC95" s="1366">
        <v>3.3988628261754049E-2</v>
      </c>
      <c r="HD95" s="1366">
        <v>5.8204668968393561E-2</v>
      </c>
      <c r="HE95" s="1366">
        <v>9.5514119653235988E-2</v>
      </c>
      <c r="HF95" s="1366">
        <v>1</v>
      </c>
      <c r="HG95" s="1936">
        <v>0</v>
      </c>
      <c r="HH95" s="1988">
        <f>IF(HG95=0,0,VLOOKUP(A95,'Area (&amp;golfacre for lookup)'!$G$2:$H$134,2,FALSE))</f>
        <v>0</v>
      </c>
      <c r="HI95" s="1936">
        <v>0</v>
      </c>
      <c r="HJ95" s="1936">
        <v>0</v>
      </c>
      <c r="HK95" s="1936">
        <v>0</v>
      </c>
      <c r="HL95" s="1936">
        <v>0</v>
      </c>
      <c r="HM95" s="1936">
        <v>0</v>
      </c>
      <c r="HN95" s="1936">
        <v>0</v>
      </c>
      <c r="HO95" s="1936">
        <v>0</v>
      </c>
      <c r="HP95" s="1936">
        <v>0</v>
      </c>
      <c r="HQ95" s="1936">
        <v>0</v>
      </c>
      <c r="HR95" s="1988">
        <f t="shared" si="765"/>
        <v>0</v>
      </c>
      <c r="HS95" s="1936">
        <v>0</v>
      </c>
      <c r="HT95" s="1936">
        <v>0</v>
      </c>
      <c r="HU95" s="1936">
        <v>0</v>
      </c>
      <c r="HV95" s="1936">
        <v>0</v>
      </c>
      <c r="HW95" s="1936">
        <v>0</v>
      </c>
      <c r="HX95" s="1936">
        <v>0</v>
      </c>
      <c r="HY95" s="1936">
        <v>0</v>
      </c>
      <c r="HZ95" s="51"/>
      <c r="IA95" s="59">
        <f t="shared" si="767"/>
        <v>0.5</v>
      </c>
      <c r="IB95" s="59"/>
      <c r="IC95" s="815">
        <f t="shared" si="768"/>
        <v>1</v>
      </c>
      <c r="ID95" s="815"/>
      <c r="IE95" s="284">
        <f t="shared" si="769"/>
        <v>0</v>
      </c>
      <c r="IF95" s="284"/>
      <c r="IG95" s="284">
        <f t="shared" si="770"/>
        <v>78495.321477892314</v>
      </c>
      <c r="IH95" s="284"/>
      <c r="II95" s="1288">
        <f t="shared" si="771"/>
        <v>0</v>
      </c>
      <c r="IJ95" s="1288">
        <f t="shared" si="772"/>
        <v>0.96767855297091265</v>
      </c>
      <c r="IK95" s="284">
        <f t="shared" si="773"/>
        <v>0</v>
      </c>
      <c r="IL95" s="284">
        <f t="shared" si="774"/>
        <v>0</v>
      </c>
      <c r="IM95" s="284">
        <f t="shared" si="775"/>
        <v>0</v>
      </c>
      <c r="IN95" s="284">
        <f t="shared" si="776"/>
        <v>0</v>
      </c>
      <c r="IO95" s="753">
        <f t="shared" si="777"/>
        <v>-5408.5316455696202</v>
      </c>
      <c r="IP95" s="113">
        <f t="shared" si="778"/>
        <v>-6272.0657041299655</v>
      </c>
      <c r="IQ95" s="30">
        <f t="shared" si="779"/>
        <v>-0.27181216485937015</v>
      </c>
      <c r="IR95" s="438">
        <f t="shared" si="780"/>
        <v>2377212</v>
      </c>
      <c r="IS95" s="438">
        <f t="shared" si="781"/>
        <v>817241</v>
      </c>
      <c r="IT95" s="438">
        <f t="shared" si="782"/>
        <v>2933300</v>
      </c>
      <c r="IU95" s="438">
        <f t="shared" si="783"/>
        <v>532299</v>
      </c>
      <c r="IV95" s="438">
        <f t="shared" si="784"/>
        <v>1635914</v>
      </c>
      <c r="IW95" s="438">
        <f t="shared" si="785"/>
        <v>656584</v>
      </c>
      <c r="IX95" s="285">
        <f t="shared" si="786"/>
        <v>0.74416871996551526</v>
      </c>
      <c r="IY95" s="285">
        <f t="shared" si="787"/>
        <v>0.2558312800344848</v>
      </c>
      <c r="IZ95" s="285">
        <f t="shared" si="788"/>
        <v>0.91824797547498738</v>
      </c>
      <c r="JA95" s="285">
        <f t="shared" si="789"/>
        <v>0.16663228415005638</v>
      </c>
      <c r="JB95" s="285">
        <f t="shared" si="790"/>
        <v>0.51211083712923622</v>
      </c>
      <c r="JC95" s="285">
        <f t="shared" si="791"/>
        <v>0.20553878864393998</v>
      </c>
      <c r="JD95" s="60">
        <f t="shared" si="792"/>
        <v>9431675</v>
      </c>
      <c r="JE95" s="60">
        <f t="shared" si="793"/>
        <v>2694918</v>
      </c>
      <c r="JF95" s="60">
        <f t="shared" si="794"/>
        <v>0</v>
      </c>
      <c r="JG95" s="60">
        <f t="shared" si="795"/>
        <v>791639</v>
      </c>
      <c r="JH95" s="284">
        <f t="shared" si="796"/>
        <v>0</v>
      </c>
      <c r="JI95" s="284">
        <f t="shared" si="797"/>
        <v>1</v>
      </c>
      <c r="JJ95" s="560">
        <f t="shared" si="798"/>
        <v>1.3484395910470954</v>
      </c>
      <c r="JK95" s="561">
        <f t="shared" si="799"/>
        <v>0.61072894017210599</v>
      </c>
      <c r="JL95" s="561">
        <f t="shared" si="800"/>
        <v>0.10505777004059835</v>
      </c>
      <c r="JM95" s="561">
        <f t="shared" si="801"/>
        <v>4.9371912882750522E-2</v>
      </c>
      <c r="JN95" s="561">
        <f t="shared" si="802"/>
        <v>0.22516200361607819</v>
      </c>
      <c r="JO95" s="561">
        <f t="shared" si="803"/>
        <v>2.8872433254304674E-2</v>
      </c>
      <c r="JP95" s="561">
        <f t="shared" si="804"/>
        <v>2.1966319893580388E-2</v>
      </c>
      <c r="JQ95" s="561">
        <f t="shared" si="805"/>
        <v>1.0411593798594183</v>
      </c>
      <c r="JR95" s="61">
        <f t="shared" si="806"/>
        <v>65409.055555555555</v>
      </c>
      <c r="JS95" s="61">
        <f t="shared" si="807"/>
        <v>12088.888888888889</v>
      </c>
      <c r="JT95" s="61">
        <f t="shared" si="808"/>
        <v>35724.666666666664</v>
      </c>
      <c r="JU95" s="61">
        <f t="shared" si="809"/>
        <v>4737.5555555555557</v>
      </c>
      <c r="JV95" s="61">
        <f t="shared" si="810"/>
        <v>8112.9444444444443</v>
      </c>
      <c r="JW95" s="61">
        <f t="shared" si="811"/>
        <v>13313.37777777778</v>
      </c>
      <c r="JX95" s="61">
        <f t="shared" si="812"/>
        <v>88.095393258426967</v>
      </c>
      <c r="JY95" s="394">
        <f t="shared" si="813"/>
        <v>0.15475463904909809</v>
      </c>
      <c r="JZ95" s="61">
        <f t="shared" si="814"/>
        <v>0</v>
      </c>
      <c r="KA95" s="61">
        <f t="shared" si="815"/>
        <v>0</v>
      </c>
      <c r="KB95" s="61">
        <f t="shared" si="816"/>
        <v>0</v>
      </c>
      <c r="KC95" s="61">
        <f t="shared" si="817"/>
        <v>0</v>
      </c>
      <c r="KD95" s="61">
        <f t="shared" si="818"/>
        <v>0</v>
      </c>
      <c r="KE95" s="61">
        <f t="shared" si="819"/>
        <v>0</v>
      </c>
      <c r="KF95" s="61">
        <f t="shared" si="820"/>
        <v>0</v>
      </c>
      <c r="KG95" s="61">
        <f t="shared" si="821"/>
        <v>0</v>
      </c>
      <c r="KH95" s="61">
        <f t="shared" si="822"/>
        <v>0</v>
      </c>
      <c r="KI95" s="394">
        <f t="shared" si="823"/>
        <v>0</v>
      </c>
      <c r="KJ95" s="438">
        <f t="shared" si="824"/>
        <v>18</v>
      </c>
      <c r="KK95" s="438">
        <f t="shared" si="825"/>
        <v>28480</v>
      </c>
      <c r="KL95" s="438">
        <f t="shared" si="826"/>
        <v>115</v>
      </c>
      <c r="KM95" s="438">
        <f t="shared" si="827"/>
        <v>139386.48888888888</v>
      </c>
      <c r="KN95" s="438">
        <f t="shared" si="828"/>
        <v>88.095393258426967</v>
      </c>
      <c r="KO95" s="438">
        <f t="shared" si="829"/>
        <v>21817.015652173912</v>
      </c>
      <c r="KP95" s="438">
        <f t="shared" si="830"/>
        <v>1177363</v>
      </c>
      <c r="KQ95" s="438">
        <f t="shared" si="831"/>
        <v>217600</v>
      </c>
      <c r="KR95" s="438">
        <f t="shared" si="832"/>
        <v>643044</v>
      </c>
      <c r="KS95" s="438">
        <f t="shared" si="833"/>
        <v>85276</v>
      </c>
      <c r="KT95" s="438">
        <f t="shared" si="834"/>
        <v>146033</v>
      </c>
      <c r="KU95" s="438">
        <f t="shared" si="835"/>
        <v>239640.80000000005</v>
      </c>
      <c r="KV95" s="420">
        <f t="shared" si="836"/>
        <v>0.15475463904909809</v>
      </c>
      <c r="KW95" s="420">
        <f t="shared" si="837"/>
        <v>-0.24060583088369775</v>
      </c>
      <c r="KX95" s="108"/>
      <c r="KY95" s="282">
        <f t="shared" si="838"/>
        <v>0</v>
      </c>
      <c r="KZ95" s="282"/>
      <c r="LA95" s="282">
        <f t="shared" si="839"/>
        <v>0</v>
      </c>
      <c r="LB95" s="282"/>
      <c r="LC95" s="286">
        <f t="shared" si="840"/>
        <v>0</v>
      </c>
      <c r="LD95" s="286"/>
      <c r="LE95" s="282">
        <f t="shared" si="841"/>
        <v>0</v>
      </c>
      <c r="LF95" s="282"/>
      <c r="LG95" s="282">
        <f t="shared" si="842"/>
        <v>0</v>
      </c>
      <c r="LH95" s="282">
        <f t="shared" si="843"/>
        <v>0</v>
      </c>
      <c r="LI95" s="282">
        <f t="shared" si="844"/>
        <v>0</v>
      </c>
      <c r="LJ95" s="282">
        <f t="shared" si="845"/>
        <v>0</v>
      </c>
      <c r="LK95" s="282"/>
      <c r="LL95" s="282">
        <f t="shared" si="846"/>
        <v>0</v>
      </c>
      <c r="LM95" s="282">
        <f t="shared" si="847"/>
        <v>0</v>
      </c>
      <c r="LN95" s="282">
        <f t="shared" si="848"/>
        <v>0</v>
      </c>
      <c r="LO95" s="282">
        <f t="shared" si="849"/>
        <v>0</v>
      </c>
      <c r="LP95" s="286">
        <f t="shared" si="850"/>
        <v>0</v>
      </c>
      <c r="LQ95" s="282">
        <f t="shared" si="851"/>
        <v>0</v>
      </c>
      <c r="LR95" s="282">
        <f t="shared" si="852"/>
        <v>0</v>
      </c>
      <c r="LS95" s="282">
        <f t="shared" si="853"/>
        <v>0</v>
      </c>
      <c r="LT95" s="286">
        <f t="shared" si="854"/>
        <v>0</v>
      </c>
      <c r="LU95" s="286">
        <f t="shared" si="855"/>
        <v>0</v>
      </c>
      <c r="LV95" s="286">
        <f t="shared" si="856"/>
        <v>0</v>
      </c>
      <c r="LW95" s="286">
        <f t="shared" si="857"/>
        <v>0</v>
      </c>
      <c r="LX95" s="286">
        <f t="shared" si="858"/>
        <v>0</v>
      </c>
      <c r="LY95" s="286">
        <f t="shared" si="859"/>
        <v>0</v>
      </c>
      <c r="LZ95" s="286">
        <f t="shared" si="860"/>
        <v>0</v>
      </c>
      <c r="MA95" s="286">
        <f t="shared" si="861"/>
        <v>0</v>
      </c>
      <c r="MB95" s="286">
        <f t="shared" si="862"/>
        <v>0</v>
      </c>
      <c r="MC95" s="286">
        <f t="shared" si="863"/>
        <v>0</v>
      </c>
      <c r="MD95" s="286">
        <f t="shared" si="864"/>
        <v>0</v>
      </c>
      <c r="ME95" s="286">
        <f t="shared" si="865"/>
        <v>0</v>
      </c>
      <c r="MF95" s="286">
        <f t="shared" si="866"/>
        <v>0</v>
      </c>
      <c r="MG95" s="286">
        <f t="shared" si="867"/>
        <v>0</v>
      </c>
      <c r="MH95" s="286">
        <f t="shared" si="868"/>
        <v>0</v>
      </c>
      <c r="MI95" s="286">
        <f t="shared" si="869"/>
        <v>0</v>
      </c>
      <c r="MJ95" s="286">
        <f t="shared" si="870"/>
        <v>0</v>
      </c>
      <c r="MK95" s="286">
        <f t="shared" si="871"/>
        <v>0</v>
      </c>
      <c r="ML95" s="282">
        <f t="shared" si="872"/>
        <v>0</v>
      </c>
      <c r="MM95" s="1232">
        <f t="shared" si="873"/>
        <v>0</v>
      </c>
      <c r="MN95" s="1232">
        <f t="shared" si="874"/>
        <v>0</v>
      </c>
      <c r="MO95" s="1232">
        <f t="shared" si="875"/>
        <v>0</v>
      </c>
      <c r="MP95" s="1232">
        <f t="shared" si="876"/>
        <v>0</v>
      </c>
      <c r="MQ95" s="282">
        <f t="shared" si="877"/>
        <v>0</v>
      </c>
      <c r="MR95" s="282">
        <f t="shared" si="878"/>
        <v>0</v>
      </c>
      <c r="MS95" s="282">
        <f t="shared" si="879"/>
        <v>0</v>
      </c>
      <c r="MT95" s="282">
        <f t="shared" si="880"/>
        <v>0</v>
      </c>
      <c r="MU95" s="282">
        <f t="shared" si="881"/>
        <v>0</v>
      </c>
      <c r="MV95" s="282">
        <f t="shared" si="882"/>
        <v>0</v>
      </c>
      <c r="MW95" s="282">
        <f t="shared" si="883"/>
        <v>0</v>
      </c>
      <c r="MX95" s="282">
        <f t="shared" si="884"/>
        <v>0</v>
      </c>
      <c r="MY95" s="282">
        <f t="shared" si="885"/>
        <v>0</v>
      </c>
      <c r="MZ95" s="282">
        <f t="shared" si="886"/>
        <v>0</v>
      </c>
      <c r="NA95" s="282">
        <f t="shared" si="887"/>
        <v>0</v>
      </c>
      <c r="NB95" s="282">
        <f t="shared" si="888"/>
        <v>0</v>
      </c>
      <c r="NC95" s="282">
        <f t="shared" si="889"/>
        <v>0</v>
      </c>
      <c r="ND95" s="282">
        <f t="shared" si="890"/>
        <v>0</v>
      </c>
      <c r="NE95" s="282">
        <f t="shared" si="891"/>
        <v>0</v>
      </c>
      <c r="NF95" s="282">
        <f t="shared" si="892"/>
        <v>0</v>
      </c>
      <c r="NG95" s="282">
        <f t="shared" si="893"/>
        <v>0</v>
      </c>
      <c r="NH95" s="282">
        <f t="shared" si="894"/>
        <v>0</v>
      </c>
      <c r="NI95" s="282">
        <f t="shared" si="895"/>
        <v>0</v>
      </c>
      <c r="NJ95" s="282">
        <f t="shared" si="896"/>
        <v>0</v>
      </c>
      <c r="NK95" s="282">
        <f t="shared" si="897"/>
        <v>0</v>
      </c>
      <c r="NL95" s="282">
        <f t="shared" si="898"/>
        <v>0</v>
      </c>
      <c r="NM95" s="1205">
        <f t="shared" si="899"/>
        <v>0</v>
      </c>
      <c r="NN95" s="282">
        <f t="shared" si="900"/>
        <v>0</v>
      </c>
      <c r="NO95" s="282">
        <f t="shared" si="901"/>
        <v>0</v>
      </c>
      <c r="NP95" s="282">
        <f t="shared" si="902"/>
        <v>0</v>
      </c>
      <c r="NQ95" s="282">
        <f t="shared" si="903"/>
        <v>0</v>
      </c>
      <c r="NR95" s="282">
        <f t="shared" si="904"/>
        <v>0</v>
      </c>
      <c r="NS95" s="282">
        <f t="shared" si="905"/>
        <v>0</v>
      </c>
      <c r="NT95" s="282">
        <f t="shared" si="906"/>
        <v>0</v>
      </c>
      <c r="NU95" s="282">
        <f t="shared" si="907"/>
        <v>0</v>
      </c>
      <c r="NV95" s="286">
        <f t="shared" si="908"/>
        <v>0</v>
      </c>
      <c r="NW95" s="286">
        <f t="shared" si="909"/>
        <v>0</v>
      </c>
      <c r="NX95" s="286">
        <f t="shared" si="910"/>
        <v>0</v>
      </c>
      <c r="NY95" s="286">
        <f t="shared" si="911"/>
        <v>0</v>
      </c>
      <c r="NZ95" s="286">
        <f t="shared" si="912"/>
        <v>0</v>
      </c>
      <c r="OA95" s="286">
        <f t="shared" si="913"/>
        <v>0</v>
      </c>
      <c r="OB95" s="286">
        <f t="shared" si="914"/>
        <v>0</v>
      </c>
      <c r="OC95" s="286">
        <f t="shared" si="915"/>
        <v>0</v>
      </c>
      <c r="OD95" s="286">
        <f t="shared" si="916"/>
        <v>0</v>
      </c>
      <c r="OE95" s="282">
        <f t="shared" si="917"/>
        <v>0</v>
      </c>
      <c r="OF95" s="282">
        <f t="shared" si="918"/>
        <v>0</v>
      </c>
      <c r="OG95" s="286">
        <f t="shared" si="919"/>
        <v>0</v>
      </c>
      <c r="OH95" s="286">
        <f t="shared" si="920"/>
        <v>0</v>
      </c>
      <c r="OI95" s="286">
        <f t="shared" si="921"/>
        <v>0</v>
      </c>
      <c r="OJ95" s="286">
        <f t="shared" si="922"/>
        <v>0</v>
      </c>
      <c r="OK95" s="286">
        <f t="shared" si="923"/>
        <v>0</v>
      </c>
      <c r="OL95" s="286">
        <f t="shared" si="924"/>
        <v>0</v>
      </c>
      <c r="OM95" s="286">
        <f t="shared" si="925"/>
        <v>0</v>
      </c>
      <c r="ON95" s="286">
        <f t="shared" si="926"/>
        <v>0</v>
      </c>
      <c r="OO95" s="286">
        <f t="shared" si="927"/>
        <v>0</v>
      </c>
      <c r="OP95" s="434">
        <f t="shared" si="928"/>
        <v>0</v>
      </c>
      <c r="OQ95" s="434">
        <f t="shared" si="929"/>
        <v>0</v>
      </c>
      <c r="OR95" s="282">
        <f t="shared" si="930"/>
        <v>0</v>
      </c>
      <c r="OS95" s="282">
        <f t="shared" si="931"/>
        <v>0</v>
      </c>
      <c r="OT95" s="282">
        <f t="shared" si="932"/>
        <v>0</v>
      </c>
      <c r="OU95" s="282">
        <f t="shared" si="933"/>
        <v>0</v>
      </c>
      <c r="OV95" s="282">
        <f t="shared" si="934"/>
        <v>0</v>
      </c>
      <c r="OW95" s="286">
        <f t="shared" si="935"/>
        <v>0</v>
      </c>
      <c r="OX95" s="286">
        <f t="shared" si="936"/>
        <v>0</v>
      </c>
      <c r="OY95" s="286">
        <f t="shared" si="937"/>
        <v>0</v>
      </c>
      <c r="OZ95" s="286">
        <f t="shared" si="938"/>
        <v>0</v>
      </c>
      <c r="PA95" s="286">
        <f t="shared" si="939"/>
        <v>0</v>
      </c>
      <c r="PB95" s="286">
        <f t="shared" si="940"/>
        <v>0</v>
      </c>
      <c r="PC95" s="286">
        <f t="shared" si="941"/>
        <v>0</v>
      </c>
      <c r="PD95" s="282">
        <f t="shared" si="942"/>
        <v>0</v>
      </c>
      <c r="PE95" s="282">
        <f t="shared" si="943"/>
        <v>0</v>
      </c>
      <c r="PF95" s="286">
        <f t="shared" si="944"/>
        <v>0</v>
      </c>
      <c r="PG95" s="286">
        <f t="shared" si="945"/>
        <v>0</v>
      </c>
      <c r="PH95" s="286">
        <f t="shared" si="946"/>
        <v>0</v>
      </c>
      <c r="PI95" s="286">
        <f t="shared" si="947"/>
        <v>0</v>
      </c>
      <c r="PJ95" s="286">
        <f t="shared" si="948"/>
        <v>0</v>
      </c>
      <c r="PK95" s="286">
        <f t="shared" si="949"/>
        <v>0</v>
      </c>
      <c r="PL95" s="286">
        <f t="shared" si="950"/>
        <v>0</v>
      </c>
      <c r="PM95" s="562">
        <v>39</v>
      </c>
      <c r="PO95" s="571"/>
    </row>
    <row r="96" spans="1:431" s="289" customFormat="1" ht="15.75" customHeight="1">
      <c r="A96" s="1935" t="s">
        <v>550</v>
      </c>
      <c r="B96" s="1040" t="str">
        <f>VLOOKUP(A96,'Area (&amp;golfacre for lookup)'!$A$2:$B$162,2,FALSE)</f>
        <v>BOCA</v>
      </c>
      <c r="C96" s="1936"/>
      <c r="D96" s="1937">
        <v>44865</v>
      </c>
      <c r="E96" s="402"/>
      <c r="F96" s="1936">
        <v>1</v>
      </c>
      <c r="G96" s="1936">
        <v>1</v>
      </c>
      <c r="H96" s="1936">
        <v>396</v>
      </c>
      <c r="I96" s="1936">
        <v>686</v>
      </c>
      <c r="J96" s="1936">
        <v>1082</v>
      </c>
      <c r="K96" s="1938">
        <v>998.82359661421822</v>
      </c>
      <c r="L96" s="1939" t="s">
        <v>1208</v>
      </c>
      <c r="M96" s="1939" t="s">
        <v>1208</v>
      </c>
      <c r="N96" s="1939" t="s">
        <v>1208</v>
      </c>
      <c r="O96" s="1939" t="s">
        <v>1208</v>
      </c>
      <c r="P96" s="1939" t="s">
        <v>1208</v>
      </c>
      <c r="Q96" s="1936">
        <v>0</v>
      </c>
      <c r="R96" s="1979">
        <v>95000</v>
      </c>
      <c r="S96" s="1979">
        <v>95000</v>
      </c>
      <c r="T96" s="1939" t="s">
        <v>1208</v>
      </c>
      <c r="U96" s="1939" t="s">
        <v>1208</v>
      </c>
      <c r="V96" s="1939" t="s">
        <v>1208</v>
      </c>
      <c r="W96" s="1936">
        <v>21095</v>
      </c>
      <c r="X96" s="1936">
        <v>19257</v>
      </c>
      <c r="Y96" s="1939" t="s">
        <v>1208</v>
      </c>
      <c r="Z96" s="1939" t="s">
        <v>1208</v>
      </c>
      <c r="AA96" s="1936">
        <v>1838</v>
      </c>
      <c r="AB96" s="1362">
        <v>9.5445811912551276E-2</v>
      </c>
      <c r="AC96" s="1939" t="s">
        <v>1208</v>
      </c>
      <c r="AD96" s="1363" t="s">
        <v>1208</v>
      </c>
      <c r="AE96" s="1936">
        <v>0</v>
      </c>
      <c r="AF96" s="1936">
        <v>0</v>
      </c>
      <c r="AG96" s="1939" t="s">
        <v>1208</v>
      </c>
      <c r="AH96" s="1936">
        <v>0</v>
      </c>
      <c r="AI96" s="1936">
        <v>0</v>
      </c>
      <c r="AJ96" s="1939" t="s">
        <v>1208</v>
      </c>
      <c r="AK96" s="1938">
        <v>1</v>
      </c>
      <c r="AL96" s="1938">
        <v>2316</v>
      </c>
      <c r="AM96" s="1936">
        <v>21573</v>
      </c>
      <c r="AN96" s="1939" t="s">
        <v>1208</v>
      </c>
      <c r="AO96" s="1936">
        <v>1750</v>
      </c>
      <c r="AP96" s="1936">
        <v>0</v>
      </c>
      <c r="AQ96" s="1936">
        <v>23323</v>
      </c>
      <c r="AR96" s="1939" t="s">
        <v>1208</v>
      </c>
      <c r="AS96" s="1363" t="s">
        <v>1208</v>
      </c>
      <c r="AT96" s="1363" t="s">
        <v>1208</v>
      </c>
      <c r="AU96" s="1363" t="s">
        <v>1208</v>
      </c>
      <c r="AV96" s="1363" t="s">
        <v>1208</v>
      </c>
      <c r="AW96" s="1363" t="s">
        <v>1291</v>
      </c>
      <c r="AX96" s="1938">
        <v>1</v>
      </c>
      <c r="AY96" s="1938">
        <v>1</v>
      </c>
      <c r="AZ96" s="1938">
        <v>0</v>
      </c>
      <c r="BA96" s="1938">
        <v>0</v>
      </c>
      <c r="BB96" s="1938">
        <v>0</v>
      </c>
      <c r="BC96" s="1938">
        <v>1</v>
      </c>
      <c r="BD96" s="1938">
        <v>0</v>
      </c>
      <c r="BE96" s="1936">
        <v>1</v>
      </c>
      <c r="BF96" s="1936">
        <v>6500000</v>
      </c>
      <c r="BG96" s="1936">
        <v>2932973</v>
      </c>
      <c r="BH96" s="1936">
        <v>9432973</v>
      </c>
      <c r="BI96" s="1938">
        <v>28929821</v>
      </c>
      <c r="BJ96" s="1936">
        <v>5581735</v>
      </c>
      <c r="BK96" s="1936">
        <v>4697333</v>
      </c>
      <c r="BL96" s="1362">
        <v>1.1882774757506014</v>
      </c>
      <c r="BM96" s="1936">
        <v>1</v>
      </c>
      <c r="BN96" s="1936">
        <v>10089865</v>
      </c>
      <c r="BO96" s="1363" t="s">
        <v>1208</v>
      </c>
      <c r="BP96" s="1938">
        <v>6716444</v>
      </c>
      <c r="BQ96" s="1938">
        <v>5147268</v>
      </c>
      <c r="BR96" s="1940">
        <v>1.3048560906484761</v>
      </c>
      <c r="BS96" s="1409">
        <v>1</v>
      </c>
      <c r="BT96" s="1938">
        <v>12764137</v>
      </c>
      <c r="BU96" s="1938">
        <v>24679940</v>
      </c>
      <c r="BV96" s="1940">
        <v>0.51718671115083747</v>
      </c>
      <c r="BW96" s="1936">
        <v>10101.748731409947</v>
      </c>
      <c r="BX96" s="1936">
        <v>5588.3091057528027</v>
      </c>
      <c r="BY96" s="1936">
        <v>9444.0830512771263</v>
      </c>
      <c r="BZ96" s="1936">
        <v>1540586</v>
      </c>
      <c r="CA96" s="1936">
        <v>165487</v>
      </c>
      <c r="CB96" s="1936">
        <v>415408</v>
      </c>
      <c r="CC96" s="1936">
        <v>537818</v>
      </c>
      <c r="CD96" s="1936">
        <v>19234346</v>
      </c>
      <c r="CE96" s="1936">
        <v>0</v>
      </c>
      <c r="CF96" s="1936">
        <v>0</v>
      </c>
      <c r="CG96" s="1936">
        <v>3171413</v>
      </c>
      <c r="CH96" s="1936">
        <v>569531</v>
      </c>
      <c r="CI96" s="1936">
        <v>2084214</v>
      </c>
      <c r="CJ96" s="1936">
        <v>27718803</v>
      </c>
      <c r="CK96" s="1366">
        <v>5.5579095533093544E-2</v>
      </c>
      <c r="CL96" s="1366">
        <v>5.9702072993556036E-3</v>
      </c>
      <c r="CM96" s="1366">
        <v>1.4986505730424218E-2</v>
      </c>
      <c r="CN96" s="1366">
        <v>1.9402641593145274E-2</v>
      </c>
      <c r="CO96" s="1366">
        <v>0.69390969011179882</v>
      </c>
      <c r="CP96" s="1366">
        <v>0</v>
      </c>
      <c r="CQ96" s="1366">
        <v>0</v>
      </c>
      <c r="CR96" s="1366">
        <v>0.11441377897883974</v>
      </c>
      <c r="CS96" s="1366">
        <v>2.0546738616382534E-2</v>
      </c>
      <c r="CT96" s="1366">
        <v>7.5191342136960243E-2</v>
      </c>
      <c r="CU96" s="1366">
        <v>1</v>
      </c>
      <c r="CV96" s="1936">
        <v>14242387</v>
      </c>
      <c r="CW96" s="1936">
        <v>2345521</v>
      </c>
      <c r="CX96" s="1936">
        <v>360831</v>
      </c>
      <c r="CY96" s="1936">
        <v>9685109</v>
      </c>
      <c r="CZ96" s="1936">
        <v>0</v>
      </c>
      <c r="DA96" s="1936">
        <v>769739</v>
      </c>
      <c r="DB96" s="1936">
        <v>27403587</v>
      </c>
      <c r="DC96" s="1366">
        <v>0.51972710725789295</v>
      </c>
      <c r="DD96" s="1366">
        <v>8.5591751182062401E-2</v>
      </c>
      <c r="DE96" s="1366">
        <v>1.3167290836779871E-2</v>
      </c>
      <c r="DF96" s="1366">
        <v>0.35342486368664072</v>
      </c>
      <c r="DG96" s="1366">
        <v>0</v>
      </c>
      <c r="DH96" s="1366">
        <v>2.8088987036624075E-2</v>
      </c>
      <c r="DI96" s="1366">
        <v>1</v>
      </c>
      <c r="DJ96" s="1936">
        <v>315216</v>
      </c>
      <c r="DK96" s="1936">
        <v>1542.4004851529653</v>
      </c>
      <c r="DL96" s="1936">
        <v>165.6819087584262</v>
      </c>
      <c r="DM96" s="1936">
        <v>415.89726294826971</v>
      </c>
      <c r="DN96" s="1936">
        <v>538.45143609249828</v>
      </c>
      <c r="DO96" s="1936">
        <v>19257</v>
      </c>
      <c r="DP96" s="1936">
        <v>0</v>
      </c>
      <c r="DQ96" s="1936">
        <v>0</v>
      </c>
      <c r="DR96" s="1936">
        <v>3175.1482551577265</v>
      </c>
      <c r="DS96" s="1936">
        <v>570.20178731317401</v>
      </c>
      <c r="DT96" s="1936">
        <v>2086.6687641992089</v>
      </c>
      <c r="DU96" s="1936">
        <v>27751.449899622268</v>
      </c>
      <c r="DV96" s="1936">
        <v>14259.161525897474</v>
      </c>
      <c r="DW96" s="1936">
        <v>2348.2835286939312</v>
      </c>
      <c r="DX96" s="1936">
        <v>361.25598276125424</v>
      </c>
      <c r="DY96" s="1936">
        <v>9696.5160142694731</v>
      </c>
      <c r="DZ96" s="1936">
        <v>0</v>
      </c>
      <c r="EA96" s="1936">
        <v>770.64559008140952</v>
      </c>
      <c r="EB96" s="1936">
        <v>27435.862641703545</v>
      </c>
      <c r="EC96" s="1936">
        <v>315.58725791872519</v>
      </c>
      <c r="ED96" s="1941">
        <v>290</v>
      </c>
      <c r="EE96" s="1936">
        <v>1</v>
      </c>
      <c r="EF96" s="1936">
        <v>24</v>
      </c>
      <c r="EG96" s="1938">
        <v>180000</v>
      </c>
      <c r="EH96" s="1938">
        <v>1</v>
      </c>
      <c r="EI96" s="1368">
        <v>0.11</v>
      </c>
      <c r="EJ96" s="1936">
        <v>3.4442192986697182</v>
      </c>
      <c r="EK96" s="1936">
        <v>1</v>
      </c>
      <c r="EL96" s="1936">
        <v>1750</v>
      </c>
      <c r="EM96" s="1936">
        <v>0</v>
      </c>
      <c r="EN96" s="1362">
        <v>0</v>
      </c>
      <c r="EO96" s="1936">
        <v>0</v>
      </c>
      <c r="EP96" s="1936">
        <v>0</v>
      </c>
      <c r="EQ96" s="1936">
        <v>0</v>
      </c>
      <c r="ER96" s="1938">
        <v>1</v>
      </c>
      <c r="ES96" s="1936">
        <v>3745.3500424709009</v>
      </c>
      <c r="ET96" s="1936">
        <v>-3893.3711750324132</v>
      </c>
      <c r="EU96" s="1938">
        <v>3</v>
      </c>
      <c r="EV96" s="1936">
        <v>120000</v>
      </c>
      <c r="EW96" s="1936">
        <v>0</v>
      </c>
      <c r="EX96" s="1938">
        <v>1</v>
      </c>
      <c r="EY96" s="1936">
        <v>3171413</v>
      </c>
      <c r="EZ96" s="1936">
        <v>2123031</v>
      </c>
      <c r="FA96" s="1936">
        <v>1048382</v>
      </c>
      <c r="FB96" s="1936">
        <v>569531</v>
      </c>
      <c r="FC96" s="1936">
        <v>222490</v>
      </c>
      <c r="FD96" s="1936">
        <v>347041</v>
      </c>
      <c r="FE96" s="1936">
        <v>3740944</v>
      </c>
      <c r="FF96" s="1936">
        <v>2345521</v>
      </c>
      <c r="FG96" s="1936">
        <v>1395423</v>
      </c>
      <c r="FH96" s="1366">
        <v>1</v>
      </c>
      <c r="FI96" s="1366">
        <v>0.66942747601778763</v>
      </c>
      <c r="FJ96" s="1366">
        <v>0.33057252398221232</v>
      </c>
      <c r="FK96" s="1366">
        <v>1</v>
      </c>
      <c r="FL96" s="1366">
        <v>0.39065476681690725</v>
      </c>
      <c r="FM96" s="1366">
        <v>0.60934523318309275</v>
      </c>
      <c r="FN96" s="1366">
        <v>1</v>
      </c>
      <c r="FO96" s="1366">
        <v>0.62698639701636805</v>
      </c>
      <c r="FP96" s="1366">
        <v>0.37301360298363195</v>
      </c>
      <c r="FQ96" s="1936">
        <v>3987554</v>
      </c>
      <c r="FR96" s="1936">
        <v>0</v>
      </c>
      <c r="FS96" s="1936">
        <v>508980</v>
      </c>
      <c r="FT96" s="1936">
        <v>146312</v>
      </c>
      <c r="FU96" s="1936">
        <v>15256</v>
      </c>
      <c r="FV96" s="1936">
        <v>33731</v>
      </c>
      <c r="FW96" s="1936">
        <v>592381</v>
      </c>
      <c r="FX96" s="1936">
        <v>5284214</v>
      </c>
      <c r="FY96" s="1936">
        <v>-3888791</v>
      </c>
      <c r="FZ96" s="1366">
        <v>1.065921863572403</v>
      </c>
      <c r="GA96" s="1366">
        <v>0</v>
      </c>
      <c r="GB96" s="1366">
        <v>0.13605656754017167</v>
      </c>
      <c r="GC96" s="1366">
        <v>3.9110983751694757E-2</v>
      </c>
      <c r="GD96" s="1366">
        <v>4.0781150426202582E-3</v>
      </c>
      <c r="GE96" s="1366">
        <v>9.0167080822380653E-3</v>
      </c>
      <c r="GF96" s="1366">
        <v>0.15835067298521444</v>
      </c>
      <c r="GG96" s="1366">
        <v>1.4125349109743424</v>
      </c>
      <c r="GH96" s="1366">
        <v>-1.0395213079907104</v>
      </c>
      <c r="GI96" s="1942">
        <v>5.5684642275837488</v>
      </c>
      <c r="GJ96" s="1943">
        <v>0</v>
      </c>
      <c r="GK96" s="1371">
        <v>0</v>
      </c>
      <c r="GL96" s="1943">
        <v>0</v>
      </c>
      <c r="GM96" s="1371">
        <v>0</v>
      </c>
      <c r="GN96" s="1943">
        <v>0</v>
      </c>
      <c r="GO96" s="1985">
        <f>IF(GN96=0,0,VLOOKUP(A96,'Area (&amp;golfacre for lookup)'!$G$2:$H$133,2,FALSE))</f>
        <v>0</v>
      </c>
      <c r="GP96" s="1943">
        <v>0</v>
      </c>
      <c r="GQ96" s="1943">
        <v>0</v>
      </c>
      <c r="GR96" s="1943">
        <v>0</v>
      </c>
      <c r="GS96" s="1943">
        <v>0</v>
      </c>
      <c r="GT96" s="1943">
        <v>0</v>
      </c>
      <c r="GU96" s="1943">
        <v>0</v>
      </c>
      <c r="GV96" s="1943">
        <v>0</v>
      </c>
      <c r="GW96" s="1943">
        <v>0</v>
      </c>
      <c r="GX96" s="1936">
        <v>0</v>
      </c>
      <c r="GY96" s="1985">
        <f t="shared" si="764"/>
        <v>0</v>
      </c>
      <c r="GZ96" s="1936">
        <v>0</v>
      </c>
      <c r="HA96" s="1936">
        <v>0</v>
      </c>
      <c r="HB96" s="1936">
        <v>0</v>
      </c>
      <c r="HC96" s="1936">
        <v>0</v>
      </c>
      <c r="HD96" s="1936">
        <v>0</v>
      </c>
      <c r="HE96" s="1936">
        <v>0</v>
      </c>
      <c r="HF96" s="1936">
        <v>0</v>
      </c>
      <c r="HG96" s="1936">
        <v>36</v>
      </c>
      <c r="HH96" s="1988">
        <f>IF(HG96=0,0,VLOOKUP(A96,'Area (&amp;golfacre for lookup)'!$G$2:$H$134,2,FALSE))</f>
        <v>230</v>
      </c>
      <c r="HI96" s="1936">
        <v>51000</v>
      </c>
      <c r="HJ96" s="1936">
        <v>1655118</v>
      </c>
      <c r="HK96" s="1936">
        <v>186285</v>
      </c>
      <c r="HL96" s="1936">
        <v>584248</v>
      </c>
      <c r="HM96" s="1936">
        <v>134306</v>
      </c>
      <c r="HN96" s="1936">
        <v>126864</v>
      </c>
      <c r="HO96" s="1936">
        <v>299407</v>
      </c>
      <c r="HP96" s="1936">
        <v>2986228</v>
      </c>
      <c r="HQ96" s="1936">
        <v>82950.777777777781</v>
      </c>
      <c r="HR96" s="1988">
        <f t="shared" si="765"/>
        <v>12983.6</v>
      </c>
      <c r="HS96" s="1366">
        <v>0.55425037873866301</v>
      </c>
      <c r="HT96" s="1366">
        <v>6.2381372085453621E-2</v>
      </c>
      <c r="HU96" s="1366">
        <v>0.19564748572446578</v>
      </c>
      <c r="HV96" s="1366">
        <v>4.4975132508301444E-2</v>
      </c>
      <c r="HW96" s="1366">
        <v>4.2483025408642607E-2</v>
      </c>
      <c r="HX96" s="1366">
        <v>0.1002626055344736</v>
      </c>
      <c r="HY96" s="1366">
        <v>1</v>
      </c>
      <c r="HZ96" s="51"/>
      <c r="IA96" s="59">
        <f t="shared" si="767"/>
        <v>0</v>
      </c>
      <c r="IB96" s="59"/>
      <c r="IC96" s="815">
        <f t="shared" si="768"/>
        <v>1</v>
      </c>
      <c r="ID96" s="815"/>
      <c r="IE96" s="284">
        <f t="shared" si="769"/>
        <v>0</v>
      </c>
      <c r="IF96" s="284"/>
      <c r="IG96" s="284">
        <f t="shared" si="770"/>
        <v>28963.894223229632</v>
      </c>
      <c r="IH96" s="284"/>
      <c r="II96" s="1288">
        <f t="shared" si="771"/>
        <v>1.3048560906484761</v>
      </c>
      <c r="IJ96" s="1288">
        <f t="shared" si="772"/>
        <v>0</v>
      </c>
      <c r="IK96" s="284">
        <f t="shared" si="773"/>
        <v>0</v>
      </c>
      <c r="IL96" s="284">
        <f t="shared" si="774"/>
        <v>0</v>
      </c>
      <c r="IM96" s="284">
        <f t="shared" si="775"/>
        <v>0</v>
      </c>
      <c r="IN96" s="284">
        <f t="shared" si="776"/>
        <v>0</v>
      </c>
      <c r="IO96" s="753">
        <f t="shared" si="777"/>
        <v>-3594.0767097966727</v>
      </c>
      <c r="IP96" s="113">
        <f t="shared" si="778"/>
        <v>-3893.3711750324132</v>
      </c>
      <c r="IQ96" s="30">
        <f t="shared" si="779"/>
        <v>-0.20217952822518634</v>
      </c>
      <c r="IR96" s="438">
        <f t="shared" si="780"/>
        <v>3171413</v>
      </c>
      <c r="IS96" s="438">
        <f t="shared" si="781"/>
        <v>569531</v>
      </c>
      <c r="IT96" s="438">
        <f t="shared" si="782"/>
        <v>3987554</v>
      </c>
      <c r="IU96" s="438">
        <f t="shared" si="783"/>
        <v>655292</v>
      </c>
      <c r="IV96" s="438">
        <f t="shared" si="784"/>
        <v>2345521</v>
      </c>
      <c r="IW96" s="438">
        <f t="shared" si="785"/>
        <v>641368</v>
      </c>
      <c r="IX96" s="285">
        <f t="shared" si="786"/>
        <v>0.84775741096364987</v>
      </c>
      <c r="IY96" s="285">
        <f t="shared" si="787"/>
        <v>0.15224258903635018</v>
      </c>
      <c r="IZ96" s="285">
        <f t="shared" si="788"/>
        <v>1.065921863572403</v>
      </c>
      <c r="JA96" s="285">
        <f t="shared" si="789"/>
        <v>0.17516755129186642</v>
      </c>
      <c r="JB96" s="285">
        <f t="shared" si="790"/>
        <v>0.62698639701636805</v>
      </c>
      <c r="JC96" s="285">
        <f t="shared" si="791"/>
        <v>0.17144549611007276</v>
      </c>
      <c r="JD96" s="60">
        <f t="shared" si="792"/>
        <v>19234346</v>
      </c>
      <c r="JE96" s="60">
        <f t="shared" si="793"/>
        <v>2659299</v>
      </c>
      <c r="JF96" s="60">
        <f t="shared" si="794"/>
        <v>0</v>
      </c>
      <c r="JG96" s="60">
        <f t="shared" si="795"/>
        <v>769739</v>
      </c>
      <c r="JH96" s="284">
        <f t="shared" si="796"/>
        <v>1</v>
      </c>
      <c r="JI96" s="284">
        <f t="shared" si="797"/>
        <v>1</v>
      </c>
      <c r="JJ96" s="560">
        <f t="shared" si="798"/>
        <v>0.86861832222778568</v>
      </c>
      <c r="JK96" s="561">
        <f t="shared" si="799"/>
        <v>0.51381681236379506</v>
      </c>
      <c r="JL96" s="561">
        <f t="shared" si="800"/>
        <v>8.4618408666492562E-2</v>
      </c>
      <c r="JM96" s="561">
        <f t="shared" si="801"/>
        <v>1.301755346361818E-2</v>
      </c>
      <c r="JN96" s="561">
        <f t="shared" si="802"/>
        <v>0.34940574454098899</v>
      </c>
      <c r="JO96" s="561">
        <f t="shared" si="803"/>
        <v>0</v>
      </c>
      <c r="JP96" s="561">
        <f t="shared" si="804"/>
        <v>2.7769561333510686E-2</v>
      </c>
      <c r="JQ96" s="561">
        <f t="shared" si="805"/>
        <v>0.98862808036840555</v>
      </c>
      <c r="JR96" s="61">
        <f t="shared" si="806"/>
        <v>0</v>
      </c>
      <c r="JS96" s="61">
        <f t="shared" si="807"/>
        <v>0</v>
      </c>
      <c r="JT96" s="61">
        <f t="shared" si="808"/>
        <v>0</v>
      </c>
      <c r="JU96" s="61">
        <f t="shared" si="809"/>
        <v>0</v>
      </c>
      <c r="JV96" s="61">
        <f t="shared" si="810"/>
        <v>0</v>
      </c>
      <c r="JW96" s="61">
        <f t="shared" si="811"/>
        <v>0</v>
      </c>
      <c r="JX96" s="61">
        <f t="shared" si="812"/>
        <v>0</v>
      </c>
      <c r="JY96" s="394">
        <f t="shared" si="813"/>
        <v>0</v>
      </c>
      <c r="JZ96" s="61">
        <f t="shared" si="814"/>
        <v>45975.5</v>
      </c>
      <c r="KA96" s="61">
        <f t="shared" si="815"/>
        <v>5174.583333333333</v>
      </c>
      <c r="KB96" s="61">
        <f t="shared" si="816"/>
        <v>16229.111111111111</v>
      </c>
      <c r="KC96" s="61">
        <f t="shared" si="817"/>
        <v>3730.7222222222222</v>
      </c>
      <c r="KD96" s="61">
        <f t="shared" si="818"/>
        <v>3524</v>
      </c>
      <c r="KE96" s="61">
        <f t="shared" si="819"/>
        <v>8316.8611111111113</v>
      </c>
      <c r="KF96" s="61">
        <f t="shared" si="820"/>
        <v>25500</v>
      </c>
      <c r="KG96" s="61">
        <f t="shared" si="821"/>
        <v>230</v>
      </c>
      <c r="KH96" s="61">
        <f t="shared" si="822"/>
        <v>58.553490196078428</v>
      </c>
      <c r="KI96" s="394">
        <f t="shared" si="823"/>
        <v>0.10897215755003169</v>
      </c>
      <c r="KJ96" s="438">
        <f t="shared" si="824"/>
        <v>36</v>
      </c>
      <c r="KK96" s="438">
        <f t="shared" si="825"/>
        <v>51000</v>
      </c>
      <c r="KL96" s="438">
        <f t="shared" si="826"/>
        <v>230</v>
      </c>
      <c r="KM96" s="438">
        <f t="shared" si="827"/>
        <v>82950.777777777781</v>
      </c>
      <c r="KN96" s="438">
        <f t="shared" si="828"/>
        <v>58.553490196078428</v>
      </c>
      <c r="KO96" s="438">
        <f t="shared" si="829"/>
        <v>12983.6</v>
      </c>
      <c r="KP96" s="438">
        <f t="shared" si="830"/>
        <v>1655118</v>
      </c>
      <c r="KQ96" s="438">
        <f t="shared" si="831"/>
        <v>186285</v>
      </c>
      <c r="KR96" s="438">
        <f t="shared" si="832"/>
        <v>584248</v>
      </c>
      <c r="KS96" s="438">
        <f t="shared" si="833"/>
        <v>134306</v>
      </c>
      <c r="KT96" s="438">
        <f t="shared" si="834"/>
        <v>126864</v>
      </c>
      <c r="KU96" s="438">
        <f t="shared" si="835"/>
        <v>299407</v>
      </c>
      <c r="KV96" s="420">
        <f t="shared" si="836"/>
        <v>0.10897215755003169</v>
      </c>
      <c r="KW96" s="420">
        <f t="shared" si="837"/>
        <v>-0.13968871101726046</v>
      </c>
      <c r="KX96" s="108"/>
      <c r="KY96" s="282">
        <f t="shared" si="838"/>
        <v>0</v>
      </c>
      <c r="KZ96" s="282"/>
      <c r="LA96" s="282">
        <f t="shared" si="839"/>
        <v>0</v>
      </c>
      <c r="LB96" s="282"/>
      <c r="LC96" s="286">
        <f t="shared" si="840"/>
        <v>0</v>
      </c>
      <c r="LD96" s="286"/>
      <c r="LE96" s="282">
        <f t="shared" si="841"/>
        <v>0</v>
      </c>
      <c r="LF96" s="282"/>
      <c r="LG96" s="282">
        <f t="shared" si="842"/>
        <v>0</v>
      </c>
      <c r="LH96" s="282">
        <f t="shared" si="843"/>
        <v>0</v>
      </c>
      <c r="LI96" s="282">
        <f t="shared" si="844"/>
        <v>0</v>
      </c>
      <c r="LJ96" s="282">
        <f t="shared" si="845"/>
        <v>0</v>
      </c>
      <c r="LK96" s="282"/>
      <c r="LL96" s="282">
        <f t="shared" si="846"/>
        <v>0</v>
      </c>
      <c r="LM96" s="282">
        <f t="shared" si="847"/>
        <v>0</v>
      </c>
      <c r="LN96" s="282">
        <f t="shared" si="848"/>
        <v>0</v>
      </c>
      <c r="LO96" s="282">
        <f t="shared" si="849"/>
        <v>0</v>
      </c>
      <c r="LP96" s="286">
        <f t="shared" si="850"/>
        <v>0</v>
      </c>
      <c r="LQ96" s="282">
        <f t="shared" si="851"/>
        <v>0</v>
      </c>
      <c r="LR96" s="282">
        <f t="shared" si="852"/>
        <v>0</v>
      </c>
      <c r="LS96" s="282">
        <f t="shared" si="853"/>
        <v>0</v>
      </c>
      <c r="LT96" s="286">
        <f t="shared" si="854"/>
        <v>0</v>
      </c>
      <c r="LU96" s="286">
        <f t="shared" si="855"/>
        <v>0</v>
      </c>
      <c r="LV96" s="286">
        <f t="shared" si="856"/>
        <v>0</v>
      </c>
      <c r="LW96" s="286">
        <f t="shared" si="857"/>
        <v>0</v>
      </c>
      <c r="LX96" s="286">
        <f t="shared" si="858"/>
        <v>0</v>
      </c>
      <c r="LY96" s="286">
        <f t="shared" si="859"/>
        <v>0</v>
      </c>
      <c r="LZ96" s="286">
        <f t="shared" si="860"/>
        <v>0</v>
      </c>
      <c r="MA96" s="286">
        <f t="shared" si="861"/>
        <v>0</v>
      </c>
      <c r="MB96" s="286">
        <f t="shared" si="862"/>
        <v>0</v>
      </c>
      <c r="MC96" s="286">
        <f t="shared" si="863"/>
        <v>0</v>
      </c>
      <c r="MD96" s="286">
        <f t="shared" si="864"/>
        <v>0</v>
      </c>
      <c r="ME96" s="286">
        <f t="shared" si="865"/>
        <v>0</v>
      </c>
      <c r="MF96" s="286">
        <f t="shared" si="866"/>
        <v>0</v>
      </c>
      <c r="MG96" s="286">
        <f t="shared" si="867"/>
        <v>0</v>
      </c>
      <c r="MH96" s="286">
        <f t="shared" si="868"/>
        <v>0</v>
      </c>
      <c r="MI96" s="286">
        <f t="shared" si="869"/>
        <v>0</v>
      </c>
      <c r="MJ96" s="286">
        <f t="shared" si="870"/>
        <v>0</v>
      </c>
      <c r="MK96" s="286">
        <f t="shared" si="871"/>
        <v>0</v>
      </c>
      <c r="ML96" s="282">
        <f t="shared" si="872"/>
        <v>0</v>
      </c>
      <c r="MM96" s="1232">
        <f t="shared" si="873"/>
        <v>0</v>
      </c>
      <c r="MN96" s="1232">
        <f t="shared" si="874"/>
        <v>0</v>
      </c>
      <c r="MO96" s="1232">
        <f t="shared" si="875"/>
        <v>0</v>
      </c>
      <c r="MP96" s="1232">
        <f t="shared" si="876"/>
        <v>0</v>
      </c>
      <c r="MQ96" s="282">
        <f t="shared" si="877"/>
        <v>0</v>
      </c>
      <c r="MR96" s="282">
        <f t="shared" si="878"/>
        <v>0</v>
      </c>
      <c r="MS96" s="282">
        <f t="shared" si="879"/>
        <v>0</v>
      </c>
      <c r="MT96" s="282">
        <f t="shared" si="880"/>
        <v>0</v>
      </c>
      <c r="MU96" s="282">
        <f t="shared" si="881"/>
        <v>0</v>
      </c>
      <c r="MV96" s="282">
        <f t="shared" si="882"/>
        <v>0</v>
      </c>
      <c r="MW96" s="282">
        <f t="shared" si="883"/>
        <v>0</v>
      </c>
      <c r="MX96" s="282">
        <f t="shared" si="884"/>
        <v>0</v>
      </c>
      <c r="MY96" s="282">
        <f t="shared" si="885"/>
        <v>0</v>
      </c>
      <c r="MZ96" s="282">
        <f t="shared" si="886"/>
        <v>0</v>
      </c>
      <c r="NA96" s="282">
        <f t="shared" si="887"/>
        <v>0</v>
      </c>
      <c r="NB96" s="282">
        <f t="shared" si="888"/>
        <v>0</v>
      </c>
      <c r="NC96" s="282">
        <f t="shared" si="889"/>
        <v>0</v>
      </c>
      <c r="ND96" s="282">
        <f t="shared" si="890"/>
        <v>0</v>
      </c>
      <c r="NE96" s="282">
        <f t="shared" si="891"/>
        <v>0</v>
      </c>
      <c r="NF96" s="282">
        <f t="shared" si="892"/>
        <v>0</v>
      </c>
      <c r="NG96" s="282">
        <f t="shared" si="893"/>
        <v>0</v>
      </c>
      <c r="NH96" s="282">
        <f t="shared" si="894"/>
        <v>0</v>
      </c>
      <c r="NI96" s="282">
        <f t="shared" si="895"/>
        <v>0</v>
      </c>
      <c r="NJ96" s="282">
        <f t="shared" si="896"/>
        <v>0</v>
      </c>
      <c r="NK96" s="282">
        <f t="shared" si="897"/>
        <v>0</v>
      </c>
      <c r="NL96" s="282">
        <f t="shared" si="898"/>
        <v>0</v>
      </c>
      <c r="NM96" s="1205">
        <f t="shared" si="899"/>
        <v>0</v>
      </c>
      <c r="NN96" s="282">
        <f t="shared" si="900"/>
        <v>0</v>
      </c>
      <c r="NO96" s="282">
        <f t="shared" si="901"/>
        <v>0</v>
      </c>
      <c r="NP96" s="282">
        <f t="shared" si="902"/>
        <v>0</v>
      </c>
      <c r="NQ96" s="282">
        <f t="shared" si="903"/>
        <v>0</v>
      </c>
      <c r="NR96" s="282">
        <f t="shared" si="904"/>
        <v>0</v>
      </c>
      <c r="NS96" s="282">
        <f t="shared" si="905"/>
        <v>0</v>
      </c>
      <c r="NT96" s="282">
        <f t="shared" si="906"/>
        <v>0</v>
      </c>
      <c r="NU96" s="282">
        <f t="shared" si="907"/>
        <v>0</v>
      </c>
      <c r="NV96" s="286">
        <f t="shared" si="908"/>
        <v>0</v>
      </c>
      <c r="NW96" s="286">
        <f t="shared" si="909"/>
        <v>0</v>
      </c>
      <c r="NX96" s="286">
        <f t="shared" si="910"/>
        <v>0</v>
      </c>
      <c r="NY96" s="286">
        <f t="shared" si="911"/>
        <v>0</v>
      </c>
      <c r="NZ96" s="286">
        <f t="shared" si="912"/>
        <v>0</v>
      </c>
      <c r="OA96" s="286">
        <f t="shared" si="913"/>
        <v>0</v>
      </c>
      <c r="OB96" s="286">
        <f t="shared" si="914"/>
        <v>0</v>
      </c>
      <c r="OC96" s="286">
        <f t="shared" si="915"/>
        <v>0</v>
      </c>
      <c r="OD96" s="286">
        <f t="shared" si="916"/>
        <v>0</v>
      </c>
      <c r="OE96" s="282">
        <f t="shared" si="917"/>
        <v>0</v>
      </c>
      <c r="OF96" s="282">
        <f t="shared" si="918"/>
        <v>0</v>
      </c>
      <c r="OG96" s="286">
        <f t="shared" si="919"/>
        <v>0</v>
      </c>
      <c r="OH96" s="286">
        <f t="shared" si="920"/>
        <v>0</v>
      </c>
      <c r="OI96" s="286">
        <f t="shared" si="921"/>
        <v>0</v>
      </c>
      <c r="OJ96" s="286">
        <f t="shared" si="922"/>
        <v>0</v>
      </c>
      <c r="OK96" s="286">
        <f t="shared" si="923"/>
        <v>0</v>
      </c>
      <c r="OL96" s="286">
        <f t="shared" si="924"/>
        <v>0</v>
      </c>
      <c r="OM96" s="286">
        <f t="shared" si="925"/>
        <v>0</v>
      </c>
      <c r="ON96" s="286">
        <f t="shared" si="926"/>
        <v>0</v>
      </c>
      <c r="OO96" s="286">
        <f t="shared" si="927"/>
        <v>0</v>
      </c>
      <c r="OP96" s="434">
        <f t="shared" si="928"/>
        <v>0</v>
      </c>
      <c r="OQ96" s="434">
        <f t="shared" si="929"/>
        <v>0</v>
      </c>
      <c r="OR96" s="282">
        <f t="shared" si="930"/>
        <v>0</v>
      </c>
      <c r="OS96" s="282">
        <f t="shared" si="931"/>
        <v>0</v>
      </c>
      <c r="OT96" s="282">
        <f t="shared" si="932"/>
        <v>0</v>
      </c>
      <c r="OU96" s="282">
        <f t="shared" si="933"/>
        <v>0</v>
      </c>
      <c r="OV96" s="282">
        <f t="shared" si="934"/>
        <v>0</v>
      </c>
      <c r="OW96" s="286">
        <f t="shared" si="935"/>
        <v>0</v>
      </c>
      <c r="OX96" s="286">
        <f t="shared" si="936"/>
        <v>0</v>
      </c>
      <c r="OY96" s="286">
        <f t="shared" si="937"/>
        <v>0</v>
      </c>
      <c r="OZ96" s="286">
        <f t="shared" si="938"/>
        <v>0</v>
      </c>
      <c r="PA96" s="286">
        <f t="shared" si="939"/>
        <v>0</v>
      </c>
      <c r="PB96" s="286">
        <f t="shared" si="940"/>
        <v>0</v>
      </c>
      <c r="PC96" s="286">
        <f t="shared" si="941"/>
        <v>0</v>
      </c>
      <c r="PD96" s="282">
        <f t="shared" si="942"/>
        <v>0</v>
      </c>
      <c r="PE96" s="282">
        <f t="shared" si="943"/>
        <v>0</v>
      </c>
      <c r="PF96" s="286">
        <f t="shared" si="944"/>
        <v>0</v>
      </c>
      <c r="PG96" s="286">
        <f t="shared" si="945"/>
        <v>0</v>
      </c>
      <c r="PH96" s="286">
        <f t="shared" si="946"/>
        <v>0</v>
      </c>
      <c r="PI96" s="286">
        <f t="shared" si="947"/>
        <v>0</v>
      </c>
      <c r="PJ96" s="286">
        <f t="shared" si="948"/>
        <v>0</v>
      </c>
      <c r="PK96" s="286">
        <f t="shared" si="949"/>
        <v>0</v>
      </c>
      <c r="PL96" s="286">
        <f t="shared" si="950"/>
        <v>0</v>
      </c>
      <c r="PM96" s="562">
        <v>40</v>
      </c>
      <c r="PO96" s="571"/>
    </row>
    <row r="97" spans="1:431" s="289" customFormat="1" ht="15.75" customHeight="1">
      <c r="A97" s="1040" t="s">
        <v>1427</v>
      </c>
      <c r="B97" s="1040" t="str">
        <f>VLOOKUP(A97,'Area (&amp;golfacre for lookup)'!$A$2:$B$162,2,FALSE)</f>
        <v>SW exc CIRA</v>
      </c>
      <c r="C97" s="1936" t="s">
        <v>2155</v>
      </c>
      <c r="D97" s="1937">
        <v>44834</v>
      </c>
      <c r="E97" s="402"/>
      <c r="F97" s="1936">
        <v>1</v>
      </c>
      <c r="G97" s="1979">
        <v>1</v>
      </c>
      <c r="H97" s="1936">
        <v>783</v>
      </c>
      <c r="I97" s="1936">
        <v>485</v>
      </c>
      <c r="J97" s="1936">
        <v>1268</v>
      </c>
      <c r="K97" s="1938">
        <v>1042.3461827660535</v>
      </c>
      <c r="L97" s="1939" t="s">
        <v>1208</v>
      </c>
      <c r="M97" s="1939" t="s">
        <v>1208</v>
      </c>
      <c r="N97" s="1939" t="s">
        <v>1208</v>
      </c>
      <c r="O97" s="1939" t="s">
        <v>1208</v>
      </c>
      <c r="P97" s="1939" t="s">
        <v>1208</v>
      </c>
      <c r="Q97" s="1936">
        <v>0</v>
      </c>
      <c r="R97" s="1936">
        <v>200000</v>
      </c>
      <c r="S97" s="1936">
        <v>200000</v>
      </c>
      <c r="T97" s="1939" t="s">
        <v>1208</v>
      </c>
      <c r="U97" s="1939" t="s">
        <v>1208</v>
      </c>
      <c r="V97" s="1939" t="s">
        <v>1208</v>
      </c>
      <c r="W97" s="1936">
        <v>22123</v>
      </c>
      <c r="X97" s="1936">
        <v>19949</v>
      </c>
      <c r="Y97" s="1939" t="s">
        <v>1208</v>
      </c>
      <c r="Z97" s="1939" t="s">
        <v>1208</v>
      </c>
      <c r="AA97" s="1936">
        <v>2174</v>
      </c>
      <c r="AB97" s="1362">
        <v>0.10897789362875332</v>
      </c>
      <c r="AC97" s="1939" t="s">
        <v>1208</v>
      </c>
      <c r="AD97" s="1363" t="s">
        <v>1208</v>
      </c>
      <c r="AE97" s="1936">
        <v>1</v>
      </c>
      <c r="AF97" s="1936">
        <v>2128</v>
      </c>
      <c r="AG97" s="1939" t="s">
        <v>1208</v>
      </c>
      <c r="AH97" s="1936">
        <v>0</v>
      </c>
      <c r="AI97" s="1936">
        <v>0</v>
      </c>
      <c r="AJ97" s="1939" t="s">
        <v>1208</v>
      </c>
      <c r="AK97" s="1938">
        <v>1</v>
      </c>
      <c r="AL97" s="1938">
        <v>3000</v>
      </c>
      <c r="AM97" s="1936">
        <v>25077</v>
      </c>
      <c r="AN97" s="1939" t="s">
        <v>1208</v>
      </c>
      <c r="AO97" s="1936">
        <v>0</v>
      </c>
      <c r="AP97" s="1936">
        <v>0</v>
      </c>
      <c r="AQ97" s="1936">
        <v>25077</v>
      </c>
      <c r="AR97" s="1939" t="s">
        <v>1208</v>
      </c>
      <c r="AS97" s="1363" t="s">
        <v>1208</v>
      </c>
      <c r="AT97" s="1363" t="s">
        <v>1208</v>
      </c>
      <c r="AU97" s="1363" t="s">
        <v>1208</v>
      </c>
      <c r="AV97" s="1363" t="s">
        <v>1208</v>
      </c>
      <c r="AW97" s="1363" t="s">
        <v>1291</v>
      </c>
      <c r="AX97" s="1938">
        <v>1</v>
      </c>
      <c r="AY97" s="1938">
        <v>0</v>
      </c>
      <c r="AZ97" s="1938">
        <v>1</v>
      </c>
      <c r="BA97" s="1938">
        <v>0</v>
      </c>
      <c r="BB97" s="1938">
        <v>0</v>
      </c>
      <c r="BC97" s="1938">
        <v>0</v>
      </c>
      <c r="BD97" s="1938">
        <v>0</v>
      </c>
      <c r="BE97" s="1936">
        <v>1</v>
      </c>
      <c r="BF97" s="1936">
        <v>15000000</v>
      </c>
      <c r="BG97" s="1936">
        <v>5100000</v>
      </c>
      <c r="BH97" s="1936">
        <v>20100000</v>
      </c>
      <c r="BI97" s="1938">
        <v>72269582</v>
      </c>
      <c r="BJ97" s="1936">
        <v>6385676</v>
      </c>
      <c r="BK97" s="1936">
        <v>4469882</v>
      </c>
      <c r="BL97" s="1362">
        <v>1.4286005760331033</v>
      </c>
      <c r="BM97" s="1936">
        <v>1</v>
      </c>
      <c r="BN97" s="1936">
        <v>15934559</v>
      </c>
      <c r="BO97" s="1363" t="s">
        <v>1208</v>
      </c>
      <c r="BP97" s="1938">
        <v>7517252</v>
      </c>
      <c r="BQ97" s="1938">
        <v>7768450</v>
      </c>
      <c r="BR97" s="1940">
        <v>0.96766433458411905</v>
      </c>
      <c r="BS97" s="1409">
        <v>0</v>
      </c>
      <c r="BT97" s="1938">
        <v>22739287</v>
      </c>
      <c r="BU97" s="1938">
        <v>65704189</v>
      </c>
      <c r="BV97" s="1940">
        <v>0.34608580283975499</v>
      </c>
      <c r="BW97" s="1936">
        <v>15287.204254650576</v>
      </c>
      <c r="BX97" s="1936">
        <v>6126.2525882278933</v>
      </c>
      <c r="BY97" s="1936">
        <v>19283.420740949063</v>
      </c>
      <c r="BZ97" s="1936">
        <v>4035815</v>
      </c>
      <c r="CA97" s="1936">
        <v>627490</v>
      </c>
      <c r="CB97" s="1936">
        <v>2109856</v>
      </c>
      <c r="CC97" s="1936">
        <v>1915634</v>
      </c>
      <c r="CD97" s="1936">
        <v>20793764</v>
      </c>
      <c r="CE97" s="1936">
        <v>0</v>
      </c>
      <c r="CF97" s="1936">
        <v>0</v>
      </c>
      <c r="CG97" s="1936">
        <v>4656539</v>
      </c>
      <c r="CH97" s="1936">
        <v>2845805</v>
      </c>
      <c r="CI97" s="1936">
        <v>805126</v>
      </c>
      <c r="CJ97" s="1936">
        <v>37790029</v>
      </c>
      <c r="CK97" s="1366">
        <v>0.10679576350682346</v>
      </c>
      <c r="CL97" s="1366">
        <v>1.6604644574366428E-2</v>
      </c>
      <c r="CM97" s="1366">
        <v>5.583102357502822E-2</v>
      </c>
      <c r="CN97" s="1366">
        <v>5.0691519712779264E-2</v>
      </c>
      <c r="CO97" s="1366">
        <v>0.55024472196091723</v>
      </c>
      <c r="CP97" s="1366">
        <v>0</v>
      </c>
      <c r="CQ97" s="1366">
        <v>0</v>
      </c>
      <c r="CR97" s="1366">
        <v>0.12322136614396353</v>
      </c>
      <c r="CS97" s="1366">
        <v>7.530571093237319E-2</v>
      </c>
      <c r="CT97" s="1366">
        <v>2.1305249593748656E-2</v>
      </c>
      <c r="CU97" s="1366">
        <v>1</v>
      </c>
      <c r="CV97" s="1936">
        <v>17185041</v>
      </c>
      <c r="CW97" s="1936">
        <v>3054868</v>
      </c>
      <c r="CX97" s="1936">
        <v>1485377</v>
      </c>
      <c r="CY97" s="1936">
        <v>14509793</v>
      </c>
      <c r="CZ97" s="1936">
        <v>286341</v>
      </c>
      <c r="DA97" s="1936">
        <v>673157</v>
      </c>
      <c r="DB97" s="1936">
        <v>37194577</v>
      </c>
      <c r="DC97" s="1366">
        <v>0.46203082239650151</v>
      </c>
      <c r="DD97" s="1366">
        <v>8.213208070628146E-2</v>
      </c>
      <c r="DE97" s="1366">
        <v>3.9935310999772898E-2</v>
      </c>
      <c r="DF97" s="1366">
        <v>0.39010506827379698</v>
      </c>
      <c r="DG97" s="1366">
        <v>7.698460988009085E-3</v>
      </c>
      <c r="DH97" s="1366">
        <v>1.8098256635638039E-2</v>
      </c>
      <c r="DI97" s="1366">
        <v>1</v>
      </c>
      <c r="DJ97" s="1936">
        <v>595452</v>
      </c>
      <c r="DK97" s="1936">
        <v>3871.8566506285247</v>
      </c>
      <c r="DL97" s="1936">
        <v>601.99769555911087</v>
      </c>
      <c r="DM97" s="1936">
        <v>2024.1413408366084</v>
      </c>
      <c r="DN97" s="1936">
        <v>1837.8097715257322</v>
      </c>
      <c r="DO97" s="1936">
        <v>19949</v>
      </c>
      <c r="DP97" s="1936">
        <v>0</v>
      </c>
      <c r="DQ97" s="1936">
        <v>0</v>
      </c>
      <c r="DR97" s="1936">
        <v>4467.3632205790154</v>
      </c>
      <c r="DS97" s="1936">
        <v>2730.1917990893808</v>
      </c>
      <c r="DT97" s="1936">
        <v>772.41708494912223</v>
      </c>
      <c r="DU97" s="1936">
        <v>36254.777563167496</v>
      </c>
      <c r="DV97" s="1936">
        <v>16486.884380769156</v>
      </c>
      <c r="DW97" s="1936">
        <v>2930.7614404010737</v>
      </c>
      <c r="DX97" s="1936">
        <v>1425.0323208919749</v>
      </c>
      <c r="DY97" s="1936">
        <v>13920.320561347142</v>
      </c>
      <c r="DZ97" s="1936">
        <v>274.70815812856199</v>
      </c>
      <c r="EA97" s="1936">
        <v>645.80943560771391</v>
      </c>
      <c r="EB97" s="1936">
        <v>35683.516297145623</v>
      </c>
      <c r="EC97" s="1936">
        <v>571.26126602187071</v>
      </c>
      <c r="ED97" s="1941">
        <v>260</v>
      </c>
      <c r="EE97" s="1936">
        <v>1</v>
      </c>
      <c r="EF97" s="1936">
        <v>100</v>
      </c>
      <c r="EG97" s="1938">
        <v>860000</v>
      </c>
      <c r="EH97" s="1938">
        <v>1</v>
      </c>
      <c r="EI97" s="1368">
        <v>0.08</v>
      </c>
      <c r="EJ97" s="1936">
        <v>4.0090237798694366</v>
      </c>
      <c r="EK97" s="1936">
        <v>0</v>
      </c>
      <c r="EL97" s="1936">
        <v>0</v>
      </c>
      <c r="EM97" s="1936">
        <v>1</v>
      </c>
      <c r="EN97" s="1362">
        <v>0.2</v>
      </c>
      <c r="EO97" s="1936">
        <v>0</v>
      </c>
      <c r="EP97" s="1936">
        <v>0</v>
      </c>
      <c r="EQ97" s="1936">
        <v>0</v>
      </c>
      <c r="ER97" s="1938">
        <v>0</v>
      </c>
      <c r="ES97" s="1936">
        <v>7197.5550196683962</v>
      </c>
      <c r="ET97" s="1936">
        <v>-1706.6479730172948</v>
      </c>
      <c r="EU97" s="1938">
        <v>3</v>
      </c>
      <c r="EV97" s="1936">
        <v>172000</v>
      </c>
      <c r="EW97" s="1936">
        <v>42650</v>
      </c>
      <c r="EX97" s="1938">
        <v>0</v>
      </c>
      <c r="EY97" s="1936">
        <v>4656539</v>
      </c>
      <c r="EZ97" s="1936">
        <v>1817772</v>
      </c>
      <c r="FA97" s="1936">
        <v>2838767</v>
      </c>
      <c r="FB97" s="1936">
        <v>2845805</v>
      </c>
      <c r="FC97" s="1936">
        <v>1237096</v>
      </c>
      <c r="FD97" s="1936">
        <v>1608709</v>
      </c>
      <c r="FE97" s="1936">
        <v>7502344</v>
      </c>
      <c r="FF97" s="1936">
        <v>3054868</v>
      </c>
      <c r="FG97" s="1936">
        <v>4447476</v>
      </c>
      <c r="FH97" s="1366">
        <v>1</v>
      </c>
      <c r="FI97" s="1366">
        <v>0.39036975745290653</v>
      </c>
      <c r="FJ97" s="1366">
        <v>0.60963024254709341</v>
      </c>
      <c r="FK97" s="1366">
        <v>1</v>
      </c>
      <c r="FL97" s="1366">
        <v>0.43470863253104131</v>
      </c>
      <c r="FM97" s="1366">
        <v>0.56529136746895869</v>
      </c>
      <c r="FN97" s="1366">
        <v>1</v>
      </c>
      <c r="FO97" s="1366">
        <v>0.40718847336245845</v>
      </c>
      <c r="FP97" s="1366">
        <v>0.59281152663754155</v>
      </c>
      <c r="FQ97" s="1936">
        <v>4106681</v>
      </c>
      <c r="FR97" s="1936">
        <v>0</v>
      </c>
      <c r="FS97" s="1936">
        <v>1030227</v>
      </c>
      <c r="FT97" s="1936">
        <v>11732</v>
      </c>
      <c r="FU97" s="1936">
        <v>0</v>
      </c>
      <c r="FV97" s="1936">
        <v>148990</v>
      </c>
      <c r="FW97" s="1936">
        <v>928764</v>
      </c>
      <c r="FX97" s="1936">
        <v>6226394</v>
      </c>
      <c r="FY97" s="1936">
        <v>-1778918</v>
      </c>
      <c r="FZ97" s="1366">
        <v>0.54738639017352442</v>
      </c>
      <c r="GA97" s="1366">
        <v>0</v>
      </c>
      <c r="GB97" s="1366">
        <v>0.13732068270929726</v>
      </c>
      <c r="GC97" s="1366">
        <v>1.5637779339363804E-3</v>
      </c>
      <c r="GD97" s="1366">
        <v>0</v>
      </c>
      <c r="GE97" s="1366">
        <v>1.9859126694270483E-2</v>
      </c>
      <c r="GF97" s="1366">
        <v>0.1237965094642421</v>
      </c>
      <c r="GG97" s="1366">
        <v>0.82992648697527072</v>
      </c>
      <c r="GH97" s="1366">
        <v>-0.23711496033772911</v>
      </c>
      <c r="GI97" s="1942">
        <v>1.6362818253534588</v>
      </c>
      <c r="GJ97" s="1943">
        <v>1</v>
      </c>
      <c r="GK97" s="1371">
        <v>0.1</v>
      </c>
      <c r="GL97" s="1943">
        <v>1</v>
      </c>
      <c r="GM97" s="1371">
        <v>0.1</v>
      </c>
      <c r="GN97" s="1943">
        <v>0</v>
      </c>
      <c r="GO97" s="1985">
        <f>IF(GN97=0,0,VLOOKUP(A97,'Area (&amp;golfacre for lookup)'!$G$2:$H$133,2,FALSE))</f>
        <v>0</v>
      </c>
      <c r="GP97" s="1943">
        <v>0</v>
      </c>
      <c r="GQ97" s="1943">
        <v>0</v>
      </c>
      <c r="GR97" s="1943">
        <v>0</v>
      </c>
      <c r="GS97" s="1943">
        <v>0</v>
      </c>
      <c r="GT97" s="1943">
        <v>0</v>
      </c>
      <c r="GU97" s="1943">
        <v>0</v>
      </c>
      <c r="GV97" s="1943">
        <v>0</v>
      </c>
      <c r="GW97" s="1943">
        <v>0</v>
      </c>
      <c r="GX97" s="1936">
        <v>0</v>
      </c>
      <c r="GY97" s="1985">
        <f t="shared" si="764"/>
        <v>0</v>
      </c>
      <c r="GZ97" s="1936">
        <v>0</v>
      </c>
      <c r="HA97" s="1936">
        <v>0</v>
      </c>
      <c r="HB97" s="1936">
        <v>0</v>
      </c>
      <c r="HC97" s="1936">
        <v>0</v>
      </c>
      <c r="HD97" s="1936">
        <v>0</v>
      </c>
      <c r="HE97" s="1936">
        <v>0</v>
      </c>
      <c r="HF97" s="1936">
        <v>0</v>
      </c>
      <c r="HG97" s="1936">
        <v>54</v>
      </c>
      <c r="HH97" s="1988">
        <f>IF(HG97=0,0,VLOOKUP(A97,'Area (&amp;golfacre for lookup)'!$G$2:$H$134,2,FALSE))</f>
        <v>495</v>
      </c>
      <c r="HI97" s="1936">
        <v>76065</v>
      </c>
      <c r="HJ97" s="1936">
        <v>3521789</v>
      </c>
      <c r="HK97" s="1936">
        <v>688570</v>
      </c>
      <c r="HL97" s="1936">
        <v>2014941</v>
      </c>
      <c r="HM97" s="1936">
        <v>401268</v>
      </c>
      <c r="HN97" s="1936">
        <v>90562</v>
      </c>
      <c r="HO97" s="1936">
        <v>1844721</v>
      </c>
      <c r="HP97" s="1936">
        <v>8561851</v>
      </c>
      <c r="HQ97" s="1936">
        <v>158552.79629629629</v>
      </c>
      <c r="HR97" s="1988">
        <f t="shared" si="765"/>
        <v>17296.668686868688</v>
      </c>
      <c r="HS97" s="1366">
        <v>0.41133500220921854</v>
      </c>
      <c r="HT97" s="1366">
        <v>8.0423030020027209E-2</v>
      </c>
      <c r="HU97" s="1366">
        <v>0.23533941433925912</v>
      </c>
      <c r="HV97" s="1366">
        <v>4.6866968369339762E-2</v>
      </c>
      <c r="HW97" s="1366">
        <v>1.0577385661114635E-2</v>
      </c>
      <c r="HX97" s="1366">
        <v>0.21545819940104075</v>
      </c>
      <c r="HY97" s="1366">
        <v>1</v>
      </c>
      <c r="HZ97" s="1525"/>
      <c r="IA97" s="59">
        <f t="shared" si="767"/>
        <v>0</v>
      </c>
      <c r="IB97" s="59"/>
      <c r="IC97" s="815">
        <f t="shared" si="768"/>
        <v>1</v>
      </c>
      <c r="ID97" s="815"/>
      <c r="IE97" s="284">
        <f t="shared" si="769"/>
        <v>0</v>
      </c>
      <c r="IF97" s="284"/>
      <c r="IG97" s="284">
        <f t="shared" si="770"/>
        <v>69333.569974055674</v>
      </c>
      <c r="IH97" s="284"/>
      <c r="II97" s="1288">
        <f t="shared" si="771"/>
        <v>0</v>
      </c>
      <c r="IJ97" s="1288">
        <f t="shared" si="772"/>
        <v>0.96766433458411905</v>
      </c>
      <c r="IK97" s="284">
        <f t="shared" si="773"/>
        <v>1</v>
      </c>
      <c r="IL97" s="284">
        <f t="shared" si="774"/>
        <v>0</v>
      </c>
      <c r="IM97" s="284">
        <f t="shared" si="775"/>
        <v>0</v>
      </c>
      <c r="IN97" s="284">
        <f t="shared" si="776"/>
        <v>0</v>
      </c>
      <c r="IO97" s="753">
        <f t="shared" si="777"/>
        <v>-1402.9321766561513</v>
      </c>
      <c r="IP97" s="113">
        <f t="shared" si="778"/>
        <v>-1706.6479730172948</v>
      </c>
      <c r="IQ97" s="30">
        <f t="shared" si="779"/>
        <v>-8.5550552559892482E-2</v>
      </c>
      <c r="IR97" s="438">
        <f t="shared" si="780"/>
        <v>4656539</v>
      </c>
      <c r="IS97" s="438">
        <f t="shared" si="781"/>
        <v>2845805</v>
      </c>
      <c r="IT97" s="438">
        <f t="shared" si="782"/>
        <v>4106681</v>
      </c>
      <c r="IU97" s="438">
        <f t="shared" si="783"/>
        <v>1041959</v>
      </c>
      <c r="IV97" s="438">
        <f t="shared" si="784"/>
        <v>3054868</v>
      </c>
      <c r="IW97" s="438">
        <f t="shared" si="785"/>
        <v>1077754</v>
      </c>
      <c r="IX97" s="285">
        <f t="shared" si="786"/>
        <v>0.62067788413861058</v>
      </c>
      <c r="IY97" s="285">
        <f t="shared" si="787"/>
        <v>0.37932211586138948</v>
      </c>
      <c r="IZ97" s="285">
        <f t="shared" si="788"/>
        <v>0.54738639017352442</v>
      </c>
      <c r="JA97" s="285">
        <f t="shared" si="789"/>
        <v>0.13888446064323365</v>
      </c>
      <c r="JB97" s="285">
        <f t="shared" si="790"/>
        <v>0.40718847336245845</v>
      </c>
      <c r="JC97" s="285">
        <f t="shared" si="791"/>
        <v>0.1436556361585126</v>
      </c>
      <c r="JD97" s="60">
        <f t="shared" si="792"/>
        <v>20793764</v>
      </c>
      <c r="JE97" s="60">
        <f t="shared" si="793"/>
        <v>8688795</v>
      </c>
      <c r="JF97" s="60">
        <f t="shared" si="794"/>
        <v>0</v>
      </c>
      <c r="JG97" s="60">
        <f t="shared" si="795"/>
        <v>959498</v>
      </c>
      <c r="JH97" s="284">
        <f t="shared" si="796"/>
        <v>1</v>
      </c>
      <c r="JI97" s="284">
        <f t="shared" si="797"/>
        <v>1</v>
      </c>
      <c r="JJ97" s="560">
        <f t="shared" si="798"/>
        <v>0.70401818891905421</v>
      </c>
      <c r="JK97" s="561">
        <f t="shared" si="799"/>
        <v>0.45475066981292872</v>
      </c>
      <c r="JL97" s="561">
        <f t="shared" si="800"/>
        <v>8.0837937435824667E-2</v>
      </c>
      <c r="JM97" s="561">
        <f t="shared" si="801"/>
        <v>3.9306056102788381E-2</v>
      </c>
      <c r="JN97" s="561">
        <f t="shared" si="802"/>
        <v>0.3839582393546192</v>
      </c>
      <c r="JO97" s="561">
        <f t="shared" si="803"/>
        <v>7.5771574560051279E-3</v>
      </c>
      <c r="JP97" s="561">
        <f t="shared" si="804"/>
        <v>1.7813085033620904E-2</v>
      </c>
      <c r="JQ97" s="561">
        <f t="shared" si="805"/>
        <v>0.98424314519578704</v>
      </c>
      <c r="JR97" s="61">
        <f t="shared" si="806"/>
        <v>0</v>
      </c>
      <c r="JS97" s="61">
        <f t="shared" si="807"/>
        <v>0</v>
      </c>
      <c r="JT97" s="61">
        <f t="shared" si="808"/>
        <v>0</v>
      </c>
      <c r="JU97" s="61">
        <f t="shared" si="809"/>
        <v>0</v>
      </c>
      <c r="JV97" s="61">
        <f t="shared" si="810"/>
        <v>0</v>
      </c>
      <c r="JW97" s="61">
        <f t="shared" si="811"/>
        <v>0</v>
      </c>
      <c r="JX97" s="61">
        <f t="shared" si="812"/>
        <v>0</v>
      </c>
      <c r="JY97" s="394">
        <f t="shared" si="813"/>
        <v>0</v>
      </c>
      <c r="JZ97" s="61">
        <f t="shared" si="814"/>
        <v>65218.314814814818</v>
      </c>
      <c r="KA97" s="61">
        <f t="shared" si="815"/>
        <v>12751.296296296296</v>
      </c>
      <c r="KB97" s="61">
        <f t="shared" si="816"/>
        <v>37313.722222222219</v>
      </c>
      <c r="KC97" s="61">
        <f t="shared" si="817"/>
        <v>7430.8888888888887</v>
      </c>
      <c r="KD97" s="61">
        <f t="shared" si="818"/>
        <v>1677.0740740740741</v>
      </c>
      <c r="KE97" s="61">
        <f t="shared" si="819"/>
        <v>34161.5</v>
      </c>
      <c r="KF97" s="61">
        <f t="shared" si="820"/>
        <v>25400</v>
      </c>
      <c r="KG97" s="61">
        <f t="shared" si="821"/>
        <v>330</v>
      </c>
      <c r="KH97" s="61">
        <f t="shared" si="822"/>
        <v>112.55966607506738</v>
      </c>
      <c r="KI97" s="394">
        <f t="shared" si="823"/>
        <v>0.23019084206818644</v>
      </c>
      <c r="KJ97" s="438">
        <f t="shared" si="824"/>
        <v>54</v>
      </c>
      <c r="KK97" s="438">
        <f t="shared" si="825"/>
        <v>76065</v>
      </c>
      <c r="KL97" s="438">
        <f t="shared" si="826"/>
        <v>495</v>
      </c>
      <c r="KM97" s="438">
        <f t="shared" si="827"/>
        <v>158552.79629629629</v>
      </c>
      <c r="KN97" s="438">
        <f t="shared" si="828"/>
        <v>112.55966607506738</v>
      </c>
      <c r="KO97" s="438">
        <f t="shared" si="829"/>
        <v>17296.668686868688</v>
      </c>
      <c r="KP97" s="438">
        <f t="shared" si="830"/>
        <v>3521789</v>
      </c>
      <c r="KQ97" s="438">
        <f t="shared" si="831"/>
        <v>688570</v>
      </c>
      <c r="KR97" s="438">
        <f t="shared" si="832"/>
        <v>2014941</v>
      </c>
      <c r="KS97" s="438">
        <f t="shared" si="833"/>
        <v>401268</v>
      </c>
      <c r="KT97" s="438">
        <f t="shared" si="834"/>
        <v>90562</v>
      </c>
      <c r="KU97" s="438">
        <f t="shared" si="835"/>
        <v>1844721</v>
      </c>
      <c r="KV97" s="420">
        <f t="shared" si="836"/>
        <v>0.23019084206818644</v>
      </c>
      <c r="KW97" s="420">
        <f t="shared" si="837"/>
        <v>-0.32303579092270163</v>
      </c>
      <c r="KX97" s="108"/>
      <c r="KY97" s="282">
        <f t="shared" si="838"/>
        <v>0</v>
      </c>
      <c r="KZ97" s="282"/>
      <c r="LA97" s="282">
        <f t="shared" si="839"/>
        <v>0</v>
      </c>
      <c r="LB97" s="282"/>
      <c r="LC97" s="286">
        <f t="shared" si="840"/>
        <v>0</v>
      </c>
      <c r="LD97" s="286"/>
      <c r="LE97" s="282">
        <f t="shared" si="841"/>
        <v>0</v>
      </c>
      <c r="LF97" s="282"/>
      <c r="LG97" s="282">
        <f t="shared" si="842"/>
        <v>0</v>
      </c>
      <c r="LH97" s="282">
        <f t="shared" si="843"/>
        <v>0</v>
      </c>
      <c r="LI97" s="282">
        <f t="shared" si="844"/>
        <v>0</v>
      </c>
      <c r="LJ97" s="282">
        <f t="shared" si="845"/>
        <v>0</v>
      </c>
      <c r="LK97" s="282"/>
      <c r="LL97" s="282">
        <f t="shared" si="846"/>
        <v>0</v>
      </c>
      <c r="LM97" s="282">
        <f t="shared" si="847"/>
        <v>0</v>
      </c>
      <c r="LN97" s="282">
        <f t="shared" si="848"/>
        <v>0</v>
      </c>
      <c r="LO97" s="282">
        <f t="shared" si="849"/>
        <v>0</v>
      </c>
      <c r="LP97" s="286">
        <f t="shared" si="850"/>
        <v>0</v>
      </c>
      <c r="LQ97" s="282">
        <f t="shared" si="851"/>
        <v>0</v>
      </c>
      <c r="LR97" s="282">
        <f t="shared" si="852"/>
        <v>0</v>
      </c>
      <c r="LS97" s="282">
        <f t="shared" si="853"/>
        <v>0</v>
      </c>
      <c r="LT97" s="286">
        <f t="shared" si="854"/>
        <v>0</v>
      </c>
      <c r="LU97" s="286">
        <f t="shared" si="855"/>
        <v>0</v>
      </c>
      <c r="LV97" s="286">
        <f t="shared" si="856"/>
        <v>0</v>
      </c>
      <c r="LW97" s="286">
        <f t="shared" si="857"/>
        <v>0</v>
      </c>
      <c r="LX97" s="286">
        <f t="shared" si="858"/>
        <v>0</v>
      </c>
      <c r="LY97" s="286">
        <f t="shared" si="859"/>
        <v>0</v>
      </c>
      <c r="LZ97" s="286">
        <f t="shared" si="860"/>
        <v>0</v>
      </c>
      <c r="MA97" s="286">
        <f t="shared" si="861"/>
        <v>0</v>
      </c>
      <c r="MB97" s="286">
        <f t="shared" si="862"/>
        <v>0</v>
      </c>
      <c r="MC97" s="286">
        <f t="shared" si="863"/>
        <v>0</v>
      </c>
      <c r="MD97" s="286">
        <f t="shared" si="864"/>
        <v>0</v>
      </c>
      <c r="ME97" s="286">
        <f t="shared" si="865"/>
        <v>0</v>
      </c>
      <c r="MF97" s="286">
        <f t="shared" si="866"/>
        <v>0</v>
      </c>
      <c r="MG97" s="286">
        <f t="shared" si="867"/>
        <v>0</v>
      </c>
      <c r="MH97" s="286">
        <f t="shared" si="868"/>
        <v>0</v>
      </c>
      <c r="MI97" s="286">
        <f t="shared" si="869"/>
        <v>0</v>
      </c>
      <c r="MJ97" s="286">
        <f t="shared" si="870"/>
        <v>0</v>
      </c>
      <c r="MK97" s="286">
        <f t="shared" si="871"/>
        <v>0</v>
      </c>
      <c r="ML97" s="282">
        <f t="shared" si="872"/>
        <v>0</v>
      </c>
      <c r="MM97" s="1232">
        <f t="shared" si="873"/>
        <v>0</v>
      </c>
      <c r="MN97" s="1232">
        <f t="shared" si="874"/>
        <v>0</v>
      </c>
      <c r="MO97" s="1232">
        <f t="shared" si="875"/>
        <v>0</v>
      </c>
      <c r="MP97" s="1232">
        <f t="shared" si="876"/>
        <v>0</v>
      </c>
      <c r="MQ97" s="282">
        <f t="shared" si="877"/>
        <v>0</v>
      </c>
      <c r="MR97" s="282">
        <f t="shared" si="878"/>
        <v>0</v>
      </c>
      <c r="MS97" s="282">
        <f t="shared" si="879"/>
        <v>0</v>
      </c>
      <c r="MT97" s="282">
        <f t="shared" si="880"/>
        <v>0</v>
      </c>
      <c r="MU97" s="282">
        <f t="shared" si="881"/>
        <v>0</v>
      </c>
      <c r="MV97" s="282">
        <f t="shared" si="882"/>
        <v>0</v>
      </c>
      <c r="MW97" s="282">
        <f t="shared" si="883"/>
        <v>0</v>
      </c>
      <c r="MX97" s="282">
        <f t="shared" si="884"/>
        <v>0</v>
      </c>
      <c r="MY97" s="282">
        <f t="shared" si="885"/>
        <v>0</v>
      </c>
      <c r="MZ97" s="282">
        <f t="shared" si="886"/>
        <v>0</v>
      </c>
      <c r="NA97" s="282">
        <f t="shared" si="887"/>
        <v>0</v>
      </c>
      <c r="NB97" s="282">
        <f t="shared" si="888"/>
        <v>0</v>
      </c>
      <c r="NC97" s="282">
        <f t="shared" si="889"/>
        <v>0</v>
      </c>
      <c r="ND97" s="282">
        <f t="shared" si="890"/>
        <v>0</v>
      </c>
      <c r="NE97" s="282">
        <f t="shared" si="891"/>
        <v>0</v>
      </c>
      <c r="NF97" s="282">
        <f t="shared" si="892"/>
        <v>0</v>
      </c>
      <c r="NG97" s="282">
        <f t="shared" si="893"/>
        <v>0</v>
      </c>
      <c r="NH97" s="282">
        <f t="shared" si="894"/>
        <v>0</v>
      </c>
      <c r="NI97" s="282">
        <f t="shared" si="895"/>
        <v>0</v>
      </c>
      <c r="NJ97" s="282">
        <f t="shared" si="896"/>
        <v>0</v>
      </c>
      <c r="NK97" s="282">
        <f t="shared" si="897"/>
        <v>0</v>
      </c>
      <c r="NL97" s="282">
        <f t="shared" si="898"/>
        <v>0</v>
      </c>
      <c r="NM97" s="1205">
        <f t="shared" si="899"/>
        <v>0</v>
      </c>
      <c r="NN97" s="282">
        <f t="shared" si="900"/>
        <v>0</v>
      </c>
      <c r="NO97" s="282">
        <f t="shared" si="901"/>
        <v>0</v>
      </c>
      <c r="NP97" s="282">
        <f t="shared" si="902"/>
        <v>0</v>
      </c>
      <c r="NQ97" s="282">
        <f t="shared" si="903"/>
        <v>0</v>
      </c>
      <c r="NR97" s="282">
        <f t="shared" si="904"/>
        <v>0</v>
      </c>
      <c r="NS97" s="282">
        <f t="shared" si="905"/>
        <v>0</v>
      </c>
      <c r="NT97" s="282">
        <f t="shared" si="906"/>
        <v>0</v>
      </c>
      <c r="NU97" s="282">
        <f t="shared" si="907"/>
        <v>0</v>
      </c>
      <c r="NV97" s="286">
        <f t="shared" si="908"/>
        <v>0</v>
      </c>
      <c r="NW97" s="286">
        <f t="shared" si="909"/>
        <v>0</v>
      </c>
      <c r="NX97" s="286">
        <f t="shared" si="910"/>
        <v>0</v>
      </c>
      <c r="NY97" s="286">
        <f t="shared" si="911"/>
        <v>0</v>
      </c>
      <c r="NZ97" s="286">
        <f t="shared" si="912"/>
        <v>0</v>
      </c>
      <c r="OA97" s="286">
        <f t="shared" si="913"/>
        <v>0</v>
      </c>
      <c r="OB97" s="286">
        <f t="shared" si="914"/>
        <v>0</v>
      </c>
      <c r="OC97" s="286">
        <f t="shared" si="915"/>
        <v>0</v>
      </c>
      <c r="OD97" s="286">
        <f t="shared" si="916"/>
        <v>0</v>
      </c>
      <c r="OE97" s="282">
        <f t="shared" si="917"/>
        <v>0</v>
      </c>
      <c r="OF97" s="282">
        <f t="shared" si="918"/>
        <v>0</v>
      </c>
      <c r="OG97" s="286">
        <f t="shared" si="919"/>
        <v>0</v>
      </c>
      <c r="OH97" s="286">
        <f t="shared" si="920"/>
        <v>0</v>
      </c>
      <c r="OI97" s="286">
        <f t="shared" si="921"/>
        <v>0</v>
      </c>
      <c r="OJ97" s="286">
        <f t="shared" si="922"/>
        <v>0</v>
      </c>
      <c r="OK97" s="286">
        <f t="shared" si="923"/>
        <v>0</v>
      </c>
      <c r="OL97" s="286">
        <f t="shared" si="924"/>
        <v>0</v>
      </c>
      <c r="OM97" s="286">
        <f t="shared" si="925"/>
        <v>0</v>
      </c>
      <c r="ON97" s="286">
        <f t="shared" si="926"/>
        <v>0</v>
      </c>
      <c r="OO97" s="286">
        <f t="shared" si="927"/>
        <v>0</v>
      </c>
      <c r="OP97" s="434">
        <f t="shared" si="928"/>
        <v>0</v>
      </c>
      <c r="OQ97" s="434">
        <f t="shared" si="929"/>
        <v>0</v>
      </c>
      <c r="OR97" s="282">
        <f t="shared" si="930"/>
        <v>0</v>
      </c>
      <c r="OS97" s="282">
        <f t="shared" si="931"/>
        <v>0</v>
      </c>
      <c r="OT97" s="282">
        <f t="shared" si="932"/>
        <v>0</v>
      </c>
      <c r="OU97" s="282">
        <f t="shared" si="933"/>
        <v>0</v>
      </c>
      <c r="OV97" s="282">
        <f t="shared" si="934"/>
        <v>0</v>
      </c>
      <c r="OW97" s="286">
        <f t="shared" si="935"/>
        <v>0</v>
      </c>
      <c r="OX97" s="286">
        <f t="shared" si="936"/>
        <v>0</v>
      </c>
      <c r="OY97" s="286">
        <f t="shared" si="937"/>
        <v>0</v>
      </c>
      <c r="OZ97" s="286">
        <f t="shared" si="938"/>
        <v>0</v>
      </c>
      <c r="PA97" s="286">
        <f t="shared" si="939"/>
        <v>0</v>
      </c>
      <c r="PB97" s="286">
        <f t="shared" si="940"/>
        <v>0</v>
      </c>
      <c r="PC97" s="286">
        <f t="shared" si="941"/>
        <v>0</v>
      </c>
      <c r="PD97" s="282">
        <f t="shared" si="942"/>
        <v>0</v>
      </c>
      <c r="PE97" s="282">
        <f t="shared" si="943"/>
        <v>0</v>
      </c>
      <c r="PF97" s="286">
        <f t="shared" si="944"/>
        <v>0</v>
      </c>
      <c r="PG97" s="286">
        <f t="shared" si="945"/>
        <v>0</v>
      </c>
      <c r="PH97" s="286">
        <f t="shared" si="946"/>
        <v>0</v>
      </c>
      <c r="PI97" s="286">
        <f t="shared" si="947"/>
        <v>0</v>
      </c>
      <c r="PJ97" s="286">
        <f t="shared" si="948"/>
        <v>0</v>
      </c>
      <c r="PK97" s="286">
        <f t="shared" si="949"/>
        <v>0</v>
      </c>
      <c r="PL97" s="286">
        <f t="shared" si="950"/>
        <v>0</v>
      </c>
      <c r="PM97" s="562">
        <v>41</v>
      </c>
      <c r="PO97" s="571"/>
    </row>
    <row r="98" spans="1:431" s="289" customFormat="1" ht="15.75" customHeight="1">
      <c r="A98" s="1935" t="s">
        <v>1195</v>
      </c>
      <c r="B98" s="1040" t="str">
        <f>VLOOKUP(A98,'Area (&amp;golfacre for lookup)'!$A$2:$B$162,2,FALSE)</f>
        <v>SW exc CIRA</v>
      </c>
      <c r="C98" s="1936"/>
      <c r="D98" s="1937">
        <v>44742</v>
      </c>
      <c r="E98" s="402"/>
      <c r="F98" s="1936">
        <v>1</v>
      </c>
      <c r="G98" s="1936">
        <v>0</v>
      </c>
      <c r="H98" s="1936">
        <v>400</v>
      </c>
      <c r="I98" s="1936">
        <v>750</v>
      </c>
      <c r="J98" s="1936">
        <v>1150</v>
      </c>
      <c r="K98" s="1938">
        <v>701.0149453918375</v>
      </c>
      <c r="L98" s="1939" t="s">
        <v>1208</v>
      </c>
      <c r="M98" s="1939" t="s">
        <v>1208</v>
      </c>
      <c r="N98" s="1939" t="s">
        <v>1208</v>
      </c>
      <c r="O98" s="1939" t="s">
        <v>1208</v>
      </c>
      <c r="P98" s="1939" t="s">
        <v>1208</v>
      </c>
      <c r="Q98" s="1936">
        <v>20000</v>
      </c>
      <c r="R98" s="1936">
        <v>60000</v>
      </c>
      <c r="S98" s="1936">
        <v>80000</v>
      </c>
      <c r="T98" s="1939" t="s">
        <v>1208</v>
      </c>
      <c r="U98" s="1939" t="s">
        <v>1208</v>
      </c>
      <c r="V98" s="1939" t="s">
        <v>1208</v>
      </c>
      <c r="W98" s="1936">
        <v>12939</v>
      </c>
      <c r="X98" s="1936">
        <v>10438</v>
      </c>
      <c r="Y98" s="1939" t="s">
        <v>1208</v>
      </c>
      <c r="Z98" s="1939" t="s">
        <v>1208</v>
      </c>
      <c r="AA98" s="1936">
        <v>2501</v>
      </c>
      <c r="AB98" s="1362">
        <v>0.23960528836941944</v>
      </c>
      <c r="AC98" s="1939" t="s">
        <v>1208</v>
      </c>
      <c r="AD98" s="1363" t="s">
        <v>1208</v>
      </c>
      <c r="AE98" s="1936">
        <v>1</v>
      </c>
      <c r="AF98" s="1936">
        <v>1822</v>
      </c>
      <c r="AG98" s="1939" t="s">
        <v>1208</v>
      </c>
      <c r="AH98" s="1936">
        <v>0</v>
      </c>
      <c r="AI98" s="1936">
        <v>0</v>
      </c>
      <c r="AJ98" s="1939" t="s">
        <v>1208</v>
      </c>
      <c r="AK98" s="1938">
        <v>0</v>
      </c>
      <c r="AL98" s="1938">
        <v>0</v>
      </c>
      <c r="AM98" s="1936">
        <v>12260</v>
      </c>
      <c r="AN98" s="1939" t="s">
        <v>1208</v>
      </c>
      <c r="AO98" s="1936">
        <v>0</v>
      </c>
      <c r="AP98" s="1936">
        <v>0</v>
      </c>
      <c r="AQ98" s="1936">
        <v>12260</v>
      </c>
      <c r="AR98" s="1939" t="s">
        <v>1208</v>
      </c>
      <c r="AS98" s="1363" t="s">
        <v>1208</v>
      </c>
      <c r="AT98" s="1363" t="s">
        <v>1208</v>
      </c>
      <c r="AU98" s="1363" t="s">
        <v>1208</v>
      </c>
      <c r="AV98" s="1363" t="s">
        <v>1208</v>
      </c>
      <c r="AW98" s="1363" t="s">
        <v>1291</v>
      </c>
      <c r="AX98" s="1938">
        <v>1</v>
      </c>
      <c r="AY98" s="1938">
        <v>0</v>
      </c>
      <c r="AZ98" s="1938">
        <v>1</v>
      </c>
      <c r="BA98" s="1938">
        <v>0</v>
      </c>
      <c r="BB98" s="1938">
        <v>0</v>
      </c>
      <c r="BC98" s="1938">
        <v>0</v>
      </c>
      <c r="BD98" s="1938">
        <v>0</v>
      </c>
      <c r="BE98" s="1936">
        <v>1</v>
      </c>
      <c r="BF98" s="1936">
        <v>2700000</v>
      </c>
      <c r="BG98" s="1936">
        <v>601000</v>
      </c>
      <c r="BH98" s="1936">
        <v>3301000</v>
      </c>
      <c r="BI98" s="1938">
        <v>21070049</v>
      </c>
      <c r="BJ98" s="1936">
        <v>815676</v>
      </c>
      <c r="BK98" s="1936">
        <v>1497294</v>
      </c>
      <c r="BL98" s="1362">
        <v>0.54476675923365747</v>
      </c>
      <c r="BM98" s="1936">
        <v>1</v>
      </c>
      <c r="BN98" s="1936">
        <v>1549806</v>
      </c>
      <c r="BO98" s="1363" t="s">
        <v>1208</v>
      </c>
      <c r="BP98" s="1938">
        <v>6430043</v>
      </c>
      <c r="BQ98" s="1938">
        <v>6071439</v>
      </c>
      <c r="BR98" s="1940">
        <v>1.0590640867840391</v>
      </c>
      <c r="BS98" s="1409">
        <v>1</v>
      </c>
      <c r="BT98" s="1938">
        <v>6859558</v>
      </c>
      <c r="BU98" s="1938">
        <v>23005703</v>
      </c>
      <c r="BV98" s="1940">
        <v>0.2981677195432802</v>
      </c>
      <c r="BW98" s="1936">
        <v>2210.8030794318151</v>
      </c>
      <c r="BX98" s="1936">
        <v>1163.5643510340167</v>
      </c>
      <c r="BY98" s="1936">
        <v>4708.88676724985</v>
      </c>
      <c r="BZ98" s="1936">
        <v>974593</v>
      </c>
      <c r="CA98" s="1936">
        <v>355765</v>
      </c>
      <c r="CB98" s="1936">
        <v>725365</v>
      </c>
      <c r="CC98" s="1936">
        <v>646711</v>
      </c>
      <c r="CD98" s="1936">
        <v>7317194</v>
      </c>
      <c r="CE98" s="1936">
        <v>0</v>
      </c>
      <c r="CF98" s="1936">
        <v>0</v>
      </c>
      <c r="CG98" s="1936">
        <v>2094973</v>
      </c>
      <c r="CH98" s="1936">
        <v>1419005</v>
      </c>
      <c r="CI98" s="1936">
        <v>177779</v>
      </c>
      <c r="CJ98" s="1936">
        <v>13711385</v>
      </c>
      <c r="CK98" s="1366">
        <v>7.1079106888180879E-2</v>
      </c>
      <c r="CL98" s="1366">
        <v>2.5946685911014823E-2</v>
      </c>
      <c r="CM98" s="1366">
        <v>5.2902387322651942E-2</v>
      </c>
      <c r="CN98" s="1366">
        <v>4.7165986514126762E-2</v>
      </c>
      <c r="CO98" s="1366">
        <v>0.53365827011640332</v>
      </c>
      <c r="CP98" s="1366">
        <v>0</v>
      </c>
      <c r="CQ98" s="1366">
        <v>0</v>
      </c>
      <c r="CR98" s="1366">
        <v>0.15279076475498282</v>
      </c>
      <c r="CS98" s="1366">
        <v>0.10349100400871247</v>
      </c>
      <c r="CT98" s="1366">
        <v>1.2965794483927044E-2</v>
      </c>
      <c r="CU98" s="1366">
        <v>1</v>
      </c>
      <c r="CV98" s="1936">
        <v>7308224</v>
      </c>
      <c r="CW98" s="1936">
        <v>1545088</v>
      </c>
      <c r="CX98" s="1936">
        <v>585662</v>
      </c>
      <c r="CY98" s="1936">
        <v>3948067</v>
      </c>
      <c r="CZ98" s="1936">
        <v>136920</v>
      </c>
      <c r="DA98" s="1936">
        <v>222368</v>
      </c>
      <c r="DB98" s="1936">
        <v>13746329</v>
      </c>
      <c r="DC98" s="1366">
        <v>0.53164914065420665</v>
      </c>
      <c r="DD98" s="1366">
        <v>0.11240004513204943</v>
      </c>
      <c r="DE98" s="1366">
        <v>4.2604974753623313E-2</v>
      </c>
      <c r="DF98" s="1366">
        <v>0.28720882498883882</v>
      </c>
      <c r="DG98" s="1366">
        <v>9.9604774481972611E-3</v>
      </c>
      <c r="DH98" s="1366">
        <v>1.617653702308449E-2</v>
      </c>
      <c r="DI98" s="1366">
        <v>1</v>
      </c>
      <c r="DJ98" s="1936">
        <v>-34944</v>
      </c>
      <c r="DK98" s="1936">
        <v>1390.2599458207615</v>
      </c>
      <c r="DL98" s="1936">
        <v>507.49987905199725</v>
      </c>
      <c r="DM98" s="1936">
        <v>1034.7354286356219</v>
      </c>
      <c r="DN98" s="1936">
        <v>922.53525299452224</v>
      </c>
      <c r="DO98" s="1936">
        <v>10438</v>
      </c>
      <c r="DP98" s="1936">
        <v>0</v>
      </c>
      <c r="DQ98" s="1936">
        <v>0</v>
      </c>
      <c r="DR98" s="1936">
        <v>2988.4855005894337</v>
      </c>
      <c r="DS98" s="1936">
        <v>2024.2150460955388</v>
      </c>
      <c r="DT98" s="1936">
        <v>253.6022964540779</v>
      </c>
      <c r="DU98" s="1936">
        <v>19559.333349641955</v>
      </c>
      <c r="DV98" s="1936">
        <v>10425.204267100204</v>
      </c>
      <c r="DW98" s="1936">
        <v>2204.0728377572059</v>
      </c>
      <c r="DX98" s="1936">
        <v>835.44866461105175</v>
      </c>
      <c r="DY98" s="1936">
        <v>5631.9298553516555</v>
      </c>
      <c r="DZ98" s="1936">
        <v>195.31680586847909</v>
      </c>
      <c r="EA98" s="1936">
        <v>317.2086436412647</v>
      </c>
      <c r="EB98" s="1936">
        <v>19609.181074329859</v>
      </c>
      <c r="EC98" s="1936">
        <v>-49.847724687906322</v>
      </c>
      <c r="ED98" s="1941">
        <v>194</v>
      </c>
      <c r="EE98" s="1936">
        <v>1</v>
      </c>
      <c r="EF98" s="1936">
        <v>24</v>
      </c>
      <c r="EG98" s="1938">
        <v>110000</v>
      </c>
      <c r="EH98" s="1938">
        <v>1</v>
      </c>
      <c r="EI98" s="1368">
        <v>0.09</v>
      </c>
      <c r="EJ98" s="1936">
        <v>3.6134790999579254</v>
      </c>
      <c r="EK98" s="1936">
        <v>0</v>
      </c>
      <c r="EL98" s="1936">
        <v>0</v>
      </c>
      <c r="EM98" s="1936">
        <v>1</v>
      </c>
      <c r="EN98" s="1362">
        <v>0.2</v>
      </c>
      <c r="EO98" s="1936">
        <v>0</v>
      </c>
      <c r="EP98" s="1936">
        <v>0</v>
      </c>
      <c r="EQ98" s="1936">
        <v>0</v>
      </c>
      <c r="ER98" s="1938">
        <v>0</v>
      </c>
      <c r="ES98" s="1936">
        <v>5012.7005466849723</v>
      </c>
      <c r="ET98" s="1936">
        <v>-1433.2989711629896</v>
      </c>
      <c r="EU98" s="1938">
        <v>2</v>
      </c>
      <c r="EV98" s="1936">
        <v>142323</v>
      </c>
      <c r="EW98" s="1936">
        <v>14859</v>
      </c>
      <c r="EX98" s="1938">
        <v>1</v>
      </c>
      <c r="EY98" s="1936">
        <v>2094973</v>
      </c>
      <c r="EZ98" s="1936">
        <v>1020072</v>
      </c>
      <c r="FA98" s="1936">
        <v>1074901</v>
      </c>
      <c r="FB98" s="1936">
        <v>1419005</v>
      </c>
      <c r="FC98" s="1936">
        <v>525016</v>
      </c>
      <c r="FD98" s="1936">
        <v>893989</v>
      </c>
      <c r="FE98" s="1936">
        <v>3513978</v>
      </c>
      <c r="FF98" s="1936">
        <v>1545088</v>
      </c>
      <c r="FG98" s="1936">
        <v>1968890</v>
      </c>
      <c r="FH98" s="1366">
        <v>1</v>
      </c>
      <c r="FI98" s="1366">
        <v>0.48691415116089803</v>
      </c>
      <c r="FJ98" s="1366">
        <v>0.51308584883910202</v>
      </c>
      <c r="FK98" s="1366">
        <v>1</v>
      </c>
      <c r="FL98" s="1366">
        <v>0.36998883020144396</v>
      </c>
      <c r="FM98" s="1366">
        <v>0.63001116979855598</v>
      </c>
      <c r="FN98" s="1366">
        <v>1</v>
      </c>
      <c r="FO98" s="1366">
        <v>0.43969768735034764</v>
      </c>
      <c r="FP98" s="1366">
        <v>0.56030231264965236</v>
      </c>
      <c r="FQ98" s="1936">
        <v>2027307</v>
      </c>
      <c r="FR98" s="1936">
        <v>0</v>
      </c>
      <c r="FS98" s="1936">
        <v>501932</v>
      </c>
      <c r="FT98" s="1936">
        <v>31589</v>
      </c>
      <c r="FU98" s="1936">
        <v>37212</v>
      </c>
      <c r="FV98" s="1936">
        <v>8449</v>
      </c>
      <c r="FW98" s="1936">
        <v>367165</v>
      </c>
      <c r="FX98" s="1936">
        <v>2973654</v>
      </c>
      <c r="FY98" s="1936">
        <v>-1004764</v>
      </c>
      <c r="FZ98" s="1366">
        <v>0.57692649185623812</v>
      </c>
      <c r="GA98" s="1366">
        <v>0</v>
      </c>
      <c r="GB98" s="1366">
        <v>0.14283868595648577</v>
      </c>
      <c r="GC98" s="1366">
        <v>8.9895269691500634E-3</v>
      </c>
      <c r="GD98" s="1366">
        <v>1.0589707732945397E-2</v>
      </c>
      <c r="GE98" s="1366">
        <v>2.4043975232628093E-3</v>
      </c>
      <c r="GF98" s="1366">
        <v>0.10448699451163325</v>
      </c>
      <c r="GG98" s="1366">
        <v>0.84623580454971548</v>
      </c>
      <c r="GH98" s="1366">
        <v>-0.28593349190006312</v>
      </c>
      <c r="GI98" s="1942">
        <v>1.4763675956039619</v>
      </c>
      <c r="GJ98" s="1943">
        <v>0</v>
      </c>
      <c r="GK98" s="1371">
        <v>0</v>
      </c>
      <c r="GL98" s="1943">
        <v>0</v>
      </c>
      <c r="GM98" s="1371">
        <v>0</v>
      </c>
      <c r="GN98" s="1943">
        <v>18</v>
      </c>
      <c r="GO98" s="1985">
        <f>IF(GN98=0,0,VLOOKUP(A98,'Area (&amp;golfacre for lookup)'!$G$2:$H$133,2,FALSE))</f>
        <v>117</v>
      </c>
      <c r="GP98" s="1943">
        <v>37212</v>
      </c>
      <c r="GQ98" s="1943">
        <v>860388</v>
      </c>
      <c r="GR98" s="1943">
        <v>248769</v>
      </c>
      <c r="GS98" s="1943">
        <v>583269</v>
      </c>
      <c r="GT98" s="1943">
        <v>68717</v>
      </c>
      <c r="GU98" s="1943">
        <v>207559</v>
      </c>
      <c r="GV98" s="1943">
        <v>163284</v>
      </c>
      <c r="GW98" s="1943">
        <v>2131986</v>
      </c>
      <c r="GX98" s="1943">
        <v>118443.66666666667</v>
      </c>
      <c r="GY98" s="1985">
        <f t="shared" si="764"/>
        <v>18222.102564102563</v>
      </c>
      <c r="GZ98" s="1366">
        <v>0.40356174946739798</v>
      </c>
      <c r="HA98" s="1366">
        <v>0.11668416209112067</v>
      </c>
      <c r="HB98" s="1366">
        <v>0.27358012669876819</v>
      </c>
      <c r="HC98" s="1366">
        <v>3.2231449925093317E-2</v>
      </c>
      <c r="HD98" s="1366">
        <v>9.7354766869951301E-2</v>
      </c>
      <c r="HE98" s="1366">
        <v>7.6587744947668512E-2</v>
      </c>
      <c r="HF98" s="1366">
        <v>1</v>
      </c>
      <c r="HG98" s="1936">
        <v>0</v>
      </c>
      <c r="HH98" s="1988">
        <f>IF(HG98=0,0,VLOOKUP(A98,'Area (&amp;golfacre for lookup)'!$G$2:$H$134,2,FALSE))</f>
        <v>0</v>
      </c>
      <c r="HI98" s="1936">
        <v>0</v>
      </c>
      <c r="HJ98" s="1936">
        <v>0</v>
      </c>
      <c r="HK98" s="1936">
        <v>0</v>
      </c>
      <c r="HL98" s="1936">
        <v>0</v>
      </c>
      <c r="HM98" s="1936">
        <v>0</v>
      </c>
      <c r="HN98" s="1936">
        <v>0</v>
      </c>
      <c r="HO98" s="1936">
        <v>0</v>
      </c>
      <c r="HP98" s="1936">
        <v>0</v>
      </c>
      <c r="HQ98" s="1936">
        <v>0</v>
      </c>
      <c r="HR98" s="1988">
        <f t="shared" si="765"/>
        <v>0</v>
      </c>
      <c r="HS98" s="1936">
        <v>0</v>
      </c>
      <c r="HT98" s="1936">
        <v>0</v>
      </c>
      <c r="HU98" s="1936">
        <v>0</v>
      </c>
      <c r="HV98" s="1936">
        <v>0</v>
      </c>
      <c r="HW98" s="1936">
        <v>0</v>
      </c>
      <c r="HX98" s="1936">
        <v>0</v>
      </c>
      <c r="HY98" s="1936">
        <v>0</v>
      </c>
      <c r="HZ98" s="51"/>
      <c r="IA98" s="59">
        <f t="shared" si="767"/>
        <v>0.25</v>
      </c>
      <c r="IB98" s="59"/>
      <c r="IC98" s="815">
        <f t="shared" si="768"/>
        <v>1</v>
      </c>
      <c r="ID98" s="815"/>
      <c r="IE98" s="284">
        <f t="shared" si="769"/>
        <v>0</v>
      </c>
      <c r="IF98" s="284"/>
      <c r="IG98" s="284">
        <f t="shared" si="770"/>
        <v>30056.490433627972</v>
      </c>
      <c r="IH98" s="284"/>
      <c r="II98" s="1288">
        <f t="shared" si="771"/>
        <v>1.0590640867840391</v>
      </c>
      <c r="IJ98" s="1288">
        <f t="shared" si="772"/>
        <v>0</v>
      </c>
      <c r="IK98" s="284">
        <f t="shared" si="773"/>
        <v>1</v>
      </c>
      <c r="IL98" s="284">
        <f t="shared" si="774"/>
        <v>0</v>
      </c>
      <c r="IM98" s="284">
        <f t="shared" si="775"/>
        <v>0</v>
      </c>
      <c r="IN98" s="284">
        <f t="shared" si="776"/>
        <v>0</v>
      </c>
      <c r="IO98" s="753">
        <f t="shared" si="777"/>
        <v>-873.70782608695652</v>
      </c>
      <c r="IP98" s="113">
        <f t="shared" si="778"/>
        <v>-1433.2989711629896</v>
      </c>
      <c r="IQ98" s="30">
        <f t="shared" si="779"/>
        <v>-0.13731547913038797</v>
      </c>
      <c r="IR98" s="438">
        <f t="shared" si="780"/>
        <v>2094973</v>
      </c>
      <c r="IS98" s="438">
        <f t="shared" si="781"/>
        <v>1419005</v>
      </c>
      <c r="IT98" s="438">
        <f t="shared" si="782"/>
        <v>2027307</v>
      </c>
      <c r="IU98" s="438">
        <f t="shared" si="783"/>
        <v>533521</v>
      </c>
      <c r="IV98" s="438">
        <f t="shared" si="784"/>
        <v>1545088</v>
      </c>
      <c r="IW98" s="438">
        <f t="shared" si="785"/>
        <v>412826</v>
      </c>
      <c r="IX98" s="285">
        <f t="shared" si="786"/>
        <v>0.59618273079683481</v>
      </c>
      <c r="IY98" s="285">
        <f t="shared" si="787"/>
        <v>0.40381726920316519</v>
      </c>
      <c r="IZ98" s="285">
        <f t="shared" si="788"/>
        <v>0.57692649185623812</v>
      </c>
      <c r="JA98" s="285">
        <f t="shared" si="789"/>
        <v>0.15182821292563584</v>
      </c>
      <c r="JB98" s="285">
        <f t="shared" si="790"/>
        <v>0.43969768735034764</v>
      </c>
      <c r="JC98" s="285">
        <f t="shared" si="791"/>
        <v>0.11748109976784146</v>
      </c>
      <c r="JD98" s="60">
        <f t="shared" si="792"/>
        <v>7317194</v>
      </c>
      <c r="JE98" s="60">
        <f t="shared" si="793"/>
        <v>2702434</v>
      </c>
      <c r="JF98" s="60">
        <f t="shared" si="794"/>
        <v>0</v>
      </c>
      <c r="JG98" s="60">
        <f t="shared" si="795"/>
        <v>359288</v>
      </c>
      <c r="JH98" s="284">
        <f t="shared" si="796"/>
        <v>0</v>
      </c>
      <c r="JI98" s="284">
        <f t="shared" si="797"/>
        <v>1</v>
      </c>
      <c r="JJ98" s="560">
        <f t="shared" si="798"/>
        <v>0.80740316943883428</v>
      </c>
      <c r="JK98" s="561">
        <f t="shared" si="799"/>
        <v>0.53300406924610455</v>
      </c>
      <c r="JL98" s="561">
        <f t="shared" si="800"/>
        <v>0.11268650103545338</v>
      </c>
      <c r="JM98" s="561">
        <f t="shared" si="801"/>
        <v>4.2713555195189983E-2</v>
      </c>
      <c r="JN98" s="561">
        <f t="shared" si="802"/>
        <v>0.28794078789268918</v>
      </c>
      <c r="JO98" s="561">
        <f t="shared" si="803"/>
        <v>9.9858621138564779E-3</v>
      </c>
      <c r="JP98" s="561">
        <f t="shared" si="804"/>
        <v>1.6217763559261154E-2</v>
      </c>
      <c r="JQ98" s="561">
        <f t="shared" si="805"/>
        <v>1.0025485390425546</v>
      </c>
      <c r="JR98" s="61">
        <f t="shared" si="806"/>
        <v>47799.333333333336</v>
      </c>
      <c r="JS98" s="61">
        <f t="shared" si="807"/>
        <v>13820.5</v>
      </c>
      <c r="JT98" s="61">
        <f t="shared" si="808"/>
        <v>32403.833333333332</v>
      </c>
      <c r="JU98" s="61">
        <f t="shared" si="809"/>
        <v>3817.6111111111113</v>
      </c>
      <c r="JV98" s="61">
        <f t="shared" si="810"/>
        <v>11531.055555555555</v>
      </c>
      <c r="JW98" s="61">
        <f t="shared" si="811"/>
        <v>9071.3333333333339</v>
      </c>
      <c r="JX98" s="61">
        <f t="shared" si="812"/>
        <v>57.292970009674299</v>
      </c>
      <c r="JY98" s="394">
        <f t="shared" si="813"/>
        <v>0.15509493480041109</v>
      </c>
      <c r="JZ98" s="61">
        <f t="shared" si="814"/>
        <v>0</v>
      </c>
      <c r="KA98" s="61">
        <f t="shared" si="815"/>
        <v>0</v>
      </c>
      <c r="KB98" s="61">
        <f t="shared" si="816"/>
        <v>0</v>
      </c>
      <c r="KC98" s="61">
        <f t="shared" si="817"/>
        <v>0</v>
      </c>
      <c r="KD98" s="61">
        <f t="shared" si="818"/>
        <v>0</v>
      </c>
      <c r="KE98" s="61">
        <f t="shared" si="819"/>
        <v>0</v>
      </c>
      <c r="KF98" s="61">
        <f t="shared" si="820"/>
        <v>0</v>
      </c>
      <c r="KG98" s="61">
        <f t="shared" si="821"/>
        <v>0</v>
      </c>
      <c r="KH98" s="61">
        <f t="shared" si="822"/>
        <v>0</v>
      </c>
      <c r="KI98" s="394">
        <f t="shared" si="823"/>
        <v>0</v>
      </c>
      <c r="KJ98" s="438">
        <f t="shared" si="824"/>
        <v>18</v>
      </c>
      <c r="KK98" s="438">
        <f t="shared" si="825"/>
        <v>37212</v>
      </c>
      <c r="KL98" s="438">
        <f t="shared" si="826"/>
        <v>117</v>
      </c>
      <c r="KM98" s="438">
        <f t="shared" si="827"/>
        <v>118443.66666666667</v>
      </c>
      <c r="KN98" s="438">
        <f t="shared" si="828"/>
        <v>57.292970009674299</v>
      </c>
      <c r="KO98" s="438">
        <f t="shared" si="829"/>
        <v>18222.102564102563</v>
      </c>
      <c r="KP98" s="438">
        <f t="shared" si="830"/>
        <v>860388</v>
      </c>
      <c r="KQ98" s="438">
        <f t="shared" si="831"/>
        <v>248769</v>
      </c>
      <c r="KR98" s="438">
        <f t="shared" si="832"/>
        <v>583269</v>
      </c>
      <c r="KS98" s="438">
        <f t="shared" si="833"/>
        <v>68717</v>
      </c>
      <c r="KT98" s="438">
        <f t="shared" si="834"/>
        <v>207559</v>
      </c>
      <c r="KU98" s="438">
        <f t="shared" si="835"/>
        <v>163284</v>
      </c>
      <c r="KV98" s="420">
        <f t="shared" si="836"/>
        <v>0.15509493480041109</v>
      </c>
      <c r="KW98" s="420">
        <f t="shared" si="837"/>
        <v>-0.26905149706294518</v>
      </c>
      <c r="KX98" s="108"/>
      <c r="KY98" s="282">
        <f t="shared" si="838"/>
        <v>0</v>
      </c>
      <c r="KZ98" s="282"/>
      <c r="LA98" s="282">
        <f t="shared" si="839"/>
        <v>0</v>
      </c>
      <c r="LB98" s="282"/>
      <c r="LC98" s="286">
        <f t="shared" si="840"/>
        <v>0</v>
      </c>
      <c r="LD98" s="286"/>
      <c r="LE98" s="282">
        <f t="shared" si="841"/>
        <v>0</v>
      </c>
      <c r="LF98" s="282"/>
      <c r="LG98" s="282">
        <f t="shared" si="842"/>
        <v>0</v>
      </c>
      <c r="LH98" s="282">
        <f t="shared" si="843"/>
        <v>0</v>
      </c>
      <c r="LI98" s="282">
        <f t="shared" si="844"/>
        <v>0</v>
      </c>
      <c r="LJ98" s="282">
        <f t="shared" si="845"/>
        <v>0</v>
      </c>
      <c r="LK98" s="282"/>
      <c r="LL98" s="282">
        <f t="shared" si="846"/>
        <v>0</v>
      </c>
      <c r="LM98" s="282">
        <f t="shared" si="847"/>
        <v>0</v>
      </c>
      <c r="LN98" s="282">
        <f t="shared" si="848"/>
        <v>0</v>
      </c>
      <c r="LO98" s="282">
        <f t="shared" si="849"/>
        <v>0</v>
      </c>
      <c r="LP98" s="286">
        <f t="shared" si="850"/>
        <v>0</v>
      </c>
      <c r="LQ98" s="282">
        <f t="shared" si="851"/>
        <v>0</v>
      </c>
      <c r="LR98" s="282">
        <f t="shared" si="852"/>
        <v>0</v>
      </c>
      <c r="LS98" s="282">
        <f t="shared" si="853"/>
        <v>0</v>
      </c>
      <c r="LT98" s="286">
        <f t="shared" si="854"/>
        <v>0</v>
      </c>
      <c r="LU98" s="286">
        <f t="shared" si="855"/>
        <v>0</v>
      </c>
      <c r="LV98" s="286">
        <f t="shared" si="856"/>
        <v>0</v>
      </c>
      <c r="LW98" s="286">
        <f t="shared" si="857"/>
        <v>0</v>
      </c>
      <c r="LX98" s="286">
        <f t="shared" si="858"/>
        <v>0</v>
      </c>
      <c r="LY98" s="286">
        <f t="shared" si="859"/>
        <v>0</v>
      </c>
      <c r="LZ98" s="286">
        <f t="shared" si="860"/>
        <v>0</v>
      </c>
      <c r="MA98" s="286">
        <f t="shared" si="861"/>
        <v>0</v>
      </c>
      <c r="MB98" s="286">
        <f t="shared" si="862"/>
        <v>0</v>
      </c>
      <c r="MC98" s="286">
        <f t="shared" si="863"/>
        <v>0</v>
      </c>
      <c r="MD98" s="286">
        <f t="shared" si="864"/>
        <v>0</v>
      </c>
      <c r="ME98" s="286">
        <f t="shared" si="865"/>
        <v>0</v>
      </c>
      <c r="MF98" s="286">
        <f t="shared" si="866"/>
        <v>0</v>
      </c>
      <c r="MG98" s="286">
        <f t="shared" si="867"/>
        <v>0</v>
      </c>
      <c r="MH98" s="286">
        <f t="shared" si="868"/>
        <v>0</v>
      </c>
      <c r="MI98" s="286">
        <f t="shared" si="869"/>
        <v>0</v>
      </c>
      <c r="MJ98" s="286">
        <f t="shared" si="870"/>
        <v>0</v>
      </c>
      <c r="MK98" s="286">
        <f t="shared" si="871"/>
        <v>0</v>
      </c>
      <c r="ML98" s="282">
        <f t="shared" si="872"/>
        <v>0</v>
      </c>
      <c r="MM98" s="1232">
        <f t="shared" si="873"/>
        <v>0</v>
      </c>
      <c r="MN98" s="1232">
        <f t="shared" si="874"/>
        <v>0</v>
      </c>
      <c r="MO98" s="1232">
        <f t="shared" si="875"/>
        <v>0</v>
      </c>
      <c r="MP98" s="1232">
        <f t="shared" si="876"/>
        <v>0</v>
      </c>
      <c r="MQ98" s="282">
        <f t="shared" si="877"/>
        <v>0</v>
      </c>
      <c r="MR98" s="282">
        <f t="shared" si="878"/>
        <v>0</v>
      </c>
      <c r="MS98" s="282">
        <f t="shared" si="879"/>
        <v>0</v>
      </c>
      <c r="MT98" s="282">
        <f t="shared" si="880"/>
        <v>0</v>
      </c>
      <c r="MU98" s="282">
        <f t="shared" si="881"/>
        <v>0</v>
      </c>
      <c r="MV98" s="282">
        <f t="shared" si="882"/>
        <v>0</v>
      </c>
      <c r="MW98" s="282">
        <f t="shared" si="883"/>
        <v>0</v>
      </c>
      <c r="MX98" s="282">
        <f t="shared" si="884"/>
        <v>0</v>
      </c>
      <c r="MY98" s="282">
        <f t="shared" si="885"/>
        <v>0</v>
      </c>
      <c r="MZ98" s="282">
        <f t="shared" si="886"/>
        <v>0</v>
      </c>
      <c r="NA98" s="282">
        <f t="shared" si="887"/>
        <v>0</v>
      </c>
      <c r="NB98" s="282">
        <f t="shared" si="888"/>
        <v>0</v>
      </c>
      <c r="NC98" s="282">
        <f t="shared" si="889"/>
        <v>0</v>
      </c>
      <c r="ND98" s="282">
        <f t="shared" si="890"/>
        <v>0</v>
      </c>
      <c r="NE98" s="282">
        <f t="shared" si="891"/>
        <v>0</v>
      </c>
      <c r="NF98" s="282">
        <f t="shared" si="892"/>
        <v>0</v>
      </c>
      <c r="NG98" s="282">
        <f t="shared" si="893"/>
        <v>0</v>
      </c>
      <c r="NH98" s="282">
        <f t="shared" si="894"/>
        <v>0</v>
      </c>
      <c r="NI98" s="282">
        <f t="shared" si="895"/>
        <v>0</v>
      </c>
      <c r="NJ98" s="282">
        <f t="shared" si="896"/>
        <v>0</v>
      </c>
      <c r="NK98" s="282">
        <f t="shared" si="897"/>
        <v>0</v>
      </c>
      <c r="NL98" s="282">
        <f t="shared" si="898"/>
        <v>0</v>
      </c>
      <c r="NM98" s="1205">
        <f t="shared" si="899"/>
        <v>0</v>
      </c>
      <c r="NN98" s="282">
        <f t="shared" si="900"/>
        <v>0</v>
      </c>
      <c r="NO98" s="282">
        <f t="shared" si="901"/>
        <v>0</v>
      </c>
      <c r="NP98" s="282">
        <f t="shared" si="902"/>
        <v>0</v>
      </c>
      <c r="NQ98" s="282">
        <f t="shared" si="903"/>
        <v>0</v>
      </c>
      <c r="NR98" s="282">
        <f t="shared" si="904"/>
        <v>0</v>
      </c>
      <c r="NS98" s="282">
        <f t="shared" si="905"/>
        <v>0</v>
      </c>
      <c r="NT98" s="282">
        <f t="shared" si="906"/>
        <v>0</v>
      </c>
      <c r="NU98" s="282">
        <f t="shared" si="907"/>
        <v>0</v>
      </c>
      <c r="NV98" s="286">
        <f t="shared" si="908"/>
        <v>0</v>
      </c>
      <c r="NW98" s="286">
        <f t="shared" si="909"/>
        <v>0</v>
      </c>
      <c r="NX98" s="286">
        <f t="shared" si="910"/>
        <v>0</v>
      </c>
      <c r="NY98" s="286">
        <f t="shared" si="911"/>
        <v>0</v>
      </c>
      <c r="NZ98" s="286">
        <f t="shared" si="912"/>
        <v>0</v>
      </c>
      <c r="OA98" s="286">
        <f t="shared" si="913"/>
        <v>0</v>
      </c>
      <c r="OB98" s="286">
        <f t="shared" si="914"/>
        <v>0</v>
      </c>
      <c r="OC98" s="286">
        <f t="shared" si="915"/>
        <v>0</v>
      </c>
      <c r="OD98" s="286">
        <f t="shared" si="916"/>
        <v>0</v>
      </c>
      <c r="OE98" s="282">
        <f t="shared" si="917"/>
        <v>0</v>
      </c>
      <c r="OF98" s="282">
        <f t="shared" si="918"/>
        <v>0</v>
      </c>
      <c r="OG98" s="286">
        <f t="shared" si="919"/>
        <v>0</v>
      </c>
      <c r="OH98" s="286">
        <f t="shared" si="920"/>
        <v>0</v>
      </c>
      <c r="OI98" s="286">
        <f t="shared" si="921"/>
        <v>0</v>
      </c>
      <c r="OJ98" s="286">
        <f t="shared" si="922"/>
        <v>0</v>
      </c>
      <c r="OK98" s="286">
        <f t="shared" si="923"/>
        <v>0</v>
      </c>
      <c r="OL98" s="286">
        <f t="shared" si="924"/>
        <v>0</v>
      </c>
      <c r="OM98" s="286">
        <f t="shared" si="925"/>
        <v>0</v>
      </c>
      <c r="ON98" s="286">
        <f t="shared" si="926"/>
        <v>0</v>
      </c>
      <c r="OO98" s="286">
        <f t="shared" si="927"/>
        <v>0</v>
      </c>
      <c r="OP98" s="434">
        <f t="shared" si="928"/>
        <v>0</v>
      </c>
      <c r="OQ98" s="434">
        <f t="shared" si="929"/>
        <v>0</v>
      </c>
      <c r="OR98" s="282">
        <f t="shared" si="930"/>
        <v>0</v>
      </c>
      <c r="OS98" s="282">
        <f t="shared" si="931"/>
        <v>0</v>
      </c>
      <c r="OT98" s="282">
        <f t="shared" si="932"/>
        <v>0</v>
      </c>
      <c r="OU98" s="282">
        <f t="shared" si="933"/>
        <v>0</v>
      </c>
      <c r="OV98" s="282">
        <f t="shared" si="934"/>
        <v>0</v>
      </c>
      <c r="OW98" s="286">
        <f t="shared" si="935"/>
        <v>0</v>
      </c>
      <c r="OX98" s="286">
        <f t="shared" si="936"/>
        <v>0</v>
      </c>
      <c r="OY98" s="286">
        <f t="shared" si="937"/>
        <v>0</v>
      </c>
      <c r="OZ98" s="286">
        <f t="shared" si="938"/>
        <v>0</v>
      </c>
      <c r="PA98" s="286">
        <f t="shared" si="939"/>
        <v>0</v>
      </c>
      <c r="PB98" s="286">
        <f t="shared" si="940"/>
        <v>0</v>
      </c>
      <c r="PC98" s="286">
        <f t="shared" si="941"/>
        <v>0</v>
      </c>
      <c r="PD98" s="282">
        <f t="shared" si="942"/>
        <v>0</v>
      </c>
      <c r="PE98" s="282">
        <f t="shared" si="943"/>
        <v>0</v>
      </c>
      <c r="PF98" s="286">
        <f t="shared" si="944"/>
        <v>0</v>
      </c>
      <c r="PG98" s="286">
        <f t="shared" si="945"/>
        <v>0</v>
      </c>
      <c r="PH98" s="286">
        <f t="shared" si="946"/>
        <v>0</v>
      </c>
      <c r="PI98" s="286">
        <f t="shared" si="947"/>
        <v>0</v>
      </c>
      <c r="PJ98" s="286">
        <f t="shared" si="948"/>
        <v>0</v>
      </c>
      <c r="PK98" s="286">
        <f t="shared" si="949"/>
        <v>0</v>
      </c>
      <c r="PL98" s="286">
        <f t="shared" si="950"/>
        <v>0</v>
      </c>
      <c r="PM98" s="562">
        <v>42</v>
      </c>
      <c r="PO98" s="571"/>
    </row>
    <row r="99" spans="1:431" s="289" customFormat="1" ht="15.75" customHeight="1">
      <c r="A99" s="1935" t="s">
        <v>917</v>
      </c>
      <c r="B99" s="1040" t="str">
        <f>VLOOKUP(A99,'Area (&amp;golfacre for lookup)'!$A$2:$B$162,2,FALSE)</f>
        <v>Yacht &amp; Beach</v>
      </c>
      <c r="C99" s="1936"/>
      <c r="D99" s="1937">
        <v>44712</v>
      </c>
      <c r="E99" s="402"/>
      <c r="F99" s="1936">
        <v>1</v>
      </c>
      <c r="G99" s="1936">
        <v>0</v>
      </c>
      <c r="H99" s="1936">
        <v>449</v>
      </c>
      <c r="I99" s="1936">
        <v>88</v>
      </c>
      <c r="J99" s="1936">
        <v>537</v>
      </c>
      <c r="K99" s="1938">
        <v>488.58945660989457</v>
      </c>
      <c r="L99" s="1939" t="s">
        <v>1208</v>
      </c>
      <c r="M99" s="1939" t="s">
        <v>1208</v>
      </c>
      <c r="N99" s="1939" t="s">
        <v>1208</v>
      </c>
      <c r="O99" s="1939" t="s">
        <v>1208</v>
      </c>
      <c r="P99" s="1939" t="s">
        <v>1208</v>
      </c>
      <c r="Q99" s="1936">
        <v>0</v>
      </c>
      <c r="R99" s="1936">
        <v>60000</v>
      </c>
      <c r="S99" s="1936">
        <v>60000</v>
      </c>
      <c r="T99" s="1939" t="s">
        <v>1208</v>
      </c>
      <c r="U99" s="1939" t="s">
        <v>1208</v>
      </c>
      <c r="V99" s="1939" t="s">
        <v>1208</v>
      </c>
      <c r="W99" s="1936">
        <v>6625</v>
      </c>
      <c r="X99" s="1936">
        <v>6165</v>
      </c>
      <c r="Y99" s="1939" t="s">
        <v>1208</v>
      </c>
      <c r="Z99" s="1939" t="s">
        <v>1208</v>
      </c>
      <c r="AA99" s="1936">
        <v>460</v>
      </c>
      <c r="AB99" s="1362">
        <v>7.4614760746147604E-2</v>
      </c>
      <c r="AC99" s="1939" t="s">
        <v>1208</v>
      </c>
      <c r="AD99" s="1363" t="s">
        <v>1208</v>
      </c>
      <c r="AE99" s="1936">
        <v>0</v>
      </c>
      <c r="AF99" s="1936">
        <v>0</v>
      </c>
      <c r="AG99" s="1939" t="s">
        <v>1208</v>
      </c>
      <c r="AH99" s="1936">
        <v>0</v>
      </c>
      <c r="AI99" s="1936">
        <v>0</v>
      </c>
      <c r="AJ99" s="1939" t="s">
        <v>1208</v>
      </c>
      <c r="AK99" s="1938">
        <v>1</v>
      </c>
      <c r="AL99" s="1938">
        <v>1692</v>
      </c>
      <c r="AM99" s="1936">
        <v>7857</v>
      </c>
      <c r="AN99" s="1939" t="s">
        <v>1208</v>
      </c>
      <c r="AO99" s="1936">
        <v>0</v>
      </c>
      <c r="AP99" s="1936">
        <v>875</v>
      </c>
      <c r="AQ99" s="1936">
        <v>8732</v>
      </c>
      <c r="AR99" s="1939" t="s">
        <v>1208</v>
      </c>
      <c r="AS99" s="1363" t="s">
        <v>1208</v>
      </c>
      <c r="AT99" s="1363" t="s">
        <v>1208</v>
      </c>
      <c r="AU99" s="1363" t="s">
        <v>1208</v>
      </c>
      <c r="AV99" s="1363" t="s">
        <v>1208</v>
      </c>
      <c r="AW99" s="1363" t="s">
        <v>1291</v>
      </c>
      <c r="AX99" s="1938">
        <v>0</v>
      </c>
      <c r="AY99" s="1938">
        <v>0</v>
      </c>
      <c r="AZ99" s="1938">
        <v>0</v>
      </c>
      <c r="BA99" s="1938">
        <v>0</v>
      </c>
      <c r="BB99" s="1938">
        <v>0</v>
      </c>
      <c r="BC99" s="1938">
        <v>0</v>
      </c>
      <c r="BD99" s="1938">
        <v>0</v>
      </c>
      <c r="BE99" s="1936">
        <v>0</v>
      </c>
      <c r="BF99" s="1936">
        <v>0</v>
      </c>
      <c r="BG99" s="1936">
        <v>175000</v>
      </c>
      <c r="BH99" s="1936">
        <v>175000</v>
      </c>
      <c r="BI99" s="1938">
        <v>7350957</v>
      </c>
      <c r="BJ99" s="1936">
        <v>130995</v>
      </c>
      <c r="BK99" s="1936">
        <v>683100</v>
      </c>
      <c r="BL99" s="1362">
        <v>0.19176548089591569</v>
      </c>
      <c r="BM99" s="1936">
        <v>1</v>
      </c>
      <c r="BN99" s="1936">
        <v>884735</v>
      </c>
      <c r="BO99" s="1363" t="s">
        <v>1208</v>
      </c>
      <c r="BP99" s="1938">
        <v>1653324</v>
      </c>
      <c r="BQ99" s="1938">
        <v>1294928</v>
      </c>
      <c r="BR99" s="1940">
        <v>1.2767690558857328</v>
      </c>
      <c r="BS99" s="1409">
        <v>1</v>
      </c>
      <c r="BT99" s="1938">
        <v>1514528</v>
      </c>
      <c r="BU99" s="1938">
        <v>9421975</v>
      </c>
      <c r="BV99" s="1940">
        <v>0.16074421764014446</v>
      </c>
      <c r="BW99" s="1936">
        <v>1810.7942937180503</v>
      </c>
      <c r="BX99" s="1936">
        <v>268.10852798362902</v>
      </c>
      <c r="BY99" s="1936">
        <v>358.17391806660618</v>
      </c>
      <c r="BZ99" s="1936">
        <v>0</v>
      </c>
      <c r="CA99" s="1936">
        <v>272586</v>
      </c>
      <c r="CB99" s="1936">
        <v>0</v>
      </c>
      <c r="CC99" s="1936">
        <v>0</v>
      </c>
      <c r="CD99" s="1936">
        <v>3012154</v>
      </c>
      <c r="CE99" s="1936">
        <v>0</v>
      </c>
      <c r="CF99" s="1936">
        <v>0</v>
      </c>
      <c r="CG99" s="1936">
        <v>1335087</v>
      </c>
      <c r="CH99" s="1936">
        <v>502963</v>
      </c>
      <c r="CI99" s="1936">
        <v>12616</v>
      </c>
      <c r="CJ99" s="1936">
        <v>5135406</v>
      </c>
      <c r="CK99" s="1366">
        <v>0</v>
      </c>
      <c r="CL99" s="1366">
        <v>5.3079737025660677E-2</v>
      </c>
      <c r="CM99" s="1366">
        <v>0</v>
      </c>
      <c r="CN99" s="1366">
        <v>0</v>
      </c>
      <c r="CO99" s="1366">
        <v>0.58654641911467176</v>
      </c>
      <c r="CP99" s="1366">
        <v>0</v>
      </c>
      <c r="CQ99" s="1366">
        <v>0</v>
      </c>
      <c r="CR99" s="1366">
        <v>0.259976913217767</v>
      </c>
      <c r="CS99" s="1366">
        <v>9.7940260224800138E-2</v>
      </c>
      <c r="CT99" s="1366">
        <v>2.4566704171004199E-3</v>
      </c>
      <c r="CU99" s="1366">
        <v>1</v>
      </c>
      <c r="CV99" s="1936">
        <v>2746692</v>
      </c>
      <c r="CW99" s="1936">
        <v>757020</v>
      </c>
      <c r="CX99" s="1936">
        <v>0</v>
      </c>
      <c r="CY99" s="1936">
        <v>1032673</v>
      </c>
      <c r="CZ99" s="1936">
        <v>116159</v>
      </c>
      <c r="DA99" s="1936">
        <v>359123</v>
      </c>
      <c r="DB99" s="1936">
        <v>5011667</v>
      </c>
      <c r="DC99" s="1366">
        <v>0.54805955782776472</v>
      </c>
      <c r="DD99" s="1366">
        <v>0.15105153634509236</v>
      </c>
      <c r="DE99" s="1366">
        <v>0</v>
      </c>
      <c r="DF99" s="1366">
        <v>0.20605379407690097</v>
      </c>
      <c r="DG99" s="1366">
        <v>2.317771711488413E-2</v>
      </c>
      <c r="DH99" s="1366">
        <v>7.1657394635357863E-2</v>
      </c>
      <c r="DI99" s="1366">
        <v>1</v>
      </c>
      <c r="DJ99" s="1936">
        <v>123739</v>
      </c>
      <c r="DK99" s="1936">
        <v>0</v>
      </c>
      <c r="DL99" s="1936">
        <v>557.90397502916517</v>
      </c>
      <c r="DM99" s="1936">
        <v>0</v>
      </c>
      <c r="DN99" s="1936">
        <v>0</v>
      </c>
      <c r="DO99" s="1936">
        <v>6165</v>
      </c>
      <c r="DP99" s="1936">
        <v>0</v>
      </c>
      <c r="DQ99" s="1936">
        <v>0</v>
      </c>
      <c r="DR99" s="1936">
        <v>2732.5333814273772</v>
      </c>
      <c r="DS99" s="1936">
        <v>1029.4184477287681</v>
      </c>
      <c r="DT99" s="1936">
        <v>25.821269430447447</v>
      </c>
      <c r="DU99" s="1936">
        <v>10510.677073615758</v>
      </c>
      <c r="DV99" s="1936">
        <v>5621.6767734983005</v>
      </c>
      <c r="DW99" s="1936">
        <v>1549.398968313041</v>
      </c>
      <c r="DX99" s="1936">
        <v>0</v>
      </c>
      <c r="DY99" s="1936">
        <v>2113.5801970948364</v>
      </c>
      <c r="DZ99" s="1936">
        <v>237.74356656399374</v>
      </c>
      <c r="EA99" s="1936">
        <v>735.01995415905026</v>
      </c>
      <c r="EB99" s="1936">
        <v>10257.419459629222</v>
      </c>
      <c r="EC99" s="1936">
        <v>253.25761398653589</v>
      </c>
      <c r="ED99" s="1941">
        <v>45</v>
      </c>
      <c r="EE99" s="1936">
        <v>0</v>
      </c>
      <c r="EF99" s="1936">
        <v>0</v>
      </c>
      <c r="EG99" s="1938">
        <v>0</v>
      </c>
      <c r="EH99" s="1938">
        <v>0</v>
      </c>
      <c r="EI99" s="1368">
        <v>0</v>
      </c>
      <c r="EJ99" s="1936">
        <v>10.85754348021988</v>
      </c>
      <c r="EK99" s="1936">
        <v>0</v>
      </c>
      <c r="EL99" s="1936">
        <v>0</v>
      </c>
      <c r="EM99" s="1936">
        <v>0</v>
      </c>
      <c r="EN99" s="1362">
        <v>0</v>
      </c>
      <c r="EO99" s="1936">
        <v>1</v>
      </c>
      <c r="EP99" s="1936">
        <v>72.916666666666671</v>
      </c>
      <c r="EQ99" s="1936">
        <v>0</v>
      </c>
      <c r="ER99" s="1938">
        <v>0</v>
      </c>
      <c r="ES99" s="1936">
        <v>3761.9518291561453</v>
      </c>
      <c r="ET99" s="1936">
        <v>-762.76512920654125</v>
      </c>
      <c r="EU99" s="1938">
        <v>2</v>
      </c>
      <c r="EV99" s="1936">
        <v>30151</v>
      </c>
      <c r="EW99" s="1936">
        <v>2896</v>
      </c>
      <c r="EX99" s="1938">
        <v>0</v>
      </c>
      <c r="EY99" s="1936">
        <v>1335087</v>
      </c>
      <c r="EZ99" s="1936">
        <v>602970</v>
      </c>
      <c r="FA99" s="1936">
        <v>732117</v>
      </c>
      <c r="FB99" s="1936">
        <v>502963</v>
      </c>
      <c r="FC99" s="1936">
        <v>154050</v>
      </c>
      <c r="FD99" s="1936">
        <v>348913</v>
      </c>
      <c r="FE99" s="1936">
        <v>1838050</v>
      </c>
      <c r="FF99" s="1936">
        <v>757020</v>
      </c>
      <c r="FG99" s="1936">
        <v>1081030</v>
      </c>
      <c r="FH99" s="1366">
        <v>1</v>
      </c>
      <c r="FI99" s="1366">
        <v>0.45163348905352235</v>
      </c>
      <c r="FJ99" s="1366">
        <v>0.54836651094647759</v>
      </c>
      <c r="FK99" s="1366">
        <v>1</v>
      </c>
      <c r="FL99" s="1366">
        <v>0.30628495535456884</v>
      </c>
      <c r="FM99" s="1366">
        <v>0.69371504464543121</v>
      </c>
      <c r="FN99" s="1366">
        <v>1</v>
      </c>
      <c r="FO99" s="1366">
        <v>0.41186039552786918</v>
      </c>
      <c r="FP99" s="1366">
        <v>0.58813960447213076</v>
      </c>
      <c r="FQ99" s="1936">
        <v>1315424</v>
      </c>
      <c r="FR99" s="1936">
        <v>-367610</v>
      </c>
      <c r="FS99" s="1936">
        <v>258551</v>
      </c>
      <c r="FT99" s="1936">
        <v>0</v>
      </c>
      <c r="FU99" s="1936">
        <v>18280</v>
      </c>
      <c r="FV99" s="1936">
        <v>5541</v>
      </c>
      <c r="FW99" s="1936">
        <v>223523</v>
      </c>
      <c r="FX99" s="1936">
        <v>1453709</v>
      </c>
      <c r="FY99" s="1936">
        <v>-372679</v>
      </c>
      <c r="FZ99" s="1366">
        <v>0.71566279480971684</v>
      </c>
      <c r="GA99" s="1366">
        <v>-0.2</v>
      </c>
      <c r="GB99" s="1366">
        <v>0.140665923125051</v>
      </c>
      <c r="GC99" s="1366">
        <v>0</v>
      </c>
      <c r="GD99" s="1366">
        <v>9.9453224885068421E-3</v>
      </c>
      <c r="GE99" s="1366">
        <v>3.0146078724735455E-3</v>
      </c>
      <c r="GF99" s="1366">
        <v>0.12160877016403253</v>
      </c>
      <c r="GG99" s="1366">
        <v>0.79089741845978079</v>
      </c>
      <c r="GH99" s="1366">
        <v>-0.20275781398764994</v>
      </c>
      <c r="GI99" s="1942">
        <v>2.6544437662412541</v>
      </c>
      <c r="GJ99" s="1943">
        <v>0</v>
      </c>
      <c r="GK99" s="1371">
        <v>0</v>
      </c>
      <c r="GL99" s="1943">
        <v>0</v>
      </c>
      <c r="GM99" s="1371">
        <v>0</v>
      </c>
      <c r="GN99" s="1943">
        <v>0</v>
      </c>
      <c r="GO99" s="1985">
        <f>IF(GN99=0,0,VLOOKUP(A99,'Area (&amp;golfacre for lookup)'!$G$2:$H$133,2,FALSE))</f>
        <v>0</v>
      </c>
      <c r="GP99" s="1943">
        <v>0</v>
      </c>
      <c r="GQ99" s="1943">
        <v>0</v>
      </c>
      <c r="GR99" s="1943">
        <v>0</v>
      </c>
      <c r="GS99" s="1943">
        <v>0</v>
      </c>
      <c r="GT99" s="1943">
        <v>0</v>
      </c>
      <c r="GU99" s="1943">
        <v>0</v>
      </c>
      <c r="GV99" s="1943">
        <v>0</v>
      </c>
      <c r="GW99" s="1943">
        <v>0</v>
      </c>
      <c r="GX99" s="1936">
        <v>0</v>
      </c>
      <c r="GY99" s="1985">
        <f t="shared" si="764"/>
        <v>0</v>
      </c>
      <c r="GZ99" s="1936">
        <v>0</v>
      </c>
      <c r="HA99" s="1936">
        <v>0</v>
      </c>
      <c r="HB99" s="1936">
        <v>0</v>
      </c>
      <c r="HC99" s="1936">
        <v>0</v>
      </c>
      <c r="HD99" s="1936">
        <v>0</v>
      </c>
      <c r="HE99" s="1936">
        <v>0</v>
      </c>
      <c r="HF99" s="1936">
        <v>0</v>
      </c>
      <c r="HG99" s="1936">
        <v>0</v>
      </c>
      <c r="HH99" s="1988">
        <f>IF(HG99=0,0,VLOOKUP(A99,'Area (&amp;golfacre for lookup)'!$G$2:$H$134,2,FALSE))</f>
        <v>0</v>
      </c>
      <c r="HI99" s="1936">
        <v>0</v>
      </c>
      <c r="HJ99" s="1936">
        <v>0</v>
      </c>
      <c r="HK99" s="1936">
        <v>0</v>
      </c>
      <c r="HL99" s="1936">
        <v>0</v>
      </c>
      <c r="HM99" s="1936">
        <v>0</v>
      </c>
      <c r="HN99" s="1936">
        <v>0</v>
      </c>
      <c r="HO99" s="1936">
        <v>0</v>
      </c>
      <c r="HP99" s="1936">
        <v>0</v>
      </c>
      <c r="HQ99" s="1936">
        <v>0</v>
      </c>
      <c r="HR99" s="1988">
        <f t="shared" si="765"/>
        <v>0</v>
      </c>
      <c r="HS99" s="1936">
        <v>0</v>
      </c>
      <c r="HT99" s="1936">
        <v>0</v>
      </c>
      <c r="HU99" s="1936">
        <v>0</v>
      </c>
      <c r="HV99" s="1936">
        <v>0</v>
      </c>
      <c r="HW99" s="1936">
        <v>0</v>
      </c>
      <c r="HX99" s="1936">
        <v>0</v>
      </c>
      <c r="HY99" s="1936">
        <v>0</v>
      </c>
      <c r="HZ99" s="51"/>
      <c r="IA99" s="59">
        <f t="shared" si="767"/>
        <v>0</v>
      </c>
      <c r="IB99" s="59"/>
      <c r="IC99" s="815">
        <f t="shared" si="768"/>
        <v>1</v>
      </c>
      <c r="ID99" s="815"/>
      <c r="IE99" s="284">
        <f t="shared" si="769"/>
        <v>0</v>
      </c>
      <c r="IF99" s="284"/>
      <c r="IG99" s="284">
        <f t="shared" si="770"/>
        <v>15045.263258452256</v>
      </c>
      <c r="IH99" s="284"/>
      <c r="II99" s="1288">
        <f t="shared" si="771"/>
        <v>1.2767690558857328</v>
      </c>
      <c r="IJ99" s="1288">
        <f t="shared" si="772"/>
        <v>0</v>
      </c>
      <c r="IK99" s="284">
        <f t="shared" si="773"/>
        <v>0</v>
      </c>
      <c r="IL99" s="284">
        <f t="shared" si="774"/>
        <v>0</v>
      </c>
      <c r="IM99" s="284">
        <f t="shared" si="775"/>
        <v>0</v>
      </c>
      <c r="IN99" s="284">
        <f t="shared" si="776"/>
        <v>0</v>
      </c>
      <c r="IO99" s="753">
        <f t="shared" si="777"/>
        <v>-694.00186219739294</v>
      </c>
      <c r="IP99" s="113">
        <f t="shared" si="778"/>
        <v>-762.76512920654125</v>
      </c>
      <c r="IQ99" s="30">
        <f t="shared" si="779"/>
        <v>-0.12372508178532704</v>
      </c>
      <c r="IR99" s="438">
        <f t="shared" si="780"/>
        <v>1335087</v>
      </c>
      <c r="IS99" s="438">
        <f t="shared" si="781"/>
        <v>502963</v>
      </c>
      <c r="IT99" s="438">
        <f t="shared" si="782"/>
        <v>1315424</v>
      </c>
      <c r="IU99" s="438">
        <f t="shared" si="783"/>
        <v>258551</v>
      </c>
      <c r="IV99" s="438">
        <f t="shared" si="784"/>
        <v>757020</v>
      </c>
      <c r="IW99" s="438">
        <f t="shared" si="785"/>
        <v>-120266</v>
      </c>
      <c r="IX99" s="285">
        <f t="shared" si="786"/>
        <v>0.72636054514295045</v>
      </c>
      <c r="IY99" s="285">
        <f t="shared" si="787"/>
        <v>0.2736394548570496</v>
      </c>
      <c r="IZ99" s="285">
        <f t="shared" si="788"/>
        <v>0.71566279480971684</v>
      </c>
      <c r="JA99" s="285">
        <f t="shared" si="789"/>
        <v>0.140665923125051</v>
      </c>
      <c r="JB99" s="285">
        <f t="shared" si="790"/>
        <v>0.41186039552786918</v>
      </c>
      <c r="JC99" s="285">
        <f t="shared" si="791"/>
        <v>-6.5431299474987076E-2</v>
      </c>
      <c r="JD99" s="60">
        <f t="shared" si="792"/>
        <v>3012154</v>
      </c>
      <c r="JE99" s="60">
        <f t="shared" si="793"/>
        <v>272586</v>
      </c>
      <c r="JF99" s="60">
        <f t="shared" si="794"/>
        <v>0</v>
      </c>
      <c r="JG99" s="60">
        <f t="shared" si="795"/>
        <v>475282</v>
      </c>
      <c r="JH99" s="284">
        <f t="shared" si="796"/>
        <v>1</v>
      </c>
      <c r="JI99" s="284" t="str">
        <f t="shared" si="797"/>
        <v/>
      </c>
      <c r="JJ99" s="560">
        <f t="shared" si="798"/>
        <v>0</v>
      </c>
      <c r="JK99" s="561">
        <f t="shared" si="799"/>
        <v>0.53485391417932682</v>
      </c>
      <c r="JL99" s="561">
        <f t="shared" si="800"/>
        <v>0.14741190862027267</v>
      </c>
      <c r="JM99" s="561">
        <f t="shared" si="801"/>
        <v>0</v>
      </c>
      <c r="JN99" s="561">
        <f t="shared" si="802"/>
        <v>0.20108887203854964</v>
      </c>
      <c r="JO99" s="561">
        <f t="shared" si="803"/>
        <v>2.2619243736522486E-2</v>
      </c>
      <c r="JP99" s="561">
        <f t="shared" si="804"/>
        <v>6.9930790282209429E-2</v>
      </c>
      <c r="JQ99" s="561">
        <f t="shared" si="805"/>
        <v>0.97590472885688095</v>
      </c>
      <c r="JR99" s="61">
        <f t="shared" si="806"/>
        <v>0</v>
      </c>
      <c r="JS99" s="61">
        <f t="shared" si="807"/>
        <v>0</v>
      </c>
      <c r="JT99" s="61">
        <f t="shared" si="808"/>
        <v>0</v>
      </c>
      <c r="JU99" s="61">
        <f t="shared" si="809"/>
        <v>0</v>
      </c>
      <c r="JV99" s="61">
        <f t="shared" si="810"/>
        <v>0</v>
      </c>
      <c r="JW99" s="61">
        <f t="shared" si="811"/>
        <v>0</v>
      </c>
      <c r="JX99" s="61">
        <f t="shared" si="812"/>
        <v>0</v>
      </c>
      <c r="JY99" s="394">
        <f t="shared" si="813"/>
        <v>0</v>
      </c>
      <c r="JZ99" s="61">
        <f t="shared" si="814"/>
        <v>0</v>
      </c>
      <c r="KA99" s="61">
        <f t="shared" si="815"/>
        <v>0</v>
      </c>
      <c r="KB99" s="61">
        <f t="shared" si="816"/>
        <v>0</v>
      </c>
      <c r="KC99" s="61">
        <f t="shared" si="817"/>
        <v>0</v>
      </c>
      <c r="KD99" s="61">
        <f t="shared" si="818"/>
        <v>0</v>
      </c>
      <c r="KE99" s="61">
        <f t="shared" si="819"/>
        <v>0</v>
      </c>
      <c r="KF99" s="61">
        <f t="shared" si="820"/>
        <v>0</v>
      </c>
      <c r="KG99" s="61">
        <f t="shared" si="821"/>
        <v>0</v>
      </c>
      <c r="KH99" s="61">
        <f t="shared" si="822"/>
        <v>0</v>
      </c>
      <c r="KI99" s="394">
        <f t="shared" si="823"/>
        <v>0</v>
      </c>
      <c r="KJ99" s="438">
        <f t="shared" si="824"/>
        <v>0</v>
      </c>
      <c r="KK99" s="438">
        <f t="shared" si="825"/>
        <v>0</v>
      </c>
      <c r="KL99" s="438">
        <f t="shared" si="826"/>
        <v>0</v>
      </c>
      <c r="KM99" s="438">
        <f t="shared" si="827"/>
        <v>0</v>
      </c>
      <c r="KN99" s="438">
        <f t="shared" si="828"/>
        <v>0</v>
      </c>
      <c r="KO99" s="438">
        <f t="shared" si="829"/>
        <v>0</v>
      </c>
      <c r="KP99" s="438">
        <f t="shared" si="830"/>
        <v>0</v>
      </c>
      <c r="KQ99" s="438">
        <f t="shared" si="831"/>
        <v>0</v>
      </c>
      <c r="KR99" s="438">
        <f t="shared" si="832"/>
        <v>0</v>
      </c>
      <c r="KS99" s="438">
        <f t="shared" si="833"/>
        <v>0</v>
      </c>
      <c r="KT99" s="438">
        <f t="shared" si="834"/>
        <v>0</v>
      </c>
      <c r="KU99" s="438">
        <f t="shared" si="835"/>
        <v>0</v>
      </c>
      <c r="KV99" s="420">
        <f t="shared" si="836"/>
        <v>0</v>
      </c>
      <c r="KW99" s="420">
        <f t="shared" si="837"/>
        <v>0</v>
      </c>
      <c r="KX99" s="108"/>
      <c r="KY99" s="282">
        <f t="shared" si="838"/>
        <v>0</v>
      </c>
      <c r="KZ99" s="282"/>
      <c r="LA99" s="282">
        <f t="shared" si="839"/>
        <v>0</v>
      </c>
      <c r="LB99" s="282"/>
      <c r="LC99" s="286">
        <f t="shared" si="840"/>
        <v>0</v>
      </c>
      <c r="LD99" s="286"/>
      <c r="LE99" s="282">
        <f t="shared" si="841"/>
        <v>0</v>
      </c>
      <c r="LF99" s="282"/>
      <c r="LG99" s="282">
        <f t="shared" si="842"/>
        <v>0</v>
      </c>
      <c r="LH99" s="282">
        <f t="shared" si="843"/>
        <v>0</v>
      </c>
      <c r="LI99" s="282">
        <f t="shared" si="844"/>
        <v>0</v>
      </c>
      <c r="LJ99" s="282">
        <f t="shared" si="845"/>
        <v>0</v>
      </c>
      <c r="LK99" s="282"/>
      <c r="LL99" s="282">
        <f t="shared" si="846"/>
        <v>0</v>
      </c>
      <c r="LM99" s="282">
        <f t="shared" si="847"/>
        <v>0</v>
      </c>
      <c r="LN99" s="282">
        <f t="shared" si="848"/>
        <v>0</v>
      </c>
      <c r="LO99" s="282">
        <f t="shared" si="849"/>
        <v>0</v>
      </c>
      <c r="LP99" s="286">
        <f t="shared" si="850"/>
        <v>0</v>
      </c>
      <c r="LQ99" s="282">
        <f t="shared" si="851"/>
        <v>0</v>
      </c>
      <c r="LR99" s="282">
        <f t="shared" si="852"/>
        <v>0</v>
      </c>
      <c r="LS99" s="282">
        <f t="shared" si="853"/>
        <v>0</v>
      </c>
      <c r="LT99" s="286">
        <f t="shared" si="854"/>
        <v>0</v>
      </c>
      <c r="LU99" s="286">
        <f t="shared" si="855"/>
        <v>0</v>
      </c>
      <c r="LV99" s="286">
        <f t="shared" si="856"/>
        <v>0</v>
      </c>
      <c r="LW99" s="286">
        <f t="shared" si="857"/>
        <v>0</v>
      </c>
      <c r="LX99" s="286">
        <f t="shared" si="858"/>
        <v>0</v>
      </c>
      <c r="LY99" s="286">
        <f t="shared" si="859"/>
        <v>0</v>
      </c>
      <c r="LZ99" s="286">
        <f t="shared" si="860"/>
        <v>0</v>
      </c>
      <c r="MA99" s="286">
        <f t="shared" si="861"/>
        <v>0</v>
      </c>
      <c r="MB99" s="286">
        <f t="shared" si="862"/>
        <v>0</v>
      </c>
      <c r="MC99" s="286">
        <f t="shared" si="863"/>
        <v>0</v>
      </c>
      <c r="MD99" s="286">
        <f t="shared" si="864"/>
        <v>0</v>
      </c>
      <c r="ME99" s="286">
        <f t="shared" si="865"/>
        <v>0</v>
      </c>
      <c r="MF99" s="286">
        <f t="shared" si="866"/>
        <v>0</v>
      </c>
      <c r="MG99" s="286">
        <f t="shared" si="867"/>
        <v>0</v>
      </c>
      <c r="MH99" s="286">
        <f t="shared" si="868"/>
        <v>0</v>
      </c>
      <c r="MI99" s="286">
        <f t="shared" si="869"/>
        <v>0</v>
      </c>
      <c r="MJ99" s="286">
        <f t="shared" si="870"/>
        <v>0</v>
      </c>
      <c r="MK99" s="286">
        <f t="shared" si="871"/>
        <v>0</v>
      </c>
      <c r="ML99" s="282">
        <f t="shared" si="872"/>
        <v>0</v>
      </c>
      <c r="MM99" s="1232">
        <f t="shared" si="873"/>
        <v>0</v>
      </c>
      <c r="MN99" s="1232">
        <f t="shared" si="874"/>
        <v>0</v>
      </c>
      <c r="MO99" s="1232">
        <f t="shared" si="875"/>
        <v>0</v>
      </c>
      <c r="MP99" s="1232">
        <f t="shared" si="876"/>
        <v>0</v>
      </c>
      <c r="MQ99" s="282">
        <f t="shared" si="877"/>
        <v>0</v>
      </c>
      <c r="MR99" s="282">
        <f t="shared" si="878"/>
        <v>0</v>
      </c>
      <c r="MS99" s="282">
        <f t="shared" si="879"/>
        <v>0</v>
      </c>
      <c r="MT99" s="282">
        <f t="shared" si="880"/>
        <v>0</v>
      </c>
      <c r="MU99" s="282">
        <f t="shared" si="881"/>
        <v>0</v>
      </c>
      <c r="MV99" s="282">
        <f t="shared" si="882"/>
        <v>0</v>
      </c>
      <c r="MW99" s="282">
        <f t="shared" si="883"/>
        <v>0</v>
      </c>
      <c r="MX99" s="282">
        <f t="shared" si="884"/>
        <v>0</v>
      </c>
      <c r="MY99" s="282">
        <f t="shared" si="885"/>
        <v>0</v>
      </c>
      <c r="MZ99" s="282">
        <f t="shared" si="886"/>
        <v>0</v>
      </c>
      <c r="NA99" s="282">
        <f t="shared" si="887"/>
        <v>0</v>
      </c>
      <c r="NB99" s="282">
        <f t="shared" si="888"/>
        <v>0</v>
      </c>
      <c r="NC99" s="282">
        <f t="shared" si="889"/>
        <v>0</v>
      </c>
      <c r="ND99" s="282">
        <f t="shared" si="890"/>
        <v>0</v>
      </c>
      <c r="NE99" s="282">
        <f t="shared" si="891"/>
        <v>0</v>
      </c>
      <c r="NF99" s="282">
        <f t="shared" si="892"/>
        <v>0</v>
      </c>
      <c r="NG99" s="282">
        <f t="shared" si="893"/>
        <v>0</v>
      </c>
      <c r="NH99" s="282">
        <f t="shared" si="894"/>
        <v>0</v>
      </c>
      <c r="NI99" s="282">
        <f t="shared" si="895"/>
        <v>0</v>
      </c>
      <c r="NJ99" s="282">
        <f t="shared" si="896"/>
        <v>0</v>
      </c>
      <c r="NK99" s="282">
        <f t="shared" si="897"/>
        <v>0</v>
      </c>
      <c r="NL99" s="282">
        <f t="shared" si="898"/>
        <v>0</v>
      </c>
      <c r="NM99" s="1205">
        <f t="shared" si="899"/>
        <v>0</v>
      </c>
      <c r="NN99" s="282">
        <f t="shared" si="900"/>
        <v>0</v>
      </c>
      <c r="NO99" s="282">
        <f t="shared" si="901"/>
        <v>0</v>
      </c>
      <c r="NP99" s="282">
        <f t="shared" si="902"/>
        <v>0</v>
      </c>
      <c r="NQ99" s="282">
        <f t="shared" si="903"/>
        <v>0</v>
      </c>
      <c r="NR99" s="282">
        <f t="shared" si="904"/>
        <v>0</v>
      </c>
      <c r="NS99" s="282">
        <f t="shared" si="905"/>
        <v>0</v>
      </c>
      <c r="NT99" s="282">
        <f t="shared" si="906"/>
        <v>0</v>
      </c>
      <c r="NU99" s="282">
        <f t="shared" si="907"/>
        <v>0</v>
      </c>
      <c r="NV99" s="286">
        <f t="shared" si="908"/>
        <v>0</v>
      </c>
      <c r="NW99" s="286">
        <f t="shared" si="909"/>
        <v>0</v>
      </c>
      <c r="NX99" s="286">
        <f t="shared" si="910"/>
        <v>0</v>
      </c>
      <c r="NY99" s="286">
        <f t="shared" si="911"/>
        <v>0</v>
      </c>
      <c r="NZ99" s="286">
        <f t="shared" si="912"/>
        <v>0</v>
      </c>
      <c r="OA99" s="286">
        <f t="shared" si="913"/>
        <v>0</v>
      </c>
      <c r="OB99" s="286">
        <f t="shared" si="914"/>
        <v>0</v>
      </c>
      <c r="OC99" s="286">
        <f t="shared" si="915"/>
        <v>0</v>
      </c>
      <c r="OD99" s="286">
        <f t="shared" si="916"/>
        <v>0</v>
      </c>
      <c r="OE99" s="282">
        <f t="shared" si="917"/>
        <v>0</v>
      </c>
      <c r="OF99" s="282">
        <f t="shared" si="918"/>
        <v>0</v>
      </c>
      <c r="OG99" s="286">
        <f t="shared" si="919"/>
        <v>0</v>
      </c>
      <c r="OH99" s="286">
        <f t="shared" si="920"/>
        <v>0</v>
      </c>
      <c r="OI99" s="286">
        <f t="shared" si="921"/>
        <v>0</v>
      </c>
      <c r="OJ99" s="286">
        <f t="shared" si="922"/>
        <v>0</v>
      </c>
      <c r="OK99" s="286">
        <f t="shared" si="923"/>
        <v>0</v>
      </c>
      <c r="OL99" s="286">
        <f t="shared" si="924"/>
        <v>0</v>
      </c>
      <c r="OM99" s="286">
        <f t="shared" si="925"/>
        <v>0</v>
      </c>
      <c r="ON99" s="286">
        <f t="shared" si="926"/>
        <v>0</v>
      </c>
      <c r="OO99" s="286">
        <f t="shared" si="927"/>
        <v>0</v>
      </c>
      <c r="OP99" s="434">
        <f t="shared" si="928"/>
        <v>0</v>
      </c>
      <c r="OQ99" s="434">
        <f t="shared" si="929"/>
        <v>0</v>
      </c>
      <c r="OR99" s="282">
        <f t="shared" si="930"/>
        <v>0</v>
      </c>
      <c r="OS99" s="282">
        <f t="shared" si="931"/>
        <v>0</v>
      </c>
      <c r="OT99" s="282">
        <f t="shared" si="932"/>
        <v>0</v>
      </c>
      <c r="OU99" s="282">
        <f t="shared" si="933"/>
        <v>0</v>
      </c>
      <c r="OV99" s="282">
        <f t="shared" si="934"/>
        <v>0</v>
      </c>
      <c r="OW99" s="286">
        <f t="shared" si="935"/>
        <v>0</v>
      </c>
      <c r="OX99" s="286">
        <f t="shared" si="936"/>
        <v>0</v>
      </c>
      <c r="OY99" s="286">
        <f t="shared" si="937"/>
        <v>0</v>
      </c>
      <c r="OZ99" s="286">
        <f t="shared" si="938"/>
        <v>0</v>
      </c>
      <c r="PA99" s="286">
        <f t="shared" si="939"/>
        <v>0</v>
      </c>
      <c r="PB99" s="286">
        <f t="shared" si="940"/>
        <v>0</v>
      </c>
      <c r="PC99" s="286">
        <f t="shared" si="941"/>
        <v>0</v>
      </c>
      <c r="PD99" s="282">
        <f t="shared" si="942"/>
        <v>0</v>
      </c>
      <c r="PE99" s="282">
        <f t="shared" si="943"/>
        <v>0</v>
      </c>
      <c r="PF99" s="286">
        <f t="shared" si="944"/>
        <v>0</v>
      </c>
      <c r="PG99" s="286">
        <f t="shared" si="945"/>
        <v>0</v>
      </c>
      <c r="PH99" s="286">
        <f t="shared" si="946"/>
        <v>0</v>
      </c>
      <c r="PI99" s="286">
        <f t="shared" si="947"/>
        <v>0</v>
      </c>
      <c r="PJ99" s="286">
        <f t="shared" si="948"/>
        <v>0</v>
      </c>
      <c r="PK99" s="286">
        <f t="shared" si="949"/>
        <v>0</v>
      </c>
      <c r="PL99" s="286">
        <f t="shared" si="950"/>
        <v>0</v>
      </c>
      <c r="PM99" s="562">
        <v>43</v>
      </c>
      <c r="PO99" s="571"/>
    </row>
    <row r="100" spans="1:431" s="289" customFormat="1" ht="15.75" customHeight="1">
      <c r="A100" s="1935" t="s">
        <v>630</v>
      </c>
      <c r="B100" s="1040" t="str">
        <f>VLOOKUP(A100,'Area (&amp;golfacre for lookup)'!$A$2:$B$162,2,FALSE)</f>
        <v>SE exc BOCA</v>
      </c>
      <c r="C100" s="1936" t="s">
        <v>1858</v>
      </c>
      <c r="D100" s="1937">
        <v>44712</v>
      </c>
      <c r="E100" s="402"/>
      <c r="F100" s="1936">
        <v>1</v>
      </c>
      <c r="G100" s="1936">
        <v>0</v>
      </c>
      <c r="H100" s="1936">
        <v>296</v>
      </c>
      <c r="I100" s="1936">
        <v>19</v>
      </c>
      <c r="J100" s="1936">
        <v>315</v>
      </c>
      <c r="K100" s="1938">
        <v>306.60940836940836</v>
      </c>
      <c r="L100" s="1939" t="s">
        <v>1208</v>
      </c>
      <c r="M100" s="1939" t="s">
        <v>1208</v>
      </c>
      <c r="N100" s="1939" t="s">
        <v>1208</v>
      </c>
      <c r="O100" s="1939" t="s">
        <v>1208</v>
      </c>
      <c r="P100" s="1939" t="s">
        <v>1208</v>
      </c>
      <c r="Q100" s="1936">
        <v>2000</v>
      </c>
      <c r="R100" s="1936">
        <v>185000</v>
      </c>
      <c r="S100" s="1936">
        <v>187000</v>
      </c>
      <c r="T100" s="1939" t="s">
        <v>1208</v>
      </c>
      <c r="U100" s="1939" t="s">
        <v>1208</v>
      </c>
      <c r="V100" s="1939" t="s">
        <v>1208</v>
      </c>
      <c r="W100" s="1936">
        <v>18190</v>
      </c>
      <c r="X100" s="1936">
        <v>17325</v>
      </c>
      <c r="Y100" s="1939" t="s">
        <v>1208</v>
      </c>
      <c r="Z100" s="1939" t="s">
        <v>1208</v>
      </c>
      <c r="AA100" s="1936">
        <v>865</v>
      </c>
      <c r="AB100" s="1362">
        <v>4.9927849927849925E-2</v>
      </c>
      <c r="AC100" s="1939" t="s">
        <v>1208</v>
      </c>
      <c r="AD100" s="1363" t="s">
        <v>1208</v>
      </c>
      <c r="AE100" s="1936">
        <v>0</v>
      </c>
      <c r="AF100" s="1936">
        <v>0</v>
      </c>
      <c r="AG100" s="1939" t="s">
        <v>1208</v>
      </c>
      <c r="AH100" s="1936">
        <v>0</v>
      </c>
      <c r="AI100" s="1936">
        <v>0</v>
      </c>
      <c r="AJ100" s="1939" t="s">
        <v>1208</v>
      </c>
      <c r="AK100" s="1938">
        <v>0</v>
      </c>
      <c r="AL100" s="1938">
        <v>0</v>
      </c>
      <c r="AM100" s="1936">
        <v>17325</v>
      </c>
      <c r="AN100" s="1939" t="s">
        <v>1208</v>
      </c>
      <c r="AO100" s="1936">
        <v>0</v>
      </c>
      <c r="AP100" s="1936">
        <v>0</v>
      </c>
      <c r="AQ100" s="1936">
        <v>17325</v>
      </c>
      <c r="AR100" s="1939" t="s">
        <v>1208</v>
      </c>
      <c r="AS100" s="1363" t="s">
        <v>1208</v>
      </c>
      <c r="AT100" s="1363" t="s">
        <v>1208</v>
      </c>
      <c r="AU100" s="1363" t="s">
        <v>1208</v>
      </c>
      <c r="AV100" s="1363" t="s">
        <v>1208</v>
      </c>
      <c r="AW100" s="1363" t="s">
        <v>1291</v>
      </c>
      <c r="AX100" s="1938">
        <v>0</v>
      </c>
      <c r="AY100" s="1938">
        <v>0</v>
      </c>
      <c r="AZ100" s="1938">
        <v>0</v>
      </c>
      <c r="BA100" s="1938">
        <v>0</v>
      </c>
      <c r="BB100" s="1938">
        <v>0</v>
      </c>
      <c r="BC100" s="1938">
        <v>0</v>
      </c>
      <c r="BD100" s="1938">
        <v>0</v>
      </c>
      <c r="BE100" s="1936">
        <v>1</v>
      </c>
      <c r="BF100" s="1936">
        <v>2457000</v>
      </c>
      <c r="BG100" s="1936">
        <v>640000</v>
      </c>
      <c r="BH100" s="1936">
        <v>3097000</v>
      </c>
      <c r="BI100" s="1938">
        <v>32979138</v>
      </c>
      <c r="BJ100" s="1936">
        <v>3200015</v>
      </c>
      <c r="BK100" s="1936">
        <v>0</v>
      </c>
      <c r="BL100" s="1362">
        <v>0</v>
      </c>
      <c r="BM100" s="1936">
        <v>0</v>
      </c>
      <c r="BN100" s="1936">
        <v>0</v>
      </c>
      <c r="BO100" s="1363" t="s">
        <v>1208</v>
      </c>
      <c r="BP100" s="1938">
        <v>1702060</v>
      </c>
      <c r="BQ100" s="1938">
        <v>1556027</v>
      </c>
      <c r="BR100" s="1940">
        <v>1.0938499139153754</v>
      </c>
      <c r="BS100" s="1409">
        <v>1</v>
      </c>
      <c r="BT100" s="1938">
        <v>1698027</v>
      </c>
      <c r="BU100" s="1938">
        <v>32990524</v>
      </c>
      <c r="BV100" s="1940">
        <v>5.1470143366016255E-2</v>
      </c>
      <c r="BW100" s="1936">
        <v>0</v>
      </c>
      <c r="BX100" s="1936">
        <v>10436.780192160855</v>
      </c>
      <c r="BY100" s="1936">
        <v>10100.798982230448</v>
      </c>
      <c r="BZ100" s="1936">
        <v>776666</v>
      </c>
      <c r="CA100" s="1936">
        <v>0</v>
      </c>
      <c r="CB100" s="1936">
        <v>0</v>
      </c>
      <c r="CC100" s="1936">
        <v>121470</v>
      </c>
      <c r="CD100" s="1936">
        <v>5312008</v>
      </c>
      <c r="CE100" s="1936">
        <v>0</v>
      </c>
      <c r="CF100" s="1936">
        <v>0</v>
      </c>
      <c r="CG100" s="1936">
        <v>696517</v>
      </c>
      <c r="CH100" s="1936">
        <v>275429</v>
      </c>
      <c r="CI100" s="1936">
        <v>52814</v>
      </c>
      <c r="CJ100" s="1936">
        <v>7234904</v>
      </c>
      <c r="CK100" s="1366">
        <v>0.10734986946613252</v>
      </c>
      <c r="CL100" s="1366">
        <v>0</v>
      </c>
      <c r="CM100" s="1366">
        <v>0</v>
      </c>
      <c r="CN100" s="1366">
        <v>1.6789441850230492E-2</v>
      </c>
      <c r="CO100" s="1366">
        <v>0.73421955564303276</v>
      </c>
      <c r="CP100" s="1366">
        <v>0</v>
      </c>
      <c r="CQ100" s="1366">
        <v>0</v>
      </c>
      <c r="CR100" s="1366">
        <v>9.6271768084275899E-2</v>
      </c>
      <c r="CS100" s="1366">
        <v>3.8069475420821064E-2</v>
      </c>
      <c r="CT100" s="1366">
        <v>7.2998895355073125E-3</v>
      </c>
      <c r="CU100" s="1366">
        <v>1</v>
      </c>
      <c r="CV100" s="1936">
        <v>4232550</v>
      </c>
      <c r="CW100" s="1936">
        <v>407981</v>
      </c>
      <c r="CX100" s="1936">
        <v>0</v>
      </c>
      <c r="CY100" s="1936">
        <v>1938296</v>
      </c>
      <c r="CZ100" s="1936">
        <v>259317</v>
      </c>
      <c r="DA100" s="1936">
        <v>479518</v>
      </c>
      <c r="DB100" s="1936">
        <v>7317662</v>
      </c>
      <c r="DC100" s="1366">
        <v>0.57840195406674977</v>
      </c>
      <c r="DD100" s="1366">
        <v>5.5752916710282603E-2</v>
      </c>
      <c r="DE100" s="1366">
        <v>0</v>
      </c>
      <c r="DF100" s="1366">
        <v>0.26487913762619808</v>
      </c>
      <c r="DG100" s="1366">
        <v>3.5437138255360795E-2</v>
      </c>
      <c r="DH100" s="1366">
        <v>6.5528853341408774E-2</v>
      </c>
      <c r="DI100" s="1366">
        <v>1</v>
      </c>
      <c r="DJ100" s="1936">
        <v>-82758</v>
      </c>
      <c r="DK100" s="1936">
        <v>2533.0794776664493</v>
      </c>
      <c r="DL100" s="1936">
        <v>0</v>
      </c>
      <c r="DM100" s="1936">
        <v>0</v>
      </c>
      <c r="DN100" s="1936">
        <v>396.17179605151199</v>
      </c>
      <c r="DO100" s="1936">
        <v>17325</v>
      </c>
      <c r="DP100" s="1936">
        <v>0</v>
      </c>
      <c r="DQ100" s="1936">
        <v>0</v>
      </c>
      <c r="DR100" s="1936">
        <v>2271.675235617115</v>
      </c>
      <c r="DS100" s="1936">
        <v>898.30576780004856</v>
      </c>
      <c r="DT100" s="1936">
        <v>172.25172665402613</v>
      </c>
      <c r="DU100" s="1936">
        <v>23596.484003789152</v>
      </c>
      <c r="DV100" s="1936">
        <v>13804.370917739583</v>
      </c>
      <c r="DW100" s="1936">
        <v>1330.6212688309206</v>
      </c>
      <c r="DX100" s="1936">
        <v>0</v>
      </c>
      <c r="DY100" s="1936">
        <v>6321.7107730259449</v>
      </c>
      <c r="DZ100" s="1936">
        <v>845.75682585568404</v>
      </c>
      <c r="EA100" s="1936">
        <v>1563.937657849913</v>
      </c>
      <c r="EB100" s="1936">
        <v>23866.397443302045</v>
      </c>
      <c r="EC100" s="1936">
        <v>-269.9134395128923</v>
      </c>
      <c r="ED100" s="1941">
        <v>81</v>
      </c>
      <c r="EE100" s="1936">
        <v>0</v>
      </c>
      <c r="EF100" s="1936">
        <v>0</v>
      </c>
      <c r="EG100" s="1938">
        <v>0</v>
      </c>
      <c r="EH100" s="1938">
        <v>1</v>
      </c>
      <c r="EI100" s="1368">
        <v>0.05</v>
      </c>
      <c r="EJ100" s="1936">
        <v>3.7853013378939302</v>
      </c>
      <c r="EK100" s="1936">
        <v>0</v>
      </c>
      <c r="EL100" s="1936">
        <v>0</v>
      </c>
      <c r="EM100" s="1936">
        <v>1</v>
      </c>
      <c r="EN100" s="1362">
        <v>0.2</v>
      </c>
      <c r="EO100" s="1936">
        <v>0</v>
      </c>
      <c r="EP100" s="1936">
        <v>0</v>
      </c>
      <c r="EQ100" s="1936">
        <v>0</v>
      </c>
      <c r="ER100" s="1938">
        <v>0</v>
      </c>
      <c r="ES100" s="1936">
        <v>3169.9810034171637</v>
      </c>
      <c r="ET100" s="1936">
        <v>-2051.4765132130824</v>
      </c>
      <c r="EU100" s="1938">
        <v>1</v>
      </c>
      <c r="EV100" s="1936">
        <v>13177</v>
      </c>
      <c r="EW100" s="1936">
        <v>1482</v>
      </c>
      <c r="EX100" s="1938">
        <v>0</v>
      </c>
      <c r="EY100" s="1936">
        <v>696517</v>
      </c>
      <c r="EZ100" s="1936">
        <v>325585</v>
      </c>
      <c r="FA100" s="1936">
        <v>370932</v>
      </c>
      <c r="FB100" s="1936">
        <v>275429</v>
      </c>
      <c r="FC100" s="1936">
        <v>82396</v>
      </c>
      <c r="FD100" s="1936">
        <v>193033</v>
      </c>
      <c r="FE100" s="1936">
        <v>971946</v>
      </c>
      <c r="FF100" s="1936">
        <v>407981</v>
      </c>
      <c r="FG100" s="1936">
        <v>563965</v>
      </c>
      <c r="FH100" s="1366">
        <v>1</v>
      </c>
      <c r="FI100" s="1366">
        <v>0.46744731284376406</v>
      </c>
      <c r="FJ100" s="1366">
        <v>0.53255268715623594</v>
      </c>
      <c r="FK100" s="1366">
        <v>1</v>
      </c>
      <c r="FL100" s="1366">
        <v>0.29915513616939393</v>
      </c>
      <c r="FM100" s="1366">
        <v>0.70084486383060607</v>
      </c>
      <c r="FN100" s="1366">
        <v>1</v>
      </c>
      <c r="FO100" s="1366">
        <v>0.41975685892014575</v>
      </c>
      <c r="FP100" s="1366">
        <v>0.5802431410798542</v>
      </c>
      <c r="FQ100" s="1936">
        <v>656166</v>
      </c>
      <c r="FR100" s="1936">
        <v>0</v>
      </c>
      <c r="FS100" s="1936">
        <v>277205</v>
      </c>
      <c r="FT100" s="1936">
        <v>18730</v>
      </c>
      <c r="FU100" s="1936">
        <v>0</v>
      </c>
      <c r="FV100" s="1936">
        <v>14821</v>
      </c>
      <c r="FW100" s="1936">
        <v>226045</v>
      </c>
      <c r="FX100" s="1936">
        <v>1192967</v>
      </c>
      <c r="FY100" s="1936">
        <v>-629002</v>
      </c>
      <c r="FZ100" s="1366">
        <v>0.67510540709051736</v>
      </c>
      <c r="GA100" s="1366">
        <v>0</v>
      </c>
      <c r="GB100" s="1366">
        <v>0.28520617400555176</v>
      </c>
      <c r="GC100" s="1366">
        <v>1.9270617914987048E-2</v>
      </c>
      <c r="GD100" s="1366">
        <v>0</v>
      </c>
      <c r="GE100" s="1366">
        <v>1.5248789541805821E-2</v>
      </c>
      <c r="GF100" s="1366">
        <v>0.23256950489018938</v>
      </c>
      <c r="GG100" s="1366">
        <v>1.2274004934430514</v>
      </c>
      <c r="GH100" s="1366">
        <v>-0.64715735236319716</v>
      </c>
      <c r="GI100" s="1942">
        <v>2.5288440941222601</v>
      </c>
      <c r="GJ100" s="1943">
        <v>1</v>
      </c>
      <c r="GK100" s="1371">
        <v>0.03</v>
      </c>
      <c r="GL100" s="1943">
        <v>0</v>
      </c>
      <c r="GM100" s="1371">
        <v>0</v>
      </c>
      <c r="GN100" s="1943">
        <v>18</v>
      </c>
      <c r="GO100" s="1985">
        <f>IF(GN100=0,0,VLOOKUP(A100,'Area (&amp;golfacre for lookup)'!$G$2:$H$133,2,FALSE))</f>
        <v>110</v>
      </c>
      <c r="GP100" s="1943">
        <v>16195</v>
      </c>
      <c r="GQ100" s="1943">
        <v>1028408</v>
      </c>
      <c r="GR100" s="1943">
        <v>270698</v>
      </c>
      <c r="GS100" s="1943">
        <v>352463</v>
      </c>
      <c r="GT100" s="1943">
        <v>98961</v>
      </c>
      <c r="GU100" s="1943">
        <v>0</v>
      </c>
      <c r="GV100" s="1943">
        <v>304495</v>
      </c>
      <c r="GW100" s="1943">
        <v>2055025</v>
      </c>
      <c r="GX100" s="1943">
        <v>114168.05555555556</v>
      </c>
      <c r="GY100" s="1985">
        <f t="shared" si="764"/>
        <v>18682.045454545456</v>
      </c>
      <c r="GZ100" s="1366">
        <v>0.50043576112212751</v>
      </c>
      <c r="HA100" s="1366">
        <v>0.1317249181883432</v>
      </c>
      <c r="HB100" s="1366">
        <v>0.17151275531927834</v>
      </c>
      <c r="HC100" s="1366">
        <v>4.815561854478656E-2</v>
      </c>
      <c r="HD100" s="1366">
        <v>0</v>
      </c>
      <c r="HE100" s="1366">
        <v>0.14817094682546442</v>
      </c>
      <c r="HF100" s="1366">
        <v>1</v>
      </c>
      <c r="HG100" s="1936">
        <v>0</v>
      </c>
      <c r="HH100" s="1988">
        <f>IF(HG100=0,0,VLOOKUP(A100,'Area (&amp;golfacre for lookup)'!$G$2:$H$134,2,FALSE))</f>
        <v>0</v>
      </c>
      <c r="HI100" s="1936">
        <v>0</v>
      </c>
      <c r="HJ100" s="1936">
        <v>0</v>
      </c>
      <c r="HK100" s="1936">
        <v>0</v>
      </c>
      <c r="HL100" s="1936">
        <v>0</v>
      </c>
      <c r="HM100" s="1936">
        <v>0</v>
      </c>
      <c r="HN100" s="1936">
        <v>0</v>
      </c>
      <c r="HO100" s="1936">
        <v>0</v>
      </c>
      <c r="HP100" s="1936">
        <v>0</v>
      </c>
      <c r="HQ100" s="1936">
        <v>0</v>
      </c>
      <c r="HR100" s="1988">
        <f t="shared" si="765"/>
        <v>0</v>
      </c>
      <c r="HS100" s="1936">
        <v>0</v>
      </c>
      <c r="HT100" s="1936">
        <v>0</v>
      </c>
      <c r="HU100" s="1936">
        <v>0</v>
      </c>
      <c r="HV100" s="1936">
        <v>0</v>
      </c>
      <c r="HW100" s="1936">
        <v>0</v>
      </c>
      <c r="HX100" s="1936">
        <v>0</v>
      </c>
      <c r="HY100" s="1936">
        <v>0</v>
      </c>
      <c r="HZ100" s="51"/>
      <c r="IA100" s="59">
        <f t="shared" si="767"/>
        <v>0.01</v>
      </c>
      <c r="IB100" s="59"/>
      <c r="IC100" s="815">
        <f t="shared" si="768"/>
        <v>1</v>
      </c>
      <c r="ID100" s="815"/>
      <c r="IE100" s="284">
        <f t="shared" si="769"/>
        <v>0</v>
      </c>
      <c r="IF100" s="284"/>
      <c r="IG100" s="284">
        <f t="shared" si="770"/>
        <v>107560.75025677672</v>
      </c>
      <c r="IH100" s="284"/>
      <c r="II100" s="1288">
        <f t="shared" si="771"/>
        <v>1.0938499139153754</v>
      </c>
      <c r="IJ100" s="1288">
        <f t="shared" si="772"/>
        <v>0</v>
      </c>
      <c r="IK100" s="284">
        <f t="shared" si="773"/>
        <v>1</v>
      </c>
      <c r="IL100" s="284">
        <f t="shared" si="774"/>
        <v>0</v>
      </c>
      <c r="IM100" s="284">
        <f t="shared" si="775"/>
        <v>0</v>
      </c>
      <c r="IN100" s="284">
        <f t="shared" si="776"/>
        <v>0</v>
      </c>
      <c r="IO100" s="753">
        <f t="shared" si="777"/>
        <v>-1996.831746031746</v>
      </c>
      <c r="IP100" s="113">
        <f t="shared" si="778"/>
        <v>-2051.4765132130824</v>
      </c>
      <c r="IQ100" s="30">
        <f t="shared" si="779"/>
        <v>-0.11841134275400188</v>
      </c>
      <c r="IR100" s="438">
        <f t="shared" si="780"/>
        <v>696517</v>
      </c>
      <c r="IS100" s="438">
        <f t="shared" si="781"/>
        <v>275429</v>
      </c>
      <c r="IT100" s="438">
        <f t="shared" si="782"/>
        <v>656166</v>
      </c>
      <c r="IU100" s="438">
        <f t="shared" si="783"/>
        <v>295935</v>
      </c>
      <c r="IV100" s="438">
        <f t="shared" si="784"/>
        <v>407981</v>
      </c>
      <c r="IW100" s="438">
        <f t="shared" si="785"/>
        <v>240866</v>
      </c>
      <c r="IX100" s="285">
        <f t="shared" si="786"/>
        <v>0.71662108800283142</v>
      </c>
      <c r="IY100" s="285">
        <f t="shared" si="787"/>
        <v>0.28337891199716858</v>
      </c>
      <c r="IZ100" s="285">
        <f t="shared" si="788"/>
        <v>0.67510540709051736</v>
      </c>
      <c r="JA100" s="285">
        <f t="shared" si="789"/>
        <v>0.30447679192053878</v>
      </c>
      <c r="JB100" s="285">
        <f t="shared" si="790"/>
        <v>0.41975685892014575</v>
      </c>
      <c r="JC100" s="285">
        <f t="shared" si="791"/>
        <v>0.24781829443199518</v>
      </c>
      <c r="JD100" s="60">
        <f t="shared" si="792"/>
        <v>5312008</v>
      </c>
      <c r="JE100" s="60">
        <f t="shared" si="793"/>
        <v>898136</v>
      </c>
      <c r="JF100" s="60">
        <f t="shared" si="794"/>
        <v>0</v>
      </c>
      <c r="JG100" s="60">
        <f t="shared" si="795"/>
        <v>738835</v>
      </c>
      <c r="JH100" s="284">
        <f t="shared" si="796"/>
        <v>0</v>
      </c>
      <c r="JI100" s="284">
        <f t="shared" si="797"/>
        <v>0</v>
      </c>
      <c r="JJ100" s="560">
        <f t="shared" si="798"/>
        <v>0</v>
      </c>
      <c r="JK100" s="561">
        <f t="shared" si="799"/>
        <v>0.58501812878235837</v>
      </c>
      <c r="JL100" s="561">
        <f t="shared" si="800"/>
        <v>5.6390658397125933E-2</v>
      </c>
      <c r="JM100" s="561">
        <f t="shared" si="801"/>
        <v>0</v>
      </c>
      <c r="JN100" s="561">
        <f t="shared" si="802"/>
        <v>0.26790901441124859</v>
      </c>
      <c r="JO100" s="561">
        <f t="shared" si="803"/>
        <v>3.5842493556237927E-2</v>
      </c>
      <c r="JP100" s="561">
        <f t="shared" si="804"/>
        <v>6.6278419174601352E-2</v>
      </c>
      <c r="JQ100" s="561">
        <f t="shared" si="805"/>
        <v>1.0114387143215722</v>
      </c>
      <c r="JR100" s="61">
        <f t="shared" si="806"/>
        <v>57133.777777777781</v>
      </c>
      <c r="JS100" s="61">
        <f t="shared" si="807"/>
        <v>15038.777777777777</v>
      </c>
      <c r="JT100" s="61">
        <f t="shared" si="808"/>
        <v>19581.277777777777</v>
      </c>
      <c r="JU100" s="61">
        <f t="shared" si="809"/>
        <v>5497.833333333333</v>
      </c>
      <c r="JV100" s="61">
        <f t="shared" si="810"/>
        <v>0</v>
      </c>
      <c r="JW100" s="61">
        <f t="shared" si="811"/>
        <v>16916.388888888891</v>
      </c>
      <c r="JX100" s="61">
        <f t="shared" si="812"/>
        <v>126.89255943192343</v>
      </c>
      <c r="JY100" s="394">
        <f t="shared" si="813"/>
        <v>0.28083081727469783</v>
      </c>
      <c r="JZ100" s="61">
        <f t="shared" si="814"/>
        <v>0</v>
      </c>
      <c r="KA100" s="61">
        <f t="shared" si="815"/>
        <v>0</v>
      </c>
      <c r="KB100" s="61">
        <f t="shared" si="816"/>
        <v>0</v>
      </c>
      <c r="KC100" s="61">
        <f t="shared" si="817"/>
        <v>0</v>
      </c>
      <c r="KD100" s="61">
        <f t="shared" si="818"/>
        <v>0</v>
      </c>
      <c r="KE100" s="61">
        <f t="shared" si="819"/>
        <v>0</v>
      </c>
      <c r="KF100" s="61">
        <f t="shared" si="820"/>
        <v>0</v>
      </c>
      <c r="KG100" s="61">
        <f t="shared" si="821"/>
        <v>0</v>
      </c>
      <c r="KH100" s="61">
        <f t="shared" si="822"/>
        <v>0</v>
      </c>
      <c r="KI100" s="394">
        <f t="shared" si="823"/>
        <v>0</v>
      </c>
      <c r="KJ100" s="438">
        <f t="shared" si="824"/>
        <v>18</v>
      </c>
      <c r="KK100" s="438">
        <f t="shared" si="825"/>
        <v>16195</v>
      </c>
      <c r="KL100" s="438">
        <f t="shared" si="826"/>
        <v>110</v>
      </c>
      <c r="KM100" s="438">
        <f t="shared" si="827"/>
        <v>114168.05555555556</v>
      </c>
      <c r="KN100" s="438">
        <f t="shared" si="828"/>
        <v>126.89255943192343</v>
      </c>
      <c r="KO100" s="438">
        <f t="shared" si="829"/>
        <v>18682.045454545456</v>
      </c>
      <c r="KP100" s="438">
        <f t="shared" si="830"/>
        <v>1028408</v>
      </c>
      <c r="KQ100" s="438">
        <f t="shared" si="831"/>
        <v>270698</v>
      </c>
      <c r="KR100" s="438">
        <f t="shared" si="832"/>
        <v>352463</v>
      </c>
      <c r="KS100" s="438">
        <f t="shared" si="833"/>
        <v>98961</v>
      </c>
      <c r="KT100" s="438">
        <f t="shared" si="834"/>
        <v>0</v>
      </c>
      <c r="KU100" s="438">
        <f t="shared" si="835"/>
        <v>304495</v>
      </c>
      <c r="KV100" s="420">
        <f t="shared" si="836"/>
        <v>0.28083081727469783</v>
      </c>
      <c r="KW100" s="420">
        <f t="shared" si="837"/>
        <v>-0.32954204888245653</v>
      </c>
      <c r="KX100" s="108"/>
      <c r="KY100" s="282">
        <f t="shared" si="838"/>
        <v>0</v>
      </c>
      <c r="KZ100" s="282"/>
      <c r="LA100" s="282">
        <f t="shared" si="839"/>
        <v>0</v>
      </c>
      <c r="LB100" s="282"/>
      <c r="LC100" s="286">
        <f t="shared" si="840"/>
        <v>0</v>
      </c>
      <c r="LD100" s="286"/>
      <c r="LE100" s="282">
        <f t="shared" si="841"/>
        <v>0</v>
      </c>
      <c r="LF100" s="282"/>
      <c r="LG100" s="282">
        <f t="shared" si="842"/>
        <v>0</v>
      </c>
      <c r="LH100" s="282">
        <f t="shared" si="843"/>
        <v>0</v>
      </c>
      <c r="LI100" s="282">
        <f t="shared" si="844"/>
        <v>0</v>
      </c>
      <c r="LJ100" s="282">
        <f t="shared" si="845"/>
        <v>0</v>
      </c>
      <c r="LK100" s="282"/>
      <c r="LL100" s="282">
        <f t="shared" si="846"/>
        <v>0</v>
      </c>
      <c r="LM100" s="282">
        <f t="shared" si="847"/>
        <v>0</v>
      </c>
      <c r="LN100" s="282">
        <f t="shared" si="848"/>
        <v>0</v>
      </c>
      <c r="LO100" s="282">
        <f t="shared" si="849"/>
        <v>0</v>
      </c>
      <c r="LP100" s="286">
        <f t="shared" si="850"/>
        <v>0</v>
      </c>
      <c r="LQ100" s="282">
        <f t="shared" si="851"/>
        <v>0</v>
      </c>
      <c r="LR100" s="282">
        <f t="shared" si="852"/>
        <v>0</v>
      </c>
      <c r="LS100" s="282">
        <f t="shared" si="853"/>
        <v>0</v>
      </c>
      <c r="LT100" s="286">
        <f t="shared" si="854"/>
        <v>0</v>
      </c>
      <c r="LU100" s="286">
        <f t="shared" si="855"/>
        <v>0</v>
      </c>
      <c r="LV100" s="286">
        <f t="shared" si="856"/>
        <v>0</v>
      </c>
      <c r="LW100" s="286">
        <f t="shared" si="857"/>
        <v>0</v>
      </c>
      <c r="LX100" s="286">
        <f t="shared" si="858"/>
        <v>0</v>
      </c>
      <c r="LY100" s="286">
        <f t="shared" si="859"/>
        <v>0</v>
      </c>
      <c r="LZ100" s="286">
        <f t="shared" si="860"/>
        <v>0</v>
      </c>
      <c r="MA100" s="286">
        <f t="shared" si="861"/>
        <v>0</v>
      </c>
      <c r="MB100" s="286">
        <f t="shared" si="862"/>
        <v>0</v>
      </c>
      <c r="MC100" s="286">
        <f t="shared" si="863"/>
        <v>0</v>
      </c>
      <c r="MD100" s="286">
        <f t="shared" si="864"/>
        <v>0</v>
      </c>
      <c r="ME100" s="286">
        <f t="shared" si="865"/>
        <v>0</v>
      </c>
      <c r="MF100" s="286">
        <f t="shared" si="866"/>
        <v>0</v>
      </c>
      <c r="MG100" s="286">
        <f t="shared" si="867"/>
        <v>0</v>
      </c>
      <c r="MH100" s="286">
        <f t="shared" si="868"/>
        <v>0</v>
      </c>
      <c r="MI100" s="286">
        <f t="shared" si="869"/>
        <v>0</v>
      </c>
      <c r="MJ100" s="286">
        <f t="shared" si="870"/>
        <v>0</v>
      </c>
      <c r="MK100" s="286">
        <f t="shared" si="871"/>
        <v>0</v>
      </c>
      <c r="ML100" s="282">
        <f t="shared" si="872"/>
        <v>0</v>
      </c>
      <c r="MM100" s="1232">
        <f t="shared" si="873"/>
        <v>0</v>
      </c>
      <c r="MN100" s="1232">
        <f t="shared" si="874"/>
        <v>0</v>
      </c>
      <c r="MO100" s="1232">
        <f t="shared" si="875"/>
        <v>0</v>
      </c>
      <c r="MP100" s="1232">
        <f t="shared" si="876"/>
        <v>0</v>
      </c>
      <c r="MQ100" s="282">
        <f t="shared" si="877"/>
        <v>0</v>
      </c>
      <c r="MR100" s="282">
        <f t="shared" si="878"/>
        <v>0</v>
      </c>
      <c r="MS100" s="282">
        <f t="shared" si="879"/>
        <v>0</v>
      </c>
      <c r="MT100" s="282">
        <f t="shared" si="880"/>
        <v>0</v>
      </c>
      <c r="MU100" s="282">
        <f t="shared" si="881"/>
        <v>0</v>
      </c>
      <c r="MV100" s="282">
        <f t="shared" si="882"/>
        <v>0</v>
      </c>
      <c r="MW100" s="282">
        <f t="shared" si="883"/>
        <v>0</v>
      </c>
      <c r="MX100" s="282">
        <f t="shared" si="884"/>
        <v>0</v>
      </c>
      <c r="MY100" s="282">
        <f t="shared" si="885"/>
        <v>0</v>
      </c>
      <c r="MZ100" s="282">
        <f t="shared" si="886"/>
        <v>0</v>
      </c>
      <c r="NA100" s="282">
        <f t="shared" si="887"/>
        <v>0</v>
      </c>
      <c r="NB100" s="282">
        <f t="shared" si="888"/>
        <v>0</v>
      </c>
      <c r="NC100" s="282">
        <f t="shared" si="889"/>
        <v>0</v>
      </c>
      <c r="ND100" s="282">
        <f t="shared" si="890"/>
        <v>0</v>
      </c>
      <c r="NE100" s="282">
        <f t="shared" si="891"/>
        <v>0</v>
      </c>
      <c r="NF100" s="282">
        <f t="shared" si="892"/>
        <v>0</v>
      </c>
      <c r="NG100" s="282">
        <f t="shared" si="893"/>
        <v>0</v>
      </c>
      <c r="NH100" s="282">
        <f t="shared" si="894"/>
        <v>0</v>
      </c>
      <c r="NI100" s="282">
        <f t="shared" si="895"/>
        <v>0</v>
      </c>
      <c r="NJ100" s="282">
        <f t="shared" si="896"/>
        <v>0</v>
      </c>
      <c r="NK100" s="282">
        <f t="shared" si="897"/>
        <v>0</v>
      </c>
      <c r="NL100" s="282">
        <f t="shared" si="898"/>
        <v>0</v>
      </c>
      <c r="NM100" s="1205">
        <f t="shared" si="899"/>
        <v>0</v>
      </c>
      <c r="NN100" s="282">
        <f t="shared" si="900"/>
        <v>0</v>
      </c>
      <c r="NO100" s="282">
        <f t="shared" si="901"/>
        <v>0</v>
      </c>
      <c r="NP100" s="282">
        <f t="shared" si="902"/>
        <v>0</v>
      </c>
      <c r="NQ100" s="282">
        <f t="shared" si="903"/>
        <v>0</v>
      </c>
      <c r="NR100" s="282">
        <f t="shared" si="904"/>
        <v>0</v>
      </c>
      <c r="NS100" s="282">
        <f t="shared" si="905"/>
        <v>0</v>
      </c>
      <c r="NT100" s="282">
        <f t="shared" si="906"/>
        <v>0</v>
      </c>
      <c r="NU100" s="282">
        <f t="shared" si="907"/>
        <v>0</v>
      </c>
      <c r="NV100" s="286">
        <f t="shared" si="908"/>
        <v>0</v>
      </c>
      <c r="NW100" s="286">
        <f t="shared" si="909"/>
        <v>0</v>
      </c>
      <c r="NX100" s="286">
        <f t="shared" si="910"/>
        <v>0</v>
      </c>
      <c r="NY100" s="286">
        <f t="shared" si="911"/>
        <v>0</v>
      </c>
      <c r="NZ100" s="286">
        <f t="shared" si="912"/>
        <v>0</v>
      </c>
      <c r="OA100" s="286">
        <f t="shared" si="913"/>
        <v>0</v>
      </c>
      <c r="OB100" s="286">
        <f t="shared" si="914"/>
        <v>0</v>
      </c>
      <c r="OC100" s="286">
        <f t="shared" si="915"/>
        <v>0</v>
      </c>
      <c r="OD100" s="286">
        <f t="shared" si="916"/>
        <v>0</v>
      </c>
      <c r="OE100" s="282">
        <f t="shared" si="917"/>
        <v>0</v>
      </c>
      <c r="OF100" s="282">
        <f t="shared" si="918"/>
        <v>0</v>
      </c>
      <c r="OG100" s="286">
        <f t="shared" si="919"/>
        <v>0</v>
      </c>
      <c r="OH100" s="286">
        <f t="shared" si="920"/>
        <v>0</v>
      </c>
      <c r="OI100" s="286">
        <f t="shared" si="921"/>
        <v>0</v>
      </c>
      <c r="OJ100" s="286">
        <f t="shared" si="922"/>
        <v>0</v>
      </c>
      <c r="OK100" s="286">
        <f t="shared" si="923"/>
        <v>0</v>
      </c>
      <c r="OL100" s="286">
        <f t="shared" si="924"/>
        <v>0</v>
      </c>
      <c r="OM100" s="286">
        <f t="shared" si="925"/>
        <v>0</v>
      </c>
      <c r="ON100" s="286">
        <f t="shared" si="926"/>
        <v>0</v>
      </c>
      <c r="OO100" s="286">
        <f t="shared" si="927"/>
        <v>0</v>
      </c>
      <c r="OP100" s="434">
        <f t="shared" si="928"/>
        <v>0</v>
      </c>
      <c r="OQ100" s="434">
        <f t="shared" si="929"/>
        <v>0</v>
      </c>
      <c r="OR100" s="282">
        <f t="shared" si="930"/>
        <v>0</v>
      </c>
      <c r="OS100" s="282">
        <f t="shared" si="931"/>
        <v>0</v>
      </c>
      <c r="OT100" s="282">
        <f t="shared" si="932"/>
        <v>0</v>
      </c>
      <c r="OU100" s="282">
        <f t="shared" si="933"/>
        <v>0</v>
      </c>
      <c r="OV100" s="282">
        <f t="shared" si="934"/>
        <v>0</v>
      </c>
      <c r="OW100" s="286">
        <f t="shared" si="935"/>
        <v>0</v>
      </c>
      <c r="OX100" s="286">
        <f t="shared" si="936"/>
        <v>0</v>
      </c>
      <c r="OY100" s="286">
        <f t="shared" si="937"/>
        <v>0</v>
      </c>
      <c r="OZ100" s="286">
        <f t="shared" si="938"/>
        <v>0</v>
      </c>
      <c r="PA100" s="286">
        <f t="shared" si="939"/>
        <v>0</v>
      </c>
      <c r="PB100" s="286">
        <f t="shared" si="940"/>
        <v>0</v>
      </c>
      <c r="PC100" s="286">
        <f t="shared" si="941"/>
        <v>0</v>
      </c>
      <c r="PD100" s="282">
        <f t="shared" si="942"/>
        <v>0</v>
      </c>
      <c r="PE100" s="282">
        <f t="shared" si="943"/>
        <v>0</v>
      </c>
      <c r="PF100" s="286">
        <f t="shared" si="944"/>
        <v>0</v>
      </c>
      <c r="PG100" s="286">
        <f t="shared" si="945"/>
        <v>0</v>
      </c>
      <c r="PH100" s="286">
        <f t="shared" si="946"/>
        <v>0</v>
      </c>
      <c r="PI100" s="286">
        <f t="shared" si="947"/>
        <v>0</v>
      </c>
      <c r="PJ100" s="286">
        <f t="shared" si="948"/>
        <v>0</v>
      </c>
      <c r="PK100" s="286">
        <f t="shared" si="949"/>
        <v>0</v>
      </c>
      <c r="PL100" s="286">
        <f t="shared" si="950"/>
        <v>0</v>
      </c>
      <c r="PM100" s="562">
        <v>44</v>
      </c>
    </row>
    <row r="101" spans="1:431" s="289" customFormat="1" ht="15.75" customHeight="1">
      <c r="A101" s="1935" t="s">
        <v>839</v>
      </c>
      <c r="B101" s="1040" t="str">
        <f>VLOOKUP(A101,'Area (&amp;golfacre for lookup)'!$A$2:$B$162,2,FALSE)</f>
        <v>North&amp;Central</v>
      </c>
      <c r="C101" s="1936"/>
      <c r="D101" s="1937">
        <v>44926</v>
      </c>
      <c r="E101" s="402"/>
      <c r="F101" s="1936">
        <v>1</v>
      </c>
      <c r="G101" s="1936">
        <v>0</v>
      </c>
      <c r="H101" s="1936">
        <v>525</v>
      </c>
      <c r="I101" s="1936">
        <v>211</v>
      </c>
      <c r="J101" s="1936">
        <v>736</v>
      </c>
      <c r="K101" s="1938">
        <v>641.34580945558741</v>
      </c>
      <c r="L101" s="1939" t="s">
        <v>1208</v>
      </c>
      <c r="M101" s="1939" t="s">
        <v>1208</v>
      </c>
      <c r="N101" s="1939" t="s">
        <v>1208</v>
      </c>
      <c r="O101" s="1939" t="s">
        <v>1208</v>
      </c>
      <c r="P101" s="1939" t="s">
        <v>1208</v>
      </c>
      <c r="Q101" s="1936">
        <v>0</v>
      </c>
      <c r="R101" s="1936">
        <v>90000</v>
      </c>
      <c r="S101" s="1936">
        <v>90000</v>
      </c>
      <c r="T101" s="1939" t="s">
        <v>1208</v>
      </c>
      <c r="U101" s="1939" t="s">
        <v>1208</v>
      </c>
      <c r="V101" s="1939" t="s">
        <v>1208</v>
      </c>
      <c r="W101" s="1936">
        <v>12145</v>
      </c>
      <c r="X101" s="1936">
        <v>11168</v>
      </c>
      <c r="Y101" s="1939" t="s">
        <v>1208</v>
      </c>
      <c r="Z101" s="1939" t="s">
        <v>1208</v>
      </c>
      <c r="AA101" s="1936">
        <v>977</v>
      </c>
      <c r="AB101" s="1362">
        <v>8.7482091690544411E-2</v>
      </c>
      <c r="AC101" s="1939" t="s">
        <v>1208</v>
      </c>
      <c r="AD101" s="1363" t="s">
        <v>1208</v>
      </c>
      <c r="AE101" s="1936">
        <v>1</v>
      </c>
      <c r="AF101" s="1936">
        <v>2634</v>
      </c>
      <c r="AG101" s="1939" t="s">
        <v>1208</v>
      </c>
      <c r="AH101" s="1936">
        <v>0</v>
      </c>
      <c r="AI101" s="1936">
        <v>0</v>
      </c>
      <c r="AJ101" s="1939" t="s">
        <v>1208</v>
      </c>
      <c r="AK101" s="1938">
        <v>0</v>
      </c>
      <c r="AL101" s="1938">
        <v>0</v>
      </c>
      <c r="AM101" s="1936">
        <v>13802</v>
      </c>
      <c r="AN101" s="1939" t="s">
        <v>1208</v>
      </c>
      <c r="AO101" s="1936">
        <v>0</v>
      </c>
      <c r="AP101" s="1936">
        <v>900</v>
      </c>
      <c r="AQ101" s="1936">
        <v>14702</v>
      </c>
      <c r="AR101" s="1939" t="s">
        <v>1208</v>
      </c>
      <c r="AS101" s="1363" t="s">
        <v>1208</v>
      </c>
      <c r="AT101" s="1363" t="s">
        <v>1208</v>
      </c>
      <c r="AU101" s="1363" t="s">
        <v>1208</v>
      </c>
      <c r="AV101" s="1363" t="s">
        <v>1208</v>
      </c>
      <c r="AW101" s="1363" t="s">
        <v>1291</v>
      </c>
      <c r="AX101" s="1938">
        <v>1</v>
      </c>
      <c r="AY101" s="1938">
        <v>0</v>
      </c>
      <c r="AZ101" s="1938">
        <v>1</v>
      </c>
      <c r="BA101" s="1938">
        <v>0</v>
      </c>
      <c r="BB101" s="1938">
        <v>0</v>
      </c>
      <c r="BC101" s="1938">
        <v>0</v>
      </c>
      <c r="BD101" s="1938">
        <v>0</v>
      </c>
      <c r="BE101" s="1936">
        <v>1</v>
      </c>
      <c r="BF101" s="1936">
        <v>5000000</v>
      </c>
      <c r="BG101" s="1936">
        <v>1000000</v>
      </c>
      <c r="BH101" s="1936">
        <v>6000000</v>
      </c>
      <c r="BI101" s="1938">
        <v>23793213</v>
      </c>
      <c r="BJ101" s="1936">
        <v>3392820</v>
      </c>
      <c r="BK101" s="1936">
        <v>2149808</v>
      </c>
      <c r="BL101" s="1362">
        <v>1.5781967505935415</v>
      </c>
      <c r="BM101" s="1936">
        <v>1</v>
      </c>
      <c r="BN101" s="1936">
        <v>1463259</v>
      </c>
      <c r="BO101" s="1363" t="s">
        <v>1208</v>
      </c>
      <c r="BP101" s="1938">
        <v>8391172</v>
      </c>
      <c r="BQ101" s="1938">
        <v>11209518</v>
      </c>
      <c r="BR101" s="1940">
        <v>0.74857563010291794</v>
      </c>
      <c r="BS101" s="1409">
        <v>0</v>
      </c>
      <c r="BT101" s="1938">
        <v>12075364</v>
      </c>
      <c r="BU101" s="1938">
        <v>21452840</v>
      </c>
      <c r="BV101" s="1940">
        <v>0.56287950686249466</v>
      </c>
      <c r="BW101" s="1936">
        <v>2281.5444935113892</v>
      </c>
      <c r="BX101" s="1936">
        <v>5290.1569636512131</v>
      </c>
      <c r="BY101" s="1936">
        <v>9355.3273624616922</v>
      </c>
      <c r="BZ101" s="1936">
        <v>1340165</v>
      </c>
      <c r="CA101" s="1936">
        <v>0</v>
      </c>
      <c r="CB101" s="1936">
        <v>478496</v>
      </c>
      <c r="CC101" s="1936">
        <v>129976</v>
      </c>
      <c r="CD101" s="1936">
        <v>7162550</v>
      </c>
      <c r="CE101" s="1936">
        <v>0</v>
      </c>
      <c r="CF101" s="1936">
        <v>0</v>
      </c>
      <c r="CG101" s="1936">
        <v>1714444</v>
      </c>
      <c r="CH101" s="1936">
        <v>621222</v>
      </c>
      <c r="CI101" s="1936">
        <v>560240</v>
      </c>
      <c r="CJ101" s="1936">
        <v>12007093</v>
      </c>
      <c r="CK101" s="1366">
        <v>0.11161444322951442</v>
      </c>
      <c r="CL101" s="1366">
        <v>0</v>
      </c>
      <c r="CM101" s="1366">
        <v>3.9851111338939406E-2</v>
      </c>
      <c r="CN101" s="1366">
        <v>1.0824934894732638E-2</v>
      </c>
      <c r="CO101" s="1366">
        <v>0.59652656975339491</v>
      </c>
      <c r="CP101" s="1366">
        <v>0</v>
      </c>
      <c r="CQ101" s="1366">
        <v>0</v>
      </c>
      <c r="CR101" s="1366">
        <v>0.14278593494695177</v>
      </c>
      <c r="CS101" s="1366">
        <v>5.1737918578626814E-2</v>
      </c>
      <c r="CT101" s="1366">
        <v>4.6659087257840015E-2</v>
      </c>
      <c r="CU101" s="1366">
        <v>1</v>
      </c>
      <c r="CV101" s="1936">
        <v>6964934</v>
      </c>
      <c r="CW101" s="1936">
        <v>1080190</v>
      </c>
      <c r="CX101" s="1936">
        <v>327930</v>
      </c>
      <c r="CY101" s="1936">
        <v>3346311</v>
      </c>
      <c r="CZ101" s="1936">
        <v>137121</v>
      </c>
      <c r="DA101" s="1936">
        <v>224102</v>
      </c>
      <c r="DB101" s="1936">
        <v>12080588</v>
      </c>
      <c r="DC101" s="1366">
        <v>0.57653932076816128</v>
      </c>
      <c r="DD101" s="1366">
        <v>8.941534965019915E-2</v>
      </c>
      <c r="DE101" s="1366">
        <v>2.7145201872624081E-2</v>
      </c>
      <c r="DF101" s="1366">
        <v>0.27699901693526841</v>
      </c>
      <c r="DG101" s="1366">
        <v>1.135052366656325E-2</v>
      </c>
      <c r="DH101" s="1366">
        <v>1.8550587107183856E-2</v>
      </c>
      <c r="DI101" s="1366">
        <v>1</v>
      </c>
      <c r="DJ101" s="1936">
        <v>-73495</v>
      </c>
      <c r="DK101" s="1936">
        <v>2089.6137157855792</v>
      </c>
      <c r="DL101" s="1936">
        <v>0</v>
      </c>
      <c r="DM101" s="1936">
        <v>746.08112027141169</v>
      </c>
      <c r="DN101" s="1936">
        <v>202.66133821055351</v>
      </c>
      <c r="DO101" s="1936">
        <v>11168</v>
      </c>
      <c r="DP101" s="1936">
        <v>0</v>
      </c>
      <c r="DQ101" s="1936">
        <v>0</v>
      </c>
      <c r="DR101" s="1936">
        <v>2673.1974774347123</v>
      </c>
      <c r="DS101" s="1936">
        <v>968.62252912719623</v>
      </c>
      <c r="DT101" s="1936">
        <v>873.5381002575898</v>
      </c>
      <c r="DU101" s="1936">
        <v>18721.714281087043</v>
      </c>
      <c r="DV101" s="1936">
        <v>10859.872937989961</v>
      </c>
      <c r="DW101" s="1936">
        <v>1684.2551772762492</v>
      </c>
      <c r="DX101" s="1936">
        <v>511.31541699534381</v>
      </c>
      <c r="DY101" s="1936">
        <v>5217.6391436010917</v>
      </c>
      <c r="DZ101" s="1936">
        <v>213.80197387801829</v>
      </c>
      <c r="EA101" s="1936">
        <v>349.42459543039837</v>
      </c>
      <c r="EB101" s="1936">
        <v>18836.309245171062</v>
      </c>
      <c r="EC101" s="1936">
        <v>-114.59496408402035</v>
      </c>
      <c r="ED101" s="1941">
        <v>145</v>
      </c>
      <c r="EE101" s="1936">
        <v>0</v>
      </c>
      <c r="EF101" s="1936">
        <v>0</v>
      </c>
      <c r="EG101" s="1938">
        <v>0</v>
      </c>
      <c r="EH101" s="1938">
        <v>1</v>
      </c>
      <c r="EI101" s="1368">
        <v>0.1</v>
      </c>
      <c r="EJ101" s="1936">
        <v>4.4230745479695681</v>
      </c>
      <c r="EK101" s="1936">
        <v>0</v>
      </c>
      <c r="EL101" s="1936">
        <v>0</v>
      </c>
      <c r="EM101" s="1936">
        <v>0</v>
      </c>
      <c r="EN101" s="1362">
        <v>0</v>
      </c>
      <c r="EO101" s="1936">
        <v>1</v>
      </c>
      <c r="EP101" s="1936">
        <v>75</v>
      </c>
      <c r="EQ101" s="1936">
        <v>0</v>
      </c>
      <c r="ER101" s="1938">
        <v>0</v>
      </c>
      <c r="ES101" s="1936">
        <v>3641.8200065619085</v>
      </c>
      <c r="ET101" s="1936">
        <v>-1870.9949956928745</v>
      </c>
      <c r="EU101" s="1938">
        <v>3</v>
      </c>
      <c r="EV101" s="1936">
        <v>0</v>
      </c>
      <c r="EW101" s="1936">
        <v>0</v>
      </c>
      <c r="EX101" s="1938">
        <v>1</v>
      </c>
      <c r="EY101" s="1936">
        <v>1714444</v>
      </c>
      <c r="EZ101" s="1936">
        <v>857213</v>
      </c>
      <c r="FA101" s="1936">
        <v>857231</v>
      </c>
      <c r="FB101" s="1936">
        <v>621222</v>
      </c>
      <c r="FC101" s="1936">
        <v>222977</v>
      </c>
      <c r="FD101" s="1936">
        <v>398245</v>
      </c>
      <c r="FE101" s="1936">
        <v>2335666</v>
      </c>
      <c r="FF101" s="1936">
        <v>1080190</v>
      </c>
      <c r="FG101" s="1936">
        <v>1255476</v>
      </c>
      <c r="FH101" s="1366">
        <v>1</v>
      </c>
      <c r="FI101" s="1366">
        <v>0.49999475048470526</v>
      </c>
      <c r="FJ101" s="1366">
        <v>0.50000524951529479</v>
      </c>
      <c r="FK101" s="1366">
        <v>1</v>
      </c>
      <c r="FL101" s="1366">
        <v>0.35893287745765606</v>
      </c>
      <c r="FM101" s="1366">
        <v>0.64106712254234399</v>
      </c>
      <c r="FN101" s="1366">
        <v>1</v>
      </c>
      <c r="FO101" s="1366">
        <v>0.4624762273372991</v>
      </c>
      <c r="FP101" s="1366">
        <v>0.5375237726627009</v>
      </c>
      <c r="FQ101" s="1936">
        <v>2233881</v>
      </c>
      <c r="FR101" s="1936">
        <v>-467133.2</v>
      </c>
      <c r="FS101" s="1936">
        <v>360305</v>
      </c>
      <c r="FT101" s="1936">
        <v>40584</v>
      </c>
      <c r="FU101" s="1936">
        <v>59478</v>
      </c>
      <c r="FV101" s="1936">
        <v>7189</v>
      </c>
      <c r="FW101" s="1936">
        <v>221127</v>
      </c>
      <c r="FX101" s="1936">
        <v>2455430.7999999998</v>
      </c>
      <c r="FY101" s="1936">
        <v>-1199954.7999999998</v>
      </c>
      <c r="FZ101" s="1366">
        <v>0.95642142326856661</v>
      </c>
      <c r="GA101" s="1366">
        <v>-0.2</v>
      </c>
      <c r="GB101" s="1366">
        <v>0.15426221043590993</v>
      </c>
      <c r="GC101" s="1366">
        <v>1.7375772049599558E-2</v>
      </c>
      <c r="GD101" s="1366">
        <v>2.546511359072744E-2</v>
      </c>
      <c r="GE101" s="1366">
        <v>3.0779229564501091E-3</v>
      </c>
      <c r="GF101" s="1366">
        <v>9.4674067268179618E-2</v>
      </c>
      <c r="GG101" s="1366">
        <v>1.0512765095694332</v>
      </c>
      <c r="GH101" s="1366">
        <v>-0.51375273690673229</v>
      </c>
      <c r="GI101" s="1942">
        <v>2.7597927954901791</v>
      </c>
      <c r="GJ101" s="1943">
        <v>1</v>
      </c>
      <c r="GK101" s="1371">
        <v>0.13</v>
      </c>
      <c r="GL101" s="1943">
        <v>1</v>
      </c>
      <c r="GM101" s="1371">
        <v>0.06</v>
      </c>
      <c r="GN101" s="1943">
        <v>0</v>
      </c>
      <c r="GO101" s="1985">
        <f>IF(GN101=0,0,VLOOKUP(A101,'Area (&amp;golfacre for lookup)'!$G$2:$H$133,2,FALSE))</f>
        <v>0</v>
      </c>
      <c r="GP101" s="1943">
        <v>0</v>
      </c>
      <c r="GQ101" s="1943">
        <v>0</v>
      </c>
      <c r="GR101" s="1943">
        <v>0</v>
      </c>
      <c r="GS101" s="1943">
        <v>0</v>
      </c>
      <c r="GT101" s="1943">
        <v>0</v>
      </c>
      <c r="GU101" s="1943">
        <v>0</v>
      </c>
      <c r="GV101" s="1943">
        <v>0</v>
      </c>
      <c r="GW101" s="1943">
        <v>0</v>
      </c>
      <c r="GX101" s="1936">
        <v>0</v>
      </c>
      <c r="GY101" s="1985">
        <f t="shared" si="764"/>
        <v>0</v>
      </c>
      <c r="GZ101" s="1936">
        <v>0</v>
      </c>
      <c r="HA101" s="1936">
        <v>0</v>
      </c>
      <c r="HB101" s="1936">
        <v>0</v>
      </c>
      <c r="HC101" s="1936">
        <v>0</v>
      </c>
      <c r="HD101" s="1936">
        <v>0</v>
      </c>
      <c r="HE101" s="1936">
        <v>0</v>
      </c>
      <c r="HF101" s="1936">
        <v>0</v>
      </c>
      <c r="HG101" s="1936">
        <v>36</v>
      </c>
      <c r="HH101" s="1988">
        <f>IF(HG101=0,0,VLOOKUP(A101,'Area (&amp;golfacre for lookup)'!$G$2:$H$134,2,FALSE))</f>
        <v>210</v>
      </c>
      <c r="HI101" s="1936">
        <v>50000</v>
      </c>
      <c r="HJ101" s="1936">
        <v>1803798</v>
      </c>
      <c r="HK101" s="1936">
        <v>245397</v>
      </c>
      <c r="HL101" s="1936">
        <v>545403</v>
      </c>
      <c r="HM101" s="1936">
        <v>165076</v>
      </c>
      <c r="HN101" s="1936">
        <v>0</v>
      </c>
      <c r="HO101" s="1936">
        <v>413091</v>
      </c>
      <c r="HP101" s="1936">
        <v>3172765</v>
      </c>
      <c r="HQ101" s="1936">
        <v>88132.361111111109</v>
      </c>
      <c r="HR101" s="1988">
        <f t="shared" si="765"/>
        <v>15108.404761904761</v>
      </c>
      <c r="HS101" s="1366">
        <v>0.56852556051267589</v>
      </c>
      <c r="HT101" s="1366">
        <v>7.7344839595746923E-2</v>
      </c>
      <c r="HU101" s="1366">
        <v>0.17190148025460442</v>
      </c>
      <c r="HV101" s="1366">
        <v>5.2029066130015934E-2</v>
      </c>
      <c r="HW101" s="1366">
        <v>0</v>
      </c>
      <c r="HX101" s="1366">
        <v>0.13019905350695687</v>
      </c>
      <c r="HY101" s="1366">
        <v>1</v>
      </c>
      <c r="HZ101" s="51"/>
      <c r="IA101" s="59">
        <f t="shared" si="767"/>
        <v>0</v>
      </c>
      <c r="IB101" s="59"/>
      <c r="IC101" s="815">
        <f t="shared" si="768"/>
        <v>1</v>
      </c>
      <c r="ID101" s="815"/>
      <c r="IE101" s="284">
        <f t="shared" si="769"/>
        <v>0</v>
      </c>
      <c r="IF101" s="284"/>
      <c r="IG101" s="284">
        <f t="shared" si="770"/>
        <v>37098.882769963209</v>
      </c>
      <c r="IH101" s="284"/>
      <c r="II101" s="1288">
        <f t="shared" si="771"/>
        <v>0</v>
      </c>
      <c r="IJ101" s="1288">
        <f t="shared" si="772"/>
        <v>0.74857563010291794</v>
      </c>
      <c r="IK101" s="284">
        <f t="shared" si="773"/>
        <v>0</v>
      </c>
      <c r="IL101" s="284">
        <f t="shared" si="774"/>
        <v>0</v>
      </c>
      <c r="IM101" s="284">
        <f t="shared" si="775"/>
        <v>0</v>
      </c>
      <c r="IN101" s="284">
        <f t="shared" si="776"/>
        <v>0</v>
      </c>
      <c r="IO101" s="753">
        <f t="shared" si="777"/>
        <v>-1630.3733695652172</v>
      </c>
      <c r="IP101" s="113">
        <f t="shared" si="778"/>
        <v>-1870.9949956928745</v>
      </c>
      <c r="IQ101" s="30">
        <f t="shared" si="779"/>
        <v>-0.16753178686361697</v>
      </c>
      <c r="IR101" s="438">
        <f t="shared" si="780"/>
        <v>1714444</v>
      </c>
      <c r="IS101" s="438">
        <f t="shared" si="781"/>
        <v>621222</v>
      </c>
      <c r="IT101" s="438">
        <f t="shared" si="782"/>
        <v>2233881</v>
      </c>
      <c r="IU101" s="438">
        <f t="shared" si="783"/>
        <v>400889</v>
      </c>
      <c r="IV101" s="438">
        <f t="shared" si="784"/>
        <v>1080190</v>
      </c>
      <c r="IW101" s="438">
        <f t="shared" si="785"/>
        <v>-179339.2</v>
      </c>
      <c r="IX101" s="285">
        <f t="shared" si="786"/>
        <v>0.73402789611185848</v>
      </c>
      <c r="IY101" s="285">
        <f t="shared" si="787"/>
        <v>0.26597210388814152</v>
      </c>
      <c r="IZ101" s="285">
        <f t="shared" si="788"/>
        <v>0.95642142326856661</v>
      </c>
      <c r="JA101" s="285">
        <f t="shared" si="789"/>
        <v>0.17163798248550949</v>
      </c>
      <c r="JB101" s="285">
        <f t="shared" si="790"/>
        <v>0.4624762273372991</v>
      </c>
      <c r="JC101" s="285">
        <f t="shared" si="791"/>
        <v>-7.6782896184642846E-2</v>
      </c>
      <c r="JD101" s="60">
        <f t="shared" si="792"/>
        <v>7162550</v>
      </c>
      <c r="JE101" s="60">
        <f t="shared" si="793"/>
        <v>1948637</v>
      </c>
      <c r="JF101" s="60">
        <f t="shared" si="794"/>
        <v>0</v>
      </c>
      <c r="JG101" s="60">
        <f t="shared" si="795"/>
        <v>361223</v>
      </c>
      <c r="JH101" s="284">
        <f t="shared" si="796"/>
        <v>0</v>
      </c>
      <c r="JI101" s="284">
        <f t="shared" si="797"/>
        <v>1</v>
      </c>
      <c r="JJ101" s="560">
        <f t="shared" si="798"/>
        <v>0.68533488263224773</v>
      </c>
      <c r="JK101" s="561">
        <f t="shared" si="799"/>
        <v>0.58006829796354542</v>
      </c>
      <c r="JL101" s="561">
        <f t="shared" si="800"/>
        <v>8.9962657905622953E-2</v>
      </c>
      <c r="JM101" s="561">
        <f t="shared" si="801"/>
        <v>2.7311356712236674E-2</v>
      </c>
      <c r="JN101" s="561">
        <f t="shared" si="802"/>
        <v>0.27869451831513259</v>
      </c>
      <c r="JO101" s="561">
        <f t="shared" si="803"/>
        <v>1.1419999828434743E-2</v>
      </c>
      <c r="JP101" s="561">
        <f t="shared" si="804"/>
        <v>1.8664134607768924E-2</v>
      </c>
      <c r="JQ101" s="561">
        <f t="shared" si="805"/>
        <v>1.0061209653327414</v>
      </c>
      <c r="JR101" s="61">
        <f t="shared" si="806"/>
        <v>0</v>
      </c>
      <c r="JS101" s="61">
        <f t="shared" si="807"/>
        <v>0</v>
      </c>
      <c r="JT101" s="61">
        <f t="shared" si="808"/>
        <v>0</v>
      </c>
      <c r="JU101" s="61">
        <f t="shared" si="809"/>
        <v>0</v>
      </c>
      <c r="JV101" s="61">
        <f t="shared" si="810"/>
        <v>0</v>
      </c>
      <c r="JW101" s="61">
        <f t="shared" si="811"/>
        <v>0</v>
      </c>
      <c r="JX101" s="61">
        <f t="shared" si="812"/>
        <v>0</v>
      </c>
      <c r="JY101" s="394">
        <f t="shared" si="813"/>
        <v>0</v>
      </c>
      <c r="JZ101" s="61">
        <f t="shared" si="814"/>
        <v>50105.5</v>
      </c>
      <c r="KA101" s="61">
        <f t="shared" si="815"/>
        <v>6816.583333333333</v>
      </c>
      <c r="KB101" s="61">
        <f t="shared" si="816"/>
        <v>15150.083333333334</v>
      </c>
      <c r="KC101" s="61">
        <f t="shared" si="817"/>
        <v>4585.4444444444443</v>
      </c>
      <c r="KD101" s="61">
        <f t="shared" si="818"/>
        <v>0</v>
      </c>
      <c r="KE101" s="61">
        <f t="shared" si="819"/>
        <v>11474.75</v>
      </c>
      <c r="KF101" s="61">
        <f t="shared" si="820"/>
        <v>25000</v>
      </c>
      <c r="KG101" s="61">
        <f t="shared" si="821"/>
        <v>210</v>
      </c>
      <c r="KH101" s="61">
        <f t="shared" si="822"/>
        <v>63.455300000000001</v>
      </c>
      <c r="KI101" s="394">
        <f t="shared" si="823"/>
        <v>0.26263332546395918</v>
      </c>
      <c r="KJ101" s="438">
        <f t="shared" si="824"/>
        <v>36</v>
      </c>
      <c r="KK101" s="438">
        <f t="shared" si="825"/>
        <v>50000</v>
      </c>
      <c r="KL101" s="438">
        <f t="shared" si="826"/>
        <v>210</v>
      </c>
      <c r="KM101" s="438">
        <f t="shared" si="827"/>
        <v>88132.361111111109</v>
      </c>
      <c r="KN101" s="438">
        <f t="shared" si="828"/>
        <v>63.455300000000001</v>
      </c>
      <c r="KO101" s="438">
        <f t="shared" si="829"/>
        <v>15108.404761904761</v>
      </c>
      <c r="KP101" s="438">
        <f t="shared" si="830"/>
        <v>1803798</v>
      </c>
      <c r="KQ101" s="438">
        <f t="shared" si="831"/>
        <v>245397</v>
      </c>
      <c r="KR101" s="438">
        <f t="shared" si="832"/>
        <v>545403</v>
      </c>
      <c r="KS101" s="438">
        <f t="shared" si="833"/>
        <v>165076</v>
      </c>
      <c r="KT101" s="438">
        <f t="shared" si="834"/>
        <v>0</v>
      </c>
      <c r="KU101" s="438">
        <f t="shared" si="835"/>
        <v>413091</v>
      </c>
      <c r="KV101" s="420">
        <f t="shared" si="836"/>
        <v>0.26263332546395918</v>
      </c>
      <c r="KW101" s="420">
        <f t="shared" si="837"/>
        <v>-0.38529210965368477</v>
      </c>
      <c r="KX101" s="108"/>
      <c r="KY101" s="282">
        <f t="shared" si="838"/>
        <v>0</v>
      </c>
      <c r="KZ101" s="282"/>
      <c r="LA101" s="282">
        <f t="shared" si="839"/>
        <v>0</v>
      </c>
      <c r="LB101" s="282"/>
      <c r="LC101" s="286">
        <f t="shared" si="840"/>
        <v>0</v>
      </c>
      <c r="LD101" s="286"/>
      <c r="LE101" s="282">
        <f t="shared" si="841"/>
        <v>0</v>
      </c>
      <c r="LF101" s="282"/>
      <c r="LG101" s="282">
        <f t="shared" si="842"/>
        <v>0</v>
      </c>
      <c r="LH101" s="282">
        <f t="shared" si="843"/>
        <v>0</v>
      </c>
      <c r="LI101" s="282">
        <f t="shared" si="844"/>
        <v>0</v>
      </c>
      <c r="LJ101" s="282">
        <f t="shared" si="845"/>
        <v>0</v>
      </c>
      <c r="LK101" s="282"/>
      <c r="LL101" s="282">
        <f t="shared" si="846"/>
        <v>0</v>
      </c>
      <c r="LM101" s="282">
        <f t="shared" si="847"/>
        <v>0</v>
      </c>
      <c r="LN101" s="282">
        <f t="shared" si="848"/>
        <v>0</v>
      </c>
      <c r="LO101" s="282">
        <f t="shared" si="849"/>
        <v>0</v>
      </c>
      <c r="LP101" s="286">
        <f t="shared" si="850"/>
        <v>0</v>
      </c>
      <c r="LQ101" s="282">
        <f t="shared" si="851"/>
        <v>0</v>
      </c>
      <c r="LR101" s="282">
        <f t="shared" si="852"/>
        <v>0</v>
      </c>
      <c r="LS101" s="282">
        <f t="shared" si="853"/>
        <v>0</v>
      </c>
      <c r="LT101" s="286">
        <f t="shared" si="854"/>
        <v>0</v>
      </c>
      <c r="LU101" s="286">
        <f t="shared" si="855"/>
        <v>0</v>
      </c>
      <c r="LV101" s="286">
        <f t="shared" si="856"/>
        <v>0</v>
      </c>
      <c r="LW101" s="286">
        <f t="shared" si="857"/>
        <v>0</v>
      </c>
      <c r="LX101" s="286">
        <f t="shared" si="858"/>
        <v>0</v>
      </c>
      <c r="LY101" s="286">
        <f t="shared" si="859"/>
        <v>0</v>
      </c>
      <c r="LZ101" s="286">
        <f t="shared" si="860"/>
        <v>0</v>
      </c>
      <c r="MA101" s="286">
        <f t="shared" si="861"/>
        <v>0</v>
      </c>
      <c r="MB101" s="286">
        <f t="shared" si="862"/>
        <v>0</v>
      </c>
      <c r="MC101" s="286">
        <f t="shared" si="863"/>
        <v>0</v>
      </c>
      <c r="MD101" s="286">
        <f t="shared" si="864"/>
        <v>0</v>
      </c>
      <c r="ME101" s="286">
        <f t="shared" si="865"/>
        <v>0</v>
      </c>
      <c r="MF101" s="286">
        <f t="shared" si="866"/>
        <v>0</v>
      </c>
      <c r="MG101" s="286">
        <f t="shared" si="867"/>
        <v>0</v>
      </c>
      <c r="MH101" s="286">
        <f t="shared" si="868"/>
        <v>0</v>
      </c>
      <c r="MI101" s="286">
        <f t="shared" si="869"/>
        <v>0</v>
      </c>
      <c r="MJ101" s="286">
        <f t="shared" si="870"/>
        <v>0</v>
      </c>
      <c r="MK101" s="286">
        <f t="shared" si="871"/>
        <v>0</v>
      </c>
      <c r="ML101" s="282">
        <f t="shared" si="872"/>
        <v>0</v>
      </c>
      <c r="MM101" s="1232">
        <f t="shared" si="873"/>
        <v>0</v>
      </c>
      <c r="MN101" s="1232">
        <f t="shared" si="874"/>
        <v>0</v>
      </c>
      <c r="MO101" s="1232">
        <f t="shared" si="875"/>
        <v>0</v>
      </c>
      <c r="MP101" s="1232">
        <f t="shared" si="876"/>
        <v>0</v>
      </c>
      <c r="MQ101" s="282">
        <f t="shared" si="877"/>
        <v>0</v>
      </c>
      <c r="MR101" s="282">
        <f t="shared" si="878"/>
        <v>0</v>
      </c>
      <c r="MS101" s="282">
        <f t="shared" si="879"/>
        <v>0</v>
      </c>
      <c r="MT101" s="282">
        <f t="shared" si="880"/>
        <v>0</v>
      </c>
      <c r="MU101" s="282">
        <f t="shared" si="881"/>
        <v>0</v>
      </c>
      <c r="MV101" s="282">
        <f t="shared" si="882"/>
        <v>0</v>
      </c>
      <c r="MW101" s="282">
        <f t="shared" si="883"/>
        <v>0</v>
      </c>
      <c r="MX101" s="282">
        <f t="shared" si="884"/>
        <v>0</v>
      </c>
      <c r="MY101" s="282">
        <f t="shared" si="885"/>
        <v>0</v>
      </c>
      <c r="MZ101" s="282">
        <f t="shared" si="886"/>
        <v>0</v>
      </c>
      <c r="NA101" s="282">
        <f t="shared" si="887"/>
        <v>0</v>
      </c>
      <c r="NB101" s="282">
        <f t="shared" si="888"/>
        <v>0</v>
      </c>
      <c r="NC101" s="282">
        <f t="shared" si="889"/>
        <v>0</v>
      </c>
      <c r="ND101" s="282">
        <f t="shared" si="890"/>
        <v>0</v>
      </c>
      <c r="NE101" s="282">
        <f t="shared" si="891"/>
        <v>0</v>
      </c>
      <c r="NF101" s="282">
        <f t="shared" si="892"/>
        <v>0</v>
      </c>
      <c r="NG101" s="282">
        <f t="shared" si="893"/>
        <v>0</v>
      </c>
      <c r="NH101" s="282">
        <f t="shared" si="894"/>
        <v>0</v>
      </c>
      <c r="NI101" s="282">
        <f t="shared" si="895"/>
        <v>0</v>
      </c>
      <c r="NJ101" s="282">
        <f t="shared" si="896"/>
        <v>0</v>
      </c>
      <c r="NK101" s="282">
        <f t="shared" si="897"/>
        <v>0</v>
      </c>
      <c r="NL101" s="282">
        <f t="shared" si="898"/>
        <v>0</v>
      </c>
      <c r="NM101" s="1205">
        <f t="shared" si="899"/>
        <v>0</v>
      </c>
      <c r="NN101" s="282">
        <f t="shared" si="900"/>
        <v>0</v>
      </c>
      <c r="NO101" s="282">
        <f t="shared" si="901"/>
        <v>0</v>
      </c>
      <c r="NP101" s="282">
        <f t="shared" si="902"/>
        <v>0</v>
      </c>
      <c r="NQ101" s="282">
        <f t="shared" si="903"/>
        <v>0</v>
      </c>
      <c r="NR101" s="282">
        <f t="shared" si="904"/>
        <v>0</v>
      </c>
      <c r="NS101" s="282">
        <f t="shared" si="905"/>
        <v>0</v>
      </c>
      <c r="NT101" s="282">
        <f t="shared" si="906"/>
        <v>0</v>
      </c>
      <c r="NU101" s="282">
        <f t="shared" si="907"/>
        <v>0</v>
      </c>
      <c r="NV101" s="286">
        <f t="shared" si="908"/>
        <v>0</v>
      </c>
      <c r="NW101" s="286">
        <f t="shared" si="909"/>
        <v>0</v>
      </c>
      <c r="NX101" s="286">
        <f t="shared" si="910"/>
        <v>0</v>
      </c>
      <c r="NY101" s="286">
        <f t="shared" si="911"/>
        <v>0</v>
      </c>
      <c r="NZ101" s="286">
        <f t="shared" si="912"/>
        <v>0</v>
      </c>
      <c r="OA101" s="286">
        <f t="shared" si="913"/>
        <v>0</v>
      </c>
      <c r="OB101" s="286">
        <f t="shared" si="914"/>
        <v>0</v>
      </c>
      <c r="OC101" s="286">
        <f t="shared" si="915"/>
        <v>0</v>
      </c>
      <c r="OD101" s="286">
        <f t="shared" si="916"/>
        <v>0</v>
      </c>
      <c r="OE101" s="282">
        <f t="shared" si="917"/>
        <v>0</v>
      </c>
      <c r="OF101" s="282">
        <f t="shared" si="918"/>
        <v>0</v>
      </c>
      <c r="OG101" s="286">
        <f t="shared" si="919"/>
        <v>0</v>
      </c>
      <c r="OH101" s="286">
        <f t="shared" si="920"/>
        <v>0</v>
      </c>
      <c r="OI101" s="286">
        <f t="shared" si="921"/>
        <v>0</v>
      </c>
      <c r="OJ101" s="286">
        <f t="shared" si="922"/>
        <v>0</v>
      </c>
      <c r="OK101" s="286">
        <f t="shared" si="923"/>
        <v>0</v>
      </c>
      <c r="OL101" s="286">
        <f t="shared" si="924"/>
        <v>0</v>
      </c>
      <c r="OM101" s="286">
        <f t="shared" si="925"/>
        <v>0</v>
      </c>
      <c r="ON101" s="286">
        <f t="shared" si="926"/>
        <v>0</v>
      </c>
      <c r="OO101" s="286">
        <f t="shared" si="927"/>
        <v>0</v>
      </c>
      <c r="OP101" s="434">
        <f t="shared" si="928"/>
        <v>0</v>
      </c>
      <c r="OQ101" s="434">
        <f t="shared" si="929"/>
        <v>0</v>
      </c>
      <c r="OR101" s="282">
        <f t="shared" si="930"/>
        <v>0</v>
      </c>
      <c r="OS101" s="282">
        <f t="shared" si="931"/>
        <v>0</v>
      </c>
      <c r="OT101" s="282">
        <f t="shared" si="932"/>
        <v>0</v>
      </c>
      <c r="OU101" s="282">
        <f t="shared" si="933"/>
        <v>0</v>
      </c>
      <c r="OV101" s="282">
        <f t="shared" si="934"/>
        <v>0</v>
      </c>
      <c r="OW101" s="286">
        <f t="shared" si="935"/>
        <v>0</v>
      </c>
      <c r="OX101" s="286">
        <f t="shared" si="936"/>
        <v>0</v>
      </c>
      <c r="OY101" s="286">
        <f t="shared" si="937"/>
        <v>0</v>
      </c>
      <c r="OZ101" s="286">
        <f t="shared" si="938"/>
        <v>0</v>
      </c>
      <c r="PA101" s="286">
        <f t="shared" si="939"/>
        <v>0</v>
      </c>
      <c r="PB101" s="286">
        <f t="shared" si="940"/>
        <v>0</v>
      </c>
      <c r="PC101" s="286">
        <f t="shared" si="941"/>
        <v>0</v>
      </c>
      <c r="PD101" s="282">
        <f t="shared" si="942"/>
        <v>0</v>
      </c>
      <c r="PE101" s="282">
        <f t="shared" si="943"/>
        <v>0</v>
      </c>
      <c r="PF101" s="286">
        <f t="shared" si="944"/>
        <v>0</v>
      </c>
      <c r="PG101" s="286">
        <f t="shared" si="945"/>
        <v>0</v>
      </c>
      <c r="PH101" s="286">
        <f t="shared" si="946"/>
        <v>0</v>
      </c>
      <c r="PI101" s="286">
        <f t="shared" si="947"/>
        <v>0</v>
      </c>
      <c r="PJ101" s="286">
        <f t="shared" si="948"/>
        <v>0</v>
      </c>
      <c r="PK101" s="286">
        <f t="shared" si="949"/>
        <v>0</v>
      </c>
      <c r="PL101" s="286">
        <f t="shared" si="950"/>
        <v>0</v>
      </c>
      <c r="PM101" s="562">
        <v>45</v>
      </c>
    </row>
    <row r="102" spans="1:431" s="289" customFormat="1" ht="15.75" customHeight="1">
      <c r="A102" s="1935" t="s">
        <v>1138</v>
      </c>
      <c r="B102" s="1040" t="str">
        <f>VLOOKUP(A102,'Area (&amp;golfacre for lookup)'!$A$2:$B$162,2,FALSE)</f>
        <v>North&amp;Central</v>
      </c>
      <c r="C102" s="1936"/>
      <c r="D102" s="1937">
        <v>44834</v>
      </c>
      <c r="E102" s="402"/>
      <c r="F102" s="1936">
        <v>1</v>
      </c>
      <c r="G102" s="1936">
        <v>0</v>
      </c>
      <c r="H102" s="1936">
        <v>664</v>
      </c>
      <c r="I102" s="1936">
        <v>54</v>
      </c>
      <c r="J102" s="1936">
        <v>718</v>
      </c>
      <c r="K102" s="1938">
        <v>711.94930261714467</v>
      </c>
      <c r="L102" s="1939" t="s">
        <v>1208</v>
      </c>
      <c r="M102" s="1939" t="s">
        <v>1208</v>
      </c>
      <c r="N102" s="1939" t="s">
        <v>1208</v>
      </c>
      <c r="O102" s="1939" t="s">
        <v>1208</v>
      </c>
      <c r="P102" s="1939" t="s">
        <v>1208</v>
      </c>
      <c r="Q102" s="1936">
        <v>25000</v>
      </c>
      <c r="R102" s="1936">
        <v>75000</v>
      </c>
      <c r="S102" s="1936">
        <v>100000</v>
      </c>
      <c r="T102" s="1939" t="s">
        <v>1208</v>
      </c>
      <c r="U102" s="1939" t="s">
        <v>1208</v>
      </c>
      <c r="V102" s="1939" t="s">
        <v>1208</v>
      </c>
      <c r="W102" s="1936">
        <v>14811</v>
      </c>
      <c r="X102" s="1936">
        <v>12762</v>
      </c>
      <c r="Y102" s="1939" t="s">
        <v>1208</v>
      </c>
      <c r="Z102" s="1939" t="s">
        <v>1208</v>
      </c>
      <c r="AA102" s="1936">
        <v>2049</v>
      </c>
      <c r="AB102" s="1362">
        <v>0.16055477197931359</v>
      </c>
      <c r="AC102" s="1939" t="s">
        <v>1208</v>
      </c>
      <c r="AD102" s="1363" t="s">
        <v>1208</v>
      </c>
      <c r="AE102" s="1936">
        <v>1</v>
      </c>
      <c r="AF102" s="1936">
        <v>1700</v>
      </c>
      <c r="AG102" s="1939" t="s">
        <v>1208</v>
      </c>
      <c r="AH102" s="1936">
        <v>0</v>
      </c>
      <c r="AI102" s="1936">
        <v>0</v>
      </c>
      <c r="AJ102" s="1939" t="s">
        <v>1208</v>
      </c>
      <c r="AK102" s="1938">
        <v>0</v>
      </c>
      <c r="AL102" s="1938">
        <v>0</v>
      </c>
      <c r="AM102" s="1936">
        <v>14462</v>
      </c>
      <c r="AN102" s="1939" t="s">
        <v>1208</v>
      </c>
      <c r="AO102" s="1936">
        <v>0</v>
      </c>
      <c r="AP102" s="1936">
        <v>0.2</v>
      </c>
      <c r="AQ102" s="1936">
        <v>14462.2</v>
      </c>
      <c r="AR102" s="1939" t="s">
        <v>1208</v>
      </c>
      <c r="AS102" s="1363" t="s">
        <v>1208</v>
      </c>
      <c r="AT102" s="1363" t="s">
        <v>1208</v>
      </c>
      <c r="AU102" s="1363" t="s">
        <v>1208</v>
      </c>
      <c r="AV102" s="1363" t="s">
        <v>1208</v>
      </c>
      <c r="AW102" s="1363" t="s">
        <v>1291</v>
      </c>
      <c r="AX102" s="1938">
        <v>1</v>
      </c>
      <c r="AY102" s="1938">
        <v>0</v>
      </c>
      <c r="AZ102" s="1938">
        <v>0</v>
      </c>
      <c r="BA102" s="1938">
        <v>0</v>
      </c>
      <c r="BB102" s="1938">
        <v>0</v>
      </c>
      <c r="BC102" s="1938">
        <v>1</v>
      </c>
      <c r="BD102" s="1938">
        <v>0</v>
      </c>
      <c r="BE102" s="1936">
        <v>0</v>
      </c>
      <c r="BF102" s="1936">
        <v>0</v>
      </c>
      <c r="BG102" s="1936">
        <v>2907054</v>
      </c>
      <c r="BH102" s="1936">
        <v>2907054</v>
      </c>
      <c r="BI102" s="1938">
        <v>36080936</v>
      </c>
      <c r="BJ102" s="1936">
        <v>1598032</v>
      </c>
      <c r="BK102" s="1936">
        <v>2301824</v>
      </c>
      <c r="BL102" s="1362">
        <v>0.69424595451259519</v>
      </c>
      <c r="BM102" s="1936">
        <v>1</v>
      </c>
      <c r="BN102" s="1936">
        <v>1293109</v>
      </c>
      <c r="BO102" s="1363" t="s">
        <v>1208</v>
      </c>
      <c r="BP102" s="1938">
        <v>12725577</v>
      </c>
      <c r="BQ102" s="1938">
        <v>12591457</v>
      </c>
      <c r="BR102" s="1940">
        <v>1.0106516664433671</v>
      </c>
      <c r="BS102" s="1409">
        <v>1</v>
      </c>
      <c r="BT102" s="1938">
        <v>13851809</v>
      </c>
      <c r="BU102" s="1938">
        <v>36227758</v>
      </c>
      <c r="BV102" s="1940">
        <v>0.38235347050733859</v>
      </c>
      <c r="BW102" s="1936">
        <v>1816.2936535600172</v>
      </c>
      <c r="BX102" s="1936">
        <v>2244.5867902750824</v>
      </c>
      <c r="BY102" s="1936">
        <v>4083.2317544431771</v>
      </c>
      <c r="BZ102" s="1936">
        <v>1759892</v>
      </c>
      <c r="CA102" s="1936">
        <v>274132</v>
      </c>
      <c r="CB102" s="1936">
        <v>810440</v>
      </c>
      <c r="CC102" s="1936">
        <v>1463562</v>
      </c>
      <c r="CD102" s="1936">
        <v>9085897</v>
      </c>
      <c r="CE102" s="1936">
        <v>0</v>
      </c>
      <c r="CF102" s="1936">
        <v>0</v>
      </c>
      <c r="CG102" s="1936">
        <v>2237084</v>
      </c>
      <c r="CH102" s="1936">
        <v>1143416</v>
      </c>
      <c r="CI102" s="1936">
        <v>175485</v>
      </c>
      <c r="CJ102" s="1936">
        <v>16949908</v>
      </c>
      <c r="CK102" s="1366">
        <v>0.10382900013380604</v>
      </c>
      <c r="CL102" s="1366">
        <v>1.61730671340517E-2</v>
      </c>
      <c r="CM102" s="1366">
        <v>4.7813828842020852E-2</v>
      </c>
      <c r="CN102" s="1366">
        <v>8.634630937229866E-2</v>
      </c>
      <c r="CO102" s="1366">
        <v>0.53604403044547499</v>
      </c>
      <c r="CP102" s="1366">
        <v>0</v>
      </c>
      <c r="CQ102" s="1366">
        <v>0</v>
      </c>
      <c r="CR102" s="1366">
        <v>0.13198207329502909</v>
      </c>
      <c r="CS102" s="1366">
        <v>6.7458537238078223E-2</v>
      </c>
      <c r="CT102" s="1366">
        <v>1.035315353924045E-2</v>
      </c>
      <c r="CU102" s="1366">
        <v>1</v>
      </c>
      <c r="CV102" s="1936">
        <v>8287053</v>
      </c>
      <c r="CW102" s="1936">
        <v>1818359</v>
      </c>
      <c r="CX102" s="1936">
        <v>584021</v>
      </c>
      <c r="CY102" s="1936">
        <v>6349540</v>
      </c>
      <c r="CZ102" s="1936">
        <v>231600</v>
      </c>
      <c r="DA102" s="1936">
        <v>379955</v>
      </c>
      <c r="DB102" s="1936">
        <v>17650528</v>
      </c>
      <c r="DC102" s="1366">
        <v>0.46950737111093788</v>
      </c>
      <c r="DD102" s="1366">
        <v>0.10302009095705239</v>
      </c>
      <c r="DE102" s="1366">
        <v>3.3088018670036384E-2</v>
      </c>
      <c r="DF102" s="1366">
        <v>0.35973654725796306</v>
      </c>
      <c r="DG102" s="1366">
        <v>1.3121420503681249E-2</v>
      </c>
      <c r="DH102" s="1366">
        <v>2.1526551500329054E-2</v>
      </c>
      <c r="DI102" s="1366">
        <v>1</v>
      </c>
      <c r="DJ102" s="1936">
        <v>-700620</v>
      </c>
      <c r="DK102" s="1936">
        <v>2471.9344390542838</v>
      </c>
      <c r="DL102" s="1936">
        <v>385.04427069776381</v>
      </c>
      <c r="DM102" s="1936">
        <v>1138.3394815063389</v>
      </c>
      <c r="DN102" s="1936">
        <v>2055.7109819756924</v>
      </c>
      <c r="DO102" s="1936">
        <v>12762</v>
      </c>
      <c r="DP102" s="1936">
        <v>0</v>
      </c>
      <c r="DQ102" s="1936">
        <v>0</v>
      </c>
      <c r="DR102" s="1936">
        <v>3142.1956476063947</v>
      </c>
      <c r="DS102" s="1936">
        <v>1606.0357047851192</v>
      </c>
      <c r="DT102" s="1936">
        <v>246.48524741145536</v>
      </c>
      <c r="DU102" s="1936">
        <v>23807.745773037048</v>
      </c>
      <c r="DV102" s="1936">
        <v>11639.948195098403</v>
      </c>
      <c r="DW102" s="1936">
        <v>2554.0568595483746</v>
      </c>
      <c r="DX102" s="1936">
        <v>820.31262317853702</v>
      </c>
      <c r="DY102" s="1936">
        <v>8918.5282950048841</v>
      </c>
      <c r="DZ102" s="1936">
        <v>325.30406188844097</v>
      </c>
      <c r="EA102" s="1936">
        <v>533.6826633627918</v>
      </c>
      <c r="EB102" s="1936">
        <v>24791.832698081431</v>
      </c>
      <c r="EC102" s="1936">
        <v>-984.08692504438466</v>
      </c>
      <c r="ED102" s="1941">
        <v>158</v>
      </c>
      <c r="EE102" s="1936">
        <v>1</v>
      </c>
      <c r="EF102" s="1936">
        <v>43</v>
      </c>
      <c r="EG102" s="1938">
        <v>276872</v>
      </c>
      <c r="EH102" s="1938">
        <v>1</v>
      </c>
      <c r="EI102" s="1368">
        <v>0.22</v>
      </c>
      <c r="EJ102" s="1936">
        <v>4.5060082444123077</v>
      </c>
      <c r="EK102" s="1936">
        <v>0</v>
      </c>
      <c r="EL102" s="1936">
        <v>0</v>
      </c>
      <c r="EM102" s="1936">
        <v>0</v>
      </c>
      <c r="EN102" s="1362">
        <v>0</v>
      </c>
      <c r="EO102" s="1936">
        <v>1</v>
      </c>
      <c r="EP102" s="1936">
        <v>1.6666666666666666E-2</v>
      </c>
      <c r="EQ102" s="1936">
        <v>0</v>
      </c>
      <c r="ER102" s="1938">
        <v>0</v>
      </c>
      <c r="ES102" s="1936">
        <v>4748.2313523915136</v>
      </c>
      <c r="ET102" s="1936">
        <v>-1962.14533094531</v>
      </c>
      <c r="EU102" s="1938">
        <v>2</v>
      </c>
      <c r="EV102" s="1936">
        <v>79533</v>
      </c>
      <c r="EW102" s="1936">
        <v>11557</v>
      </c>
      <c r="EX102" s="1938">
        <v>0</v>
      </c>
      <c r="EY102" s="1936">
        <v>2237084</v>
      </c>
      <c r="EZ102" s="1936">
        <v>1290393</v>
      </c>
      <c r="FA102" s="1936">
        <v>946691</v>
      </c>
      <c r="FB102" s="1936">
        <v>1143416</v>
      </c>
      <c r="FC102" s="1936">
        <v>527966</v>
      </c>
      <c r="FD102" s="1936">
        <v>615450</v>
      </c>
      <c r="FE102" s="1936">
        <v>3380500</v>
      </c>
      <c r="FF102" s="1936">
        <v>1818359</v>
      </c>
      <c r="FG102" s="1936">
        <v>1562141</v>
      </c>
      <c r="FH102" s="1366">
        <v>1</v>
      </c>
      <c r="FI102" s="1366">
        <v>0.57681919856384467</v>
      </c>
      <c r="FJ102" s="1366">
        <v>0.42318080143615527</v>
      </c>
      <c r="FK102" s="1366">
        <v>1</v>
      </c>
      <c r="FL102" s="1366">
        <v>0.46174445696054628</v>
      </c>
      <c r="FM102" s="1366">
        <v>0.53825554303945367</v>
      </c>
      <c r="FN102" s="1366">
        <v>1</v>
      </c>
      <c r="FO102" s="1366">
        <v>0.53789646501996746</v>
      </c>
      <c r="FP102" s="1366">
        <v>0.46210353498003254</v>
      </c>
      <c r="FQ102" s="1936">
        <v>2540724</v>
      </c>
      <c r="FR102" s="1936">
        <v>-676100</v>
      </c>
      <c r="FS102" s="1936">
        <v>380373</v>
      </c>
      <c r="FT102" s="1936">
        <v>67347</v>
      </c>
      <c r="FU102" s="1936">
        <v>0</v>
      </c>
      <c r="FV102" s="1936">
        <v>20642</v>
      </c>
      <c r="FW102" s="1936">
        <v>626103</v>
      </c>
      <c r="FX102" s="1936">
        <v>2959089</v>
      </c>
      <c r="FY102" s="1936">
        <v>-1396948</v>
      </c>
      <c r="FZ102" s="1366">
        <v>0.75158231030912592</v>
      </c>
      <c r="GA102" s="1366">
        <v>-0.2</v>
      </c>
      <c r="GB102" s="1366">
        <v>0.11251974559976335</v>
      </c>
      <c r="GC102" s="1366">
        <v>1.9922200857861262E-2</v>
      </c>
      <c r="GD102" s="1366">
        <v>0</v>
      </c>
      <c r="GE102" s="1366">
        <v>6.1061973080905191E-3</v>
      </c>
      <c r="GF102" s="1366">
        <v>0.18521017600946604</v>
      </c>
      <c r="GG102" s="1366">
        <v>0.87534063008430707</v>
      </c>
      <c r="GH102" s="1366">
        <v>-0.41323709510427453</v>
      </c>
      <c r="GI102" s="1942">
        <v>1.9564917755217699</v>
      </c>
      <c r="GJ102" s="1943">
        <v>1</v>
      </c>
      <c r="GK102" s="1371">
        <v>0.09</v>
      </c>
      <c r="GL102" s="1943">
        <v>1</v>
      </c>
      <c r="GM102" s="1371">
        <v>0.09</v>
      </c>
      <c r="GN102" s="1943">
        <v>0</v>
      </c>
      <c r="GO102" s="1985">
        <f>IF(GN102=0,0,VLOOKUP(A102,'Area (&amp;golfacre for lookup)'!$G$2:$H$133,2,FALSE))</f>
        <v>0</v>
      </c>
      <c r="GP102" s="1943">
        <v>0</v>
      </c>
      <c r="GQ102" s="1943">
        <v>0</v>
      </c>
      <c r="GR102" s="1943">
        <v>0</v>
      </c>
      <c r="GS102" s="1943">
        <v>0</v>
      </c>
      <c r="GT102" s="1943">
        <v>0</v>
      </c>
      <c r="GU102" s="1943">
        <v>0</v>
      </c>
      <c r="GV102" s="1943">
        <v>0</v>
      </c>
      <c r="GW102" s="1943">
        <v>0</v>
      </c>
      <c r="GX102" s="1936">
        <v>0</v>
      </c>
      <c r="GY102" s="1985">
        <f t="shared" si="764"/>
        <v>0</v>
      </c>
      <c r="GZ102" s="1936">
        <v>0</v>
      </c>
      <c r="HA102" s="1936">
        <v>0</v>
      </c>
      <c r="HB102" s="1936">
        <v>0</v>
      </c>
      <c r="HC102" s="1936">
        <v>0</v>
      </c>
      <c r="HD102" s="1936">
        <v>0</v>
      </c>
      <c r="HE102" s="1936">
        <v>0</v>
      </c>
      <c r="HF102" s="1936">
        <v>0</v>
      </c>
      <c r="HG102" s="1936">
        <v>36</v>
      </c>
      <c r="HH102" s="1988">
        <f>IF(HG102=0,0,VLOOKUP(A102,'Area (&amp;golfacre for lookup)'!$G$2:$H$134,2,FALSE))</f>
        <v>201</v>
      </c>
      <c r="HI102" s="1936">
        <v>58609</v>
      </c>
      <c r="HJ102" s="1936">
        <v>1551841</v>
      </c>
      <c r="HK102" s="1936">
        <v>378571</v>
      </c>
      <c r="HL102" s="1936">
        <v>1100815</v>
      </c>
      <c r="HM102" s="1936">
        <v>181427</v>
      </c>
      <c r="HN102" s="1936">
        <v>2540</v>
      </c>
      <c r="HO102" s="1936">
        <v>128188</v>
      </c>
      <c r="HP102" s="1936">
        <v>3343382</v>
      </c>
      <c r="HQ102" s="1936">
        <v>92871.722222222219</v>
      </c>
      <c r="HR102" s="1988">
        <f t="shared" si="765"/>
        <v>16633.741293532337</v>
      </c>
      <c r="HS102" s="1366">
        <v>0.46415306417274482</v>
      </c>
      <c r="HT102" s="1366">
        <v>0.11322995697171308</v>
      </c>
      <c r="HU102" s="1366">
        <v>0.32925193711038703</v>
      </c>
      <c r="HV102" s="1366">
        <v>5.4264514195506229E-2</v>
      </c>
      <c r="HW102" s="1366">
        <v>7.5970977890052645E-4</v>
      </c>
      <c r="HX102" s="1366">
        <v>3.8340817770748305E-2</v>
      </c>
      <c r="HY102" s="1366">
        <v>1</v>
      </c>
      <c r="HZ102" s="51"/>
      <c r="IA102" s="59">
        <f t="shared" si="767"/>
        <v>0.25</v>
      </c>
      <c r="IB102" s="59"/>
      <c r="IC102" s="815">
        <f t="shared" si="768"/>
        <v>1</v>
      </c>
      <c r="ID102" s="815"/>
      <c r="IE102" s="284">
        <f t="shared" si="769"/>
        <v>0</v>
      </c>
      <c r="IF102" s="284"/>
      <c r="IG102" s="284">
        <f t="shared" si="770"/>
        <v>50679.080472957154</v>
      </c>
      <c r="IH102" s="284"/>
      <c r="II102" s="1288">
        <f t="shared" si="771"/>
        <v>1.0106516664433671</v>
      </c>
      <c r="IJ102" s="1288">
        <f t="shared" si="772"/>
        <v>0</v>
      </c>
      <c r="IK102" s="284">
        <f t="shared" si="773"/>
        <v>0</v>
      </c>
      <c r="IL102" s="284">
        <f t="shared" si="774"/>
        <v>0</v>
      </c>
      <c r="IM102" s="284">
        <f t="shared" si="775"/>
        <v>0</v>
      </c>
      <c r="IN102" s="284">
        <f t="shared" si="776"/>
        <v>0</v>
      </c>
      <c r="IO102" s="753">
        <f t="shared" si="777"/>
        <v>-1945.6100278551532</v>
      </c>
      <c r="IP102" s="113">
        <f t="shared" si="778"/>
        <v>-1962.14533094531</v>
      </c>
      <c r="IQ102" s="30">
        <f t="shared" si="779"/>
        <v>-0.15374904646178578</v>
      </c>
      <c r="IR102" s="438">
        <f t="shared" si="780"/>
        <v>2237084</v>
      </c>
      <c r="IS102" s="438">
        <f t="shared" si="781"/>
        <v>1143416</v>
      </c>
      <c r="IT102" s="438">
        <f t="shared" si="782"/>
        <v>2540724</v>
      </c>
      <c r="IU102" s="438">
        <f t="shared" si="783"/>
        <v>447720</v>
      </c>
      <c r="IV102" s="438">
        <f t="shared" si="784"/>
        <v>1818359</v>
      </c>
      <c r="IW102" s="438">
        <f t="shared" si="785"/>
        <v>-29355</v>
      </c>
      <c r="IX102" s="285">
        <f t="shared" si="786"/>
        <v>0.66176127791746786</v>
      </c>
      <c r="IY102" s="285">
        <f t="shared" si="787"/>
        <v>0.33823872208253219</v>
      </c>
      <c r="IZ102" s="285">
        <f t="shared" si="788"/>
        <v>0.75158231030912592</v>
      </c>
      <c r="JA102" s="285">
        <f t="shared" si="789"/>
        <v>0.13244194645762461</v>
      </c>
      <c r="JB102" s="285">
        <f t="shared" si="790"/>
        <v>0.53789646501996746</v>
      </c>
      <c r="JC102" s="285">
        <f t="shared" si="791"/>
        <v>-8.6836266824434263E-3</v>
      </c>
      <c r="JD102" s="60">
        <f t="shared" si="792"/>
        <v>9085897</v>
      </c>
      <c r="JE102" s="60">
        <f t="shared" si="793"/>
        <v>4308026</v>
      </c>
      <c r="JF102" s="60">
        <f t="shared" si="794"/>
        <v>0</v>
      </c>
      <c r="JG102" s="60">
        <f t="shared" si="795"/>
        <v>611555</v>
      </c>
      <c r="JH102" s="284">
        <f t="shared" si="796"/>
        <v>0</v>
      </c>
      <c r="JI102" s="284">
        <f t="shared" si="797"/>
        <v>1</v>
      </c>
      <c r="JJ102" s="560">
        <f t="shared" si="798"/>
        <v>0.72062213118799667</v>
      </c>
      <c r="JK102" s="561">
        <f t="shared" si="799"/>
        <v>0.48891433511025545</v>
      </c>
      <c r="JL102" s="561">
        <f t="shared" si="800"/>
        <v>0.10727839938718252</v>
      </c>
      <c r="JM102" s="561">
        <f t="shared" si="801"/>
        <v>3.4455703240395166E-2</v>
      </c>
      <c r="JN102" s="561">
        <f t="shared" si="802"/>
        <v>0.37460616305410033</v>
      </c>
      <c r="JO102" s="561">
        <f t="shared" si="803"/>
        <v>1.366379097750855E-2</v>
      </c>
      <c r="JP102" s="561">
        <f t="shared" si="804"/>
        <v>2.2416345858632388E-2</v>
      </c>
      <c r="JQ102" s="561">
        <f t="shared" si="805"/>
        <v>1.0413347376280744</v>
      </c>
      <c r="JR102" s="61">
        <f t="shared" si="806"/>
        <v>0</v>
      </c>
      <c r="JS102" s="61">
        <f t="shared" si="807"/>
        <v>0</v>
      </c>
      <c r="JT102" s="61">
        <f t="shared" si="808"/>
        <v>0</v>
      </c>
      <c r="JU102" s="61">
        <f t="shared" si="809"/>
        <v>0</v>
      </c>
      <c r="JV102" s="61">
        <f t="shared" si="810"/>
        <v>0</v>
      </c>
      <c r="JW102" s="61">
        <f t="shared" si="811"/>
        <v>0</v>
      </c>
      <c r="JX102" s="61">
        <f t="shared" si="812"/>
        <v>0</v>
      </c>
      <c r="JY102" s="394">
        <f t="shared" si="813"/>
        <v>0</v>
      </c>
      <c r="JZ102" s="61">
        <f t="shared" si="814"/>
        <v>43106.694444444445</v>
      </c>
      <c r="KA102" s="61">
        <f t="shared" si="815"/>
        <v>10515.861111111111</v>
      </c>
      <c r="KB102" s="61">
        <f t="shared" si="816"/>
        <v>30578.194444444445</v>
      </c>
      <c r="KC102" s="61">
        <f t="shared" si="817"/>
        <v>5039.6388888888887</v>
      </c>
      <c r="KD102" s="61">
        <f t="shared" si="818"/>
        <v>70.555555555555557</v>
      </c>
      <c r="KE102" s="61">
        <f t="shared" si="819"/>
        <v>3560.7777777777778</v>
      </c>
      <c r="KF102" s="61">
        <f t="shared" si="820"/>
        <v>29300</v>
      </c>
      <c r="KG102" s="61">
        <f t="shared" si="821"/>
        <v>201</v>
      </c>
      <c r="KH102" s="61">
        <f t="shared" si="822"/>
        <v>57.045539081028508</v>
      </c>
      <c r="KI102" s="394">
        <f t="shared" si="823"/>
        <v>0.18942107567546987</v>
      </c>
      <c r="KJ102" s="438">
        <f t="shared" si="824"/>
        <v>36</v>
      </c>
      <c r="KK102" s="438">
        <f t="shared" si="825"/>
        <v>58609</v>
      </c>
      <c r="KL102" s="438">
        <f t="shared" si="826"/>
        <v>201</v>
      </c>
      <c r="KM102" s="438">
        <f t="shared" si="827"/>
        <v>92871.722222222219</v>
      </c>
      <c r="KN102" s="438">
        <f t="shared" si="828"/>
        <v>57.045539081028508</v>
      </c>
      <c r="KO102" s="438">
        <f t="shared" si="829"/>
        <v>16633.741293532337</v>
      </c>
      <c r="KP102" s="438">
        <f t="shared" si="830"/>
        <v>1551841</v>
      </c>
      <c r="KQ102" s="438">
        <f t="shared" si="831"/>
        <v>378571</v>
      </c>
      <c r="KR102" s="438">
        <f t="shared" si="832"/>
        <v>1100815</v>
      </c>
      <c r="KS102" s="438">
        <f t="shared" si="833"/>
        <v>181427</v>
      </c>
      <c r="KT102" s="438">
        <f t="shared" si="834"/>
        <v>2540</v>
      </c>
      <c r="KU102" s="438">
        <f t="shared" si="835"/>
        <v>128188</v>
      </c>
      <c r="KV102" s="420">
        <f t="shared" si="836"/>
        <v>0.18942107567546987</v>
      </c>
      <c r="KW102" s="420">
        <f t="shared" si="837"/>
        <v>-0.35386643718281202</v>
      </c>
      <c r="KX102" s="108"/>
      <c r="KY102" s="282">
        <f t="shared" si="838"/>
        <v>0</v>
      </c>
      <c r="KZ102" s="282"/>
      <c r="LA102" s="282">
        <f t="shared" si="839"/>
        <v>0</v>
      </c>
      <c r="LB102" s="282"/>
      <c r="LC102" s="286">
        <f t="shared" si="840"/>
        <v>0</v>
      </c>
      <c r="LD102" s="286"/>
      <c r="LE102" s="282">
        <f t="shared" si="841"/>
        <v>0</v>
      </c>
      <c r="LF102" s="282"/>
      <c r="LG102" s="282">
        <f t="shared" si="842"/>
        <v>0</v>
      </c>
      <c r="LH102" s="282">
        <f t="shared" si="843"/>
        <v>0</v>
      </c>
      <c r="LI102" s="282">
        <f t="shared" si="844"/>
        <v>0</v>
      </c>
      <c r="LJ102" s="282">
        <f t="shared" si="845"/>
        <v>0</v>
      </c>
      <c r="LK102" s="282"/>
      <c r="LL102" s="282">
        <f t="shared" si="846"/>
        <v>0</v>
      </c>
      <c r="LM102" s="282">
        <f t="shared" si="847"/>
        <v>0</v>
      </c>
      <c r="LN102" s="282">
        <f t="shared" si="848"/>
        <v>0</v>
      </c>
      <c r="LO102" s="282">
        <f t="shared" si="849"/>
        <v>0</v>
      </c>
      <c r="LP102" s="286">
        <f t="shared" si="850"/>
        <v>0</v>
      </c>
      <c r="LQ102" s="282">
        <f t="shared" si="851"/>
        <v>0</v>
      </c>
      <c r="LR102" s="282">
        <f t="shared" si="852"/>
        <v>0</v>
      </c>
      <c r="LS102" s="282">
        <f t="shared" si="853"/>
        <v>0</v>
      </c>
      <c r="LT102" s="286">
        <f t="shared" si="854"/>
        <v>0</v>
      </c>
      <c r="LU102" s="286">
        <f t="shared" si="855"/>
        <v>0</v>
      </c>
      <c r="LV102" s="286">
        <f t="shared" si="856"/>
        <v>0</v>
      </c>
      <c r="LW102" s="286">
        <f t="shared" si="857"/>
        <v>0</v>
      </c>
      <c r="LX102" s="286">
        <f t="shared" si="858"/>
        <v>0</v>
      </c>
      <c r="LY102" s="286">
        <f t="shared" si="859"/>
        <v>0</v>
      </c>
      <c r="LZ102" s="286">
        <f t="shared" si="860"/>
        <v>0</v>
      </c>
      <c r="MA102" s="286">
        <f t="shared" si="861"/>
        <v>0</v>
      </c>
      <c r="MB102" s="286">
        <f t="shared" si="862"/>
        <v>0</v>
      </c>
      <c r="MC102" s="286">
        <f t="shared" si="863"/>
        <v>0</v>
      </c>
      <c r="MD102" s="286">
        <f t="shared" si="864"/>
        <v>0</v>
      </c>
      <c r="ME102" s="286">
        <f t="shared" si="865"/>
        <v>0</v>
      </c>
      <c r="MF102" s="286">
        <f t="shared" si="866"/>
        <v>0</v>
      </c>
      <c r="MG102" s="286">
        <f t="shared" si="867"/>
        <v>0</v>
      </c>
      <c r="MH102" s="286">
        <f t="shared" si="868"/>
        <v>0</v>
      </c>
      <c r="MI102" s="286">
        <f t="shared" si="869"/>
        <v>0</v>
      </c>
      <c r="MJ102" s="286">
        <f t="shared" si="870"/>
        <v>0</v>
      </c>
      <c r="MK102" s="286">
        <f t="shared" si="871"/>
        <v>0</v>
      </c>
      <c r="ML102" s="282">
        <f t="shared" si="872"/>
        <v>0</v>
      </c>
      <c r="MM102" s="1232">
        <f t="shared" si="873"/>
        <v>0</v>
      </c>
      <c r="MN102" s="1232">
        <f t="shared" si="874"/>
        <v>0</v>
      </c>
      <c r="MO102" s="1232">
        <f t="shared" si="875"/>
        <v>0</v>
      </c>
      <c r="MP102" s="1232">
        <f t="shared" si="876"/>
        <v>0</v>
      </c>
      <c r="MQ102" s="282">
        <f t="shared" si="877"/>
        <v>0</v>
      </c>
      <c r="MR102" s="282">
        <f t="shared" si="878"/>
        <v>0</v>
      </c>
      <c r="MS102" s="282">
        <f t="shared" si="879"/>
        <v>0</v>
      </c>
      <c r="MT102" s="282">
        <f t="shared" si="880"/>
        <v>0</v>
      </c>
      <c r="MU102" s="282">
        <f t="shared" si="881"/>
        <v>0</v>
      </c>
      <c r="MV102" s="282">
        <f t="shared" si="882"/>
        <v>0</v>
      </c>
      <c r="MW102" s="282">
        <f t="shared" si="883"/>
        <v>0</v>
      </c>
      <c r="MX102" s="282">
        <f t="shared" si="884"/>
        <v>0</v>
      </c>
      <c r="MY102" s="282">
        <f t="shared" si="885"/>
        <v>0</v>
      </c>
      <c r="MZ102" s="282">
        <f t="shared" si="886"/>
        <v>0</v>
      </c>
      <c r="NA102" s="282">
        <f t="shared" si="887"/>
        <v>0</v>
      </c>
      <c r="NB102" s="282">
        <f t="shared" si="888"/>
        <v>0</v>
      </c>
      <c r="NC102" s="282">
        <f t="shared" si="889"/>
        <v>0</v>
      </c>
      <c r="ND102" s="282">
        <f t="shared" si="890"/>
        <v>0</v>
      </c>
      <c r="NE102" s="282">
        <f t="shared" si="891"/>
        <v>0</v>
      </c>
      <c r="NF102" s="282">
        <f t="shared" si="892"/>
        <v>0</v>
      </c>
      <c r="NG102" s="282">
        <f t="shared" si="893"/>
        <v>0</v>
      </c>
      <c r="NH102" s="282">
        <f t="shared" si="894"/>
        <v>0</v>
      </c>
      <c r="NI102" s="282">
        <f t="shared" si="895"/>
        <v>0</v>
      </c>
      <c r="NJ102" s="282">
        <f t="shared" si="896"/>
        <v>0</v>
      </c>
      <c r="NK102" s="282">
        <f t="shared" si="897"/>
        <v>0</v>
      </c>
      <c r="NL102" s="282">
        <f t="shared" si="898"/>
        <v>0</v>
      </c>
      <c r="NM102" s="1205">
        <f t="shared" si="899"/>
        <v>0</v>
      </c>
      <c r="NN102" s="282">
        <f t="shared" si="900"/>
        <v>0</v>
      </c>
      <c r="NO102" s="282">
        <f t="shared" si="901"/>
        <v>0</v>
      </c>
      <c r="NP102" s="282">
        <f t="shared" si="902"/>
        <v>0</v>
      </c>
      <c r="NQ102" s="282">
        <f t="shared" si="903"/>
        <v>0</v>
      </c>
      <c r="NR102" s="282">
        <f t="shared" si="904"/>
        <v>0</v>
      </c>
      <c r="NS102" s="282">
        <f t="shared" si="905"/>
        <v>0</v>
      </c>
      <c r="NT102" s="282">
        <f t="shared" si="906"/>
        <v>0</v>
      </c>
      <c r="NU102" s="282">
        <f t="shared" si="907"/>
        <v>0</v>
      </c>
      <c r="NV102" s="286">
        <f t="shared" si="908"/>
        <v>0</v>
      </c>
      <c r="NW102" s="286">
        <f t="shared" si="909"/>
        <v>0</v>
      </c>
      <c r="NX102" s="286">
        <f t="shared" si="910"/>
        <v>0</v>
      </c>
      <c r="NY102" s="286">
        <f t="shared" si="911"/>
        <v>0</v>
      </c>
      <c r="NZ102" s="286">
        <f t="shared" si="912"/>
        <v>0</v>
      </c>
      <c r="OA102" s="286">
        <f t="shared" si="913"/>
        <v>0</v>
      </c>
      <c r="OB102" s="286">
        <f t="shared" si="914"/>
        <v>0</v>
      </c>
      <c r="OC102" s="286">
        <f t="shared" si="915"/>
        <v>0</v>
      </c>
      <c r="OD102" s="286">
        <f t="shared" si="916"/>
        <v>0</v>
      </c>
      <c r="OE102" s="282">
        <f t="shared" si="917"/>
        <v>0</v>
      </c>
      <c r="OF102" s="282">
        <f t="shared" si="918"/>
        <v>0</v>
      </c>
      <c r="OG102" s="286">
        <f t="shared" si="919"/>
        <v>0</v>
      </c>
      <c r="OH102" s="286">
        <f t="shared" si="920"/>
        <v>0</v>
      </c>
      <c r="OI102" s="286">
        <f t="shared" si="921"/>
        <v>0</v>
      </c>
      <c r="OJ102" s="286">
        <f t="shared" si="922"/>
        <v>0</v>
      </c>
      <c r="OK102" s="286">
        <f t="shared" si="923"/>
        <v>0</v>
      </c>
      <c r="OL102" s="286">
        <f t="shared" si="924"/>
        <v>0</v>
      </c>
      <c r="OM102" s="286">
        <f t="shared" si="925"/>
        <v>0</v>
      </c>
      <c r="ON102" s="286">
        <f t="shared" si="926"/>
        <v>0</v>
      </c>
      <c r="OO102" s="286">
        <f t="shared" si="927"/>
        <v>0</v>
      </c>
      <c r="OP102" s="434">
        <f t="shared" si="928"/>
        <v>0</v>
      </c>
      <c r="OQ102" s="434">
        <f t="shared" si="929"/>
        <v>0</v>
      </c>
      <c r="OR102" s="282">
        <f t="shared" si="930"/>
        <v>0</v>
      </c>
      <c r="OS102" s="282">
        <f t="shared" si="931"/>
        <v>0</v>
      </c>
      <c r="OT102" s="282">
        <f t="shared" si="932"/>
        <v>0</v>
      </c>
      <c r="OU102" s="282">
        <f t="shared" si="933"/>
        <v>0</v>
      </c>
      <c r="OV102" s="282">
        <f t="shared" si="934"/>
        <v>0</v>
      </c>
      <c r="OW102" s="286">
        <f t="shared" si="935"/>
        <v>0</v>
      </c>
      <c r="OX102" s="286">
        <f t="shared" si="936"/>
        <v>0</v>
      </c>
      <c r="OY102" s="286">
        <f t="shared" si="937"/>
        <v>0</v>
      </c>
      <c r="OZ102" s="286">
        <f t="shared" si="938"/>
        <v>0</v>
      </c>
      <c r="PA102" s="286">
        <f t="shared" si="939"/>
        <v>0</v>
      </c>
      <c r="PB102" s="286">
        <f t="shared" si="940"/>
        <v>0</v>
      </c>
      <c r="PC102" s="286">
        <f t="shared" si="941"/>
        <v>0</v>
      </c>
      <c r="PD102" s="282">
        <f t="shared" si="942"/>
        <v>0</v>
      </c>
      <c r="PE102" s="282">
        <f t="shared" si="943"/>
        <v>0</v>
      </c>
      <c r="PF102" s="286">
        <f t="shared" si="944"/>
        <v>0</v>
      </c>
      <c r="PG102" s="286">
        <f t="shared" si="945"/>
        <v>0</v>
      </c>
      <c r="PH102" s="286">
        <f t="shared" si="946"/>
        <v>0</v>
      </c>
      <c r="PI102" s="286">
        <f t="shared" si="947"/>
        <v>0</v>
      </c>
      <c r="PJ102" s="286">
        <f t="shared" si="948"/>
        <v>0</v>
      </c>
      <c r="PK102" s="286">
        <f t="shared" si="949"/>
        <v>0</v>
      </c>
      <c r="PL102" s="286">
        <f t="shared" si="950"/>
        <v>0</v>
      </c>
      <c r="PM102" s="562">
        <v>46</v>
      </c>
    </row>
    <row r="103" spans="1:431" s="289" customFormat="1" ht="15.75" customHeight="1">
      <c r="A103" s="1935" t="s">
        <v>1148</v>
      </c>
      <c r="B103" s="1040" t="str">
        <f>VLOOKUP(A103,'Area (&amp;golfacre for lookup)'!$A$2:$B$162,2,FALSE)</f>
        <v>SW CIRA</v>
      </c>
      <c r="C103" s="1936"/>
      <c r="D103" s="1937">
        <v>44926</v>
      </c>
      <c r="E103" s="402"/>
      <c r="F103" s="1936">
        <v>0</v>
      </c>
      <c r="G103" s="1936">
        <v>1</v>
      </c>
      <c r="H103" s="1936">
        <v>1250</v>
      </c>
      <c r="I103" s="1936">
        <v>24</v>
      </c>
      <c r="J103" s="1936">
        <v>1274</v>
      </c>
      <c r="K103" s="1938">
        <v>1250</v>
      </c>
      <c r="L103" s="1939" t="s">
        <v>1208</v>
      </c>
      <c r="M103" s="1939" t="s">
        <v>1208</v>
      </c>
      <c r="N103" s="1939" t="s">
        <v>1208</v>
      </c>
      <c r="O103" s="1939" t="s">
        <v>1208</v>
      </c>
      <c r="P103" s="1939" t="s">
        <v>1208</v>
      </c>
      <c r="Q103" s="1936">
        <v>0</v>
      </c>
      <c r="R103" s="1936">
        <v>5000</v>
      </c>
      <c r="S103" s="1936">
        <v>5000</v>
      </c>
      <c r="T103" s="1939" t="s">
        <v>1208</v>
      </c>
      <c r="U103" s="1939" t="s">
        <v>1208</v>
      </c>
      <c r="V103" s="1939" t="s">
        <v>1208</v>
      </c>
      <c r="W103" s="1936">
        <v>6172</v>
      </c>
      <c r="X103" s="1936">
        <v>5404</v>
      </c>
      <c r="Y103" s="1939" t="s">
        <v>1208</v>
      </c>
      <c r="Z103" s="1939" t="s">
        <v>1208</v>
      </c>
      <c r="AA103" s="1936">
        <v>768</v>
      </c>
      <c r="AB103" s="1362">
        <v>0.14211695040710584</v>
      </c>
      <c r="AC103" s="1939" t="s">
        <v>1208</v>
      </c>
      <c r="AD103" s="1363" t="s">
        <v>1208</v>
      </c>
      <c r="AE103" s="1936">
        <v>1</v>
      </c>
      <c r="AF103" s="1936">
        <v>1048</v>
      </c>
      <c r="AG103" s="1939" t="s">
        <v>1208</v>
      </c>
      <c r="AH103" s="1936">
        <v>0</v>
      </c>
      <c r="AI103" s="1936">
        <v>0</v>
      </c>
      <c r="AJ103" s="1939" t="s">
        <v>1208</v>
      </c>
      <c r="AK103" s="1938">
        <v>1</v>
      </c>
      <c r="AL103" s="1938">
        <v>860</v>
      </c>
      <c r="AM103" s="1936">
        <v>7312</v>
      </c>
      <c r="AN103" s="1939" t="s">
        <v>1208</v>
      </c>
      <c r="AO103" s="1936">
        <v>750</v>
      </c>
      <c r="AP103" s="1936">
        <v>0</v>
      </c>
      <c r="AQ103" s="1936">
        <v>8062</v>
      </c>
      <c r="AR103" s="1939" t="s">
        <v>1208</v>
      </c>
      <c r="AS103" s="1363" t="s">
        <v>1208</v>
      </c>
      <c r="AT103" s="1363" t="s">
        <v>1208</v>
      </c>
      <c r="AU103" s="1363" t="s">
        <v>1208</v>
      </c>
      <c r="AV103" s="1363" t="s">
        <v>1208</v>
      </c>
      <c r="AW103" s="1363" t="s">
        <v>1291</v>
      </c>
      <c r="AX103" s="1938">
        <v>0</v>
      </c>
      <c r="AY103" s="1938">
        <v>0</v>
      </c>
      <c r="AZ103" s="1938">
        <v>0</v>
      </c>
      <c r="BA103" s="1938">
        <v>0</v>
      </c>
      <c r="BB103" s="1938">
        <v>0</v>
      </c>
      <c r="BC103" s="1938">
        <v>0</v>
      </c>
      <c r="BD103" s="1938">
        <v>0</v>
      </c>
      <c r="BE103" s="1936">
        <v>0</v>
      </c>
      <c r="BF103" s="1936">
        <v>0</v>
      </c>
      <c r="BG103" s="1936">
        <v>140000</v>
      </c>
      <c r="BH103" s="1936">
        <v>140000</v>
      </c>
      <c r="BI103" s="1938">
        <v>11631841</v>
      </c>
      <c r="BJ103" s="1936">
        <v>926205</v>
      </c>
      <c r="BK103" s="1936">
        <v>1630967</v>
      </c>
      <c r="BL103" s="1362">
        <v>0.5678870265308863</v>
      </c>
      <c r="BM103" s="1936">
        <v>1</v>
      </c>
      <c r="BN103" s="1936">
        <v>127163</v>
      </c>
      <c r="BO103" s="1363" t="s">
        <v>1208</v>
      </c>
      <c r="BP103" s="1938">
        <v>9052651</v>
      </c>
      <c r="BQ103" s="1938">
        <v>9646282</v>
      </c>
      <c r="BR103" s="1940">
        <v>0.93846012380728661</v>
      </c>
      <c r="BS103" s="1409">
        <v>0</v>
      </c>
      <c r="BT103" s="1938">
        <v>9689977</v>
      </c>
      <c r="BU103" s="1938">
        <v>15268716</v>
      </c>
      <c r="BV103" s="1940">
        <v>0.63462946065667869</v>
      </c>
      <c r="BW103" s="1936">
        <v>101.7304</v>
      </c>
      <c r="BX103" s="1936">
        <v>740.96400000000006</v>
      </c>
      <c r="BY103" s="1936">
        <v>112</v>
      </c>
      <c r="BZ103" s="1936">
        <v>2540112</v>
      </c>
      <c r="CA103" s="1936">
        <v>91697</v>
      </c>
      <c r="CB103" s="1936">
        <v>448634</v>
      </c>
      <c r="CC103" s="1936">
        <v>83335</v>
      </c>
      <c r="CD103" s="1936">
        <v>6755000</v>
      </c>
      <c r="CE103" s="1936">
        <v>0</v>
      </c>
      <c r="CF103" s="1936">
        <v>0</v>
      </c>
      <c r="CG103" s="1936">
        <v>2116450</v>
      </c>
      <c r="CH103" s="1936">
        <v>1329520</v>
      </c>
      <c r="CI103" s="1936">
        <v>337198</v>
      </c>
      <c r="CJ103" s="1936">
        <v>13701946</v>
      </c>
      <c r="CK103" s="1366">
        <v>0.18538330248856622</v>
      </c>
      <c r="CL103" s="1366">
        <v>6.6922610846663682E-3</v>
      </c>
      <c r="CM103" s="1366">
        <v>3.2742356450682263E-2</v>
      </c>
      <c r="CN103" s="1366">
        <v>6.0819828074056047E-3</v>
      </c>
      <c r="CO103" s="1366">
        <v>0.49299566645496923</v>
      </c>
      <c r="CP103" s="1366">
        <v>0</v>
      </c>
      <c r="CQ103" s="1366">
        <v>0</v>
      </c>
      <c r="CR103" s="1366">
        <v>0.15446346088358545</v>
      </c>
      <c r="CS103" s="1366">
        <v>9.7031472755767678E-2</v>
      </c>
      <c r="CT103" s="1366">
        <v>2.4609497074357174E-2</v>
      </c>
      <c r="CU103" s="1366">
        <v>1</v>
      </c>
      <c r="CV103" s="1936">
        <v>6038566</v>
      </c>
      <c r="CW103" s="1936">
        <v>1332382</v>
      </c>
      <c r="CX103" s="1936">
        <v>337395</v>
      </c>
      <c r="CY103" s="1936">
        <v>5468650</v>
      </c>
      <c r="CZ103" s="1936">
        <v>0</v>
      </c>
      <c r="DA103" s="1936">
        <v>457285</v>
      </c>
      <c r="DB103" s="1936">
        <v>13634278</v>
      </c>
      <c r="DC103" s="1366">
        <v>0.4428959127868744</v>
      </c>
      <c r="DD103" s="1366">
        <v>9.7722959734281495E-2</v>
      </c>
      <c r="DE103" s="1366">
        <v>2.4746084831187981E-2</v>
      </c>
      <c r="DF103" s="1366">
        <v>0.4010956795805396</v>
      </c>
      <c r="DG103" s="1366">
        <v>0</v>
      </c>
      <c r="DH103" s="1366">
        <v>3.3539363067116572E-2</v>
      </c>
      <c r="DI103" s="1366">
        <v>1</v>
      </c>
      <c r="DJ103" s="1936">
        <v>67668</v>
      </c>
      <c r="DK103" s="1936">
        <v>2032.0896</v>
      </c>
      <c r="DL103" s="1936">
        <v>73.357600000000005</v>
      </c>
      <c r="DM103" s="1936">
        <v>358.90719999999999</v>
      </c>
      <c r="DN103" s="1936">
        <v>66.668000000000006</v>
      </c>
      <c r="DO103" s="1936">
        <v>5404</v>
      </c>
      <c r="DP103" s="1936">
        <v>0</v>
      </c>
      <c r="DQ103" s="1936">
        <v>0</v>
      </c>
      <c r="DR103" s="1936">
        <v>1693.16</v>
      </c>
      <c r="DS103" s="1936">
        <v>1063.616</v>
      </c>
      <c r="DT103" s="1936">
        <v>269.75839999999999</v>
      </c>
      <c r="DU103" s="1936">
        <v>10961.5568</v>
      </c>
      <c r="DV103" s="1936">
        <v>4830.8527999999997</v>
      </c>
      <c r="DW103" s="1936">
        <v>1065.9056</v>
      </c>
      <c r="DX103" s="1936">
        <v>269.916</v>
      </c>
      <c r="DY103" s="1936">
        <v>4374.92</v>
      </c>
      <c r="DZ103" s="1936">
        <v>0</v>
      </c>
      <c r="EA103" s="1936">
        <v>365.82799999999997</v>
      </c>
      <c r="EB103" s="1936">
        <v>10907.422399999999</v>
      </c>
      <c r="EC103" s="1936">
        <v>54.134399999999999</v>
      </c>
      <c r="ED103" s="1941">
        <v>142</v>
      </c>
      <c r="EE103" s="1936">
        <v>0</v>
      </c>
      <c r="EF103" s="1936">
        <v>0</v>
      </c>
      <c r="EG103" s="1938">
        <v>0</v>
      </c>
      <c r="EH103" s="1938">
        <v>1</v>
      </c>
      <c r="EI103" s="1368">
        <v>0.05</v>
      </c>
      <c r="EJ103" s="1936">
        <v>8.8028169014084501</v>
      </c>
      <c r="EK103" s="1936">
        <v>1</v>
      </c>
      <c r="EL103" s="1936">
        <v>750</v>
      </c>
      <c r="EM103" s="1936">
        <v>1</v>
      </c>
      <c r="EN103" s="1362">
        <v>0.2</v>
      </c>
      <c r="EO103" s="1936">
        <v>0</v>
      </c>
      <c r="EP103" s="1936">
        <v>0</v>
      </c>
      <c r="EQ103" s="1936">
        <v>0</v>
      </c>
      <c r="ER103" s="1938">
        <v>0</v>
      </c>
      <c r="ES103" s="1936">
        <v>2756.7759999999998</v>
      </c>
      <c r="ET103" s="1936">
        <v>-921.77919999999995</v>
      </c>
      <c r="EU103" s="1938">
        <v>2</v>
      </c>
      <c r="EV103" s="1936">
        <v>35000</v>
      </c>
      <c r="EW103" s="1936">
        <v>13000</v>
      </c>
      <c r="EX103" s="1938">
        <v>1</v>
      </c>
      <c r="EY103" s="1936">
        <v>2116450</v>
      </c>
      <c r="EZ103" s="1936">
        <v>967214</v>
      </c>
      <c r="FA103" s="1936">
        <v>1149236</v>
      </c>
      <c r="FB103" s="1936">
        <v>1329520</v>
      </c>
      <c r="FC103" s="1936">
        <v>365168</v>
      </c>
      <c r="FD103" s="1936">
        <v>964352</v>
      </c>
      <c r="FE103" s="1936">
        <v>3445970</v>
      </c>
      <c r="FF103" s="1936">
        <v>1332382</v>
      </c>
      <c r="FG103" s="1936">
        <v>2113588</v>
      </c>
      <c r="FH103" s="1366">
        <v>1</v>
      </c>
      <c r="FI103" s="1366">
        <v>0.45699827541401877</v>
      </c>
      <c r="FJ103" s="1366">
        <v>0.54300172458598128</v>
      </c>
      <c r="FK103" s="1366">
        <v>1</v>
      </c>
      <c r="FL103" s="1366">
        <v>0.27466153198146698</v>
      </c>
      <c r="FM103" s="1366">
        <v>0.72533846801853297</v>
      </c>
      <c r="FN103" s="1366">
        <v>1</v>
      </c>
      <c r="FO103" s="1366">
        <v>0.38664933240858163</v>
      </c>
      <c r="FP103" s="1366">
        <v>0.61335066759141843</v>
      </c>
      <c r="FQ103" s="1936">
        <v>2087909</v>
      </c>
      <c r="FR103" s="1936">
        <v>0</v>
      </c>
      <c r="FS103" s="1936">
        <v>415887</v>
      </c>
      <c r="FT103" s="1936">
        <v>73371</v>
      </c>
      <c r="FU103" s="1936">
        <v>127702</v>
      </c>
      <c r="FV103" s="1936">
        <v>0</v>
      </c>
      <c r="FW103" s="1936">
        <v>560943</v>
      </c>
      <c r="FX103" s="1936">
        <v>3265812</v>
      </c>
      <c r="FY103" s="1936">
        <v>-1152224</v>
      </c>
      <c r="FZ103" s="1366">
        <v>0.60589877451051521</v>
      </c>
      <c r="GA103" s="1366">
        <v>0</v>
      </c>
      <c r="GB103" s="1366">
        <v>0.12068793402148016</v>
      </c>
      <c r="GC103" s="1366">
        <v>2.129182784528014E-2</v>
      </c>
      <c r="GD103" s="1366">
        <v>3.7058360925951182E-2</v>
      </c>
      <c r="GE103" s="1366">
        <v>0</v>
      </c>
      <c r="GF103" s="1366">
        <v>0.1627823225390819</v>
      </c>
      <c r="GG103" s="1366">
        <v>0.94771921984230856</v>
      </c>
      <c r="GH103" s="1366">
        <v>-0.33436855225089018</v>
      </c>
      <c r="GI103" s="1942">
        <v>1.5918903062759493</v>
      </c>
      <c r="GJ103" s="1943">
        <v>1</v>
      </c>
      <c r="GK103" s="1371">
        <v>0.05</v>
      </c>
      <c r="GL103" s="1943">
        <v>1</v>
      </c>
      <c r="GM103" s="1371">
        <v>0.05</v>
      </c>
      <c r="GN103" s="1943">
        <v>0</v>
      </c>
      <c r="GO103" s="1985">
        <f>IF(GN103=0,0,VLOOKUP(A103,'Area (&amp;golfacre for lookup)'!$G$2:$H$133,2,FALSE))</f>
        <v>0</v>
      </c>
      <c r="GP103" s="1943">
        <v>0</v>
      </c>
      <c r="GQ103" s="1943">
        <v>0</v>
      </c>
      <c r="GR103" s="1943">
        <v>0</v>
      </c>
      <c r="GS103" s="1943">
        <v>0</v>
      </c>
      <c r="GT103" s="1943">
        <v>0</v>
      </c>
      <c r="GU103" s="1943">
        <v>0</v>
      </c>
      <c r="GV103" s="1943">
        <v>0</v>
      </c>
      <c r="GW103" s="1943">
        <v>0</v>
      </c>
      <c r="GX103" s="1936">
        <v>0</v>
      </c>
      <c r="GY103" s="1985">
        <f t="shared" si="764"/>
        <v>0</v>
      </c>
      <c r="GZ103" s="1936">
        <v>0</v>
      </c>
      <c r="HA103" s="1936">
        <v>0</v>
      </c>
      <c r="HB103" s="1936">
        <v>0</v>
      </c>
      <c r="HC103" s="1936">
        <v>0</v>
      </c>
      <c r="HD103" s="1936">
        <v>0</v>
      </c>
      <c r="HE103" s="1936">
        <v>0</v>
      </c>
      <c r="HF103" s="1936">
        <v>0</v>
      </c>
      <c r="HG103" s="1936">
        <v>27</v>
      </c>
      <c r="HH103" s="1988">
        <f>IF(HG103=0,0,VLOOKUP(A103,'Area (&amp;golfacre for lookup)'!$G$2:$H$134,2,FALSE))</f>
        <v>150</v>
      </c>
      <c r="HI103" s="1936">
        <v>78000</v>
      </c>
      <c r="HJ103" s="1936">
        <v>1133748</v>
      </c>
      <c r="HK103" s="1936">
        <v>149662</v>
      </c>
      <c r="HL103" s="1936">
        <v>687847</v>
      </c>
      <c r="HM103" s="1936">
        <v>113833</v>
      </c>
      <c r="HN103" s="1936">
        <v>0</v>
      </c>
      <c r="HO103" s="1936">
        <v>492956</v>
      </c>
      <c r="HP103" s="1936">
        <v>2578046</v>
      </c>
      <c r="HQ103" s="1936">
        <v>95483.185185185182</v>
      </c>
      <c r="HR103" s="1988">
        <f t="shared" si="765"/>
        <v>17186.973333333332</v>
      </c>
      <c r="HS103" s="1366">
        <v>0.43977027562735499</v>
      </c>
      <c r="HT103" s="1366">
        <v>5.8052494020665264E-2</v>
      </c>
      <c r="HU103" s="1366">
        <v>0.26680943629399939</v>
      </c>
      <c r="HV103" s="1366">
        <v>4.4154759069465789E-2</v>
      </c>
      <c r="HW103" s="1366">
        <v>0</v>
      </c>
      <c r="HX103" s="1366">
        <v>0.19121303498851455</v>
      </c>
      <c r="HY103" s="1366">
        <v>1</v>
      </c>
      <c r="HZ103" s="51"/>
      <c r="IA103" s="59">
        <f t="shared" si="767"/>
        <v>0</v>
      </c>
      <c r="IB103" s="59"/>
      <c r="IC103" s="815">
        <f t="shared" si="768"/>
        <v>1</v>
      </c>
      <c r="ID103" s="815"/>
      <c r="IE103" s="284">
        <f t="shared" si="769"/>
        <v>0</v>
      </c>
      <c r="IF103" s="284"/>
      <c r="IG103" s="284">
        <f t="shared" si="770"/>
        <v>9305.4727999999996</v>
      </c>
      <c r="IH103" s="284"/>
      <c r="II103" s="1288">
        <f t="shared" si="771"/>
        <v>0</v>
      </c>
      <c r="IJ103" s="1288">
        <f t="shared" si="772"/>
        <v>0.93846012380728661</v>
      </c>
      <c r="IK103" s="284">
        <f t="shared" si="773"/>
        <v>0</v>
      </c>
      <c r="IL103" s="284">
        <f t="shared" si="774"/>
        <v>0</v>
      </c>
      <c r="IM103" s="284">
        <f t="shared" si="775"/>
        <v>1</v>
      </c>
      <c r="IN103" s="284">
        <f t="shared" si="776"/>
        <v>0</v>
      </c>
      <c r="IO103" s="753">
        <f t="shared" si="777"/>
        <v>-904.414442700157</v>
      </c>
      <c r="IP103" s="113">
        <f t="shared" si="778"/>
        <v>-921.77919999999995</v>
      </c>
      <c r="IQ103" s="30">
        <f t="shared" si="779"/>
        <v>-0.17057350111028868</v>
      </c>
      <c r="IR103" s="438">
        <f t="shared" si="780"/>
        <v>2116450</v>
      </c>
      <c r="IS103" s="438">
        <f t="shared" si="781"/>
        <v>1329520</v>
      </c>
      <c r="IT103" s="438">
        <f t="shared" si="782"/>
        <v>2087909</v>
      </c>
      <c r="IU103" s="438">
        <f t="shared" si="783"/>
        <v>489258</v>
      </c>
      <c r="IV103" s="438">
        <f t="shared" si="784"/>
        <v>1332382</v>
      </c>
      <c r="IW103" s="438">
        <f t="shared" si="785"/>
        <v>688645</v>
      </c>
      <c r="IX103" s="285">
        <f t="shared" si="786"/>
        <v>0.61418120297042633</v>
      </c>
      <c r="IY103" s="285">
        <f t="shared" si="787"/>
        <v>0.38581879702957367</v>
      </c>
      <c r="IZ103" s="285">
        <f t="shared" si="788"/>
        <v>0.60589877451051521</v>
      </c>
      <c r="JA103" s="285">
        <f t="shared" si="789"/>
        <v>0.14197976186676031</v>
      </c>
      <c r="JB103" s="285">
        <f t="shared" si="790"/>
        <v>0.38664933240858163</v>
      </c>
      <c r="JC103" s="285">
        <f t="shared" si="791"/>
        <v>0.19984068346503306</v>
      </c>
      <c r="JD103" s="60">
        <f t="shared" si="792"/>
        <v>6755000</v>
      </c>
      <c r="JE103" s="60">
        <f t="shared" si="793"/>
        <v>3163778</v>
      </c>
      <c r="JF103" s="60">
        <f t="shared" si="794"/>
        <v>0</v>
      </c>
      <c r="JG103" s="60">
        <f t="shared" si="795"/>
        <v>457285</v>
      </c>
      <c r="JH103" s="284">
        <f t="shared" si="796"/>
        <v>1</v>
      </c>
      <c r="JI103" s="284">
        <f t="shared" si="797"/>
        <v>1</v>
      </c>
      <c r="JJ103" s="560">
        <f t="shared" si="798"/>
        <v>0.75204955487100844</v>
      </c>
      <c r="JK103" s="561">
        <f t="shared" si="799"/>
        <v>0.44070864094778944</v>
      </c>
      <c r="JL103" s="561">
        <f t="shared" si="800"/>
        <v>9.7240348195796425E-2</v>
      </c>
      <c r="JM103" s="561">
        <f t="shared" si="801"/>
        <v>2.4623874594163486E-2</v>
      </c>
      <c r="JN103" s="561">
        <f t="shared" si="802"/>
        <v>0.39911484105980277</v>
      </c>
      <c r="JO103" s="561">
        <f t="shared" si="803"/>
        <v>0</v>
      </c>
      <c r="JP103" s="561">
        <f t="shared" si="804"/>
        <v>3.3373726622481219E-2</v>
      </c>
      <c r="JQ103" s="561">
        <f t="shared" si="805"/>
        <v>0.99506143142003334</v>
      </c>
      <c r="JR103" s="61">
        <f t="shared" si="806"/>
        <v>0</v>
      </c>
      <c r="JS103" s="61">
        <f t="shared" si="807"/>
        <v>0</v>
      </c>
      <c r="JT103" s="61">
        <f t="shared" si="808"/>
        <v>0</v>
      </c>
      <c r="JU103" s="61">
        <f t="shared" si="809"/>
        <v>0</v>
      </c>
      <c r="JV103" s="61">
        <f t="shared" si="810"/>
        <v>0</v>
      </c>
      <c r="JW103" s="61">
        <f t="shared" si="811"/>
        <v>0</v>
      </c>
      <c r="JX103" s="61">
        <f t="shared" si="812"/>
        <v>0</v>
      </c>
      <c r="JY103" s="394">
        <f t="shared" si="813"/>
        <v>0</v>
      </c>
      <c r="JZ103" s="61">
        <f t="shared" si="814"/>
        <v>41990.666666666664</v>
      </c>
      <c r="KA103" s="61">
        <f t="shared" si="815"/>
        <v>5543.0370370370374</v>
      </c>
      <c r="KB103" s="61">
        <f t="shared" si="816"/>
        <v>25475.814814814814</v>
      </c>
      <c r="KC103" s="61">
        <f t="shared" si="817"/>
        <v>4216.0370370370374</v>
      </c>
      <c r="KD103" s="61">
        <f t="shared" si="818"/>
        <v>0</v>
      </c>
      <c r="KE103" s="61">
        <f t="shared" si="819"/>
        <v>18257.629629629631</v>
      </c>
      <c r="KF103" s="61">
        <f t="shared" si="820"/>
        <v>52000</v>
      </c>
      <c r="KG103" s="61">
        <f t="shared" si="821"/>
        <v>200</v>
      </c>
      <c r="KH103" s="61">
        <f t="shared" si="822"/>
        <v>33.051871794871793</v>
      </c>
      <c r="KI103" s="394">
        <f t="shared" si="823"/>
        <v>0.1890856266829824</v>
      </c>
      <c r="KJ103" s="438">
        <f t="shared" si="824"/>
        <v>27</v>
      </c>
      <c r="KK103" s="438">
        <f t="shared" si="825"/>
        <v>78000</v>
      </c>
      <c r="KL103" s="438">
        <f t="shared" si="826"/>
        <v>150</v>
      </c>
      <c r="KM103" s="438">
        <f t="shared" si="827"/>
        <v>95483.185185185182</v>
      </c>
      <c r="KN103" s="438">
        <f t="shared" si="828"/>
        <v>33.051871794871793</v>
      </c>
      <c r="KO103" s="438">
        <f t="shared" si="829"/>
        <v>17186.973333333332</v>
      </c>
      <c r="KP103" s="438">
        <f t="shared" si="830"/>
        <v>1133748</v>
      </c>
      <c r="KQ103" s="438">
        <f t="shared" si="831"/>
        <v>149662</v>
      </c>
      <c r="KR103" s="438">
        <f t="shared" si="832"/>
        <v>687847</v>
      </c>
      <c r="KS103" s="438">
        <f t="shared" si="833"/>
        <v>113833</v>
      </c>
      <c r="KT103" s="438">
        <f t="shared" si="834"/>
        <v>0</v>
      </c>
      <c r="KU103" s="438">
        <f t="shared" si="835"/>
        <v>492956</v>
      </c>
      <c r="KV103" s="420">
        <f t="shared" si="836"/>
        <v>0.1890856266829824</v>
      </c>
      <c r="KW103" s="420">
        <f t="shared" si="837"/>
        <v>-0.30867357512953369</v>
      </c>
      <c r="KX103" s="108"/>
      <c r="KY103" s="282">
        <f t="shared" si="838"/>
        <v>0</v>
      </c>
      <c r="KZ103" s="282"/>
      <c r="LA103" s="282">
        <f t="shared" si="839"/>
        <v>0</v>
      </c>
      <c r="LB103" s="282"/>
      <c r="LC103" s="286">
        <f t="shared" si="840"/>
        <v>0</v>
      </c>
      <c r="LD103" s="286"/>
      <c r="LE103" s="282">
        <f t="shared" si="841"/>
        <v>0</v>
      </c>
      <c r="LF103" s="282"/>
      <c r="LG103" s="282">
        <f t="shared" si="842"/>
        <v>0</v>
      </c>
      <c r="LH103" s="282">
        <f t="shared" si="843"/>
        <v>0</v>
      </c>
      <c r="LI103" s="282">
        <f t="shared" si="844"/>
        <v>0</v>
      </c>
      <c r="LJ103" s="282">
        <f t="shared" si="845"/>
        <v>0</v>
      </c>
      <c r="LK103" s="282"/>
      <c r="LL103" s="282">
        <f t="shared" si="846"/>
        <v>0</v>
      </c>
      <c r="LM103" s="282">
        <f t="shared" si="847"/>
        <v>0</v>
      </c>
      <c r="LN103" s="282">
        <f t="shared" si="848"/>
        <v>0</v>
      </c>
      <c r="LO103" s="282">
        <f t="shared" si="849"/>
        <v>0</v>
      </c>
      <c r="LP103" s="286">
        <f t="shared" si="850"/>
        <v>0</v>
      </c>
      <c r="LQ103" s="282">
        <f t="shared" si="851"/>
        <v>0</v>
      </c>
      <c r="LR103" s="282">
        <f t="shared" si="852"/>
        <v>0</v>
      </c>
      <c r="LS103" s="282">
        <f t="shared" si="853"/>
        <v>0</v>
      </c>
      <c r="LT103" s="286">
        <f t="shared" si="854"/>
        <v>0</v>
      </c>
      <c r="LU103" s="286">
        <f t="shared" si="855"/>
        <v>0</v>
      </c>
      <c r="LV103" s="286">
        <f t="shared" si="856"/>
        <v>0</v>
      </c>
      <c r="LW103" s="286">
        <f t="shared" si="857"/>
        <v>0</v>
      </c>
      <c r="LX103" s="286">
        <f t="shared" si="858"/>
        <v>0</v>
      </c>
      <c r="LY103" s="286">
        <f t="shared" si="859"/>
        <v>0</v>
      </c>
      <c r="LZ103" s="286">
        <f t="shared" si="860"/>
        <v>0</v>
      </c>
      <c r="MA103" s="286">
        <f t="shared" si="861"/>
        <v>0</v>
      </c>
      <c r="MB103" s="286">
        <f t="shared" si="862"/>
        <v>0</v>
      </c>
      <c r="MC103" s="286">
        <f t="shared" si="863"/>
        <v>0</v>
      </c>
      <c r="MD103" s="286">
        <f t="shared" si="864"/>
        <v>0</v>
      </c>
      <c r="ME103" s="286">
        <f t="shared" si="865"/>
        <v>0</v>
      </c>
      <c r="MF103" s="286">
        <f t="shared" si="866"/>
        <v>0</v>
      </c>
      <c r="MG103" s="286">
        <f t="shared" si="867"/>
        <v>0</v>
      </c>
      <c r="MH103" s="286">
        <f t="shared" si="868"/>
        <v>0</v>
      </c>
      <c r="MI103" s="286">
        <f t="shared" si="869"/>
        <v>0</v>
      </c>
      <c r="MJ103" s="286">
        <f t="shared" si="870"/>
        <v>0</v>
      </c>
      <c r="MK103" s="286">
        <f t="shared" si="871"/>
        <v>0</v>
      </c>
      <c r="ML103" s="282">
        <f t="shared" si="872"/>
        <v>0</v>
      </c>
      <c r="MM103" s="1232">
        <f t="shared" si="873"/>
        <v>0</v>
      </c>
      <c r="MN103" s="1232">
        <f t="shared" si="874"/>
        <v>0</v>
      </c>
      <c r="MO103" s="1232">
        <f t="shared" si="875"/>
        <v>0</v>
      </c>
      <c r="MP103" s="1232">
        <f t="shared" si="876"/>
        <v>0</v>
      </c>
      <c r="MQ103" s="282">
        <f t="shared" si="877"/>
        <v>0</v>
      </c>
      <c r="MR103" s="282">
        <f t="shared" si="878"/>
        <v>0</v>
      </c>
      <c r="MS103" s="282">
        <f t="shared" si="879"/>
        <v>0</v>
      </c>
      <c r="MT103" s="282">
        <f t="shared" si="880"/>
        <v>0</v>
      </c>
      <c r="MU103" s="282">
        <f t="shared" si="881"/>
        <v>0</v>
      </c>
      <c r="MV103" s="282">
        <f t="shared" si="882"/>
        <v>0</v>
      </c>
      <c r="MW103" s="282">
        <f t="shared" si="883"/>
        <v>0</v>
      </c>
      <c r="MX103" s="282">
        <f t="shared" si="884"/>
        <v>0</v>
      </c>
      <c r="MY103" s="282">
        <f t="shared" si="885"/>
        <v>0</v>
      </c>
      <c r="MZ103" s="282">
        <f t="shared" si="886"/>
        <v>0</v>
      </c>
      <c r="NA103" s="282">
        <f t="shared" si="887"/>
        <v>0</v>
      </c>
      <c r="NB103" s="282">
        <f t="shared" si="888"/>
        <v>0</v>
      </c>
      <c r="NC103" s="282">
        <f t="shared" si="889"/>
        <v>0</v>
      </c>
      <c r="ND103" s="282">
        <f t="shared" si="890"/>
        <v>0</v>
      </c>
      <c r="NE103" s="282">
        <f t="shared" si="891"/>
        <v>0</v>
      </c>
      <c r="NF103" s="282">
        <f t="shared" si="892"/>
        <v>0</v>
      </c>
      <c r="NG103" s="282">
        <f t="shared" si="893"/>
        <v>0</v>
      </c>
      <c r="NH103" s="282">
        <f t="shared" si="894"/>
        <v>0</v>
      </c>
      <c r="NI103" s="282">
        <f t="shared" si="895"/>
        <v>0</v>
      </c>
      <c r="NJ103" s="282">
        <f t="shared" si="896"/>
        <v>0</v>
      </c>
      <c r="NK103" s="282">
        <f t="shared" si="897"/>
        <v>0</v>
      </c>
      <c r="NL103" s="282">
        <f t="shared" si="898"/>
        <v>0</v>
      </c>
      <c r="NM103" s="1205">
        <f t="shared" si="899"/>
        <v>0</v>
      </c>
      <c r="NN103" s="282">
        <f t="shared" si="900"/>
        <v>0</v>
      </c>
      <c r="NO103" s="282">
        <f t="shared" si="901"/>
        <v>0</v>
      </c>
      <c r="NP103" s="282">
        <f t="shared" si="902"/>
        <v>0</v>
      </c>
      <c r="NQ103" s="282">
        <f t="shared" si="903"/>
        <v>0</v>
      </c>
      <c r="NR103" s="282">
        <f t="shared" si="904"/>
        <v>0</v>
      </c>
      <c r="NS103" s="282">
        <f t="shared" si="905"/>
        <v>0</v>
      </c>
      <c r="NT103" s="282">
        <f t="shared" si="906"/>
        <v>0</v>
      </c>
      <c r="NU103" s="282">
        <f t="shared" si="907"/>
        <v>0</v>
      </c>
      <c r="NV103" s="286">
        <f t="shared" si="908"/>
        <v>0</v>
      </c>
      <c r="NW103" s="286">
        <f t="shared" si="909"/>
        <v>0</v>
      </c>
      <c r="NX103" s="286">
        <f t="shared" si="910"/>
        <v>0</v>
      </c>
      <c r="NY103" s="286">
        <f t="shared" si="911"/>
        <v>0</v>
      </c>
      <c r="NZ103" s="286">
        <f t="shared" si="912"/>
        <v>0</v>
      </c>
      <c r="OA103" s="286">
        <f t="shared" si="913"/>
        <v>0</v>
      </c>
      <c r="OB103" s="286">
        <f t="shared" si="914"/>
        <v>0</v>
      </c>
      <c r="OC103" s="286">
        <f t="shared" si="915"/>
        <v>0</v>
      </c>
      <c r="OD103" s="286">
        <f t="shared" si="916"/>
        <v>0</v>
      </c>
      <c r="OE103" s="282">
        <f t="shared" si="917"/>
        <v>0</v>
      </c>
      <c r="OF103" s="282">
        <f t="shared" si="918"/>
        <v>0</v>
      </c>
      <c r="OG103" s="286">
        <f t="shared" si="919"/>
        <v>0</v>
      </c>
      <c r="OH103" s="286">
        <f t="shared" si="920"/>
        <v>0</v>
      </c>
      <c r="OI103" s="286">
        <f t="shared" si="921"/>
        <v>0</v>
      </c>
      <c r="OJ103" s="286">
        <f t="shared" si="922"/>
        <v>0</v>
      </c>
      <c r="OK103" s="286">
        <f t="shared" si="923"/>
        <v>0</v>
      </c>
      <c r="OL103" s="286">
        <f t="shared" si="924"/>
        <v>0</v>
      </c>
      <c r="OM103" s="286">
        <f t="shared" si="925"/>
        <v>0</v>
      </c>
      <c r="ON103" s="286">
        <f t="shared" si="926"/>
        <v>0</v>
      </c>
      <c r="OO103" s="286">
        <f t="shared" si="927"/>
        <v>0</v>
      </c>
      <c r="OP103" s="434">
        <f t="shared" si="928"/>
        <v>0</v>
      </c>
      <c r="OQ103" s="434">
        <f t="shared" si="929"/>
        <v>0</v>
      </c>
      <c r="OR103" s="282">
        <f t="shared" si="930"/>
        <v>0</v>
      </c>
      <c r="OS103" s="282">
        <f t="shared" si="931"/>
        <v>0</v>
      </c>
      <c r="OT103" s="282">
        <f t="shared" si="932"/>
        <v>0</v>
      </c>
      <c r="OU103" s="282">
        <f t="shared" si="933"/>
        <v>0</v>
      </c>
      <c r="OV103" s="282">
        <f t="shared" si="934"/>
        <v>0</v>
      </c>
      <c r="OW103" s="286">
        <f t="shared" si="935"/>
        <v>0</v>
      </c>
      <c r="OX103" s="286">
        <f t="shared" si="936"/>
        <v>0</v>
      </c>
      <c r="OY103" s="286">
        <f t="shared" si="937"/>
        <v>0</v>
      </c>
      <c r="OZ103" s="286">
        <f t="shared" si="938"/>
        <v>0</v>
      </c>
      <c r="PA103" s="286">
        <f t="shared" si="939"/>
        <v>0</v>
      </c>
      <c r="PB103" s="286">
        <f t="shared" si="940"/>
        <v>0</v>
      </c>
      <c r="PC103" s="286">
        <f t="shared" si="941"/>
        <v>0</v>
      </c>
      <c r="PD103" s="282">
        <f t="shared" si="942"/>
        <v>0</v>
      </c>
      <c r="PE103" s="282">
        <f t="shared" si="943"/>
        <v>0</v>
      </c>
      <c r="PF103" s="286">
        <f t="shared" si="944"/>
        <v>0</v>
      </c>
      <c r="PG103" s="286">
        <f t="shared" si="945"/>
        <v>0</v>
      </c>
      <c r="PH103" s="286">
        <f t="shared" si="946"/>
        <v>0</v>
      </c>
      <c r="PI103" s="286">
        <f t="shared" si="947"/>
        <v>0</v>
      </c>
      <c r="PJ103" s="286">
        <f t="shared" si="948"/>
        <v>0</v>
      </c>
      <c r="PK103" s="286">
        <f t="shared" si="949"/>
        <v>0</v>
      </c>
      <c r="PL103" s="286">
        <f t="shared" si="950"/>
        <v>0</v>
      </c>
      <c r="PM103" s="562">
        <v>47</v>
      </c>
    </row>
    <row r="104" spans="1:431" s="1526" customFormat="1" ht="15.75" customHeight="1">
      <c r="A104" s="1935" t="s">
        <v>1831</v>
      </c>
      <c r="B104" s="1040" t="str">
        <f>VLOOKUP(A104,'Area (&amp;golfacre for lookup)'!$A$2:$B$162,2,FALSE)</f>
        <v>SE exc BOCA</v>
      </c>
      <c r="C104" s="1936"/>
      <c r="D104" s="1937">
        <v>44681</v>
      </c>
      <c r="E104" s="402"/>
      <c r="F104" s="1936">
        <v>1</v>
      </c>
      <c r="G104" s="1936">
        <v>0</v>
      </c>
      <c r="H104" s="1936">
        <v>281</v>
      </c>
      <c r="I104" s="1936">
        <v>34</v>
      </c>
      <c r="J104" s="1936">
        <v>315</v>
      </c>
      <c r="K104" s="1938">
        <v>305.96120000000002</v>
      </c>
      <c r="L104" s="1939" t="s">
        <v>1208</v>
      </c>
      <c r="M104" s="1939" t="s">
        <v>1208</v>
      </c>
      <c r="N104" s="1939" t="s">
        <v>1208</v>
      </c>
      <c r="O104" s="1939" t="s">
        <v>1208</v>
      </c>
      <c r="P104" s="1939" t="s">
        <v>1208</v>
      </c>
      <c r="Q104" s="1936">
        <v>0</v>
      </c>
      <c r="R104" s="1936">
        <v>225000</v>
      </c>
      <c r="S104" s="1936">
        <v>225000</v>
      </c>
      <c r="T104" s="1939" t="s">
        <v>1208</v>
      </c>
      <c r="U104" s="1939" t="s">
        <v>1208</v>
      </c>
      <c r="V104" s="1939" t="s">
        <v>1208</v>
      </c>
      <c r="W104" s="1936">
        <v>27000</v>
      </c>
      <c r="X104" s="1936">
        <v>25000</v>
      </c>
      <c r="Y104" s="1939" t="s">
        <v>1208</v>
      </c>
      <c r="Z104" s="1939" t="s">
        <v>1208</v>
      </c>
      <c r="AA104" s="1936">
        <v>2000</v>
      </c>
      <c r="AB104" s="1362">
        <v>0.08</v>
      </c>
      <c r="AC104" s="1939" t="s">
        <v>1208</v>
      </c>
      <c r="AD104" s="1363" t="s">
        <v>1208</v>
      </c>
      <c r="AE104" s="1936">
        <v>0</v>
      </c>
      <c r="AF104" s="1936">
        <v>0</v>
      </c>
      <c r="AG104" s="1939" t="s">
        <v>1208</v>
      </c>
      <c r="AH104" s="1936">
        <v>0</v>
      </c>
      <c r="AI104" s="1936">
        <v>0</v>
      </c>
      <c r="AJ104" s="1939" t="s">
        <v>1208</v>
      </c>
      <c r="AK104" s="1938">
        <v>1</v>
      </c>
      <c r="AL104" s="1938">
        <v>7200</v>
      </c>
      <c r="AM104" s="1936">
        <v>32200</v>
      </c>
      <c r="AN104" s="1939" t="s">
        <v>1208</v>
      </c>
      <c r="AO104" s="1936">
        <v>0</v>
      </c>
      <c r="AP104" s="1936">
        <v>0</v>
      </c>
      <c r="AQ104" s="1936">
        <v>32200</v>
      </c>
      <c r="AR104" s="1939" t="s">
        <v>1208</v>
      </c>
      <c r="AS104" s="1363" t="s">
        <v>1208</v>
      </c>
      <c r="AT104" s="1363" t="s">
        <v>1208</v>
      </c>
      <c r="AU104" s="1363" t="s">
        <v>1208</v>
      </c>
      <c r="AV104" s="1363" t="s">
        <v>1208</v>
      </c>
      <c r="AW104" s="1363" t="s">
        <v>1291</v>
      </c>
      <c r="AX104" s="1938">
        <v>0</v>
      </c>
      <c r="AY104" s="1938">
        <v>0</v>
      </c>
      <c r="AZ104" s="1938">
        <v>0</v>
      </c>
      <c r="BA104" s="1938">
        <v>0</v>
      </c>
      <c r="BB104" s="1938">
        <v>0</v>
      </c>
      <c r="BC104" s="1938">
        <v>0</v>
      </c>
      <c r="BD104" s="1938">
        <v>0</v>
      </c>
      <c r="BE104" s="1936">
        <v>0</v>
      </c>
      <c r="BF104" s="1936">
        <v>0</v>
      </c>
      <c r="BG104" s="1936">
        <v>750000</v>
      </c>
      <c r="BH104" s="1936">
        <v>750000</v>
      </c>
      <c r="BI104" s="1938">
        <v>31632128</v>
      </c>
      <c r="BJ104" s="1936">
        <v>957325</v>
      </c>
      <c r="BK104" s="1936">
        <v>2530424</v>
      </c>
      <c r="BL104" s="1362">
        <v>0.37832592482524668</v>
      </c>
      <c r="BM104" s="1936">
        <v>1</v>
      </c>
      <c r="BN104" s="1936">
        <v>22958271</v>
      </c>
      <c r="BO104" s="1363" t="s">
        <v>1208</v>
      </c>
      <c r="BP104" s="1938">
        <v>5235575</v>
      </c>
      <c r="BQ104" s="1938">
        <v>2280610</v>
      </c>
      <c r="BR104" s="1940">
        <v>2.2956906266305945</v>
      </c>
      <c r="BS104" s="1409">
        <v>1</v>
      </c>
      <c r="BT104" s="1938">
        <v>24239894</v>
      </c>
      <c r="BU104" s="1938">
        <v>40998246</v>
      </c>
      <c r="BV104" s="1940">
        <v>0.5912422204598704</v>
      </c>
      <c r="BW104" s="1936">
        <v>75036.543849350826</v>
      </c>
      <c r="BX104" s="1936">
        <v>3128.9098094791102</v>
      </c>
      <c r="BY104" s="1936">
        <v>2451.2912094736193</v>
      </c>
      <c r="BZ104" s="1936">
        <v>947794</v>
      </c>
      <c r="CA104" s="1936">
        <v>0</v>
      </c>
      <c r="CB104" s="1936">
        <v>1180408</v>
      </c>
      <c r="CC104" s="1936">
        <v>10964</v>
      </c>
      <c r="CD104" s="1936">
        <v>7649030</v>
      </c>
      <c r="CE104" s="1936">
        <v>0</v>
      </c>
      <c r="CF104" s="1936">
        <v>0</v>
      </c>
      <c r="CG104" s="1936">
        <v>1436030</v>
      </c>
      <c r="CH104" s="1936">
        <v>232613</v>
      </c>
      <c r="CI104" s="1936">
        <v>10238</v>
      </c>
      <c r="CJ104" s="1936">
        <v>11467077</v>
      </c>
      <c r="CK104" s="1366">
        <v>8.265349574263782E-2</v>
      </c>
      <c r="CL104" s="1366">
        <v>0</v>
      </c>
      <c r="CM104" s="1366">
        <v>0.10293887448388112</v>
      </c>
      <c r="CN104" s="1366">
        <v>9.56128575747769E-4</v>
      </c>
      <c r="CO104" s="1366">
        <v>0.66704269972199537</v>
      </c>
      <c r="CP104" s="1366">
        <v>0</v>
      </c>
      <c r="CQ104" s="1366">
        <v>0</v>
      </c>
      <c r="CR104" s="1366">
        <v>0.12523069305281548</v>
      </c>
      <c r="CS104" s="1366">
        <v>2.0285291535061638E-2</v>
      </c>
      <c r="CT104" s="1366">
        <v>8.9281688786078614E-4</v>
      </c>
      <c r="CU104" s="1366">
        <v>1</v>
      </c>
      <c r="CV104" s="1936">
        <v>5636656</v>
      </c>
      <c r="CW104" s="1936">
        <v>843469</v>
      </c>
      <c r="CX104" s="1936">
        <v>743888</v>
      </c>
      <c r="CY104" s="1936">
        <v>2849910</v>
      </c>
      <c r="CZ104" s="1936">
        <v>495663</v>
      </c>
      <c r="DA104" s="1936">
        <v>261192</v>
      </c>
      <c r="DB104" s="1936">
        <v>10830778</v>
      </c>
      <c r="DC104" s="1366">
        <v>0.52042946499318887</v>
      </c>
      <c r="DD104" s="1366">
        <v>7.787704632114148E-2</v>
      </c>
      <c r="DE104" s="1366">
        <v>6.8682785299449406E-2</v>
      </c>
      <c r="DF104" s="1366">
        <v>0.26313068184021499</v>
      </c>
      <c r="DG104" s="1366">
        <v>4.5764302435152858E-2</v>
      </c>
      <c r="DH104" s="1366">
        <v>2.4115719110852425E-2</v>
      </c>
      <c r="DI104" s="1366">
        <v>1</v>
      </c>
      <c r="DJ104" s="1936">
        <v>636299</v>
      </c>
      <c r="DK104" s="1936">
        <v>3097.7588007891195</v>
      </c>
      <c r="DL104" s="1936">
        <v>0</v>
      </c>
      <c r="DM104" s="1936">
        <v>3858.0316719897814</v>
      </c>
      <c r="DN104" s="1936">
        <v>35.834609094225016</v>
      </c>
      <c r="DO104" s="1936">
        <v>25000</v>
      </c>
      <c r="DP104" s="1936">
        <v>0</v>
      </c>
      <c r="DQ104" s="1936">
        <v>0</v>
      </c>
      <c r="DR104" s="1936">
        <v>4693.5036207205358</v>
      </c>
      <c r="DS104" s="1936">
        <v>760.26960281238269</v>
      </c>
      <c r="DT104" s="1936">
        <v>33.461759203454555</v>
      </c>
      <c r="DU104" s="1936">
        <v>37478.8600646095</v>
      </c>
      <c r="DV104" s="1936">
        <v>18422.780404835645</v>
      </c>
      <c r="DW104" s="1936">
        <v>2756.7841935513388</v>
      </c>
      <c r="DX104" s="1936">
        <v>2431.3148203105488</v>
      </c>
      <c r="DY104" s="1936">
        <v>9314.6124410546163</v>
      </c>
      <c r="DZ104" s="1936">
        <v>1620.0191396817634</v>
      </c>
      <c r="EA104" s="1936">
        <v>853.67687144644481</v>
      </c>
      <c r="EB104" s="1936">
        <v>35399.187870880356</v>
      </c>
      <c r="EC104" s="1936">
        <v>2079.6721937291395</v>
      </c>
      <c r="ED104" s="1941">
        <v>120</v>
      </c>
      <c r="EE104" s="1936">
        <v>1</v>
      </c>
      <c r="EF104" s="1936">
        <v>15</v>
      </c>
      <c r="EG104" s="1938">
        <v>140000</v>
      </c>
      <c r="EH104" s="1938">
        <v>1</v>
      </c>
      <c r="EI104" s="1368">
        <v>0.05</v>
      </c>
      <c r="EJ104" s="1936">
        <v>2.549676666666667</v>
      </c>
      <c r="EK104" s="1936">
        <v>0</v>
      </c>
      <c r="EL104" s="1936">
        <v>0</v>
      </c>
      <c r="EM104" s="1936">
        <v>0</v>
      </c>
      <c r="EN104" s="1362">
        <v>0</v>
      </c>
      <c r="EO104" s="1936">
        <v>0</v>
      </c>
      <c r="EP104" s="1936">
        <v>0</v>
      </c>
      <c r="EQ104" s="1936">
        <v>0</v>
      </c>
      <c r="ER104" s="1938">
        <v>1</v>
      </c>
      <c r="ES104" s="1936">
        <v>5453.7732235329186</v>
      </c>
      <c r="ET104" s="1936">
        <v>-2729.8801285914678</v>
      </c>
      <c r="EU104" s="1938">
        <v>1</v>
      </c>
      <c r="EV104" s="1936">
        <v>60000</v>
      </c>
      <c r="EW104" s="1936">
        <v>5000</v>
      </c>
      <c r="EX104" s="1938">
        <v>0</v>
      </c>
      <c r="EY104" s="1936">
        <v>1436030</v>
      </c>
      <c r="EZ104" s="1936">
        <v>771053</v>
      </c>
      <c r="FA104" s="1936">
        <v>664977</v>
      </c>
      <c r="FB104" s="1936">
        <v>232613</v>
      </c>
      <c r="FC104" s="1936">
        <v>72416</v>
      </c>
      <c r="FD104" s="1936">
        <v>160197</v>
      </c>
      <c r="FE104" s="1936">
        <v>1668643</v>
      </c>
      <c r="FF104" s="1936">
        <v>843469</v>
      </c>
      <c r="FG104" s="1936">
        <v>825174</v>
      </c>
      <c r="FH104" s="1366">
        <v>1</v>
      </c>
      <c r="FI104" s="1366">
        <v>0.53693376879313104</v>
      </c>
      <c r="FJ104" s="1366">
        <v>0.46306623120686896</v>
      </c>
      <c r="FK104" s="1366">
        <v>1</v>
      </c>
      <c r="FL104" s="1366">
        <v>0.31131536070640936</v>
      </c>
      <c r="FM104" s="1366">
        <v>0.68868463929359069</v>
      </c>
      <c r="FN104" s="1366">
        <v>1</v>
      </c>
      <c r="FO104" s="1366">
        <v>0.50548199944505801</v>
      </c>
      <c r="FP104" s="1366">
        <v>0.49451800055494194</v>
      </c>
      <c r="FQ104" s="1936">
        <v>1237676.3999999999</v>
      </c>
      <c r="FR104" s="1936">
        <v>0</v>
      </c>
      <c r="FS104" s="1936">
        <v>261132</v>
      </c>
      <c r="FT104" s="1936">
        <v>38614</v>
      </c>
      <c r="FU104" s="1936">
        <v>21296</v>
      </c>
      <c r="FV104" s="1936">
        <v>8695</v>
      </c>
      <c r="FW104" s="1936">
        <v>92998</v>
      </c>
      <c r="FX104" s="1936">
        <v>1660411.4</v>
      </c>
      <c r="FY104" s="1936">
        <v>-835237.39999999991</v>
      </c>
      <c r="FZ104" s="1366">
        <v>0.74172630095233072</v>
      </c>
      <c r="GA104" s="1366">
        <v>0</v>
      </c>
      <c r="GB104" s="1366">
        <v>0.15649362985371945</v>
      </c>
      <c r="GC104" s="1366">
        <v>2.3140959450283854E-2</v>
      </c>
      <c r="GD104" s="1366">
        <v>1.2762466267499998E-2</v>
      </c>
      <c r="GE104" s="1366">
        <v>5.2108210084481823E-3</v>
      </c>
      <c r="GF104" s="1366">
        <v>5.5732712149932612E-2</v>
      </c>
      <c r="GG104" s="1366">
        <v>0.99506688968221479</v>
      </c>
      <c r="GH104" s="1366">
        <v>-0.5005488891272728</v>
      </c>
      <c r="GI104" s="1942">
        <v>6.1734726777953082</v>
      </c>
      <c r="GJ104" s="1943">
        <v>1</v>
      </c>
      <c r="GK104" s="1371">
        <v>0.03</v>
      </c>
      <c r="GL104" s="1943">
        <v>1</v>
      </c>
      <c r="GM104" s="1371">
        <v>0.03</v>
      </c>
      <c r="GN104" s="1943">
        <v>18</v>
      </c>
      <c r="GO104" s="1985">
        <f>IF(GN104=0,0,VLOOKUP(A104,'Area (&amp;golfacre for lookup)'!$G$2:$H$133,2,FALSE))</f>
        <v>211</v>
      </c>
      <c r="GP104" s="1943">
        <v>19500</v>
      </c>
      <c r="GQ104" s="1943">
        <v>982096</v>
      </c>
      <c r="GR104" s="1943">
        <v>195003</v>
      </c>
      <c r="GS104" s="1943">
        <v>308509</v>
      </c>
      <c r="GT104" s="1943">
        <v>127154</v>
      </c>
      <c r="GU104" s="1943">
        <v>0</v>
      </c>
      <c r="GV104" s="1943">
        <v>117954</v>
      </c>
      <c r="GW104" s="1943">
        <v>1730716</v>
      </c>
      <c r="GX104" s="1943">
        <v>96150.888888888891</v>
      </c>
      <c r="GY104" s="1985">
        <f t="shared" si="764"/>
        <v>8202.4454976303314</v>
      </c>
      <c r="GZ104" s="1366">
        <v>0.567450696705872</v>
      </c>
      <c r="HA104" s="1366">
        <v>0.11267186528581234</v>
      </c>
      <c r="HB104" s="1366">
        <v>0.17825512677989919</v>
      </c>
      <c r="HC104" s="1366">
        <v>7.3469015135932181E-2</v>
      </c>
      <c r="HD104" s="1366">
        <v>0</v>
      </c>
      <c r="HE104" s="1366">
        <v>6.8153296092484272E-2</v>
      </c>
      <c r="HF104" s="1366">
        <v>1</v>
      </c>
      <c r="HG104" s="1936">
        <v>0</v>
      </c>
      <c r="HH104" s="1988">
        <f>IF(HG104=0,0,VLOOKUP(A104,'Area (&amp;golfacre for lookup)'!$G$2:$H$134,2,FALSE))</f>
        <v>0</v>
      </c>
      <c r="HI104" s="1936">
        <v>0</v>
      </c>
      <c r="HJ104" s="1936">
        <v>0</v>
      </c>
      <c r="HK104" s="1936">
        <v>0</v>
      </c>
      <c r="HL104" s="1936">
        <v>0</v>
      </c>
      <c r="HM104" s="1936">
        <v>0</v>
      </c>
      <c r="HN104" s="1936">
        <v>0</v>
      </c>
      <c r="HO104" s="1936">
        <v>0</v>
      </c>
      <c r="HP104" s="1936">
        <v>0</v>
      </c>
      <c r="HQ104" s="1936">
        <v>0</v>
      </c>
      <c r="HR104" s="1988">
        <f t="shared" si="765"/>
        <v>0</v>
      </c>
      <c r="HS104" s="1936">
        <v>0</v>
      </c>
      <c r="HT104" s="1936">
        <v>0</v>
      </c>
      <c r="HU104" s="1936">
        <v>0</v>
      </c>
      <c r="HV104" s="1936">
        <v>0</v>
      </c>
      <c r="HW104" s="1936">
        <v>0</v>
      </c>
      <c r="HX104" s="1936">
        <v>0</v>
      </c>
      <c r="HY104" s="1936">
        <v>0</v>
      </c>
      <c r="HZ104" s="51"/>
      <c r="IA104" s="59">
        <f t="shared" si="767"/>
        <v>0</v>
      </c>
      <c r="IB104" s="59"/>
      <c r="IC104" s="815">
        <f t="shared" si="768"/>
        <v>1</v>
      </c>
      <c r="ID104" s="815"/>
      <c r="IE104" s="284">
        <f t="shared" si="769"/>
        <v>0</v>
      </c>
      <c r="IF104" s="284"/>
      <c r="IG104" s="284">
        <f t="shared" si="770"/>
        <v>103386.07640445912</v>
      </c>
      <c r="IH104" s="284"/>
      <c r="II104" s="1288">
        <f t="shared" si="771"/>
        <v>2.2956906266305945</v>
      </c>
      <c r="IJ104" s="1288">
        <f t="shared" si="772"/>
        <v>0</v>
      </c>
      <c r="IK104" s="284">
        <f t="shared" si="773"/>
        <v>1</v>
      </c>
      <c r="IL104" s="284">
        <f t="shared" si="774"/>
        <v>0</v>
      </c>
      <c r="IM104" s="284">
        <f t="shared" si="775"/>
        <v>0</v>
      </c>
      <c r="IN104" s="284">
        <f t="shared" si="776"/>
        <v>0</v>
      </c>
      <c r="IO104" s="753">
        <f t="shared" si="777"/>
        <v>-2651.5473015873013</v>
      </c>
      <c r="IP104" s="113">
        <f t="shared" si="778"/>
        <v>-2729.8801285914678</v>
      </c>
      <c r="IQ104" s="30">
        <f t="shared" si="779"/>
        <v>-0.10919520514365873</v>
      </c>
      <c r="IR104" s="438">
        <f t="shared" si="780"/>
        <v>1436030</v>
      </c>
      <c r="IS104" s="438">
        <f t="shared" si="781"/>
        <v>232613</v>
      </c>
      <c r="IT104" s="438">
        <f t="shared" si="782"/>
        <v>1237676.3999999999</v>
      </c>
      <c r="IU104" s="438">
        <f t="shared" si="783"/>
        <v>299746</v>
      </c>
      <c r="IV104" s="438">
        <f t="shared" si="784"/>
        <v>843469</v>
      </c>
      <c r="IW104" s="438">
        <f t="shared" si="785"/>
        <v>122989</v>
      </c>
      <c r="IX104" s="285">
        <f t="shared" si="786"/>
        <v>0.86059750348037301</v>
      </c>
      <c r="IY104" s="285">
        <f t="shared" si="787"/>
        <v>0.13940249651962702</v>
      </c>
      <c r="IZ104" s="285">
        <f t="shared" si="788"/>
        <v>0.74172630095233072</v>
      </c>
      <c r="JA104" s="285">
        <f t="shared" si="789"/>
        <v>0.17963458930400331</v>
      </c>
      <c r="JB104" s="285">
        <f t="shared" si="790"/>
        <v>0.50548199944505801</v>
      </c>
      <c r="JC104" s="285">
        <f t="shared" si="791"/>
        <v>7.3705999425880797E-2</v>
      </c>
      <c r="JD104" s="60">
        <f t="shared" si="792"/>
        <v>7649030</v>
      </c>
      <c r="JE104" s="60">
        <f t="shared" si="793"/>
        <v>2139166</v>
      </c>
      <c r="JF104" s="60">
        <f t="shared" si="794"/>
        <v>0</v>
      </c>
      <c r="JG104" s="60">
        <f t="shared" si="795"/>
        <v>756855</v>
      </c>
      <c r="JH104" s="284">
        <f t="shared" si="796"/>
        <v>1</v>
      </c>
      <c r="JI104" s="284">
        <f t="shared" si="797"/>
        <v>1</v>
      </c>
      <c r="JJ104" s="560">
        <f t="shared" si="798"/>
        <v>0.63019566116122561</v>
      </c>
      <c r="JK104" s="561">
        <f t="shared" si="799"/>
        <v>0.4915512471050818</v>
      </c>
      <c r="JL104" s="561">
        <f t="shared" si="800"/>
        <v>7.355571084069637E-2</v>
      </c>
      <c r="JM104" s="561">
        <f t="shared" si="801"/>
        <v>6.4871632064561882E-2</v>
      </c>
      <c r="JN104" s="561">
        <f t="shared" si="802"/>
        <v>0.2485297691818063</v>
      </c>
      <c r="JO104" s="561">
        <f t="shared" si="803"/>
        <v>4.3224877621385119E-2</v>
      </c>
      <c r="JP104" s="561">
        <f t="shared" si="804"/>
        <v>2.2777557000794535E-2</v>
      </c>
      <c r="JQ104" s="561">
        <f t="shared" si="805"/>
        <v>0.94451079381432601</v>
      </c>
      <c r="JR104" s="61">
        <f t="shared" si="806"/>
        <v>54560.888888888891</v>
      </c>
      <c r="JS104" s="61">
        <f t="shared" si="807"/>
        <v>10833.5</v>
      </c>
      <c r="JT104" s="61">
        <f t="shared" si="808"/>
        <v>17139.388888888891</v>
      </c>
      <c r="JU104" s="61">
        <f t="shared" si="809"/>
        <v>7064.1111111111113</v>
      </c>
      <c r="JV104" s="61">
        <f t="shared" si="810"/>
        <v>0</v>
      </c>
      <c r="JW104" s="61">
        <f t="shared" si="811"/>
        <v>6553</v>
      </c>
      <c r="JX104" s="61">
        <f t="shared" si="812"/>
        <v>88.754666666666665</v>
      </c>
      <c r="JY104" s="394">
        <f t="shared" si="813"/>
        <v>0.15979609221055033</v>
      </c>
      <c r="JZ104" s="61">
        <f t="shared" si="814"/>
        <v>0</v>
      </c>
      <c r="KA104" s="61">
        <f t="shared" si="815"/>
        <v>0</v>
      </c>
      <c r="KB104" s="61">
        <f t="shared" si="816"/>
        <v>0</v>
      </c>
      <c r="KC104" s="61">
        <f t="shared" si="817"/>
        <v>0</v>
      </c>
      <c r="KD104" s="61">
        <f t="shared" si="818"/>
        <v>0</v>
      </c>
      <c r="KE104" s="61">
        <f t="shared" si="819"/>
        <v>0</v>
      </c>
      <c r="KF104" s="61">
        <f t="shared" si="820"/>
        <v>0</v>
      </c>
      <c r="KG104" s="61">
        <f t="shared" si="821"/>
        <v>0</v>
      </c>
      <c r="KH104" s="61">
        <f t="shared" si="822"/>
        <v>0</v>
      </c>
      <c r="KI104" s="394">
        <f t="shared" si="823"/>
        <v>0</v>
      </c>
      <c r="KJ104" s="438">
        <f t="shared" si="824"/>
        <v>18</v>
      </c>
      <c r="KK104" s="438">
        <f t="shared" si="825"/>
        <v>19500</v>
      </c>
      <c r="KL104" s="438">
        <f t="shared" si="826"/>
        <v>211</v>
      </c>
      <c r="KM104" s="438">
        <f t="shared" si="827"/>
        <v>96150.888888888891</v>
      </c>
      <c r="KN104" s="438">
        <f t="shared" si="828"/>
        <v>88.754666666666665</v>
      </c>
      <c r="KO104" s="438">
        <f t="shared" si="829"/>
        <v>8202.4454976303314</v>
      </c>
      <c r="KP104" s="438">
        <f t="shared" si="830"/>
        <v>982096</v>
      </c>
      <c r="KQ104" s="438">
        <f t="shared" si="831"/>
        <v>195003</v>
      </c>
      <c r="KR104" s="438">
        <f t="shared" si="832"/>
        <v>308509</v>
      </c>
      <c r="KS104" s="438">
        <f t="shared" si="833"/>
        <v>127154</v>
      </c>
      <c r="KT104" s="438">
        <f t="shared" si="834"/>
        <v>0</v>
      </c>
      <c r="KU104" s="438">
        <f t="shared" si="835"/>
        <v>117954</v>
      </c>
      <c r="KV104" s="420">
        <f t="shared" si="836"/>
        <v>0.15979609221055033</v>
      </c>
      <c r="KW104" s="420">
        <f t="shared" si="837"/>
        <v>-0.21084529672389832</v>
      </c>
      <c r="KX104" s="108"/>
      <c r="KY104" s="282">
        <f t="shared" si="838"/>
        <v>0</v>
      </c>
      <c r="KZ104" s="282"/>
      <c r="LA104" s="282">
        <f t="shared" si="839"/>
        <v>0</v>
      </c>
      <c r="LB104" s="282"/>
      <c r="LC104" s="286">
        <f t="shared" si="840"/>
        <v>0</v>
      </c>
      <c r="LD104" s="286"/>
      <c r="LE104" s="282">
        <f t="shared" si="841"/>
        <v>0</v>
      </c>
      <c r="LF104" s="282"/>
      <c r="LG104" s="282">
        <f t="shared" si="842"/>
        <v>0</v>
      </c>
      <c r="LH104" s="282">
        <f t="shared" si="843"/>
        <v>0</v>
      </c>
      <c r="LI104" s="282">
        <f t="shared" si="844"/>
        <v>0</v>
      </c>
      <c r="LJ104" s="282">
        <f t="shared" si="845"/>
        <v>0</v>
      </c>
      <c r="LK104" s="282"/>
      <c r="LL104" s="282">
        <f t="shared" si="846"/>
        <v>0</v>
      </c>
      <c r="LM104" s="282">
        <f t="shared" si="847"/>
        <v>0</v>
      </c>
      <c r="LN104" s="282">
        <f t="shared" si="848"/>
        <v>0</v>
      </c>
      <c r="LO104" s="282">
        <f t="shared" si="849"/>
        <v>0</v>
      </c>
      <c r="LP104" s="286">
        <f t="shared" si="850"/>
        <v>0</v>
      </c>
      <c r="LQ104" s="282">
        <f t="shared" si="851"/>
        <v>0</v>
      </c>
      <c r="LR104" s="282">
        <f t="shared" si="852"/>
        <v>0</v>
      </c>
      <c r="LS104" s="282">
        <f t="shared" si="853"/>
        <v>0</v>
      </c>
      <c r="LT104" s="286">
        <f t="shared" si="854"/>
        <v>0</v>
      </c>
      <c r="LU104" s="286">
        <f t="shared" si="855"/>
        <v>0</v>
      </c>
      <c r="LV104" s="286">
        <f t="shared" si="856"/>
        <v>0</v>
      </c>
      <c r="LW104" s="286">
        <f t="shared" si="857"/>
        <v>0</v>
      </c>
      <c r="LX104" s="286">
        <f t="shared" si="858"/>
        <v>0</v>
      </c>
      <c r="LY104" s="286">
        <f t="shared" si="859"/>
        <v>0</v>
      </c>
      <c r="LZ104" s="286">
        <f t="shared" si="860"/>
        <v>0</v>
      </c>
      <c r="MA104" s="286">
        <f t="shared" si="861"/>
        <v>0</v>
      </c>
      <c r="MB104" s="286">
        <f t="shared" si="862"/>
        <v>0</v>
      </c>
      <c r="MC104" s="286">
        <f t="shared" si="863"/>
        <v>0</v>
      </c>
      <c r="MD104" s="286">
        <f t="shared" si="864"/>
        <v>0</v>
      </c>
      <c r="ME104" s="286">
        <f t="shared" si="865"/>
        <v>0</v>
      </c>
      <c r="MF104" s="286">
        <f t="shared" si="866"/>
        <v>0</v>
      </c>
      <c r="MG104" s="286">
        <f t="shared" si="867"/>
        <v>0</v>
      </c>
      <c r="MH104" s="286">
        <f t="shared" si="868"/>
        <v>0</v>
      </c>
      <c r="MI104" s="286">
        <f t="shared" si="869"/>
        <v>0</v>
      </c>
      <c r="MJ104" s="286">
        <f t="shared" si="870"/>
        <v>0</v>
      </c>
      <c r="MK104" s="286">
        <f t="shared" si="871"/>
        <v>0</v>
      </c>
      <c r="ML104" s="282">
        <f t="shared" si="872"/>
        <v>0</v>
      </c>
      <c r="MM104" s="1232">
        <f t="shared" si="873"/>
        <v>0</v>
      </c>
      <c r="MN104" s="1232">
        <f t="shared" si="874"/>
        <v>0</v>
      </c>
      <c r="MO104" s="1232">
        <f t="shared" si="875"/>
        <v>0</v>
      </c>
      <c r="MP104" s="1232">
        <f t="shared" si="876"/>
        <v>0</v>
      </c>
      <c r="MQ104" s="282">
        <f t="shared" si="877"/>
        <v>0</v>
      </c>
      <c r="MR104" s="282">
        <f t="shared" si="878"/>
        <v>0</v>
      </c>
      <c r="MS104" s="282">
        <f t="shared" si="879"/>
        <v>0</v>
      </c>
      <c r="MT104" s="282">
        <f t="shared" si="880"/>
        <v>0</v>
      </c>
      <c r="MU104" s="282">
        <f t="shared" si="881"/>
        <v>0</v>
      </c>
      <c r="MV104" s="282">
        <f t="shared" si="882"/>
        <v>0</v>
      </c>
      <c r="MW104" s="282">
        <f t="shared" si="883"/>
        <v>0</v>
      </c>
      <c r="MX104" s="282">
        <f t="shared" si="884"/>
        <v>0</v>
      </c>
      <c r="MY104" s="282">
        <f t="shared" si="885"/>
        <v>0</v>
      </c>
      <c r="MZ104" s="282">
        <f t="shared" si="886"/>
        <v>0</v>
      </c>
      <c r="NA104" s="282">
        <f t="shared" si="887"/>
        <v>0</v>
      </c>
      <c r="NB104" s="282">
        <f t="shared" si="888"/>
        <v>0</v>
      </c>
      <c r="NC104" s="282">
        <f t="shared" si="889"/>
        <v>0</v>
      </c>
      <c r="ND104" s="282">
        <f t="shared" si="890"/>
        <v>0</v>
      </c>
      <c r="NE104" s="282">
        <f t="shared" si="891"/>
        <v>0</v>
      </c>
      <c r="NF104" s="282">
        <f t="shared" si="892"/>
        <v>0</v>
      </c>
      <c r="NG104" s="282">
        <f t="shared" si="893"/>
        <v>0</v>
      </c>
      <c r="NH104" s="282">
        <f t="shared" si="894"/>
        <v>0</v>
      </c>
      <c r="NI104" s="282">
        <f t="shared" si="895"/>
        <v>0</v>
      </c>
      <c r="NJ104" s="282">
        <f t="shared" si="896"/>
        <v>0</v>
      </c>
      <c r="NK104" s="282">
        <f t="shared" si="897"/>
        <v>0</v>
      </c>
      <c r="NL104" s="282">
        <f t="shared" si="898"/>
        <v>0</v>
      </c>
      <c r="NM104" s="1205">
        <f t="shared" si="899"/>
        <v>0</v>
      </c>
      <c r="NN104" s="282">
        <f t="shared" si="900"/>
        <v>0</v>
      </c>
      <c r="NO104" s="282">
        <f t="shared" si="901"/>
        <v>0</v>
      </c>
      <c r="NP104" s="282">
        <f t="shared" si="902"/>
        <v>0</v>
      </c>
      <c r="NQ104" s="282">
        <f t="shared" si="903"/>
        <v>0</v>
      </c>
      <c r="NR104" s="282">
        <f t="shared" si="904"/>
        <v>0</v>
      </c>
      <c r="NS104" s="282">
        <f t="shared" si="905"/>
        <v>0</v>
      </c>
      <c r="NT104" s="282">
        <f t="shared" si="906"/>
        <v>0</v>
      </c>
      <c r="NU104" s="282">
        <f t="shared" si="907"/>
        <v>0</v>
      </c>
      <c r="NV104" s="286">
        <f t="shared" si="908"/>
        <v>0</v>
      </c>
      <c r="NW104" s="286">
        <f t="shared" si="909"/>
        <v>0</v>
      </c>
      <c r="NX104" s="286">
        <f t="shared" si="910"/>
        <v>0</v>
      </c>
      <c r="NY104" s="286">
        <f t="shared" si="911"/>
        <v>0</v>
      </c>
      <c r="NZ104" s="286">
        <f t="shared" si="912"/>
        <v>0</v>
      </c>
      <c r="OA104" s="286">
        <f t="shared" si="913"/>
        <v>0</v>
      </c>
      <c r="OB104" s="286">
        <f t="shared" si="914"/>
        <v>0</v>
      </c>
      <c r="OC104" s="286">
        <f t="shared" si="915"/>
        <v>0</v>
      </c>
      <c r="OD104" s="286">
        <f t="shared" si="916"/>
        <v>0</v>
      </c>
      <c r="OE104" s="282">
        <f t="shared" si="917"/>
        <v>0</v>
      </c>
      <c r="OF104" s="282">
        <f t="shared" si="918"/>
        <v>0</v>
      </c>
      <c r="OG104" s="286">
        <f t="shared" si="919"/>
        <v>0</v>
      </c>
      <c r="OH104" s="286">
        <f t="shared" si="920"/>
        <v>0</v>
      </c>
      <c r="OI104" s="286">
        <f t="shared" si="921"/>
        <v>0</v>
      </c>
      <c r="OJ104" s="286">
        <f t="shared" si="922"/>
        <v>0</v>
      </c>
      <c r="OK104" s="286">
        <f t="shared" si="923"/>
        <v>0</v>
      </c>
      <c r="OL104" s="286">
        <f t="shared" si="924"/>
        <v>0</v>
      </c>
      <c r="OM104" s="286">
        <f t="shared" si="925"/>
        <v>0</v>
      </c>
      <c r="ON104" s="286">
        <f t="shared" si="926"/>
        <v>0</v>
      </c>
      <c r="OO104" s="286">
        <f t="shared" si="927"/>
        <v>0</v>
      </c>
      <c r="OP104" s="434">
        <f t="shared" si="928"/>
        <v>0</v>
      </c>
      <c r="OQ104" s="434">
        <f t="shared" si="929"/>
        <v>0</v>
      </c>
      <c r="OR104" s="282">
        <f t="shared" si="930"/>
        <v>0</v>
      </c>
      <c r="OS104" s="282">
        <f t="shared" si="931"/>
        <v>0</v>
      </c>
      <c r="OT104" s="282">
        <f t="shared" si="932"/>
        <v>0</v>
      </c>
      <c r="OU104" s="282">
        <f t="shared" si="933"/>
        <v>0</v>
      </c>
      <c r="OV104" s="282">
        <f t="shared" si="934"/>
        <v>0</v>
      </c>
      <c r="OW104" s="286">
        <f t="shared" si="935"/>
        <v>0</v>
      </c>
      <c r="OX104" s="286">
        <f t="shared" si="936"/>
        <v>0</v>
      </c>
      <c r="OY104" s="286">
        <f t="shared" si="937"/>
        <v>0</v>
      </c>
      <c r="OZ104" s="286">
        <f t="shared" si="938"/>
        <v>0</v>
      </c>
      <c r="PA104" s="286">
        <f t="shared" si="939"/>
        <v>0</v>
      </c>
      <c r="PB104" s="286">
        <f t="shared" si="940"/>
        <v>0</v>
      </c>
      <c r="PC104" s="286">
        <f t="shared" si="941"/>
        <v>0</v>
      </c>
      <c r="PD104" s="282">
        <f t="shared" si="942"/>
        <v>0</v>
      </c>
      <c r="PE104" s="282">
        <f t="shared" si="943"/>
        <v>0</v>
      </c>
      <c r="PF104" s="286">
        <f t="shared" si="944"/>
        <v>0</v>
      </c>
      <c r="PG104" s="286">
        <f t="shared" si="945"/>
        <v>0</v>
      </c>
      <c r="PH104" s="286">
        <f t="shared" si="946"/>
        <v>0</v>
      </c>
      <c r="PI104" s="286">
        <f t="shared" si="947"/>
        <v>0</v>
      </c>
      <c r="PJ104" s="286">
        <f t="shared" si="948"/>
        <v>0</v>
      </c>
      <c r="PK104" s="286">
        <f t="shared" si="949"/>
        <v>0</v>
      </c>
      <c r="PL104" s="286">
        <f t="shared" si="950"/>
        <v>0</v>
      </c>
      <c r="PM104" s="562">
        <v>48</v>
      </c>
    </row>
    <row r="105" spans="1:431" s="289" customFormat="1" ht="15" customHeight="1">
      <c r="A105" s="1935" t="s">
        <v>995</v>
      </c>
      <c r="B105" s="1040" t="str">
        <f>VLOOKUP(A105,'Area (&amp;golfacre for lookup)'!$A$2:$B$162,2,FALSE)</f>
        <v>BOCA</v>
      </c>
      <c r="C105" s="1936"/>
      <c r="D105" s="1937">
        <v>44865</v>
      </c>
      <c r="E105" s="402"/>
      <c r="F105" s="1936">
        <v>0</v>
      </c>
      <c r="G105" s="1936">
        <v>1</v>
      </c>
      <c r="H105" s="1936">
        <v>954</v>
      </c>
      <c r="I105" s="1936">
        <v>673</v>
      </c>
      <c r="J105" s="1936">
        <v>1627</v>
      </c>
      <c r="K105" s="1938">
        <v>1511.0553675375661</v>
      </c>
      <c r="L105" s="1939" t="s">
        <v>1208</v>
      </c>
      <c r="M105" s="1939" t="s">
        <v>1208</v>
      </c>
      <c r="N105" s="1939" t="s">
        <v>1208</v>
      </c>
      <c r="O105" s="1939" t="s">
        <v>1208</v>
      </c>
      <c r="P105" s="1939" t="s">
        <v>1208</v>
      </c>
      <c r="Q105" s="1936">
        <v>1000</v>
      </c>
      <c r="R105" s="1936">
        <v>85000</v>
      </c>
      <c r="S105" s="1936">
        <v>86000</v>
      </c>
      <c r="T105" s="1939" t="s">
        <v>1208</v>
      </c>
      <c r="U105" s="1939" t="s">
        <v>1208</v>
      </c>
      <c r="V105" s="1939" t="s">
        <v>1208</v>
      </c>
      <c r="W105" s="1936">
        <v>18419</v>
      </c>
      <c r="X105" s="1936">
        <v>14774</v>
      </c>
      <c r="Y105" s="1939" t="s">
        <v>1208</v>
      </c>
      <c r="Z105" s="1939" t="s">
        <v>1208</v>
      </c>
      <c r="AA105" s="1936">
        <v>3645</v>
      </c>
      <c r="AB105" s="1362">
        <v>0.24671720590226073</v>
      </c>
      <c r="AC105" s="1939" t="s">
        <v>1208</v>
      </c>
      <c r="AD105" s="1363" t="s">
        <v>1208</v>
      </c>
      <c r="AE105" s="1936">
        <v>1</v>
      </c>
      <c r="AF105" s="1936">
        <v>600</v>
      </c>
      <c r="AG105" s="1939" t="s">
        <v>1208</v>
      </c>
      <c r="AH105" s="1936">
        <v>0</v>
      </c>
      <c r="AI105" s="1936">
        <v>0</v>
      </c>
      <c r="AJ105" s="1939" t="s">
        <v>1208</v>
      </c>
      <c r="AK105" s="1938">
        <v>1</v>
      </c>
      <c r="AL105" s="1938">
        <v>1308</v>
      </c>
      <c r="AM105" s="1936">
        <v>16682</v>
      </c>
      <c r="AN105" s="1939" t="s">
        <v>1208</v>
      </c>
      <c r="AO105" s="1936">
        <v>1400</v>
      </c>
      <c r="AP105" s="1936">
        <v>708</v>
      </c>
      <c r="AQ105" s="1936">
        <v>18790</v>
      </c>
      <c r="AR105" s="1939" t="s">
        <v>1208</v>
      </c>
      <c r="AS105" s="1363" t="s">
        <v>1208</v>
      </c>
      <c r="AT105" s="1363" t="s">
        <v>1208</v>
      </c>
      <c r="AU105" s="1363" t="s">
        <v>1208</v>
      </c>
      <c r="AV105" s="1363" t="s">
        <v>1208</v>
      </c>
      <c r="AW105" s="1363" t="s">
        <v>1291</v>
      </c>
      <c r="AX105" s="1938">
        <v>0</v>
      </c>
      <c r="AY105" s="1938">
        <v>0</v>
      </c>
      <c r="AZ105" s="1938">
        <v>0</v>
      </c>
      <c r="BA105" s="1938">
        <v>0</v>
      </c>
      <c r="BB105" s="1938">
        <v>0</v>
      </c>
      <c r="BC105" s="1938">
        <v>0</v>
      </c>
      <c r="BD105" s="1938">
        <v>0</v>
      </c>
      <c r="BE105" s="1936">
        <v>1</v>
      </c>
      <c r="BF105" s="1936">
        <v>7800000</v>
      </c>
      <c r="BG105" s="1936">
        <v>6700000</v>
      </c>
      <c r="BH105" s="1936">
        <v>14500000</v>
      </c>
      <c r="BI105" s="1938">
        <v>36591855</v>
      </c>
      <c r="BJ105" s="1936">
        <v>2895613</v>
      </c>
      <c r="BK105" s="1936">
        <v>4205876</v>
      </c>
      <c r="BL105" s="1362">
        <v>0.68846846649782356</v>
      </c>
      <c r="BM105" s="1936">
        <v>1</v>
      </c>
      <c r="BN105" s="1936">
        <v>8918703</v>
      </c>
      <c r="BO105" s="1363" t="s">
        <v>1208</v>
      </c>
      <c r="BP105" s="1938">
        <v>36975428</v>
      </c>
      <c r="BQ105" s="1938">
        <v>35961423</v>
      </c>
      <c r="BR105" s="1940">
        <v>1.0281970210133231</v>
      </c>
      <c r="BS105" s="1409">
        <v>1</v>
      </c>
      <c r="BT105" s="1938">
        <v>43939010</v>
      </c>
      <c r="BU105" s="1938">
        <v>40970473</v>
      </c>
      <c r="BV105" s="1940">
        <v>1.0724555218095724</v>
      </c>
      <c r="BW105" s="1936">
        <v>5902.300598378486</v>
      </c>
      <c r="BX105" s="1936">
        <v>1916.2851753862108</v>
      </c>
      <c r="BY105" s="1936">
        <v>9595.9422212498885</v>
      </c>
      <c r="BZ105" s="1936">
        <v>2571007</v>
      </c>
      <c r="CA105" s="1936">
        <v>194140</v>
      </c>
      <c r="CB105" s="1936">
        <v>646236</v>
      </c>
      <c r="CC105" s="1936">
        <v>685871</v>
      </c>
      <c r="CD105" s="1936">
        <v>22324332</v>
      </c>
      <c r="CE105" s="1936">
        <v>0</v>
      </c>
      <c r="CF105" s="1936">
        <v>0</v>
      </c>
      <c r="CG105" s="1936">
        <v>4617247</v>
      </c>
      <c r="CH105" s="1936">
        <v>668756</v>
      </c>
      <c r="CI105" s="1936">
        <v>1324585</v>
      </c>
      <c r="CJ105" s="1936">
        <v>33032174</v>
      </c>
      <c r="CK105" s="1366">
        <v>7.7833417806530081E-2</v>
      </c>
      <c r="CL105" s="1366">
        <v>5.8773001135196245E-3</v>
      </c>
      <c r="CM105" s="1366">
        <v>1.9563834944681509E-2</v>
      </c>
      <c r="CN105" s="1366">
        <v>2.0763725693622226E-2</v>
      </c>
      <c r="CO105" s="1366">
        <v>0.67583598948104351</v>
      </c>
      <c r="CP105" s="1366">
        <v>0</v>
      </c>
      <c r="CQ105" s="1366">
        <v>0</v>
      </c>
      <c r="CR105" s="1366">
        <v>0.13978029420649091</v>
      </c>
      <c r="CS105" s="1366">
        <v>2.0245594492206295E-2</v>
      </c>
      <c r="CT105" s="1366">
        <v>4.0099843261905799E-2</v>
      </c>
      <c r="CU105" s="1366">
        <v>1</v>
      </c>
      <c r="CV105" s="1936">
        <v>18317970</v>
      </c>
      <c r="CW105" s="1936">
        <v>2922925</v>
      </c>
      <c r="CX105" s="1936">
        <v>559303</v>
      </c>
      <c r="CY105" s="1936">
        <v>12338808</v>
      </c>
      <c r="CZ105" s="1936">
        <v>100279</v>
      </c>
      <c r="DA105" s="1936">
        <v>1371947</v>
      </c>
      <c r="DB105" s="1936">
        <v>35611232</v>
      </c>
      <c r="DC105" s="1366">
        <v>0.51438742697809503</v>
      </c>
      <c r="DD105" s="1366">
        <v>8.2078738528338469E-2</v>
      </c>
      <c r="DE105" s="1366">
        <v>1.5705803157835145E-2</v>
      </c>
      <c r="DF105" s="1366">
        <v>0.34648641192756263</v>
      </c>
      <c r="DG105" s="1366">
        <v>2.8159373986274892E-3</v>
      </c>
      <c r="DH105" s="1366">
        <v>3.8525682009541262E-2</v>
      </c>
      <c r="DI105" s="1366">
        <v>1</v>
      </c>
      <c r="DJ105" s="1936">
        <v>-2579058</v>
      </c>
      <c r="DK105" s="1936">
        <v>1701.4644567192424</v>
      </c>
      <c r="DL105" s="1936">
        <v>128.47973950575542</v>
      </c>
      <c r="DM105" s="1936">
        <v>427.67195291666508</v>
      </c>
      <c r="DN105" s="1936">
        <v>453.9019646366126</v>
      </c>
      <c r="DO105" s="1936">
        <v>14773.999999999998</v>
      </c>
      <c r="DP105" s="1936">
        <v>0</v>
      </c>
      <c r="DQ105" s="1936">
        <v>0</v>
      </c>
      <c r="DR105" s="1936">
        <v>3055.6438229820269</v>
      </c>
      <c r="DS105" s="1936">
        <v>442.57544386994419</v>
      </c>
      <c r="DT105" s="1936">
        <v>876.59593980236446</v>
      </c>
      <c r="DU105" s="1936">
        <v>21860.333320432608</v>
      </c>
      <c r="DV105" s="1936">
        <v>12122.63322279923</v>
      </c>
      <c r="DW105" s="1936">
        <v>1934.3599597963332</v>
      </c>
      <c r="DX105" s="1936">
        <v>370.14063946011908</v>
      </c>
      <c r="DY105" s="1936">
        <v>8165.6888722135109</v>
      </c>
      <c r="DZ105" s="1936">
        <v>66.363551034808111</v>
      </c>
      <c r="EA105" s="1936">
        <v>907.93959604256008</v>
      </c>
      <c r="EB105" s="1936">
        <v>23567.125841346562</v>
      </c>
      <c r="EC105" s="1936">
        <v>-1706.7925209139514</v>
      </c>
      <c r="ED105" s="1941">
        <v>420</v>
      </c>
      <c r="EE105" s="1936">
        <v>1</v>
      </c>
      <c r="EF105" s="1936">
        <v>85</v>
      </c>
      <c r="EG105" s="1938">
        <v>1448417</v>
      </c>
      <c r="EH105" s="1938">
        <v>1</v>
      </c>
      <c r="EI105" s="1368">
        <v>0.34</v>
      </c>
      <c r="EJ105" s="1936">
        <v>3.5977508750894431</v>
      </c>
      <c r="EK105" s="1936">
        <v>1</v>
      </c>
      <c r="EL105" s="1936">
        <v>1400</v>
      </c>
      <c r="EM105" s="1936">
        <v>0</v>
      </c>
      <c r="EN105" s="1362">
        <v>0</v>
      </c>
      <c r="EO105" s="1936">
        <v>1</v>
      </c>
      <c r="EP105" s="1936">
        <v>59</v>
      </c>
      <c r="EQ105" s="1936">
        <v>1</v>
      </c>
      <c r="ER105" s="1938">
        <v>0</v>
      </c>
      <c r="ES105" s="1936">
        <v>3498.219266851971</v>
      </c>
      <c r="ET105" s="1936">
        <v>-4990.1509646783607</v>
      </c>
      <c r="EU105" s="1938">
        <v>5</v>
      </c>
      <c r="EV105" s="1936">
        <v>276349</v>
      </c>
      <c r="EW105" s="1936">
        <v>9738</v>
      </c>
      <c r="EX105" s="1938">
        <v>1</v>
      </c>
      <c r="EY105" s="1936">
        <v>4617247</v>
      </c>
      <c r="EZ105" s="1936">
        <v>2678362</v>
      </c>
      <c r="FA105" s="1936">
        <v>1938885</v>
      </c>
      <c r="FB105" s="1936">
        <v>668756</v>
      </c>
      <c r="FC105" s="1936">
        <v>244563</v>
      </c>
      <c r="FD105" s="1936">
        <v>424193</v>
      </c>
      <c r="FE105" s="1936">
        <v>5286003</v>
      </c>
      <c r="FF105" s="1936">
        <v>2922925</v>
      </c>
      <c r="FG105" s="1936">
        <v>2363078</v>
      </c>
      <c r="FH105" s="1366">
        <v>1</v>
      </c>
      <c r="FI105" s="1366">
        <v>0.58007769564851086</v>
      </c>
      <c r="FJ105" s="1366">
        <v>0.41992230435148908</v>
      </c>
      <c r="FK105" s="1366">
        <v>1</v>
      </c>
      <c r="FL105" s="1366">
        <v>0.36569840121060598</v>
      </c>
      <c r="FM105" s="1366">
        <v>0.63430159878939407</v>
      </c>
      <c r="FN105" s="1366">
        <v>1</v>
      </c>
      <c r="FO105" s="1366">
        <v>0.55295560747884553</v>
      </c>
      <c r="FP105" s="1366">
        <v>0.44704439252115447</v>
      </c>
      <c r="FQ105" s="1936">
        <v>7080159</v>
      </c>
      <c r="FR105" s="1936">
        <v>-1057200.6000000001</v>
      </c>
      <c r="FS105" s="1936">
        <v>1086078</v>
      </c>
      <c r="FT105" s="1936">
        <v>263333</v>
      </c>
      <c r="FU105" s="1936">
        <v>112016</v>
      </c>
      <c r="FV105" s="1936">
        <v>58458</v>
      </c>
      <c r="FW105" s="1936">
        <v>2360629</v>
      </c>
      <c r="FX105" s="1936">
        <v>9903472.4000000004</v>
      </c>
      <c r="FY105" s="1936">
        <v>-7540394.4000000004</v>
      </c>
      <c r="FZ105" s="1366">
        <v>1.3394163794458687</v>
      </c>
      <c r="GA105" s="1366">
        <v>-0.2</v>
      </c>
      <c r="GB105" s="1366">
        <v>0.20546299349432831</v>
      </c>
      <c r="GC105" s="1366">
        <v>4.981703566948411E-2</v>
      </c>
      <c r="GD105" s="1366">
        <v>2.1191058726224711E-2</v>
      </c>
      <c r="GE105" s="1366">
        <v>1.1059017560148944E-2</v>
      </c>
      <c r="GF105" s="1366">
        <v>0.44658109350297381</v>
      </c>
      <c r="GG105" s="1366">
        <v>1.8735275783990286</v>
      </c>
      <c r="GH105" s="1366">
        <v>-1.4264831858778741</v>
      </c>
      <c r="GI105" s="1942">
        <v>6.9042326349221543</v>
      </c>
      <c r="GJ105" s="1943">
        <v>1</v>
      </c>
      <c r="GK105" s="1371">
        <v>0.2</v>
      </c>
      <c r="GL105" s="1943">
        <v>1</v>
      </c>
      <c r="GM105" s="1371">
        <v>0.3</v>
      </c>
      <c r="GN105" s="1943">
        <v>0</v>
      </c>
      <c r="GO105" s="1985">
        <f>IF(GN105=0,0,VLOOKUP(A105,'Area (&amp;golfacre for lookup)'!$G$2:$H$133,2,FALSE))</f>
        <v>0</v>
      </c>
      <c r="GP105" s="1943">
        <v>0</v>
      </c>
      <c r="GQ105" s="1943">
        <v>0</v>
      </c>
      <c r="GR105" s="1943">
        <v>0</v>
      </c>
      <c r="GS105" s="1943">
        <v>0</v>
      </c>
      <c r="GT105" s="1943">
        <v>0</v>
      </c>
      <c r="GU105" s="1943">
        <v>0</v>
      </c>
      <c r="GV105" s="1943">
        <v>0</v>
      </c>
      <c r="GW105" s="1943">
        <v>0</v>
      </c>
      <c r="GX105" s="1936">
        <v>0</v>
      </c>
      <c r="GY105" s="1985">
        <f t="shared" si="764"/>
        <v>0</v>
      </c>
      <c r="GZ105" s="1936">
        <v>0</v>
      </c>
      <c r="HA105" s="1936">
        <v>0</v>
      </c>
      <c r="HB105" s="1936">
        <v>0</v>
      </c>
      <c r="HC105" s="1936">
        <v>0</v>
      </c>
      <c r="HD105" s="1936">
        <v>0</v>
      </c>
      <c r="HE105" s="1936">
        <v>0</v>
      </c>
      <c r="HF105" s="1936">
        <v>0</v>
      </c>
      <c r="HG105" s="1936">
        <v>54</v>
      </c>
      <c r="HH105" s="1988">
        <f>IF(HG105=0,0,VLOOKUP(A105,'Area (&amp;golfacre for lookup)'!$G$2:$H$134,2,FALSE))</f>
        <v>483</v>
      </c>
      <c r="HI105" s="1936">
        <v>105354</v>
      </c>
      <c r="HJ105" s="1936">
        <v>2359212</v>
      </c>
      <c r="HK105" s="1936">
        <v>505376</v>
      </c>
      <c r="HL105" s="1936">
        <v>2077661</v>
      </c>
      <c r="HM105" s="1936">
        <v>275728</v>
      </c>
      <c r="HN105" s="1936">
        <v>371106</v>
      </c>
      <c r="HO105" s="1936">
        <v>171323</v>
      </c>
      <c r="HP105" s="1936">
        <v>5760406</v>
      </c>
      <c r="HQ105" s="1936">
        <v>106674.18518518518</v>
      </c>
      <c r="HR105" s="1988">
        <f t="shared" si="765"/>
        <v>11926.306418219461</v>
      </c>
      <c r="HS105" s="1366">
        <v>0.40955654861827445</v>
      </c>
      <c r="HT105" s="1366">
        <v>8.7732704951699589E-2</v>
      </c>
      <c r="HU105" s="1366">
        <v>0.36067961181902802</v>
      </c>
      <c r="HV105" s="1366">
        <v>4.7866070551277118E-2</v>
      </c>
      <c r="HW105" s="1366">
        <v>6.4423584032097733E-2</v>
      </c>
      <c r="HX105" s="1366">
        <v>2.9741480027623054E-2</v>
      </c>
      <c r="HY105" s="1366">
        <v>1</v>
      </c>
      <c r="HZ105" s="51"/>
      <c r="IA105" s="59">
        <f t="shared" si="767"/>
        <v>0.01</v>
      </c>
      <c r="IB105" s="59"/>
      <c r="IC105" s="815">
        <f t="shared" si="768"/>
        <v>1</v>
      </c>
      <c r="ID105" s="815"/>
      <c r="IE105" s="284">
        <f t="shared" si="769"/>
        <v>0</v>
      </c>
      <c r="IF105" s="284"/>
      <c r="IG105" s="284">
        <f t="shared" si="770"/>
        <v>24216.091472300268</v>
      </c>
      <c r="IH105" s="284"/>
      <c r="II105" s="1288">
        <f t="shared" si="771"/>
        <v>1.0281970210133231</v>
      </c>
      <c r="IJ105" s="1288">
        <f t="shared" si="772"/>
        <v>0</v>
      </c>
      <c r="IK105" s="284">
        <f t="shared" si="773"/>
        <v>0</v>
      </c>
      <c r="IL105" s="284">
        <f t="shared" si="774"/>
        <v>1</v>
      </c>
      <c r="IM105" s="284">
        <f t="shared" si="775"/>
        <v>0</v>
      </c>
      <c r="IN105" s="284">
        <f t="shared" si="776"/>
        <v>0</v>
      </c>
      <c r="IO105" s="753">
        <f t="shared" si="777"/>
        <v>-4634.5386601106329</v>
      </c>
      <c r="IP105" s="113">
        <f t="shared" si="778"/>
        <v>-4990.1509646783607</v>
      </c>
      <c r="IQ105" s="30">
        <f t="shared" si="779"/>
        <v>-0.33776573471492899</v>
      </c>
      <c r="IR105" s="438">
        <f t="shared" si="780"/>
        <v>4617247</v>
      </c>
      <c r="IS105" s="438">
        <f t="shared" si="781"/>
        <v>668756</v>
      </c>
      <c r="IT105" s="438">
        <f t="shared" si="782"/>
        <v>7080159</v>
      </c>
      <c r="IU105" s="438">
        <f t="shared" si="783"/>
        <v>1349411</v>
      </c>
      <c r="IV105" s="438">
        <f t="shared" si="784"/>
        <v>2922925</v>
      </c>
      <c r="IW105" s="438">
        <f t="shared" si="785"/>
        <v>1473902.4</v>
      </c>
      <c r="IX105" s="285">
        <f t="shared" si="786"/>
        <v>0.87348550502146893</v>
      </c>
      <c r="IY105" s="285">
        <f t="shared" si="787"/>
        <v>0.12651449497853104</v>
      </c>
      <c r="IZ105" s="285">
        <f t="shared" si="788"/>
        <v>1.3394163794458687</v>
      </c>
      <c r="JA105" s="285">
        <f t="shared" si="789"/>
        <v>0.25528002916381243</v>
      </c>
      <c r="JB105" s="285">
        <f t="shared" si="790"/>
        <v>0.55295560747884553</v>
      </c>
      <c r="JC105" s="285">
        <f t="shared" si="791"/>
        <v>0.27883116978934741</v>
      </c>
      <c r="JD105" s="60">
        <f t="shared" si="792"/>
        <v>22324332</v>
      </c>
      <c r="JE105" s="60">
        <f t="shared" si="793"/>
        <v>4097254</v>
      </c>
      <c r="JF105" s="60">
        <f t="shared" si="794"/>
        <v>0</v>
      </c>
      <c r="JG105" s="60">
        <f t="shared" si="795"/>
        <v>1472226</v>
      </c>
      <c r="JH105" s="284">
        <f t="shared" si="796"/>
        <v>0</v>
      </c>
      <c r="JI105" s="284">
        <f t="shared" si="797"/>
        <v>1</v>
      </c>
      <c r="JJ105" s="560">
        <f t="shared" si="798"/>
        <v>0.86547793685279062</v>
      </c>
      <c r="JK105" s="561">
        <f t="shared" si="799"/>
        <v>0.55454933120659877</v>
      </c>
      <c r="JL105" s="561">
        <f t="shared" si="800"/>
        <v>8.8487212497730242E-2</v>
      </c>
      <c r="JM105" s="561">
        <f t="shared" si="801"/>
        <v>1.6932067504851482E-2</v>
      </c>
      <c r="JN105" s="561">
        <f t="shared" si="802"/>
        <v>0.37353908344028464</v>
      </c>
      <c r="JO105" s="561">
        <f t="shared" si="803"/>
        <v>3.0357977649306399E-3</v>
      </c>
      <c r="JP105" s="561">
        <f t="shared" si="804"/>
        <v>4.1533657457725914E-2</v>
      </c>
      <c r="JQ105" s="561">
        <f t="shared" si="805"/>
        <v>1.0780771498721218</v>
      </c>
      <c r="JR105" s="61">
        <f t="shared" si="806"/>
        <v>0</v>
      </c>
      <c r="JS105" s="61">
        <f t="shared" si="807"/>
        <v>0</v>
      </c>
      <c r="JT105" s="61">
        <f t="shared" si="808"/>
        <v>0</v>
      </c>
      <c r="JU105" s="61">
        <f t="shared" si="809"/>
        <v>0</v>
      </c>
      <c r="JV105" s="61">
        <f t="shared" si="810"/>
        <v>0</v>
      </c>
      <c r="JW105" s="61">
        <f t="shared" si="811"/>
        <v>0</v>
      </c>
      <c r="JX105" s="61">
        <f t="shared" si="812"/>
        <v>0</v>
      </c>
      <c r="JY105" s="394">
        <f t="shared" si="813"/>
        <v>0</v>
      </c>
      <c r="JZ105" s="61">
        <f t="shared" si="814"/>
        <v>43689.111111111109</v>
      </c>
      <c r="KA105" s="61">
        <f t="shared" si="815"/>
        <v>9358.8148148148157</v>
      </c>
      <c r="KB105" s="61">
        <f t="shared" si="816"/>
        <v>38475.203703703701</v>
      </c>
      <c r="KC105" s="61">
        <f t="shared" si="817"/>
        <v>5106.0740740740739</v>
      </c>
      <c r="KD105" s="61">
        <f t="shared" si="818"/>
        <v>6872.333333333333</v>
      </c>
      <c r="KE105" s="61">
        <f t="shared" si="819"/>
        <v>3172.6481481481483</v>
      </c>
      <c r="KF105" s="61">
        <f t="shared" si="820"/>
        <v>35100</v>
      </c>
      <c r="KG105" s="61">
        <f t="shared" si="821"/>
        <v>322</v>
      </c>
      <c r="KH105" s="61">
        <f t="shared" si="822"/>
        <v>54.676671032898611</v>
      </c>
      <c r="KI105" s="394">
        <f t="shared" si="823"/>
        <v>0.16175812170721868</v>
      </c>
      <c r="KJ105" s="438">
        <f t="shared" si="824"/>
        <v>54</v>
      </c>
      <c r="KK105" s="438">
        <f t="shared" si="825"/>
        <v>105354</v>
      </c>
      <c r="KL105" s="438">
        <f t="shared" si="826"/>
        <v>483</v>
      </c>
      <c r="KM105" s="438">
        <f t="shared" si="827"/>
        <v>106674.18518518518</v>
      </c>
      <c r="KN105" s="438">
        <f t="shared" si="828"/>
        <v>54.676671032898611</v>
      </c>
      <c r="KO105" s="438">
        <f t="shared" si="829"/>
        <v>11926.306418219461</v>
      </c>
      <c r="KP105" s="438">
        <f t="shared" si="830"/>
        <v>2359212</v>
      </c>
      <c r="KQ105" s="438">
        <f t="shared" si="831"/>
        <v>505376</v>
      </c>
      <c r="KR105" s="438">
        <f t="shared" si="832"/>
        <v>2077661</v>
      </c>
      <c r="KS105" s="438">
        <f t="shared" si="833"/>
        <v>275728</v>
      </c>
      <c r="KT105" s="438">
        <f t="shared" si="834"/>
        <v>371106</v>
      </c>
      <c r="KU105" s="438">
        <f t="shared" si="835"/>
        <v>171323</v>
      </c>
      <c r="KV105" s="420">
        <f t="shared" si="836"/>
        <v>0.16175812170721868</v>
      </c>
      <c r="KW105" s="420">
        <f t="shared" si="837"/>
        <v>-0.25035835338768481</v>
      </c>
      <c r="KX105" s="108"/>
      <c r="KY105" s="282">
        <f t="shared" si="838"/>
        <v>0</v>
      </c>
      <c r="KZ105" s="282"/>
      <c r="LA105" s="282">
        <f t="shared" si="839"/>
        <v>0</v>
      </c>
      <c r="LB105" s="282"/>
      <c r="LC105" s="286">
        <f t="shared" si="840"/>
        <v>0</v>
      </c>
      <c r="LD105" s="286"/>
      <c r="LE105" s="282">
        <f t="shared" si="841"/>
        <v>0</v>
      </c>
      <c r="LF105" s="282"/>
      <c r="LG105" s="282">
        <f t="shared" si="842"/>
        <v>0</v>
      </c>
      <c r="LH105" s="282">
        <f t="shared" si="843"/>
        <v>0</v>
      </c>
      <c r="LI105" s="282">
        <f t="shared" si="844"/>
        <v>0</v>
      </c>
      <c r="LJ105" s="282">
        <f t="shared" si="845"/>
        <v>0</v>
      </c>
      <c r="LK105" s="282"/>
      <c r="LL105" s="282">
        <f t="shared" si="846"/>
        <v>0</v>
      </c>
      <c r="LM105" s="282">
        <f t="shared" si="847"/>
        <v>0</v>
      </c>
      <c r="LN105" s="282">
        <f t="shared" si="848"/>
        <v>0</v>
      </c>
      <c r="LO105" s="282">
        <f t="shared" si="849"/>
        <v>0</v>
      </c>
      <c r="LP105" s="286">
        <f t="shared" si="850"/>
        <v>0</v>
      </c>
      <c r="LQ105" s="282">
        <f t="shared" si="851"/>
        <v>0</v>
      </c>
      <c r="LR105" s="282">
        <f t="shared" si="852"/>
        <v>0</v>
      </c>
      <c r="LS105" s="282">
        <f t="shared" si="853"/>
        <v>0</v>
      </c>
      <c r="LT105" s="286">
        <f t="shared" si="854"/>
        <v>0</v>
      </c>
      <c r="LU105" s="286">
        <f t="shared" si="855"/>
        <v>0</v>
      </c>
      <c r="LV105" s="286">
        <f t="shared" si="856"/>
        <v>0</v>
      </c>
      <c r="LW105" s="286">
        <f t="shared" si="857"/>
        <v>0</v>
      </c>
      <c r="LX105" s="286">
        <f t="shared" si="858"/>
        <v>0</v>
      </c>
      <c r="LY105" s="286">
        <f t="shared" si="859"/>
        <v>0</v>
      </c>
      <c r="LZ105" s="286">
        <f t="shared" si="860"/>
        <v>0</v>
      </c>
      <c r="MA105" s="286">
        <f t="shared" si="861"/>
        <v>0</v>
      </c>
      <c r="MB105" s="286">
        <f t="shared" si="862"/>
        <v>0</v>
      </c>
      <c r="MC105" s="286">
        <f t="shared" si="863"/>
        <v>0</v>
      </c>
      <c r="MD105" s="286">
        <f t="shared" si="864"/>
        <v>0</v>
      </c>
      <c r="ME105" s="286">
        <f t="shared" si="865"/>
        <v>0</v>
      </c>
      <c r="MF105" s="286">
        <f t="shared" si="866"/>
        <v>0</v>
      </c>
      <c r="MG105" s="286">
        <f t="shared" si="867"/>
        <v>0</v>
      </c>
      <c r="MH105" s="286">
        <f t="shared" si="868"/>
        <v>0</v>
      </c>
      <c r="MI105" s="286">
        <f t="shared" si="869"/>
        <v>0</v>
      </c>
      <c r="MJ105" s="286">
        <f t="shared" si="870"/>
        <v>0</v>
      </c>
      <c r="MK105" s="286">
        <f t="shared" si="871"/>
        <v>0</v>
      </c>
      <c r="ML105" s="282">
        <f t="shared" si="872"/>
        <v>0</v>
      </c>
      <c r="MM105" s="1232">
        <f t="shared" si="873"/>
        <v>0</v>
      </c>
      <c r="MN105" s="1232">
        <f t="shared" si="874"/>
        <v>0</v>
      </c>
      <c r="MO105" s="1232">
        <f t="shared" si="875"/>
        <v>0</v>
      </c>
      <c r="MP105" s="1232">
        <f t="shared" si="876"/>
        <v>0</v>
      </c>
      <c r="MQ105" s="282">
        <f t="shared" si="877"/>
        <v>0</v>
      </c>
      <c r="MR105" s="282">
        <f t="shared" si="878"/>
        <v>0</v>
      </c>
      <c r="MS105" s="282">
        <f t="shared" si="879"/>
        <v>0</v>
      </c>
      <c r="MT105" s="282">
        <f t="shared" si="880"/>
        <v>0</v>
      </c>
      <c r="MU105" s="282">
        <f t="shared" si="881"/>
        <v>0</v>
      </c>
      <c r="MV105" s="282">
        <f t="shared" si="882"/>
        <v>0</v>
      </c>
      <c r="MW105" s="282">
        <f t="shared" si="883"/>
        <v>0</v>
      </c>
      <c r="MX105" s="282">
        <f t="shared" si="884"/>
        <v>0</v>
      </c>
      <c r="MY105" s="282">
        <f t="shared" si="885"/>
        <v>0</v>
      </c>
      <c r="MZ105" s="282">
        <f t="shared" si="886"/>
        <v>0</v>
      </c>
      <c r="NA105" s="282">
        <f t="shared" si="887"/>
        <v>0</v>
      </c>
      <c r="NB105" s="282">
        <f t="shared" si="888"/>
        <v>0</v>
      </c>
      <c r="NC105" s="282">
        <f t="shared" si="889"/>
        <v>0</v>
      </c>
      <c r="ND105" s="282">
        <f t="shared" si="890"/>
        <v>0</v>
      </c>
      <c r="NE105" s="282">
        <f t="shared" si="891"/>
        <v>0</v>
      </c>
      <c r="NF105" s="282">
        <f t="shared" si="892"/>
        <v>0</v>
      </c>
      <c r="NG105" s="282">
        <f t="shared" si="893"/>
        <v>0</v>
      </c>
      <c r="NH105" s="282">
        <f t="shared" si="894"/>
        <v>0</v>
      </c>
      <c r="NI105" s="282">
        <f t="shared" si="895"/>
        <v>0</v>
      </c>
      <c r="NJ105" s="282">
        <f t="shared" si="896"/>
        <v>0</v>
      </c>
      <c r="NK105" s="282">
        <f t="shared" si="897"/>
        <v>0</v>
      </c>
      <c r="NL105" s="282">
        <f t="shared" si="898"/>
        <v>0</v>
      </c>
      <c r="NM105" s="1205">
        <f t="shared" si="899"/>
        <v>0</v>
      </c>
      <c r="NN105" s="282">
        <f t="shared" si="900"/>
        <v>0</v>
      </c>
      <c r="NO105" s="282">
        <f t="shared" si="901"/>
        <v>0</v>
      </c>
      <c r="NP105" s="282">
        <f t="shared" si="902"/>
        <v>0</v>
      </c>
      <c r="NQ105" s="282">
        <f t="shared" si="903"/>
        <v>0</v>
      </c>
      <c r="NR105" s="282">
        <f t="shared" si="904"/>
        <v>0</v>
      </c>
      <c r="NS105" s="282">
        <f t="shared" si="905"/>
        <v>0</v>
      </c>
      <c r="NT105" s="282">
        <f t="shared" si="906"/>
        <v>0</v>
      </c>
      <c r="NU105" s="282">
        <f t="shared" si="907"/>
        <v>0</v>
      </c>
      <c r="NV105" s="286">
        <f t="shared" si="908"/>
        <v>0</v>
      </c>
      <c r="NW105" s="286">
        <f t="shared" si="909"/>
        <v>0</v>
      </c>
      <c r="NX105" s="286">
        <f t="shared" si="910"/>
        <v>0</v>
      </c>
      <c r="NY105" s="286">
        <f t="shared" si="911"/>
        <v>0</v>
      </c>
      <c r="NZ105" s="286">
        <f t="shared" si="912"/>
        <v>0</v>
      </c>
      <c r="OA105" s="286">
        <f t="shared" si="913"/>
        <v>0</v>
      </c>
      <c r="OB105" s="286">
        <f t="shared" si="914"/>
        <v>0</v>
      </c>
      <c r="OC105" s="286">
        <f t="shared" si="915"/>
        <v>0</v>
      </c>
      <c r="OD105" s="286">
        <f t="shared" si="916"/>
        <v>0</v>
      </c>
      <c r="OE105" s="282">
        <f t="shared" si="917"/>
        <v>0</v>
      </c>
      <c r="OF105" s="282">
        <f t="shared" si="918"/>
        <v>0</v>
      </c>
      <c r="OG105" s="286">
        <f t="shared" si="919"/>
        <v>0</v>
      </c>
      <c r="OH105" s="286">
        <f t="shared" si="920"/>
        <v>0</v>
      </c>
      <c r="OI105" s="286">
        <f t="shared" si="921"/>
        <v>0</v>
      </c>
      <c r="OJ105" s="286">
        <f t="shared" si="922"/>
        <v>0</v>
      </c>
      <c r="OK105" s="286">
        <f t="shared" si="923"/>
        <v>0</v>
      </c>
      <c r="OL105" s="286">
        <f t="shared" si="924"/>
        <v>0</v>
      </c>
      <c r="OM105" s="286">
        <f t="shared" si="925"/>
        <v>0</v>
      </c>
      <c r="ON105" s="286">
        <f t="shared" si="926"/>
        <v>0</v>
      </c>
      <c r="OO105" s="286">
        <f t="shared" si="927"/>
        <v>0</v>
      </c>
      <c r="OP105" s="434">
        <f t="shared" si="928"/>
        <v>0</v>
      </c>
      <c r="OQ105" s="434">
        <f t="shared" si="929"/>
        <v>0</v>
      </c>
      <c r="OR105" s="282">
        <f t="shared" si="930"/>
        <v>0</v>
      </c>
      <c r="OS105" s="282">
        <f t="shared" si="931"/>
        <v>0</v>
      </c>
      <c r="OT105" s="282">
        <f t="shared" si="932"/>
        <v>0</v>
      </c>
      <c r="OU105" s="282">
        <f t="shared" si="933"/>
        <v>0</v>
      </c>
      <c r="OV105" s="282">
        <f t="shared" si="934"/>
        <v>0</v>
      </c>
      <c r="OW105" s="286">
        <f t="shared" si="935"/>
        <v>0</v>
      </c>
      <c r="OX105" s="286">
        <f t="shared" si="936"/>
        <v>0</v>
      </c>
      <c r="OY105" s="286">
        <f t="shared" si="937"/>
        <v>0</v>
      </c>
      <c r="OZ105" s="286">
        <f t="shared" si="938"/>
        <v>0</v>
      </c>
      <c r="PA105" s="286">
        <f t="shared" si="939"/>
        <v>0</v>
      </c>
      <c r="PB105" s="286">
        <f t="shared" si="940"/>
        <v>0</v>
      </c>
      <c r="PC105" s="286">
        <f t="shared" si="941"/>
        <v>0</v>
      </c>
      <c r="PD105" s="282">
        <f t="shared" si="942"/>
        <v>0</v>
      </c>
      <c r="PE105" s="282">
        <f t="shared" si="943"/>
        <v>0</v>
      </c>
      <c r="PF105" s="286">
        <f t="shared" si="944"/>
        <v>0</v>
      </c>
      <c r="PG105" s="286">
        <f t="shared" si="945"/>
        <v>0</v>
      </c>
      <c r="PH105" s="286">
        <f t="shared" si="946"/>
        <v>0</v>
      </c>
      <c r="PI105" s="286">
        <f t="shared" si="947"/>
        <v>0</v>
      </c>
      <c r="PJ105" s="286">
        <f t="shared" si="948"/>
        <v>0</v>
      </c>
      <c r="PK105" s="286">
        <f t="shared" si="949"/>
        <v>0</v>
      </c>
      <c r="PL105" s="286">
        <f t="shared" si="950"/>
        <v>0</v>
      </c>
      <c r="PM105" s="562">
        <v>50</v>
      </c>
      <c r="PO105" s="571"/>
    </row>
    <row r="106" spans="1:431" s="289" customFormat="1" ht="15.75" customHeight="1">
      <c r="A106" s="1640" t="s">
        <v>1622</v>
      </c>
      <c r="B106" s="1040" t="str">
        <f>VLOOKUP(A106,'Area (&amp;golfacre for lookup)'!$A$2:$B$162,2,FALSE)</f>
        <v>SE exc BOCA</v>
      </c>
      <c r="C106" s="1936"/>
      <c r="D106" s="1937">
        <v>44865</v>
      </c>
      <c r="E106" s="402"/>
      <c r="F106" s="1936">
        <v>0</v>
      </c>
      <c r="G106" s="1936">
        <v>1</v>
      </c>
      <c r="H106" s="1936">
        <v>956</v>
      </c>
      <c r="I106" s="1936">
        <v>793</v>
      </c>
      <c r="J106" s="1936">
        <v>1749</v>
      </c>
      <c r="K106" s="1938">
        <v>1443.068669066681</v>
      </c>
      <c r="L106" s="1939" t="s">
        <v>1208</v>
      </c>
      <c r="M106" s="1939" t="s">
        <v>1208</v>
      </c>
      <c r="N106" s="1939" t="s">
        <v>1208</v>
      </c>
      <c r="O106" s="1939" t="s">
        <v>1208</v>
      </c>
      <c r="P106" s="1939" t="s">
        <v>1208</v>
      </c>
      <c r="Q106" s="1936">
        <v>20000</v>
      </c>
      <c r="R106" s="1936">
        <v>95000</v>
      </c>
      <c r="S106" s="1936">
        <v>115000</v>
      </c>
      <c r="T106" s="1939" t="s">
        <v>1208</v>
      </c>
      <c r="U106" s="1939" t="s">
        <v>1208</v>
      </c>
      <c r="V106" s="1939" t="s">
        <v>1208</v>
      </c>
      <c r="W106" s="1936">
        <v>20998</v>
      </c>
      <c r="X106" s="1936">
        <v>18611</v>
      </c>
      <c r="Y106" s="1939" t="s">
        <v>1208</v>
      </c>
      <c r="Z106" s="1939" t="s">
        <v>1208</v>
      </c>
      <c r="AA106" s="1936">
        <v>2387</v>
      </c>
      <c r="AB106" s="1362">
        <v>0.1282574821342217</v>
      </c>
      <c r="AC106" s="1939" t="s">
        <v>1208</v>
      </c>
      <c r="AD106" s="1363" t="s">
        <v>1208</v>
      </c>
      <c r="AE106" s="1936">
        <v>1</v>
      </c>
      <c r="AF106" s="1936">
        <v>710</v>
      </c>
      <c r="AG106" s="1939" t="s">
        <v>1208</v>
      </c>
      <c r="AH106" s="1936">
        <v>0</v>
      </c>
      <c r="AI106" s="1936">
        <v>0</v>
      </c>
      <c r="AJ106" s="1939" t="s">
        <v>1208</v>
      </c>
      <c r="AK106" s="1938">
        <v>1</v>
      </c>
      <c r="AL106" s="1938">
        <v>1908</v>
      </c>
      <c r="AM106" s="1936">
        <v>21229</v>
      </c>
      <c r="AN106" s="1939" t="s">
        <v>1208</v>
      </c>
      <c r="AO106" s="1936">
        <v>0</v>
      </c>
      <c r="AP106" s="1936">
        <v>0</v>
      </c>
      <c r="AQ106" s="1936">
        <v>21229</v>
      </c>
      <c r="AR106" s="1939" t="s">
        <v>1208</v>
      </c>
      <c r="AS106" s="1363" t="s">
        <v>1208</v>
      </c>
      <c r="AT106" s="1363" t="s">
        <v>1208</v>
      </c>
      <c r="AU106" s="1363" t="s">
        <v>1208</v>
      </c>
      <c r="AV106" s="1363" t="s">
        <v>1208</v>
      </c>
      <c r="AW106" s="1363" t="s">
        <v>1291</v>
      </c>
      <c r="AX106" s="1938">
        <v>0</v>
      </c>
      <c r="AY106" s="1938">
        <v>0</v>
      </c>
      <c r="AZ106" s="1938">
        <v>0</v>
      </c>
      <c r="BA106" s="1938">
        <v>0</v>
      </c>
      <c r="BB106" s="1938">
        <v>0</v>
      </c>
      <c r="BC106" s="1938">
        <v>0</v>
      </c>
      <c r="BD106" s="1938">
        <v>0</v>
      </c>
      <c r="BE106" s="1936">
        <v>0</v>
      </c>
      <c r="BF106" s="1936">
        <v>0</v>
      </c>
      <c r="BG106" s="1936">
        <v>1480000</v>
      </c>
      <c r="BH106" s="1936">
        <v>1480000</v>
      </c>
      <c r="BI106" s="1938">
        <v>54936147</v>
      </c>
      <c r="BJ106" s="1936">
        <v>2319418</v>
      </c>
      <c r="BK106" s="1936">
        <v>3647394</v>
      </c>
      <c r="BL106" s="1362">
        <v>0.63591100933981903</v>
      </c>
      <c r="BM106" s="1936">
        <v>1</v>
      </c>
      <c r="BN106" s="1936">
        <v>1333864</v>
      </c>
      <c r="BO106" s="1363" t="s">
        <v>1208</v>
      </c>
      <c r="BP106" s="1938">
        <v>12288020</v>
      </c>
      <c r="BQ106" s="1938">
        <v>8784207</v>
      </c>
      <c r="BR106" s="1940">
        <v>1.3988764153668054</v>
      </c>
      <c r="BS106" s="1409">
        <v>1</v>
      </c>
      <c r="BT106" s="1938">
        <v>10726713</v>
      </c>
      <c r="BU106" s="1938">
        <v>74064465</v>
      </c>
      <c r="BV106" s="1940">
        <v>0.14482941313354522</v>
      </c>
      <c r="BW106" s="1936">
        <v>924.32468987265156</v>
      </c>
      <c r="BX106" s="1936">
        <v>1607.2817944970745</v>
      </c>
      <c r="BY106" s="1936">
        <v>1025.5922200550613</v>
      </c>
      <c r="BZ106" s="1936">
        <v>3336068</v>
      </c>
      <c r="CA106" s="1936">
        <v>592570</v>
      </c>
      <c r="CB106" s="1936">
        <v>2104636</v>
      </c>
      <c r="CC106" s="1936">
        <v>1666287</v>
      </c>
      <c r="CD106" s="1936">
        <v>26856951</v>
      </c>
      <c r="CE106" s="1936">
        <v>0</v>
      </c>
      <c r="CF106" s="1936">
        <v>0</v>
      </c>
      <c r="CG106" s="1936">
        <v>4698612</v>
      </c>
      <c r="CH106" s="1936">
        <v>1600466</v>
      </c>
      <c r="CI106" s="1936">
        <v>792232</v>
      </c>
      <c r="CJ106" s="1936">
        <v>41647822</v>
      </c>
      <c r="CK106" s="1366">
        <v>8.010185982834829E-2</v>
      </c>
      <c r="CL106" s="1366">
        <v>1.4228114978017337E-2</v>
      </c>
      <c r="CM106" s="1366">
        <v>5.0534119167143961E-2</v>
      </c>
      <c r="CN106" s="1366">
        <v>4.0008982942733473E-2</v>
      </c>
      <c r="CO106" s="1366">
        <v>0.64485847543240071</v>
      </c>
      <c r="CP106" s="1366">
        <v>0</v>
      </c>
      <c r="CQ106" s="1366">
        <v>0</v>
      </c>
      <c r="CR106" s="1366">
        <v>0.1128177122923739</v>
      </c>
      <c r="CS106" s="1366">
        <v>3.8428564163571384E-2</v>
      </c>
      <c r="CT106" s="1366">
        <v>1.902217119541089E-2</v>
      </c>
      <c r="CU106" s="1366">
        <v>1</v>
      </c>
      <c r="CV106" s="1936">
        <v>23711754</v>
      </c>
      <c r="CW106" s="1936">
        <v>3507096</v>
      </c>
      <c r="CX106" s="1936">
        <v>1465264</v>
      </c>
      <c r="CY106" s="1936">
        <v>11781433</v>
      </c>
      <c r="CZ106" s="1936">
        <v>313439</v>
      </c>
      <c r="DA106" s="1936">
        <v>703974</v>
      </c>
      <c r="DB106" s="1936">
        <v>41482960</v>
      </c>
      <c r="DC106" s="1366">
        <v>0.57160226753346433</v>
      </c>
      <c r="DD106" s="1366">
        <v>8.4543050929827571E-2</v>
      </c>
      <c r="DE106" s="1366">
        <v>3.5322069591948113E-2</v>
      </c>
      <c r="DF106" s="1366">
        <v>0.28400656558741227</v>
      </c>
      <c r="DG106" s="1366">
        <v>7.5558494379378907E-3</v>
      </c>
      <c r="DH106" s="1366">
        <v>1.6970196919409802E-2</v>
      </c>
      <c r="DI106" s="1366">
        <v>1</v>
      </c>
      <c r="DJ106" s="1936">
        <v>164862</v>
      </c>
      <c r="DK106" s="1936">
        <v>2311.7874232261138</v>
      </c>
      <c r="DL106" s="1936">
        <v>410.631879620289</v>
      </c>
      <c r="DM106" s="1936">
        <v>1458.4448024647324</v>
      </c>
      <c r="DN106" s="1936">
        <v>1154.6830970127621</v>
      </c>
      <c r="DO106" s="1936">
        <v>18611</v>
      </c>
      <c r="DP106" s="1936">
        <v>0</v>
      </c>
      <c r="DQ106" s="1936">
        <v>0</v>
      </c>
      <c r="DR106" s="1936">
        <v>3255.9864272009136</v>
      </c>
      <c r="DS106" s="1936">
        <v>1109.0712689612458</v>
      </c>
      <c r="DT106" s="1936">
        <v>548.99119978287933</v>
      </c>
      <c r="DU106" s="1936">
        <v>28860.596098268936</v>
      </c>
      <c r="DV106" s="1936">
        <v>16431.480017742892</v>
      </c>
      <c r="DW106" s="1936">
        <v>2430.3043058015037</v>
      </c>
      <c r="DX106" s="1936">
        <v>1015.380647788351</v>
      </c>
      <c r="DY106" s="1936">
        <v>8164.1527202026773</v>
      </c>
      <c r="DZ106" s="1936">
        <v>217.20310801475566</v>
      </c>
      <c r="EA106" s="1936">
        <v>487.831255081785</v>
      </c>
      <c r="EB106" s="1936">
        <v>28746.352054631967</v>
      </c>
      <c r="EC106" s="1936">
        <v>114.2440436369713</v>
      </c>
      <c r="ED106" s="1941">
        <v>370</v>
      </c>
      <c r="EE106" s="1936">
        <v>1</v>
      </c>
      <c r="EF106" s="1936">
        <v>150</v>
      </c>
      <c r="EG106" s="1938">
        <v>1200000</v>
      </c>
      <c r="EH106" s="1938">
        <v>1</v>
      </c>
      <c r="EI106" s="1368">
        <v>0.17</v>
      </c>
      <c r="EJ106" s="1936">
        <v>3.9001855920721109</v>
      </c>
      <c r="EK106" s="1936">
        <v>0</v>
      </c>
      <c r="EL106" s="1936">
        <v>0</v>
      </c>
      <c r="EM106" s="1936">
        <v>0</v>
      </c>
      <c r="EN106" s="1362">
        <v>0</v>
      </c>
      <c r="EO106" s="1936">
        <v>0</v>
      </c>
      <c r="EP106" s="1936">
        <v>0</v>
      </c>
      <c r="EQ106" s="1936">
        <v>0</v>
      </c>
      <c r="ER106" s="1938">
        <v>1</v>
      </c>
      <c r="ES106" s="1936">
        <v>4365.0576961621591</v>
      </c>
      <c r="ET106" s="1936">
        <v>-3825.4437355156215</v>
      </c>
      <c r="EU106" s="1938">
        <v>4</v>
      </c>
      <c r="EV106" s="1936">
        <v>250000</v>
      </c>
      <c r="EW106" s="1936">
        <v>27000</v>
      </c>
      <c r="EX106" s="1938">
        <v>0</v>
      </c>
      <c r="EY106" s="1936">
        <v>4698612</v>
      </c>
      <c r="EZ106" s="1936">
        <v>2807367</v>
      </c>
      <c r="FA106" s="1936">
        <v>1891245</v>
      </c>
      <c r="FB106" s="1936">
        <v>1600466</v>
      </c>
      <c r="FC106" s="1936">
        <v>699729</v>
      </c>
      <c r="FD106" s="1936">
        <v>900737</v>
      </c>
      <c r="FE106" s="1936">
        <v>6299078</v>
      </c>
      <c r="FF106" s="1936">
        <v>3507096</v>
      </c>
      <c r="FG106" s="1936">
        <v>2791982</v>
      </c>
      <c r="FH106" s="1366">
        <v>1</v>
      </c>
      <c r="FI106" s="1366">
        <v>0.59748857747777429</v>
      </c>
      <c r="FJ106" s="1366">
        <v>0.40251142252222571</v>
      </c>
      <c r="FK106" s="1366">
        <v>1</v>
      </c>
      <c r="FL106" s="1366">
        <v>0.43720328954192089</v>
      </c>
      <c r="FM106" s="1366">
        <v>0.56279671045807911</v>
      </c>
      <c r="FN106" s="1366">
        <v>1</v>
      </c>
      <c r="FO106" s="1366">
        <v>0.55676338664166403</v>
      </c>
      <c r="FP106" s="1366">
        <v>0.44323661335833592</v>
      </c>
      <c r="FQ106" s="1936">
        <v>5252241</v>
      </c>
      <c r="FR106" s="1936">
        <v>0</v>
      </c>
      <c r="FS106" s="1936">
        <v>1010263</v>
      </c>
      <c r="FT106" s="1936">
        <v>214519</v>
      </c>
      <c r="FU106" s="1936">
        <v>134215</v>
      </c>
      <c r="FV106" s="1936">
        <v>90237</v>
      </c>
      <c r="FW106" s="1936">
        <v>1610885</v>
      </c>
      <c r="FX106" s="1936">
        <v>8312360</v>
      </c>
      <c r="FY106" s="1936">
        <v>-5520378</v>
      </c>
      <c r="FZ106" s="1366">
        <v>0.83381107520814945</v>
      </c>
      <c r="GA106" s="1366">
        <v>0</v>
      </c>
      <c r="GB106" s="1366">
        <v>0.16038267822687702</v>
      </c>
      <c r="GC106" s="1366">
        <v>3.4055618933437559E-2</v>
      </c>
      <c r="GD106" s="1366">
        <v>2.1307086529171411E-2</v>
      </c>
      <c r="GE106" s="1366">
        <v>1.4325429848622291E-2</v>
      </c>
      <c r="GF106" s="1366">
        <v>0.25573345813466669</v>
      </c>
      <c r="GG106" s="1366">
        <v>1.3196153468809244</v>
      </c>
      <c r="GH106" s="1366">
        <v>-0.87637873352258855</v>
      </c>
      <c r="GI106" s="1942">
        <v>2.9357774548162849</v>
      </c>
      <c r="GJ106" s="1943">
        <v>1</v>
      </c>
      <c r="GK106" s="1371">
        <v>0.1</v>
      </c>
      <c r="GL106" s="1943">
        <v>1</v>
      </c>
      <c r="GM106" s="1371">
        <v>0.05</v>
      </c>
      <c r="GN106" s="1943">
        <v>0</v>
      </c>
      <c r="GO106" s="1985">
        <v>0</v>
      </c>
      <c r="GP106" s="1943">
        <v>0</v>
      </c>
      <c r="GQ106" s="1943">
        <v>0</v>
      </c>
      <c r="GR106" s="1943">
        <v>0</v>
      </c>
      <c r="GS106" s="1943">
        <v>0</v>
      </c>
      <c r="GT106" s="1943">
        <v>0</v>
      </c>
      <c r="GU106" s="1943">
        <v>0</v>
      </c>
      <c r="GV106" s="1943">
        <v>0</v>
      </c>
      <c r="GW106" s="1943">
        <v>0</v>
      </c>
      <c r="GX106" s="1943">
        <v>0</v>
      </c>
      <c r="GY106" s="1943">
        <v>0</v>
      </c>
      <c r="GZ106" s="1943">
        <v>0</v>
      </c>
      <c r="HA106" s="1943">
        <v>0</v>
      </c>
      <c r="HB106" s="1943">
        <v>0</v>
      </c>
      <c r="HC106" s="1943">
        <v>0</v>
      </c>
      <c r="HD106" s="1943">
        <v>0</v>
      </c>
      <c r="HE106" s="1943">
        <v>0</v>
      </c>
      <c r="HF106" s="1943">
        <v>0</v>
      </c>
      <c r="HG106" s="1936">
        <v>54</v>
      </c>
      <c r="HH106" s="1988">
        <f>IF(HG106=0,0,VLOOKUP(A106,'Area (&amp;golfacre for lookup)'!$G$2:$H$134,2,FALSE))</f>
        <v>664</v>
      </c>
      <c r="HI106" s="1936">
        <v>106000</v>
      </c>
      <c r="HJ106" s="1936">
        <v>3109026</v>
      </c>
      <c r="HK106" s="1936">
        <v>308372</v>
      </c>
      <c r="HL106" s="1936">
        <v>1329055</v>
      </c>
      <c r="HM106" s="1936">
        <v>298120</v>
      </c>
      <c r="HN106" s="1936">
        <v>732778</v>
      </c>
      <c r="HO106" s="1936">
        <v>794388</v>
      </c>
      <c r="HP106" s="1936">
        <v>6571739</v>
      </c>
      <c r="HQ106" s="1936">
        <v>121698.87037037036</v>
      </c>
      <c r="HR106" s="1988">
        <v>9897.1972891566256</v>
      </c>
      <c r="HS106" s="1366">
        <v>0.47309030379934441</v>
      </c>
      <c r="HT106" s="1366">
        <v>4.6923957266105668E-2</v>
      </c>
      <c r="HU106" s="1366">
        <v>0.20223794645526855</v>
      </c>
      <c r="HV106" s="1366">
        <v>4.5363944003253935E-2</v>
      </c>
      <c r="HW106" s="1366">
        <v>0.11150442827994234</v>
      </c>
      <c r="HX106" s="1366">
        <v>0.12087942019608508</v>
      </c>
      <c r="HY106" s="1366">
        <v>1</v>
      </c>
      <c r="HZ106" s="51"/>
      <c r="IA106" s="59">
        <f t="shared" si="767"/>
        <v>0.17</v>
      </c>
      <c r="IB106" s="59"/>
      <c r="IC106" s="815">
        <f t="shared" si="768"/>
        <v>1</v>
      </c>
      <c r="ID106" s="815"/>
      <c r="IE106" s="284">
        <f t="shared" si="769"/>
        <v>0</v>
      </c>
      <c r="IF106" s="284"/>
      <c r="IG106" s="284">
        <f t="shared" si="770"/>
        <v>38068.97632635216</v>
      </c>
      <c r="IH106" s="284"/>
      <c r="II106" s="1288">
        <f t="shared" si="771"/>
        <v>1.3988764153668054</v>
      </c>
      <c r="IJ106" s="1288">
        <f t="shared" si="772"/>
        <v>0</v>
      </c>
      <c r="IK106" s="284">
        <f t="shared" si="773"/>
        <v>1</v>
      </c>
      <c r="IL106" s="284">
        <f t="shared" si="774"/>
        <v>0</v>
      </c>
      <c r="IM106" s="284">
        <f t="shared" si="775"/>
        <v>0</v>
      </c>
      <c r="IN106" s="284">
        <f t="shared" si="776"/>
        <v>0</v>
      </c>
      <c r="IO106" s="753">
        <f t="shared" si="777"/>
        <v>-3156.3053173241851</v>
      </c>
      <c r="IP106" s="113">
        <f t="shared" si="778"/>
        <v>-3825.4437355156215</v>
      </c>
      <c r="IQ106" s="30">
        <f t="shared" si="779"/>
        <v>-0.20554745771401972</v>
      </c>
      <c r="IR106" s="438">
        <f t="shared" si="780"/>
        <v>4698612</v>
      </c>
      <c r="IS106" s="438">
        <f t="shared" si="781"/>
        <v>1600466</v>
      </c>
      <c r="IT106" s="438">
        <f t="shared" si="782"/>
        <v>5252241</v>
      </c>
      <c r="IU106" s="438">
        <f t="shared" si="783"/>
        <v>1224782</v>
      </c>
      <c r="IV106" s="438">
        <f t="shared" si="784"/>
        <v>3507096</v>
      </c>
      <c r="IW106" s="438">
        <f t="shared" si="785"/>
        <v>1835337</v>
      </c>
      <c r="IX106" s="285">
        <f t="shared" si="786"/>
        <v>0.74592059345828077</v>
      </c>
      <c r="IY106" s="285">
        <f t="shared" si="787"/>
        <v>0.25407940654171929</v>
      </c>
      <c r="IZ106" s="285">
        <f t="shared" si="788"/>
        <v>0.83381107520814945</v>
      </c>
      <c r="JA106" s="285">
        <f t="shared" si="789"/>
        <v>0.19443829716031458</v>
      </c>
      <c r="JB106" s="285">
        <f t="shared" si="790"/>
        <v>0.55676338664166403</v>
      </c>
      <c r="JC106" s="285">
        <f t="shared" si="791"/>
        <v>0.29136597451246038</v>
      </c>
      <c r="JD106" s="60">
        <f t="shared" si="792"/>
        <v>26856951</v>
      </c>
      <c r="JE106" s="60">
        <f t="shared" si="793"/>
        <v>7699561</v>
      </c>
      <c r="JF106" s="60">
        <f t="shared" si="794"/>
        <v>0</v>
      </c>
      <c r="JG106" s="60">
        <f t="shared" si="795"/>
        <v>1017413</v>
      </c>
      <c r="JH106" s="284">
        <f t="shared" si="796"/>
        <v>1</v>
      </c>
      <c r="JI106" s="284">
        <f t="shared" si="797"/>
        <v>1</v>
      </c>
      <c r="JJ106" s="560">
        <f t="shared" si="798"/>
        <v>0.69620780030371043</v>
      </c>
      <c r="JK106" s="561">
        <f t="shared" si="799"/>
        <v>0.56933959235611409</v>
      </c>
      <c r="JL106" s="561">
        <f t="shared" si="800"/>
        <v>8.4208389096553482E-2</v>
      </c>
      <c r="JM106" s="561">
        <f t="shared" si="801"/>
        <v>3.5182247945642869E-2</v>
      </c>
      <c r="JN106" s="561">
        <f t="shared" si="802"/>
        <v>0.28288233175794886</v>
      </c>
      <c r="JO106" s="561">
        <f t="shared" si="803"/>
        <v>7.5259397718324865E-3</v>
      </c>
      <c r="JP106" s="561">
        <f t="shared" si="804"/>
        <v>1.6903020763006527E-2</v>
      </c>
      <c r="JQ106" s="561">
        <f t="shared" si="805"/>
        <v>0.99604152169109827</v>
      </c>
      <c r="JR106" s="61">
        <f t="shared" si="806"/>
        <v>0</v>
      </c>
      <c r="JS106" s="61">
        <f t="shared" si="807"/>
        <v>0</v>
      </c>
      <c r="JT106" s="61">
        <f t="shared" si="808"/>
        <v>0</v>
      </c>
      <c r="JU106" s="61">
        <f t="shared" si="809"/>
        <v>0</v>
      </c>
      <c r="JV106" s="61">
        <f t="shared" si="810"/>
        <v>0</v>
      </c>
      <c r="JW106" s="61">
        <f t="shared" si="811"/>
        <v>0</v>
      </c>
      <c r="JX106" s="61">
        <f t="shared" si="812"/>
        <v>0</v>
      </c>
      <c r="JY106" s="394">
        <f t="shared" si="813"/>
        <v>0</v>
      </c>
      <c r="JZ106" s="61">
        <f t="shared" si="814"/>
        <v>57574.555555555555</v>
      </c>
      <c r="KA106" s="61">
        <f t="shared" si="815"/>
        <v>5710.5925925925922</v>
      </c>
      <c r="KB106" s="61">
        <f t="shared" si="816"/>
        <v>24612.129629629631</v>
      </c>
      <c r="KC106" s="61">
        <f t="shared" si="817"/>
        <v>5520.7407407407409</v>
      </c>
      <c r="KD106" s="61">
        <f t="shared" si="818"/>
        <v>13569.962962962964</v>
      </c>
      <c r="KE106" s="61">
        <f t="shared" si="819"/>
        <v>14710.888888888889</v>
      </c>
      <c r="KF106" s="61">
        <f t="shared" si="820"/>
        <v>35300</v>
      </c>
      <c r="KG106" s="61">
        <f t="shared" si="821"/>
        <v>442.66666666666663</v>
      </c>
      <c r="KH106" s="61">
        <f t="shared" si="822"/>
        <v>61.997537735849058</v>
      </c>
      <c r="KI106" s="394">
        <f t="shared" si="823"/>
        <v>0.15842020434414517</v>
      </c>
      <c r="KJ106" s="438">
        <f t="shared" si="824"/>
        <v>54</v>
      </c>
      <c r="KK106" s="438">
        <f t="shared" si="825"/>
        <v>106000</v>
      </c>
      <c r="KL106" s="438">
        <f t="shared" si="826"/>
        <v>664</v>
      </c>
      <c r="KM106" s="438">
        <f t="shared" si="827"/>
        <v>121698.87037037036</v>
      </c>
      <c r="KN106" s="438">
        <f t="shared" si="828"/>
        <v>61.997537735849058</v>
      </c>
      <c r="KO106" s="438">
        <f t="shared" si="829"/>
        <v>9897.1972891566256</v>
      </c>
      <c r="KP106" s="438">
        <f t="shared" si="830"/>
        <v>3109026</v>
      </c>
      <c r="KQ106" s="438">
        <f t="shared" si="831"/>
        <v>308372</v>
      </c>
      <c r="KR106" s="438">
        <f t="shared" si="832"/>
        <v>1329055</v>
      </c>
      <c r="KS106" s="438">
        <f t="shared" si="833"/>
        <v>298120</v>
      </c>
      <c r="KT106" s="438">
        <f t="shared" si="834"/>
        <v>732778</v>
      </c>
      <c r="KU106" s="438">
        <f t="shared" si="835"/>
        <v>794388</v>
      </c>
      <c r="KV106" s="420">
        <f t="shared" si="836"/>
        <v>0.15842020434414517</v>
      </c>
      <c r="KW106" s="420">
        <f t="shared" si="837"/>
        <v>-0.21511566968268289</v>
      </c>
      <c r="KX106" s="108"/>
      <c r="KY106" s="282">
        <f t="shared" si="838"/>
        <v>0</v>
      </c>
      <c r="KZ106" s="282"/>
      <c r="LA106" s="282">
        <f t="shared" si="839"/>
        <v>0</v>
      </c>
      <c r="LB106" s="282"/>
      <c r="LC106" s="286">
        <v>0</v>
      </c>
      <c r="LD106" s="286"/>
      <c r="LE106" s="282">
        <f t="shared" si="841"/>
        <v>0</v>
      </c>
      <c r="LF106" s="282"/>
      <c r="LG106" s="282">
        <f t="shared" si="842"/>
        <v>0</v>
      </c>
      <c r="LH106" s="282">
        <f t="shared" si="843"/>
        <v>0</v>
      </c>
      <c r="LI106" s="282">
        <f t="shared" si="844"/>
        <v>0</v>
      </c>
      <c r="LJ106" s="282">
        <f t="shared" si="845"/>
        <v>0</v>
      </c>
      <c r="LK106" s="282"/>
      <c r="LL106" s="282">
        <f t="shared" si="846"/>
        <v>0</v>
      </c>
      <c r="LM106" s="282">
        <f t="shared" si="847"/>
        <v>0</v>
      </c>
      <c r="LN106" s="282">
        <f t="shared" si="848"/>
        <v>0</v>
      </c>
      <c r="LO106" s="282">
        <f t="shared" si="849"/>
        <v>0</v>
      </c>
      <c r="LP106" s="286">
        <f t="shared" si="850"/>
        <v>0</v>
      </c>
      <c r="LQ106" s="282">
        <f t="shared" si="851"/>
        <v>0</v>
      </c>
      <c r="LR106" s="282">
        <f t="shared" si="852"/>
        <v>0</v>
      </c>
      <c r="LS106" s="282">
        <f t="shared" si="853"/>
        <v>0</v>
      </c>
      <c r="LT106" s="286">
        <f t="shared" si="854"/>
        <v>0</v>
      </c>
      <c r="LU106" s="286">
        <f t="shared" si="855"/>
        <v>0</v>
      </c>
      <c r="LV106" s="286">
        <f t="shared" si="856"/>
        <v>0</v>
      </c>
      <c r="LW106" s="286">
        <f t="shared" si="857"/>
        <v>0</v>
      </c>
      <c r="LX106" s="286">
        <f t="shared" si="858"/>
        <v>0</v>
      </c>
      <c r="LY106" s="286">
        <f t="shared" si="859"/>
        <v>0</v>
      </c>
      <c r="LZ106" s="286">
        <f t="shared" si="860"/>
        <v>0</v>
      </c>
      <c r="MA106" s="286">
        <f t="shared" si="861"/>
        <v>0</v>
      </c>
      <c r="MB106" s="286">
        <f t="shared" si="862"/>
        <v>0</v>
      </c>
      <c r="MC106" s="286">
        <f t="shared" si="863"/>
        <v>0</v>
      </c>
      <c r="MD106" s="286">
        <f t="shared" si="864"/>
        <v>0</v>
      </c>
      <c r="ME106" s="286">
        <f t="shared" si="865"/>
        <v>0</v>
      </c>
      <c r="MF106" s="286">
        <f t="shared" si="866"/>
        <v>0</v>
      </c>
      <c r="MG106" s="286">
        <f t="shared" si="867"/>
        <v>0</v>
      </c>
      <c r="MH106" s="286">
        <f t="shared" si="868"/>
        <v>0</v>
      </c>
      <c r="MI106" s="286">
        <f t="shared" si="869"/>
        <v>0</v>
      </c>
      <c r="MJ106" s="286">
        <f t="shared" si="870"/>
        <v>0</v>
      </c>
      <c r="MK106" s="286">
        <f t="shared" si="871"/>
        <v>0</v>
      </c>
      <c r="ML106" s="282">
        <f t="shared" si="872"/>
        <v>0</v>
      </c>
      <c r="MM106" s="1232">
        <f t="shared" si="873"/>
        <v>0</v>
      </c>
      <c r="MN106" s="1232">
        <f t="shared" si="874"/>
        <v>0</v>
      </c>
      <c r="MO106" s="1232">
        <f t="shared" si="875"/>
        <v>0</v>
      </c>
      <c r="MP106" s="1232">
        <f t="shared" si="876"/>
        <v>0</v>
      </c>
      <c r="MQ106" s="282">
        <f t="shared" si="877"/>
        <v>0</v>
      </c>
      <c r="MR106" s="282">
        <f t="shared" si="878"/>
        <v>0</v>
      </c>
      <c r="MS106" s="282">
        <f t="shared" si="879"/>
        <v>0</v>
      </c>
      <c r="MT106" s="282">
        <f t="shared" si="880"/>
        <v>0</v>
      </c>
      <c r="MU106" s="282">
        <f t="shared" si="881"/>
        <v>0</v>
      </c>
      <c r="MV106" s="282">
        <f t="shared" si="882"/>
        <v>0</v>
      </c>
      <c r="MW106" s="282">
        <f t="shared" si="883"/>
        <v>0</v>
      </c>
      <c r="MX106" s="282">
        <f t="shared" si="884"/>
        <v>0</v>
      </c>
      <c r="MY106" s="282">
        <f t="shared" si="885"/>
        <v>0</v>
      </c>
      <c r="MZ106" s="282">
        <f t="shared" si="886"/>
        <v>0</v>
      </c>
      <c r="NA106" s="282">
        <f t="shared" si="887"/>
        <v>0</v>
      </c>
      <c r="NB106" s="282">
        <f t="shared" si="888"/>
        <v>0</v>
      </c>
      <c r="NC106" s="282">
        <f t="shared" si="889"/>
        <v>0</v>
      </c>
      <c r="ND106" s="282">
        <f t="shared" si="890"/>
        <v>0</v>
      </c>
      <c r="NE106" s="282">
        <f t="shared" si="891"/>
        <v>0</v>
      </c>
      <c r="NF106" s="282">
        <f t="shared" si="892"/>
        <v>0</v>
      </c>
      <c r="NG106" s="282">
        <f t="shared" si="893"/>
        <v>0</v>
      </c>
      <c r="NH106" s="282">
        <f t="shared" si="894"/>
        <v>0</v>
      </c>
      <c r="NI106" s="282">
        <f t="shared" si="895"/>
        <v>0</v>
      </c>
      <c r="NJ106" s="282">
        <f t="shared" si="896"/>
        <v>0</v>
      </c>
      <c r="NK106" s="282">
        <f t="shared" si="897"/>
        <v>0</v>
      </c>
      <c r="NL106" s="282">
        <f t="shared" si="898"/>
        <v>0</v>
      </c>
      <c r="NM106" s="1205">
        <f t="shared" si="899"/>
        <v>0</v>
      </c>
      <c r="NN106" s="282">
        <f t="shared" si="900"/>
        <v>0</v>
      </c>
      <c r="NO106" s="282">
        <f t="shared" si="901"/>
        <v>0</v>
      </c>
      <c r="NP106" s="282">
        <f t="shared" si="902"/>
        <v>0</v>
      </c>
      <c r="NQ106" s="282">
        <f t="shared" si="903"/>
        <v>0</v>
      </c>
      <c r="NR106" s="282">
        <f t="shared" si="904"/>
        <v>0</v>
      </c>
      <c r="NS106" s="282">
        <f t="shared" si="905"/>
        <v>0</v>
      </c>
      <c r="NT106" s="282">
        <f t="shared" si="906"/>
        <v>0</v>
      </c>
      <c r="NU106" s="282">
        <f t="shared" si="907"/>
        <v>0</v>
      </c>
      <c r="NV106" s="286">
        <f t="shared" si="908"/>
        <v>0</v>
      </c>
      <c r="NW106" s="286">
        <f t="shared" si="909"/>
        <v>0</v>
      </c>
      <c r="NX106" s="286">
        <f t="shared" si="910"/>
        <v>0</v>
      </c>
      <c r="NY106" s="286">
        <f t="shared" si="911"/>
        <v>0</v>
      </c>
      <c r="NZ106" s="286">
        <f t="shared" si="912"/>
        <v>0</v>
      </c>
      <c r="OA106" s="286">
        <f t="shared" si="913"/>
        <v>0</v>
      </c>
      <c r="OB106" s="286">
        <f t="shared" si="914"/>
        <v>0</v>
      </c>
      <c r="OC106" s="286">
        <f t="shared" si="915"/>
        <v>0</v>
      </c>
      <c r="OD106" s="286">
        <f t="shared" si="916"/>
        <v>0</v>
      </c>
      <c r="OE106" s="282">
        <f t="shared" si="917"/>
        <v>0</v>
      </c>
      <c r="OF106" s="282">
        <f t="shared" si="918"/>
        <v>0</v>
      </c>
      <c r="OG106" s="286">
        <f t="shared" si="919"/>
        <v>0</v>
      </c>
      <c r="OH106" s="286">
        <f t="shared" si="920"/>
        <v>0</v>
      </c>
      <c r="OI106" s="286">
        <f t="shared" si="921"/>
        <v>0</v>
      </c>
      <c r="OJ106" s="286">
        <f t="shared" si="922"/>
        <v>0</v>
      </c>
      <c r="OK106" s="286">
        <f t="shared" si="923"/>
        <v>0</v>
      </c>
      <c r="OL106" s="286">
        <f t="shared" si="924"/>
        <v>0</v>
      </c>
      <c r="OM106" s="286">
        <f t="shared" si="925"/>
        <v>0</v>
      </c>
      <c r="ON106" s="286">
        <f t="shared" si="926"/>
        <v>0</v>
      </c>
      <c r="OO106" s="286">
        <f t="shared" si="927"/>
        <v>0</v>
      </c>
      <c r="OP106" s="434">
        <f t="shared" si="928"/>
        <v>0</v>
      </c>
      <c r="OQ106" s="434">
        <f t="shared" si="929"/>
        <v>0</v>
      </c>
      <c r="OR106" s="282">
        <f t="shared" si="930"/>
        <v>0</v>
      </c>
      <c r="OS106" s="282">
        <f t="shared" si="931"/>
        <v>0</v>
      </c>
      <c r="OT106" s="282">
        <f t="shared" si="932"/>
        <v>0</v>
      </c>
      <c r="OU106" s="282">
        <f t="shared" si="933"/>
        <v>0</v>
      </c>
      <c r="OV106" s="282">
        <f t="shared" si="934"/>
        <v>0</v>
      </c>
      <c r="OW106" s="286">
        <f t="shared" si="935"/>
        <v>0</v>
      </c>
      <c r="OX106" s="286">
        <f t="shared" si="936"/>
        <v>0</v>
      </c>
      <c r="OY106" s="286">
        <f t="shared" si="937"/>
        <v>0</v>
      </c>
      <c r="OZ106" s="286">
        <f t="shared" si="938"/>
        <v>0</v>
      </c>
      <c r="PA106" s="286">
        <f t="shared" si="939"/>
        <v>0</v>
      </c>
      <c r="PB106" s="286">
        <f t="shared" si="940"/>
        <v>0</v>
      </c>
      <c r="PC106" s="286">
        <f t="shared" si="941"/>
        <v>0</v>
      </c>
      <c r="PD106" s="282">
        <f t="shared" si="942"/>
        <v>0</v>
      </c>
      <c r="PE106" s="282">
        <f t="shared" si="943"/>
        <v>0</v>
      </c>
      <c r="PF106" s="286">
        <f t="shared" si="944"/>
        <v>0</v>
      </c>
      <c r="PG106" s="286">
        <f t="shared" si="945"/>
        <v>0</v>
      </c>
      <c r="PH106" s="286">
        <f t="shared" si="946"/>
        <v>0</v>
      </c>
      <c r="PI106" s="286">
        <f t="shared" si="947"/>
        <v>0</v>
      </c>
      <c r="PJ106" s="286">
        <f t="shared" si="948"/>
        <v>0</v>
      </c>
      <c r="PK106" s="286">
        <f t="shared" si="949"/>
        <v>0</v>
      </c>
      <c r="PL106" s="286">
        <f t="shared" si="950"/>
        <v>0</v>
      </c>
      <c r="PM106" s="562">
        <v>51</v>
      </c>
      <c r="PO106" s="571"/>
    </row>
    <row r="107" spans="1:431" s="289" customFormat="1" ht="15.75" customHeight="1">
      <c r="A107" s="1935" t="s">
        <v>1134</v>
      </c>
      <c r="B107" s="1040" t="str">
        <f>VLOOKUP(A107,'Area (&amp;golfacre for lookup)'!$A$2:$B$162,2,FALSE)</f>
        <v>SW exc CIRA</v>
      </c>
      <c r="C107" s="1936"/>
      <c r="D107" s="1937">
        <v>44834</v>
      </c>
      <c r="E107" s="402"/>
      <c r="F107" s="1936">
        <v>1</v>
      </c>
      <c r="G107" s="1936">
        <v>0</v>
      </c>
      <c r="H107" s="1936">
        <v>560</v>
      </c>
      <c r="I107" s="1936">
        <v>299</v>
      </c>
      <c r="J107" s="1936">
        <v>859</v>
      </c>
      <c r="K107" s="1938">
        <v>632.88854643070192</v>
      </c>
      <c r="L107" s="1939" t="s">
        <v>1208</v>
      </c>
      <c r="M107" s="1939" t="s">
        <v>1208</v>
      </c>
      <c r="N107" s="1939" t="s">
        <v>1208</v>
      </c>
      <c r="O107" s="1939" t="s">
        <v>1208</v>
      </c>
      <c r="P107" s="1939" t="s">
        <v>1208</v>
      </c>
      <c r="Q107" s="1936">
        <v>0</v>
      </c>
      <c r="R107" s="1936">
        <v>65000</v>
      </c>
      <c r="S107" s="1936">
        <v>65000</v>
      </c>
      <c r="T107" s="1939" t="s">
        <v>1208</v>
      </c>
      <c r="U107" s="1939" t="s">
        <v>1208</v>
      </c>
      <c r="V107" s="1939" t="s">
        <v>1208</v>
      </c>
      <c r="W107" s="1936">
        <v>10815</v>
      </c>
      <c r="X107" s="1936">
        <v>10058</v>
      </c>
      <c r="Y107" s="1939" t="s">
        <v>1208</v>
      </c>
      <c r="Z107" s="1939" t="s">
        <v>1208</v>
      </c>
      <c r="AA107" s="1936">
        <v>757</v>
      </c>
      <c r="AB107" s="1362">
        <v>7.5263471863193473E-2</v>
      </c>
      <c r="AC107" s="1939" t="s">
        <v>1208</v>
      </c>
      <c r="AD107" s="1363" t="s">
        <v>1208</v>
      </c>
      <c r="AE107" s="1936">
        <v>1</v>
      </c>
      <c r="AF107" s="1936">
        <v>1716</v>
      </c>
      <c r="AG107" s="1939" t="s">
        <v>1208</v>
      </c>
      <c r="AH107" s="1936">
        <v>0</v>
      </c>
      <c r="AI107" s="1936">
        <v>0</v>
      </c>
      <c r="AJ107" s="1939" t="s">
        <v>1208</v>
      </c>
      <c r="AK107" s="1938">
        <v>0</v>
      </c>
      <c r="AL107" s="1938">
        <v>0</v>
      </c>
      <c r="AM107" s="1936">
        <v>11774</v>
      </c>
      <c r="AN107" s="1939" t="s">
        <v>1208</v>
      </c>
      <c r="AO107" s="1936">
        <v>1100</v>
      </c>
      <c r="AP107" s="1936">
        <v>0</v>
      </c>
      <c r="AQ107" s="1936">
        <v>12874</v>
      </c>
      <c r="AR107" s="1939" t="s">
        <v>1208</v>
      </c>
      <c r="AS107" s="1363" t="s">
        <v>1208</v>
      </c>
      <c r="AT107" s="1363" t="s">
        <v>1208</v>
      </c>
      <c r="AU107" s="1363" t="s">
        <v>1208</v>
      </c>
      <c r="AV107" s="1363" t="s">
        <v>1208</v>
      </c>
      <c r="AW107" s="1363" t="s">
        <v>1291</v>
      </c>
      <c r="AX107" s="1938">
        <v>0</v>
      </c>
      <c r="AY107" s="1938">
        <v>0</v>
      </c>
      <c r="AZ107" s="1938">
        <v>0</v>
      </c>
      <c r="BA107" s="1938">
        <v>0</v>
      </c>
      <c r="BB107" s="1938">
        <v>0</v>
      </c>
      <c r="BC107" s="1938">
        <v>0</v>
      </c>
      <c r="BD107" s="1938">
        <v>0</v>
      </c>
      <c r="BE107" s="1936">
        <v>0</v>
      </c>
      <c r="BF107" s="1936">
        <v>0</v>
      </c>
      <c r="BG107" s="1936">
        <v>1753481</v>
      </c>
      <c r="BH107" s="1936">
        <v>1753481</v>
      </c>
      <c r="BI107" s="1938">
        <v>16959377</v>
      </c>
      <c r="BJ107" s="1936">
        <v>1958160</v>
      </c>
      <c r="BK107" s="1936">
        <v>1484404</v>
      </c>
      <c r="BL107" s="1362">
        <v>1.3191557015475572</v>
      </c>
      <c r="BM107" s="1936">
        <v>1</v>
      </c>
      <c r="BN107" s="1936">
        <v>1873323</v>
      </c>
      <c r="BO107" s="1363" t="s">
        <v>1208</v>
      </c>
      <c r="BP107" s="1938">
        <v>8747418</v>
      </c>
      <c r="BQ107" s="1938">
        <v>7790373</v>
      </c>
      <c r="BR107" s="1940">
        <v>1.1228497018050356</v>
      </c>
      <c r="BS107" s="1409">
        <v>1</v>
      </c>
      <c r="BT107" s="1938">
        <v>9528053</v>
      </c>
      <c r="BU107" s="1938">
        <v>19308886</v>
      </c>
      <c r="BV107" s="1940">
        <v>0.49345430906785609</v>
      </c>
      <c r="BW107" s="1936">
        <v>2959.9571845073979</v>
      </c>
      <c r="BX107" s="1936">
        <v>3094.0044831644122</v>
      </c>
      <c r="BY107" s="1936">
        <v>2770.5999893489893</v>
      </c>
      <c r="BZ107" s="1936">
        <v>2008596</v>
      </c>
      <c r="CA107" s="1936">
        <v>0</v>
      </c>
      <c r="CB107" s="1936">
        <v>0</v>
      </c>
      <c r="CC107" s="1936">
        <v>0</v>
      </c>
      <c r="CD107" s="1936">
        <v>6365593</v>
      </c>
      <c r="CE107" s="1936">
        <v>0</v>
      </c>
      <c r="CF107" s="1936">
        <v>0</v>
      </c>
      <c r="CG107" s="1936">
        <v>1384314</v>
      </c>
      <c r="CH107" s="1936">
        <v>573307</v>
      </c>
      <c r="CI107" s="1936">
        <v>445626</v>
      </c>
      <c r="CJ107" s="1936">
        <v>10777436</v>
      </c>
      <c r="CK107" s="1366">
        <v>0.18637048737751724</v>
      </c>
      <c r="CL107" s="1366">
        <v>0</v>
      </c>
      <c r="CM107" s="1366">
        <v>0</v>
      </c>
      <c r="CN107" s="1366">
        <v>0</v>
      </c>
      <c r="CO107" s="1366">
        <v>0.59064076093794482</v>
      </c>
      <c r="CP107" s="1366">
        <v>0</v>
      </c>
      <c r="CQ107" s="1366">
        <v>0</v>
      </c>
      <c r="CR107" s="1366">
        <v>0.12844557833607176</v>
      </c>
      <c r="CS107" s="1366">
        <v>5.3195119878234491E-2</v>
      </c>
      <c r="CT107" s="1366">
        <v>4.1348053470231697E-2</v>
      </c>
      <c r="CU107" s="1366">
        <v>1</v>
      </c>
      <c r="CV107" s="1936">
        <v>5809540</v>
      </c>
      <c r="CW107" s="1936">
        <v>719031</v>
      </c>
      <c r="CX107" s="1936">
        <v>0</v>
      </c>
      <c r="CY107" s="1936">
        <v>3252394</v>
      </c>
      <c r="CZ107" s="1936">
        <v>135219</v>
      </c>
      <c r="DA107" s="1936">
        <v>233251</v>
      </c>
      <c r="DB107" s="1936">
        <v>10149435</v>
      </c>
      <c r="DC107" s="1366">
        <v>0.57240033558518277</v>
      </c>
      <c r="DD107" s="1366">
        <v>7.084443616812168E-2</v>
      </c>
      <c r="DE107" s="1366">
        <v>0</v>
      </c>
      <c r="DF107" s="1366">
        <v>0.32045074430251536</v>
      </c>
      <c r="DG107" s="1366">
        <v>1.3322810580096331E-2</v>
      </c>
      <c r="DH107" s="1366">
        <v>2.2981673364083813E-2</v>
      </c>
      <c r="DI107" s="1366">
        <v>1</v>
      </c>
      <c r="DJ107" s="1936">
        <v>628001</v>
      </c>
      <c r="DK107" s="1936">
        <v>3173.6962397690208</v>
      </c>
      <c r="DL107" s="1936">
        <v>0</v>
      </c>
      <c r="DM107" s="1936">
        <v>0</v>
      </c>
      <c r="DN107" s="1936">
        <v>0</v>
      </c>
      <c r="DO107" s="1936">
        <v>10058</v>
      </c>
      <c r="DP107" s="1936">
        <v>0</v>
      </c>
      <c r="DQ107" s="1936">
        <v>0</v>
      </c>
      <c r="DR107" s="1936">
        <v>2187.2950740017468</v>
      </c>
      <c r="DS107" s="1936">
        <v>905.85775842093585</v>
      </c>
      <c r="DT107" s="1936">
        <v>704.11449616712855</v>
      </c>
      <c r="DU107" s="1936">
        <v>17028.963568358831</v>
      </c>
      <c r="DV107" s="1936">
        <v>9179.4045456566255</v>
      </c>
      <c r="DW107" s="1936">
        <v>1136.1099897527222</v>
      </c>
      <c r="DX107" s="1936">
        <v>0</v>
      </c>
      <c r="DY107" s="1936">
        <v>5138.9680194759549</v>
      </c>
      <c r="DZ107" s="1936">
        <v>213.65373218174648</v>
      </c>
      <c r="EA107" s="1936">
        <v>368.54988341227596</v>
      </c>
      <c r="EB107" s="1936">
        <v>16036.686170479326</v>
      </c>
      <c r="EC107" s="1936">
        <v>992.27739787950634</v>
      </c>
      <c r="ED107" s="1941">
        <v>120</v>
      </c>
      <c r="EE107" s="1936">
        <v>1</v>
      </c>
      <c r="EF107" s="1936">
        <v>14</v>
      </c>
      <c r="EG107" s="1938">
        <v>30616</v>
      </c>
      <c r="EH107" s="1938">
        <v>1</v>
      </c>
      <c r="EI107" s="1368">
        <v>7.0000000000000007E-2</v>
      </c>
      <c r="EJ107" s="1936">
        <v>5.2740712202558493</v>
      </c>
      <c r="EK107" s="1936">
        <v>1</v>
      </c>
      <c r="EL107" s="1936">
        <v>1100</v>
      </c>
      <c r="EM107" s="1936">
        <v>1</v>
      </c>
      <c r="EN107" s="1362">
        <v>0.2</v>
      </c>
      <c r="EO107" s="1936">
        <v>0</v>
      </c>
      <c r="EP107" s="1936">
        <v>0</v>
      </c>
      <c r="EQ107" s="1936">
        <v>0</v>
      </c>
      <c r="ER107" s="1938">
        <v>0</v>
      </c>
      <c r="ES107" s="1936">
        <v>3093.1528324226824</v>
      </c>
      <c r="ET107" s="1936">
        <v>-1186.9214638761857</v>
      </c>
      <c r="EU107" s="1938">
        <v>1</v>
      </c>
      <c r="EV107" s="1936">
        <v>35250</v>
      </c>
      <c r="EW107" s="1936">
        <v>1383</v>
      </c>
      <c r="EX107" s="1938">
        <v>1</v>
      </c>
      <c r="EY107" s="1936">
        <v>1384314</v>
      </c>
      <c r="EZ107" s="1936">
        <v>563724</v>
      </c>
      <c r="FA107" s="1936">
        <v>820590</v>
      </c>
      <c r="FB107" s="1936">
        <v>573307</v>
      </c>
      <c r="FC107" s="1936">
        <v>155307</v>
      </c>
      <c r="FD107" s="1936">
        <v>418000</v>
      </c>
      <c r="FE107" s="1936">
        <v>1957621</v>
      </c>
      <c r="FF107" s="1936">
        <v>719031</v>
      </c>
      <c r="FG107" s="1936">
        <v>1238590</v>
      </c>
      <c r="FH107" s="1366">
        <v>1</v>
      </c>
      <c r="FI107" s="1366">
        <v>0.40722263879437759</v>
      </c>
      <c r="FJ107" s="1366">
        <v>0.59277736120562241</v>
      </c>
      <c r="FK107" s="1366">
        <v>1</v>
      </c>
      <c r="FL107" s="1366">
        <v>0.27089674467606362</v>
      </c>
      <c r="FM107" s="1366">
        <v>0.72910325532393638</v>
      </c>
      <c r="FN107" s="1366">
        <v>1</v>
      </c>
      <c r="FO107" s="1366">
        <v>0.36729836878537775</v>
      </c>
      <c r="FP107" s="1366">
        <v>0.6327016312146222</v>
      </c>
      <c r="FQ107" s="1936">
        <v>1400347</v>
      </c>
      <c r="FR107" s="1936">
        <v>0</v>
      </c>
      <c r="FS107" s="1936">
        <v>240789</v>
      </c>
      <c r="FT107" s="1936">
        <v>61984</v>
      </c>
      <c r="FU107" s="1936">
        <v>28041</v>
      </c>
      <c r="FV107" s="1936">
        <v>9196</v>
      </c>
      <c r="FW107" s="1936">
        <v>249422</v>
      </c>
      <c r="FX107" s="1936">
        <v>1989779</v>
      </c>
      <c r="FY107" s="1936">
        <v>-751189</v>
      </c>
      <c r="FZ107" s="1366">
        <v>0.71533100635924929</v>
      </c>
      <c r="GA107" s="1366">
        <v>0</v>
      </c>
      <c r="GB107" s="1366">
        <v>0.12300082600258171</v>
      </c>
      <c r="GC107" s="1366">
        <v>3.1662921474585735E-2</v>
      </c>
      <c r="GD107" s="1366">
        <v>1.4324018796283857E-2</v>
      </c>
      <c r="GE107" s="1366">
        <v>4.6975384918735543E-3</v>
      </c>
      <c r="GF107" s="1366">
        <v>0.12741077052197539</v>
      </c>
      <c r="GG107" s="1366">
        <v>1.0164270816465495</v>
      </c>
      <c r="GH107" s="1366">
        <v>-0.38372545043192735</v>
      </c>
      <c r="GI107" s="1942">
        <v>2.414612066484449</v>
      </c>
      <c r="GJ107" s="1943">
        <v>1</v>
      </c>
      <c r="GK107" s="1371">
        <v>0.13</v>
      </c>
      <c r="GL107" s="1943">
        <v>1</v>
      </c>
      <c r="GM107" s="1371">
        <v>0.08</v>
      </c>
      <c r="GN107" s="1943">
        <v>0</v>
      </c>
      <c r="GO107" s="1985">
        <f>IF(GN107=0,0,VLOOKUP(A107,'Area (&amp;golfacre for lookup)'!$G$2:$H$133,2,FALSE))</f>
        <v>0</v>
      </c>
      <c r="GP107" s="1943">
        <v>0</v>
      </c>
      <c r="GQ107" s="1943">
        <v>0</v>
      </c>
      <c r="GR107" s="1943">
        <v>0</v>
      </c>
      <c r="GS107" s="1943">
        <v>0</v>
      </c>
      <c r="GT107" s="1943">
        <v>0</v>
      </c>
      <c r="GU107" s="1943">
        <v>0</v>
      </c>
      <c r="GV107" s="1943">
        <v>0</v>
      </c>
      <c r="GW107" s="1943">
        <v>0</v>
      </c>
      <c r="GX107" s="1936">
        <v>0</v>
      </c>
      <c r="GY107" s="1985">
        <f t="shared" si="764"/>
        <v>0</v>
      </c>
      <c r="GZ107" s="1936">
        <v>0</v>
      </c>
      <c r="HA107" s="1936">
        <v>0</v>
      </c>
      <c r="HB107" s="1936">
        <v>0</v>
      </c>
      <c r="HC107" s="1936">
        <v>0</v>
      </c>
      <c r="HD107" s="1936">
        <v>0</v>
      </c>
      <c r="HE107" s="1936">
        <v>0</v>
      </c>
      <c r="HF107" s="1936">
        <v>0</v>
      </c>
      <c r="HG107" s="1936">
        <v>36</v>
      </c>
      <c r="HH107" s="1988">
        <f>IF(HG107=0,0,VLOOKUP(A107,'Area (&amp;golfacre for lookup)'!$G$2:$H$134,2,FALSE))</f>
        <v>300</v>
      </c>
      <c r="HI107" s="1936">
        <v>66723</v>
      </c>
      <c r="HJ107" s="1936">
        <v>1667645</v>
      </c>
      <c r="HK107" s="1936">
        <v>307205</v>
      </c>
      <c r="HL107" s="1936">
        <v>914417</v>
      </c>
      <c r="HM107" s="1936">
        <v>189148</v>
      </c>
      <c r="HN107" s="1936">
        <v>152038</v>
      </c>
      <c r="HO107" s="1936">
        <v>214538</v>
      </c>
      <c r="HP107" s="1936">
        <v>3444991</v>
      </c>
      <c r="HQ107" s="1936">
        <v>95694.194444444438</v>
      </c>
      <c r="HR107" s="1988">
        <f t="shared" si="765"/>
        <v>11483.303333333333</v>
      </c>
      <c r="HS107" s="1366">
        <v>0.48407818772240624</v>
      </c>
      <c r="HT107" s="1366">
        <v>8.9174398423682383E-2</v>
      </c>
      <c r="HU107" s="1366">
        <v>0.26543378487781244</v>
      </c>
      <c r="HV107" s="1366">
        <v>5.4905223264734217E-2</v>
      </c>
      <c r="HW107" s="1366">
        <v>4.413306159580678E-2</v>
      </c>
      <c r="HX107" s="1366">
        <v>6.2275344115557921E-2</v>
      </c>
      <c r="HY107" s="1366">
        <v>1</v>
      </c>
      <c r="HZ107" s="51"/>
      <c r="IA107" s="59">
        <f t="shared" si="767"/>
        <v>0</v>
      </c>
      <c r="IB107" s="59"/>
      <c r="IC107" s="815">
        <f t="shared" si="768"/>
        <v>1</v>
      </c>
      <c r="ID107" s="815"/>
      <c r="IE107" s="284">
        <f t="shared" si="769"/>
        <v>0</v>
      </c>
      <c r="IF107" s="284"/>
      <c r="IG107" s="284">
        <f t="shared" si="770"/>
        <v>26796.78293381308</v>
      </c>
      <c r="IH107" s="284"/>
      <c r="II107" s="1288">
        <f t="shared" si="771"/>
        <v>1.1228497018050356</v>
      </c>
      <c r="IJ107" s="1288">
        <f t="shared" si="772"/>
        <v>0</v>
      </c>
      <c r="IK107" s="284">
        <f t="shared" si="773"/>
        <v>0</v>
      </c>
      <c r="IL107" s="284">
        <f t="shared" si="774"/>
        <v>0</v>
      </c>
      <c r="IM107" s="284">
        <f t="shared" si="775"/>
        <v>1</v>
      </c>
      <c r="IN107" s="284">
        <f t="shared" si="776"/>
        <v>0</v>
      </c>
      <c r="IO107" s="753">
        <f t="shared" si="777"/>
        <v>-874.49243306169967</v>
      </c>
      <c r="IP107" s="113">
        <f t="shared" si="778"/>
        <v>-1186.9214638761857</v>
      </c>
      <c r="IQ107" s="30">
        <f t="shared" si="779"/>
        <v>-0.11800770171765615</v>
      </c>
      <c r="IR107" s="438">
        <f t="shared" si="780"/>
        <v>1384314</v>
      </c>
      <c r="IS107" s="438">
        <f t="shared" si="781"/>
        <v>573307</v>
      </c>
      <c r="IT107" s="438">
        <f t="shared" si="782"/>
        <v>1400347</v>
      </c>
      <c r="IU107" s="438">
        <f t="shared" si="783"/>
        <v>302773</v>
      </c>
      <c r="IV107" s="438">
        <f t="shared" si="784"/>
        <v>719031</v>
      </c>
      <c r="IW107" s="438">
        <f t="shared" si="785"/>
        <v>286659</v>
      </c>
      <c r="IX107" s="285">
        <f t="shared" si="786"/>
        <v>0.70714096344491606</v>
      </c>
      <c r="IY107" s="285">
        <f t="shared" si="787"/>
        <v>0.29285903655508394</v>
      </c>
      <c r="IZ107" s="285">
        <f t="shared" si="788"/>
        <v>0.71533100635924929</v>
      </c>
      <c r="JA107" s="285">
        <f t="shared" si="789"/>
        <v>0.15466374747716743</v>
      </c>
      <c r="JB107" s="285">
        <f t="shared" si="790"/>
        <v>0.36729836878537775</v>
      </c>
      <c r="JC107" s="285">
        <f t="shared" si="791"/>
        <v>0.14643232781013282</v>
      </c>
      <c r="JD107" s="60">
        <f t="shared" si="792"/>
        <v>6365593</v>
      </c>
      <c r="JE107" s="60">
        <f t="shared" si="793"/>
        <v>2008596</v>
      </c>
      <c r="JF107" s="60">
        <f t="shared" si="794"/>
        <v>0</v>
      </c>
      <c r="JG107" s="60">
        <f t="shared" si="795"/>
        <v>368470</v>
      </c>
      <c r="JH107" s="284">
        <f t="shared" si="796"/>
        <v>1</v>
      </c>
      <c r="JI107" s="284">
        <f t="shared" si="797"/>
        <v>0</v>
      </c>
      <c r="JJ107" s="560">
        <f t="shared" si="798"/>
        <v>0</v>
      </c>
      <c r="JK107" s="561">
        <f t="shared" si="799"/>
        <v>0.53904657842551795</v>
      </c>
      <c r="JL107" s="561">
        <f t="shared" si="800"/>
        <v>6.6716332159151764E-2</v>
      </c>
      <c r="JM107" s="561">
        <f t="shared" si="801"/>
        <v>0</v>
      </c>
      <c r="JN107" s="561">
        <f t="shared" si="802"/>
        <v>0.30177808525144573</v>
      </c>
      <c r="JO107" s="561">
        <f t="shared" si="803"/>
        <v>1.2546490649538536E-2</v>
      </c>
      <c r="JP107" s="561">
        <f t="shared" si="804"/>
        <v>2.1642531674509597E-2</v>
      </c>
      <c r="JQ107" s="561">
        <f t="shared" si="805"/>
        <v>0.94173001816016344</v>
      </c>
      <c r="JR107" s="61">
        <f t="shared" si="806"/>
        <v>0</v>
      </c>
      <c r="JS107" s="61">
        <f t="shared" si="807"/>
        <v>0</v>
      </c>
      <c r="JT107" s="61">
        <f t="shared" si="808"/>
        <v>0</v>
      </c>
      <c r="JU107" s="61">
        <f t="shared" si="809"/>
        <v>0</v>
      </c>
      <c r="JV107" s="61">
        <f t="shared" si="810"/>
        <v>0</v>
      </c>
      <c r="JW107" s="61">
        <f t="shared" si="811"/>
        <v>0</v>
      </c>
      <c r="JX107" s="61">
        <f t="shared" si="812"/>
        <v>0</v>
      </c>
      <c r="JY107" s="394">
        <f t="shared" si="813"/>
        <v>0</v>
      </c>
      <c r="JZ107" s="61">
        <f t="shared" si="814"/>
        <v>46323.472222222219</v>
      </c>
      <c r="KA107" s="61">
        <f t="shared" si="815"/>
        <v>8533.4722222222226</v>
      </c>
      <c r="KB107" s="61">
        <f t="shared" si="816"/>
        <v>25400.472222222223</v>
      </c>
      <c r="KC107" s="61">
        <f t="shared" si="817"/>
        <v>5254.1111111111113</v>
      </c>
      <c r="KD107" s="61">
        <f t="shared" si="818"/>
        <v>4223.2777777777774</v>
      </c>
      <c r="KE107" s="61">
        <f t="shared" si="819"/>
        <v>5959.3888888888887</v>
      </c>
      <c r="KF107" s="61">
        <f t="shared" si="820"/>
        <v>33400</v>
      </c>
      <c r="KG107" s="61">
        <f t="shared" si="821"/>
        <v>300</v>
      </c>
      <c r="KH107" s="61">
        <f t="shared" si="822"/>
        <v>51.631236605068715</v>
      </c>
      <c r="KI107" s="394">
        <f t="shared" si="823"/>
        <v>0.33942687450089587</v>
      </c>
      <c r="KJ107" s="438">
        <f t="shared" si="824"/>
        <v>36</v>
      </c>
      <c r="KK107" s="438">
        <f t="shared" si="825"/>
        <v>66723</v>
      </c>
      <c r="KL107" s="438">
        <f t="shared" si="826"/>
        <v>300</v>
      </c>
      <c r="KM107" s="438">
        <f t="shared" si="827"/>
        <v>95694.194444444438</v>
      </c>
      <c r="KN107" s="438">
        <f t="shared" si="828"/>
        <v>51.631236605068715</v>
      </c>
      <c r="KO107" s="438">
        <f t="shared" si="829"/>
        <v>11483.303333333333</v>
      </c>
      <c r="KP107" s="438">
        <f t="shared" si="830"/>
        <v>1667645</v>
      </c>
      <c r="KQ107" s="438">
        <f t="shared" si="831"/>
        <v>307205</v>
      </c>
      <c r="KR107" s="438">
        <f t="shared" si="832"/>
        <v>914417</v>
      </c>
      <c r="KS107" s="438">
        <f t="shared" si="833"/>
        <v>189148</v>
      </c>
      <c r="KT107" s="438">
        <f t="shared" si="834"/>
        <v>152038</v>
      </c>
      <c r="KU107" s="438">
        <f t="shared" si="835"/>
        <v>214538</v>
      </c>
      <c r="KV107" s="420">
        <f t="shared" si="836"/>
        <v>0.33942687450089587</v>
      </c>
      <c r="KW107" s="420">
        <f t="shared" si="837"/>
        <v>-0.50748657666300689</v>
      </c>
      <c r="KX107" s="108"/>
      <c r="KY107" s="282">
        <f t="shared" si="838"/>
        <v>0</v>
      </c>
      <c r="KZ107" s="282"/>
      <c r="LA107" s="282">
        <f t="shared" si="839"/>
        <v>0</v>
      </c>
      <c r="LB107" s="282"/>
      <c r="LC107" s="286">
        <f t="shared" ref="LC107:LC139" si="951">(AA107/X107)-AB107</f>
        <v>0</v>
      </c>
      <c r="LD107" s="286"/>
      <c r="LE107" s="282">
        <f t="shared" si="841"/>
        <v>0</v>
      </c>
      <c r="LF107" s="282"/>
      <c r="LG107" s="282">
        <f t="shared" si="842"/>
        <v>0</v>
      </c>
      <c r="LH107" s="282">
        <f t="shared" si="843"/>
        <v>0</v>
      </c>
      <c r="LI107" s="282">
        <f t="shared" si="844"/>
        <v>0</v>
      </c>
      <c r="LJ107" s="282">
        <f t="shared" si="845"/>
        <v>0</v>
      </c>
      <c r="LK107" s="282"/>
      <c r="LL107" s="282">
        <f t="shared" si="846"/>
        <v>0</v>
      </c>
      <c r="LM107" s="282">
        <f t="shared" si="847"/>
        <v>0</v>
      </c>
      <c r="LN107" s="282">
        <f t="shared" si="848"/>
        <v>0</v>
      </c>
      <c r="LO107" s="282">
        <f t="shared" si="849"/>
        <v>0</v>
      </c>
      <c r="LP107" s="286">
        <f t="shared" si="850"/>
        <v>0</v>
      </c>
      <c r="LQ107" s="282">
        <f t="shared" si="851"/>
        <v>0</v>
      </c>
      <c r="LR107" s="282">
        <f t="shared" si="852"/>
        <v>0</v>
      </c>
      <c r="LS107" s="282">
        <f t="shared" si="853"/>
        <v>0</v>
      </c>
      <c r="LT107" s="286">
        <f t="shared" si="854"/>
        <v>0</v>
      </c>
      <c r="LU107" s="286">
        <f t="shared" si="855"/>
        <v>0</v>
      </c>
      <c r="LV107" s="286">
        <f t="shared" si="856"/>
        <v>0</v>
      </c>
      <c r="LW107" s="286">
        <f t="shared" si="857"/>
        <v>0</v>
      </c>
      <c r="LX107" s="286">
        <f t="shared" si="858"/>
        <v>0</v>
      </c>
      <c r="LY107" s="286">
        <f t="shared" si="859"/>
        <v>0</v>
      </c>
      <c r="LZ107" s="286">
        <f t="shared" si="860"/>
        <v>0</v>
      </c>
      <c r="MA107" s="286">
        <f t="shared" si="861"/>
        <v>0</v>
      </c>
      <c r="MB107" s="286">
        <f t="shared" si="862"/>
        <v>0</v>
      </c>
      <c r="MC107" s="286">
        <f t="shared" si="863"/>
        <v>0</v>
      </c>
      <c r="MD107" s="286">
        <f t="shared" si="864"/>
        <v>0</v>
      </c>
      <c r="ME107" s="286">
        <f t="shared" si="865"/>
        <v>0</v>
      </c>
      <c r="MF107" s="286">
        <f t="shared" si="866"/>
        <v>0</v>
      </c>
      <c r="MG107" s="286">
        <f t="shared" si="867"/>
        <v>0</v>
      </c>
      <c r="MH107" s="286">
        <f t="shared" si="868"/>
        <v>0</v>
      </c>
      <c r="MI107" s="286">
        <f t="shared" si="869"/>
        <v>0</v>
      </c>
      <c r="MJ107" s="286">
        <f t="shared" si="870"/>
        <v>0</v>
      </c>
      <c r="MK107" s="286">
        <f t="shared" si="871"/>
        <v>0</v>
      </c>
      <c r="ML107" s="282">
        <f t="shared" si="872"/>
        <v>0</v>
      </c>
      <c r="MM107" s="1232">
        <f t="shared" si="873"/>
        <v>0</v>
      </c>
      <c r="MN107" s="1232">
        <f t="shared" si="874"/>
        <v>0</v>
      </c>
      <c r="MO107" s="1232">
        <f t="shared" si="875"/>
        <v>0</v>
      </c>
      <c r="MP107" s="1232">
        <f t="shared" si="876"/>
        <v>0</v>
      </c>
      <c r="MQ107" s="282">
        <f t="shared" si="877"/>
        <v>0</v>
      </c>
      <c r="MR107" s="282">
        <f t="shared" si="878"/>
        <v>0</v>
      </c>
      <c r="MS107" s="282">
        <f t="shared" si="879"/>
        <v>0</v>
      </c>
      <c r="MT107" s="282">
        <f t="shared" si="880"/>
        <v>0</v>
      </c>
      <c r="MU107" s="282">
        <f t="shared" si="881"/>
        <v>0</v>
      </c>
      <c r="MV107" s="282">
        <f t="shared" si="882"/>
        <v>0</v>
      </c>
      <c r="MW107" s="282">
        <f t="shared" si="883"/>
        <v>0</v>
      </c>
      <c r="MX107" s="282">
        <f t="shared" si="884"/>
        <v>0</v>
      </c>
      <c r="MY107" s="282">
        <f t="shared" si="885"/>
        <v>0</v>
      </c>
      <c r="MZ107" s="282">
        <f t="shared" si="886"/>
        <v>0</v>
      </c>
      <c r="NA107" s="282">
        <f t="shared" si="887"/>
        <v>0</v>
      </c>
      <c r="NB107" s="282">
        <f t="shared" si="888"/>
        <v>0</v>
      </c>
      <c r="NC107" s="282">
        <f t="shared" si="889"/>
        <v>0</v>
      </c>
      <c r="ND107" s="282">
        <f t="shared" si="890"/>
        <v>0</v>
      </c>
      <c r="NE107" s="282">
        <f t="shared" si="891"/>
        <v>0</v>
      </c>
      <c r="NF107" s="282">
        <f t="shared" si="892"/>
        <v>0</v>
      </c>
      <c r="NG107" s="282">
        <f t="shared" si="893"/>
        <v>0</v>
      </c>
      <c r="NH107" s="282">
        <f t="shared" si="894"/>
        <v>0</v>
      </c>
      <c r="NI107" s="282">
        <f t="shared" si="895"/>
        <v>0</v>
      </c>
      <c r="NJ107" s="282">
        <f t="shared" si="896"/>
        <v>0</v>
      </c>
      <c r="NK107" s="282">
        <f t="shared" si="897"/>
        <v>0</v>
      </c>
      <c r="NL107" s="282">
        <f t="shared" si="898"/>
        <v>0</v>
      </c>
      <c r="NM107" s="1205">
        <f t="shared" si="899"/>
        <v>0</v>
      </c>
      <c r="NN107" s="282">
        <f t="shared" si="900"/>
        <v>0</v>
      </c>
      <c r="NO107" s="282">
        <f t="shared" si="901"/>
        <v>0</v>
      </c>
      <c r="NP107" s="282">
        <f t="shared" si="902"/>
        <v>0</v>
      </c>
      <c r="NQ107" s="282">
        <f t="shared" si="903"/>
        <v>0</v>
      </c>
      <c r="NR107" s="282">
        <f t="shared" si="904"/>
        <v>0</v>
      </c>
      <c r="NS107" s="282">
        <f t="shared" si="905"/>
        <v>0</v>
      </c>
      <c r="NT107" s="282">
        <f t="shared" si="906"/>
        <v>0</v>
      </c>
      <c r="NU107" s="282">
        <f t="shared" si="907"/>
        <v>0</v>
      </c>
      <c r="NV107" s="286">
        <f t="shared" si="908"/>
        <v>0</v>
      </c>
      <c r="NW107" s="286">
        <f t="shared" si="909"/>
        <v>0</v>
      </c>
      <c r="NX107" s="286">
        <f t="shared" si="910"/>
        <v>0</v>
      </c>
      <c r="NY107" s="286">
        <f t="shared" si="911"/>
        <v>0</v>
      </c>
      <c r="NZ107" s="286">
        <f t="shared" si="912"/>
        <v>0</v>
      </c>
      <c r="OA107" s="286">
        <f t="shared" si="913"/>
        <v>0</v>
      </c>
      <c r="OB107" s="286">
        <f t="shared" si="914"/>
        <v>0</v>
      </c>
      <c r="OC107" s="286">
        <f t="shared" si="915"/>
        <v>0</v>
      </c>
      <c r="OD107" s="286">
        <f t="shared" si="916"/>
        <v>0</v>
      </c>
      <c r="OE107" s="282">
        <f t="shared" si="917"/>
        <v>0</v>
      </c>
      <c r="OF107" s="282">
        <f t="shared" si="918"/>
        <v>0</v>
      </c>
      <c r="OG107" s="286">
        <f t="shared" si="919"/>
        <v>0</v>
      </c>
      <c r="OH107" s="286">
        <f t="shared" si="920"/>
        <v>0</v>
      </c>
      <c r="OI107" s="286">
        <f t="shared" si="921"/>
        <v>0</v>
      </c>
      <c r="OJ107" s="286">
        <f t="shared" si="922"/>
        <v>0</v>
      </c>
      <c r="OK107" s="286">
        <f t="shared" si="923"/>
        <v>0</v>
      </c>
      <c r="OL107" s="286">
        <f t="shared" si="924"/>
        <v>0</v>
      </c>
      <c r="OM107" s="286">
        <f t="shared" si="925"/>
        <v>0</v>
      </c>
      <c r="ON107" s="286">
        <f t="shared" si="926"/>
        <v>0</v>
      </c>
      <c r="OO107" s="286">
        <f t="shared" si="927"/>
        <v>0</v>
      </c>
      <c r="OP107" s="434">
        <f t="shared" si="928"/>
        <v>0</v>
      </c>
      <c r="OQ107" s="434">
        <f t="shared" si="929"/>
        <v>0</v>
      </c>
      <c r="OR107" s="282">
        <f t="shared" si="930"/>
        <v>0</v>
      </c>
      <c r="OS107" s="282">
        <f t="shared" si="931"/>
        <v>0</v>
      </c>
      <c r="OT107" s="282">
        <f t="shared" si="932"/>
        <v>0</v>
      </c>
      <c r="OU107" s="282">
        <f t="shared" si="933"/>
        <v>0</v>
      </c>
      <c r="OV107" s="282">
        <f t="shared" si="934"/>
        <v>0</v>
      </c>
      <c r="OW107" s="286">
        <f t="shared" si="935"/>
        <v>0</v>
      </c>
      <c r="OX107" s="286">
        <f t="shared" si="936"/>
        <v>0</v>
      </c>
      <c r="OY107" s="286">
        <f t="shared" si="937"/>
        <v>0</v>
      </c>
      <c r="OZ107" s="286">
        <f t="shared" si="938"/>
        <v>0</v>
      </c>
      <c r="PA107" s="286">
        <f t="shared" si="939"/>
        <v>0</v>
      </c>
      <c r="PB107" s="286">
        <f t="shared" si="940"/>
        <v>0</v>
      </c>
      <c r="PC107" s="286">
        <f t="shared" si="941"/>
        <v>0</v>
      </c>
      <c r="PD107" s="282">
        <f t="shared" si="942"/>
        <v>0</v>
      </c>
      <c r="PE107" s="282">
        <f t="shared" si="943"/>
        <v>0</v>
      </c>
      <c r="PF107" s="286">
        <f t="shared" si="944"/>
        <v>0</v>
      </c>
      <c r="PG107" s="286">
        <f t="shared" si="945"/>
        <v>0</v>
      </c>
      <c r="PH107" s="286">
        <f t="shared" si="946"/>
        <v>0</v>
      </c>
      <c r="PI107" s="286">
        <f t="shared" si="947"/>
        <v>0</v>
      </c>
      <c r="PJ107" s="286">
        <f t="shared" si="948"/>
        <v>0</v>
      </c>
      <c r="PK107" s="286">
        <f t="shared" si="949"/>
        <v>0</v>
      </c>
      <c r="PL107" s="286">
        <f t="shared" si="950"/>
        <v>0</v>
      </c>
      <c r="PM107" s="562">
        <v>52</v>
      </c>
      <c r="PO107" s="571"/>
    </row>
    <row r="108" spans="1:431" s="289" customFormat="1" ht="15.75" customHeight="1">
      <c r="A108" s="1935" t="s">
        <v>716</v>
      </c>
      <c r="B108" s="1040" t="str">
        <f>VLOOKUP(A108,'Area (&amp;golfacre for lookup)'!$A$2:$B$162,2,FALSE)</f>
        <v>SE exc BOCA</v>
      </c>
      <c r="C108" s="1936"/>
      <c r="D108" s="1937">
        <v>44926</v>
      </c>
      <c r="E108" s="402"/>
      <c r="F108" s="1936">
        <v>1</v>
      </c>
      <c r="G108" s="1936">
        <v>0</v>
      </c>
      <c r="H108" s="1936">
        <v>326</v>
      </c>
      <c r="I108" s="1936">
        <v>17</v>
      </c>
      <c r="J108" s="1936">
        <v>343</v>
      </c>
      <c r="K108" s="1938">
        <v>332.41711011051984</v>
      </c>
      <c r="L108" s="1939" t="s">
        <v>1208</v>
      </c>
      <c r="M108" s="1939" t="s">
        <v>1208</v>
      </c>
      <c r="N108" s="1939" t="s">
        <v>1208</v>
      </c>
      <c r="O108" s="1939" t="s">
        <v>1208</v>
      </c>
      <c r="P108" s="1939" t="s">
        <v>1208</v>
      </c>
      <c r="Q108" s="1936">
        <v>1000</v>
      </c>
      <c r="R108" s="1936">
        <v>400000</v>
      </c>
      <c r="S108" s="1936">
        <v>401000</v>
      </c>
      <c r="T108" s="1939" t="s">
        <v>1208</v>
      </c>
      <c r="U108" s="1939" t="s">
        <v>1208</v>
      </c>
      <c r="V108" s="1939" t="s">
        <v>1208</v>
      </c>
      <c r="W108" s="1936">
        <v>25000</v>
      </c>
      <c r="X108" s="1936">
        <v>21987</v>
      </c>
      <c r="Y108" s="1939" t="s">
        <v>1208</v>
      </c>
      <c r="Z108" s="1939" t="s">
        <v>1208</v>
      </c>
      <c r="AA108" s="1936">
        <v>3013</v>
      </c>
      <c r="AB108" s="1362">
        <v>0.13703552098967572</v>
      </c>
      <c r="AC108" s="1939" t="s">
        <v>1208</v>
      </c>
      <c r="AD108" s="1363" t="s">
        <v>1208</v>
      </c>
      <c r="AE108" s="1936">
        <v>1</v>
      </c>
      <c r="AF108" s="1936">
        <v>1200</v>
      </c>
      <c r="AG108" s="1939" t="s">
        <v>1208</v>
      </c>
      <c r="AH108" s="1936">
        <v>0</v>
      </c>
      <c r="AI108" s="1936">
        <v>0</v>
      </c>
      <c r="AJ108" s="1939" t="s">
        <v>1208</v>
      </c>
      <c r="AK108" s="1938">
        <v>0</v>
      </c>
      <c r="AL108" s="1938">
        <v>0</v>
      </c>
      <c r="AM108" s="1936">
        <v>23187</v>
      </c>
      <c r="AN108" s="1939" t="s">
        <v>1208</v>
      </c>
      <c r="AO108" s="1936">
        <v>0</v>
      </c>
      <c r="AP108" s="1936">
        <v>0</v>
      </c>
      <c r="AQ108" s="1936">
        <v>23187</v>
      </c>
      <c r="AR108" s="1939" t="s">
        <v>1208</v>
      </c>
      <c r="AS108" s="1363" t="s">
        <v>1208</v>
      </c>
      <c r="AT108" s="1363" t="s">
        <v>1208</v>
      </c>
      <c r="AU108" s="1363" t="s">
        <v>1208</v>
      </c>
      <c r="AV108" s="1363" t="s">
        <v>1208</v>
      </c>
      <c r="AW108" s="1363" t="s">
        <v>1291</v>
      </c>
      <c r="AX108" s="1938">
        <v>1</v>
      </c>
      <c r="AY108" s="1938">
        <v>0</v>
      </c>
      <c r="AZ108" s="1938">
        <v>1</v>
      </c>
      <c r="BA108" s="1938">
        <v>0</v>
      </c>
      <c r="BB108" s="1938">
        <v>0</v>
      </c>
      <c r="BC108" s="1938">
        <v>0</v>
      </c>
      <c r="BD108" s="1938">
        <v>0</v>
      </c>
      <c r="BE108" s="1936">
        <v>0</v>
      </c>
      <c r="BF108" s="1936">
        <v>0</v>
      </c>
      <c r="BG108" s="1936">
        <v>3000000</v>
      </c>
      <c r="BH108" s="1936">
        <v>3000000</v>
      </c>
      <c r="BI108" s="1938">
        <v>31474841</v>
      </c>
      <c r="BJ108" s="1936">
        <v>20751179</v>
      </c>
      <c r="BK108" s="1936">
        <v>1390887</v>
      </c>
      <c r="BL108" s="1362">
        <v>14.919385255595889</v>
      </c>
      <c r="BM108" s="1936">
        <v>1</v>
      </c>
      <c r="BN108" s="1936">
        <v>2900000</v>
      </c>
      <c r="BO108" s="1363" t="s">
        <v>1208</v>
      </c>
      <c r="BP108" s="1938">
        <v>3105476</v>
      </c>
      <c r="BQ108" s="1938">
        <v>11472525</v>
      </c>
      <c r="BR108" s="1940">
        <v>0.27068810048354658</v>
      </c>
      <c r="BS108" s="1409">
        <v>0</v>
      </c>
      <c r="BT108" s="1938">
        <v>14401525</v>
      </c>
      <c r="BU108" s="1938">
        <v>20197462</v>
      </c>
      <c r="BV108" s="1940">
        <v>0.713036370609337</v>
      </c>
      <c r="BW108" s="1936">
        <v>8723.9793373927932</v>
      </c>
      <c r="BX108" s="1936">
        <v>62425.123042254912</v>
      </c>
      <c r="BY108" s="1936">
        <v>9024.8062110959927</v>
      </c>
      <c r="BZ108" s="1936">
        <v>326884</v>
      </c>
      <c r="CA108" s="1936">
        <v>33781</v>
      </c>
      <c r="CB108" s="1936">
        <v>479358</v>
      </c>
      <c r="CC108" s="1936">
        <v>158401</v>
      </c>
      <c r="CD108" s="1936">
        <v>7308855</v>
      </c>
      <c r="CE108" s="1936">
        <v>0</v>
      </c>
      <c r="CF108" s="1936">
        <v>0</v>
      </c>
      <c r="CG108" s="1936">
        <v>1046617</v>
      </c>
      <c r="CH108" s="1936">
        <v>481340</v>
      </c>
      <c r="CI108" s="1936">
        <v>34700</v>
      </c>
      <c r="CJ108" s="1936">
        <v>9869936</v>
      </c>
      <c r="CK108" s="1366">
        <v>3.3119161056363484E-2</v>
      </c>
      <c r="CL108" s="1366">
        <v>3.4226159115925371E-3</v>
      </c>
      <c r="CM108" s="1366">
        <v>4.8567488178241483E-2</v>
      </c>
      <c r="CN108" s="1366">
        <v>1.6048837601378572E-2</v>
      </c>
      <c r="CO108" s="1366">
        <v>0.74051695978575749</v>
      </c>
      <c r="CP108" s="1366">
        <v>0</v>
      </c>
      <c r="CQ108" s="1366">
        <v>0</v>
      </c>
      <c r="CR108" s="1366">
        <v>0.10604091049830515</v>
      </c>
      <c r="CS108" s="1366">
        <v>4.8768300017345605E-2</v>
      </c>
      <c r="CT108" s="1366">
        <v>3.5157269510156905E-3</v>
      </c>
      <c r="CU108" s="1366">
        <v>1</v>
      </c>
      <c r="CV108" s="1936">
        <v>5705415</v>
      </c>
      <c r="CW108" s="1936">
        <v>543451</v>
      </c>
      <c r="CX108" s="1936">
        <v>341989</v>
      </c>
      <c r="CY108" s="1936">
        <v>3499786</v>
      </c>
      <c r="CZ108" s="1936">
        <v>303492</v>
      </c>
      <c r="DA108" s="1936">
        <v>883772</v>
      </c>
      <c r="DB108" s="1936">
        <v>11277905</v>
      </c>
      <c r="DC108" s="1366">
        <v>0.50589316012149421</v>
      </c>
      <c r="DD108" s="1366">
        <v>4.8187229809082452E-2</v>
      </c>
      <c r="DE108" s="1366">
        <v>3.0323805706822322E-2</v>
      </c>
      <c r="DF108" s="1366">
        <v>0.31032235153603438</v>
      </c>
      <c r="DG108" s="1366">
        <v>2.6910317120067955E-2</v>
      </c>
      <c r="DH108" s="1366">
        <v>7.8363135706498679E-2</v>
      </c>
      <c r="DI108" s="1366">
        <v>1</v>
      </c>
      <c r="DJ108" s="1936">
        <v>-1407969</v>
      </c>
      <c r="DK108" s="1936">
        <v>983.35491783596751</v>
      </c>
      <c r="DL108" s="1936">
        <v>101.62232620567791</v>
      </c>
      <c r="DM108" s="1936">
        <v>1442.0376852461843</v>
      </c>
      <c r="DN108" s="1936">
        <v>476.51277621460542</v>
      </c>
      <c r="DO108" s="1936">
        <v>21987</v>
      </c>
      <c r="DP108" s="1936">
        <v>0</v>
      </c>
      <c r="DQ108" s="1936">
        <v>0</v>
      </c>
      <c r="DR108" s="1936">
        <v>3148.5052007462182</v>
      </c>
      <c r="DS108" s="1936">
        <v>1448.0000738829817</v>
      </c>
      <c r="DT108" s="1936">
        <v>104.38692517501032</v>
      </c>
      <c r="DU108" s="1936">
        <v>29691.419905306648</v>
      </c>
      <c r="DV108" s="1936">
        <v>17163.421576293415</v>
      </c>
      <c r="DW108" s="1936">
        <v>1634.8466534087761</v>
      </c>
      <c r="DX108" s="1936">
        <v>1028.7948171088358</v>
      </c>
      <c r="DY108" s="1936">
        <v>10528.296810102267</v>
      </c>
      <c r="DZ108" s="1936">
        <v>912.98549553931502</v>
      </c>
      <c r="EA108" s="1936">
        <v>2658.6236782642427</v>
      </c>
      <c r="EB108" s="1936">
        <v>33926.969030716849</v>
      </c>
      <c r="EC108" s="1936">
        <v>-4235.5491254102044</v>
      </c>
      <c r="ED108" s="1941">
        <v>103</v>
      </c>
      <c r="EE108" s="1936">
        <v>0</v>
      </c>
      <c r="EF108" s="1936">
        <v>0</v>
      </c>
      <c r="EG108" s="1938">
        <v>0</v>
      </c>
      <c r="EH108" s="1938">
        <v>0</v>
      </c>
      <c r="EI108" s="1368">
        <v>0</v>
      </c>
      <c r="EJ108" s="1936">
        <v>3.2273505835972802</v>
      </c>
      <c r="EK108" s="1936">
        <v>0</v>
      </c>
      <c r="EL108" s="1936">
        <v>0</v>
      </c>
      <c r="EM108" s="1936">
        <v>1</v>
      </c>
      <c r="EN108" s="1362">
        <v>0.2</v>
      </c>
      <c r="EO108" s="1936">
        <v>0</v>
      </c>
      <c r="EP108" s="1936">
        <v>0</v>
      </c>
      <c r="EQ108" s="1936">
        <v>0</v>
      </c>
      <c r="ER108" s="1938">
        <v>0</v>
      </c>
      <c r="ES108" s="1936">
        <v>4596.5052746292004</v>
      </c>
      <c r="ET108" s="1936">
        <v>-2163.8296529346935</v>
      </c>
      <c r="EU108" s="1938">
        <v>2</v>
      </c>
      <c r="EV108" s="1936">
        <v>19772</v>
      </c>
      <c r="EW108" s="1936">
        <v>1500</v>
      </c>
      <c r="EX108" s="1938">
        <v>1</v>
      </c>
      <c r="EY108" s="1936">
        <v>1046617</v>
      </c>
      <c r="EZ108" s="1936">
        <v>404271</v>
      </c>
      <c r="FA108" s="1936">
        <v>642346</v>
      </c>
      <c r="FB108" s="1936">
        <v>481340</v>
      </c>
      <c r="FC108" s="1936">
        <v>139180</v>
      </c>
      <c r="FD108" s="1936">
        <v>342160</v>
      </c>
      <c r="FE108" s="1936">
        <v>1527957</v>
      </c>
      <c r="FF108" s="1936">
        <v>543451</v>
      </c>
      <c r="FG108" s="1936">
        <v>984506</v>
      </c>
      <c r="FH108" s="1366">
        <v>1</v>
      </c>
      <c r="FI108" s="1366">
        <v>0.38626450745592705</v>
      </c>
      <c r="FJ108" s="1366">
        <v>0.613735492544073</v>
      </c>
      <c r="FK108" s="1366">
        <v>1</v>
      </c>
      <c r="FL108" s="1366">
        <v>0.28915111979058461</v>
      </c>
      <c r="FM108" s="1366">
        <v>0.71084888020941539</v>
      </c>
      <c r="FN108" s="1366">
        <v>1</v>
      </c>
      <c r="FO108" s="1366">
        <v>0.3556716582992846</v>
      </c>
      <c r="FP108" s="1366">
        <v>0.6443283417007154</v>
      </c>
      <c r="FQ108" s="1936">
        <v>1304476</v>
      </c>
      <c r="FR108" s="1936">
        <v>0</v>
      </c>
      <c r="FS108" s="1936">
        <v>241669</v>
      </c>
      <c r="FT108" s="1936">
        <v>23431</v>
      </c>
      <c r="FU108" s="1936">
        <v>25183</v>
      </c>
      <c r="FV108" s="1936">
        <v>6429</v>
      </c>
      <c r="FW108" s="1936">
        <v>102612</v>
      </c>
      <c r="FX108" s="1936">
        <v>1703800</v>
      </c>
      <c r="FY108" s="1936">
        <v>-719294</v>
      </c>
      <c r="FZ108" s="1366">
        <v>0.8537386850546187</v>
      </c>
      <c r="GA108" s="1366">
        <v>0</v>
      </c>
      <c r="GB108" s="1366">
        <v>0.1581647912866658</v>
      </c>
      <c r="GC108" s="1366">
        <v>1.5334855627481664E-2</v>
      </c>
      <c r="GD108" s="1366">
        <v>1.6481484753824879E-2</v>
      </c>
      <c r="GE108" s="1366">
        <v>4.2075791399888872E-3</v>
      </c>
      <c r="GF108" s="1366">
        <v>6.7156340132608447E-2</v>
      </c>
      <c r="GG108" s="1366">
        <v>1.1150837359951884</v>
      </c>
      <c r="GH108" s="1366">
        <v>-0.47075539429447294</v>
      </c>
      <c r="GI108" s="1942">
        <v>2.1743819337682302</v>
      </c>
      <c r="GJ108" s="1943">
        <v>1</v>
      </c>
      <c r="GK108" s="1371">
        <v>0.05</v>
      </c>
      <c r="GL108" s="1943">
        <v>0</v>
      </c>
      <c r="GM108" s="1371">
        <v>0</v>
      </c>
      <c r="GN108" s="1943">
        <v>18</v>
      </c>
      <c r="GO108" s="1985">
        <f>IF(GN108=0,0,VLOOKUP(A108,'Area (&amp;golfacre for lookup)'!$G$2:$H$133,2,FALSE))</f>
        <v>185</v>
      </c>
      <c r="GP108" s="1943">
        <v>5691</v>
      </c>
      <c r="GQ108" s="1943">
        <v>1438939</v>
      </c>
      <c r="GR108" s="1943">
        <v>241686</v>
      </c>
      <c r="GS108" s="1943">
        <v>584723</v>
      </c>
      <c r="GT108" s="1943">
        <v>177025</v>
      </c>
      <c r="GU108" s="1943">
        <v>67665</v>
      </c>
      <c r="GV108" s="1943">
        <v>421297</v>
      </c>
      <c r="GW108" s="1943">
        <v>2931335</v>
      </c>
      <c r="GX108" s="1943">
        <v>162851.94444444444</v>
      </c>
      <c r="GY108" s="1985">
        <f t="shared" si="764"/>
        <v>15845.054054054053</v>
      </c>
      <c r="GZ108" s="1366">
        <v>0.49088179958960676</v>
      </c>
      <c r="HA108" s="1366">
        <v>8.2449123010505457E-2</v>
      </c>
      <c r="HB108" s="1366">
        <v>0.19947327753395638</v>
      </c>
      <c r="HC108" s="1366">
        <v>6.0390572895967193E-2</v>
      </c>
      <c r="HD108" s="1366">
        <v>2.3083339161167182E-2</v>
      </c>
      <c r="HE108" s="1366">
        <v>0.14372188780879702</v>
      </c>
      <c r="HF108" s="1366">
        <v>1</v>
      </c>
      <c r="HG108" s="1936">
        <v>0</v>
      </c>
      <c r="HH108" s="1988">
        <f>IF(HG108=0,0,VLOOKUP(A108,'Area (&amp;golfacre for lookup)'!$G$2:$H$134,2,FALSE))</f>
        <v>0</v>
      </c>
      <c r="HI108" s="1936">
        <v>0</v>
      </c>
      <c r="HJ108" s="1936">
        <v>0</v>
      </c>
      <c r="HK108" s="1936">
        <v>0</v>
      </c>
      <c r="HL108" s="1936">
        <v>0</v>
      </c>
      <c r="HM108" s="1936">
        <v>0</v>
      </c>
      <c r="HN108" s="1936">
        <v>0</v>
      </c>
      <c r="HO108" s="1936">
        <v>0</v>
      </c>
      <c r="HP108" s="1936">
        <v>0</v>
      </c>
      <c r="HQ108" s="1936">
        <v>0</v>
      </c>
      <c r="HR108" s="1988">
        <f t="shared" si="765"/>
        <v>0</v>
      </c>
      <c r="HS108" s="1936">
        <v>0</v>
      </c>
      <c r="HT108" s="1936">
        <v>0</v>
      </c>
      <c r="HU108" s="1936">
        <v>0</v>
      </c>
      <c r="HV108" s="1936">
        <v>0</v>
      </c>
      <c r="HW108" s="1936">
        <v>0</v>
      </c>
      <c r="HX108" s="1936">
        <v>0</v>
      </c>
      <c r="HY108" s="1936">
        <v>0</v>
      </c>
      <c r="HZ108" s="51"/>
      <c r="IA108" s="59">
        <f t="shared" si="767"/>
        <v>0</v>
      </c>
      <c r="IB108" s="59"/>
      <c r="IC108" s="815">
        <f t="shared" si="768"/>
        <v>1</v>
      </c>
      <c r="ID108" s="815"/>
      <c r="IE108" s="284">
        <f t="shared" si="769"/>
        <v>0</v>
      </c>
      <c r="IF108" s="284"/>
      <c r="IG108" s="284">
        <f t="shared" si="770"/>
        <v>94684.780183352937</v>
      </c>
      <c r="IH108" s="284"/>
      <c r="II108" s="1288">
        <f t="shared" si="771"/>
        <v>0</v>
      </c>
      <c r="IJ108" s="1288">
        <f t="shared" si="772"/>
        <v>0.27068810048354658</v>
      </c>
      <c r="IK108" s="284">
        <f t="shared" si="773"/>
        <v>1</v>
      </c>
      <c r="IL108" s="284">
        <f t="shared" si="774"/>
        <v>0</v>
      </c>
      <c r="IM108" s="284">
        <f t="shared" si="775"/>
        <v>0</v>
      </c>
      <c r="IN108" s="284">
        <f t="shared" si="776"/>
        <v>0</v>
      </c>
      <c r="IO108" s="753">
        <f t="shared" si="777"/>
        <v>-2097.0670553935861</v>
      </c>
      <c r="IP108" s="113">
        <f t="shared" si="778"/>
        <v>-2163.8296529346935</v>
      </c>
      <c r="IQ108" s="30">
        <f t="shared" si="779"/>
        <v>-9.8414047070300339E-2</v>
      </c>
      <c r="IR108" s="438">
        <f t="shared" si="780"/>
        <v>1046617</v>
      </c>
      <c r="IS108" s="438">
        <f t="shared" si="781"/>
        <v>481340</v>
      </c>
      <c r="IT108" s="438">
        <f t="shared" si="782"/>
        <v>1304476</v>
      </c>
      <c r="IU108" s="438">
        <f t="shared" si="783"/>
        <v>265100</v>
      </c>
      <c r="IV108" s="438">
        <f t="shared" si="784"/>
        <v>543451</v>
      </c>
      <c r="IW108" s="438">
        <f t="shared" si="785"/>
        <v>134224</v>
      </c>
      <c r="IX108" s="285">
        <f t="shared" si="786"/>
        <v>0.68497804584814892</v>
      </c>
      <c r="IY108" s="285">
        <f t="shared" si="787"/>
        <v>0.31502195415185114</v>
      </c>
      <c r="IZ108" s="285">
        <f t="shared" si="788"/>
        <v>0.8537386850546187</v>
      </c>
      <c r="JA108" s="285">
        <f t="shared" si="789"/>
        <v>0.17349964691414746</v>
      </c>
      <c r="JB108" s="285">
        <f t="shared" si="790"/>
        <v>0.3556716582992846</v>
      </c>
      <c r="JC108" s="285">
        <f t="shared" si="791"/>
        <v>8.7845404026422214E-2</v>
      </c>
      <c r="JD108" s="60">
        <f t="shared" si="792"/>
        <v>7308855</v>
      </c>
      <c r="JE108" s="60">
        <f t="shared" si="793"/>
        <v>998424</v>
      </c>
      <c r="JF108" s="60">
        <f t="shared" si="794"/>
        <v>0</v>
      </c>
      <c r="JG108" s="60">
        <f t="shared" si="795"/>
        <v>1187264</v>
      </c>
      <c r="JH108" s="284">
        <f t="shared" si="796"/>
        <v>0</v>
      </c>
      <c r="JI108" s="284">
        <f t="shared" si="797"/>
        <v>1</v>
      </c>
      <c r="JJ108" s="560">
        <f t="shared" si="798"/>
        <v>0.71343129769399904</v>
      </c>
      <c r="JK108" s="561">
        <f t="shared" si="799"/>
        <v>0.57805997931496211</v>
      </c>
      <c r="JL108" s="561">
        <f t="shared" si="800"/>
        <v>5.5061248624104553E-2</v>
      </c>
      <c r="JM108" s="561">
        <f t="shared" si="801"/>
        <v>3.4649566116740776E-2</v>
      </c>
      <c r="JN108" s="561">
        <f t="shared" si="802"/>
        <v>0.35459054648378674</v>
      </c>
      <c r="JO108" s="561">
        <f t="shared" si="803"/>
        <v>3.0749135556704724E-2</v>
      </c>
      <c r="JP108" s="561">
        <f t="shared" si="804"/>
        <v>8.9541816684525613E-2</v>
      </c>
      <c r="JQ108" s="561">
        <f t="shared" si="805"/>
        <v>1.1426522927808245</v>
      </c>
      <c r="JR108" s="61">
        <f t="shared" si="806"/>
        <v>79941.055555555562</v>
      </c>
      <c r="JS108" s="61">
        <f t="shared" si="807"/>
        <v>13427</v>
      </c>
      <c r="JT108" s="61">
        <f t="shared" si="808"/>
        <v>32484.611111111109</v>
      </c>
      <c r="JU108" s="61">
        <f t="shared" si="809"/>
        <v>9834.7222222222226</v>
      </c>
      <c r="JV108" s="61">
        <f t="shared" si="810"/>
        <v>3759.1666666666665</v>
      </c>
      <c r="JW108" s="61">
        <f t="shared" si="811"/>
        <v>23405.388888888891</v>
      </c>
      <c r="JX108" s="61">
        <f t="shared" si="812"/>
        <v>515.08258654015117</v>
      </c>
      <c r="JY108" s="394">
        <f t="shared" si="813"/>
        <v>0.25991839796487026</v>
      </c>
      <c r="JZ108" s="61">
        <f t="shared" si="814"/>
        <v>0</v>
      </c>
      <c r="KA108" s="61">
        <f t="shared" si="815"/>
        <v>0</v>
      </c>
      <c r="KB108" s="61">
        <f t="shared" si="816"/>
        <v>0</v>
      </c>
      <c r="KC108" s="61">
        <f t="shared" si="817"/>
        <v>0</v>
      </c>
      <c r="KD108" s="61">
        <f t="shared" si="818"/>
        <v>0</v>
      </c>
      <c r="KE108" s="61">
        <f t="shared" si="819"/>
        <v>0</v>
      </c>
      <c r="KF108" s="61">
        <f t="shared" si="820"/>
        <v>0</v>
      </c>
      <c r="KG108" s="61">
        <f t="shared" si="821"/>
        <v>0</v>
      </c>
      <c r="KH108" s="61">
        <f t="shared" si="822"/>
        <v>0</v>
      </c>
      <c r="KI108" s="394">
        <f t="shared" si="823"/>
        <v>0</v>
      </c>
      <c r="KJ108" s="438">
        <f t="shared" si="824"/>
        <v>18</v>
      </c>
      <c r="KK108" s="438">
        <f t="shared" si="825"/>
        <v>5691</v>
      </c>
      <c r="KL108" s="438">
        <f t="shared" si="826"/>
        <v>185</v>
      </c>
      <c r="KM108" s="438">
        <f t="shared" si="827"/>
        <v>162851.94444444444</v>
      </c>
      <c r="KN108" s="438">
        <f t="shared" si="828"/>
        <v>515.08258654015117</v>
      </c>
      <c r="KO108" s="438">
        <f t="shared" si="829"/>
        <v>15845.054054054053</v>
      </c>
      <c r="KP108" s="438">
        <f t="shared" si="830"/>
        <v>1438939</v>
      </c>
      <c r="KQ108" s="438">
        <f t="shared" si="831"/>
        <v>241686</v>
      </c>
      <c r="KR108" s="438">
        <f t="shared" si="832"/>
        <v>584723</v>
      </c>
      <c r="KS108" s="438">
        <f t="shared" si="833"/>
        <v>177025</v>
      </c>
      <c r="KT108" s="438">
        <f t="shared" si="834"/>
        <v>67665</v>
      </c>
      <c r="KU108" s="438">
        <f t="shared" si="835"/>
        <v>421297</v>
      </c>
      <c r="KV108" s="420">
        <f t="shared" si="836"/>
        <v>0.25991839796487026</v>
      </c>
      <c r="KW108" s="420">
        <f t="shared" si="837"/>
        <v>-0.34342424360587259</v>
      </c>
      <c r="KX108" s="108"/>
      <c r="KY108" s="282">
        <f t="shared" si="838"/>
        <v>0</v>
      </c>
      <c r="KZ108" s="282"/>
      <c r="LA108" s="282">
        <f t="shared" si="839"/>
        <v>0</v>
      </c>
      <c r="LB108" s="282"/>
      <c r="LC108" s="286">
        <f t="shared" si="951"/>
        <v>0</v>
      </c>
      <c r="LD108" s="286"/>
      <c r="LE108" s="282">
        <f t="shared" si="841"/>
        <v>0</v>
      </c>
      <c r="LF108" s="282"/>
      <c r="LG108" s="282">
        <f t="shared" si="842"/>
        <v>0</v>
      </c>
      <c r="LH108" s="282">
        <f t="shared" si="843"/>
        <v>0</v>
      </c>
      <c r="LI108" s="282">
        <f t="shared" si="844"/>
        <v>0</v>
      </c>
      <c r="LJ108" s="282">
        <f t="shared" si="845"/>
        <v>0</v>
      </c>
      <c r="LK108" s="282"/>
      <c r="LL108" s="282">
        <f t="shared" si="846"/>
        <v>0</v>
      </c>
      <c r="LM108" s="282">
        <f t="shared" si="847"/>
        <v>0</v>
      </c>
      <c r="LN108" s="282">
        <f t="shared" si="848"/>
        <v>0</v>
      </c>
      <c r="LO108" s="282">
        <f t="shared" si="849"/>
        <v>0</v>
      </c>
      <c r="LP108" s="286">
        <f t="shared" si="850"/>
        <v>0</v>
      </c>
      <c r="LQ108" s="282">
        <f t="shared" si="851"/>
        <v>0</v>
      </c>
      <c r="LR108" s="282">
        <f t="shared" si="852"/>
        <v>0</v>
      </c>
      <c r="LS108" s="282">
        <f t="shared" si="853"/>
        <v>0</v>
      </c>
      <c r="LT108" s="286">
        <f t="shared" si="854"/>
        <v>0</v>
      </c>
      <c r="LU108" s="286">
        <f t="shared" si="855"/>
        <v>0</v>
      </c>
      <c r="LV108" s="286">
        <f t="shared" si="856"/>
        <v>0</v>
      </c>
      <c r="LW108" s="286">
        <f t="shared" si="857"/>
        <v>0</v>
      </c>
      <c r="LX108" s="286">
        <f t="shared" si="858"/>
        <v>0</v>
      </c>
      <c r="LY108" s="286">
        <f t="shared" si="859"/>
        <v>0</v>
      </c>
      <c r="LZ108" s="286">
        <f t="shared" si="860"/>
        <v>0</v>
      </c>
      <c r="MA108" s="286">
        <f t="shared" si="861"/>
        <v>0</v>
      </c>
      <c r="MB108" s="286">
        <f t="shared" si="862"/>
        <v>0</v>
      </c>
      <c r="MC108" s="286">
        <f t="shared" si="863"/>
        <v>0</v>
      </c>
      <c r="MD108" s="286">
        <f t="shared" si="864"/>
        <v>0</v>
      </c>
      <c r="ME108" s="286">
        <f t="shared" si="865"/>
        <v>0</v>
      </c>
      <c r="MF108" s="286">
        <f t="shared" si="866"/>
        <v>0</v>
      </c>
      <c r="MG108" s="286">
        <f t="shared" si="867"/>
        <v>0</v>
      </c>
      <c r="MH108" s="286">
        <f t="shared" si="868"/>
        <v>0</v>
      </c>
      <c r="MI108" s="286">
        <f t="shared" si="869"/>
        <v>0</v>
      </c>
      <c r="MJ108" s="286">
        <f t="shared" si="870"/>
        <v>0</v>
      </c>
      <c r="MK108" s="286">
        <f t="shared" si="871"/>
        <v>0</v>
      </c>
      <c r="ML108" s="282">
        <f t="shared" si="872"/>
        <v>0</v>
      </c>
      <c r="MM108" s="1232">
        <f t="shared" si="873"/>
        <v>0</v>
      </c>
      <c r="MN108" s="1232">
        <f t="shared" si="874"/>
        <v>0</v>
      </c>
      <c r="MO108" s="1232">
        <f t="shared" si="875"/>
        <v>0</v>
      </c>
      <c r="MP108" s="1232">
        <f t="shared" si="876"/>
        <v>0</v>
      </c>
      <c r="MQ108" s="282">
        <f t="shared" si="877"/>
        <v>0</v>
      </c>
      <c r="MR108" s="282">
        <f t="shared" si="878"/>
        <v>0</v>
      </c>
      <c r="MS108" s="282">
        <f t="shared" si="879"/>
        <v>0</v>
      </c>
      <c r="MT108" s="282">
        <f t="shared" si="880"/>
        <v>0</v>
      </c>
      <c r="MU108" s="282">
        <f t="shared" si="881"/>
        <v>0</v>
      </c>
      <c r="MV108" s="282">
        <f t="shared" si="882"/>
        <v>0</v>
      </c>
      <c r="MW108" s="282">
        <f t="shared" si="883"/>
        <v>0</v>
      </c>
      <c r="MX108" s="282">
        <f t="shared" si="884"/>
        <v>0</v>
      </c>
      <c r="MY108" s="282">
        <f t="shared" si="885"/>
        <v>0</v>
      </c>
      <c r="MZ108" s="282">
        <f t="shared" si="886"/>
        <v>0</v>
      </c>
      <c r="NA108" s="282">
        <f t="shared" si="887"/>
        <v>0</v>
      </c>
      <c r="NB108" s="282">
        <f t="shared" si="888"/>
        <v>0</v>
      </c>
      <c r="NC108" s="282">
        <f t="shared" si="889"/>
        <v>0</v>
      </c>
      <c r="ND108" s="282">
        <f t="shared" si="890"/>
        <v>0</v>
      </c>
      <c r="NE108" s="282">
        <f t="shared" si="891"/>
        <v>0</v>
      </c>
      <c r="NF108" s="282">
        <f t="shared" si="892"/>
        <v>0</v>
      </c>
      <c r="NG108" s="282">
        <f t="shared" si="893"/>
        <v>0</v>
      </c>
      <c r="NH108" s="282">
        <f t="shared" si="894"/>
        <v>0</v>
      </c>
      <c r="NI108" s="282">
        <f t="shared" si="895"/>
        <v>0</v>
      </c>
      <c r="NJ108" s="282">
        <f t="shared" si="896"/>
        <v>0</v>
      </c>
      <c r="NK108" s="282">
        <f t="shared" si="897"/>
        <v>0</v>
      </c>
      <c r="NL108" s="282">
        <f t="shared" si="898"/>
        <v>0</v>
      </c>
      <c r="NM108" s="1205">
        <f t="shared" si="899"/>
        <v>0</v>
      </c>
      <c r="NN108" s="282">
        <f t="shared" si="900"/>
        <v>0</v>
      </c>
      <c r="NO108" s="282">
        <f t="shared" si="901"/>
        <v>0</v>
      </c>
      <c r="NP108" s="282">
        <f t="shared" si="902"/>
        <v>0</v>
      </c>
      <c r="NQ108" s="282">
        <f t="shared" si="903"/>
        <v>0</v>
      </c>
      <c r="NR108" s="282">
        <f t="shared" si="904"/>
        <v>0</v>
      </c>
      <c r="NS108" s="282">
        <f t="shared" si="905"/>
        <v>0</v>
      </c>
      <c r="NT108" s="282">
        <f t="shared" si="906"/>
        <v>0</v>
      </c>
      <c r="NU108" s="282">
        <f t="shared" si="907"/>
        <v>0</v>
      </c>
      <c r="NV108" s="286">
        <f t="shared" si="908"/>
        <v>0</v>
      </c>
      <c r="NW108" s="286">
        <f t="shared" si="909"/>
        <v>0</v>
      </c>
      <c r="NX108" s="286">
        <f t="shared" si="910"/>
        <v>0</v>
      </c>
      <c r="NY108" s="286">
        <f t="shared" si="911"/>
        <v>0</v>
      </c>
      <c r="NZ108" s="286">
        <f t="shared" si="912"/>
        <v>0</v>
      </c>
      <c r="OA108" s="286">
        <f t="shared" si="913"/>
        <v>0</v>
      </c>
      <c r="OB108" s="286">
        <f t="shared" si="914"/>
        <v>0</v>
      </c>
      <c r="OC108" s="286">
        <f t="shared" si="915"/>
        <v>0</v>
      </c>
      <c r="OD108" s="286">
        <f t="shared" si="916"/>
        <v>0</v>
      </c>
      <c r="OE108" s="282">
        <f t="shared" si="917"/>
        <v>0</v>
      </c>
      <c r="OF108" s="282">
        <f t="shared" si="918"/>
        <v>0</v>
      </c>
      <c r="OG108" s="286">
        <f t="shared" si="919"/>
        <v>0</v>
      </c>
      <c r="OH108" s="286">
        <f t="shared" si="920"/>
        <v>0</v>
      </c>
      <c r="OI108" s="286">
        <f t="shared" si="921"/>
        <v>0</v>
      </c>
      <c r="OJ108" s="286">
        <f t="shared" si="922"/>
        <v>0</v>
      </c>
      <c r="OK108" s="286">
        <f t="shared" si="923"/>
        <v>0</v>
      </c>
      <c r="OL108" s="286">
        <f t="shared" si="924"/>
        <v>0</v>
      </c>
      <c r="OM108" s="286">
        <f t="shared" si="925"/>
        <v>0</v>
      </c>
      <c r="ON108" s="286">
        <f t="shared" si="926"/>
        <v>0</v>
      </c>
      <c r="OO108" s="286">
        <f t="shared" si="927"/>
        <v>0</v>
      </c>
      <c r="OP108" s="434">
        <f t="shared" si="928"/>
        <v>0</v>
      </c>
      <c r="OQ108" s="434">
        <f t="shared" si="929"/>
        <v>0</v>
      </c>
      <c r="OR108" s="282">
        <f t="shared" si="930"/>
        <v>0</v>
      </c>
      <c r="OS108" s="282">
        <f t="shared" si="931"/>
        <v>0</v>
      </c>
      <c r="OT108" s="282">
        <f t="shared" si="932"/>
        <v>0</v>
      </c>
      <c r="OU108" s="282">
        <f t="shared" si="933"/>
        <v>0</v>
      </c>
      <c r="OV108" s="282">
        <f t="shared" si="934"/>
        <v>0</v>
      </c>
      <c r="OW108" s="286">
        <f t="shared" si="935"/>
        <v>0</v>
      </c>
      <c r="OX108" s="286">
        <f t="shared" si="936"/>
        <v>0</v>
      </c>
      <c r="OY108" s="286">
        <f t="shared" si="937"/>
        <v>0</v>
      </c>
      <c r="OZ108" s="286">
        <f t="shared" si="938"/>
        <v>0</v>
      </c>
      <c r="PA108" s="286">
        <f t="shared" si="939"/>
        <v>0</v>
      </c>
      <c r="PB108" s="286">
        <f t="shared" si="940"/>
        <v>0</v>
      </c>
      <c r="PC108" s="286">
        <f t="shared" si="941"/>
        <v>0</v>
      </c>
      <c r="PD108" s="282">
        <f t="shared" si="942"/>
        <v>0</v>
      </c>
      <c r="PE108" s="282">
        <f t="shared" si="943"/>
        <v>0</v>
      </c>
      <c r="PF108" s="286">
        <f t="shared" si="944"/>
        <v>0</v>
      </c>
      <c r="PG108" s="286">
        <f t="shared" si="945"/>
        <v>0</v>
      </c>
      <c r="PH108" s="286">
        <f t="shared" si="946"/>
        <v>0</v>
      </c>
      <c r="PI108" s="286">
        <f t="shared" si="947"/>
        <v>0</v>
      </c>
      <c r="PJ108" s="286">
        <f t="shared" si="948"/>
        <v>0</v>
      </c>
      <c r="PK108" s="286">
        <f t="shared" si="949"/>
        <v>0</v>
      </c>
      <c r="PL108" s="286">
        <f t="shared" si="950"/>
        <v>0</v>
      </c>
      <c r="PM108" s="562">
        <v>53</v>
      </c>
      <c r="PO108" s="571"/>
    </row>
    <row r="109" spans="1:431" s="289" customFormat="1" ht="15.75" customHeight="1">
      <c r="A109" s="1935" t="s">
        <v>717</v>
      </c>
      <c r="B109" s="1040" t="str">
        <f>VLOOKUP(A109,'Area (&amp;golfacre for lookup)'!$A$2:$B$162,2,FALSE)</f>
        <v>North&amp;Central</v>
      </c>
      <c r="C109" s="1936"/>
      <c r="D109" s="1937">
        <v>44834</v>
      </c>
      <c r="E109" s="402"/>
      <c r="F109" s="1936">
        <v>0</v>
      </c>
      <c r="G109" s="1936">
        <v>1</v>
      </c>
      <c r="H109" s="1936">
        <v>777</v>
      </c>
      <c r="I109" s="1936">
        <v>20</v>
      </c>
      <c r="J109" s="1936">
        <v>797</v>
      </c>
      <c r="K109" s="1938">
        <v>448.25038232795242</v>
      </c>
      <c r="L109" s="1939" t="s">
        <v>1208</v>
      </c>
      <c r="M109" s="1939" t="s">
        <v>1208</v>
      </c>
      <c r="N109" s="1939" t="s">
        <v>1208</v>
      </c>
      <c r="O109" s="1939" t="s">
        <v>1208</v>
      </c>
      <c r="P109" s="1939" t="s">
        <v>1208</v>
      </c>
      <c r="Q109" s="1936">
        <v>0</v>
      </c>
      <c r="R109" s="1936">
        <v>30000</v>
      </c>
      <c r="S109" s="1936">
        <v>30000</v>
      </c>
      <c r="T109" s="1939" t="s">
        <v>1208</v>
      </c>
      <c r="U109" s="1939" t="s">
        <v>1208</v>
      </c>
      <c r="V109" s="1939" t="s">
        <v>1208</v>
      </c>
      <c r="W109" s="1936">
        <v>12684</v>
      </c>
      <c r="X109" s="1936">
        <v>11770</v>
      </c>
      <c r="Y109" s="1939" t="s">
        <v>1208</v>
      </c>
      <c r="Z109" s="1939" t="s">
        <v>1208</v>
      </c>
      <c r="AA109" s="1936">
        <v>914</v>
      </c>
      <c r="AB109" s="1362">
        <v>7.7655055225148678E-2</v>
      </c>
      <c r="AC109" s="1939" t="s">
        <v>1208</v>
      </c>
      <c r="AD109" s="1363" t="s">
        <v>1208</v>
      </c>
      <c r="AE109" s="1936">
        <v>1</v>
      </c>
      <c r="AF109" s="1936">
        <v>1843</v>
      </c>
      <c r="AG109" s="1939" t="s">
        <v>1208</v>
      </c>
      <c r="AH109" s="1936">
        <v>0</v>
      </c>
      <c r="AI109" s="1936">
        <v>0</v>
      </c>
      <c r="AJ109" s="1939" t="s">
        <v>1208</v>
      </c>
      <c r="AK109" s="1938">
        <v>0</v>
      </c>
      <c r="AL109" s="1938">
        <v>0</v>
      </c>
      <c r="AM109" s="1936">
        <v>13613</v>
      </c>
      <c r="AN109" s="1939" t="s">
        <v>1208</v>
      </c>
      <c r="AO109" s="1936">
        <v>912</v>
      </c>
      <c r="AP109" s="1936">
        <v>0</v>
      </c>
      <c r="AQ109" s="1936">
        <v>14525</v>
      </c>
      <c r="AR109" s="1939" t="s">
        <v>1208</v>
      </c>
      <c r="AS109" s="1363" t="s">
        <v>1208</v>
      </c>
      <c r="AT109" s="1363" t="s">
        <v>1208</v>
      </c>
      <c r="AU109" s="1363" t="s">
        <v>1208</v>
      </c>
      <c r="AV109" s="1363" t="s">
        <v>1208</v>
      </c>
      <c r="AW109" s="1363" t="s">
        <v>1291</v>
      </c>
      <c r="AX109" s="1938">
        <v>0</v>
      </c>
      <c r="AY109" s="1938">
        <v>0</v>
      </c>
      <c r="AZ109" s="1938">
        <v>0</v>
      </c>
      <c r="BA109" s="1938">
        <v>0</v>
      </c>
      <c r="BB109" s="1938">
        <v>0</v>
      </c>
      <c r="BC109" s="1938">
        <v>0</v>
      </c>
      <c r="BD109" s="1938">
        <v>0</v>
      </c>
      <c r="BE109" s="1936">
        <v>1</v>
      </c>
      <c r="BF109" s="1936">
        <v>175000</v>
      </c>
      <c r="BG109" s="1936">
        <v>2907700</v>
      </c>
      <c r="BH109" s="1936">
        <v>3082700</v>
      </c>
      <c r="BI109" s="1938">
        <v>2593091</v>
      </c>
      <c r="BJ109" s="1936">
        <v>261893</v>
      </c>
      <c r="BK109" s="1936">
        <v>486074</v>
      </c>
      <c r="BL109" s="1362">
        <v>0.53879244724054365</v>
      </c>
      <c r="BM109" s="1936">
        <v>1</v>
      </c>
      <c r="BN109" s="1936">
        <v>178062</v>
      </c>
      <c r="BO109" s="1363" t="s">
        <v>1208</v>
      </c>
      <c r="BP109" s="1938">
        <v>3770604</v>
      </c>
      <c r="BQ109" s="1938">
        <v>1361733</v>
      </c>
      <c r="BR109" s="1940">
        <v>2.7689745346554719</v>
      </c>
      <c r="BS109" s="1409">
        <v>1</v>
      </c>
      <c r="BT109" s="1938">
        <v>2625492</v>
      </c>
      <c r="BU109" s="1938">
        <v>9096401</v>
      </c>
      <c r="BV109" s="1940">
        <v>0.28862975587817641</v>
      </c>
      <c r="BW109" s="1936">
        <v>397.23780953682467</v>
      </c>
      <c r="BX109" s="1936">
        <v>584.25605493046032</v>
      </c>
      <c r="BY109" s="1936">
        <v>6877.1832028123317</v>
      </c>
      <c r="BZ109" s="1936">
        <v>1086456</v>
      </c>
      <c r="CA109" s="1936">
        <v>42874</v>
      </c>
      <c r="CB109" s="1936">
        <v>210928</v>
      </c>
      <c r="CC109" s="1936">
        <v>0</v>
      </c>
      <c r="CD109" s="1936">
        <v>5275907</v>
      </c>
      <c r="CE109" s="1936">
        <v>0</v>
      </c>
      <c r="CF109" s="1936">
        <v>0</v>
      </c>
      <c r="CG109" s="1936">
        <v>979796</v>
      </c>
      <c r="CH109" s="1936">
        <v>267174</v>
      </c>
      <c r="CI109" s="1936">
        <v>3420082</v>
      </c>
      <c r="CJ109" s="1936">
        <v>11283217</v>
      </c>
      <c r="CK109" s="1366">
        <v>9.6289559972124975E-2</v>
      </c>
      <c r="CL109" s="1366">
        <v>3.7998028399170202E-3</v>
      </c>
      <c r="CM109" s="1366">
        <v>1.8693959355740478E-2</v>
      </c>
      <c r="CN109" s="1366">
        <v>0</v>
      </c>
      <c r="CO109" s="1366">
        <v>0.46758889774077728</v>
      </c>
      <c r="CP109" s="1366">
        <v>0</v>
      </c>
      <c r="CQ109" s="1366">
        <v>0</v>
      </c>
      <c r="CR109" s="1366">
        <v>8.6836582155603317E-2</v>
      </c>
      <c r="CS109" s="1366">
        <v>2.3678885197368799E-2</v>
      </c>
      <c r="CT109" s="1366">
        <v>0.30311231273846811</v>
      </c>
      <c r="CU109" s="1366">
        <v>1</v>
      </c>
      <c r="CV109" s="1936">
        <v>4836969</v>
      </c>
      <c r="CW109" s="1936">
        <v>554443</v>
      </c>
      <c r="CX109" s="1936">
        <v>185904</v>
      </c>
      <c r="CY109" s="1936">
        <v>4854635</v>
      </c>
      <c r="CZ109" s="1936">
        <v>0</v>
      </c>
      <c r="DA109" s="1936">
        <v>343455</v>
      </c>
      <c r="DB109" s="1936">
        <v>10775406</v>
      </c>
      <c r="DC109" s="1366">
        <v>0.44888972164946733</v>
      </c>
      <c r="DD109" s="1366">
        <v>5.1454488118591539E-2</v>
      </c>
      <c r="DE109" s="1366">
        <v>1.7252621386145452E-2</v>
      </c>
      <c r="DF109" s="1366">
        <v>0.45052919583726125</v>
      </c>
      <c r="DG109" s="1366">
        <v>0</v>
      </c>
      <c r="DH109" s="1366">
        <v>3.1873973008534437E-2</v>
      </c>
      <c r="DI109" s="1366">
        <v>1</v>
      </c>
      <c r="DJ109" s="1936">
        <v>507811</v>
      </c>
      <c r="DK109" s="1936">
        <v>2423.7703810927674</v>
      </c>
      <c r="DL109" s="1936">
        <v>95.647436545033869</v>
      </c>
      <c r="DM109" s="1936">
        <v>470.55843857748062</v>
      </c>
      <c r="DN109" s="1936">
        <v>0</v>
      </c>
      <c r="DO109" s="1936">
        <v>11770</v>
      </c>
      <c r="DP109" s="1936">
        <v>0</v>
      </c>
      <c r="DQ109" s="1936">
        <v>0</v>
      </c>
      <c r="DR109" s="1936">
        <v>2185.8230101478284</v>
      </c>
      <c r="DS109" s="1936">
        <v>596.03741688395951</v>
      </c>
      <c r="DT109" s="1936">
        <v>7629.8473684240453</v>
      </c>
      <c r="DU109" s="1936">
        <v>25171.684051671116</v>
      </c>
      <c r="DV109" s="1936">
        <v>10790.774956798898</v>
      </c>
      <c r="DW109" s="1936">
        <v>1236.9046895633301</v>
      </c>
      <c r="DX109" s="1936">
        <v>414.73249623240139</v>
      </c>
      <c r="DY109" s="1936">
        <v>10830.185966128667</v>
      </c>
      <c r="DZ109" s="1936">
        <v>0</v>
      </c>
      <c r="EA109" s="1936">
        <v>766.2123972238328</v>
      </c>
      <c r="EB109" s="1936">
        <v>24038.810505947127</v>
      </c>
      <c r="EC109" s="1936">
        <v>1132.8735457239864</v>
      </c>
      <c r="ED109" s="1941">
        <v>100</v>
      </c>
      <c r="EE109" s="1936">
        <v>0</v>
      </c>
      <c r="EF109" s="1936">
        <v>0</v>
      </c>
      <c r="EG109" s="1938">
        <v>0</v>
      </c>
      <c r="EH109" s="1938">
        <v>1</v>
      </c>
      <c r="EI109" s="1368">
        <v>0.04</v>
      </c>
      <c r="EJ109" s="1936">
        <v>4.482503823279524</v>
      </c>
      <c r="EK109" s="1936">
        <v>1</v>
      </c>
      <c r="EL109" s="1936">
        <v>912</v>
      </c>
      <c r="EM109" s="1936">
        <v>1</v>
      </c>
      <c r="EN109" s="1362">
        <v>0.2</v>
      </c>
      <c r="EO109" s="1936">
        <v>0</v>
      </c>
      <c r="EP109" s="1936">
        <v>0</v>
      </c>
      <c r="EQ109" s="1936">
        <v>0</v>
      </c>
      <c r="ER109" s="1938">
        <v>0</v>
      </c>
      <c r="ES109" s="1936">
        <v>2781.8604270317883</v>
      </c>
      <c r="ET109" s="1936">
        <v>-1526.3322173798742</v>
      </c>
      <c r="EU109" s="1938">
        <v>2</v>
      </c>
      <c r="EV109" s="1936">
        <v>52079</v>
      </c>
      <c r="EW109" s="1936">
        <v>7558</v>
      </c>
      <c r="EX109" s="1938">
        <v>1</v>
      </c>
      <c r="EY109" s="1936">
        <v>979796</v>
      </c>
      <c r="EZ109" s="1936">
        <v>479354</v>
      </c>
      <c r="FA109" s="1936">
        <v>500442</v>
      </c>
      <c r="FB109" s="1936">
        <v>267174</v>
      </c>
      <c r="FC109" s="1936">
        <v>75089</v>
      </c>
      <c r="FD109" s="1936">
        <v>192085</v>
      </c>
      <c r="FE109" s="1936">
        <v>1246970</v>
      </c>
      <c r="FF109" s="1936">
        <v>554443</v>
      </c>
      <c r="FG109" s="1936">
        <v>692527</v>
      </c>
      <c r="FH109" s="1366">
        <v>1</v>
      </c>
      <c r="FI109" s="1366">
        <v>0.48923857619341171</v>
      </c>
      <c r="FJ109" s="1366">
        <v>0.51076142380658829</v>
      </c>
      <c r="FK109" s="1366">
        <v>1</v>
      </c>
      <c r="FL109" s="1366">
        <v>0.28104905417443315</v>
      </c>
      <c r="FM109" s="1366">
        <v>0.71895094582556685</v>
      </c>
      <c r="FN109" s="1366">
        <v>1</v>
      </c>
      <c r="FO109" s="1366">
        <v>0.44463218842474156</v>
      </c>
      <c r="FP109" s="1366">
        <v>0.55536781157525839</v>
      </c>
      <c r="FQ109" s="1936">
        <v>778424</v>
      </c>
      <c r="FR109" s="1936">
        <v>0</v>
      </c>
      <c r="FS109" s="1936">
        <v>273028</v>
      </c>
      <c r="FT109" s="1936">
        <v>0</v>
      </c>
      <c r="FU109" s="1936">
        <v>20413</v>
      </c>
      <c r="FV109" s="1936">
        <v>2441</v>
      </c>
      <c r="FW109" s="1936">
        <v>302400</v>
      </c>
      <c r="FX109" s="1936">
        <v>1376706</v>
      </c>
      <c r="FY109" s="1936">
        <v>-684179</v>
      </c>
      <c r="FZ109" s="1366">
        <v>0.62425238778799808</v>
      </c>
      <c r="GA109" s="1366">
        <v>0</v>
      </c>
      <c r="GB109" s="1366">
        <v>0.21895314241721933</v>
      </c>
      <c r="GC109" s="1366">
        <v>0</v>
      </c>
      <c r="GD109" s="1366">
        <v>1.6370081076529507E-2</v>
      </c>
      <c r="GE109" s="1366">
        <v>1.9575450892964546E-3</v>
      </c>
      <c r="GF109" s="1366">
        <v>0.24250783900174022</v>
      </c>
      <c r="GG109" s="1366">
        <v>1.1040409953727837</v>
      </c>
      <c r="GH109" s="1366">
        <v>-0.54867318379752517</v>
      </c>
      <c r="GI109" s="1942">
        <v>3.6672580415759017</v>
      </c>
      <c r="GJ109" s="1943">
        <v>1</v>
      </c>
      <c r="GK109" s="1371">
        <v>0.05</v>
      </c>
      <c r="GL109" s="1943">
        <v>1</v>
      </c>
      <c r="GM109" s="1371">
        <v>0.05</v>
      </c>
      <c r="GN109" s="1943">
        <v>18</v>
      </c>
      <c r="GO109" s="1985">
        <f>IF(GN109=0,0,VLOOKUP(A109,'Area (&amp;golfacre for lookup)'!$G$2:$H$133,2,FALSE))</f>
        <v>70</v>
      </c>
      <c r="GP109" s="1943">
        <v>17235</v>
      </c>
      <c r="GQ109" s="1943">
        <v>382262</v>
      </c>
      <c r="GR109" s="1943">
        <v>109894</v>
      </c>
      <c r="GS109" s="1943">
        <v>122795</v>
      </c>
      <c r="GT109" s="1943">
        <v>46335</v>
      </c>
      <c r="GU109" s="1943">
        <v>0</v>
      </c>
      <c r="GV109" s="1943">
        <v>66499</v>
      </c>
      <c r="GW109" s="1943">
        <v>727785</v>
      </c>
      <c r="GX109" s="1943">
        <v>40432.5</v>
      </c>
      <c r="GY109" s="1985">
        <f t="shared" si="764"/>
        <v>10396.928571428571</v>
      </c>
      <c r="GZ109" s="1366">
        <v>0.52524028387504551</v>
      </c>
      <c r="HA109" s="1366">
        <v>0.15099789086062504</v>
      </c>
      <c r="HB109" s="1366">
        <v>0.16872427983539096</v>
      </c>
      <c r="HC109" s="1366">
        <v>6.366578041591954E-2</v>
      </c>
      <c r="HD109" s="1366">
        <v>0</v>
      </c>
      <c r="HE109" s="1366">
        <v>9.1371765013018955E-2</v>
      </c>
      <c r="HF109" s="1366">
        <v>1</v>
      </c>
      <c r="HG109" s="1936">
        <v>0</v>
      </c>
      <c r="HH109" s="1988">
        <f>IF(HG109=0,0,VLOOKUP(A109,'Area (&amp;golfacre for lookup)'!$G$2:$H$134,2,FALSE))</f>
        <v>0</v>
      </c>
      <c r="HI109" s="1936">
        <v>0</v>
      </c>
      <c r="HJ109" s="1936">
        <v>0</v>
      </c>
      <c r="HK109" s="1936">
        <v>0</v>
      </c>
      <c r="HL109" s="1936">
        <v>0</v>
      </c>
      <c r="HM109" s="1936">
        <v>0</v>
      </c>
      <c r="HN109" s="1936">
        <v>0</v>
      </c>
      <c r="HO109" s="1936">
        <v>0</v>
      </c>
      <c r="HP109" s="1936">
        <v>0</v>
      </c>
      <c r="HQ109" s="1936">
        <v>0</v>
      </c>
      <c r="HR109" s="1988">
        <f t="shared" si="765"/>
        <v>0</v>
      </c>
      <c r="HS109" s="1936">
        <v>0</v>
      </c>
      <c r="HT109" s="1936">
        <v>0</v>
      </c>
      <c r="HU109" s="1936">
        <v>0</v>
      </c>
      <c r="HV109" s="1936">
        <v>0</v>
      </c>
      <c r="HW109" s="1936">
        <v>0</v>
      </c>
      <c r="HX109" s="1936">
        <v>0</v>
      </c>
      <c r="HY109" s="1936">
        <v>0</v>
      </c>
      <c r="HZ109" s="1525"/>
      <c r="IA109" s="59">
        <f t="shared" si="767"/>
        <v>0</v>
      </c>
      <c r="IB109" s="59"/>
      <c r="IC109" s="815">
        <f t="shared" si="768"/>
        <v>1</v>
      </c>
      <c r="ID109" s="815"/>
      <c r="IE109" s="284">
        <f t="shared" si="769"/>
        <v>0</v>
      </c>
      <c r="IF109" s="284"/>
      <c r="IG109" s="284">
        <f t="shared" si="770"/>
        <v>5784.9164266921307</v>
      </c>
      <c r="IH109" s="284"/>
      <c r="II109" s="1288">
        <f t="shared" si="771"/>
        <v>2.7689745346554719</v>
      </c>
      <c r="IJ109" s="1288">
        <f t="shared" si="772"/>
        <v>0</v>
      </c>
      <c r="IK109" s="284">
        <f t="shared" si="773"/>
        <v>0</v>
      </c>
      <c r="IL109" s="284">
        <f t="shared" si="774"/>
        <v>0</v>
      </c>
      <c r="IM109" s="284">
        <f t="shared" si="775"/>
        <v>1</v>
      </c>
      <c r="IN109" s="284">
        <f t="shared" si="776"/>
        <v>0</v>
      </c>
      <c r="IO109" s="753">
        <f t="shared" si="777"/>
        <v>-858.4429109159347</v>
      </c>
      <c r="IP109" s="113">
        <f t="shared" si="778"/>
        <v>-1526.3322173798742</v>
      </c>
      <c r="IQ109" s="30">
        <f t="shared" si="779"/>
        <v>-0.12967988253015075</v>
      </c>
      <c r="IR109" s="438">
        <f t="shared" si="780"/>
        <v>979796</v>
      </c>
      <c r="IS109" s="438">
        <f t="shared" si="781"/>
        <v>267174</v>
      </c>
      <c r="IT109" s="438">
        <f t="shared" si="782"/>
        <v>778424</v>
      </c>
      <c r="IU109" s="438">
        <f t="shared" si="783"/>
        <v>273028</v>
      </c>
      <c r="IV109" s="438">
        <f t="shared" si="784"/>
        <v>554443</v>
      </c>
      <c r="IW109" s="438">
        <f t="shared" si="785"/>
        <v>325254</v>
      </c>
      <c r="IX109" s="285">
        <f t="shared" si="786"/>
        <v>0.78574143724387913</v>
      </c>
      <c r="IY109" s="285">
        <f t="shared" si="787"/>
        <v>0.21425856275612085</v>
      </c>
      <c r="IZ109" s="285">
        <f t="shared" si="788"/>
        <v>0.62425238778799808</v>
      </c>
      <c r="JA109" s="285">
        <f t="shared" si="789"/>
        <v>0.21895314241721933</v>
      </c>
      <c r="JB109" s="285">
        <f t="shared" si="790"/>
        <v>0.44463218842474156</v>
      </c>
      <c r="JC109" s="285">
        <f t="shared" si="791"/>
        <v>0.26083546516756617</v>
      </c>
      <c r="JD109" s="60">
        <f t="shared" si="792"/>
        <v>5275907</v>
      </c>
      <c r="JE109" s="60">
        <f t="shared" si="793"/>
        <v>1340258</v>
      </c>
      <c r="JF109" s="60">
        <f t="shared" si="794"/>
        <v>0</v>
      </c>
      <c r="JG109" s="60">
        <f t="shared" si="795"/>
        <v>343455</v>
      </c>
      <c r="JH109" s="284">
        <f t="shared" si="796"/>
        <v>1</v>
      </c>
      <c r="JI109" s="284">
        <f t="shared" si="797"/>
        <v>1</v>
      </c>
      <c r="JJ109" s="560">
        <f t="shared" si="798"/>
        <v>0.88136236061594475</v>
      </c>
      <c r="JK109" s="561">
        <f t="shared" si="799"/>
        <v>0.42868704909247068</v>
      </c>
      <c r="JL109" s="561">
        <f t="shared" si="800"/>
        <v>4.9138734103935072E-2</v>
      </c>
      <c r="JM109" s="561">
        <f t="shared" si="801"/>
        <v>1.6476152147033952E-2</v>
      </c>
      <c r="JN109" s="561">
        <f t="shared" si="802"/>
        <v>0.43025273731773483</v>
      </c>
      <c r="JO109" s="561">
        <f t="shared" si="803"/>
        <v>0</v>
      </c>
      <c r="JP109" s="561">
        <f t="shared" si="804"/>
        <v>3.043945711582078E-2</v>
      </c>
      <c r="JQ109" s="561">
        <f t="shared" si="805"/>
        <v>0.95499412977699538</v>
      </c>
      <c r="JR109" s="61">
        <f t="shared" si="806"/>
        <v>21236.777777777777</v>
      </c>
      <c r="JS109" s="61">
        <f t="shared" si="807"/>
        <v>6105.2222222222226</v>
      </c>
      <c r="JT109" s="61">
        <f t="shared" si="808"/>
        <v>6821.9444444444443</v>
      </c>
      <c r="JU109" s="61">
        <f t="shared" si="809"/>
        <v>2574.1666666666665</v>
      </c>
      <c r="JV109" s="61">
        <f t="shared" si="810"/>
        <v>0</v>
      </c>
      <c r="JW109" s="61">
        <f t="shared" si="811"/>
        <v>3694.3888888888887</v>
      </c>
      <c r="JX109" s="61">
        <f t="shared" si="812"/>
        <v>42.227154046997391</v>
      </c>
      <c r="JY109" s="394">
        <f t="shared" si="813"/>
        <v>6.7541306564225981E-2</v>
      </c>
      <c r="JZ109" s="61">
        <f t="shared" si="814"/>
        <v>0</v>
      </c>
      <c r="KA109" s="61">
        <f t="shared" si="815"/>
        <v>0</v>
      </c>
      <c r="KB109" s="61">
        <f t="shared" si="816"/>
        <v>0</v>
      </c>
      <c r="KC109" s="61">
        <f t="shared" si="817"/>
        <v>0</v>
      </c>
      <c r="KD109" s="61">
        <f t="shared" si="818"/>
        <v>0</v>
      </c>
      <c r="KE109" s="61">
        <f t="shared" si="819"/>
        <v>0</v>
      </c>
      <c r="KF109" s="61">
        <f t="shared" si="820"/>
        <v>0</v>
      </c>
      <c r="KG109" s="61">
        <f t="shared" si="821"/>
        <v>0</v>
      </c>
      <c r="KH109" s="61">
        <f t="shared" si="822"/>
        <v>0</v>
      </c>
      <c r="KI109" s="394">
        <f t="shared" si="823"/>
        <v>0</v>
      </c>
      <c r="KJ109" s="438">
        <f t="shared" si="824"/>
        <v>18</v>
      </c>
      <c r="KK109" s="438">
        <f t="shared" si="825"/>
        <v>17235</v>
      </c>
      <c r="KL109" s="438">
        <f t="shared" si="826"/>
        <v>70</v>
      </c>
      <c r="KM109" s="438">
        <f t="shared" si="827"/>
        <v>40432.5</v>
      </c>
      <c r="KN109" s="438">
        <f t="shared" si="828"/>
        <v>42.227154046997391</v>
      </c>
      <c r="KO109" s="438">
        <f t="shared" si="829"/>
        <v>10396.928571428571</v>
      </c>
      <c r="KP109" s="438">
        <f t="shared" si="830"/>
        <v>382262</v>
      </c>
      <c r="KQ109" s="438">
        <f t="shared" si="831"/>
        <v>109894</v>
      </c>
      <c r="KR109" s="438">
        <f t="shared" si="832"/>
        <v>122795</v>
      </c>
      <c r="KS109" s="438">
        <f t="shared" si="833"/>
        <v>46335</v>
      </c>
      <c r="KT109" s="438">
        <f t="shared" si="834"/>
        <v>0</v>
      </c>
      <c r="KU109" s="438">
        <f t="shared" si="835"/>
        <v>66499</v>
      </c>
      <c r="KV109" s="420">
        <f t="shared" si="836"/>
        <v>6.7541306564225981E-2</v>
      </c>
      <c r="KW109" s="420">
        <f t="shared" si="837"/>
        <v>-0.12534072340547323</v>
      </c>
      <c r="KX109" s="108"/>
      <c r="KY109" s="282">
        <f t="shared" si="838"/>
        <v>0</v>
      </c>
      <c r="KZ109" s="282"/>
      <c r="LA109" s="282">
        <f t="shared" si="839"/>
        <v>0</v>
      </c>
      <c r="LB109" s="282"/>
      <c r="LC109" s="286">
        <f t="shared" si="951"/>
        <v>0</v>
      </c>
      <c r="LD109" s="286"/>
      <c r="LE109" s="282">
        <f t="shared" si="841"/>
        <v>0</v>
      </c>
      <c r="LF109" s="282"/>
      <c r="LG109" s="282">
        <f t="shared" si="842"/>
        <v>0</v>
      </c>
      <c r="LH109" s="282">
        <f t="shared" si="843"/>
        <v>0</v>
      </c>
      <c r="LI109" s="282">
        <f t="shared" si="844"/>
        <v>0</v>
      </c>
      <c r="LJ109" s="282">
        <f t="shared" si="845"/>
        <v>0</v>
      </c>
      <c r="LK109" s="282"/>
      <c r="LL109" s="282">
        <f t="shared" si="846"/>
        <v>0</v>
      </c>
      <c r="LM109" s="282">
        <f t="shared" si="847"/>
        <v>0</v>
      </c>
      <c r="LN109" s="282">
        <f t="shared" si="848"/>
        <v>0</v>
      </c>
      <c r="LO109" s="282">
        <f t="shared" si="849"/>
        <v>0</v>
      </c>
      <c r="LP109" s="286">
        <f t="shared" si="850"/>
        <v>0</v>
      </c>
      <c r="LQ109" s="282">
        <f t="shared" si="851"/>
        <v>0</v>
      </c>
      <c r="LR109" s="282">
        <f t="shared" si="852"/>
        <v>0</v>
      </c>
      <c r="LS109" s="282">
        <f t="shared" si="853"/>
        <v>0</v>
      </c>
      <c r="LT109" s="286">
        <f t="shared" si="854"/>
        <v>0</v>
      </c>
      <c r="LU109" s="286">
        <f t="shared" si="855"/>
        <v>0</v>
      </c>
      <c r="LV109" s="286">
        <f t="shared" si="856"/>
        <v>0</v>
      </c>
      <c r="LW109" s="286">
        <f t="shared" si="857"/>
        <v>0</v>
      </c>
      <c r="LX109" s="286">
        <f t="shared" si="858"/>
        <v>0</v>
      </c>
      <c r="LY109" s="286">
        <f t="shared" si="859"/>
        <v>0</v>
      </c>
      <c r="LZ109" s="286">
        <f t="shared" si="860"/>
        <v>0</v>
      </c>
      <c r="MA109" s="286">
        <f t="shared" si="861"/>
        <v>0</v>
      </c>
      <c r="MB109" s="286">
        <f t="shared" si="862"/>
        <v>0</v>
      </c>
      <c r="MC109" s="286">
        <f t="shared" si="863"/>
        <v>0</v>
      </c>
      <c r="MD109" s="286">
        <f t="shared" si="864"/>
        <v>0</v>
      </c>
      <c r="ME109" s="286">
        <f t="shared" si="865"/>
        <v>0</v>
      </c>
      <c r="MF109" s="286">
        <f t="shared" si="866"/>
        <v>0</v>
      </c>
      <c r="MG109" s="286">
        <f t="shared" si="867"/>
        <v>0</v>
      </c>
      <c r="MH109" s="286">
        <f t="shared" si="868"/>
        <v>0</v>
      </c>
      <c r="MI109" s="286">
        <f t="shared" si="869"/>
        <v>0</v>
      </c>
      <c r="MJ109" s="286">
        <f t="shared" si="870"/>
        <v>0</v>
      </c>
      <c r="MK109" s="286">
        <f t="shared" si="871"/>
        <v>0</v>
      </c>
      <c r="ML109" s="282">
        <f t="shared" si="872"/>
        <v>0</v>
      </c>
      <c r="MM109" s="1232">
        <f t="shared" si="873"/>
        <v>0</v>
      </c>
      <c r="MN109" s="1232">
        <f t="shared" si="874"/>
        <v>0</v>
      </c>
      <c r="MO109" s="1232">
        <f t="shared" si="875"/>
        <v>0</v>
      </c>
      <c r="MP109" s="1232">
        <f t="shared" si="876"/>
        <v>0</v>
      </c>
      <c r="MQ109" s="282">
        <f t="shared" si="877"/>
        <v>0</v>
      </c>
      <c r="MR109" s="282">
        <f t="shared" si="878"/>
        <v>0</v>
      </c>
      <c r="MS109" s="282">
        <f t="shared" si="879"/>
        <v>0</v>
      </c>
      <c r="MT109" s="282">
        <f t="shared" si="880"/>
        <v>0</v>
      </c>
      <c r="MU109" s="282">
        <f t="shared" si="881"/>
        <v>0</v>
      </c>
      <c r="MV109" s="282">
        <f t="shared" si="882"/>
        <v>0</v>
      </c>
      <c r="MW109" s="282">
        <f t="shared" si="883"/>
        <v>0</v>
      </c>
      <c r="MX109" s="282">
        <f t="shared" si="884"/>
        <v>0</v>
      </c>
      <c r="MY109" s="282">
        <f t="shared" si="885"/>
        <v>0</v>
      </c>
      <c r="MZ109" s="282">
        <f t="shared" si="886"/>
        <v>0</v>
      </c>
      <c r="NA109" s="282">
        <f t="shared" si="887"/>
        <v>0</v>
      </c>
      <c r="NB109" s="282">
        <f t="shared" si="888"/>
        <v>0</v>
      </c>
      <c r="NC109" s="282">
        <f t="shared" si="889"/>
        <v>0</v>
      </c>
      <c r="ND109" s="282">
        <f t="shared" si="890"/>
        <v>0</v>
      </c>
      <c r="NE109" s="282">
        <f t="shared" si="891"/>
        <v>0</v>
      </c>
      <c r="NF109" s="282">
        <f t="shared" si="892"/>
        <v>0</v>
      </c>
      <c r="NG109" s="282">
        <f t="shared" si="893"/>
        <v>0</v>
      </c>
      <c r="NH109" s="282">
        <f t="shared" si="894"/>
        <v>0</v>
      </c>
      <c r="NI109" s="282">
        <f t="shared" si="895"/>
        <v>0</v>
      </c>
      <c r="NJ109" s="282">
        <f t="shared" si="896"/>
        <v>0</v>
      </c>
      <c r="NK109" s="282">
        <f t="shared" si="897"/>
        <v>0</v>
      </c>
      <c r="NL109" s="282">
        <f t="shared" si="898"/>
        <v>0</v>
      </c>
      <c r="NM109" s="1205">
        <f t="shared" si="899"/>
        <v>0</v>
      </c>
      <c r="NN109" s="282">
        <f t="shared" si="900"/>
        <v>0</v>
      </c>
      <c r="NO109" s="282">
        <f t="shared" si="901"/>
        <v>0</v>
      </c>
      <c r="NP109" s="282">
        <f t="shared" si="902"/>
        <v>0</v>
      </c>
      <c r="NQ109" s="282">
        <f t="shared" si="903"/>
        <v>0</v>
      </c>
      <c r="NR109" s="282">
        <f t="shared" si="904"/>
        <v>0</v>
      </c>
      <c r="NS109" s="282">
        <f t="shared" si="905"/>
        <v>0</v>
      </c>
      <c r="NT109" s="282">
        <f t="shared" si="906"/>
        <v>0</v>
      </c>
      <c r="NU109" s="282">
        <f t="shared" si="907"/>
        <v>0</v>
      </c>
      <c r="NV109" s="286">
        <f t="shared" si="908"/>
        <v>0</v>
      </c>
      <c r="NW109" s="286">
        <f t="shared" si="909"/>
        <v>0</v>
      </c>
      <c r="NX109" s="286">
        <f t="shared" si="910"/>
        <v>0</v>
      </c>
      <c r="NY109" s="286">
        <f t="shared" si="911"/>
        <v>0</v>
      </c>
      <c r="NZ109" s="286">
        <f t="shared" si="912"/>
        <v>0</v>
      </c>
      <c r="OA109" s="286">
        <f t="shared" si="913"/>
        <v>0</v>
      </c>
      <c r="OB109" s="286">
        <f t="shared" si="914"/>
        <v>0</v>
      </c>
      <c r="OC109" s="286">
        <f t="shared" si="915"/>
        <v>0</v>
      </c>
      <c r="OD109" s="286">
        <f t="shared" si="916"/>
        <v>0</v>
      </c>
      <c r="OE109" s="282">
        <f t="shared" si="917"/>
        <v>0</v>
      </c>
      <c r="OF109" s="282">
        <f t="shared" si="918"/>
        <v>0</v>
      </c>
      <c r="OG109" s="286">
        <f t="shared" si="919"/>
        <v>0</v>
      </c>
      <c r="OH109" s="286">
        <f t="shared" si="920"/>
        <v>0</v>
      </c>
      <c r="OI109" s="286">
        <f t="shared" si="921"/>
        <v>0</v>
      </c>
      <c r="OJ109" s="286">
        <f t="shared" si="922"/>
        <v>0</v>
      </c>
      <c r="OK109" s="286">
        <f t="shared" si="923"/>
        <v>0</v>
      </c>
      <c r="OL109" s="286">
        <f t="shared" si="924"/>
        <v>0</v>
      </c>
      <c r="OM109" s="286">
        <f t="shared" si="925"/>
        <v>0</v>
      </c>
      <c r="ON109" s="286">
        <f t="shared" si="926"/>
        <v>0</v>
      </c>
      <c r="OO109" s="286">
        <f t="shared" si="927"/>
        <v>0</v>
      </c>
      <c r="OP109" s="434">
        <f t="shared" si="928"/>
        <v>0</v>
      </c>
      <c r="OQ109" s="434">
        <f t="shared" si="929"/>
        <v>0</v>
      </c>
      <c r="OR109" s="282">
        <f t="shared" si="930"/>
        <v>0</v>
      </c>
      <c r="OS109" s="282">
        <f t="shared" si="931"/>
        <v>0</v>
      </c>
      <c r="OT109" s="282">
        <f t="shared" si="932"/>
        <v>0</v>
      </c>
      <c r="OU109" s="282">
        <f t="shared" si="933"/>
        <v>0</v>
      </c>
      <c r="OV109" s="282">
        <f t="shared" si="934"/>
        <v>0</v>
      </c>
      <c r="OW109" s="286">
        <f t="shared" si="935"/>
        <v>0</v>
      </c>
      <c r="OX109" s="286">
        <f t="shared" si="936"/>
        <v>0</v>
      </c>
      <c r="OY109" s="286">
        <f t="shared" si="937"/>
        <v>0</v>
      </c>
      <c r="OZ109" s="286">
        <f t="shared" si="938"/>
        <v>0</v>
      </c>
      <c r="PA109" s="286">
        <f t="shared" si="939"/>
        <v>0</v>
      </c>
      <c r="PB109" s="286">
        <f t="shared" si="940"/>
        <v>0</v>
      </c>
      <c r="PC109" s="286">
        <f t="shared" si="941"/>
        <v>0</v>
      </c>
      <c r="PD109" s="282">
        <f t="shared" si="942"/>
        <v>0</v>
      </c>
      <c r="PE109" s="282">
        <f t="shared" si="943"/>
        <v>0</v>
      </c>
      <c r="PF109" s="286">
        <f t="shared" si="944"/>
        <v>0</v>
      </c>
      <c r="PG109" s="286">
        <f t="shared" si="945"/>
        <v>0</v>
      </c>
      <c r="PH109" s="286">
        <f t="shared" si="946"/>
        <v>0</v>
      </c>
      <c r="PI109" s="286">
        <f t="shared" si="947"/>
        <v>0</v>
      </c>
      <c r="PJ109" s="286">
        <f t="shared" si="948"/>
        <v>0</v>
      </c>
      <c r="PK109" s="286">
        <f t="shared" si="949"/>
        <v>0</v>
      </c>
      <c r="PL109" s="286">
        <f t="shared" si="950"/>
        <v>0</v>
      </c>
      <c r="PM109" s="562">
        <v>54</v>
      </c>
      <c r="PO109" s="571"/>
    </row>
    <row r="110" spans="1:431" s="289" customFormat="1" ht="15.75" customHeight="1">
      <c r="A110" s="1935" t="s">
        <v>1305</v>
      </c>
      <c r="B110" s="1040" t="str">
        <f>VLOOKUP(A110,'Area (&amp;golfacre for lookup)'!$A$2:$B$162,2,FALSE)</f>
        <v>North&amp;Central</v>
      </c>
      <c r="C110" s="1936"/>
      <c r="D110" s="1937">
        <v>44834</v>
      </c>
      <c r="E110" s="402"/>
      <c r="F110" s="1936">
        <v>1</v>
      </c>
      <c r="G110" s="1936">
        <v>0</v>
      </c>
      <c r="H110" s="1936">
        <v>394</v>
      </c>
      <c r="I110" s="1936">
        <v>481</v>
      </c>
      <c r="J110" s="1936">
        <v>875</v>
      </c>
      <c r="K110" s="1938">
        <v>658.5166738228138</v>
      </c>
      <c r="L110" s="1939" t="s">
        <v>1208</v>
      </c>
      <c r="M110" s="1939" t="s">
        <v>1208</v>
      </c>
      <c r="N110" s="1939" t="s">
        <v>1208</v>
      </c>
      <c r="O110" s="1939" t="s">
        <v>1208</v>
      </c>
      <c r="P110" s="1939" t="s">
        <v>1208</v>
      </c>
      <c r="Q110" s="1936">
        <v>1</v>
      </c>
      <c r="R110" s="1936">
        <v>59999</v>
      </c>
      <c r="S110" s="1936">
        <v>60000</v>
      </c>
      <c r="T110" s="1939" t="s">
        <v>1208</v>
      </c>
      <c r="U110" s="1939" t="s">
        <v>1208</v>
      </c>
      <c r="V110" s="1939" t="s">
        <v>1208</v>
      </c>
      <c r="W110" s="1936">
        <v>14603</v>
      </c>
      <c r="X110" s="1936">
        <v>13974</v>
      </c>
      <c r="Y110" s="1939" t="s">
        <v>1208</v>
      </c>
      <c r="Z110" s="1939" t="s">
        <v>1208</v>
      </c>
      <c r="AA110" s="1936">
        <v>629</v>
      </c>
      <c r="AB110" s="1362">
        <v>4.5012165450121655E-2</v>
      </c>
      <c r="AC110" s="1939" t="s">
        <v>1208</v>
      </c>
      <c r="AD110" s="1363" t="s">
        <v>1208</v>
      </c>
      <c r="AE110" s="1936">
        <v>1</v>
      </c>
      <c r="AF110" s="1936">
        <v>1200</v>
      </c>
      <c r="AG110" s="1939" t="s">
        <v>1208</v>
      </c>
      <c r="AH110" s="1936">
        <v>0</v>
      </c>
      <c r="AI110" s="1936">
        <v>0</v>
      </c>
      <c r="AJ110" s="1939" t="s">
        <v>1208</v>
      </c>
      <c r="AK110" s="1938">
        <v>1</v>
      </c>
      <c r="AL110" s="1938">
        <v>1056</v>
      </c>
      <c r="AM110" s="1936">
        <v>16230</v>
      </c>
      <c r="AN110" s="1939" t="s">
        <v>1208</v>
      </c>
      <c r="AO110" s="1936">
        <v>0</v>
      </c>
      <c r="AP110" s="1936">
        <v>0</v>
      </c>
      <c r="AQ110" s="1936">
        <v>16230</v>
      </c>
      <c r="AR110" s="1939" t="s">
        <v>1208</v>
      </c>
      <c r="AS110" s="1363" t="s">
        <v>1208</v>
      </c>
      <c r="AT110" s="1363" t="s">
        <v>1208</v>
      </c>
      <c r="AU110" s="1363" t="s">
        <v>1208</v>
      </c>
      <c r="AV110" s="1363" t="s">
        <v>1208</v>
      </c>
      <c r="AW110" s="1363" t="s">
        <v>1291</v>
      </c>
      <c r="AX110" s="1938">
        <v>0</v>
      </c>
      <c r="AY110" s="1938">
        <v>0</v>
      </c>
      <c r="AZ110" s="1938">
        <v>0</v>
      </c>
      <c r="BA110" s="1938">
        <v>0</v>
      </c>
      <c r="BB110" s="1938">
        <v>0</v>
      </c>
      <c r="BC110" s="1938">
        <v>0</v>
      </c>
      <c r="BD110" s="1938">
        <v>0</v>
      </c>
      <c r="BE110" s="1936">
        <v>1</v>
      </c>
      <c r="BF110" s="1936">
        <v>500000</v>
      </c>
      <c r="BG110" s="1936">
        <v>700000</v>
      </c>
      <c r="BH110" s="1936">
        <v>1200000</v>
      </c>
      <c r="BI110" s="1938">
        <v>13481959</v>
      </c>
      <c r="BJ110" s="1936">
        <v>946206</v>
      </c>
      <c r="BK110" s="1936">
        <v>1618863</v>
      </c>
      <c r="BL110" s="1362">
        <v>0.58448800176420113</v>
      </c>
      <c r="BM110" s="1936">
        <v>1</v>
      </c>
      <c r="BN110" s="1936">
        <v>5404213</v>
      </c>
      <c r="BO110" s="1363" t="s">
        <v>1208</v>
      </c>
      <c r="BP110" s="1938">
        <v>6743067</v>
      </c>
      <c r="BQ110" s="1938">
        <v>7289521</v>
      </c>
      <c r="BR110" s="1940">
        <v>0.92503567792726027</v>
      </c>
      <c r="BS110" s="1409">
        <v>0</v>
      </c>
      <c r="BT110" s="1938">
        <v>13078875</v>
      </c>
      <c r="BU110" s="1938">
        <v>16998780</v>
      </c>
      <c r="BV110" s="1940">
        <v>0.76940080405770295</v>
      </c>
      <c r="BW110" s="1936">
        <v>8206.6456550409293</v>
      </c>
      <c r="BX110" s="1936">
        <v>1436.8747787464442</v>
      </c>
      <c r="BY110" s="1936">
        <v>1822.2773206846427</v>
      </c>
      <c r="BZ110" s="1936">
        <v>1141695</v>
      </c>
      <c r="CA110" s="1936">
        <v>961106</v>
      </c>
      <c r="CB110" s="1936">
        <v>749060</v>
      </c>
      <c r="CC110" s="1936">
        <v>336271</v>
      </c>
      <c r="CD110" s="1936">
        <v>9202112</v>
      </c>
      <c r="CE110" s="1936">
        <v>0</v>
      </c>
      <c r="CF110" s="1936">
        <v>0</v>
      </c>
      <c r="CG110" s="1936">
        <v>2344833</v>
      </c>
      <c r="CH110" s="1936">
        <v>1019876</v>
      </c>
      <c r="CI110" s="1936">
        <v>147723</v>
      </c>
      <c r="CJ110" s="1936">
        <v>15902676</v>
      </c>
      <c r="CK110" s="1366">
        <v>7.1792634145347617E-2</v>
      </c>
      <c r="CL110" s="1366">
        <v>6.0436746620505882E-2</v>
      </c>
      <c r="CM110" s="1366">
        <v>4.7102764339787842E-2</v>
      </c>
      <c r="CN110" s="1366">
        <v>2.1145560659099134E-2</v>
      </c>
      <c r="CO110" s="1366">
        <v>0.57865179420117718</v>
      </c>
      <c r="CP110" s="1366">
        <v>0</v>
      </c>
      <c r="CQ110" s="1366">
        <v>0</v>
      </c>
      <c r="CR110" s="1366">
        <v>0.14744895764712806</v>
      </c>
      <c r="CS110" s="1366">
        <v>6.4132351058400483E-2</v>
      </c>
      <c r="CT110" s="1366">
        <v>9.289191328553761E-3</v>
      </c>
      <c r="CU110" s="1366">
        <v>1</v>
      </c>
      <c r="CV110" s="1936">
        <v>8796417</v>
      </c>
      <c r="CW110" s="1936">
        <v>1590135</v>
      </c>
      <c r="CX110" s="1936">
        <v>504815</v>
      </c>
      <c r="CY110" s="1936">
        <v>4088145</v>
      </c>
      <c r="CZ110" s="1936">
        <v>190580</v>
      </c>
      <c r="DA110" s="1936">
        <v>283069</v>
      </c>
      <c r="DB110" s="1936">
        <v>15453161</v>
      </c>
      <c r="DC110" s="1366">
        <v>0.56923091657428537</v>
      </c>
      <c r="DD110" s="1366">
        <v>0.10290030628684967</v>
      </c>
      <c r="DE110" s="1366">
        <v>3.2667426424923679E-2</v>
      </c>
      <c r="DF110" s="1366">
        <v>0.26455072848849503</v>
      </c>
      <c r="DG110" s="1366">
        <v>1.2332751855753008E-2</v>
      </c>
      <c r="DH110" s="1366">
        <v>1.8317870369693293E-2</v>
      </c>
      <c r="DI110" s="1366">
        <v>1</v>
      </c>
      <c r="DJ110" s="1936">
        <v>449515</v>
      </c>
      <c r="DK110" s="1936">
        <v>1733.7374213658777</v>
      </c>
      <c r="DL110" s="1936">
        <v>1459.5013888116118</v>
      </c>
      <c r="DM110" s="1936">
        <v>1137.495874860032</v>
      </c>
      <c r="DN110" s="1936">
        <v>510.64918075328796</v>
      </c>
      <c r="DO110" s="1936">
        <v>13974</v>
      </c>
      <c r="DP110" s="1936">
        <v>0</v>
      </c>
      <c r="DQ110" s="1936">
        <v>0</v>
      </c>
      <c r="DR110" s="1936">
        <v>3560.7799972441107</v>
      </c>
      <c r="DS110" s="1936">
        <v>1548.7474205921424</v>
      </c>
      <c r="DT110" s="1936">
        <v>224.32689386958126</v>
      </c>
      <c r="DU110" s="1936">
        <v>24149.238177496645</v>
      </c>
      <c r="DV110" s="1936">
        <v>13357.926001987369</v>
      </c>
      <c r="DW110" s="1936">
        <v>2414.7224561057287</v>
      </c>
      <c r="DX110" s="1936">
        <v>766.59410470118166</v>
      </c>
      <c r="DY110" s="1936">
        <v>6208.1115976419323</v>
      </c>
      <c r="DZ110" s="1936">
        <v>289.40800981339936</v>
      </c>
      <c r="EA110" s="1936">
        <v>429.85851574073428</v>
      </c>
      <c r="EB110" s="1936">
        <v>23466.620685990347</v>
      </c>
      <c r="EC110" s="1936">
        <v>682.61749150629771</v>
      </c>
      <c r="ED110" s="1941">
        <v>155</v>
      </c>
      <c r="EE110" s="1936">
        <v>0</v>
      </c>
      <c r="EF110" s="1936">
        <v>0</v>
      </c>
      <c r="EG110" s="1938">
        <v>0</v>
      </c>
      <c r="EH110" s="1938">
        <v>1</v>
      </c>
      <c r="EI110" s="1368">
        <v>0.05</v>
      </c>
      <c r="EJ110" s="1936">
        <v>4.2484946698246056</v>
      </c>
      <c r="EK110" s="1936">
        <v>0</v>
      </c>
      <c r="EL110" s="1936">
        <v>0</v>
      </c>
      <c r="EM110" s="1936">
        <v>1</v>
      </c>
      <c r="EN110" s="1362">
        <v>0.2</v>
      </c>
      <c r="EO110" s="1936">
        <v>0</v>
      </c>
      <c r="EP110" s="1936">
        <v>0</v>
      </c>
      <c r="EQ110" s="1936">
        <v>0</v>
      </c>
      <c r="ER110" s="1938">
        <v>0</v>
      </c>
      <c r="ES110" s="1936">
        <v>5109.5274178362533</v>
      </c>
      <c r="ET110" s="1936">
        <v>-2988.8643344049715</v>
      </c>
      <c r="EU110" s="1938">
        <v>3</v>
      </c>
      <c r="EV110" s="1936">
        <v>112838</v>
      </c>
      <c r="EW110" s="1936">
        <v>8229</v>
      </c>
      <c r="EX110" s="1938">
        <v>0</v>
      </c>
      <c r="EY110" s="1936">
        <v>2344833</v>
      </c>
      <c r="EZ110" s="1936">
        <v>1240335</v>
      </c>
      <c r="FA110" s="1936">
        <v>1104498</v>
      </c>
      <c r="FB110" s="1936">
        <v>1019876</v>
      </c>
      <c r="FC110" s="1936">
        <v>349800</v>
      </c>
      <c r="FD110" s="1936">
        <v>670076</v>
      </c>
      <c r="FE110" s="1936">
        <v>3364709</v>
      </c>
      <c r="FF110" s="1936">
        <v>1590135</v>
      </c>
      <c r="FG110" s="1936">
        <v>1774574</v>
      </c>
      <c r="FH110" s="1366">
        <v>1</v>
      </c>
      <c r="FI110" s="1366">
        <v>0.52896517577157942</v>
      </c>
      <c r="FJ110" s="1366">
        <v>0.47103482422842052</v>
      </c>
      <c r="FK110" s="1366">
        <v>1</v>
      </c>
      <c r="FL110" s="1366">
        <v>0.34298287242762848</v>
      </c>
      <c r="FM110" s="1366">
        <v>0.65701712757237152</v>
      </c>
      <c r="FN110" s="1366">
        <v>1</v>
      </c>
      <c r="FO110" s="1366">
        <v>0.47259213203875877</v>
      </c>
      <c r="FP110" s="1366">
        <v>0.52740786796124117</v>
      </c>
      <c r="FQ110" s="1936">
        <v>2364763</v>
      </c>
      <c r="FR110" s="1936">
        <v>0</v>
      </c>
      <c r="FS110" s="1936">
        <v>535236</v>
      </c>
      <c r="FT110" s="1936">
        <v>60262</v>
      </c>
      <c r="FU110" s="1936">
        <v>123995</v>
      </c>
      <c r="FV110" s="1936">
        <v>17578</v>
      </c>
      <c r="FW110" s="1936">
        <v>640957</v>
      </c>
      <c r="FX110" s="1936">
        <v>3742791</v>
      </c>
      <c r="FY110" s="1936">
        <v>-1968217</v>
      </c>
      <c r="FZ110" s="1366">
        <v>0.70281352711334022</v>
      </c>
      <c r="GA110" s="1366">
        <v>0</v>
      </c>
      <c r="GB110" s="1366">
        <v>0.1590734889703686</v>
      </c>
      <c r="GC110" s="1366">
        <v>1.7910018370087873E-2</v>
      </c>
      <c r="GD110" s="1366">
        <v>3.6851626693422818E-2</v>
      </c>
      <c r="GE110" s="1366">
        <v>5.2242259286018498E-3</v>
      </c>
      <c r="GF110" s="1366">
        <v>0.19049403678000087</v>
      </c>
      <c r="GG110" s="1366">
        <v>1.1123669238558223</v>
      </c>
      <c r="GH110" s="1366">
        <v>-0.58495905589458108</v>
      </c>
      <c r="GI110" s="1942">
        <v>2.2991353850860299</v>
      </c>
      <c r="GJ110" s="1943">
        <v>0</v>
      </c>
      <c r="GK110" s="1371">
        <v>0</v>
      </c>
      <c r="GL110" s="1943">
        <v>0</v>
      </c>
      <c r="GM110" s="1371">
        <v>0</v>
      </c>
      <c r="GN110" s="1943">
        <v>18</v>
      </c>
      <c r="GO110" s="1985">
        <f>IF(GN110=0,0,VLOOKUP(A110,'Area (&amp;golfacre for lookup)'!$G$2:$H$133,2,FALSE))</f>
        <v>100</v>
      </c>
      <c r="GP110" s="1943">
        <v>24066</v>
      </c>
      <c r="GQ110" s="1943">
        <v>864435</v>
      </c>
      <c r="GR110" s="1943">
        <v>239632</v>
      </c>
      <c r="GS110" s="1943">
        <v>347918</v>
      </c>
      <c r="GT110" s="1943">
        <v>134328</v>
      </c>
      <c r="GU110" s="1943">
        <v>0</v>
      </c>
      <c r="GV110" s="1943">
        <v>62761</v>
      </c>
      <c r="GW110" s="1943">
        <v>1649074</v>
      </c>
      <c r="GX110" s="1943">
        <v>91615.222222222219</v>
      </c>
      <c r="GY110" s="1985">
        <f t="shared" si="764"/>
        <v>16490.740000000002</v>
      </c>
      <c r="GZ110" s="1366">
        <v>0.52419418413000263</v>
      </c>
      <c r="HA110" s="1366">
        <v>0.14531306660586488</v>
      </c>
      <c r="HB110" s="1366">
        <v>0.2109777972365097</v>
      </c>
      <c r="HC110" s="1366">
        <v>8.1456623535390169E-2</v>
      </c>
      <c r="HD110" s="1366">
        <v>0</v>
      </c>
      <c r="HE110" s="1366">
        <v>3.8058328492232611E-2</v>
      </c>
      <c r="HF110" s="1366">
        <v>1</v>
      </c>
      <c r="HG110" s="1936">
        <v>0</v>
      </c>
      <c r="HH110" s="1988">
        <f>IF(HG110=0,0,VLOOKUP(A110,'Area (&amp;golfacre for lookup)'!$G$2:$H$134,2,FALSE))</f>
        <v>0</v>
      </c>
      <c r="HI110" s="1936">
        <v>0</v>
      </c>
      <c r="HJ110" s="1936">
        <v>0</v>
      </c>
      <c r="HK110" s="1936">
        <v>0</v>
      </c>
      <c r="HL110" s="1936">
        <v>0</v>
      </c>
      <c r="HM110" s="1936">
        <v>0</v>
      </c>
      <c r="HN110" s="1936">
        <v>0</v>
      </c>
      <c r="HO110" s="1936">
        <v>0</v>
      </c>
      <c r="HP110" s="1936">
        <v>0</v>
      </c>
      <c r="HQ110" s="1936">
        <v>0</v>
      </c>
      <c r="HR110" s="1988">
        <f t="shared" si="765"/>
        <v>0</v>
      </c>
      <c r="HS110" s="1936">
        <v>0</v>
      </c>
      <c r="HT110" s="1936">
        <v>0</v>
      </c>
      <c r="HU110" s="1936">
        <v>0</v>
      </c>
      <c r="HV110" s="1936">
        <v>0</v>
      </c>
      <c r="HW110" s="1936">
        <v>0</v>
      </c>
      <c r="HX110" s="1936">
        <v>0</v>
      </c>
      <c r="HY110" s="1936">
        <v>0</v>
      </c>
      <c r="HZ110" s="51"/>
      <c r="IA110" s="59">
        <f t="shared" si="767"/>
        <v>0</v>
      </c>
      <c r="IB110" s="59"/>
      <c r="IC110" s="815">
        <f t="shared" si="768"/>
        <v>1</v>
      </c>
      <c r="ID110" s="815"/>
      <c r="IE110" s="284">
        <f t="shared" si="769"/>
        <v>0</v>
      </c>
      <c r="IF110" s="284"/>
      <c r="IG110" s="284">
        <f t="shared" si="770"/>
        <v>20473.223436750173</v>
      </c>
      <c r="IH110" s="284"/>
      <c r="II110" s="1288">
        <f t="shared" si="771"/>
        <v>0</v>
      </c>
      <c r="IJ110" s="1288">
        <f t="shared" si="772"/>
        <v>0.92503567792726027</v>
      </c>
      <c r="IK110" s="284">
        <f t="shared" si="773"/>
        <v>1</v>
      </c>
      <c r="IL110" s="284">
        <f t="shared" si="774"/>
        <v>0</v>
      </c>
      <c r="IM110" s="284">
        <f t="shared" si="775"/>
        <v>0</v>
      </c>
      <c r="IN110" s="284">
        <f t="shared" si="776"/>
        <v>0</v>
      </c>
      <c r="IO110" s="753">
        <f t="shared" si="777"/>
        <v>-2249.3908571428569</v>
      </c>
      <c r="IP110" s="113">
        <f t="shared" si="778"/>
        <v>-2988.8643344049715</v>
      </c>
      <c r="IQ110" s="30">
        <f t="shared" si="779"/>
        <v>-0.21388752929762211</v>
      </c>
      <c r="IR110" s="438">
        <f t="shared" si="780"/>
        <v>2344833</v>
      </c>
      <c r="IS110" s="438">
        <f t="shared" si="781"/>
        <v>1019876</v>
      </c>
      <c r="IT110" s="438">
        <f t="shared" si="782"/>
        <v>2364763</v>
      </c>
      <c r="IU110" s="438">
        <f t="shared" si="783"/>
        <v>595498</v>
      </c>
      <c r="IV110" s="438">
        <f t="shared" si="784"/>
        <v>1590135</v>
      </c>
      <c r="IW110" s="438">
        <f t="shared" si="785"/>
        <v>782530</v>
      </c>
      <c r="IX110" s="285">
        <f t="shared" si="786"/>
        <v>0.69689028085341109</v>
      </c>
      <c r="IY110" s="285">
        <f t="shared" si="787"/>
        <v>0.30310971914658891</v>
      </c>
      <c r="IZ110" s="285">
        <f t="shared" si="788"/>
        <v>0.70281352711334022</v>
      </c>
      <c r="JA110" s="285">
        <f t="shared" si="789"/>
        <v>0.17698350734045648</v>
      </c>
      <c r="JB110" s="285">
        <f t="shared" si="790"/>
        <v>0.47259213203875877</v>
      </c>
      <c r="JC110" s="285">
        <f t="shared" si="791"/>
        <v>0.23256988940202555</v>
      </c>
      <c r="JD110" s="60">
        <f t="shared" si="792"/>
        <v>9202112</v>
      </c>
      <c r="JE110" s="60">
        <f t="shared" si="793"/>
        <v>3188132</v>
      </c>
      <c r="JF110" s="60">
        <f t="shared" si="794"/>
        <v>0</v>
      </c>
      <c r="JG110" s="60">
        <f t="shared" si="795"/>
        <v>473649</v>
      </c>
      <c r="JH110" s="284">
        <f t="shared" si="796"/>
        <v>1</v>
      </c>
      <c r="JI110" s="284">
        <f t="shared" si="797"/>
        <v>1</v>
      </c>
      <c r="JJ110" s="560">
        <f t="shared" si="798"/>
        <v>0.67393132726350358</v>
      </c>
      <c r="JK110" s="561">
        <f t="shared" si="799"/>
        <v>0.55314067896497421</v>
      </c>
      <c r="JL110" s="561">
        <f t="shared" si="800"/>
        <v>9.9991661780696531E-2</v>
      </c>
      <c r="JM110" s="561">
        <f t="shared" si="801"/>
        <v>3.1744028489293245E-2</v>
      </c>
      <c r="JN110" s="561">
        <f t="shared" si="802"/>
        <v>0.25707277190329475</v>
      </c>
      <c r="JO110" s="561">
        <f t="shared" si="803"/>
        <v>1.1984146567533665E-2</v>
      </c>
      <c r="JP110" s="561">
        <f t="shared" si="804"/>
        <v>1.7800085972951973E-2</v>
      </c>
      <c r="JQ110" s="561">
        <f t="shared" si="805"/>
        <v>0.97173337367874446</v>
      </c>
      <c r="JR110" s="61">
        <f t="shared" si="806"/>
        <v>48024.166666666664</v>
      </c>
      <c r="JS110" s="61">
        <f t="shared" si="807"/>
        <v>13312.888888888889</v>
      </c>
      <c r="JT110" s="61">
        <f t="shared" si="808"/>
        <v>19328.777777777777</v>
      </c>
      <c r="JU110" s="61">
        <f t="shared" si="809"/>
        <v>7462.666666666667</v>
      </c>
      <c r="JV110" s="61">
        <f t="shared" si="810"/>
        <v>0</v>
      </c>
      <c r="JW110" s="61">
        <f t="shared" si="811"/>
        <v>3486.7222222222222</v>
      </c>
      <c r="JX110" s="61">
        <f t="shared" si="812"/>
        <v>68.522978475858054</v>
      </c>
      <c r="JY110" s="394">
        <f t="shared" si="813"/>
        <v>0.10671434795767674</v>
      </c>
      <c r="JZ110" s="61">
        <f t="shared" si="814"/>
        <v>0</v>
      </c>
      <c r="KA110" s="61">
        <f t="shared" si="815"/>
        <v>0</v>
      </c>
      <c r="KB110" s="61">
        <f t="shared" si="816"/>
        <v>0</v>
      </c>
      <c r="KC110" s="61">
        <f t="shared" si="817"/>
        <v>0</v>
      </c>
      <c r="KD110" s="61">
        <f t="shared" si="818"/>
        <v>0</v>
      </c>
      <c r="KE110" s="61">
        <f t="shared" si="819"/>
        <v>0</v>
      </c>
      <c r="KF110" s="61">
        <f t="shared" si="820"/>
        <v>0</v>
      </c>
      <c r="KG110" s="61">
        <f t="shared" si="821"/>
        <v>0</v>
      </c>
      <c r="KH110" s="61">
        <f t="shared" si="822"/>
        <v>0</v>
      </c>
      <c r="KI110" s="394">
        <f t="shared" si="823"/>
        <v>0</v>
      </c>
      <c r="KJ110" s="438">
        <f t="shared" si="824"/>
        <v>18</v>
      </c>
      <c r="KK110" s="438">
        <f t="shared" si="825"/>
        <v>24066</v>
      </c>
      <c r="KL110" s="438">
        <f t="shared" si="826"/>
        <v>100</v>
      </c>
      <c r="KM110" s="438">
        <f t="shared" si="827"/>
        <v>91615.222222222219</v>
      </c>
      <c r="KN110" s="438">
        <f t="shared" si="828"/>
        <v>68.522978475858054</v>
      </c>
      <c r="KO110" s="438">
        <f t="shared" si="829"/>
        <v>16490.740000000002</v>
      </c>
      <c r="KP110" s="438">
        <f t="shared" si="830"/>
        <v>864435</v>
      </c>
      <c r="KQ110" s="438">
        <f t="shared" si="831"/>
        <v>239632</v>
      </c>
      <c r="KR110" s="438">
        <f t="shared" si="832"/>
        <v>347918</v>
      </c>
      <c r="KS110" s="438">
        <f t="shared" si="833"/>
        <v>134328</v>
      </c>
      <c r="KT110" s="438">
        <f t="shared" si="834"/>
        <v>0</v>
      </c>
      <c r="KU110" s="438">
        <f t="shared" si="835"/>
        <v>62761</v>
      </c>
      <c r="KV110" s="420">
        <f t="shared" si="836"/>
        <v>0.10671434795767674</v>
      </c>
      <c r="KW110" s="420">
        <f t="shared" si="837"/>
        <v>-0.17238575231425135</v>
      </c>
      <c r="KX110" s="108"/>
      <c r="KY110" s="282">
        <f t="shared" si="838"/>
        <v>0</v>
      </c>
      <c r="KZ110" s="282"/>
      <c r="LA110" s="282">
        <f t="shared" si="839"/>
        <v>0</v>
      </c>
      <c r="LB110" s="282"/>
      <c r="LC110" s="286">
        <f t="shared" si="951"/>
        <v>0</v>
      </c>
      <c r="LD110" s="286"/>
      <c r="LE110" s="282">
        <f t="shared" si="841"/>
        <v>0</v>
      </c>
      <c r="LF110" s="282"/>
      <c r="LG110" s="282">
        <f t="shared" si="842"/>
        <v>0</v>
      </c>
      <c r="LH110" s="282">
        <f t="shared" si="843"/>
        <v>0</v>
      </c>
      <c r="LI110" s="282">
        <f t="shared" si="844"/>
        <v>0</v>
      </c>
      <c r="LJ110" s="282">
        <f t="shared" si="845"/>
        <v>0</v>
      </c>
      <c r="LK110" s="282"/>
      <c r="LL110" s="282">
        <f t="shared" si="846"/>
        <v>0</v>
      </c>
      <c r="LM110" s="282">
        <f t="shared" si="847"/>
        <v>0</v>
      </c>
      <c r="LN110" s="282">
        <f t="shared" si="848"/>
        <v>0</v>
      </c>
      <c r="LO110" s="282">
        <f t="shared" si="849"/>
        <v>0</v>
      </c>
      <c r="LP110" s="286">
        <f t="shared" si="850"/>
        <v>0</v>
      </c>
      <c r="LQ110" s="282">
        <f t="shared" si="851"/>
        <v>0</v>
      </c>
      <c r="LR110" s="282">
        <f t="shared" si="852"/>
        <v>0</v>
      </c>
      <c r="LS110" s="282">
        <f t="shared" si="853"/>
        <v>0</v>
      </c>
      <c r="LT110" s="286">
        <f t="shared" si="854"/>
        <v>0</v>
      </c>
      <c r="LU110" s="286">
        <f t="shared" si="855"/>
        <v>0</v>
      </c>
      <c r="LV110" s="286">
        <f t="shared" si="856"/>
        <v>0</v>
      </c>
      <c r="LW110" s="286">
        <f t="shared" si="857"/>
        <v>0</v>
      </c>
      <c r="LX110" s="286">
        <f t="shared" si="858"/>
        <v>0</v>
      </c>
      <c r="LY110" s="286">
        <f t="shared" si="859"/>
        <v>0</v>
      </c>
      <c r="LZ110" s="286">
        <f t="shared" si="860"/>
        <v>0</v>
      </c>
      <c r="MA110" s="286">
        <f t="shared" si="861"/>
        <v>0</v>
      </c>
      <c r="MB110" s="286">
        <f t="shared" si="862"/>
        <v>0</v>
      </c>
      <c r="MC110" s="286">
        <f t="shared" si="863"/>
        <v>0</v>
      </c>
      <c r="MD110" s="286">
        <f t="shared" si="864"/>
        <v>0</v>
      </c>
      <c r="ME110" s="286">
        <f t="shared" si="865"/>
        <v>0</v>
      </c>
      <c r="MF110" s="286">
        <f t="shared" si="866"/>
        <v>0</v>
      </c>
      <c r="MG110" s="286">
        <f t="shared" si="867"/>
        <v>0</v>
      </c>
      <c r="MH110" s="286">
        <f t="shared" si="868"/>
        <v>0</v>
      </c>
      <c r="MI110" s="286">
        <f t="shared" si="869"/>
        <v>0</v>
      </c>
      <c r="MJ110" s="286">
        <f t="shared" si="870"/>
        <v>0</v>
      </c>
      <c r="MK110" s="286">
        <f t="shared" si="871"/>
        <v>0</v>
      </c>
      <c r="ML110" s="282">
        <f t="shared" si="872"/>
        <v>0</v>
      </c>
      <c r="MM110" s="1232">
        <f t="shared" si="873"/>
        <v>0</v>
      </c>
      <c r="MN110" s="1232">
        <f t="shared" si="874"/>
        <v>0</v>
      </c>
      <c r="MO110" s="1232">
        <f t="shared" si="875"/>
        <v>0</v>
      </c>
      <c r="MP110" s="1232">
        <f t="shared" si="876"/>
        <v>0</v>
      </c>
      <c r="MQ110" s="282">
        <f t="shared" si="877"/>
        <v>0</v>
      </c>
      <c r="MR110" s="282">
        <f t="shared" si="878"/>
        <v>0</v>
      </c>
      <c r="MS110" s="282">
        <f t="shared" si="879"/>
        <v>0</v>
      </c>
      <c r="MT110" s="282">
        <f t="shared" si="880"/>
        <v>0</v>
      </c>
      <c r="MU110" s="282">
        <f t="shared" si="881"/>
        <v>0</v>
      </c>
      <c r="MV110" s="282">
        <f t="shared" si="882"/>
        <v>0</v>
      </c>
      <c r="MW110" s="282">
        <f t="shared" si="883"/>
        <v>0</v>
      </c>
      <c r="MX110" s="282">
        <f t="shared" si="884"/>
        <v>0</v>
      </c>
      <c r="MY110" s="282">
        <f t="shared" si="885"/>
        <v>0</v>
      </c>
      <c r="MZ110" s="282">
        <f t="shared" si="886"/>
        <v>0</v>
      </c>
      <c r="NA110" s="282">
        <f t="shared" si="887"/>
        <v>0</v>
      </c>
      <c r="NB110" s="282">
        <f t="shared" si="888"/>
        <v>0</v>
      </c>
      <c r="NC110" s="282">
        <f t="shared" si="889"/>
        <v>0</v>
      </c>
      <c r="ND110" s="282">
        <f t="shared" si="890"/>
        <v>0</v>
      </c>
      <c r="NE110" s="282">
        <f t="shared" si="891"/>
        <v>0</v>
      </c>
      <c r="NF110" s="282">
        <f t="shared" si="892"/>
        <v>0</v>
      </c>
      <c r="NG110" s="282">
        <f t="shared" si="893"/>
        <v>0</v>
      </c>
      <c r="NH110" s="282">
        <f t="shared" si="894"/>
        <v>0</v>
      </c>
      <c r="NI110" s="282">
        <f t="shared" si="895"/>
        <v>0</v>
      </c>
      <c r="NJ110" s="282">
        <f t="shared" si="896"/>
        <v>0</v>
      </c>
      <c r="NK110" s="282">
        <f t="shared" si="897"/>
        <v>0</v>
      </c>
      <c r="NL110" s="282">
        <f t="shared" si="898"/>
        <v>0</v>
      </c>
      <c r="NM110" s="1205">
        <f t="shared" si="899"/>
        <v>0</v>
      </c>
      <c r="NN110" s="282">
        <f t="shared" si="900"/>
        <v>0</v>
      </c>
      <c r="NO110" s="282">
        <f t="shared" si="901"/>
        <v>0</v>
      </c>
      <c r="NP110" s="282">
        <f t="shared" si="902"/>
        <v>0</v>
      </c>
      <c r="NQ110" s="282">
        <f t="shared" si="903"/>
        <v>0</v>
      </c>
      <c r="NR110" s="282">
        <f t="shared" si="904"/>
        <v>0</v>
      </c>
      <c r="NS110" s="282">
        <f t="shared" si="905"/>
        <v>0</v>
      </c>
      <c r="NT110" s="282">
        <f t="shared" si="906"/>
        <v>0</v>
      </c>
      <c r="NU110" s="282">
        <f t="shared" si="907"/>
        <v>0</v>
      </c>
      <c r="NV110" s="286">
        <f t="shared" si="908"/>
        <v>0</v>
      </c>
      <c r="NW110" s="286">
        <f t="shared" si="909"/>
        <v>0</v>
      </c>
      <c r="NX110" s="286">
        <f t="shared" si="910"/>
        <v>0</v>
      </c>
      <c r="NY110" s="286">
        <f t="shared" si="911"/>
        <v>0</v>
      </c>
      <c r="NZ110" s="286">
        <f t="shared" si="912"/>
        <v>0</v>
      </c>
      <c r="OA110" s="286">
        <f t="shared" si="913"/>
        <v>0</v>
      </c>
      <c r="OB110" s="286">
        <f t="shared" si="914"/>
        <v>0</v>
      </c>
      <c r="OC110" s="286">
        <f t="shared" si="915"/>
        <v>0</v>
      </c>
      <c r="OD110" s="286">
        <f t="shared" si="916"/>
        <v>0</v>
      </c>
      <c r="OE110" s="282">
        <f t="shared" si="917"/>
        <v>0</v>
      </c>
      <c r="OF110" s="282">
        <f t="shared" si="918"/>
        <v>0</v>
      </c>
      <c r="OG110" s="286">
        <f t="shared" si="919"/>
        <v>0</v>
      </c>
      <c r="OH110" s="286">
        <f t="shared" si="920"/>
        <v>0</v>
      </c>
      <c r="OI110" s="286">
        <f t="shared" si="921"/>
        <v>0</v>
      </c>
      <c r="OJ110" s="286">
        <f t="shared" si="922"/>
        <v>0</v>
      </c>
      <c r="OK110" s="286">
        <f t="shared" si="923"/>
        <v>0</v>
      </c>
      <c r="OL110" s="286">
        <f t="shared" si="924"/>
        <v>0</v>
      </c>
      <c r="OM110" s="286">
        <f t="shared" si="925"/>
        <v>0</v>
      </c>
      <c r="ON110" s="286">
        <f t="shared" si="926"/>
        <v>0</v>
      </c>
      <c r="OO110" s="286">
        <f t="shared" si="927"/>
        <v>0</v>
      </c>
      <c r="OP110" s="434">
        <f t="shared" si="928"/>
        <v>0</v>
      </c>
      <c r="OQ110" s="434">
        <f t="shared" si="929"/>
        <v>0</v>
      </c>
      <c r="OR110" s="282">
        <f t="shared" si="930"/>
        <v>0</v>
      </c>
      <c r="OS110" s="282">
        <f t="shared" si="931"/>
        <v>0</v>
      </c>
      <c r="OT110" s="282">
        <f t="shared" si="932"/>
        <v>0</v>
      </c>
      <c r="OU110" s="282">
        <f t="shared" si="933"/>
        <v>0</v>
      </c>
      <c r="OV110" s="282">
        <f t="shared" si="934"/>
        <v>0</v>
      </c>
      <c r="OW110" s="286">
        <f t="shared" si="935"/>
        <v>0</v>
      </c>
      <c r="OX110" s="286">
        <f t="shared" si="936"/>
        <v>0</v>
      </c>
      <c r="OY110" s="286">
        <f t="shared" si="937"/>
        <v>0</v>
      </c>
      <c r="OZ110" s="286">
        <f t="shared" si="938"/>
        <v>0</v>
      </c>
      <c r="PA110" s="286">
        <f t="shared" si="939"/>
        <v>0</v>
      </c>
      <c r="PB110" s="286">
        <f t="shared" si="940"/>
        <v>0</v>
      </c>
      <c r="PC110" s="286">
        <f t="shared" si="941"/>
        <v>0</v>
      </c>
      <c r="PD110" s="282">
        <f t="shared" si="942"/>
        <v>0</v>
      </c>
      <c r="PE110" s="282">
        <f t="shared" si="943"/>
        <v>0</v>
      </c>
      <c r="PF110" s="286">
        <f t="shared" si="944"/>
        <v>0</v>
      </c>
      <c r="PG110" s="286">
        <f t="shared" si="945"/>
        <v>0</v>
      </c>
      <c r="PH110" s="286">
        <f t="shared" si="946"/>
        <v>0</v>
      </c>
      <c r="PI110" s="286">
        <f t="shared" si="947"/>
        <v>0</v>
      </c>
      <c r="PJ110" s="286">
        <f t="shared" si="948"/>
        <v>0</v>
      </c>
      <c r="PK110" s="286">
        <f t="shared" si="949"/>
        <v>0</v>
      </c>
      <c r="PL110" s="286">
        <f t="shared" si="950"/>
        <v>0</v>
      </c>
      <c r="PM110" s="562">
        <v>55</v>
      </c>
      <c r="PO110" s="571"/>
    </row>
    <row r="111" spans="1:431" s="289" customFormat="1" ht="15.75" customHeight="1">
      <c r="A111" s="1935" t="s">
        <v>1328</v>
      </c>
      <c r="B111" s="1040" t="str">
        <f>VLOOKUP(A111,'Area (&amp;golfacre for lookup)'!$A$2:$B$162,2,FALSE)</f>
        <v>North&amp;Central</v>
      </c>
      <c r="C111" s="1936" t="s">
        <v>2406</v>
      </c>
      <c r="D111" s="1937">
        <v>44926</v>
      </c>
      <c r="E111" s="402"/>
      <c r="F111" s="1936">
        <v>1</v>
      </c>
      <c r="G111" s="1936">
        <v>0</v>
      </c>
      <c r="H111" s="1936">
        <v>193</v>
      </c>
      <c r="I111" s="1936">
        <v>913</v>
      </c>
      <c r="J111" s="1936">
        <v>1106</v>
      </c>
      <c r="K111" s="1938">
        <v>514.075179501619</v>
      </c>
      <c r="L111" s="1939" t="s">
        <v>1208</v>
      </c>
      <c r="M111" s="1939" t="s">
        <v>1208</v>
      </c>
      <c r="N111" s="1939" t="s">
        <v>1208</v>
      </c>
      <c r="O111" s="1939" t="s">
        <v>1208</v>
      </c>
      <c r="P111" s="1939" t="s">
        <v>1208</v>
      </c>
      <c r="Q111" s="1936">
        <v>0</v>
      </c>
      <c r="R111" s="1936">
        <v>0</v>
      </c>
      <c r="S111" s="1936">
        <v>0</v>
      </c>
      <c r="T111" s="1939">
        <v>0</v>
      </c>
      <c r="U111" s="1939">
        <v>0</v>
      </c>
      <c r="V111" s="1939">
        <v>0</v>
      </c>
      <c r="W111" s="1936">
        <v>0</v>
      </c>
      <c r="X111" s="1936">
        <v>0</v>
      </c>
      <c r="Y111" s="1939">
        <v>0</v>
      </c>
      <c r="Z111" s="1939">
        <v>0</v>
      </c>
      <c r="AA111" s="1936">
        <v>0</v>
      </c>
      <c r="AB111" s="1362">
        <v>0</v>
      </c>
      <c r="AC111" s="1939">
        <v>0</v>
      </c>
      <c r="AD111" s="1363">
        <v>0</v>
      </c>
      <c r="AE111" s="1936">
        <v>0</v>
      </c>
      <c r="AF111" s="1936">
        <v>0</v>
      </c>
      <c r="AG111" s="1939">
        <v>0</v>
      </c>
      <c r="AH111" s="1936">
        <v>0</v>
      </c>
      <c r="AI111" s="1936">
        <v>0</v>
      </c>
      <c r="AJ111" s="1939">
        <v>0</v>
      </c>
      <c r="AK111" s="1938">
        <v>0</v>
      </c>
      <c r="AL111" s="1938">
        <v>0</v>
      </c>
      <c r="AM111" s="1936">
        <v>0</v>
      </c>
      <c r="AN111" s="1939">
        <v>0</v>
      </c>
      <c r="AO111" s="1936">
        <v>0</v>
      </c>
      <c r="AP111" s="1936">
        <v>0</v>
      </c>
      <c r="AQ111" s="1936">
        <v>0</v>
      </c>
      <c r="AR111" s="1939">
        <v>0</v>
      </c>
      <c r="AS111" s="1363" t="s">
        <v>1208</v>
      </c>
      <c r="AT111" s="1363" t="s">
        <v>1208</v>
      </c>
      <c r="AU111" s="1363" t="s">
        <v>1208</v>
      </c>
      <c r="AV111" s="1363" t="s">
        <v>1208</v>
      </c>
      <c r="AW111" s="1363" t="s">
        <v>1291</v>
      </c>
      <c r="AX111" s="1938">
        <v>1</v>
      </c>
      <c r="AY111" s="1938">
        <v>0</v>
      </c>
      <c r="AZ111" s="1938">
        <v>1</v>
      </c>
      <c r="BA111" s="1938">
        <v>0</v>
      </c>
      <c r="BB111" s="1938">
        <v>0</v>
      </c>
      <c r="BC111" s="1938">
        <v>1</v>
      </c>
      <c r="BD111" s="1938">
        <v>1</v>
      </c>
      <c r="BE111" s="1936">
        <v>1</v>
      </c>
      <c r="BF111" s="1936">
        <v>1200000</v>
      </c>
      <c r="BG111" s="1936">
        <v>0</v>
      </c>
      <c r="BH111" s="1936">
        <v>1200000</v>
      </c>
      <c r="BI111" s="1938">
        <v>12850506</v>
      </c>
      <c r="BJ111" s="1936">
        <v>2760412</v>
      </c>
      <c r="BK111" s="1936">
        <v>648118</v>
      </c>
      <c r="BL111" s="1362">
        <v>4.2591194813290176</v>
      </c>
      <c r="BM111" s="1936">
        <v>1</v>
      </c>
      <c r="BN111" s="1936">
        <v>1767488</v>
      </c>
      <c r="BO111" s="1363" t="s">
        <v>1208</v>
      </c>
      <c r="BP111" s="1938">
        <v>4577532</v>
      </c>
      <c r="BQ111" s="1938">
        <v>5810866</v>
      </c>
      <c r="BR111" s="1940">
        <v>0.78775383910074681</v>
      </c>
      <c r="BS111" s="1409">
        <v>0</v>
      </c>
      <c r="BT111" s="1938">
        <v>7578354</v>
      </c>
      <c r="BU111" s="1938">
        <v>9886056</v>
      </c>
      <c r="BV111" s="1940">
        <v>0.76657000526802599</v>
      </c>
      <c r="BW111" s="1936">
        <v>3438.1897249221961</v>
      </c>
      <c r="BX111" s="1936">
        <v>5369.6659750741892</v>
      </c>
      <c r="BY111" s="1936">
        <v>2334.2889286414593</v>
      </c>
      <c r="BZ111" s="1936">
        <v>1015874</v>
      </c>
      <c r="CA111" s="1936">
        <v>248430</v>
      </c>
      <c r="CB111" s="1936">
        <v>0</v>
      </c>
      <c r="CC111" s="1936">
        <v>318495</v>
      </c>
      <c r="CD111" s="1936">
        <v>3651476</v>
      </c>
      <c r="CE111" s="1936">
        <v>0</v>
      </c>
      <c r="CF111" s="1936">
        <v>0</v>
      </c>
      <c r="CG111" s="1936">
        <v>1660782</v>
      </c>
      <c r="CH111" s="1936">
        <v>894816</v>
      </c>
      <c r="CI111" s="1936">
        <v>148725</v>
      </c>
      <c r="CJ111" s="1936">
        <v>7938598</v>
      </c>
      <c r="CK111" s="1366">
        <v>0.12796642429809393</v>
      </c>
      <c r="CL111" s="1366">
        <v>3.1293938803803899E-2</v>
      </c>
      <c r="CM111" s="1366">
        <v>0</v>
      </c>
      <c r="CN111" s="1366">
        <v>4.011980452971671E-2</v>
      </c>
      <c r="CO111" s="1366">
        <v>0.45996484517795205</v>
      </c>
      <c r="CP111" s="1366">
        <v>0</v>
      </c>
      <c r="CQ111" s="1366">
        <v>0</v>
      </c>
      <c r="CR111" s="1366">
        <v>0.20920343869282712</v>
      </c>
      <c r="CS111" s="1366">
        <v>0.11271713216867764</v>
      </c>
      <c r="CT111" s="1366">
        <v>1.873441632892861E-2</v>
      </c>
      <c r="CU111" s="1366">
        <v>1</v>
      </c>
      <c r="CV111" s="1936">
        <v>3855273</v>
      </c>
      <c r="CW111" s="1936">
        <v>960394</v>
      </c>
      <c r="CX111" s="1936">
        <v>0</v>
      </c>
      <c r="CY111" s="1936">
        <v>2546110</v>
      </c>
      <c r="CZ111" s="1936">
        <v>120596</v>
      </c>
      <c r="DA111" s="1936">
        <v>281310</v>
      </c>
      <c r="DB111" s="1936">
        <v>7763683</v>
      </c>
      <c r="DC111" s="1366">
        <v>0.4965778484258051</v>
      </c>
      <c r="DD111" s="1366">
        <v>0.12370340210954002</v>
      </c>
      <c r="DE111" s="1366">
        <v>0</v>
      </c>
      <c r="DF111" s="1366">
        <v>0.32795130867656497</v>
      </c>
      <c r="DG111" s="1366">
        <v>1.5533349313721335E-2</v>
      </c>
      <c r="DH111" s="1366">
        <v>3.623409147436854E-2</v>
      </c>
      <c r="DI111" s="1366">
        <v>1</v>
      </c>
      <c r="DJ111" s="1936">
        <v>174915</v>
      </c>
      <c r="DK111" s="1936">
        <v>1976.1195259122615</v>
      </c>
      <c r="DL111" s="1936">
        <v>483.25616545199807</v>
      </c>
      <c r="DM111" s="1936">
        <v>0</v>
      </c>
      <c r="DN111" s="1936">
        <v>619.5494602730513</v>
      </c>
      <c r="DO111" s="1936">
        <v>7103</v>
      </c>
      <c r="DP111" s="1936">
        <v>0</v>
      </c>
      <c r="DQ111" s="1936">
        <v>0</v>
      </c>
      <c r="DR111" s="1936">
        <v>3230.6208629058497</v>
      </c>
      <c r="DS111" s="1936">
        <v>1740.6325683093633</v>
      </c>
      <c r="DT111" s="1936">
        <v>289.30593409350081</v>
      </c>
      <c r="DU111" s="1936">
        <v>15442.484516946024</v>
      </c>
      <c r="DV111" s="1936">
        <v>7499.4342339919531</v>
      </c>
      <c r="DW111" s="1936">
        <v>1868.1975677780713</v>
      </c>
      <c r="DX111" s="1936">
        <v>0</v>
      </c>
      <c r="DY111" s="1936">
        <v>4952.7969867527545</v>
      </c>
      <c r="DZ111" s="1936">
        <v>234.58825636537117</v>
      </c>
      <c r="EA111" s="1936">
        <v>547.215682096774</v>
      </c>
      <c r="EB111" s="1936">
        <v>15102.232726984925</v>
      </c>
      <c r="EC111" s="1936">
        <v>340.25178996110066</v>
      </c>
      <c r="ED111" s="1941">
        <v>72</v>
      </c>
      <c r="EE111" s="1936">
        <v>0</v>
      </c>
      <c r="EF111" s="1936">
        <v>0</v>
      </c>
      <c r="EG111" s="1938">
        <v>0</v>
      </c>
      <c r="EH111" s="1938">
        <v>0</v>
      </c>
      <c r="EI111" s="1368">
        <v>0</v>
      </c>
      <c r="EJ111" s="1936">
        <v>7.1399330486335977</v>
      </c>
      <c r="EK111" s="1936">
        <v>1</v>
      </c>
      <c r="EL111" s="1936">
        <v>1200</v>
      </c>
      <c r="EM111" s="1936">
        <v>1</v>
      </c>
      <c r="EN111" s="1362">
        <v>0.18</v>
      </c>
      <c r="EO111" s="1936">
        <v>0</v>
      </c>
      <c r="EP111" s="1936">
        <v>0</v>
      </c>
      <c r="EQ111" s="1936">
        <v>0</v>
      </c>
      <c r="ER111" s="1938">
        <v>0</v>
      </c>
      <c r="ES111" s="1936">
        <v>4971.2534312152129</v>
      </c>
      <c r="ET111" s="1936">
        <v>-56.732947169856793</v>
      </c>
      <c r="EU111" s="1938">
        <v>1</v>
      </c>
      <c r="EV111" s="1936">
        <v>107195</v>
      </c>
      <c r="EW111" s="1936">
        <v>43644</v>
      </c>
      <c r="EX111" s="1938">
        <v>2</v>
      </c>
      <c r="EY111" s="1936">
        <v>1660782</v>
      </c>
      <c r="EZ111" s="1936">
        <v>655583</v>
      </c>
      <c r="FA111" s="1936">
        <v>1005199</v>
      </c>
      <c r="FB111" s="1936">
        <v>894816</v>
      </c>
      <c r="FC111" s="1936">
        <v>304811</v>
      </c>
      <c r="FD111" s="1936">
        <v>590005</v>
      </c>
      <c r="FE111" s="1936">
        <v>2555598</v>
      </c>
      <c r="FF111" s="1936">
        <v>960394</v>
      </c>
      <c r="FG111" s="1936">
        <v>1595204</v>
      </c>
      <c r="FH111" s="1366">
        <v>1</v>
      </c>
      <c r="FI111" s="1366">
        <v>0.39474356056363807</v>
      </c>
      <c r="FJ111" s="1366">
        <v>0.60525643943636187</v>
      </c>
      <c r="FK111" s="1366">
        <v>1</v>
      </c>
      <c r="FL111" s="1366">
        <v>0.34064098093909811</v>
      </c>
      <c r="FM111" s="1366">
        <v>0.65935901906090189</v>
      </c>
      <c r="FN111" s="1366">
        <v>1</v>
      </c>
      <c r="FO111" s="1366">
        <v>0.37580010627649574</v>
      </c>
      <c r="FP111" s="1366">
        <v>0.62419989372350426</v>
      </c>
      <c r="FQ111" s="1936">
        <v>987578</v>
      </c>
      <c r="FR111" s="1936">
        <v>0</v>
      </c>
      <c r="FS111" s="1936">
        <v>217982</v>
      </c>
      <c r="FT111" s="1936">
        <v>8709</v>
      </c>
      <c r="FU111" s="1936">
        <v>92238</v>
      </c>
      <c r="FV111" s="1936">
        <v>2353</v>
      </c>
      <c r="FW111" s="1936">
        <v>315509</v>
      </c>
      <c r="FX111" s="1936">
        <v>1624369</v>
      </c>
      <c r="FY111" s="1936">
        <v>-29165</v>
      </c>
      <c r="FZ111" s="1366">
        <v>0.38643714700042808</v>
      </c>
      <c r="GA111" s="1366">
        <v>0</v>
      </c>
      <c r="GB111" s="1366">
        <v>8.5295887694386993E-2</v>
      </c>
      <c r="GC111" s="1366">
        <v>3.4078129658890012E-3</v>
      </c>
      <c r="GD111" s="1366">
        <v>3.6092530984920164E-2</v>
      </c>
      <c r="GE111" s="1366">
        <v>9.2072383841277066E-4</v>
      </c>
      <c r="GF111" s="1366">
        <v>0.12345799300202927</v>
      </c>
      <c r="GG111" s="1366">
        <v>0.63561209548606623</v>
      </c>
      <c r="GH111" s="1366">
        <v>-1.1412201762562031E-2</v>
      </c>
      <c r="GI111" s="1942">
        <v>1.8560039158888531</v>
      </c>
      <c r="GJ111" s="1943">
        <v>1</v>
      </c>
      <c r="GK111" s="1371">
        <v>0.05</v>
      </c>
      <c r="GL111" s="1943">
        <v>0</v>
      </c>
      <c r="GM111" s="1371">
        <v>0</v>
      </c>
      <c r="GN111" s="1943">
        <v>18</v>
      </c>
      <c r="GO111" s="1985">
        <f>IF(GN111=0,0,VLOOKUP(A111,'Area (&amp;golfacre for lookup)'!$G$2:$H$133,2,FALSE))</f>
        <v>82</v>
      </c>
      <c r="GP111" s="1943">
        <v>39686</v>
      </c>
      <c r="GQ111" s="1943">
        <v>674880</v>
      </c>
      <c r="GR111" s="1943">
        <v>105122</v>
      </c>
      <c r="GS111" s="1943">
        <v>362908</v>
      </c>
      <c r="GT111" s="1943">
        <v>12077</v>
      </c>
      <c r="GU111" s="1943">
        <v>148640</v>
      </c>
      <c r="GV111" s="1943">
        <v>182100</v>
      </c>
      <c r="GW111" s="1943">
        <v>1485727</v>
      </c>
      <c r="GX111" s="1943">
        <v>82540.388888888891</v>
      </c>
      <c r="GY111" s="1985">
        <v>18118.621951219513</v>
      </c>
      <c r="GZ111" s="1366">
        <v>0.45424226658060329</v>
      </c>
      <c r="HA111" s="1366">
        <v>7.0754586811709014E-2</v>
      </c>
      <c r="HB111" s="1366">
        <v>0.24426290967317685</v>
      </c>
      <c r="HC111" s="1366">
        <v>8.128680437253951E-3</v>
      </c>
      <c r="HD111" s="1366">
        <v>0.10004529768927939</v>
      </c>
      <c r="HE111" s="1366">
        <v>0.1225662588079775</v>
      </c>
      <c r="HF111" s="1366">
        <v>1</v>
      </c>
      <c r="HG111" s="1936">
        <v>0</v>
      </c>
      <c r="HH111" s="1988">
        <v>0</v>
      </c>
      <c r="HI111" s="1936">
        <v>0</v>
      </c>
      <c r="HJ111" s="1936">
        <v>0</v>
      </c>
      <c r="HK111" s="1936">
        <v>0</v>
      </c>
      <c r="HL111" s="1936">
        <v>0</v>
      </c>
      <c r="HM111" s="1936">
        <v>0</v>
      </c>
      <c r="HN111" s="1936">
        <v>0</v>
      </c>
      <c r="HO111" s="1936">
        <v>0</v>
      </c>
      <c r="HP111" s="1936">
        <v>0</v>
      </c>
      <c r="HQ111" s="1936">
        <v>0</v>
      </c>
      <c r="HR111" s="1988">
        <v>0</v>
      </c>
      <c r="HS111" s="1936">
        <v>0</v>
      </c>
      <c r="HT111" s="1936">
        <v>0</v>
      </c>
      <c r="HU111" s="1936">
        <v>0</v>
      </c>
      <c r="HV111" s="1936">
        <v>0</v>
      </c>
      <c r="HW111" s="1936">
        <v>0</v>
      </c>
      <c r="HX111" s="1936">
        <v>0</v>
      </c>
      <c r="HY111" s="1936">
        <v>0</v>
      </c>
      <c r="HZ111" s="51"/>
      <c r="IA111" s="59">
        <f t="shared" ref="IA111" si="952">IF(Q111=0,0,ROUND(Q111/S111,2))</f>
        <v>0</v>
      </c>
      <c r="IB111" s="59"/>
      <c r="IC111" s="815">
        <f t="shared" ref="IC111" si="953">IF(AA111&gt;0,1,0)</f>
        <v>0</v>
      </c>
      <c r="ID111" s="815"/>
      <c r="IE111" s="284">
        <f t="shared" ref="IE111" si="954">IF(AA111&lt;0,1,0)</f>
        <v>0</v>
      </c>
      <c r="IF111" s="284"/>
      <c r="IG111" s="284">
        <f t="shared" ref="IG111" si="955">IF(BI111=0,0,+IF(K111=0,0,BI111/K111))</f>
        <v>24997.328236033867</v>
      </c>
      <c r="IH111" s="284"/>
      <c r="II111" s="1288">
        <f t="shared" ref="II111" si="956">IF(BR111&gt;1,BR111,0)</f>
        <v>0</v>
      </c>
      <c r="IJ111" s="1288">
        <f t="shared" ref="IJ111" si="957">IF(BR111&lt;1,BR111,0)</f>
        <v>0.78775383910074681</v>
      </c>
      <c r="IK111" s="284">
        <f t="shared" ref="IK111" si="958">IF(OR(EK111=1,EO111=1),0,1)</f>
        <v>0</v>
      </c>
      <c r="IL111" s="284">
        <f t="shared" ref="IL111" si="959">IF(AND(EK111=1,EO111=1),1,0)</f>
        <v>0</v>
      </c>
      <c r="IM111" s="284">
        <f t="shared" ref="IM111" si="960">IF(AND(EK111=1,EM111=1),1,0)</f>
        <v>1</v>
      </c>
      <c r="IN111" s="284">
        <f t="shared" ref="IN111" si="961">IF(AND(EK111=1,EM111=1,EO111=1),1,0)</f>
        <v>0</v>
      </c>
      <c r="IO111" s="753">
        <f t="shared" ref="IO111" si="962">IF(J111=0,0,FY111/$J111)</f>
        <v>-26.369801084990957</v>
      </c>
      <c r="IP111" s="113">
        <f t="shared" ref="IP111" si="963">IF(K111=0,0,FY111/K111)</f>
        <v>-56.732947169856793</v>
      </c>
      <c r="IQ111" s="30">
        <f t="shared" ref="IQ111" si="964">IF(FY111=0,0,+IF(CD111=0,0,FY111/CD111))</f>
        <v>-7.9871810741738401E-3</v>
      </c>
      <c r="IR111" s="438">
        <f t="shared" ref="IR111" si="965">EY111</f>
        <v>1660782</v>
      </c>
      <c r="IS111" s="438">
        <f t="shared" ref="IS111" si="966">FB111</f>
        <v>894816</v>
      </c>
      <c r="IT111" s="438">
        <f t="shared" ref="IT111" si="967">FQ111</f>
        <v>987578</v>
      </c>
      <c r="IU111" s="438">
        <f t="shared" ref="IU111" si="968">FS111+FT111</f>
        <v>226691</v>
      </c>
      <c r="IV111" s="438">
        <f t="shared" ref="IV111" si="969">FF111</f>
        <v>960394</v>
      </c>
      <c r="IW111" s="438">
        <f t="shared" ref="IW111" si="970">SUM(FU111:FW111)+FR111</f>
        <v>410100</v>
      </c>
      <c r="IX111" s="285">
        <f t="shared" ref="IX111" si="971">IF(($IR111+$IS111)=0,0,IR111/SUM($IR111+$IS111))</f>
        <v>0.64986042405730482</v>
      </c>
      <c r="IY111" s="285">
        <f t="shared" ref="IY111" si="972">IF(($IR111+$IS111)=0,0,IS111/SUM($IR111+$IS111))</f>
        <v>0.35013957594269524</v>
      </c>
      <c r="IZ111" s="285">
        <f t="shared" ref="IZ111" si="973">IF(($IR111+$IS111)=0,0,IT111/SUM($IR111+$IS111))</f>
        <v>0.38643714700042808</v>
      </c>
      <c r="JA111" s="285">
        <f t="shared" ref="JA111" si="974">IF(($IR111+$IS111)=0,0,IU111/SUM($IR111+$IS111))</f>
        <v>8.8703700660275997E-2</v>
      </c>
      <c r="JB111" s="285">
        <f t="shared" ref="JB111" si="975">IF(($IR111+$IS111)=0,0,IV111/SUM($IR111+$IS111))</f>
        <v>0.37580010627649574</v>
      </c>
      <c r="JC111" s="285">
        <f t="shared" ref="JC111" si="976">IF(($IR111+$IS111)=0,0,IW111/SUM($IR111+$IS111))</f>
        <v>0.16047124782536221</v>
      </c>
      <c r="JD111" s="60">
        <f t="shared" ref="JD111" si="977">CD111+CE111+CF111</f>
        <v>3651476</v>
      </c>
      <c r="JE111" s="60">
        <f t="shared" ref="JE111" si="978">BZ111+CA111+CB111+CC111</f>
        <v>1582799</v>
      </c>
      <c r="JF111" s="60">
        <f t="shared" ref="JF111" si="979">JD111+JE111+CG111+CH111+CI111-CJ111</f>
        <v>0</v>
      </c>
      <c r="JG111" s="60">
        <f t="shared" ref="JG111" si="980">CZ111+DA111</f>
        <v>401906</v>
      </c>
      <c r="JH111" s="284">
        <f t="shared" ref="JH111" si="981">IF(DJ111&gt;0,1,0)</f>
        <v>1</v>
      </c>
      <c r="JI111" s="284">
        <f t="shared" ref="JI111" si="982">IF(B111="Yacht &amp; Beach","",+IF(CB111&gt;0,1,0))</f>
        <v>0</v>
      </c>
      <c r="JJ111" s="560">
        <f t="shared" ref="JJ111" si="983">IF(B111="Yacht &amp; Beach",0,+IF(CX111=0,0,CX111/CB111))</f>
        <v>0</v>
      </c>
      <c r="JK111" s="561">
        <f t="shared" ref="JK111" si="984">CV111/$CJ111</f>
        <v>0.4856365065972606</v>
      </c>
      <c r="JL111" s="561">
        <f t="shared" ref="JL111" si="985">CW111/$CJ111</f>
        <v>0.12097778474234368</v>
      </c>
      <c r="JM111" s="561">
        <f t="shared" ref="JM111" si="986">CX111/$CJ111</f>
        <v>0</v>
      </c>
      <c r="JN111" s="561">
        <f t="shared" ref="JN111" si="987">CY111/$CJ111</f>
        <v>0.32072539760799074</v>
      </c>
      <c r="JO111" s="561">
        <f t="shared" ref="JO111" si="988">CZ111/$CJ111</f>
        <v>1.5191095455394012E-2</v>
      </c>
      <c r="JP111" s="561">
        <f t="shared" ref="JP111" si="989">DA111/$CJ111</f>
        <v>3.5435728071883728E-2</v>
      </c>
      <c r="JQ111" s="561">
        <f t="shared" ref="JQ111" si="990">SUM(JK111:JP111)</f>
        <v>0.97796651247487287</v>
      </c>
      <c r="JR111" s="61">
        <f t="shared" ref="JR111" si="991">IF(GQ111=0,0,GQ111/$GN111)</f>
        <v>37493.333333333336</v>
      </c>
      <c r="JS111" s="61">
        <f t="shared" ref="JS111" si="992">IF(GR111=0,0,GR111/$GN111)</f>
        <v>5840.1111111111113</v>
      </c>
      <c r="JT111" s="61">
        <f t="shared" ref="JT111" si="993">IF(GS111=0,0,GS111/$GN111)</f>
        <v>20161.555555555555</v>
      </c>
      <c r="JU111" s="61">
        <f t="shared" ref="JU111" si="994">IF(GT111=0,0,GT111/$GN111)</f>
        <v>670.94444444444446</v>
      </c>
      <c r="JV111" s="61">
        <f t="shared" ref="JV111" si="995">IF(GU111=0,0,GU111/$GN111)</f>
        <v>8257.7777777777774</v>
      </c>
      <c r="JW111" s="61">
        <f t="shared" ref="JW111" si="996">IF(GV111=0,0,GV111/$GN111)</f>
        <v>10116.666666666666</v>
      </c>
      <c r="JX111" s="61">
        <f t="shared" ref="JX111" si="997">IF(GP111=0,0,GW111/GP111)</f>
        <v>37.437055888726505</v>
      </c>
      <c r="JY111" s="394">
        <f t="shared" ref="JY111" si="998">IF(OR(GW111=0,DB111=0),0,GW111/DB111)</f>
        <v>0.19136883873285399</v>
      </c>
      <c r="JZ111" s="61">
        <f t="shared" ref="JZ111" si="999">IF(HJ111=0,0,HJ111/$HG111)</f>
        <v>0</v>
      </c>
      <c r="KA111" s="61">
        <f t="shared" ref="KA111" si="1000">IF(HK111=0,0,HK111/$HG111)</f>
        <v>0</v>
      </c>
      <c r="KB111" s="61">
        <f t="shared" ref="KB111" si="1001">IF(HL111=0,0,HL111/$HG111)</f>
        <v>0</v>
      </c>
      <c r="KC111" s="61">
        <f t="shared" ref="KC111" si="1002">IF(HM111=0,0,HM111/$HG111)</f>
        <v>0</v>
      </c>
      <c r="KD111" s="61">
        <f t="shared" ref="KD111" si="1003">IF(HN111=0,0,HN111/$HG111)</f>
        <v>0</v>
      </c>
      <c r="KE111" s="61">
        <f t="shared" ref="KE111" si="1004">IF(HO111=0,0,HO111/$HG111)</f>
        <v>0</v>
      </c>
      <c r="KF111" s="61">
        <f t="shared" ref="KF111" si="1005">IF(HI111=0,0,ROUND(HI111/HG111*18,-2))</f>
        <v>0</v>
      </c>
      <c r="KG111" s="61">
        <f t="shared" ref="KG111" si="1006">IF(HH111=0,0,HH111/HG111*36)</f>
        <v>0</v>
      </c>
      <c r="KH111" s="61">
        <f t="shared" ref="KH111" si="1007">IF(HI111=0,0,HP111/HI111)</f>
        <v>0</v>
      </c>
      <c r="KI111" s="394">
        <f t="shared" ref="KI111" si="1008">IF(OR(HP111=0,DB111=0),0,HP111/DB111)</f>
        <v>0</v>
      </c>
      <c r="KJ111" s="438">
        <f t="shared" ref="KJ111" si="1009">IF($GN111&gt;0,GN111,HG111)</f>
        <v>18</v>
      </c>
      <c r="KK111" s="438">
        <f t="shared" ref="KK111" si="1010">IF($GN111&gt;0,GP111,HI111)</f>
        <v>39686</v>
      </c>
      <c r="KL111" s="438">
        <f t="shared" ref="KL111" si="1011">IF($GN111&gt;0,GO111,HH111)</f>
        <v>82</v>
      </c>
      <c r="KM111" s="438">
        <f t="shared" ref="KM111" si="1012">IF($GN111&gt;0,GX111,HQ111)</f>
        <v>82540.388888888891</v>
      </c>
      <c r="KN111" s="438">
        <f t="shared" ref="KN111" si="1013">IF($GN111&gt;0,JX111,KH111)</f>
        <v>37.437055888726505</v>
      </c>
      <c r="KO111" s="438">
        <f t="shared" ref="KO111" si="1014">IF($GN111&gt;0,GY111,HR111)</f>
        <v>18118.621951219513</v>
      </c>
      <c r="KP111" s="438">
        <f t="shared" ref="KP111" si="1015">IF($GN111&gt;0,GQ111,HJ111)</f>
        <v>674880</v>
      </c>
      <c r="KQ111" s="438">
        <f t="shared" ref="KQ111" si="1016">IF($GN111&gt;0,GR111,HK111)</f>
        <v>105122</v>
      </c>
      <c r="KR111" s="438">
        <f t="shared" ref="KR111" si="1017">IF($GN111&gt;0,GS111,HL111)</f>
        <v>362908</v>
      </c>
      <c r="KS111" s="438">
        <f t="shared" ref="KS111" si="1018">IF($GN111&gt;0,GT111,HM111)</f>
        <v>12077</v>
      </c>
      <c r="KT111" s="438">
        <f t="shared" ref="KT111" si="1019">IF($GN111&gt;0,GU111,HN111)</f>
        <v>148640</v>
      </c>
      <c r="KU111" s="438">
        <f t="shared" ref="KU111" si="1020">IF($GN111&gt;0,GV111,HO111)</f>
        <v>182100</v>
      </c>
      <c r="KV111" s="420">
        <f t="shared" ref="KV111" si="1021">MAX(JY111,KI111)</f>
        <v>0.19136883873285399</v>
      </c>
      <c r="KW111" s="420">
        <f t="shared" ref="KW111" si="1022">IF(CD111&gt;0,-SUM(KP111:KT111)/CD111,0)</f>
        <v>-0.35701371171548163</v>
      </c>
      <c r="KX111" s="108"/>
      <c r="KY111" s="282">
        <f t="shared" ref="KY111" si="1023">Q111+R111-S111</f>
        <v>0</v>
      </c>
      <c r="KZ111" s="282"/>
      <c r="LA111" s="282">
        <f t="shared" ref="LA111" si="1024">W111-X111-AA111</f>
        <v>0</v>
      </c>
      <c r="LB111" s="282"/>
      <c r="LC111" s="286" t="e">
        <f t="shared" ref="LC111" si="1025">(AA111/X111)-AB111</f>
        <v>#DIV/0!</v>
      </c>
      <c r="LD111" s="286"/>
      <c r="LE111" s="282">
        <f t="shared" ref="LE111" si="1026">X111+AF111+AI111+AL111-AM111</f>
        <v>0</v>
      </c>
      <c r="LF111" s="282"/>
      <c r="LG111" s="282">
        <f t="shared" ref="LG111" si="1027">EL111-AO111</f>
        <v>1200</v>
      </c>
      <c r="LH111" s="282">
        <f t="shared" ref="LH111" si="1028">EP111*12-AP111</f>
        <v>0</v>
      </c>
      <c r="LI111" s="282">
        <f t="shared" ref="LI111" si="1029">IF(FQ111=0,0,FQ111/$FE111-FZ111)</f>
        <v>0</v>
      </c>
      <c r="LJ111" s="282">
        <f t="shared" ref="LJ111" si="1030">X111+AF111+AI111+AL111+AO111+AP111-AQ111</f>
        <v>0</v>
      </c>
      <c r="LK111" s="282"/>
      <c r="LL111" s="282" t="str">
        <f t="shared" ref="LL111" si="1031">IF(S111=V111,"Same/chk",0)</f>
        <v>Same/chk</v>
      </c>
      <c r="LM111" s="282">
        <f t="shared" ref="LM111" si="1032">IF(AND(B111="SW CIRA", G111=0),"fix",0)</f>
        <v>0</v>
      </c>
      <c r="LN111" s="282">
        <f t="shared" ref="LN111" si="1033">IF(AND(BM111=1,BN111=0),"fix",+IF(AND(BM111=0,BN111&gt;0),"fix",0))</f>
        <v>0</v>
      </c>
      <c r="LO111" s="282">
        <f t="shared" ref="LO111" si="1034">IF($BH111=0,0,BF111+BG111-BH111)</f>
        <v>0</v>
      </c>
      <c r="LP111" s="286">
        <f t="shared" ref="LP111" si="1035">IF(BK111=0,0,BJ111/BK111-BL111)</f>
        <v>0</v>
      </c>
      <c r="LQ111" s="282">
        <f t="shared" ref="LQ111" si="1036">IF(BN111=0,0,+IF(K111=0,0,BN111/K111))-BW111</f>
        <v>0</v>
      </c>
      <c r="LR111" s="282">
        <f t="shared" ref="LR111" si="1037">IF(BJ111=0,0,+IF(K111=0,0,BJ111/K111))-BX111</f>
        <v>0</v>
      </c>
      <c r="LS111" s="282">
        <f t="shared" ref="LS111" si="1038">IF(BH111=0,0,+IF(K111=0,0,BH111/K111))-BY111</f>
        <v>0</v>
      </c>
      <c r="LT111" s="286">
        <f t="shared" ref="LT111" si="1039">BZ111/$CJ111-CK111</f>
        <v>0</v>
      </c>
      <c r="LU111" s="286">
        <f t="shared" ref="LU111" si="1040">CA111/$CJ111-CL111</f>
        <v>0</v>
      </c>
      <c r="LV111" s="286">
        <f t="shared" ref="LV111" si="1041">CB111/$CJ111-CM111</f>
        <v>0</v>
      </c>
      <c r="LW111" s="286">
        <f t="shared" ref="LW111" si="1042">CC111/$CJ111-CN111</f>
        <v>0</v>
      </c>
      <c r="LX111" s="286">
        <f t="shared" ref="LX111" si="1043">CD111/$CJ111-CO111</f>
        <v>0</v>
      </c>
      <c r="LY111" s="286">
        <f t="shared" ref="LY111" si="1044">CE111/$CJ111-CP111</f>
        <v>0</v>
      </c>
      <c r="LZ111" s="286">
        <f t="shared" ref="LZ111" si="1045">CF111/$CJ111-CQ111</f>
        <v>0</v>
      </c>
      <c r="MA111" s="286">
        <f t="shared" ref="MA111" si="1046">CG111/$CJ111-CR111</f>
        <v>0</v>
      </c>
      <c r="MB111" s="286">
        <f t="shared" ref="MB111" si="1047">CH111/$CJ111-CS111</f>
        <v>0</v>
      </c>
      <c r="MC111" s="286">
        <f t="shared" ref="MC111" si="1048">CI111/$CJ111-CT111</f>
        <v>0</v>
      </c>
      <c r="MD111" s="286">
        <f t="shared" ref="MD111" si="1049">SUM(CK111:CT111)-CU111</f>
        <v>0</v>
      </c>
      <c r="ME111" s="286">
        <f t="shared" ref="ME111" si="1050">CV111/$DB111-DC111</f>
        <v>0</v>
      </c>
      <c r="MF111" s="286">
        <f t="shared" ref="MF111" si="1051">CW111/$DB111-DD111</f>
        <v>0</v>
      </c>
      <c r="MG111" s="286">
        <f t="shared" ref="MG111" si="1052">CX111/$DB111-DE111</f>
        <v>0</v>
      </c>
      <c r="MH111" s="286">
        <f t="shared" ref="MH111" si="1053">CY111/$DB111-DF111</f>
        <v>0</v>
      </c>
      <c r="MI111" s="286">
        <f t="shared" ref="MI111" si="1054">CZ111/$DB111-DG111</f>
        <v>0</v>
      </c>
      <c r="MJ111" s="286">
        <f t="shared" ref="MJ111" si="1055">DA111/$DB111-DH111</f>
        <v>0</v>
      </c>
      <c r="MK111" s="286">
        <f t="shared" ref="MK111" si="1056">SUM(DC111:DH111)-DI111</f>
        <v>0</v>
      </c>
      <c r="ML111" s="282">
        <f t="shared" ref="ML111" si="1057">CJ111-DB111-DJ111</f>
        <v>0</v>
      </c>
      <c r="MM111" s="1232">
        <f t="shared" ref="MM111" si="1058">IF(AND(CB111=0,CX111=0),0,+IF(AND(CB111&gt;0,CX111&gt;0),0,"fix"))</f>
        <v>0</v>
      </c>
      <c r="MN111" s="1232">
        <f t="shared" ref="MN111" si="1059">IF(AND(AH111=1,CE111=0),"fix",+IF(AND(AH111=0,CE111&gt;0),"fix",0))</f>
        <v>0</v>
      </c>
      <c r="MO111" s="1232">
        <f t="shared" ref="MO111" si="1060">IF(AND(AE111=1,AF111=0),"fix",+IF(AND(AE111=0,AF111&gt;0),"fix",0))</f>
        <v>0</v>
      </c>
      <c r="MP111" s="1232">
        <f t="shared" ref="MP111" si="1061">IF(AND(AK111=1,AL111=0),"fix",+IF(AND(AK111=0,AL111&gt;0),"fix",0))</f>
        <v>0</v>
      </c>
      <c r="MQ111" s="282">
        <f t="shared" ref="MQ111" si="1062">IF(CD111=0,0,+IF(X111=0,0,CD111/X111))-K111</f>
        <v>-514.075179501619</v>
      </c>
      <c r="MR111" s="282">
        <f t="shared" ref="MR111" si="1063">IF(BZ111=0,0,+IF($K111=0,0,BZ111/$K111))-DK111</f>
        <v>0</v>
      </c>
      <c r="MS111" s="282">
        <f t="shared" ref="MS111" si="1064">IF(CA111=0,0,+IF($K111=0,0,CA111/$K111))-DL111</f>
        <v>0</v>
      </c>
      <c r="MT111" s="282">
        <f t="shared" ref="MT111" si="1065">IF(CB111=0,0,+IF($K111=0,0,CB111/$K111))-DM111</f>
        <v>0</v>
      </c>
      <c r="MU111" s="282">
        <f t="shared" ref="MU111" si="1066">IF(CC111=0,0,+IF($K111=0,0,CC111/$K111))-DN111</f>
        <v>0</v>
      </c>
      <c r="MV111" s="282">
        <f t="shared" ref="MV111" si="1067">IF(CD111=0,0,+IF($K111=0,0,CD111/$K111))-DO111</f>
        <v>0</v>
      </c>
      <c r="MW111" s="282">
        <f t="shared" ref="MW111" si="1068">IF(CE111=0,0,+IF($K111=0,0,CE111/$K111))-DP111</f>
        <v>0</v>
      </c>
      <c r="MX111" s="282">
        <f t="shared" ref="MX111" si="1069">IF(CF111=0,0,+IF($K111=0,0,CF111/$K111))-DQ111</f>
        <v>0</v>
      </c>
      <c r="MY111" s="282">
        <f t="shared" ref="MY111" si="1070">IF(CG111=0,0,+IF($K111=0,0,CG111/$K111))-DR111</f>
        <v>0</v>
      </c>
      <c r="MZ111" s="282">
        <f t="shared" ref="MZ111" si="1071">IF(CH111=0,0,+IF($K111=0,0,CH111/$K111))-DS111</f>
        <v>0</v>
      </c>
      <c r="NA111" s="282">
        <f t="shared" ref="NA111" si="1072">IF(CI111=0,0,+IF($K111=0,0,CI111/$K111))-DT111</f>
        <v>0</v>
      </c>
      <c r="NB111" s="282">
        <f t="shared" ref="NB111" si="1073">IF(CJ111=0,0,+IF($K111=0,0,CJ111/$K111))-DU111</f>
        <v>0</v>
      </c>
      <c r="NC111" s="282">
        <f t="shared" ref="NC111" si="1074">SUM(DK111:DT111)-DU111</f>
        <v>0</v>
      </c>
      <c r="ND111" s="282">
        <f t="shared" ref="ND111" si="1075">IF(CV111=0,0,+IF($K111=0,0,CV111/$K111))-DV111</f>
        <v>0</v>
      </c>
      <c r="NE111" s="282">
        <f t="shared" ref="NE111" si="1076">IF(CW111=0,0,+IF($K111=0,0,CW111/$K111))-DW111</f>
        <v>0</v>
      </c>
      <c r="NF111" s="282">
        <f t="shared" ref="NF111" si="1077">IF(CX111=0,0,+IF($K111=0,0,CX111/$K111))-DX111</f>
        <v>0</v>
      </c>
      <c r="NG111" s="282">
        <f t="shared" ref="NG111" si="1078">IF(CY111=0,0,+IF($K111=0,0,CY111/$K111))-DY111</f>
        <v>0</v>
      </c>
      <c r="NH111" s="282">
        <f t="shared" ref="NH111" si="1079">IF(CZ111=0,0,+IF($K111=0,0,CZ111/$K111))-DZ111</f>
        <v>0</v>
      </c>
      <c r="NI111" s="282">
        <f t="shared" ref="NI111" si="1080">IF(DA111=0,0,+IF($K111=0,0,DA111/$K111))-EA111</f>
        <v>0</v>
      </c>
      <c r="NJ111" s="282">
        <f t="shared" ref="NJ111" si="1081">IF(DB111=0,0,+IF($K111=0,0,DB111/$K111))-EB111</f>
        <v>0</v>
      </c>
      <c r="NK111" s="282">
        <f t="shared" ref="NK111" si="1082">SUM(DV111:EA111)-EB111</f>
        <v>0</v>
      </c>
      <c r="NL111" s="282">
        <f t="shared" ref="NL111" si="1083">IF(DJ111=0,0,+IF($K111=0,0,DJ111/$K111))-EC111</f>
        <v>0</v>
      </c>
      <c r="NM111" s="1205">
        <f t="shared" ref="NM111" si="1084">IF(K111=0,0,+IF(ED111=0,0,K111/ED111))-EJ111</f>
        <v>0</v>
      </c>
      <c r="NN111" s="282">
        <f t="shared" ref="NN111" si="1085">CG111+CH111-EY111-FB111</f>
        <v>0</v>
      </c>
      <c r="NO111" s="282">
        <f t="shared" ref="NO111" si="1086">IF(FE111=0,0,+IF(K111=0,0,FE111/K111))-ES111</f>
        <v>0</v>
      </c>
      <c r="NP111" s="282">
        <f t="shared" ref="NP111" si="1087">IF(FY111=0,0,+IF(K111=0,0,FY111/K111))-ET111</f>
        <v>0</v>
      </c>
      <c r="NQ111" s="282">
        <f t="shared" ref="NQ111" si="1088">EY111-EZ111-FA111</f>
        <v>0</v>
      </c>
      <c r="NR111" s="282">
        <f t="shared" ref="NR111" si="1089">FB111-FC111-FD111</f>
        <v>0</v>
      </c>
      <c r="NS111" s="282">
        <f t="shared" ref="NS111" si="1090">EY111+FB111-FE111</f>
        <v>0</v>
      </c>
      <c r="NT111" s="282">
        <f t="shared" ref="NT111" si="1091">EZ111+FC111-FF111</f>
        <v>0</v>
      </c>
      <c r="NU111" s="282">
        <f t="shared" ref="NU111" si="1092">FE111-FF111-FG111</f>
        <v>0</v>
      </c>
      <c r="NV111" s="286">
        <f t="shared" ref="NV111" si="1093">EY111/$EY111-FH111</f>
        <v>0</v>
      </c>
      <c r="NW111" s="286">
        <f t="shared" ref="NW111" si="1094">EZ111/$EY111-FI111</f>
        <v>0</v>
      </c>
      <c r="NX111" s="286">
        <f t="shared" ref="NX111" si="1095">FA111/$EY111-FJ111</f>
        <v>0</v>
      </c>
      <c r="NY111" s="286">
        <f t="shared" ref="NY111" si="1096">FB111/$FB111-FK111</f>
        <v>0</v>
      </c>
      <c r="NZ111" s="286">
        <f t="shared" ref="NZ111" si="1097">FC111/$FB111-FL111</f>
        <v>0</v>
      </c>
      <c r="OA111" s="286">
        <f t="shared" ref="OA111" si="1098">FD111/$FB111-FM111</f>
        <v>0</v>
      </c>
      <c r="OB111" s="286">
        <f t="shared" ref="OB111" si="1099">FE111/$FE111-FN111</f>
        <v>0</v>
      </c>
      <c r="OC111" s="286">
        <f t="shared" ref="OC111" si="1100">FF111/$FE111-FO111</f>
        <v>0</v>
      </c>
      <c r="OD111" s="286">
        <f t="shared" ref="OD111" si="1101">FG111/$FE111-FP111</f>
        <v>0</v>
      </c>
      <c r="OE111" s="282">
        <f t="shared" ref="OE111" si="1102">SUM(FQ111:FW111)-FX111</f>
        <v>0</v>
      </c>
      <c r="OF111" s="282">
        <f t="shared" ref="OF111" si="1103">FG111-FX111-FY111</f>
        <v>0</v>
      </c>
      <c r="OG111" s="286">
        <f t="shared" ref="OG111" si="1104">FQ111/$FE111-FZ111</f>
        <v>0</v>
      </c>
      <c r="OH111" s="286">
        <f t="shared" ref="OH111" si="1105">FR111/$FE111-GA111</f>
        <v>0</v>
      </c>
      <c r="OI111" s="286">
        <f t="shared" ref="OI111" si="1106">FS111/$FE111-GB111</f>
        <v>0</v>
      </c>
      <c r="OJ111" s="286">
        <f t="shared" ref="OJ111" si="1107">FT111/$FE111-GC111</f>
        <v>0</v>
      </c>
      <c r="OK111" s="286">
        <f t="shared" ref="OK111" si="1108">FU111/$FE111-GD111</f>
        <v>0</v>
      </c>
      <c r="OL111" s="286">
        <f t="shared" ref="OL111" si="1109">FV111/$FE111-GE111</f>
        <v>0</v>
      </c>
      <c r="OM111" s="286">
        <f t="shared" ref="OM111" si="1110">FW111/$FE111-GF111</f>
        <v>0</v>
      </c>
      <c r="ON111" s="286">
        <f t="shared" ref="ON111" si="1111">SUM(FZ111:GF111)-GG111</f>
        <v>0</v>
      </c>
      <c r="OO111" s="286">
        <f t="shared" ref="OO111" si="1112">FY111/$FE111-GH111</f>
        <v>0</v>
      </c>
      <c r="OP111" s="434">
        <f t="shared" ref="OP111" si="1113">IF(AND(GJ111=0,GK111&gt;0),"fix",+IF(AND(GJ111=1,GK111=0),"fix",0))</f>
        <v>0</v>
      </c>
      <c r="OQ111" s="434">
        <f t="shared" ref="OQ111" si="1114">IF(AND(GL111=0,GM111&gt;0),"fix",+IF(AND(GL111=1,GM111=0),"fix",0))</f>
        <v>0</v>
      </c>
      <c r="OR111" s="282">
        <f t="shared" ref="OR111" si="1115">IF(AND(EO111=1,FR111=0),"fix",+IF(AND(EO111=0,FR111&lt;&gt;0),"fix",0))</f>
        <v>0</v>
      </c>
      <c r="OS111" s="282">
        <f t="shared" ref="OS111" si="1116">IF(AND(GN111=18,GP111=0),"fix",+IF(AND(GN111=0,GP111&lt;&gt;0),"fix",0))</f>
        <v>0</v>
      </c>
      <c r="OT111" s="282">
        <f t="shared" ref="OT111" si="1117">IF(AND(HG111&gt;0,HI111=0),"fix",+IF(AND(HG111=0,HI111&lt;&gt;0),"fix",0))</f>
        <v>0</v>
      </c>
      <c r="OU111" s="282">
        <f t="shared" ref="OU111" si="1118">IF(GW111&gt;0,GW111/$GN111-GX111,0)</f>
        <v>0</v>
      </c>
      <c r="OV111" s="282">
        <f t="shared" ref="OV111" si="1119">IF(GW111&gt;0,GW111/GO111-GY111,0)</f>
        <v>0</v>
      </c>
      <c r="OW111" s="286">
        <f t="shared" ref="OW111" si="1120">IF(GQ111&gt;0,GQ111/$GW111-GZ111,0)</f>
        <v>0</v>
      </c>
      <c r="OX111" s="286">
        <f t="shared" ref="OX111" si="1121">IF(GR111&gt;0,GR111/$GW111-HA111,0)</f>
        <v>0</v>
      </c>
      <c r="OY111" s="286">
        <f t="shared" ref="OY111" si="1122">IF(GS111&gt;0,GS111/$GW111-HB111,0)</f>
        <v>0</v>
      </c>
      <c r="OZ111" s="286">
        <f t="shared" ref="OZ111" si="1123">IF(GT111&gt;0,GT111/$GW111-HC111,0)</f>
        <v>0</v>
      </c>
      <c r="PA111" s="286">
        <f t="shared" ref="PA111" si="1124">IF(GU111&gt;0,GU111/$GW111-HD111,0)</f>
        <v>0</v>
      </c>
      <c r="PB111" s="286">
        <f t="shared" ref="PB111" si="1125">IF(GV111&gt;0,GV111/$GW111-HE111,0)</f>
        <v>0</v>
      </c>
      <c r="PC111" s="286">
        <f t="shared" ref="PC111" si="1126">SUM(GZ111:HE111)-HF111</f>
        <v>0</v>
      </c>
      <c r="PD111" s="282">
        <f t="shared" ref="PD111" si="1127">IF(HP111&gt;0,HP111/$HG111-HQ111,0)</f>
        <v>0</v>
      </c>
      <c r="PE111" s="282">
        <f t="shared" ref="PE111" si="1128">IF(HP111&gt;0,HP111/HH111-HR111,0)</f>
        <v>0</v>
      </c>
      <c r="PF111" s="286">
        <f t="shared" ref="PF111" si="1129">IF(HJ111&gt;0,HJ111/$HP111-HS111,0)</f>
        <v>0</v>
      </c>
      <c r="PG111" s="286">
        <f t="shared" ref="PG111" si="1130">IF(HK111&gt;0,HK111/$HP111-HT111,0)</f>
        <v>0</v>
      </c>
      <c r="PH111" s="286">
        <f t="shared" ref="PH111" si="1131">IF(HL111&gt;0,HL111/$HP111-HU111,0)</f>
        <v>0</v>
      </c>
      <c r="PI111" s="286">
        <f t="shared" ref="PI111" si="1132">IF(HM111&gt;0,HM111/$HP111-HV111,0)</f>
        <v>0</v>
      </c>
      <c r="PJ111" s="286">
        <f t="shared" ref="PJ111" si="1133">IF(HN111&gt;0,HN111/$HP111-HW111,0)</f>
        <v>0</v>
      </c>
      <c r="PK111" s="286">
        <f t="shared" ref="PK111" si="1134">IF(HO111&gt;0,HO111/$HP111-HX111,0)</f>
        <v>0</v>
      </c>
      <c r="PL111" s="286">
        <f t="shared" ref="PL111" si="1135">SUM(HS111:HX111)-HY111</f>
        <v>0</v>
      </c>
      <c r="PM111" s="562">
        <v>56</v>
      </c>
      <c r="PO111" s="571"/>
    </row>
    <row r="112" spans="1:431" s="289" customFormat="1" ht="15.75" customHeight="1">
      <c r="A112" s="1935" t="s">
        <v>1196</v>
      </c>
      <c r="B112" s="1040" t="str">
        <f>VLOOKUP(A112,'Area (&amp;golfacre for lookup)'!$A$2:$B$162,2,FALSE)</f>
        <v>SW exc CIRA</v>
      </c>
      <c r="C112" s="1936"/>
      <c r="D112" s="1937">
        <v>44712</v>
      </c>
      <c r="E112" s="402"/>
      <c r="F112" s="1936">
        <v>1</v>
      </c>
      <c r="G112" s="1936">
        <v>0</v>
      </c>
      <c r="H112" s="1936">
        <v>400</v>
      </c>
      <c r="I112" s="1936">
        <v>309</v>
      </c>
      <c r="J112" s="1936">
        <v>709</v>
      </c>
      <c r="K112" s="1938">
        <v>503.07540439651598</v>
      </c>
      <c r="L112" s="1939" t="s">
        <v>1208</v>
      </c>
      <c r="M112" s="1939" t="s">
        <v>1208</v>
      </c>
      <c r="N112" s="1939" t="s">
        <v>1208</v>
      </c>
      <c r="O112" s="1939" t="s">
        <v>1208</v>
      </c>
      <c r="P112" s="1939" t="s">
        <v>1208</v>
      </c>
      <c r="Q112" s="1936">
        <v>0</v>
      </c>
      <c r="R112" s="1936">
        <v>125000</v>
      </c>
      <c r="S112" s="1936">
        <v>125000</v>
      </c>
      <c r="T112" s="1939" t="s">
        <v>1208</v>
      </c>
      <c r="U112" s="1939" t="s">
        <v>1208</v>
      </c>
      <c r="V112" s="1939" t="s">
        <v>1208</v>
      </c>
      <c r="W112" s="1936">
        <v>13200</v>
      </c>
      <c r="X112" s="1936">
        <v>12055</v>
      </c>
      <c r="Y112" s="1939" t="s">
        <v>1208</v>
      </c>
      <c r="Z112" s="1939" t="s">
        <v>1208</v>
      </c>
      <c r="AA112" s="1936">
        <v>1145</v>
      </c>
      <c r="AB112" s="1362">
        <v>9.4981335545416837E-2</v>
      </c>
      <c r="AC112" s="1939" t="s">
        <v>1208</v>
      </c>
      <c r="AD112" s="1363" t="s">
        <v>1208</v>
      </c>
      <c r="AE112" s="1936">
        <v>1</v>
      </c>
      <c r="AF112" s="1936">
        <v>2225</v>
      </c>
      <c r="AG112" s="1939" t="s">
        <v>1208</v>
      </c>
      <c r="AH112" s="1936">
        <v>0</v>
      </c>
      <c r="AI112" s="1936">
        <v>0</v>
      </c>
      <c r="AJ112" s="1939" t="s">
        <v>1208</v>
      </c>
      <c r="AK112" s="1938">
        <v>1</v>
      </c>
      <c r="AL112" s="1938">
        <v>910</v>
      </c>
      <c r="AM112" s="1936">
        <v>15190</v>
      </c>
      <c r="AN112" s="1939" t="s">
        <v>1208</v>
      </c>
      <c r="AO112" s="1936">
        <v>0</v>
      </c>
      <c r="AP112" s="1936">
        <v>0</v>
      </c>
      <c r="AQ112" s="1936">
        <v>15190</v>
      </c>
      <c r="AR112" s="1939" t="s">
        <v>1208</v>
      </c>
      <c r="AS112" s="1363" t="s">
        <v>1208</v>
      </c>
      <c r="AT112" s="1363" t="s">
        <v>1208</v>
      </c>
      <c r="AU112" s="1363" t="s">
        <v>1208</v>
      </c>
      <c r="AV112" s="1363" t="s">
        <v>1208</v>
      </c>
      <c r="AW112" s="1363" t="s">
        <v>1291</v>
      </c>
      <c r="AX112" s="1938">
        <v>1</v>
      </c>
      <c r="AY112" s="1938">
        <v>1</v>
      </c>
      <c r="AZ112" s="1938">
        <v>0</v>
      </c>
      <c r="BA112" s="1938">
        <v>1</v>
      </c>
      <c r="BB112" s="1938">
        <v>0</v>
      </c>
      <c r="BC112" s="1938">
        <v>0</v>
      </c>
      <c r="BD112" s="1938">
        <v>0</v>
      </c>
      <c r="BE112" s="1936">
        <v>0</v>
      </c>
      <c r="BF112" s="1936">
        <v>0</v>
      </c>
      <c r="BG112" s="1936">
        <v>1092134</v>
      </c>
      <c r="BH112" s="1936">
        <v>1092134</v>
      </c>
      <c r="BI112" s="1938">
        <v>28509896</v>
      </c>
      <c r="BJ112" s="1936">
        <v>10048934</v>
      </c>
      <c r="BK112" s="1936">
        <v>1414442</v>
      </c>
      <c r="BL112" s="1362">
        <v>7.1045217831484075</v>
      </c>
      <c r="BM112" s="1936">
        <v>1</v>
      </c>
      <c r="BN112" s="1936">
        <v>6292550</v>
      </c>
      <c r="BO112" s="1363" t="s">
        <v>1208</v>
      </c>
      <c r="BP112" s="1938">
        <v>7402388</v>
      </c>
      <c r="BQ112" s="1938">
        <v>6259098</v>
      </c>
      <c r="BR112" s="1940">
        <v>1.1826605047564362</v>
      </c>
      <c r="BS112" s="1409">
        <v>1</v>
      </c>
      <c r="BT112" s="1938">
        <v>12007720</v>
      </c>
      <c r="BU112" s="1938">
        <v>26983313</v>
      </c>
      <c r="BV112" s="1940">
        <v>0.4450054001893689</v>
      </c>
      <c r="BW112" s="1936">
        <v>12508.164670758408</v>
      </c>
      <c r="BX112" s="1936">
        <v>19975.005560159709</v>
      </c>
      <c r="BY112" s="1936">
        <v>2170.9151162142634</v>
      </c>
      <c r="BZ112" s="1936">
        <v>752912</v>
      </c>
      <c r="CA112" s="1936">
        <v>66194</v>
      </c>
      <c r="CB112" s="1936">
        <v>889971</v>
      </c>
      <c r="CC112" s="1936">
        <v>98962</v>
      </c>
      <c r="CD112" s="1936">
        <v>6064574</v>
      </c>
      <c r="CE112" s="1936">
        <v>0</v>
      </c>
      <c r="CF112" s="1936">
        <v>1007500</v>
      </c>
      <c r="CG112" s="1936">
        <v>1189387</v>
      </c>
      <c r="CH112" s="1936">
        <v>661383</v>
      </c>
      <c r="CI112" s="1936">
        <v>15653</v>
      </c>
      <c r="CJ112" s="1936">
        <v>10746536</v>
      </c>
      <c r="CK112" s="1366">
        <v>7.0060901484906388E-2</v>
      </c>
      <c r="CL112" s="1366">
        <v>6.1595662081251109E-3</v>
      </c>
      <c r="CM112" s="1366">
        <v>8.2814685587988546E-2</v>
      </c>
      <c r="CN112" s="1366">
        <v>9.2087347960310185E-3</v>
      </c>
      <c r="CO112" s="1366">
        <v>0.5643282635446436</v>
      </c>
      <c r="CP112" s="1366">
        <v>0</v>
      </c>
      <c r="CQ112" s="1366">
        <v>9.3751139902197328E-2</v>
      </c>
      <c r="CR112" s="1366">
        <v>0.11067631467479382</v>
      </c>
      <c r="CS112" s="1366">
        <v>6.1543831426238184E-2</v>
      </c>
      <c r="CT112" s="1366">
        <v>1.4565623750760245E-3</v>
      </c>
      <c r="CU112" s="1366">
        <v>1</v>
      </c>
      <c r="CV112" s="1936">
        <v>5405329</v>
      </c>
      <c r="CW112" s="1936">
        <v>942410</v>
      </c>
      <c r="CX112" s="1936">
        <v>420941</v>
      </c>
      <c r="CY112" s="1936">
        <v>3159491</v>
      </c>
      <c r="CZ112" s="1936">
        <v>89355</v>
      </c>
      <c r="DA112" s="1936">
        <v>312575</v>
      </c>
      <c r="DB112" s="1936">
        <v>10330101</v>
      </c>
      <c r="DC112" s="1366">
        <v>0.52326003395320142</v>
      </c>
      <c r="DD112" s="1366">
        <v>9.1229504919651802E-2</v>
      </c>
      <c r="DE112" s="1366">
        <v>4.0748972347898628E-2</v>
      </c>
      <c r="DF112" s="1366">
        <v>0.30585286629820946</v>
      </c>
      <c r="DG112" s="1366">
        <v>8.6499638290080602E-3</v>
      </c>
      <c r="DH112" s="1366">
        <v>3.0258658652030604E-2</v>
      </c>
      <c r="DI112" s="1366">
        <v>1</v>
      </c>
      <c r="DJ112" s="1936">
        <v>416435</v>
      </c>
      <c r="DK112" s="1936">
        <v>1496.6185852460535</v>
      </c>
      <c r="DL112" s="1936">
        <v>131.57868466936011</v>
      </c>
      <c r="DM112" s="1936">
        <v>1769.0608449991705</v>
      </c>
      <c r="DN112" s="1936">
        <v>196.71404949465534</v>
      </c>
      <c r="DO112" s="1936">
        <v>12055</v>
      </c>
      <c r="DP112" s="1936">
        <v>0</v>
      </c>
      <c r="DQ112" s="1936">
        <v>2002.6818866419965</v>
      </c>
      <c r="DR112" s="1936">
        <v>2364.23206065257</v>
      </c>
      <c r="DS112" s="1936">
        <v>1314.6796568068919</v>
      </c>
      <c r="DT112" s="1936">
        <v>31.114619922190741</v>
      </c>
      <c r="DU112" s="1936">
        <v>21361.680388432887</v>
      </c>
      <c r="DV112" s="1936">
        <v>10744.570203117317</v>
      </c>
      <c r="DW112" s="1936">
        <v>1873.2977040102076</v>
      </c>
      <c r="DX112" s="1936">
        <v>836.73540054091188</v>
      </c>
      <c r="DY112" s="1936">
        <v>6280.3527510753429</v>
      </c>
      <c r="DZ112" s="1936">
        <v>177.61750866590134</v>
      </c>
      <c r="EA112" s="1936">
        <v>621.32832825520802</v>
      </c>
      <c r="EB112" s="1936">
        <v>20533.901895664891</v>
      </c>
      <c r="EC112" s="1936">
        <v>827.77849276799986</v>
      </c>
      <c r="ED112" s="1941">
        <v>116</v>
      </c>
      <c r="EE112" s="1936">
        <v>1</v>
      </c>
      <c r="EF112" s="1936">
        <v>26</v>
      </c>
      <c r="EG112" s="1938">
        <v>166000</v>
      </c>
      <c r="EH112" s="1938">
        <v>1</v>
      </c>
      <c r="EI112" s="1368">
        <v>0.115</v>
      </c>
      <c r="EJ112" s="1936">
        <v>4.3368569344527241</v>
      </c>
      <c r="EK112" s="1936">
        <v>0</v>
      </c>
      <c r="EL112" s="1936">
        <v>0</v>
      </c>
      <c r="EM112" s="1936">
        <v>1</v>
      </c>
      <c r="EN112" s="1362">
        <v>0.22</v>
      </c>
      <c r="EO112" s="1936">
        <v>0</v>
      </c>
      <c r="EP112" s="1936">
        <v>0</v>
      </c>
      <c r="EQ112" s="1936">
        <v>0</v>
      </c>
      <c r="ER112" s="1938">
        <v>0</v>
      </c>
      <c r="ES112" s="1936">
        <v>3678.9117174594621</v>
      </c>
      <c r="ET112" s="1936">
        <v>-2323.4489100141245</v>
      </c>
      <c r="EU112" s="1938">
        <v>2</v>
      </c>
      <c r="EV112" s="1936">
        <v>40000</v>
      </c>
      <c r="EW112" s="1936">
        <v>0</v>
      </c>
      <c r="EX112" s="1938">
        <v>1</v>
      </c>
      <c r="EY112" s="1936">
        <v>1189387</v>
      </c>
      <c r="EZ112" s="1936">
        <v>644505</v>
      </c>
      <c r="FA112" s="1936">
        <v>544882</v>
      </c>
      <c r="FB112" s="1936">
        <v>661383</v>
      </c>
      <c r="FC112" s="1936">
        <v>297905</v>
      </c>
      <c r="FD112" s="1936">
        <v>363478</v>
      </c>
      <c r="FE112" s="1936">
        <v>1850770</v>
      </c>
      <c r="FF112" s="1936">
        <v>942410</v>
      </c>
      <c r="FG112" s="1936">
        <v>908360</v>
      </c>
      <c r="FH112" s="1366">
        <v>1</v>
      </c>
      <c r="FI112" s="1366">
        <v>0.54187997682839983</v>
      </c>
      <c r="FJ112" s="1366">
        <v>0.45812002317160017</v>
      </c>
      <c r="FK112" s="1366">
        <v>1</v>
      </c>
      <c r="FL112" s="1366">
        <v>0.45042736205799061</v>
      </c>
      <c r="FM112" s="1366">
        <v>0.54957263794200939</v>
      </c>
      <c r="FN112" s="1366">
        <v>1</v>
      </c>
      <c r="FO112" s="1366">
        <v>0.50919887398218044</v>
      </c>
      <c r="FP112" s="1366">
        <v>0.49080112601781961</v>
      </c>
      <c r="FQ112" s="1936">
        <v>1271938</v>
      </c>
      <c r="FR112" s="1936">
        <v>0</v>
      </c>
      <c r="FS112" s="1936">
        <v>123266</v>
      </c>
      <c r="FT112" s="1936">
        <v>39558</v>
      </c>
      <c r="FU112" s="1936">
        <v>60490</v>
      </c>
      <c r="FV112" s="1936">
        <v>11154</v>
      </c>
      <c r="FW112" s="1936">
        <v>570824</v>
      </c>
      <c r="FX112" s="1936">
        <v>2077230</v>
      </c>
      <c r="FY112" s="1936">
        <v>-1168870</v>
      </c>
      <c r="FZ112" s="1366">
        <v>0.68724801028761007</v>
      </c>
      <c r="GA112" s="1366">
        <v>0</v>
      </c>
      <c r="GB112" s="1366">
        <v>6.6602549209248046E-2</v>
      </c>
      <c r="GC112" s="1366">
        <v>2.1373806577802752E-2</v>
      </c>
      <c r="GD112" s="1366">
        <v>3.2683693813926093E-2</v>
      </c>
      <c r="GE112" s="1366">
        <v>6.0266807869157162E-3</v>
      </c>
      <c r="GF112" s="1366">
        <v>0.30842514196793769</v>
      </c>
      <c r="GG112" s="1366">
        <v>1.1223598826434402</v>
      </c>
      <c r="GH112" s="1366">
        <v>-0.63155875662562067</v>
      </c>
      <c r="GI112" s="1942">
        <v>1.7983331896949271</v>
      </c>
      <c r="GJ112" s="1943">
        <v>0</v>
      </c>
      <c r="GK112" s="1371">
        <v>0</v>
      </c>
      <c r="GL112" s="1943">
        <v>0</v>
      </c>
      <c r="GM112" s="1371">
        <v>0</v>
      </c>
      <c r="GN112" s="1943">
        <v>18</v>
      </c>
      <c r="GO112" s="1985">
        <f>IF(GN112=0,0,VLOOKUP(A112,'Area (&amp;golfacre for lookup)'!$G$2:$H$133,2,FALSE))</f>
        <v>150</v>
      </c>
      <c r="GP112" s="1943">
        <v>28814</v>
      </c>
      <c r="GQ112" s="1943">
        <v>920317</v>
      </c>
      <c r="GR112" s="1943">
        <v>89652</v>
      </c>
      <c r="GS112" s="1943">
        <v>544063</v>
      </c>
      <c r="GT112" s="1943">
        <v>110988</v>
      </c>
      <c r="GU112" s="1943">
        <v>0</v>
      </c>
      <c r="GV112" s="1943">
        <v>447897</v>
      </c>
      <c r="GW112" s="1943">
        <v>2112917</v>
      </c>
      <c r="GX112" s="1943">
        <v>117384.27777777778</v>
      </c>
      <c r="GY112" s="1985">
        <f t="shared" si="764"/>
        <v>14086.113333333333</v>
      </c>
      <c r="GZ112" s="1366">
        <v>0.435567038364498</v>
      </c>
      <c r="HA112" s="1366">
        <v>4.2430440949644495E-2</v>
      </c>
      <c r="HB112" s="1366">
        <v>0.25749378702523573</v>
      </c>
      <c r="HC112" s="1366">
        <v>5.2528329319135585E-2</v>
      </c>
      <c r="HD112" s="1366">
        <v>0</v>
      </c>
      <c r="HE112" s="1366">
        <v>0.21198040434148621</v>
      </c>
      <c r="HF112" s="1366">
        <v>1</v>
      </c>
      <c r="HG112" s="1936">
        <v>0</v>
      </c>
      <c r="HH112" s="1988">
        <f>IF(HG112=0,0,VLOOKUP(A112,'Area (&amp;golfacre for lookup)'!$G$2:$H$134,2,FALSE))</f>
        <v>0</v>
      </c>
      <c r="HI112" s="1936">
        <v>0</v>
      </c>
      <c r="HJ112" s="1936">
        <v>0</v>
      </c>
      <c r="HK112" s="1936">
        <v>0</v>
      </c>
      <c r="HL112" s="1936">
        <v>0</v>
      </c>
      <c r="HM112" s="1936">
        <v>0</v>
      </c>
      <c r="HN112" s="1936">
        <v>0</v>
      </c>
      <c r="HO112" s="1936">
        <v>0</v>
      </c>
      <c r="HP112" s="1936">
        <v>0</v>
      </c>
      <c r="HQ112" s="1936">
        <v>0</v>
      </c>
      <c r="HR112" s="1988">
        <f t="shared" si="765"/>
        <v>0</v>
      </c>
      <c r="HS112" s="1936">
        <v>0</v>
      </c>
      <c r="HT112" s="1936">
        <v>0</v>
      </c>
      <c r="HU112" s="1936">
        <v>0</v>
      </c>
      <c r="HV112" s="1936">
        <v>0</v>
      </c>
      <c r="HW112" s="1936">
        <v>0</v>
      </c>
      <c r="HX112" s="1936">
        <v>0</v>
      </c>
      <c r="HY112" s="1936">
        <v>0</v>
      </c>
      <c r="HZ112" s="51"/>
      <c r="IA112" s="59">
        <f t="shared" si="767"/>
        <v>0</v>
      </c>
      <c r="IB112" s="59"/>
      <c r="IC112" s="815">
        <f t="shared" si="768"/>
        <v>1</v>
      </c>
      <c r="ID112" s="815"/>
      <c r="IE112" s="284">
        <f t="shared" si="769"/>
        <v>0</v>
      </c>
      <c r="IF112" s="284"/>
      <c r="IG112" s="284">
        <f t="shared" si="770"/>
        <v>56671.218172949986</v>
      </c>
      <c r="IH112" s="284"/>
      <c r="II112" s="1288">
        <f t="shared" si="771"/>
        <v>1.1826605047564362</v>
      </c>
      <c r="IJ112" s="1288">
        <f t="shared" si="772"/>
        <v>0</v>
      </c>
      <c r="IK112" s="284">
        <f t="shared" si="773"/>
        <v>1</v>
      </c>
      <c r="IL112" s="284">
        <f t="shared" si="774"/>
        <v>0</v>
      </c>
      <c r="IM112" s="284">
        <f t="shared" si="775"/>
        <v>0</v>
      </c>
      <c r="IN112" s="284">
        <f t="shared" si="776"/>
        <v>0</v>
      </c>
      <c r="IO112" s="753">
        <f t="shared" si="777"/>
        <v>-1648.6177715091678</v>
      </c>
      <c r="IP112" s="113">
        <f t="shared" si="778"/>
        <v>-2323.4489100141245</v>
      </c>
      <c r="IQ112" s="30">
        <f t="shared" si="779"/>
        <v>-0.19273736292112192</v>
      </c>
      <c r="IR112" s="438">
        <f t="shared" si="780"/>
        <v>1189387</v>
      </c>
      <c r="IS112" s="438">
        <f t="shared" si="781"/>
        <v>661383</v>
      </c>
      <c r="IT112" s="438">
        <f t="shared" si="782"/>
        <v>1271938</v>
      </c>
      <c r="IU112" s="438">
        <f t="shared" si="783"/>
        <v>162824</v>
      </c>
      <c r="IV112" s="438">
        <f t="shared" si="784"/>
        <v>942410</v>
      </c>
      <c r="IW112" s="438">
        <f t="shared" si="785"/>
        <v>642468</v>
      </c>
      <c r="IX112" s="285">
        <f t="shared" si="786"/>
        <v>0.64264441286599627</v>
      </c>
      <c r="IY112" s="285">
        <f t="shared" si="787"/>
        <v>0.35735558713400367</v>
      </c>
      <c r="IZ112" s="285">
        <f t="shared" si="788"/>
        <v>0.68724801028761007</v>
      </c>
      <c r="JA112" s="285">
        <f t="shared" si="789"/>
        <v>8.7976355787050792E-2</v>
      </c>
      <c r="JB112" s="285">
        <f t="shared" si="790"/>
        <v>0.50919887398218044</v>
      </c>
      <c r="JC112" s="285">
        <f t="shared" si="791"/>
        <v>0.3471355165687795</v>
      </c>
      <c r="JD112" s="60">
        <f t="shared" si="792"/>
        <v>7072074</v>
      </c>
      <c r="JE112" s="60">
        <f t="shared" si="793"/>
        <v>1808039</v>
      </c>
      <c r="JF112" s="60">
        <f t="shared" si="794"/>
        <v>0</v>
      </c>
      <c r="JG112" s="60">
        <f t="shared" si="795"/>
        <v>401930</v>
      </c>
      <c r="JH112" s="284">
        <f t="shared" si="796"/>
        <v>1</v>
      </c>
      <c r="JI112" s="284">
        <f t="shared" si="797"/>
        <v>1</v>
      </c>
      <c r="JJ112" s="560">
        <f t="shared" si="798"/>
        <v>0.47298282753033527</v>
      </c>
      <c r="JK112" s="561">
        <f t="shared" si="799"/>
        <v>0.50298337994680331</v>
      </c>
      <c r="JL112" s="561">
        <f t="shared" si="800"/>
        <v>8.7694304471692089E-2</v>
      </c>
      <c r="JM112" s="561">
        <f t="shared" si="801"/>
        <v>3.9169924150442521E-2</v>
      </c>
      <c r="JN112" s="561">
        <f t="shared" si="802"/>
        <v>0.29400087618931348</v>
      </c>
      <c r="JO112" s="561">
        <f t="shared" si="803"/>
        <v>8.3147723136087759E-3</v>
      </c>
      <c r="JP112" s="561">
        <f t="shared" si="804"/>
        <v>2.9086116679830597E-2</v>
      </c>
      <c r="JQ112" s="561">
        <f t="shared" si="805"/>
        <v>0.96124937375169084</v>
      </c>
      <c r="JR112" s="61">
        <f t="shared" si="806"/>
        <v>51128.722222222219</v>
      </c>
      <c r="JS112" s="61">
        <f t="shared" si="807"/>
        <v>4980.666666666667</v>
      </c>
      <c r="JT112" s="61">
        <f t="shared" si="808"/>
        <v>30225.722222222223</v>
      </c>
      <c r="JU112" s="61">
        <f t="shared" si="809"/>
        <v>6166</v>
      </c>
      <c r="JV112" s="61">
        <f t="shared" si="810"/>
        <v>0</v>
      </c>
      <c r="JW112" s="61">
        <f t="shared" si="811"/>
        <v>24883.166666666668</v>
      </c>
      <c r="JX112" s="61">
        <f t="shared" si="812"/>
        <v>73.329527313111683</v>
      </c>
      <c r="JY112" s="394">
        <f t="shared" si="813"/>
        <v>0.20453982008501176</v>
      </c>
      <c r="JZ112" s="61">
        <f t="shared" si="814"/>
        <v>0</v>
      </c>
      <c r="KA112" s="61">
        <f t="shared" si="815"/>
        <v>0</v>
      </c>
      <c r="KB112" s="61">
        <f t="shared" si="816"/>
        <v>0</v>
      </c>
      <c r="KC112" s="61">
        <f t="shared" si="817"/>
        <v>0</v>
      </c>
      <c r="KD112" s="61">
        <f t="shared" si="818"/>
        <v>0</v>
      </c>
      <c r="KE112" s="61">
        <f t="shared" si="819"/>
        <v>0</v>
      </c>
      <c r="KF112" s="61">
        <f t="shared" si="820"/>
        <v>0</v>
      </c>
      <c r="KG112" s="61">
        <f t="shared" si="821"/>
        <v>0</v>
      </c>
      <c r="KH112" s="61">
        <f t="shared" si="822"/>
        <v>0</v>
      </c>
      <c r="KI112" s="394">
        <f t="shared" si="823"/>
        <v>0</v>
      </c>
      <c r="KJ112" s="438">
        <f t="shared" si="824"/>
        <v>18</v>
      </c>
      <c r="KK112" s="438">
        <f t="shared" si="825"/>
        <v>28814</v>
      </c>
      <c r="KL112" s="438">
        <f t="shared" si="826"/>
        <v>150</v>
      </c>
      <c r="KM112" s="438">
        <f t="shared" si="827"/>
        <v>117384.27777777778</v>
      </c>
      <c r="KN112" s="438">
        <f t="shared" si="828"/>
        <v>73.329527313111683</v>
      </c>
      <c r="KO112" s="438">
        <f t="shared" si="829"/>
        <v>14086.113333333333</v>
      </c>
      <c r="KP112" s="438">
        <f t="shared" si="830"/>
        <v>920317</v>
      </c>
      <c r="KQ112" s="438">
        <f t="shared" si="831"/>
        <v>89652</v>
      </c>
      <c r="KR112" s="438">
        <f t="shared" si="832"/>
        <v>544063</v>
      </c>
      <c r="KS112" s="438">
        <f t="shared" si="833"/>
        <v>110988</v>
      </c>
      <c r="KT112" s="438">
        <f t="shared" si="834"/>
        <v>0</v>
      </c>
      <c r="KU112" s="438">
        <f t="shared" si="835"/>
        <v>447897</v>
      </c>
      <c r="KV112" s="420">
        <f t="shared" si="836"/>
        <v>0.20453982008501176</v>
      </c>
      <c r="KW112" s="420">
        <f t="shared" si="837"/>
        <v>-0.27454855031862091</v>
      </c>
      <c r="KX112" s="108"/>
      <c r="KY112" s="282">
        <f t="shared" si="838"/>
        <v>0</v>
      </c>
      <c r="KZ112" s="282"/>
      <c r="LA112" s="282">
        <f t="shared" si="839"/>
        <v>0</v>
      </c>
      <c r="LB112" s="282"/>
      <c r="LC112" s="286">
        <f t="shared" si="951"/>
        <v>0</v>
      </c>
      <c r="LD112" s="286"/>
      <c r="LE112" s="282">
        <f t="shared" si="841"/>
        <v>0</v>
      </c>
      <c r="LF112" s="282"/>
      <c r="LG112" s="282">
        <f t="shared" si="842"/>
        <v>0</v>
      </c>
      <c r="LH112" s="282">
        <f t="shared" si="843"/>
        <v>0</v>
      </c>
      <c r="LI112" s="282">
        <f t="shared" si="844"/>
        <v>0</v>
      </c>
      <c r="LJ112" s="282">
        <f t="shared" si="845"/>
        <v>0</v>
      </c>
      <c r="LK112" s="282"/>
      <c r="LL112" s="282">
        <f t="shared" si="846"/>
        <v>0</v>
      </c>
      <c r="LM112" s="282">
        <f t="shared" si="847"/>
        <v>0</v>
      </c>
      <c r="LN112" s="282">
        <f t="shared" si="848"/>
        <v>0</v>
      </c>
      <c r="LO112" s="282">
        <f t="shared" si="849"/>
        <v>0</v>
      </c>
      <c r="LP112" s="286">
        <f t="shared" si="850"/>
        <v>0</v>
      </c>
      <c r="LQ112" s="282">
        <f t="shared" si="851"/>
        <v>0</v>
      </c>
      <c r="LR112" s="282">
        <f t="shared" si="852"/>
        <v>0</v>
      </c>
      <c r="LS112" s="282">
        <f t="shared" si="853"/>
        <v>0</v>
      </c>
      <c r="LT112" s="286">
        <f t="shared" si="854"/>
        <v>0</v>
      </c>
      <c r="LU112" s="286">
        <f t="shared" si="855"/>
        <v>0</v>
      </c>
      <c r="LV112" s="286">
        <f t="shared" si="856"/>
        <v>0</v>
      </c>
      <c r="LW112" s="286">
        <f t="shared" si="857"/>
        <v>0</v>
      </c>
      <c r="LX112" s="286">
        <f t="shared" si="858"/>
        <v>0</v>
      </c>
      <c r="LY112" s="286">
        <f t="shared" si="859"/>
        <v>0</v>
      </c>
      <c r="LZ112" s="286">
        <f t="shared" si="860"/>
        <v>0</v>
      </c>
      <c r="MA112" s="286">
        <f t="shared" si="861"/>
        <v>0</v>
      </c>
      <c r="MB112" s="286">
        <f t="shared" si="862"/>
        <v>0</v>
      </c>
      <c r="MC112" s="286">
        <f t="shared" si="863"/>
        <v>0</v>
      </c>
      <c r="MD112" s="286">
        <f t="shared" si="864"/>
        <v>0</v>
      </c>
      <c r="ME112" s="286">
        <f t="shared" si="865"/>
        <v>0</v>
      </c>
      <c r="MF112" s="286">
        <f t="shared" si="866"/>
        <v>0</v>
      </c>
      <c r="MG112" s="286">
        <f t="shared" si="867"/>
        <v>0</v>
      </c>
      <c r="MH112" s="286">
        <f t="shared" si="868"/>
        <v>0</v>
      </c>
      <c r="MI112" s="286">
        <f t="shared" si="869"/>
        <v>0</v>
      </c>
      <c r="MJ112" s="286">
        <f t="shared" si="870"/>
        <v>0</v>
      </c>
      <c r="MK112" s="286">
        <f t="shared" si="871"/>
        <v>0</v>
      </c>
      <c r="ML112" s="282">
        <f t="shared" si="872"/>
        <v>0</v>
      </c>
      <c r="MM112" s="1232">
        <f t="shared" si="873"/>
        <v>0</v>
      </c>
      <c r="MN112" s="1232">
        <f t="shared" si="874"/>
        <v>0</v>
      </c>
      <c r="MO112" s="1232">
        <f t="shared" si="875"/>
        <v>0</v>
      </c>
      <c r="MP112" s="1232">
        <f t="shared" si="876"/>
        <v>0</v>
      </c>
      <c r="MQ112" s="282">
        <f t="shared" si="877"/>
        <v>0</v>
      </c>
      <c r="MR112" s="282">
        <f t="shared" si="878"/>
        <v>0</v>
      </c>
      <c r="MS112" s="282">
        <f t="shared" si="879"/>
        <v>0</v>
      </c>
      <c r="MT112" s="282">
        <f t="shared" si="880"/>
        <v>0</v>
      </c>
      <c r="MU112" s="282">
        <f t="shared" si="881"/>
        <v>0</v>
      </c>
      <c r="MV112" s="282">
        <f t="shared" si="882"/>
        <v>0</v>
      </c>
      <c r="MW112" s="282">
        <f t="shared" si="883"/>
        <v>0</v>
      </c>
      <c r="MX112" s="282">
        <f t="shared" si="884"/>
        <v>0</v>
      </c>
      <c r="MY112" s="282">
        <f t="shared" si="885"/>
        <v>0</v>
      </c>
      <c r="MZ112" s="282">
        <f t="shared" si="886"/>
        <v>0</v>
      </c>
      <c r="NA112" s="282">
        <f t="shared" si="887"/>
        <v>0</v>
      </c>
      <c r="NB112" s="282">
        <f t="shared" si="888"/>
        <v>0</v>
      </c>
      <c r="NC112" s="282">
        <f t="shared" si="889"/>
        <v>0</v>
      </c>
      <c r="ND112" s="282">
        <f t="shared" si="890"/>
        <v>0</v>
      </c>
      <c r="NE112" s="282">
        <f t="shared" si="891"/>
        <v>0</v>
      </c>
      <c r="NF112" s="282">
        <f t="shared" si="892"/>
        <v>0</v>
      </c>
      <c r="NG112" s="282">
        <f t="shared" si="893"/>
        <v>0</v>
      </c>
      <c r="NH112" s="282">
        <f t="shared" si="894"/>
        <v>0</v>
      </c>
      <c r="NI112" s="282">
        <f t="shared" si="895"/>
        <v>0</v>
      </c>
      <c r="NJ112" s="282">
        <f t="shared" si="896"/>
        <v>0</v>
      </c>
      <c r="NK112" s="282">
        <f t="shared" si="897"/>
        <v>0</v>
      </c>
      <c r="NL112" s="282">
        <f t="shared" si="898"/>
        <v>0</v>
      </c>
      <c r="NM112" s="1205">
        <f t="shared" si="899"/>
        <v>0</v>
      </c>
      <c r="NN112" s="282">
        <f t="shared" si="900"/>
        <v>0</v>
      </c>
      <c r="NO112" s="282">
        <f t="shared" si="901"/>
        <v>0</v>
      </c>
      <c r="NP112" s="282">
        <f t="shared" si="902"/>
        <v>0</v>
      </c>
      <c r="NQ112" s="282">
        <f t="shared" si="903"/>
        <v>0</v>
      </c>
      <c r="NR112" s="282">
        <f t="shared" si="904"/>
        <v>0</v>
      </c>
      <c r="NS112" s="282">
        <f t="shared" si="905"/>
        <v>0</v>
      </c>
      <c r="NT112" s="282">
        <f t="shared" si="906"/>
        <v>0</v>
      </c>
      <c r="NU112" s="282">
        <f t="shared" si="907"/>
        <v>0</v>
      </c>
      <c r="NV112" s="286">
        <f t="shared" si="908"/>
        <v>0</v>
      </c>
      <c r="NW112" s="286">
        <f t="shared" si="909"/>
        <v>0</v>
      </c>
      <c r="NX112" s="286">
        <f t="shared" si="910"/>
        <v>0</v>
      </c>
      <c r="NY112" s="286">
        <f t="shared" si="911"/>
        <v>0</v>
      </c>
      <c r="NZ112" s="286">
        <f t="shared" si="912"/>
        <v>0</v>
      </c>
      <c r="OA112" s="286">
        <f t="shared" si="913"/>
        <v>0</v>
      </c>
      <c r="OB112" s="286">
        <f t="shared" si="914"/>
        <v>0</v>
      </c>
      <c r="OC112" s="286">
        <f t="shared" si="915"/>
        <v>0</v>
      </c>
      <c r="OD112" s="286">
        <f t="shared" si="916"/>
        <v>0</v>
      </c>
      <c r="OE112" s="282">
        <f t="shared" si="917"/>
        <v>0</v>
      </c>
      <c r="OF112" s="282">
        <f t="shared" si="918"/>
        <v>0</v>
      </c>
      <c r="OG112" s="286">
        <f t="shared" si="919"/>
        <v>0</v>
      </c>
      <c r="OH112" s="286">
        <f t="shared" si="920"/>
        <v>0</v>
      </c>
      <c r="OI112" s="286">
        <f t="shared" si="921"/>
        <v>0</v>
      </c>
      <c r="OJ112" s="286">
        <f t="shared" si="922"/>
        <v>0</v>
      </c>
      <c r="OK112" s="286">
        <f t="shared" si="923"/>
        <v>0</v>
      </c>
      <c r="OL112" s="286">
        <f t="shared" si="924"/>
        <v>0</v>
      </c>
      <c r="OM112" s="286">
        <f t="shared" si="925"/>
        <v>0</v>
      </c>
      <c r="ON112" s="286">
        <f t="shared" si="926"/>
        <v>0</v>
      </c>
      <c r="OO112" s="286">
        <f t="shared" si="927"/>
        <v>0</v>
      </c>
      <c r="OP112" s="434">
        <f t="shared" si="928"/>
        <v>0</v>
      </c>
      <c r="OQ112" s="434">
        <f t="shared" si="929"/>
        <v>0</v>
      </c>
      <c r="OR112" s="282">
        <f t="shared" si="930"/>
        <v>0</v>
      </c>
      <c r="OS112" s="282">
        <f t="shared" si="931"/>
        <v>0</v>
      </c>
      <c r="OT112" s="282">
        <f t="shared" si="932"/>
        <v>0</v>
      </c>
      <c r="OU112" s="282">
        <f t="shared" si="933"/>
        <v>0</v>
      </c>
      <c r="OV112" s="282">
        <f t="shared" si="934"/>
        <v>0</v>
      </c>
      <c r="OW112" s="286">
        <f t="shared" si="935"/>
        <v>0</v>
      </c>
      <c r="OX112" s="286">
        <f t="shared" si="936"/>
        <v>0</v>
      </c>
      <c r="OY112" s="286">
        <f t="shared" si="937"/>
        <v>0</v>
      </c>
      <c r="OZ112" s="286">
        <f t="shared" si="938"/>
        <v>0</v>
      </c>
      <c r="PA112" s="286">
        <f t="shared" si="939"/>
        <v>0</v>
      </c>
      <c r="PB112" s="286">
        <f t="shared" si="940"/>
        <v>0</v>
      </c>
      <c r="PC112" s="286">
        <f t="shared" si="941"/>
        <v>0</v>
      </c>
      <c r="PD112" s="282">
        <f t="shared" si="942"/>
        <v>0</v>
      </c>
      <c r="PE112" s="282">
        <f t="shared" si="943"/>
        <v>0</v>
      </c>
      <c r="PF112" s="286">
        <f t="shared" si="944"/>
        <v>0</v>
      </c>
      <c r="PG112" s="286">
        <f t="shared" si="945"/>
        <v>0</v>
      </c>
      <c r="PH112" s="286">
        <f t="shared" si="946"/>
        <v>0</v>
      </c>
      <c r="PI112" s="286">
        <f t="shared" si="947"/>
        <v>0</v>
      </c>
      <c r="PJ112" s="286">
        <f t="shared" si="948"/>
        <v>0</v>
      </c>
      <c r="PK112" s="286">
        <f t="shared" si="949"/>
        <v>0</v>
      </c>
      <c r="PL112" s="286">
        <f t="shared" si="950"/>
        <v>0</v>
      </c>
      <c r="PM112" s="562">
        <v>56</v>
      </c>
      <c r="PO112" s="571"/>
    </row>
    <row r="113" spans="1:431" s="289" customFormat="1" ht="15" customHeight="1">
      <c r="A113" s="672" t="s">
        <v>1027</v>
      </c>
      <c r="B113" s="1040" t="str">
        <f>VLOOKUP(A113,'Area (&amp;golfacre for lookup)'!$A$2:$B$162,2,FALSE)</f>
        <v>North&amp;Central</v>
      </c>
      <c r="C113" s="1936"/>
      <c r="D113" s="1937">
        <v>44926</v>
      </c>
      <c r="E113" s="402"/>
      <c r="F113" s="1936">
        <v>1</v>
      </c>
      <c r="G113" s="1936">
        <v>0</v>
      </c>
      <c r="H113" s="1936">
        <v>1192</v>
      </c>
      <c r="I113" s="1936">
        <v>191</v>
      </c>
      <c r="J113" s="1936">
        <v>1383</v>
      </c>
      <c r="K113" s="1938">
        <v>1420.7827568922305</v>
      </c>
      <c r="L113" s="1939" t="s">
        <v>1208</v>
      </c>
      <c r="M113" s="1939" t="s">
        <v>1208</v>
      </c>
      <c r="N113" s="1939" t="s">
        <v>1208</v>
      </c>
      <c r="O113" s="1939" t="s">
        <v>1208</v>
      </c>
      <c r="P113" s="1939" t="s">
        <v>1208</v>
      </c>
      <c r="Q113" s="1936">
        <v>29750</v>
      </c>
      <c r="R113" s="1936">
        <v>170250</v>
      </c>
      <c r="S113" s="1936">
        <v>200000</v>
      </c>
      <c r="T113" s="1939" t="s">
        <v>1208</v>
      </c>
      <c r="U113" s="1939" t="s">
        <v>1208</v>
      </c>
      <c r="V113" s="1939" t="s">
        <v>1208</v>
      </c>
      <c r="W113" s="1936">
        <v>21330</v>
      </c>
      <c r="X113" s="1936">
        <v>19950</v>
      </c>
      <c r="Y113" s="1939" t="s">
        <v>1208</v>
      </c>
      <c r="Z113" s="1939" t="s">
        <v>1208</v>
      </c>
      <c r="AA113" s="1936">
        <v>1380</v>
      </c>
      <c r="AB113" s="1362">
        <v>6.9172932330827067E-2</v>
      </c>
      <c r="AC113" s="1939" t="s">
        <v>1208</v>
      </c>
      <c r="AD113" s="1363" t="s">
        <v>1208</v>
      </c>
      <c r="AE113" s="1936">
        <v>1</v>
      </c>
      <c r="AF113" s="1936">
        <v>2590</v>
      </c>
      <c r="AG113" s="1939" t="s">
        <v>1208</v>
      </c>
      <c r="AH113" s="1936">
        <v>1</v>
      </c>
      <c r="AI113" s="1936">
        <v>1500</v>
      </c>
      <c r="AJ113" s="1939" t="s">
        <v>1208</v>
      </c>
      <c r="AK113" s="1938">
        <v>0</v>
      </c>
      <c r="AL113" s="1938">
        <v>0</v>
      </c>
      <c r="AM113" s="1936">
        <v>24040</v>
      </c>
      <c r="AN113" s="1939" t="s">
        <v>1208</v>
      </c>
      <c r="AO113" s="1936">
        <v>1750</v>
      </c>
      <c r="AP113" s="1936">
        <v>0</v>
      </c>
      <c r="AQ113" s="1936">
        <v>25790</v>
      </c>
      <c r="AR113" s="1939" t="s">
        <v>1208</v>
      </c>
      <c r="AS113" s="1363" t="s">
        <v>1208</v>
      </c>
      <c r="AT113" s="1363" t="s">
        <v>1208</v>
      </c>
      <c r="AU113" s="1363" t="s">
        <v>1208</v>
      </c>
      <c r="AV113" s="1363" t="s">
        <v>1208</v>
      </c>
      <c r="AW113" s="1363" t="s">
        <v>1291</v>
      </c>
      <c r="AX113" s="1938">
        <v>1</v>
      </c>
      <c r="AY113" s="1938">
        <v>0</v>
      </c>
      <c r="AZ113" s="1938">
        <v>1</v>
      </c>
      <c r="BA113" s="1938">
        <v>0</v>
      </c>
      <c r="BB113" s="1938">
        <v>0</v>
      </c>
      <c r="BC113" s="1938">
        <v>0</v>
      </c>
      <c r="BD113" s="1938">
        <v>0</v>
      </c>
      <c r="BE113" s="1936">
        <v>0</v>
      </c>
      <c r="BF113" s="1936">
        <v>0</v>
      </c>
      <c r="BG113" s="1936">
        <v>10809256</v>
      </c>
      <c r="BH113" s="1936">
        <v>10809256</v>
      </c>
      <c r="BI113" s="1938">
        <v>102095351</v>
      </c>
      <c r="BJ113" s="1936">
        <v>17632000</v>
      </c>
      <c r="BK113" s="1936">
        <v>7593106</v>
      </c>
      <c r="BL113" s="1362">
        <v>2.3221063949324559</v>
      </c>
      <c r="BM113" s="1936">
        <v>1</v>
      </c>
      <c r="BN113" s="1936">
        <v>349272</v>
      </c>
      <c r="BO113" s="1363" t="s">
        <v>1208</v>
      </c>
      <c r="BP113" s="1938">
        <v>25450233</v>
      </c>
      <c r="BQ113" s="1938">
        <v>31202553</v>
      </c>
      <c r="BR113" s="1940">
        <v>0.8156458543632632</v>
      </c>
      <c r="BS113" s="1409">
        <v>0</v>
      </c>
      <c r="BT113" s="1938">
        <v>34459937</v>
      </c>
      <c r="BU113" s="1938">
        <v>96704268</v>
      </c>
      <c r="BV113" s="1940">
        <v>0.35634349664897935</v>
      </c>
      <c r="BW113" s="1936">
        <v>245.83068615217792</v>
      </c>
      <c r="BX113" s="1936">
        <v>12410.060520841067</v>
      </c>
      <c r="BY113" s="1936">
        <v>7607.9583226669929</v>
      </c>
      <c r="BZ113" s="1936">
        <v>2239603</v>
      </c>
      <c r="CA113" s="1936">
        <v>841768</v>
      </c>
      <c r="CB113" s="1936">
        <v>2245062</v>
      </c>
      <c r="CC113" s="1936">
        <v>2137183</v>
      </c>
      <c r="CD113" s="1936">
        <v>28344616</v>
      </c>
      <c r="CE113" s="1936">
        <v>2950538</v>
      </c>
      <c r="CF113" s="1936">
        <v>0</v>
      </c>
      <c r="CG113" s="1936">
        <v>8502534</v>
      </c>
      <c r="CH113" s="1936">
        <v>3545141</v>
      </c>
      <c r="CI113" s="1936">
        <v>1914683</v>
      </c>
      <c r="CJ113" s="1936">
        <v>52721128</v>
      </c>
      <c r="CK113" s="1366">
        <v>4.2480179862615992E-2</v>
      </c>
      <c r="CL113" s="1366">
        <v>1.5966426211518083E-2</v>
      </c>
      <c r="CM113" s="1366">
        <v>4.2583724688136412E-2</v>
      </c>
      <c r="CN113" s="1366">
        <v>4.0537505191467073E-2</v>
      </c>
      <c r="CO113" s="1366">
        <v>0.53763295808086653</v>
      </c>
      <c r="CP113" s="1366">
        <v>5.5965001355813178E-2</v>
      </c>
      <c r="CQ113" s="1366">
        <v>0</v>
      </c>
      <c r="CR113" s="1366">
        <v>0.16127374968153185</v>
      </c>
      <c r="CS113" s="1366">
        <v>6.724326915008344E-2</v>
      </c>
      <c r="CT113" s="1366">
        <v>3.6317185777967421E-2</v>
      </c>
      <c r="CU113" s="1366">
        <v>1</v>
      </c>
      <c r="CV113" s="1936">
        <v>29202169</v>
      </c>
      <c r="CW113" s="1936">
        <v>6344009</v>
      </c>
      <c r="CX113" s="1936">
        <v>1420704</v>
      </c>
      <c r="CY113" s="1936">
        <v>15119309</v>
      </c>
      <c r="CZ113" s="1936">
        <v>540507</v>
      </c>
      <c r="DA113" s="1936">
        <v>1659938</v>
      </c>
      <c r="DB113" s="1936">
        <v>54286636</v>
      </c>
      <c r="DC113" s="1366">
        <v>0.53792555869551395</v>
      </c>
      <c r="DD113" s="1366">
        <v>0.11686133950167772</v>
      </c>
      <c r="DE113" s="1366">
        <v>2.6170418811731124E-2</v>
      </c>
      <c r="DF113" s="1366">
        <v>0.2785088580548627</v>
      </c>
      <c r="DG113" s="1366">
        <v>9.956538843187852E-3</v>
      </c>
      <c r="DH113" s="1366">
        <v>3.0577286093026651E-2</v>
      </c>
      <c r="DI113" s="1366">
        <v>1</v>
      </c>
      <c r="DJ113" s="1936">
        <v>-1565508</v>
      </c>
      <c r="DK113" s="1936">
        <v>1576.3162870154954</v>
      </c>
      <c r="DL113" s="1936">
        <v>592.46777589084297</v>
      </c>
      <c r="DM113" s="1936">
        <v>1580.1585352223506</v>
      </c>
      <c r="DN113" s="1936">
        <v>1504.2292635045753</v>
      </c>
      <c r="DO113" s="1936">
        <v>19950</v>
      </c>
      <c r="DP113" s="1936">
        <v>2076.6989081806578</v>
      </c>
      <c r="DQ113" s="1936">
        <v>0</v>
      </c>
      <c r="DR113" s="1936">
        <v>5984.4011751649768</v>
      </c>
      <c r="DS113" s="1936">
        <v>2495.2027203332018</v>
      </c>
      <c r="DT113" s="1936">
        <v>1347.6254485155137</v>
      </c>
      <c r="DU113" s="1936">
        <v>37107.100113827619</v>
      </c>
      <c r="DV113" s="1936">
        <v>20553.577848787932</v>
      </c>
      <c r="DW113" s="1936">
        <v>4465.150614494125</v>
      </c>
      <c r="DX113" s="1936">
        <v>999.94456795604503</v>
      </c>
      <c r="DY113" s="1936">
        <v>10641.534693925647</v>
      </c>
      <c r="DZ113" s="1936">
        <v>380.42902574513624</v>
      </c>
      <c r="EA113" s="1936">
        <v>1168.3263975070258</v>
      </c>
      <c r="EB113" s="1936">
        <v>38208.963148415911</v>
      </c>
      <c r="EC113" s="1936">
        <v>-1101.8630345882971</v>
      </c>
      <c r="ED113" s="1941">
        <v>625</v>
      </c>
      <c r="EE113" s="1979">
        <v>1</v>
      </c>
      <c r="EF113" s="1979">
        <v>150</v>
      </c>
      <c r="EG113" s="1938">
        <v>880000</v>
      </c>
      <c r="EH113" s="1938">
        <v>1</v>
      </c>
      <c r="EI113" s="1368">
        <v>0.05</v>
      </c>
      <c r="EJ113" s="1936">
        <v>2.2732524110275687</v>
      </c>
      <c r="EK113" s="1936">
        <v>1</v>
      </c>
      <c r="EL113" s="1936">
        <v>1750</v>
      </c>
      <c r="EM113" s="1936">
        <v>1</v>
      </c>
      <c r="EN113" s="1362">
        <v>0.2</v>
      </c>
      <c r="EO113" s="1936">
        <v>0</v>
      </c>
      <c r="EP113" s="1936">
        <v>0</v>
      </c>
      <c r="EQ113" s="1936">
        <v>0</v>
      </c>
      <c r="ER113" s="1938">
        <v>0</v>
      </c>
      <c r="ES113" s="1936">
        <v>8479.6038954981796</v>
      </c>
      <c r="ET113" s="1936">
        <v>-5168.4798146498088</v>
      </c>
      <c r="EU113" s="1938">
        <v>5</v>
      </c>
      <c r="EV113" s="1936">
        <v>392297</v>
      </c>
      <c r="EW113" s="1936">
        <v>29193</v>
      </c>
      <c r="EX113" s="1938">
        <v>1</v>
      </c>
      <c r="EY113" s="1936">
        <v>8502534</v>
      </c>
      <c r="EZ113" s="1936">
        <v>5281424</v>
      </c>
      <c r="FA113" s="1936">
        <v>3221110</v>
      </c>
      <c r="FB113" s="1936">
        <v>3545141</v>
      </c>
      <c r="FC113" s="1936">
        <v>1062585</v>
      </c>
      <c r="FD113" s="1936">
        <v>2482556</v>
      </c>
      <c r="FE113" s="1936">
        <v>12047675</v>
      </c>
      <c r="FF113" s="1936">
        <v>6344009</v>
      </c>
      <c r="FG113" s="1936">
        <v>5703666</v>
      </c>
      <c r="FH113" s="1366">
        <v>1</v>
      </c>
      <c r="FI113" s="1366">
        <v>0.62115882159365665</v>
      </c>
      <c r="FJ113" s="1366">
        <v>0.37884117840634335</v>
      </c>
      <c r="FK113" s="1366">
        <v>1</v>
      </c>
      <c r="FL113" s="1366">
        <v>0.29972996842720784</v>
      </c>
      <c r="FM113" s="1366">
        <v>0.70027003157279222</v>
      </c>
      <c r="FN113" s="1366">
        <v>1</v>
      </c>
      <c r="FO113" s="1366">
        <v>0.52657537657680842</v>
      </c>
      <c r="FP113" s="1366">
        <v>0.47342462342319164</v>
      </c>
      <c r="FQ113" s="1936">
        <v>7862549</v>
      </c>
      <c r="FR113" s="1936">
        <v>0</v>
      </c>
      <c r="FS113" s="1936">
        <v>1772585</v>
      </c>
      <c r="FT113" s="1936">
        <v>887335</v>
      </c>
      <c r="FU113" s="1936">
        <v>0</v>
      </c>
      <c r="FV113" s="1936">
        <v>65191</v>
      </c>
      <c r="FW113" s="1936">
        <v>2459293</v>
      </c>
      <c r="FX113" s="1936">
        <v>13046953</v>
      </c>
      <c r="FY113" s="1936">
        <v>-7343287</v>
      </c>
      <c r="FZ113" s="1366">
        <v>0.65261961332788276</v>
      </c>
      <c r="GA113" s="1366">
        <v>0</v>
      </c>
      <c r="GB113" s="1366">
        <v>0.14713087794947988</v>
      </c>
      <c r="GC113" s="1366">
        <v>7.3651970193419056E-2</v>
      </c>
      <c r="GD113" s="1366">
        <v>0</v>
      </c>
      <c r="GE113" s="1366">
        <v>5.4110855414011413E-3</v>
      </c>
      <c r="GF113" s="1366">
        <v>0.20413009149068181</v>
      </c>
      <c r="GG113" s="1366">
        <v>1.0829436385028646</v>
      </c>
      <c r="GH113" s="1366">
        <v>-0.6095190150796731</v>
      </c>
      <c r="GI113" s="1942">
        <v>2.3983627167438475</v>
      </c>
      <c r="GJ113" s="1943">
        <v>1</v>
      </c>
      <c r="GK113" s="1371">
        <v>0.13</v>
      </c>
      <c r="GL113" s="1943">
        <v>1</v>
      </c>
      <c r="GM113" s="1371">
        <v>0.1</v>
      </c>
      <c r="GN113" s="1943">
        <v>0</v>
      </c>
      <c r="GO113" s="1985">
        <f>IF(GN113=0,0,VLOOKUP(A113,'Area (&amp;golfacre for lookup)'!$G$2:$H$133,2,FALSE))</f>
        <v>0</v>
      </c>
      <c r="GP113" s="1943">
        <v>0</v>
      </c>
      <c r="GQ113" s="1943">
        <v>0</v>
      </c>
      <c r="GR113" s="1943">
        <v>0</v>
      </c>
      <c r="GS113" s="1943">
        <v>0</v>
      </c>
      <c r="GT113" s="1943">
        <v>0</v>
      </c>
      <c r="GU113" s="1943">
        <v>0</v>
      </c>
      <c r="GV113" s="1943">
        <v>0</v>
      </c>
      <c r="GW113" s="1943">
        <v>0</v>
      </c>
      <c r="GX113" s="1936">
        <v>0</v>
      </c>
      <c r="GY113" s="1985">
        <f t="shared" si="764"/>
        <v>0</v>
      </c>
      <c r="GZ113" s="1936">
        <v>0</v>
      </c>
      <c r="HA113" s="1936">
        <v>0</v>
      </c>
      <c r="HB113" s="1936">
        <v>0</v>
      </c>
      <c r="HC113" s="1936">
        <v>0</v>
      </c>
      <c r="HD113" s="1936">
        <v>0</v>
      </c>
      <c r="HE113" s="1936">
        <v>0</v>
      </c>
      <c r="HF113" s="1936">
        <v>0</v>
      </c>
      <c r="HG113" s="1936">
        <v>54</v>
      </c>
      <c r="HH113" s="1988">
        <f>IF(HG113=0,0,VLOOKUP(A113,'Area (&amp;golfacre for lookup)'!$G$2:$H$134,2,FALSE))</f>
        <v>315</v>
      </c>
      <c r="HI113" s="1936">
        <v>61253</v>
      </c>
      <c r="HJ113" s="1936">
        <v>5269408</v>
      </c>
      <c r="HK113" s="1936">
        <v>705564</v>
      </c>
      <c r="HL113" s="1936">
        <v>2441115</v>
      </c>
      <c r="HM113" s="1936">
        <v>808223</v>
      </c>
      <c r="HN113" s="1936">
        <v>0</v>
      </c>
      <c r="HO113" s="1936">
        <v>1361110</v>
      </c>
      <c r="HP113" s="1936">
        <v>10585420</v>
      </c>
      <c r="HQ113" s="1936">
        <v>196026.29629629629</v>
      </c>
      <c r="HR113" s="1988">
        <f t="shared" si="765"/>
        <v>33604.507936507936</v>
      </c>
      <c r="HS113" s="1366">
        <v>0.49779867024643332</v>
      </c>
      <c r="HT113" s="1366">
        <v>6.66543226437874E-2</v>
      </c>
      <c r="HU113" s="1366">
        <v>0.23061106692034894</v>
      </c>
      <c r="HV113" s="1366">
        <v>7.6352473496564141E-2</v>
      </c>
      <c r="HW113" s="1366">
        <v>0</v>
      </c>
      <c r="HX113" s="1366">
        <v>0.12858346669286622</v>
      </c>
      <c r="HY113" s="1366">
        <v>1</v>
      </c>
      <c r="HZ113" s="51"/>
      <c r="IA113" s="59">
        <f t="shared" si="767"/>
        <v>0.15</v>
      </c>
      <c r="IB113" s="59"/>
      <c r="IC113" s="815">
        <f t="shared" si="768"/>
        <v>1</v>
      </c>
      <c r="ID113" s="815"/>
      <c r="IE113" s="284">
        <f t="shared" si="769"/>
        <v>0</v>
      </c>
      <c r="IF113" s="284"/>
      <c r="IG113" s="284">
        <f t="shared" si="770"/>
        <v>71858.523412347524</v>
      </c>
      <c r="IH113" s="284"/>
      <c r="II113" s="1288">
        <f t="shared" si="771"/>
        <v>0</v>
      </c>
      <c r="IJ113" s="1288">
        <f t="shared" si="772"/>
        <v>0.8156458543632632</v>
      </c>
      <c r="IK113" s="284">
        <f t="shared" si="773"/>
        <v>0</v>
      </c>
      <c r="IL113" s="284">
        <f t="shared" si="774"/>
        <v>0</v>
      </c>
      <c r="IM113" s="284">
        <f t="shared" si="775"/>
        <v>1</v>
      </c>
      <c r="IN113" s="284">
        <f t="shared" si="776"/>
        <v>0</v>
      </c>
      <c r="IO113" s="753">
        <f t="shared" si="777"/>
        <v>-5309.6796818510484</v>
      </c>
      <c r="IP113" s="113">
        <f t="shared" si="778"/>
        <v>-5168.4798146498088</v>
      </c>
      <c r="IQ113" s="30">
        <f t="shared" si="779"/>
        <v>-0.25907166990725855</v>
      </c>
      <c r="IR113" s="438">
        <f t="shared" si="780"/>
        <v>8502534</v>
      </c>
      <c r="IS113" s="438">
        <f t="shared" si="781"/>
        <v>3545141</v>
      </c>
      <c r="IT113" s="438">
        <f t="shared" si="782"/>
        <v>7862549</v>
      </c>
      <c r="IU113" s="438">
        <f t="shared" si="783"/>
        <v>2659920</v>
      </c>
      <c r="IV113" s="438">
        <f t="shared" si="784"/>
        <v>6344009</v>
      </c>
      <c r="IW113" s="438">
        <f t="shared" si="785"/>
        <v>2524484</v>
      </c>
      <c r="IX113" s="285">
        <f t="shared" si="786"/>
        <v>0.70574065120448548</v>
      </c>
      <c r="IY113" s="285">
        <f t="shared" si="787"/>
        <v>0.29425934879551446</v>
      </c>
      <c r="IZ113" s="285">
        <f t="shared" si="788"/>
        <v>0.65261961332788276</v>
      </c>
      <c r="JA113" s="285">
        <f t="shared" si="789"/>
        <v>0.22078284814289895</v>
      </c>
      <c r="JB113" s="285">
        <f t="shared" si="790"/>
        <v>0.52657537657680842</v>
      </c>
      <c r="JC113" s="285">
        <f t="shared" si="791"/>
        <v>0.20954117703208294</v>
      </c>
      <c r="JD113" s="60">
        <f t="shared" si="792"/>
        <v>31295154</v>
      </c>
      <c r="JE113" s="60">
        <f t="shared" si="793"/>
        <v>7463616</v>
      </c>
      <c r="JF113" s="60">
        <f t="shared" si="794"/>
        <v>0</v>
      </c>
      <c r="JG113" s="60">
        <f t="shared" si="795"/>
        <v>2200445</v>
      </c>
      <c r="JH113" s="284">
        <f t="shared" si="796"/>
        <v>0</v>
      </c>
      <c r="JI113" s="284">
        <f t="shared" si="797"/>
        <v>1</v>
      </c>
      <c r="JJ113" s="560">
        <f t="shared" si="798"/>
        <v>0.63281281318734184</v>
      </c>
      <c r="JK113" s="561">
        <f t="shared" si="799"/>
        <v>0.55389878987414687</v>
      </c>
      <c r="JL113" s="561">
        <f t="shared" si="800"/>
        <v>0.12033143524546744</v>
      </c>
      <c r="JM113" s="561">
        <f t="shared" si="801"/>
        <v>2.6947526615894866E-2</v>
      </c>
      <c r="JN113" s="561">
        <f t="shared" si="802"/>
        <v>0.28677893614112354</v>
      </c>
      <c r="JO113" s="561">
        <f t="shared" si="803"/>
        <v>1.0252189596550361E-2</v>
      </c>
      <c r="JP113" s="561">
        <f t="shared" si="804"/>
        <v>3.148525198474509E-2</v>
      </c>
      <c r="JQ113" s="561">
        <f t="shared" si="805"/>
        <v>1.029694129457928</v>
      </c>
      <c r="JR113" s="61">
        <f t="shared" si="806"/>
        <v>0</v>
      </c>
      <c r="JS113" s="61">
        <f t="shared" si="807"/>
        <v>0</v>
      </c>
      <c r="JT113" s="61">
        <f t="shared" si="808"/>
        <v>0</v>
      </c>
      <c r="JU113" s="61">
        <f t="shared" si="809"/>
        <v>0</v>
      </c>
      <c r="JV113" s="61">
        <f t="shared" si="810"/>
        <v>0</v>
      </c>
      <c r="JW113" s="61">
        <f t="shared" si="811"/>
        <v>0</v>
      </c>
      <c r="JX113" s="61">
        <f t="shared" si="812"/>
        <v>0</v>
      </c>
      <c r="JY113" s="394">
        <f t="shared" si="813"/>
        <v>0</v>
      </c>
      <c r="JZ113" s="61">
        <f t="shared" si="814"/>
        <v>97581.629629629635</v>
      </c>
      <c r="KA113" s="61">
        <f t="shared" si="815"/>
        <v>13066</v>
      </c>
      <c r="KB113" s="61">
        <f t="shared" si="816"/>
        <v>45205.833333333336</v>
      </c>
      <c r="KC113" s="61">
        <f t="shared" si="817"/>
        <v>14967.092592592593</v>
      </c>
      <c r="KD113" s="61">
        <f t="shared" si="818"/>
        <v>0</v>
      </c>
      <c r="KE113" s="61">
        <f t="shared" si="819"/>
        <v>25205.740740740741</v>
      </c>
      <c r="KF113" s="61">
        <f t="shared" si="820"/>
        <v>20400</v>
      </c>
      <c r="KG113" s="61">
        <f t="shared" si="821"/>
        <v>210</v>
      </c>
      <c r="KH113" s="61">
        <f t="shared" si="822"/>
        <v>172.81471927905571</v>
      </c>
      <c r="KI113" s="394">
        <f t="shared" si="823"/>
        <v>0.19499126820088833</v>
      </c>
      <c r="KJ113" s="438">
        <f t="shared" si="824"/>
        <v>54</v>
      </c>
      <c r="KK113" s="438">
        <f t="shared" si="825"/>
        <v>61253</v>
      </c>
      <c r="KL113" s="438">
        <f t="shared" si="826"/>
        <v>315</v>
      </c>
      <c r="KM113" s="438">
        <f t="shared" si="827"/>
        <v>196026.29629629629</v>
      </c>
      <c r="KN113" s="438">
        <f t="shared" si="828"/>
        <v>172.81471927905571</v>
      </c>
      <c r="KO113" s="438">
        <f t="shared" si="829"/>
        <v>33604.507936507936</v>
      </c>
      <c r="KP113" s="438">
        <f t="shared" si="830"/>
        <v>5269408</v>
      </c>
      <c r="KQ113" s="438">
        <f t="shared" si="831"/>
        <v>705564</v>
      </c>
      <c r="KR113" s="438">
        <f t="shared" si="832"/>
        <v>2441115</v>
      </c>
      <c r="KS113" s="438">
        <f t="shared" si="833"/>
        <v>808223</v>
      </c>
      <c r="KT113" s="438">
        <f t="shared" si="834"/>
        <v>0</v>
      </c>
      <c r="KU113" s="438">
        <f t="shared" si="835"/>
        <v>1361110</v>
      </c>
      <c r="KV113" s="420">
        <f t="shared" si="836"/>
        <v>0.19499126820088833</v>
      </c>
      <c r="KW113" s="420">
        <f t="shared" si="837"/>
        <v>-0.32543429058978962</v>
      </c>
      <c r="KX113" s="108"/>
      <c r="KY113" s="282">
        <f t="shared" si="838"/>
        <v>0</v>
      </c>
      <c r="KZ113" s="282"/>
      <c r="LA113" s="282">
        <f t="shared" si="839"/>
        <v>0</v>
      </c>
      <c r="LB113" s="282"/>
      <c r="LC113" s="286">
        <f t="shared" si="951"/>
        <v>0</v>
      </c>
      <c r="LD113" s="286"/>
      <c r="LE113" s="282">
        <f t="shared" si="841"/>
        <v>0</v>
      </c>
      <c r="LF113" s="282"/>
      <c r="LG113" s="282">
        <f t="shared" si="842"/>
        <v>0</v>
      </c>
      <c r="LH113" s="282">
        <f t="shared" si="843"/>
        <v>0</v>
      </c>
      <c r="LI113" s="282">
        <f t="shared" si="844"/>
        <v>0</v>
      </c>
      <c r="LJ113" s="282">
        <f t="shared" si="845"/>
        <v>0</v>
      </c>
      <c r="LK113" s="282"/>
      <c r="LL113" s="282">
        <f t="shared" si="846"/>
        <v>0</v>
      </c>
      <c r="LM113" s="282">
        <f t="shared" si="847"/>
        <v>0</v>
      </c>
      <c r="LN113" s="282">
        <f t="shared" si="848"/>
        <v>0</v>
      </c>
      <c r="LO113" s="282">
        <f t="shared" si="849"/>
        <v>0</v>
      </c>
      <c r="LP113" s="286">
        <f t="shared" si="850"/>
        <v>0</v>
      </c>
      <c r="LQ113" s="282">
        <f t="shared" si="851"/>
        <v>0</v>
      </c>
      <c r="LR113" s="282">
        <f t="shared" si="852"/>
        <v>0</v>
      </c>
      <c r="LS113" s="282">
        <f t="shared" si="853"/>
        <v>0</v>
      </c>
      <c r="LT113" s="286">
        <f t="shared" si="854"/>
        <v>0</v>
      </c>
      <c r="LU113" s="286">
        <f t="shared" si="855"/>
        <v>0</v>
      </c>
      <c r="LV113" s="286">
        <f t="shared" si="856"/>
        <v>0</v>
      </c>
      <c r="LW113" s="286">
        <f t="shared" si="857"/>
        <v>0</v>
      </c>
      <c r="LX113" s="286">
        <f t="shared" si="858"/>
        <v>0</v>
      </c>
      <c r="LY113" s="286">
        <f t="shared" si="859"/>
        <v>0</v>
      </c>
      <c r="LZ113" s="286">
        <f t="shared" si="860"/>
        <v>0</v>
      </c>
      <c r="MA113" s="286">
        <f t="shared" si="861"/>
        <v>0</v>
      </c>
      <c r="MB113" s="286">
        <f t="shared" si="862"/>
        <v>0</v>
      </c>
      <c r="MC113" s="286">
        <f t="shared" si="863"/>
        <v>0</v>
      </c>
      <c r="MD113" s="286">
        <f t="shared" si="864"/>
        <v>0</v>
      </c>
      <c r="ME113" s="286">
        <f t="shared" si="865"/>
        <v>0</v>
      </c>
      <c r="MF113" s="286">
        <f t="shared" si="866"/>
        <v>0</v>
      </c>
      <c r="MG113" s="286">
        <f t="shared" si="867"/>
        <v>0</v>
      </c>
      <c r="MH113" s="286">
        <f t="shared" si="868"/>
        <v>0</v>
      </c>
      <c r="MI113" s="286">
        <f t="shared" si="869"/>
        <v>0</v>
      </c>
      <c r="MJ113" s="286">
        <f t="shared" si="870"/>
        <v>0</v>
      </c>
      <c r="MK113" s="286">
        <f t="shared" si="871"/>
        <v>0</v>
      </c>
      <c r="ML113" s="282">
        <f t="shared" si="872"/>
        <v>0</v>
      </c>
      <c r="MM113" s="1232">
        <f t="shared" si="873"/>
        <v>0</v>
      </c>
      <c r="MN113" s="1232">
        <f t="shared" si="874"/>
        <v>0</v>
      </c>
      <c r="MO113" s="1232">
        <f t="shared" si="875"/>
        <v>0</v>
      </c>
      <c r="MP113" s="1232">
        <f t="shared" si="876"/>
        <v>0</v>
      </c>
      <c r="MQ113" s="282">
        <f t="shared" si="877"/>
        <v>0</v>
      </c>
      <c r="MR113" s="282">
        <f t="shared" si="878"/>
        <v>0</v>
      </c>
      <c r="MS113" s="282">
        <f t="shared" si="879"/>
        <v>0</v>
      </c>
      <c r="MT113" s="282">
        <f t="shared" si="880"/>
        <v>0</v>
      </c>
      <c r="MU113" s="282">
        <f t="shared" si="881"/>
        <v>0</v>
      </c>
      <c r="MV113" s="282">
        <f t="shared" si="882"/>
        <v>0</v>
      </c>
      <c r="MW113" s="282">
        <f t="shared" si="883"/>
        <v>0</v>
      </c>
      <c r="MX113" s="282">
        <f t="shared" si="884"/>
        <v>0</v>
      </c>
      <c r="MY113" s="282">
        <f t="shared" si="885"/>
        <v>0</v>
      </c>
      <c r="MZ113" s="282">
        <f t="shared" si="886"/>
        <v>0</v>
      </c>
      <c r="NA113" s="282">
        <f t="shared" si="887"/>
        <v>0</v>
      </c>
      <c r="NB113" s="282">
        <f t="shared" si="888"/>
        <v>0</v>
      </c>
      <c r="NC113" s="282">
        <f t="shared" si="889"/>
        <v>0</v>
      </c>
      <c r="ND113" s="282">
        <f t="shared" si="890"/>
        <v>0</v>
      </c>
      <c r="NE113" s="282">
        <f t="shared" si="891"/>
        <v>0</v>
      </c>
      <c r="NF113" s="282">
        <f t="shared" si="892"/>
        <v>0</v>
      </c>
      <c r="NG113" s="282">
        <f t="shared" si="893"/>
        <v>0</v>
      </c>
      <c r="NH113" s="282">
        <f t="shared" si="894"/>
        <v>0</v>
      </c>
      <c r="NI113" s="282">
        <f t="shared" si="895"/>
        <v>0</v>
      </c>
      <c r="NJ113" s="282">
        <f t="shared" si="896"/>
        <v>0</v>
      </c>
      <c r="NK113" s="282">
        <f t="shared" si="897"/>
        <v>0</v>
      </c>
      <c r="NL113" s="282">
        <f t="shared" si="898"/>
        <v>0</v>
      </c>
      <c r="NM113" s="1205">
        <f t="shared" si="899"/>
        <v>0</v>
      </c>
      <c r="NN113" s="282">
        <f t="shared" si="900"/>
        <v>0</v>
      </c>
      <c r="NO113" s="282">
        <f t="shared" si="901"/>
        <v>0</v>
      </c>
      <c r="NP113" s="282">
        <f t="shared" si="902"/>
        <v>0</v>
      </c>
      <c r="NQ113" s="282">
        <f t="shared" si="903"/>
        <v>0</v>
      </c>
      <c r="NR113" s="282">
        <f t="shared" si="904"/>
        <v>0</v>
      </c>
      <c r="NS113" s="282">
        <f t="shared" si="905"/>
        <v>0</v>
      </c>
      <c r="NT113" s="282">
        <f t="shared" si="906"/>
        <v>0</v>
      </c>
      <c r="NU113" s="282">
        <f t="shared" si="907"/>
        <v>0</v>
      </c>
      <c r="NV113" s="286">
        <f t="shared" si="908"/>
        <v>0</v>
      </c>
      <c r="NW113" s="286">
        <f t="shared" si="909"/>
        <v>0</v>
      </c>
      <c r="NX113" s="286">
        <f t="shared" si="910"/>
        <v>0</v>
      </c>
      <c r="NY113" s="286">
        <f t="shared" si="911"/>
        <v>0</v>
      </c>
      <c r="NZ113" s="286">
        <f t="shared" si="912"/>
        <v>0</v>
      </c>
      <c r="OA113" s="286">
        <f t="shared" si="913"/>
        <v>0</v>
      </c>
      <c r="OB113" s="286">
        <f t="shared" si="914"/>
        <v>0</v>
      </c>
      <c r="OC113" s="286">
        <f t="shared" si="915"/>
        <v>0</v>
      </c>
      <c r="OD113" s="286">
        <f t="shared" si="916"/>
        <v>0</v>
      </c>
      <c r="OE113" s="282">
        <f t="shared" si="917"/>
        <v>0</v>
      </c>
      <c r="OF113" s="282">
        <f t="shared" si="918"/>
        <v>0</v>
      </c>
      <c r="OG113" s="286">
        <f t="shared" si="919"/>
        <v>0</v>
      </c>
      <c r="OH113" s="286">
        <f t="shared" si="920"/>
        <v>0</v>
      </c>
      <c r="OI113" s="286">
        <f t="shared" si="921"/>
        <v>0</v>
      </c>
      <c r="OJ113" s="286">
        <f t="shared" si="922"/>
        <v>0</v>
      </c>
      <c r="OK113" s="286">
        <f t="shared" si="923"/>
        <v>0</v>
      </c>
      <c r="OL113" s="286">
        <f t="shared" si="924"/>
        <v>0</v>
      </c>
      <c r="OM113" s="286">
        <f t="shared" si="925"/>
        <v>0</v>
      </c>
      <c r="ON113" s="286">
        <f t="shared" si="926"/>
        <v>0</v>
      </c>
      <c r="OO113" s="286">
        <f t="shared" si="927"/>
        <v>0</v>
      </c>
      <c r="OP113" s="434">
        <f t="shared" si="928"/>
        <v>0</v>
      </c>
      <c r="OQ113" s="434">
        <f t="shared" si="929"/>
        <v>0</v>
      </c>
      <c r="OR113" s="282">
        <f t="shared" si="930"/>
        <v>0</v>
      </c>
      <c r="OS113" s="282">
        <f t="shared" si="931"/>
        <v>0</v>
      </c>
      <c r="OT113" s="282">
        <f t="shared" si="932"/>
        <v>0</v>
      </c>
      <c r="OU113" s="282">
        <f t="shared" si="933"/>
        <v>0</v>
      </c>
      <c r="OV113" s="282">
        <f t="shared" si="934"/>
        <v>0</v>
      </c>
      <c r="OW113" s="286">
        <f t="shared" si="935"/>
        <v>0</v>
      </c>
      <c r="OX113" s="286">
        <f t="shared" si="936"/>
        <v>0</v>
      </c>
      <c r="OY113" s="286">
        <f t="shared" si="937"/>
        <v>0</v>
      </c>
      <c r="OZ113" s="286">
        <f t="shared" si="938"/>
        <v>0</v>
      </c>
      <c r="PA113" s="286">
        <f t="shared" si="939"/>
        <v>0</v>
      </c>
      <c r="PB113" s="286">
        <f t="shared" si="940"/>
        <v>0</v>
      </c>
      <c r="PC113" s="286">
        <f t="shared" si="941"/>
        <v>0</v>
      </c>
      <c r="PD113" s="282">
        <f t="shared" si="942"/>
        <v>0</v>
      </c>
      <c r="PE113" s="282">
        <f t="shared" si="943"/>
        <v>0</v>
      </c>
      <c r="PF113" s="286">
        <f t="shared" si="944"/>
        <v>0</v>
      </c>
      <c r="PG113" s="286">
        <f t="shared" si="945"/>
        <v>0</v>
      </c>
      <c r="PH113" s="286">
        <f t="shared" si="946"/>
        <v>0</v>
      </c>
      <c r="PI113" s="286">
        <f t="shared" si="947"/>
        <v>0</v>
      </c>
      <c r="PJ113" s="286">
        <f t="shared" si="948"/>
        <v>0</v>
      </c>
      <c r="PK113" s="286">
        <f t="shared" si="949"/>
        <v>0</v>
      </c>
      <c r="PL113" s="286">
        <f t="shared" si="950"/>
        <v>0</v>
      </c>
      <c r="PM113" s="562">
        <v>57</v>
      </c>
      <c r="PO113" s="571"/>
    </row>
    <row r="114" spans="1:431" s="289" customFormat="1" ht="15.75" customHeight="1">
      <c r="A114" s="1935" t="s">
        <v>1329</v>
      </c>
      <c r="B114" s="1040" t="str">
        <f>VLOOKUP(A114,'Area (&amp;golfacre for lookup)'!$A$2:$B$162,2,FALSE)</f>
        <v>SE exc BOCA</v>
      </c>
      <c r="C114" s="1936"/>
      <c r="D114" s="1937">
        <v>44926</v>
      </c>
      <c r="E114" s="402"/>
      <c r="F114" s="1936">
        <v>1</v>
      </c>
      <c r="G114" s="1936">
        <v>0</v>
      </c>
      <c r="H114" s="1936">
        <v>518</v>
      </c>
      <c r="I114" s="1936">
        <v>644</v>
      </c>
      <c r="J114" s="1936">
        <v>1162</v>
      </c>
      <c r="K114" s="1938">
        <v>826.60620875091661</v>
      </c>
      <c r="L114" s="1939" t="s">
        <v>1208</v>
      </c>
      <c r="M114" s="1939" t="s">
        <v>1208</v>
      </c>
      <c r="N114" s="1939" t="s">
        <v>1208</v>
      </c>
      <c r="O114" s="1939" t="s">
        <v>1208</v>
      </c>
      <c r="P114" s="1939" t="s">
        <v>1208</v>
      </c>
      <c r="Q114" s="1936">
        <v>51000</v>
      </c>
      <c r="R114" s="1936">
        <v>100500</v>
      </c>
      <c r="S114" s="1936">
        <v>151500</v>
      </c>
      <c r="T114" s="1939" t="s">
        <v>1208</v>
      </c>
      <c r="U114" s="1939" t="s">
        <v>1208</v>
      </c>
      <c r="V114" s="1939" t="s">
        <v>1208</v>
      </c>
      <c r="W114" s="1936">
        <v>17877</v>
      </c>
      <c r="X114" s="1936">
        <v>16364</v>
      </c>
      <c r="Y114" s="1939" t="s">
        <v>1208</v>
      </c>
      <c r="Z114" s="1939" t="s">
        <v>1208</v>
      </c>
      <c r="AA114" s="1936">
        <v>1513</v>
      </c>
      <c r="AB114" s="1362">
        <v>9.2459056465411874E-2</v>
      </c>
      <c r="AC114" s="1939" t="s">
        <v>1208</v>
      </c>
      <c r="AD114" s="1363" t="s">
        <v>1208</v>
      </c>
      <c r="AE114" s="1936">
        <v>1</v>
      </c>
      <c r="AF114" s="1936">
        <v>1391</v>
      </c>
      <c r="AG114" s="1939" t="s">
        <v>1208</v>
      </c>
      <c r="AH114" s="1936">
        <v>0</v>
      </c>
      <c r="AI114" s="1936">
        <v>0</v>
      </c>
      <c r="AJ114" s="1939" t="s">
        <v>1208</v>
      </c>
      <c r="AK114" s="1938">
        <v>1</v>
      </c>
      <c r="AL114" s="1938">
        <v>1370</v>
      </c>
      <c r="AM114" s="1936">
        <v>19125</v>
      </c>
      <c r="AN114" s="1939" t="s">
        <v>1208</v>
      </c>
      <c r="AO114" s="1936">
        <v>0</v>
      </c>
      <c r="AP114" s="1936">
        <v>750</v>
      </c>
      <c r="AQ114" s="1936">
        <v>19875</v>
      </c>
      <c r="AR114" s="1939" t="s">
        <v>1208</v>
      </c>
      <c r="AS114" s="1363" t="s">
        <v>1208</v>
      </c>
      <c r="AT114" s="1363" t="s">
        <v>1208</v>
      </c>
      <c r="AU114" s="1363" t="s">
        <v>1208</v>
      </c>
      <c r="AV114" s="1363" t="s">
        <v>1208</v>
      </c>
      <c r="AW114" s="1363" t="s">
        <v>1291</v>
      </c>
      <c r="AX114" s="1938">
        <v>1</v>
      </c>
      <c r="AY114" s="1938">
        <v>0</v>
      </c>
      <c r="AZ114" s="1938">
        <v>1</v>
      </c>
      <c r="BA114" s="1938">
        <v>0</v>
      </c>
      <c r="BB114" s="1938">
        <v>0</v>
      </c>
      <c r="BC114" s="1938">
        <v>1</v>
      </c>
      <c r="BD114" s="1938">
        <v>0</v>
      </c>
      <c r="BE114" s="1936">
        <v>0</v>
      </c>
      <c r="BF114" s="1936">
        <v>0</v>
      </c>
      <c r="BG114" s="1936">
        <v>2128000</v>
      </c>
      <c r="BH114" s="1936">
        <v>2128000</v>
      </c>
      <c r="BI114" s="1938">
        <v>53528100</v>
      </c>
      <c r="BJ114" s="1936">
        <v>3974390</v>
      </c>
      <c r="BK114" s="1936">
        <v>2878174</v>
      </c>
      <c r="BL114" s="1362">
        <v>1.3808720390080655</v>
      </c>
      <c r="BM114" s="1936">
        <v>1</v>
      </c>
      <c r="BN114" s="1936">
        <v>700034</v>
      </c>
      <c r="BO114" s="1363" t="s">
        <v>1208</v>
      </c>
      <c r="BP114" s="1938">
        <v>6923014</v>
      </c>
      <c r="BQ114" s="1938">
        <v>13809065</v>
      </c>
      <c r="BR114" s="1940">
        <v>0.50133835998309806</v>
      </c>
      <c r="BS114" s="1409">
        <v>0</v>
      </c>
      <c r="BT114" s="1938">
        <v>14143535</v>
      </c>
      <c r="BU114" s="1938">
        <v>50924612</v>
      </c>
      <c r="BV114" s="1940">
        <v>0.27773476212248804</v>
      </c>
      <c r="BW114" s="1936">
        <v>846.87725858945623</v>
      </c>
      <c r="BX114" s="1936">
        <v>4808.0814757073922</v>
      </c>
      <c r="BY114" s="1936">
        <v>2574.3818247090326</v>
      </c>
      <c r="BZ114" s="1936">
        <v>2602364</v>
      </c>
      <c r="CA114" s="1936">
        <v>142232</v>
      </c>
      <c r="CB114" s="1936">
        <v>1268692</v>
      </c>
      <c r="CC114" s="1936">
        <v>1435620</v>
      </c>
      <c r="CD114" s="1936">
        <v>13526584</v>
      </c>
      <c r="CE114" s="1936">
        <v>0</v>
      </c>
      <c r="CF114" s="1936">
        <v>0</v>
      </c>
      <c r="CG114" s="1936">
        <v>2896548</v>
      </c>
      <c r="CH114" s="1936">
        <v>1292168</v>
      </c>
      <c r="CI114" s="1936">
        <v>824027</v>
      </c>
      <c r="CJ114" s="1936">
        <v>23988235</v>
      </c>
      <c r="CK114" s="1366">
        <v>0.10848501359103745</v>
      </c>
      <c r="CL114" s="1366">
        <v>5.9292398961407538E-3</v>
      </c>
      <c r="CM114" s="1366">
        <v>5.28880928505161E-2</v>
      </c>
      <c r="CN114" s="1366">
        <v>5.9846837418426155E-2</v>
      </c>
      <c r="CO114" s="1366">
        <v>0.56388408734531736</v>
      </c>
      <c r="CP114" s="1366">
        <v>0</v>
      </c>
      <c r="CQ114" s="1366">
        <v>0</v>
      </c>
      <c r="CR114" s="1366">
        <v>0.12074869201506488</v>
      </c>
      <c r="CS114" s="1366">
        <v>5.3866739257807002E-2</v>
      </c>
      <c r="CT114" s="1366">
        <v>3.4351297625690259E-2</v>
      </c>
      <c r="CU114" s="1366">
        <v>1</v>
      </c>
      <c r="CV114" s="1936">
        <v>12107662</v>
      </c>
      <c r="CW114" s="1936">
        <v>1740692</v>
      </c>
      <c r="CX114" s="1936">
        <v>880169</v>
      </c>
      <c r="CY114" s="1936">
        <v>7930233</v>
      </c>
      <c r="CZ114" s="1936">
        <v>340181</v>
      </c>
      <c r="DA114" s="1936">
        <v>532025</v>
      </c>
      <c r="DB114" s="1936">
        <v>23530962</v>
      </c>
      <c r="DC114" s="1366">
        <v>0.51454173441782791</v>
      </c>
      <c r="DD114" s="1366">
        <v>7.3974536187683279E-2</v>
      </c>
      <c r="DE114" s="1366">
        <v>3.7404718090148628E-2</v>
      </c>
      <c r="DF114" s="1366">
        <v>0.33701269841836473</v>
      </c>
      <c r="DG114" s="1366">
        <v>1.4456740017683935E-2</v>
      </c>
      <c r="DH114" s="1366">
        <v>2.2609572868291572E-2</v>
      </c>
      <c r="DI114" s="1366">
        <v>1</v>
      </c>
      <c r="DJ114" s="1936">
        <v>457273</v>
      </c>
      <c r="DK114" s="1936">
        <v>3148.2512137580338</v>
      </c>
      <c r="DL114" s="1936">
        <v>172.06742278760109</v>
      </c>
      <c r="DM114" s="1936">
        <v>1534.8203129481915</v>
      </c>
      <c r="DN114" s="1936">
        <v>1736.7641142804423</v>
      </c>
      <c r="DO114" s="1936">
        <v>16364</v>
      </c>
      <c r="DP114" s="1936">
        <v>0</v>
      </c>
      <c r="DQ114" s="1936">
        <v>0</v>
      </c>
      <c r="DR114" s="1936">
        <v>3504.1449838333169</v>
      </c>
      <c r="DS114" s="1936">
        <v>1563.2207771008557</v>
      </c>
      <c r="DT114" s="1936">
        <v>996.87976121687495</v>
      </c>
      <c r="DU114" s="1936">
        <v>29020.148585925315</v>
      </c>
      <c r="DV114" s="1936">
        <v>14647.436556635437</v>
      </c>
      <c r="DW114" s="1936">
        <v>2105.8298154212475</v>
      </c>
      <c r="DX114" s="1936">
        <v>1064.7984380978967</v>
      </c>
      <c r="DY114" s="1936">
        <v>9593.725423358921</v>
      </c>
      <c r="DZ114" s="1936">
        <v>411.53937195081926</v>
      </c>
      <c r="EA114" s="1936">
        <v>643.62570032463486</v>
      </c>
      <c r="EB114" s="1936">
        <v>28466.955305788957</v>
      </c>
      <c r="EC114" s="1936">
        <v>553.1932801363597</v>
      </c>
      <c r="ED114" s="1941">
        <v>265</v>
      </c>
      <c r="EE114" s="1936">
        <v>1</v>
      </c>
      <c r="EF114" s="1936">
        <v>75</v>
      </c>
      <c r="EG114" s="1938">
        <v>825000</v>
      </c>
      <c r="EH114" s="1938">
        <v>1</v>
      </c>
      <c r="EI114" s="1368">
        <v>0.03</v>
      </c>
      <c r="EJ114" s="1936">
        <v>3.1192687122676097</v>
      </c>
      <c r="EK114" s="1936">
        <v>0</v>
      </c>
      <c r="EL114" s="1936">
        <v>0</v>
      </c>
      <c r="EM114" s="1936">
        <v>0</v>
      </c>
      <c r="EN114" s="1362">
        <v>0</v>
      </c>
      <c r="EO114" s="1936">
        <v>1</v>
      </c>
      <c r="EP114" s="1936">
        <v>62.5</v>
      </c>
      <c r="EQ114" s="1936">
        <v>0</v>
      </c>
      <c r="ER114" s="1938">
        <v>0</v>
      </c>
      <c r="ES114" s="1936">
        <v>5067.3657609341726</v>
      </c>
      <c r="ET114" s="1936">
        <v>-1771.2966398020371</v>
      </c>
      <c r="EU114" s="1938">
        <v>3</v>
      </c>
      <c r="EV114" s="1936">
        <v>87753</v>
      </c>
      <c r="EW114" s="1936">
        <v>19144</v>
      </c>
      <c r="EX114" s="1938">
        <v>0</v>
      </c>
      <c r="EY114" s="1936">
        <v>2896548</v>
      </c>
      <c r="EZ114" s="1936">
        <v>1322898</v>
      </c>
      <c r="FA114" s="1936">
        <v>1573650</v>
      </c>
      <c r="FB114" s="1936">
        <v>1292168</v>
      </c>
      <c r="FC114" s="1936">
        <v>417794</v>
      </c>
      <c r="FD114" s="1936">
        <v>874374</v>
      </c>
      <c r="FE114" s="1936">
        <v>4188716</v>
      </c>
      <c r="FF114" s="1936">
        <v>1740692</v>
      </c>
      <c r="FG114" s="1936">
        <v>2448024</v>
      </c>
      <c r="FH114" s="1366">
        <v>1</v>
      </c>
      <c r="FI114" s="1366">
        <v>0.45671537291976516</v>
      </c>
      <c r="FJ114" s="1366">
        <v>0.54328462708023484</v>
      </c>
      <c r="FK114" s="1366">
        <v>1</v>
      </c>
      <c r="FL114" s="1366">
        <v>0.32332792639966318</v>
      </c>
      <c r="FM114" s="1366">
        <v>0.67667207360033677</v>
      </c>
      <c r="FN114" s="1366">
        <v>1</v>
      </c>
      <c r="FO114" s="1366">
        <v>0.41556696610608118</v>
      </c>
      <c r="FP114" s="1366">
        <v>0.58443303389391876</v>
      </c>
      <c r="FQ114" s="1936">
        <v>3065464</v>
      </c>
      <c r="FR114" s="1936">
        <v>-837743.20000000007</v>
      </c>
      <c r="FS114" s="1936">
        <v>472780</v>
      </c>
      <c r="FT114" s="1936">
        <v>92743</v>
      </c>
      <c r="FU114" s="1936">
        <v>0</v>
      </c>
      <c r="FV114" s="1936">
        <v>142933</v>
      </c>
      <c r="FW114" s="1936">
        <v>976012</v>
      </c>
      <c r="FX114" s="1936">
        <v>3912188.8</v>
      </c>
      <c r="FY114" s="1936">
        <v>-1464164.7999999998</v>
      </c>
      <c r="FZ114" s="1366">
        <v>0.7318385872902341</v>
      </c>
      <c r="GA114" s="1366">
        <v>-0.2</v>
      </c>
      <c r="GB114" s="1366">
        <v>0.11286991049285748</v>
      </c>
      <c r="GC114" s="1366">
        <v>2.214115256321985E-2</v>
      </c>
      <c r="GD114" s="1366">
        <v>0</v>
      </c>
      <c r="GE114" s="1366">
        <v>3.412334471947967E-2</v>
      </c>
      <c r="GF114" s="1366">
        <v>0.23300982926510178</v>
      </c>
      <c r="GG114" s="1366">
        <v>0.93398282433089275</v>
      </c>
      <c r="GH114" s="1366">
        <v>-0.34954979043697398</v>
      </c>
      <c r="GI114" s="1942">
        <v>2.2416187368825105</v>
      </c>
      <c r="GJ114" s="1943">
        <v>0</v>
      </c>
      <c r="GK114" s="1371">
        <v>0</v>
      </c>
      <c r="GL114" s="1943">
        <v>0</v>
      </c>
      <c r="GM114" s="1371">
        <v>0</v>
      </c>
      <c r="GN114" s="1943">
        <v>0</v>
      </c>
      <c r="GO114" s="1985">
        <f>IF(GN114=0,0,VLOOKUP(A114,'Area (&amp;golfacre for lookup)'!$G$2:$H$133,2,FALSE))</f>
        <v>0</v>
      </c>
      <c r="GP114" s="1943">
        <v>0</v>
      </c>
      <c r="GQ114" s="1943">
        <v>0</v>
      </c>
      <c r="GR114" s="1943">
        <v>0</v>
      </c>
      <c r="GS114" s="1943">
        <v>0</v>
      </c>
      <c r="GT114" s="1943">
        <v>0</v>
      </c>
      <c r="GU114" s="1943">
        <v>0</v>
      </c>
      <c r="GV114" s="1943">
        <v>0</v>
      </c>
      <c r="GW114" s="1943">
        <v>0</v>
      </c>
      <c r="GX114" s="1936">
        <v>0</v>
      </c>
      <c r="GY114" s="1985">
        <f t="shared" si="764"/>
        <v>0</v>
      </c>
      <c r="GZ114" s="1936">
        <v>0</v>
      </c>
      <c r="HA114" s="1936">
        <v>0</v>
      </c>
      <c r="HB114" s="1936">
        <v>0</v>
      </c>
      <c r="HC114" s="1936">
        <v>0</v>
      </c>
      <c r="HD114" s="1936">
        <v>0</v>
      </c>
      <c r="HE114" s="1936">
        <v>0</v>
      </c>
      <c r="HF114" s="1936">
        <v>0</v>
      </c>
      <c r="HG114" s="1936">
        <v>54</v>
      </c>
      <c r="HH114" s="1988">
        <f>IF(HG114=0,0,VLOOKUP(A114,'Area (&amp;golfacre for lookup)'!$G$2:$H$134,2,FALSE))</f>
        <v>466</v>
      </c>
      <c r="HI114" s="1936">
        <v>75124</v>
      </c>
      <c r="HJ114" s="1936">
        <v>2246247</v>
      </c>
      <c r="HK114" s="1936">
        <v>456410</v>
      </c>
      <c r="HL114" s="1936">
        <v>1315983</v>
      </c>
      <c r="HM114" s="1936">
        <v>451812</v>
      </c>
      <c r="HN114" s="1936">
        <v>0</v>
      </c>
      <c r="HO114" s="1936">
        <v>990216</v>
      </c>
      <c r="HP114" s="1936">
        <v>5460668</v>
      </c>
      <c r="HQ114" s="1936">
        <v>101123.48148148147</v>
      </c>
      <c r="HR114" s="1988">
        <f t="shared" si="765"/>
        <v>11718.171673819743</v>
      </c>
      <c r="HS114" s="1366">
        <v>0.41135022308625979</v>
      </c>
      <c r="HT114" s="1366">
        <v>8.3581349388023585E-2</v>
      </c>
      <c r="HU114" s="1366">
        <v>0.2409930433419501</v>
      </c>
      <c r="HV114" s="1366">
        <v>8.2739327862451986E-2</v>
      </c>
      <c r="HW114" s="1366">
        <v>0</v>
      </c>
      <c r="HX114" s="1366">
        <v>0.18133605632131453</v>
      </c>
      <c r="HY114" s="1366">
        <v>1</v>
      </c>
      <c r="HZ114" s="51"/>
      <c r="IA114" s="59">
        <f t="shared" si="767"/>
        <v>0.34</v>
      </c>
      <c r="IB114" s="59"/>
      <c r="IC114" s="815">
        <f t="shared" si="768"/>
        <v>1</v>
      </c>
      <c r="ID114" s="815"/>
      <c r="IE114" s="284">
        <f t="shared" si="769"/>
        <v>0</v>
      </c>
      <c r="IF114" s="284"/>
      <c r="IG114" s="284">
        <f t="shared" si="770"/>
        <v>64756.469807898284</v>
      </c>
      <c r="IH114" s="284"/>
      <c r="II114" s="1288">
        <f t="shared" si="771"/>
        <v>0</v>
      </c>
      <c r="IJ114" s="1288">
        <f t="shared" si="772"/>
        <v>0.50133835998309806</v>
      </c>
      <c r="IK114" s="284">
        <f t="shared" si="773"/>
        <v>0</v>
      </c>
      <c r="IL114" s="284">
        <f t="shared" si="774"/>
        <v>0</v>
      </c>
      <c r="IM114" s="284">
        <f t="shared" si="775"/>
        <v>0</v>
      </c>
      <c r="IN114" s="284">
        <f t="shared" si="776"/>
        <v>0</v>
      </c>
      <c r="IO114" s="753">
        <f t="shared" si="777"/>
        <v>-1260.0385542168674</v>
      </c>
      <c r="IP114" s="113">
        <f t="shared" si="778"/>
        <v>-1771.2966398020371</v>
      </c>
      <c r="IQ114" s="30">
        <f t="shared" si="779"/>
        <v>-0.10824350035456105</v>
      </c>
      <c r="IR114" s="438">
        <f t="shared" si="780"/>
        <v>2896548</v>
      </c>
      <c r="IS114" s="438">
        <f t="shared" si="781"/>
        <v>1292168</v>
      </c>
      <c r="IT114" s="438">
        <f t="shared" si="782"/>
        <v>3065464</v>
      </c>
      <c r="IU114" s="438">
        <f t="shared" si="783"/>
        <v>565523</v>
      </c>
      <c r="IV114" s="438">
        <f t="shared" si="784"/>
        <v>1740692</v>
      </c>
      <c r="IW114" s="438">
        <f t="shared" si="785"/>
        <v>281201.79999999993</v>
      </c>
      <c r="IX114" s="285">
        <f t="shared" si="786"/>
        <v>0.69151214835286035</v>
      </c>
      <c r="IY114" s="285">
        <f t="shared" si="787"/>
        <v>0.3084878516471396</v>
      </c>
      <c r="IZ114" s="285">
        <f t="shared" si="788"/>
        <v>0.7318385872902341</v>
      </c>
      <c r="JA114" s="285">
        <f t="shared" si="789"/>
        <v>0.13501106305607732</v>
      </c>
      <c r="JB114" s="285">
        <f t="shared" si="790"/>
        <v>0.41556696610608118</v>
      </c>
      <c r="JC114" s="285">
        <f t="shared" si="791"/>
        <v>6.7133173984581421E-2</v>
      </c>
      <c r="JD114" s="60">
        <f t="shared" si="792"/>
        <v>13526584</v>
      </c>
      <c r="JE114" s="60">
        <f t="shared" si="793"/>
        <v>5448908</v>
      </c>
      <c r="JF114" s="60">
        <f t="shared" si="794"/>
        <v>0</v>
      </c>
      <c r="JG114" s="60">
        <f t="shared" si="795"/>
        <v>872206</v>
      </c>
      <c r="JH114" s="284">
        <f t="shared" si="796"/>
        <v>1</v>
      </c>
      <c r="JI114" s="284">
        <f t="shared" si="797"/>
        <v>1</v>
      </c>
      <c r="JJ114" s="560">
        <f t="shared" si="798"/>
        <v>0.69376097587121222</v>
      </c>
      <c r="JK114" s="561">
        <f t="shared" si="799"/>
        <v>0.50473334115661284</v>
      </c>
      <c r="JL114" s="561">
        <f t="shared" si="800"/>
        <v>7.2564405009372307E-2</v>
      </c>
      <c r="JM114" s="561">
        <f t="shared" si="801"/>
        <v>3.669169490794133E-2</v>
      </c>
      <c r="JN114" s="561">
        <f t="shared" si="802"/>
        <v>0.33058843220437018</v>
      </c>
      <c r="JO114" s="561">
        <f t="shared" si="803"/>
        <v>1.4181160056169201E-2</v>
      </c>
      <c r="JP114" s="561">
        <f t="shared" si="804"/>
        <v>2.2178580458295495E-2</v>
      </c>
      <c r="JQ114" s="561">
        <f t="shared" si="805"/>
        <v>0.98093761379276134</v>
      </c>
      <c r="JR114" s="61">
        <f t="shared" si="806"/>
        <v>0</v>
      </c>
      <c r="JS114" s="61">
        <f t="shared" si="807"/>
        <v>0</v>
      </c>
      <c r="JT114" s="61">
        <f t="shared" si="808"/>
        <v>0</v>
      </c>
      <c r="JU114" s="61">
        <f t="shared" si="809"/>
        <v>0</v>
      </c>
      <c r="JV114" s="61">
        <f t="shared" si="810"/>
        <v>0</v>
      </c>
      <c r="JW114" s="61">
        <f t="shared" si="811"/>
        <v>0</v>
      </c>
      <c r="JX114" s="61">
        <f t="shared" si="812"/>
        <v>0</v>
      </c>
      <c r="JY114" s="394">
        <f t="shared" si="813"/>
        <v>0</v>
      </c>
      <c r="JZ114" s="61">
        <f t="shared" si="814"/>
        <v>41597.166666666664</v>
      </c>
      <c r="KA114" s="61">
        <f t="shared" si="815"/>
        <v>8452.0370370370365</v>
      </c>
      <c r="KB114" s="61">
        <f t="shared" si="816"/>
        <v>24370.055555555555</v>
      </c>
      <c r="KC114" s="61">
        <f t="shared" si="817"/>
        <v>8366.8888888888887</v>
      </c>
      <c r="KD114" s="61">
        <f t="shared" si="818"/>
        <v>0</v>
      </c>
      <c r="KE114" s="61">
        <f t="shared" si="819"/>
        <v>18337.333333333332</v>
      </c>
      <c r="KF114" s="61">
        <f t="shared" si="820"/>
        <v>25000</v>
      </c>
      <c r="KG114" s="61">
        <f t="shared" si="821"/>
        <v>310.66666666666669</v>
      </c>
      <c r="KH114" s="61">
        <f t="shared" si="822"/>
        <v>72.68872796975667</v>
      </c>
      <c r="KI114" s="394">
        <f t="shared" si="823"/>
        <v>0.23206310052262208</v>
      </c>
      <c r="KJ114" s="438">
        <f t="shared" si="824"/>
        <v>54</v>
      </c>
      <c r="KK114" s="438">
        <f t="shared" si="825"/>
        <v>75124</v>
      </c>
      <c r="KL114" s="438">
        <f t="shared" si="826"/>
        <v>466</v>
      </c>
      <c r="KM114" s="438">
        <f t="shared" si="827"/>
        <v>101123.48148148147</v>
      </c>
      <c r="KN114" s="438">
        <f t="shared" si="828"/>
        <v>72.68872796975667</v>
      </c>
      <c r="KO114" s="438">
        <f t="shared" si="829"/>
        <v>11718.171673819743</v>
      </c>
      <c r="KP114" s="438">
        <f t="shared" si="830"/>
        <v>2246247</v>
      </c>
      <c r="KQ114" s="438">
        <f t="shared" si="831"/>
        <v>456410</v>
      </c>
      <c r="KR114" s="438">
        <f t="shared" si="832"/>
        <v>1315983</v>
      </c>
      <c r="KS114" s="438">
        <f t="shared" si="833"/>
        <v>451812</v>
      </c>
      <c r="KT114" s="438">
        <f t="shared" si="834"/>
        <v>0</v>
      </c>
      <c r="KU114" s="438">
        <f t="shared" si="835"/>
        <v>990216</v>
      </c>
      <c r="KV114" s="420">
        <f t="shared" si="836"/>
        <v>0.23206310052262208</v>
      </c>
      <c r="KW114" s="420">
        <f t="shared" si="837"/>
        <v>-0.33049378911926325</v>
      </c>
      <c r="KX114" s="108"/>
      <c r="KY114" s="282">
        <f t="shared" si="838"/>
        <v>0</v>
      </c>
      <c r="KZ114" s="282"/>
      <c r="LA114" s="282">
        <f t="shared" si="839"/>
        <v>0</v>
      </c>
      <c r="LB114" s="282"/>
      <c r="LC114" s="286">
        <f t="shared" si="951"/>
        <v>0</v>
      </c>
      <c r="LD114" s="286"/>
      <c r="LE114" s="282">
        <f t="shared" si="841"/>
        <v>0</v>
      </c>
      <c r="LF114" s="282"/>
      <c r="LG114" s="282">
        <f t="shared" si="842"/>
        <v>0</v>
      </c>
      <c r="LH114" s="282">
        <f t="shared" si="843"/>
        <v>0</v>
      </c>
      <c r="LI114" s="282">
        <f t="shared" si="844"/>
        <v>0</v>
      </c>
      <c r="LJ114" s="282">
        <f t="shared" si="845"/>
        <v>0</v>
      </c>
      <c r="LK114" s="282"/>
      <c r="LL114" s="282">
        <f t="shared" si="846"/>
        <v>0</v>
      </c>
      <c r="LM114" s="282">
        <f t="shared" si="847"/>
        <v>0</v>
      </c>
      <c r="LN114" s="282">
        <f t="shared" si="848"/>
        <v>0</v>
      </c>
      <c r="LO114" s="282">
        <f t="shared" si="849"/>
        <v>0</v>
      </c>
      <c r="LP114" s="286">
        <f t="shared" si="850"/>
        <v>0</v>
      </c>
      <c r="LQ114" s="282">
        <f t="shared" si="851"/>
        <v>0</v>
      </c>
      <c r="LR114" s="282">
        <f t="shared" si="852"/>
        <v>0</v>
      </c>
      <c r="LS114" s="282">
        <f t="shared" si="853"/>
        <v>0</v>
      </c>
      <c r="LT114" s="286">
        <f t="shared" si="854"/>
        <v>0</v>
      </c>
      <c r="LU114" s="286">
        <f t="shared" si="855"/>
        <v>0</v>
      </c>
      <c r="LV114" s="286">
        <f t="shared" si="856"/>
        <v>0</v>
      </c>
      <c r="LW114" s="286">
        <f t="shared" si="857"/>
        <v>0</v>
      </c>
      <c r="LX114" s="286">
        <f t="shared" si="858"/>
        <v>0</v>
      </c>
      <c r="LY114" s="286">
        <f t="shared" si="859"/>
        <v>0</v>
      </c>
      <c r="LZ114" s="286">
        <f t="shared" si="860"/>
        <v>0</v>
      </c>
      <c r="MA114" s="286">
        <f t="shared" si="861"/>
        <v>0</v>
      </c>
      <c r="MB114" s="286">
        <f t="shared" si="862"/>
        <v>0</v>
      </c>
      <c r="MC114" s="286">
        <f t="shared" si="863"/>
        <v>0</v>
      </c>
      <c r="MD114" s="286">
        <f t="shared" si="864"/>
        <v>0</v>
      </c>
      <c r="ME114" s="286">
        <f t="shared" si="865"/>
        <v>0</v>
      </c>
      <c r="MF114" s="286">
        <f t="shared" si="866"/>
        <v>0</v>
      </c>
      <c r="MG114" s="286">
        <f t="shared" si="867"/>
        <v>0</v>
      </c>
      <c r="MH114" s="286">
        <f t="shared" si="868"/>
        <v>0</v>
      </c>
      <c r="MI114" s="286">
        <f t="shared" si="869"/>
        <v>0</v>
      </c>
      <c r="MJ114" s="286">
        <f t="shared" si="870"/>
        <v>0</v>
      </c>
      <c r="MK114" s="286">
        <f t="shared" si="871"/>
        <v>0</v>
      </c>
      <c r="ML114" s="282">
        <f t="shared" si="872"/>
        <v>0</v>
      </c>
      <c r="MM114" s="1232">
        <f t="shared" si="873"/>
        <v>0</v>
      </c>
      <c r="MN114" s="1232">
        <f t="shared" si="874"/>
        <v>0</v>
      </c>
      <c r="MO114" s="1232">
        <f t="shared" si="875"/>
        <v>0</v>
      </c>
      <c r="MP114" s="1232">
        <f t="shared" si="876"/>
        <v>0</v>
      </c>
      <c r="MQ114" s="282">
        <f t="shared" si="877"/>
        <v>0</v>
      </c>
      <c r="MR114" s="282">
        <f t="shared" si="878"/>
        <v>0</v>
      </c>
      <c r="MS114" s="282">
        <f t="shared" si="879"/>
        <v>0</v>
      </c>
      <c r="MT114" s="282">
        <f t="shared" si="880"/>
        <v>0</v>
      </c>
      <c r="MU114" s="282">
        <f t="shared" si="881"/>
        <v>0</v>
      </c>
      <c r="MV114" s="282">
        <f t="shared" si="882"/>
        <v>0</v>
      </c>
      <c r="MW114" s="282">
        <f t="shared" si="883"/>
        <v>0</v>
      </c>
      <c r="MX114" s="282">
        <f t="shared" si="884"/>
        <v>0</v>
      </c>
      <c r="MY114" s="282">
        <f t="shared" si="885"/>
        <v>0</v>
      </c>
      <c r="MZ114" s="282">
        <f t="shared" si="886"/>
        <v>0</v>
      </c>
      <c r="NA114" s="282">
        <f t="shared" si="887"/>
        <v>0</v>
      </c>
      <c r="NB114" s="282">
        <f t="shared" si="888"/>
        <v>0</v>
      </c>
      <c r="NC114" s="282">
        <f t="shared" si="889"/>
        <v>0</v>
      </c>
      <c r="ND114" s="282">
        <f t="shared" si="890"/>
        <v>0</v>
      </c>
      <c r="NE114" s="282">
        <f t="shared" si="891"/>
        <v>0</v>
      </c>
      <c r="NF114" s="282">
        <f t="shared" si="892"/>
        <v>0</v>
      </c>
      <c r="NG114" s="282">
        <f t="shared" si="893"/>
        <v>0</v>
      </c>
      <c r="NH114" s="282">
        <f t="shared" si="894"/>
        <v>0</v>
      </c>
      <c r="NI114" s="282">
        <f t="shared" si="895"/>
        <v>0</v>
      </c>
      <c r="NJ114" s="282">
        <f t="shared" si="896"/>
        <v>0</v>
      </c>
      <c r="NK114" s="282">
        <f t="shared" si="897"/>
        <v>0</v>
      </c>
      <c r="NL114" s="282">
        <f t="shared" si="898"/>
        <v>0</v>
      </c>
      <c r="NM114" s="1205">
        <f t="shared" si="899"/>
        <v>0</v>
      </c>
      <c r="NN114" s="282">
        <f t="shared" si="900"/>
        <v>0</v>
      </c>
      <c r="NO114" s="282">
        <f t="shared" si="901"/>
        <v>0</v>
      </c>
      <c r="NP114" s="282">
        <f t="shared" si="902"/>
        <v>0</v>
      </c>
      <c r="NQ114" s="282">
        <f t="shared" si="903"/>
        <v>0</v>
      </c>
      <c r="NR114" s="282">
        <f t="shared" si="904"/>
        <v>0</v>
      </c>
      <c r="NS114" s="282">
        <f t="shared" si="905"/>
        <v>0</v>
      </c>
      <c r="NT114" s="282">
        <f t="shared" si="906"/>
        <v>0</v>
      </c>
      <c r="NU114" s="282">
        <f t="shared" si="907"/>
        <v>0</v>
      </c>
      <c r="NV114" s="286">
        <f t="shared" si="908"/>
        <v>0</v>
      </c>
      <c r="NW114" s="286">
        <f t="shared" si="909"/>
        <v>0</v>
      </c>
      <c r="NX114" s="286">
        <f t="shared" si="910"/>
        <v>0</v>
      </c>
      <c r="NY114" s="286">
        <f t="shared" si="911"/>
        <v>0</v>
      </c>
      <c r="NZ114" s="286">
        <f t="shared" si="912"/>
        <v>0</v>
      </c>
      <c r="OA114" s="286">
        <f t="shared" si="913"/>
        <v>0</v>
      </c>
      <c r="OB114" s="286">
        <f t="shared" si="914"/>
        <v>0</v>
      </c>
      <c r="OC114" s="286">
        <f t="shared" si="915"/>
        <v>0</v>
      </c>
      <c r="OD114" s="286">
        <f t="shared" si="916"/>
        <v>0</v>
      </c>
      <c r="OE114" s="282">
        <f t="shared" si="917"/>
        <v>0</v>
      </c>
      <c r="OF114" s="282">
        <f t="shared" si="918"/>
        <v>0</v>
      </c>
      <c r="OG114" s="286">
        <f t="shared" si="919"/>
        <v>0</v>
      </c>
      <c r="OH114" s="286">
        <f t="shared" si="920"/>
        <v>0</v>
      </c>
      <c r="OI114" s="286">
        <f t="shared" si="921"/>
        <v>0</v>
      </c>
      <c r="OJ114" s="286">
        <f t="shared" si="922"/>
        <v>0</v>
      </c>
      <c r="OK114" s="286">
        <f t="shared" si="923"/>
        <v>0</v>
      </c>
      <c r="OL114" s="286">
        <f t="shared" si="924"/>
        <v>0</v>
      </c>
      <c r="OM114" s="286">
        <f t="shared" si="925"/>
        <v>0</v>
      </c>
      <c r="ON114" s="286">
        <f t="shared" si="926"/>
        <v>0</v>
      </c>
      <c r="OO114" s="286">
        <f t="shared" si="927"/>
        <v>0</v>
      </c>
      <c r="OP114" s="434">
        <f t="shared" si="928"/>
        <v>0</v>
      </c>
      <c r="OQ114" s="434">
        <f t="shared" si="929"/>
        <v>0</v>
      </c>
      <c r="OR114" s="282">
        <f t="shared" si="930"/>
        <v>0</v>
      </c>
      <c r="OS114" s="282">
        <f t="shared" si="931"/>
        <v>0</v>
      </c>
      <c r="OT114" s="282">
        <f t="shared" si="932"/>
        <v>0</v>
      </c>
      <c r="OU114" s="282">
        <f t="shared" si="933"/>
        <v>0</v>
      </c>
      <c r="OV114" s="282">
        <f t="shared" si="934"/>
        <v>0</v>
      </c>
      <c r="OW114" s="286">
        <f t="shared" si="935"/>
        <v>0</v>
      </c>
      <c r="OX114" s="286">
        <f t="shared" si="936"/>
        <v>0</v>
      </c>
      <c r="OY114" s="286">
        <f t="shared" si="937"/>
        <v>0</v>
      </c>
      <c r="OZ114" s="286">
        <f t="shared" si="938"/>
        <v>0</v>
      </c>
      <c r="PA114" s="286">
        <f t="shared" si="939"/>
        <v>0</v>
      </c>
      <c r="PB114" s="286">
        <f t="shared" si="940"/>
        <v>0</v>
      </c>
      <c r="PC114" s="286">
        <f t="shared" si="941"/>
        <v>0</v>
      </c>
      <c r="PD114" s="282">
        <f t="shared" si="942"/>
        <v>0</v>
      </c>
      <c r="PE114" s="282">
        <f t="shared" si="943"/>
        <v>0</v>
      </c>
      <c r="PF114" s="286">
        <f t="shared" si="944"/>
        <v>0</v>
      </c>
      <c r="PG114" s="286">
        <f t="shared" si="945"/>
        <v>0</v>
      </c>
      <c r="PH114" s="286">
        <f t="shared" si="946"/>
        <v>0</v>
      </c>
      <c r="PI114" s="286">
        <f t="shared" si="947"/>
        <v>0</v>
      </c>
      <c r="PJ114" s="286">
        <f t="shared" si="948"/>
        <v>0</v>
      </c>
      <c r="PK114" s="286">
        <f t="shared" si="949"/>
        <v>0</v>
      </c>
      <c r="PL114" s="286">
        <f t="shared" si="950"/>
        <v>0</v>
      </c>
      <c r="PM114" s="562">
        <v>58</v>
      </c>
    </row>
    <row r="115" spans="1:431" s="1526" customFormat="1" ht="15.75" customHeight="1">
      <c r="A115" s="1935" t="s">
        <v>1313</v>
      </c>
      <c r="B115" s="1040" t="str">
        <f>VLOOKUP(A115,'Area (&amp;golfacre for lookup)'!$A$2:$B$162,2,FALSE)</f>
        <v>North&amp;Central</v>
      </c>
      <c r="C115" s="1936"/>
      <c r="D115" s="1937">
        <v>44834</v>
      </c>
      <c r="E115" s="402"/>
      <c r="F115" s="1936">
        <v>1</v>
      </c>
      <c r="G115" s="1936">
        <v>0</v>
      </c>
      <c r="H115" s="1936">
        <v>423</v>
      </c>
      <c r="I115" s="1936">
        <v>28</v>
      </c>
      <c r="J115" s="1936">
        <v>451</v>
      </c>
      <c r="K115" s="1938">
        <v>410.89418604651161</v>
      </c>
      <c r="L115" s="1939" t="s">
        <v>1208</v>
      </c>
      <c r="M115" s="1939" t="s">
        <v>1208</v>
      </c>
      <c r="N115" s="1939" t="s">
        <v>1208</v>
      </c>
      <c r="O115" s="1939" t="s">
        <v>1208</v>
      </c>
      <c r="P115" s="1939" t="s">
        <v>1208</v>
      </c>
      <c r="Q115" s="1936">
        <v>0</v>
      </c>
      <c r="R115" s="1936">
        <v>250000</v>
      </c>
      <c r="S115" s="1936">
        <v>250000</v>
      </c>
      <c r="T115" s="1939" t="s">
        <v>1208</v>
      </c>
      <c r="U115" s="1939" t="s">
        <v>1208</v>
      </c>
      <c r="V115" s="1939" t="s">
        <v>1208</v>
      </c>
      <c r="W115" s="1936">
        <v>23175</v>
      </c>
      <c r="X115" s="1936">
        <v>21500</v>
      </c>
      <c r="Y115" s="1939" t="s">
        <v>1208</v>
      </c>
      <c r="Z115" s="1939" t="s">
        <v>1208</v>
      </c>
      <c r="AA115" s="1936">
        <v>1675</v>
      </c>
      <c r="AB115" s="1362">
        <v>7.7906976744186049E-2</v>
      </c>
      <c r="AC115" s="1939" t="s">
        <v>1208</v>
      </c>
      <c r="AD115" s="1363" t="s">
        <v>1208</v>
      </c>
      <c r="AE115" s="1936">
        <v>0</v>
      </c>
      <c r="AF115" s="1936">
        <v>0</v>
      </c>
      <c r="AG115" s="1939" t="s">
        <v>1208</v>
      </c>
      <c r="AH115" s="1936">
        <v>0</v>
      </c>
      <c r="AI115" s="1936">
        <v>0</v>
      </c>
      <c r="AJ115" s="1939" t="s">
        <v>1208</v>
      </c>
      <c r="AK115" s="1938">
        <v>0</v>
      </c>
      <c r="AL115" s="1938">
        <v>0</v>
      </c>
      <c r="AM115" s="1936">
        <v>21500</v>
      </c>
      <c r="AN115" s="1939" t="s">
        <v>1208</v>
      </c>
      <c r="AO115" s="1936">
        <v>0</v>
      </c>
      <c r="AP115" s="1936">
        <v>0</v>
      </c>
      <c r="AQ115" s="1936">
        <v>21500</v>
      </c>
      <c r="AR115" s="1939" t="s">
        <v>1208</v>
      </c>
      <c r="AS115" s="1363" t="s">
        <v>1208</v>
      </c>
      <c r="AT115" s="1363" t="s">
        <v>1208</v>
      </c>
      <c r="AU115" s="1363" t="s">
        <v>1208</v>
      </c>
      <c r="AV115" s="1363" t="s">
        <v>1208</v>
      </c>
      <c r="AW115" s="1363" t="s">
        <v>1291</v>
      </c>
      <c r="AX115" s="1938">
        <v>1</v>
      </c>
      <c r="AY115" s="1938">
        <v>1</v>
      </c>
      <c r="AZ115" s="1938">
        <v>0</v>
      </c>
      <c r="BA115" s="1938">
        <v>0</v>
      </c>
      <c r="BB115" s="1938">
        <v>0</v>
      </c>
      <c r="BC115" s="1938">
        <v>0</v>
      </c>
      <c r="BD115" s="1938">
        <v>0</v>
      </c>
      <c r="BE115" s="1936">
        <v>0</v>
      </c>
      <c r="BF115" s="1936">
        <v>0</v>
      </c>
      <c r="BG115" s="1936">
        <v>3095000</v>
      </c>
      <c r="BH115" s="1936">
        <v>3095000</v>
      </c>
      <c r="BI115" s="1938">
        <v>39847855</v>
      </c>
      <c r="BJ115" s="1936">
        <v>6713306</v>
      </c>
      <c r="BK115" s="1936">
        <v>2745927</v>
      </c>
      <c r="BL115" s="1362">
        <v>2.4448231872151007</v>
      </c>
      <c r="BM115" s="1936">
        <v>1</v>
      </c>
      <c r="BN115" s="1936">
        <v>6837</v>
      </c>
      <c r="BO115" s="1363" t="s">
        <v>1208</v>
      </c>
      <c r="BP115" s="1938">
        <v>6098711</v>
      </c>
      <c r="BQ115" s="1938">
        <v>8912989</v>
      </c>
      <c r="BR115" s="1940">
        <v>0.68424980665857438</v>
      </c>
      <c r="BS115" s="1409">
        <v>0</v>
      </c>
      <c r="BT115" s="1938">
        <v>8595325</v>
      </c>
      <c r="BU115" s="1938">
        <v>33461815</v>
      </c>
      <c r="BV115" s="1940">
        <v>0.25686965874385476</v>
      </c>
      <c r="BW115" s="1936">
        <v>16.639320370490903</v>
      </c>
      <c r="BX115" s="1936">
        <v>16338.284229799445</v>
      </c>
      <c r="BY115" s="1936">
        <v>7532.3528662672734</v>
      </c>
      <c r="BZ115" s="1936">
        <v>2142748</v>
      </c>
      <c r="CA115" s="1936">
        <v>0</v>
      </c>
      <c r="CB115" s="1936">
        <v>1406084</v>
      </c>
      <c r="CC115" s="1936">
        <v>225906</v>
      </c>
      <c r="CD115" s="1936">
        <v>8834225</v>
      </c>
      <c r="CE115" s="1936">
        <v>0</v>
      </c>
      <c r="CF115" s="1936">
        <v>70000</v>
      </c>
      <c r="CG115" s="1936">
        <v>1209198</v>
      </c>
      <c r="CH115" s="1936">
        <v>760237</v>
      </c>
      <c r="CI115" s="1936">
        <v>24624</v>
      </c>
      <c r="CJ115" s="1936">
        <v>14673022</v>
      </c>
      <c r="CK115" s="1366">
        <v>0.14603317571526847</v>
      </c>
      <c r="CL115" s="1366">
        <v>0</v>
      </c>
      <c r="CM115" s="1366">
        <v>9.5827839691101119E-2</v>
      </c>
      <c r="CN115" s="1366">
        <v>1.5396010446927701E-2</v>
      </c>
      <c r="CO115" s="1366">
        <v>0.60207263370831177</v>
      </c>
      <c r="CP115" s="1366">
        <v>0</v>
      </c>
      <c r="CQ115" s="1366">
        <v>4.7706600589844409E-3</v>
      </c>
      <c r="CR115" s="1366">
        <v>8.2409608600055265E-2</v>
      </c>
      <c r="CS115" s="1366">
        <v>5.1811889875173635E-2</v>
      </c>
      <c r="CT115" s="1366">
        <v>1.6781819041776125E-3</v>
      </c>
      <c r="CU115" s="1366">
        <v>1</v>
      </c>
      <c r="CV115" s="1936">
        <v>7483417</v>
      </c>
      <c r="CW115" s="1936">
        <v>1016615</v>
      </c>
      <c r="CX115" s="1936">
        <v>973175</v>
      </c>
      <c r="CY115" s="1936">
        <v>4593990</v>
      </c>
      <c r="CZ115" s="1936">
        <v>234688</v>
      </c>
      <c r="DA115" s="1936">
        <v>448113</v>
      </c>
      <c r="DB115" s="1936">
        <v>14749998</v>
      </c>
      <c r="DC115" s="1366">
        <v>0.50735037387801685</v>
      </c>
      <c r="DD115" s="1366">
        <v>6.8923060192957311E-2</v>
      </c>
      <c r="DE115" s="1366">
        <v>6.5977975047861029E-2</v>
      </c>
      <c r="DF115" s="1366">
        <v>0.31145699138399885</v>
      </c>
      <c r="DG115" s="1366">
        <v>1.5911053004888542E-2</v>
      </c>
      <c r="DH115" s="1366">
        <v>3.0380546492277491E-2</v>
      </c>
      <c r="DI115" s="1366">
        <v>1</v>
      </c>
      <c r="DJ115" s="1936">
        <v>-76976</v>
      </c>
      <c r="DK115" s="1936">
        <v>5214.8413697862579</v>
      </c>
      <c r="DL115" s="1936">
        <v>0</v>
      </c>
      <c r="DM115" s="1936">
        <v>3422.0099669184337</v>
      </c>
      <c r="DN115" s="1936">
        <v>549.79118145621158</v>
      </c>
      <c r="DO115" s="1936">
        <v>21500</v>
      </c>
      <c r="DP115" s="1936">
        <v>0</v>
      </c>
      <c r="DQ115" s="1936">
        <v>170.36016175725658</v>
      </c>
      <c r="DR115" s="1936">
        <v>2942.8452410935879</v>
      </c>
      <c r="DS115" s="1936">
        <v>1850.2014041978782</v>
      </c>
      <c r="DT115" s="1936">
        <v>59.927837473009802</v>
      </c>
      <c r="DU115" s="1936">
        <v>35709.977162682633</v>
      </c>
      <c r="DV115" s="1936">
        <v>18212.516151671483</v>
      </c>
      <c r="DW115" s="1936">
        <v>2474.1527977836199</v>
      </c>
      <c r="DX115" s="1936">
        <v>2368.4321488302598</v>
      </c>
      <c r="DY115" s="1936">
        <v>11180.469707303131</v>
      </c>
      <c r="DZ115" s="1936">
        <v>571.16408060695767</v>
      </c>
      <c r="EA115" s="1936">
        <v>1090.5800452218502</v>
      </c>
      <c r="EB115" s="1936">
        <v>35897.314931417299</v>
      </c>
      <c r="EC115" s="1936">
        <v>-187.33776873466547</v>
      </c>
      <c r="ED115" s="1941">
        <v>150</v>
      </c>
      <c r="EE115" s="1936">
        <v>1</v>
      </c>
      <c r="EF115" s="1936">
        <v>19</v>
      </c>
      <c r="EG115" s="1938">
        <v>311828</v>
      </c>
      <c r="EH115" s="1938">
        <v>1</v>
      </c>
      <c r="EI115" s="1368">
        <v>0.06</v>
      </c>
      <c r="EJ115" s="1936">
        <v>2.7392945736434107</v>
      </c>
      <c r="EK115" s="1936">
        <v>0</v>
      </c>
      <c r="EL115" s="1936">
        <v>0</v>
      </c>
      <c r="EM115" s="1936">
        <v>0</v>
      </c>
      <c r="EN115" s="1362">
        <v>0</v>
      </c>
      <c r="EO115" s="1936">
        <v>0</v>
      </c>
      <c r="EP115" s="1936">
        <v>0</v>
      </c>
      <c r="EQ115" s="1936">
        <v>0</v>
      </c>
      <c r="ER115" s="1938">
        <v>1</v>
      </c>
      <c r="ES115" s="1936">
        <v>4793.0466452914661</v>
      </c>
      <c r="ET115" s="1936">
        <v>-2261.1125480729775</v>
      </c>
      <c r="EU115" s="1938">
        <v>1</v>
      </c>
      <c r="EV115" s="1936">
        <v>34540</v>
      </c>
      <c r="EW115" s="1936">
        <v>6919</v>
      </c>
      <c r="EX115" s="1938">
        <v>0</v>
      </c>
      <c r="EY115" s="1936">
        <v>1209198</v>
      </c>
      <c r="EZ115" s="1936">
        <v>713403</v>
      </c>
      <c r="FA115" s="1936">
        <v>495795</v>
      </c>
      <c r="FB115" s="1936">
        <v>760237</v>
      </c>
      <c r="FC115" s="1936">
        <v>303212</v>
      </c>
      <c r="FD115" s="1936">
        <v>457025</v>
      </c>
      <c r="FE115" s="1936">
        <v>1969435</v>
      </c>
      <c r="FF115" s="1936">
        <v>1016615</v>
      </c>
      <c r="FG115" s="1936">
        <v>952820</v>
      </c>
      <c r="FH115" s="1366">
        <v>1</v>
      </c>
      <c r="FI115" s="1366">
        <v>0.58998030099288945</v>
      </c>
      <c r="FJ115" s="1366">
        <v>0.41001969900711049</v>
      </c>
      <c r="FK115" s="1366">
        <v>1</v>
      </c>
      <c r="FL115" s="1366">
        <v>0.39883878316893284</v>
      </c>
      <c r="FM115" s="1366">
        <v>0.60116121683106716</v>
      </c>
      <c r="FN115" s="1366">
        <v>1</v>
      </c>
      <c r="FO115" s="1366">
        <v>0.51619626948845732</v>
      </c>
      <c r="FP115" s="1366">
        <v>0.48380373051154263</v>
      </c>
      <c r="FQ115" s="1936">
        <v>976084</v>
      </c>
      <c r="FR115" s="1936">
        <v>0</v>
      </c>
      <c r="FS115" s="1936">
        <v>210722</v>
      </c>
      <c r="FT115" s="1936">
        <v>24180</v>
      </c>
      <c r="FU115" s="1936">
        <v>15333</v>
      </c>
      <c r="FV115" s="1936">
        <v>9617</v>
      </c>
      <c r="FW115" s="1936">
        <v>645962</v>
      </c>
      <c r="FX115" s="1936">
        <v>1881898</v>
      </c>
      <c r="FY115" s="1936">
        <v>-929078</v>
      </c>
      <c r="FZ115" s="1366">
        <v>0.49561625542350979</v>
      </c>
      <c r="GA115" s="1366">
        <v>0</v>
      </c>
      <c r="GB115" s="1366">
        <v>0.10699616895200909</v>
      </c>
      <c r="GC115" s="1366">
        <v>1.2277632925179048E-2</v>
      </c>
      <c r="GD115" s="1366">
        <v>7.7854816229019994E-3</v>
      </c>
      <c r="GE115" s="1366">
        <v>4.8831263788853144E-3</v>
      </c>
      <c r="GF115" s="1366">
        <v>0.32799356160523196</v>
      </c>
      <c r="GG115" s="1366">
        <v>0.95555222690771724</v>
      </c>
      <c r="GH115" s="1366">
        <v>-0.47174849639617455</v>
      </c>
      <c r="GI115" s="1942">
        <v>1.5905539982926378</v>
      </c>
      <c r="GJ115" s="1943">
        <v>1</v>
      </c>
      <c r="GK115" s="1371">
        <v>0.15</v>
      </c>
      <c r="GL115" s="1943">
        <v>0</v>
      </c>
      <c r="GM115" s="1371">
        <v>0</v>
      </c>
      <c r="GN115" s="1943">
        <v>0</v>
      </c>
      <c r="GO115" s="1985">
        <f>IF(GN115=0,0,VLOOKUP(A115,'Area (&amp;golfacre for lookup)'!$G$2:$H$133,2,FALSE))</f>
        <v>0</v>
      </c>
      <c r="GP115" s="1943">
        <v>0</v>
      </c>
      <c r="GQ115" s="1943">
        <v>0</v>
      </c>
      <c r="GR115" s="1943">
        <v>0</v>
      </c>
      <c r="GS115" s="1943">
        <v>0</v>
      </c>
      <c r="GT115" s="1943">
        <v>0</v>
      </c>
      <c r="GU115" s="1943">
        <v>0</v>
      </c>
      <c r="GV115" s="1943">
        <v>0</v>
      </c>
      <c r="GW115" s="1943">
        <v>0</v>
      </c>
      <c r="GX115" s="1936">
        <v>0</v>
      </c>
      <c r="GY115" s="1985">
        <f t="shared" si="764"/>
        <v>0</v>
      </c>
      <c r="GZ115" s="1936">
        <v>0</v>
      </c>
      <c r="HA115" s="1936">
        <v>0</v>
      </c>
      <c r="HB115" s="1936">
        <v>0</v>
      </c>
      <c r="HC115" s="1936">
        <v>0</v>
      </c>
      <c r="HD115" s="1936">
        <v>0</v>
      </c>
      <c r="HE115" s="1936">
        <v>0</v>
      </c>
      <c r="HF115" s="1936">
        <v>0</v>
      </c>
      <c r="HG115" s="1936">
        <v>36</v>
      </c>
      <c r="HH115" s="1988">
        <f>IF(HG115=0,0,VLOOKUP(A115,'Area (&amp;golfacre for lookup)'!$G$2:$H$134,2,FALSE))</f>
        <v>123</v>
      </c>
      <c r="HI115" s="1936">
        <v>36851</v>
      </c>
      <c r="HJ115" s="1936">
        <v>2337532</v>
      </c>
      <c r="HK115" s="1936">
        <v>407669</v>
      </c>
      <c r="HL115" s="1936">
        <v>1184878</v>
      </c>
      <c r="HM115" s="1936">
        <v>349318</v>
      </c>
      <c r="HN115" s="1936">
        <v>11072</v>
      </c>
      <c r="HO115" s="1936">
        <v>275467</v>
      </c>
      <c r="HP115" s="1936">
        <v>4565936</v>
      </c>
      <c r="HQ115" s="1936">
        <v>126831.55555555556</v>
      </c>
      <c r="HR115" s="1988">
        <f t="shared" si="765"/>
        <v>37121.430894308942</v>
      </c>
      <c r="HS115" s="1366">
        <v>0.51195023320519606</v>
      </c>
      <c r="HT115" s="1366">
        <v>8.9284869520729157E-2</v>
      </c>
      <c r="HU115" s="1366">
        <v>0.2595038563834447</v>
      </c>
      <c r="HV115" s="1366">
        <v>7.6505233538096018E-2</v>
      </c>
      <c r="HW115" s="1366">
        <v>2.424913533610633E-3</v>
      </c>
      <c r="HX115" s="1366">
        <v>6.0330893818923439E-2</v>
      </c>
      <c r="HY115" s="1366">
        <v>1</v>
      </c>
      <c r="HZ115" s="51"/>
      <c r="IA115" s="59">
        <f t="shared" si="767"/>
        <v>0</v>
      </c>
      <c r="IB115" s="59"/>
      <c r="IC115" s="815">
        <f t="shared" si="768"/>
        <v>1</v>
      </c>
      <c r="ID115" s="815"/>
      <c r="IE115" s="284">
        <f t="shared" si="769"/>
        <v>0</v>
      </c>
      <c r="IF115" s="284"/>
      <c r="IG115" s="284">
        <f t="shared" si="770"/>
        <v>96978.386049710083</v>
      </c>
      <c r="IH115" s="284"/>
      <c r="II115" s="1288">
        <f t="shared" si="771"/>
        <v>0</v>
      </c>
      <c r="IJ115" s="1288">
        <f t="shared" si="772"/>
        <v>0.68424980665857438</v>
      </c>
      <c r="IK115" s="284">
        <f t="shared" si="773"/>
        <v>1</v>
      </c>
      <c r="IL115" s="284">
        <f t="shared" si="774"/>
        <v>0</v>
      </c>
      <c r="IM115" s="284">
        <f t="shared" si="775"/>
        <v>0</v>
      </c>
      <c r="IN115" s="284">
        <f t="shared" si="776"/>
        <v>0</v>
      </c>
      <c r="IO115" s="753">
        <f t="shared" si="777"/>
        <v>-2060.039911308204</v>
      </c>
      <c r="IP115" s="113">
        <f t="shared" si="778"/>
        <v>-2261.1125480729775</v>
      </c>
      <c r="IQ115" s="30">
        <f t="shared" si="779"/>
        <v>-0.1051680254917664</v>
      </c>
      <c r="IR115" s="438">
        <f t="shared" si="780"/>
        <v>1209198</v>
      </c>
      <c r="IS115" s="438">
        <f t="shared" si="781"/>
        <v>760237</v>
      </c>
      <c r="IT115" s="438">
        <f t="shared" si="782"/>
        <v>976084</v>
      </c>
      <c r="IU115" s="438">
        <f t="shared" si="783"/>
        <v>234902</v>
      </c>
      <c r="IV115" s="438">
        <f t="shared" si="784"/>
        <v>1016615</v>
      </c>
      <c r="IW115" s="438">
        <f t="shared" si="785"/>
        <v>670912</v>
      </c>
      <c r="IX115" s="285">
        <f t="shared" si="786"/>
        <v>0.61398218270722316</v>
      </c>
      <c r="IY115" s="285">
        <f t="shared" si="787"/>
        <v>0.38601781729277684</v>
      </c>
      <c r="IZ115" s="285">
        <f t="shared" si="788"/>
        <v>0.49561625542350979</v>
      </c>
      <c r="JA115" s="285">
        <f t="shared" si="789"/>
        <v>0.11927380187718813</v>
      </c>
      <c r="JB115" s="285">
        <f t="shared" si="790"/>
        <v>0.51619626948845732</v>
      </c>
      <c r="JC115" s="285">
        <f t="shared" si="791"/>
        <v>0.34066216960701928</v>
      </c>
      <c r="JD115" s="60">
        <f t="shared" si="792"/>
        <v>8904225</v>
      </c>
      <c r="JE115" s="60">
        <f t="shared" si="793"/>
        <v>3774738</v>
      </c>
      <c r="JF115" s="60">
        <f t="shared" si="794"/>
        <v>0</v>
      </c>
      <c r="JG115" s="60">
        <f t="shared" si="795"/>
        <v>682801</v>
      </c>
      <c r="JH115" s="284">
        <f t="shared" si="796"/>
        <v>0</v>
      </c>
      <c r="JI115" s="284">
        <f t="shared" si="797"/>
        <v>1</v>
      </c>
      <c r="JJ115" s="560">
        <f t="shared" si="798"/>
        <v>0.69211725615254849</v>
      </c>
      <c r="JK115" s="561">
        <f t="shared" si="799"/>
        <v>0.51001197980893098</v>
      </c>
      <c r="JL115" s="561">
        <f t="shared" si="800"/>
        <v>6.928463679806382E-2</v>
      </c>
      <c r="JM115" s="561">
        <f t="shared" si="801"/>
        <v>6.6324101470031191E-2</v>
      </c>
      <c r="JN115" s="561">
        <f t="shared" si="802"/>
        <v>0.31309092291962759</v>
      </c>
      <c r="JO115" s="561">
        <f t="shared" si="803"/>
        <v>1.5994523827470578E-2</v>
      </c>
      <c r="JP115" s="561">
        <f t="shared" si="804"/>
        <v>3.0539925585881353E-2</v>
      </c>
      <c r="JQ115" s="561">
        <f t="shared" si="805"/>
        <v>1.0052460904100056</v>
      </c>
      <c r="JR115" s="61">
        <f t="shared" si="806"/>
        <v>0</v>
      </c>
      <c r="JS115" s="61">
        <f t="shared" si="807"/>
        <v>0</v>
      </c>
      <c r="JT115" s="61">
        <f t="shared" si="808"/>
        <v>0</v>
      </c>
      <c r="JU115" s="61">
        <f t="shared" si="809"/>
        <v>0</v>
      </c>
      <c r="JV115" s="61">
        <f t="shared" si="810"/>
        <v>0</v>
      </c>
      <c r="JW115" s="61">
        <f t="shared" si="811"/>
        <v>0</v>
      </c>
      <c r="JX115" s="61">
        <f t="shared" si="812"/>
        <v>0</v>
      </c>
      <c r="JY115" s="394">
        <f t="shared" si="813"/>
        <v>0</v>
      </c>
      <c r="JZ115" s="61">
        <f t="shared" si="814"/>
        <v>64931.444444444445</v>
      </c>
      <c r="KA115" s="61">
        <f t="shared" si="815"/>
        <v>11324.138888888889</v>
      </c>
      <c r="KB115" s="61">
        <f t="shared" si="816"/>
        <v>32913.277777777781</v>
      </c>
      <c r="KC115" s="61">
        <f t="shared" si="817"/>
        <v>9703.2777777777774</v>
      </c>
      <c r="KD115" s="61">
        <f t="shared" si="818"/>
        <v>307.55555555555554</v>
      </c>
      <c r="KE115" s="61">
        <f t="shared" si="819"/>
        <v>7651.8611111111113</v>
      </c>
      <c r="KF115" s="61">
        <f t="shared" si="820"/>
        <v>18400</v>
      </c>
      <c r="KG115" s="61">
        <f t="shared" si="821"/>
        <v>123</v>
      </c>
      <c r="KH115" s="61">
        <f t="shared" si="822"/>
        <v>123.90263493527991</v>
      </c>
      <c r="KI115" s="394">
        <f t="shared" si="823"/>
        <v>0.30955502502441018</v>
      </c>
      <c r="KJ115" s="438">
        <f t="shared" si="824"/>
        <v>36</v>
      </c>
      <c r="KK115" s="438">
        <f t="shared" si="825"/>
        <v>36851</v>
      </c>
      <c r="KL115" s="438">
        <f t="shared" si="826"/>
        <v>123</v>
      </c>
      <c r="KM115" s="438">
        <f t="shared" si="827"/>
        <v>126831.55555555556</v>
      </c>
      <c r="KN115" s="438">
        <f t="shared" si="828"/>
        <v>123.90263493527991</v>
      </c>
      <c r="KO115" s="438">
        <f t="shared" si="829"/>
        <v>37121.430894308942</v>
      </c>
      <c r="KP115" s="438">
        <f t="shared" si="830"/>
        <v>2337532</v>
      </c>
      <c r="KQ115" s="438">
        <f t="shared" si="831"/>
        <v>407669</v>
      </c>
      <c r="KR115" s="438">
        <f t="shared" si="832"/>
        <v>1184878</v>
      </c>
      <c r="KS115" s="438">
        <f t="shared" si="833"/>
        <v>349318</v>
      </c>
      <c r="KT115" s="438">
        <f t="shared" si="834"/>
        <v>11072</v>
      </c>
      <c r="KU115" s="438">
        <f t="shared" si="835"/>
        <v>275467</v>
      </c>
      <c r="KV115" s="420">
        <f t="shared" si="836"/>
        <v>0.30955502502441018</v>
      </c>
      <c r="KW115" s="420">
        <f t="shared" si="837"/>
        <v>-0.4856644470793986</v>
      </c>
      <c r="KX115" s="108"/>
      <c r="KY115" s="282">
        <f t="shared" si="838"/>
        <v>0</v>
      </c>
      <c r="KZ115" s="282"/>
      <c r="LA115" s="282">
        <f t="shared" si="839"/>
        <v>0</v>
      </c>
      <c r="LB115" s="282"/>
      <c r="LC115" s="286">
        <f t="shared" si="951"/>
        <v>0</v>
      </c>
      <c r="LD115" s="286"/>
      <c r="LE115" s="282">
        <f t="shared" si="841"/>
        <v>0</v>
      </c>
      <c r="LF115" s="282"/>
      <c r="LG115" s="282">
        <f t="shared" si="842"/>
        <v>0</v>
      </c>
      <c r="LH115" s="282">
        <f t="shared" si="843"/>
        <v>0</v>
      </c>
      <c r="LI115" s="282">
        <f t="shared" si="844"/>
        <v>0</v>
      </c>
      <c r="LJ115" s="282">
        <f t="shared" si="845"/>
        <v>0</v>
      </c>
      <c r="LK115" s="282"/>
      <c r="LL115" s="282">
        <f t="shared" si="846"/>
        <v>0</v>
      </c>
      <c r="LM115" s="282">
        <f t="shared" si="847"/>
        <v>0</v>
      </c>
      <c r="LN115" s="282">
        <f t="shared" si="848"/>
        <v>0</v>
      </c>
      <c r="LO115" s="282">
        <f t="shared" si="849"/>
        <v>0</v>
      </c>
      <c r="LP115" s="286">
        <f t="shared" si="850"/>
        <v>0</v>
      </c>
      <c r="LQ115" s="282">
        <f t="shared" si="851"/>
        <v>0</v>
      </c>
      <c r="LR115" s="282">
        <f t="shared" si="852"/>
        <v>0</v>
      </c>
      <c r="LS115" s="282">
        <f t="shared" si="853"/>
        <v>0</v>
      </c>
      <c r="LT115" s="286">
        <f t="shared" si="854"/>
        <v>0</v>
      </c>
      <c r="LU115" s="286">
        <f t="shared" si="855"/>
        <v>0</v>
      </c>
      <c r="LV115" s="286">
        <f t="shared" si="856"/>
        <v>0</v>
      </c>
      <c r="LW115" s="286">
        <f t="shared" si="857"/>
        <v>0</v>
      </c>
      <c r="LX115" s="286">
        <f t="shared" si="858"/>
        <v>0</v>
      </c>
      <c r="LY115" s="286">
        <f t="shared" si="859"/>
        <v>0</v>
      </c>
      <c r="LZ115" s="286">
        <f t="shared" si="860"/>
        <v>0</v>
      </c>
      <c r="MA115" s="286">
        <f t="shared" si="861"/>
        <v>0</v>
      </c>
      <c r="MB115" s="286">
        <f t="shared" si="862"/>
        <v>0</v>
      </c>
      <c r="MC115" s="286">
        <f t="shared" si="863"/>
        <v>0</v>
      </c>
      <c r="MD115" s="286">
        <f t="shared" si="864"/>
        <v>0</v>
      </c>
      <c r="ME115" s="286">
        <f t="shared" si="865"/>
        <v>0</v>
      </c>
      <c r="MF115" s="286">
        <f t="shared" si="866"/>
        <v>0</v>
      </c>
      <c r="MG115" s="286">
        <f t="shared" si="867"/>
        <v>0</v>
      </c>
      <c r="MH115" s="286">
        <f t="shared" si="868"/>
        <v>0</v>
      </c>
      <c r="MI115" s="286">
        <f t="shared" si="869"/>
        <v>0</v>
      </c>
      <c r="MJ115" s="286">
        <f t="shared" si="870"/>
        <v>0</v>
      </c>
      <c r="MK115" s="286">
        <f t="shared" si="871"/>
        <v>0</v>
      </c>
      <c r="ML115" s="282">
        <f t="shared" si="872"/>
        <v>0</v>
      </c>
      <c r="MM115" s="1232">
        <f t="shared" si="873"/>
        <v>0</v>
      </c>
      <c r="MN115" s="1232">
        <f t="shared" si="874"/>
        <v>0</v>
      </c>
      <c r="MO115" s="1232">
        <f t="shared" si="875"/>
        <v>0</v>
      </c>
      <c r="MP115" s="1232">
        <f t="shared" si="876"/>
        <v>0</v>
      </c>
      <c r="MQ115" s="282">
        <f t="shared" si="877"/>
        <v>0</v>
      </c>
      <c r="MR115" s="282">
        <f t="shared" si="878"/>
        <v>0</v>
      </c>
      <c r="MS115" s="282">
        <f t="shared" si="879"/>
        <v>0</v>
      </c>
      <c r="MT115" s="282">
        <f t="shared" si="880"/>
        <v>0</v>
      </c>
      <c r="MU115" s="282">
        <f t="shared" si="881"/>
        <v>0</v>
      </c>
      <c r="MV115" s="282">
        <f t="shared" si="882"/>
        <v>0</v>
      </c>
      <c r="MW115" s="282">
        <f t="shared" si="883"/>
        <v>0</v>
      </c>
      <c r="MX115" s="282">
        <f t="shared" si="884"/>
        <v>0</v>
      </c>
      <c r="MY115" s="282">
        <f t="shared" si="885"/>
        <v>0</v>
      </c>
      <c r="MZ115" s="282">
        <f t="shared" si="886"/>
        <v>0</v>
      </c>
      <c r="NA115" s="282">
        <f t="shared" si="887"/>
        <v>0</v>
      </c>
      <c r="NB115" s="282">
        <f t="shared" si="888"/>
        <v>0</v>
      </c>
      <c r="NC115" s="282">
        <f t="shared" si="889"/>
        <v>0</v>
      </c>
      <c r="ND115" s="282">
        <f t="shared" si="890"/>
        <v>0</v>
      </c>
      <c r="NE115" s="282">
        <f t="shared" si="891"/>
        <v>0</v>
      </c>
      <c r="NF115" s="282">
        <f t="shared" si="892"/>
        <v>0</v>
      </c>
      <c r="NG115" s="282">
        <f t="shared" si="893"/>
        <v>0</v>
      </c>
      <c r="NH115" s="282">
        <f t="shared" si="894"/>
        <v>0</v>
      </c>
      <c r="NI115" s="282">
        <f t="shared" si="895"/>
        <v>0</v>
      </c>
      <c r="NJ115" s="282">
        <f t="shared" si="896"/>
        <v>0</v>
      </c>
      <c r="NK115" s="282">
        <f t="shared" si="897"/>
        <v>0</v>
      </c>
      <c r="NL115" s="282">
        <f t="shared" si="898"/>
        <v>0</v>
      </c>
      <c r="NM115" s="1205">
        <f t="shared" si="899"/>
        <v>0</v>
      </c>
      <c r="NN115" s="282">
        <f t="shared" si="900"/>
        <v>0</v>
      </c>
      <c r="NO115" s="282">
        <f t="shared" si="901"/>
        <v>0</v>
      </c>
      <c r="NP115" s="282">
        <f t="shared" si="902"/>
        <v>0</v>
      </c>
      <c r="NQ115" s="282">
        <f t="shared" si="903"/>
        <v>0</v>
      </c>
      <c r="NR115" s="282">
        <f t="shared" si="904"/>
        <v>0</v>
      </c>
      <c r="NS115" s="282">
        <f t="shared" si="905"/>
        <v>0</v>
      </c>
      <c r="NT115" s="282">
        <f t="shared" si="906"/>
        <v>0</v>
      </c>
      <c r="NU115" s="282">
        <f t="shared" si="907"/>
        <v>0</v>
      </c>
      <c r="NV115" s="286">
        <f t="shared" si="908"/>
        <v>0</v>
      </c>
      <c r="NW115" s="286">
        <f t="shared" si="909"/>
        <v>0</v>
      </c>
      <c r="NX115" s="286">
        <f t="shared" si="910"/>
        <v>0</v>
      </c>
      <c r="NY115" s="286">
        <f t="shared" si="911"/>
        <v>0</v>
      </c>
      <c r="NZ115" s="286">
        <f t="shared" si="912"/>
        <v>0</v>
      </c>
      <c r="OA115" s="286">
        <f t="shared" si="913"/>
        <v>0</v>
      </c>
      <c r="OB115" s="286">
        <f t="shared" si="914"/>
        <v>0</v>
      </c>
      <c r="OC115" s="286">
        <f t="shared" si="915"/>
        <v>0</v>
      </c>
      <c r="OD115" s="286">
        <f t="shared" si="916"/>
        <v>0</v>
      </c>
      <c r="OE115" s="282">
        <f t="shared" si="917"/>
        <v>0</v>
      </c>
      <c r="OF115" s="282">
        <f t="shared" si="918"/>
        <v>0</v>
      </c>
      <c r="OG115" s="286">
        <f t="shared" si="919"/>
        <v>0</v>
      </c>
      <c r="OH115" s="286">
        <f t="shared" si="920"/>
        <v>0</v>
      </c>
      <c r="OI115" s="286">
        <f t="shared" si="921"/>
        <v>0</v>
      </c>
      <c r="OJ115" s="286">
        <f t="shared" si="922"/>
        <v>0</v>
      </c>
      <c r="OK115" s="286">
        <f t="shared" si="923"/>
        <v>0</v>
      </c>
      <c r="OL115" s="286">
        <f t="shared" si="924"/>
        <v>0</v>
      </c>
      <c r="OM115" s="286">
        <f t="shared" si="925"/>
        <v>0</v>
      </c>
      <c r="ON115" s="286">
        <f t="shared" si="926"/>
        <v>0</v>
      </c>
      <c r="OO115" s="286">
        <f t="shared" si="927"/>
        <v>0</v>
      </c>
      <c r="OP115" s="434">
        <f t="shared" si="928"/>
        <v>0</v>
      </c>
      <c r="OQ115" s="434">
        <f t="shared" si="929"/>
        <v>0</v>
      </c>
      <c r="OR115" s="282">
        <f t="shared" si="930"/>
        <v>0</v>
      </c>
      <c r="OS115" s="282">
        <f t="shared" si="931"/>
        <v>0</v>
      </c>
      <c r="OT115" s="282">
        <f t="shared" si="932"/>
        <v>0</v>
      </c>
      <c r="OU115" s="282">
        <f t="shared" si="933"/>
        <v>0</v>
      </c>
      <c r="OV115" s="282">
        <f t="shared" si="934"/>
        <v>0</v>
      </c>
      <c r="OW115" s="286">
        <f t="shared" si="935"/>
        <v>0</v>
      </c>
      <c r="OX115" s="286">
        <f t="shared" si="936"/>
        <v>0</v>
      </c>
      <c r="OY115" s="286">
        <f t="shared" si="937"/>
        <v>0</v>
      </c>
      <c r="OZ115" s="286">
        <f t="shared" si="938"/>
        <v>0</v>
      </c>
      <c r="PA115" s="286">
        <f t="shared" si="939"/>
        <v>0</v>
      </c>
      <c r="PB115" s="286">
        <f t="shared" si="940"/>
        <v>0</v>
      </c>
      <c r="PC115" s="286">
        <f t="shared" si="941"/>
        <v>0</v>
      </c>
      <c r="PD115" s="282">
        <f t="shared" si="942"/>
        <v>0</v>
      </c>
      <c r="PE115" s="282">
        <f t="shared" si="943"/>
        <v>0</v>
      </c>
      <c r="PF115" s="286">
        <f t="shared" si="944"/>
        <v>0</v>
      </c>
      <c r="PG115" s="286">
        <f t="shared" si="945"/>
        <v>0</v>
      </c>
      <c r="PH115" s="286">
        <f t="shared" si="946"/>
        <v>0</v>
      </c>
      <c r="PI115" s="286">
        <f t="shared" si="947"/>
        <v>0</v>
      </c>
      <c r="PJ115" s="286">
        <f t="shared" si="948"/>
        <v>0</v>
      </c>
      <c r="PK115" s="286">
        <f t="shared" si="949"/>
        <v>0</v>
      </c>
      <c r="PL115" s="286">
        <f t="shared" si="950"/>
        <v>0</v>
      </c>
      <c r="PM115" s="562">
        <v>59</v>
      </c>
    </row>
    <row r="116" spans="1:431" s="289" customFormat="1" ht="15.75" customHeight="1">
      <c r="A116" s="1935" t="s">
        <v>1623</v>
      </c>
      <c r="B116" s="1040" t="str">
        <f>VLOOKUP(A116,'Area (&amp;golfacre for lookup)'!$A$2:$B$162,2,FALSE)</f>
        <v>North&amp;Central</v>
      </c>
      <c r="C116" s="1936"/>
      <c r="D116" s="1937">
        <v>44742</v>
      </c>
      <c r="E116" s="402"/>
      <c r="F116" s="1936">
        <v>1</v>
      </c>
      <c r="G116" s="1936">
        <v>0</v>
      </c>
      <c r="H116" s="1936">
        <v>425</v>
      </c>
      <c r="I116" s="1936">
        <v>0</v>
      </c>
      <c r="J116" s="1936">
        <v>425</v>
      </c>
      <c r="K116" s="1938">
        <v>466.79734939759038</v>
      </c>
      <c r="L116" s="1939" t="s">
        <v>1208</v>
      </c>
      <c r="M116" s="1939" t="s">
        <v>1208</v>
      </c>
      <c r="N116" s="1939" t="s">
        <v>1208</v>
      </c>
      <c r="O116" s="1939" t="s">
        <v>1208</v>
      </c>
      <c r="P116" s="1939" t="s">
        <v>1208</v>
      </c>
      <c r="Q116" s="1936">
        <v>20000</v>
      </c>
      <c r="R116" s="1936">
        <v>225000</v>
      </c>
      <c r="S116" s="1936">
        <v>245000</v>
      </c>
      <c r="T116" s="1939" t="s">
        <v>1208</v>
      </c>
      <c r="U116" s="1939" t="s">
        <v>1208</v>
      </c>
      <c r="V116" s="1939" t="s">
        <v>1208</v>
      </c>
      <c r="W116" s="1936">
        <v>27157</v>
      </c>
      <c r="X116" s="1936">
        <v>20750</v>
      </c>
      <c r="Y116" s="1939" t="s">
        <v>1208</v>
      </c>
      <c r="Z116" s="1939" t="s">
        <v>1208</v>
      </c>
      <c r="AA116" s="1936">
        <v>6407</v>
      </c>
      <c r="AB116" s="1362">
        <v>0.3087710843373494</v>
      </c>
      <c r="AC116" s="1939" t="s">
        <v>1208</v>
      </c>
      <c r="AD116" s="1363" t="s">
        <v>1208</v>
      </c>
      <c r="AE116" s="1936">
        <v>1</v>
      </c>
      <c r="AF116" s="1936">
        <v>9410</v>
      </c>
      <c r="AG116" s="1939" t="s">
        <v>1208</v>
      </c>
      <c r="AH116" s="1936">
        <v>0</v>
      </c>
      <c r="AI116" s="1936">
        <v>0</v>
      </c>
      <c r="AJ116" s="1939" t="s">
        <v>1208</v>
      </c>
      <c r="AK116" s="1938">
        <v>0</v>
      </c>
      <c r="AL116" s="1938">
        <v>0</v>
      </c>
      <c r="AM116" s="1936">
        <v>30160</v>
      </c>
      <c r="AN116" s="1939" t="s">
        <v>1208</v>
      </c>
      <c r="AO116" s="1936">
        <v>1000</v>
      </c>
      <c r="AP116" s="1936">
        <v>0</v>
      </c>
      <c r="AQ116" s="1936">
        <v>31160</v>
      </c>
      <c r="AR116" s="1939" t="s">
        <v>1208</v>
      </c>
      <c r="AS116" s="1363" t="s">
        <v>1208</v>
      </c>
      <c r="AT116" s="1363" t="s">
        <v>1208</v>
      </c>
      <c r="AU116" s="1363" t="s">
        <v>1208</v>
      </c>
      <c r="AV116" s="1363" t="s">
        <v>1208</v>
      </c>
      <c r="AW116" s="1363" t="s">
        <v>1291</v>
      </c>
      <c r="AX116" s="1938">
        <v>1</v>
      </c>
      <c r="AY116" s="1938">
        <v>1</v>
      </c>
      <c r="AZ116" s="1938">
        <v>0</v>
      </c>
      <c r="BA116" s="1938">
        <v>0</v>
      </c>
      <c r="BB116" s="1938">
        <v>0</v>
      </c>
      <c r="BC116" s="1938">
        <v>0</v>
      </c>
      <c r="BD116" s="1938">
        <v>0</v>
      </c>
      <c r="BE116" s="1936">
        <v>1</v>
      </c>
      <c r="BF116" s="1936">
        <v>4000000</v>
      </c>
      <c r="BG116" s="1936">
        <v>2800000</v>
      </c>
      <c r="BH116" s="1936">
        <v>6800000</v>
      </c>
      <c r="BI116" s="1938">
        <v>56530974</v>
      </c>
      <c r="BJ116" s="1936">
        <v>6343820</v>
      </c>
      <c r="BK116" s="1936">
        <v>4609647</v>
      </c>
      <c r="BL116" s="1362">
        <v>1.3762051627814451</v>
      </c>
      <c r="BM116" s="1936">
        <v>1</v>
      </c>
      <c r="BN116" s="1936">
        <v>23145917</v>
      </c>
      <c r="BO116" s="1363" t="s">
        <v>1208</v>
      </c>
      <c r="BP116" s="1938">
        <v>16566153</v>
      </c>
      <c r="BQ116" s="1938">
        <v>4307113</v>
      </c>
      <c r="BR116" s="1940">
        <v>3.8462313387180695</v>
      </c>
      <c r="BS116" s="1409">
        <v>1</v>
      </c>
      <c r="BT116" s="1938">
        <v>25963127</v>
      </c>
      <c r="BU116" s="1938">
        <v>49482957</v>
      </c>
      <c r="BV116" s="1940">
        <v>0.52468826792222623</v>
      </c>
      <c r="BW116" s="1936">
        <v>49584.50820226418</v>
      </c>
      <c r="BX116" s="1936">
        <v>13590.094305777022</v>
      </c>
      <c r="BY116" s="1936">
        <v>14567.349212191353</v>
      </c>
      <c r="BZ116" s="1936">
        <v>987257</v>
      </c>
      <c r="CA116" s="1936">
        <v>14627</v>
      </c>
      <c r="CB116" s="1936">
        <v>723587</v>
      </c>
      <c r="CC116" s="1936">
        <v>1502022</v>
      </c>
      <c r="CD116" s="1936">
        <v>9686045</v>
      </c>
      <c r="CE116" s="1936">
        <v>0</v>
      </c>
      <c r="CF116" s="1936">
        <v>0</v>
      </c>
      <c r="CG116" s="1936">
        <v>2591372</v>
      </c>
      <c r="CH116" s="1936">
        <v>796353</v>
      </c>
      <c r="CI116" s="1936">
        <v>8943522</v>
      </c>
      <c r="CJ116" s="1936">
        <v>25244785</v>
      </c>
      <c r="CK116" s="1366">
        <v>3.9107364154616485E-2</v>
      </c>
      <c r="CL116" s="1366">
        <v>5.7940679629475949E-4</v>
      </c>
      <c r="CM116" s="1366">
        <v>2.8662830758907236E-2</v>
      </c>
      <c r="CN116" s="1366">
        <v>5.9498308264459371E-2</v>
      </c>
      <c r="CO116" s="1366">
        <v>0.38368498682005014</v>
      </c>
      <c r="CP116" s="1366">
        <v>0</v>
      </c>
      <c r="CQ116" s="1366">
        <v>0</v>
      </c>
      <c r="CR116" s="1366">
        <v>0.10264979479920308</v>
      </c>
      <c r="CS116" s="1366">
        <v>3.1545247860102592E-2</v>
      </c>
      <c r="CT116" s="1366">
        <v>0.35427206054636629</v>
      </c>
      <c r="CU116" s="1366">
        <v>1</v>
      </c>
      <c r="CV116" s="1936">
        <v>12970693</v>
      </c>
      <c r="CW116" s="1936">
        <v>1630847</v>
      </c>
      <c r="CX116" s="1936">
        <v>431514</v>
      </c>
      <c r="CY116" s="1936">
        <v>8997838</v>
      </c>
      <c r="CZ116" s="1936">
        <v>447251</v>
      </c>
      <c r="DA116" s="1936">
        <v>1546936</v>
      </c>
      <c r="DB116" s="1936">
        <v>26025079</v>
      </c>
      <c r="DC116" s="1366">
        <v>0.49839207020274556</v>
      </c>
      <c r="DD116" s="1366">
        <v>6.2664439942718336E-2</v>
      </c>
      <c r="DE116" s="1366">
        <v>1.6580698948118467E-2</v>
      </c>
      <c r="DF116" s="1366">
        <v>0.34573720218101933</v>
      </c>
      <c r="DG116" s="1366">
        <v>1.7185384912760494E-2</v>
      </c>
      <c r="DH116" s="1366">
        <v>5.9440203812637801E-2</v>
      </c>
      <c r="DI116" s="1366">
        <v>1</v>
      </c>
      <c r="DJ116" s="1936">
        <v>-780294</v>
      </c>
      <c r="DK116" s="1936">
        <v>2114.9584531147643</v>
      </c>
      <c r="DL116" s="1936">
        <v>31.334796606871016</v>
      </c>
      <c r="DM116" s="1936">
        <v>1550.1094874120447</v>
      </c>
      <c r="DN116" s="1936">
        <v>3217.7174997638353</v>
      </c>
      <c r="DO116" s="1936">
        <v>20750</v>
      </c>
      <c r="DP116" s="1936">
        <v>0</v>
      </c>
      <c r="DQ116" s="1936">
        <v>0</v>
      </c>
      <c r="DR116" s="1936">
        <v>5551.3854209845194</v>
      </c>
      <c r="DS116" s="1936">
        <v>1705.9929775259147</v>
      </c>
      <c r="DT116" s="1936">
        <v>19159.324729546475</v>
      </c>
      <c r="DU116" s="1936">
        <v>54080.823364954427</v>
      </c>
      <c r="DV116" s="1936">
        <v>27786.560949283219</v>
      </c>
      <c r="DW116" s="1936">
        <v>3493.6937883315636</v>
      </c>
      <c r="DX116" s="1936">
        <v>924.41398940434408</v>
      </c>
      <c r="DY116" s="1936">
        <v>19275.683573636092</v>
      </c>
      <c r="DZ116" s="1936">
        <v>958.12669154438163</v>
      </c>
      <c r="EA116" s="1936">
        <v>3313.9348413103594</v>
      </c>
      <c r="EB116" s="1936">
        <v>55752.413833509963</v>
      </c>
      <c r="EC116" s="1936">
        <v>-1671.5904685555352</v>
      </c>
      <c r="ED116" s="1941">
        <v>298</v>
      </c>
      <c r="EE116" s="1936">
        <v>1</v>
      </c>
      <c r="EF116" s="1936">
        <v>75</v>
      </c>
      <c r="EG116" s="1938">
        <v>75000</v>
      </c>
      <c r="EH116" s="1938">
        <v>1</v>
      </c>
      <c r="EI116" s="1368">
        <v>0.05</v>
      </c>
      <c r="EJ116" s="1936">
        <v>1.5664340583811758</v>
      </c>
      <c r="EK116" s="1936">
        <v>1</v>
      </c>
      <c r="EL116" s="1936">
        <v>1000</v>
      </c>
      <c r="EM116" s="1936">
        <v>1</v>
      </c>
      <c r="EN116" s="1362">
        <v>0.2</v>
      </c>
      <c r="EO116" s="1936">
        <v>0</v>
      </c>
      <c r="EP116" s="1936">
        <v>0</v>
      </c>
      <c r="EQ116" s="1936">
        <v>0</v>
      </c>
      <c r="ER116" s="1938">
        <v>0</v>
      </c>
      <c r="ES116" s="1936">
        <v>7257.3783985104337</v>
      </c>
      <c r="ET116" s="1936">
        <v>-5653.6546392258142</v>
      </c>
      <c r="EU116" s="1938">
        <v>4</v>
      </c>
      <c r="EV116" s="1936">
        <v>82990</v>
      </c>
      <c r="EW116" s="1936">
        <v>12455</v>
      </c>
      <c r="EX116" s="1938">
        <v>0</v>
      </c>
      <c r="EY116" s="1936">
        <v>2591372</v>
      </c>
      <c r="EZ116" s="1936">
        <v>1307200</v>
      </c>
      <c r="FA116" s="1936">
        <v>1284172</v>
      </c>
      <c r="FB116" s="1936">
        <v>796353</v>
      </c>
      <c r="FC116" s="1936">
        <v>323647</v>
      </c>
      <c r="FD116" s="1936">
        <v>472706</v>
      </c>
      <c r="FE116" s="1936">
        <v>3387725</v>
      </c>
      <c r="FF116" s="1936">
        <v>1630847</v>
      </c>
      <c r="FG116" s="1936">
        <v>1756878</v>
      </c>
      <c r="FH116" s="1366">
        <v>1</v>
      </c>
      <c r="FI116" s="1366">
        <v>0.50444320614716842</v>
      </c>
      <c r="FJ116" s="1366">
        <v>0.49555679385283163</v>
      </c>
      <c r="FK116" s="1366">
        <v>1</v>
      </c>
      <c r="FL116" s="1366">
        <v>0.4064114783268224</v>
      </c>
      <c r="FM116" s="1366">
        <v>0.59358852167317755</v>
      </c>
      <c r="FN116" s="1366">
        <v>1</v>
      </c>
      <c r="FO116" s="1366">
        <v>0.48139887387553593</v>
      </c>
      <c r="FP116" s="1366">
        <v>0.51860112612446407</v>
      </c>
      <c r="FQ116" s="1936">
        <v>2926261</v>
      </c>
      <c r="FR116" s="1936">
        <v>0</v>
      </c>
      <c r="FS116" s="1936">
        <v>477844</v>
      </c>
      <c r="FT116" s="1936">
        <v>135362</v>
      </c>
      <c r="FU116" s="1936">
        <v>0</v>
      </c>
      <c r="FV116" s="1936">
        <v>35805</v>
      </c>
      <c r="FW116" s="1936">
        <v>820717</v>
      </c>
      <c r="FX116" s="1936">
        <v>4395989</v>
      </c>
      <c r="FY116" s="1936">
        <v>-2639111</v>
      </c>
      <c r="FZ116" s="1366">
        <v>0.86378351253422281</v>
      </c>
      <c r="GA116" s="1366">
        <v>0</v>
      </c>
      <c r="GB116" s="1366">
        <v>0.14105159066925443</v>
      </c>
      <c r="GC116" s="1366">
        <v>3.9956608048173921E-2</v>
      </c>
      <c r="GD116" s="1366">
        <v>0</v>
      </c>
      <c r="GE116" s="1366">
        <v>1.0569039694780421E-2</v>
      </c>
      <c r="GF116" s="1366">
        <v>0.24226198997852541</v>
      </c>
      <c r="GG116" s="1366">
        <v>1.297622740924957</v>
      </c>
      <c r="GH116" s="1366">
        <v>-0.77902161480049292</v>
      </c>
      <c r="GI116" s="1942">
        <v>3.2540493976917273</v>
      </c>
      <c r="GJ116" s="1943">
        <v>1</v>
      </c>
      <c r="GK116" s="1371">
        <v>0.1</v>
      </c>
      <c r="GL116" s="1943">
        <v>0</v>
      </c>
      <c r="GM116" s="1371">
        <v>0</v>
      </c>
      <c r="GN116" s="1943">
        <v>18</v>
      </c>
      <c r="GO116" s="1985">
        <f>IF(GN116=0,0,VLOOKUP(A116,'Area (&amp;golfacre for lookup)'!$G$2:$H$133,2,FALSE))</f>
        <v>95</v>
      </c>
      <c r="GP116" s="1943">
        <v>17435</v>
      </c>
      <c r="GQ116" s="1943">
        <v>1431883</v>
      </c>
      <c r="GR116" s="1943">
        <v>379549</v>
      </c>
      <c r="GS116" s="1943">
        <v>378444</v>
      </c>
      <c r="GT116" s="1943">
        <v>227849</v>
      </c>
      <c r="GU116" s="1943">
        <v>71262</v>
      </c>
      <c r="GV116" s="1943">
        <v>219041</v>
      </c>
      <c r="GW116" s="1943">
        <v>2708028</v>
      </c>
      <c r="GX116" s="1943">
        <v>150446</v>
      </c>
      <c r="GY116" s="1985">
        <f t="shared" si="764"/>
        <v>28505.557894736841</v>
      </c>
      <c r="GZ116" s="1366">
        <v>0.52875487254932374</v>
      </c>
      <c r="HA116" s="1366">
        <v>0.1401569703119761</v>
      </c>
      <c r="HB116" s="1366">
        <v>0.13974892430949754</v>
      </c>
      <c r="HC116" s="1366">
        <v>8.4138347166277452E-2</v>
      </c>
      <c r="HD116" s="1366">
        <v>2.6315089799662336E-2</v>
      </c>
      <c r="HE116" s="1366">
        <v>8.088579586326286E-2</v>
      </c>
      <c r="HF116" s="1366">
        <v>1</v>
      </c>
      <c r="HG116" s="1936">
        <v>0</v>
      </c>
      <c r="HH116" s="1988">
        <f>IF(HG116=0,0,VLOOKUP(A116,'Area (&amp;golfacre for lookup)'!$G$2:$H$134,2,FALSE))</f>
        <v>0</v>
      </c>
      <c r="HI116" s="1936">
        <v>0</v>
      </c>
      <c r="HJ116" s="1936">
        <v>0</v>
      </c>
      <c r="HK116" s="1936">
        <v>0</v>
      </c>
      <c r="HL116" s="1936">
        <v>0</v>
      </c>
      <c r="HM116" s="1936">
        <v>0</v>
      </c>
      <c r="HN116" s="1936">
        <v>0</v>
      </c>
      <c r="HO116" s="1936">
        <v>0</v>
      </c>
      <c r="HP116" s="1936">
        <v>0</v>
      </c>
      <c r="HQ116" s="1936">
        <v>0</v>
      </c>
      <c r="HR116" s="1988">
        <f t="shared" si="765"/>
        <v>0</v>
      </c>
      <c r="HS116" s="1936">
        <v>0</v>
      </c>
      <c r="HT116" s="1936">
        <v>0</v>
      </c>
      <c r="HU116" s="1936">
        <v>0</v>
      </c>
      <c r="HV116" s="1936">
        <v>0</v>
      </c>
      <c r="HW116" s="1936">
        <v>0</v>
      </c>
      <c r="HX116" s="1936">
        <v>0</v>
      </c>
      <c r="HY116" s="1936">
        <v>0</v>
      </c>
      <c r="HZ116" s="51"/>
      <c r="IA116" s="59">
        <f t="shared" si="767"/>
        <v>0.08</v>
      </c>
      <c r="IB116" s="59"/>
      <c r="IC116" s="815">
        <f t="shared" si="768"/>
        <v>1</v>
      </c>
      <c r="ID116" s="815"/>
      <c r="IE116" s="284">
        <f t="shared" si="769"/>
        <v>0</v>
      </c>
      <c r="IF116" s="284"/>
      <c r="IG116" s="284">
        <f t="shared" si="770"/>
        <v>121103.88817107498</v>
      </c>
      <c r="IH116" s="284"/>
      <c r="II116" s="1288">
        <f t="shared" si="771"/>
        <v>3.8462313387180695</v>
      </c>
      <c r="IJ116" s="1288">
        <f t="shared" si="772"/>
        <v>0</v>
      </c>
      <c r="IK116" s="284">
        <f t="shared" si="773"/>
        <v>0</v>
      </c>
      <c r="IL116" s="284">
        <f t="shared" si="774"/>
        <v>0</v>
      </c>
      <c r="IM116" s="284">
        <f t="shared" si="775"/>
        <v>1</v>
      </c>
      <c r="IN116" s="284">
        <f t="shared" si="776"/>
        <v>0</v>
      </c>
      <c r="IO116" s="753">
        <f t="shared" si="777"/>
        <v>-6209.6729411764709</v>
      </c>
      <c r="IP116" s="113">
        <f t="shared" si="778"/>
        <v>-5653.6546392258142</v>
      </c>
      <c r="IQ116" s="30">
        <f t="shared" si="779"/>
        <v>-0.27246528381811153</v>
      </c>
      <c r="IR116" s="438">
        <f t="shared" si="780"/>
        <v>2591372</v>
      </c>
      <c r="IS116" s="438">
        <f t="shared" si="781"/>
        <v>796353</v>
      </c>
      <c r="IT116" s="438">
        <f t="shared" si="782"/>
        <v>2926261</v>
      </c>
      <c r="IU116" s="438">
        <f t="shared" si="783"/>
        <v>613206</v>
      </c>
      <c r="IV116" s="438">
        <f t="shared" si="784"/>
        <v>1630847</v>
      </c>
      <c r="IW116" s="438">
        <f t="shared" si="785"/>
        <v>856522</v>
      </c>
      <c r="IX116" s="285">
        <f t="shared" si="786"/>
        <v>0.76492985705746486</v>
      </c>
      <c r="IY116" s="285">
        <f t="shared" si="787"/>
        <v>0.23507014294253517</v>
      </c>
      <c r="IZ116" s="285">
        <f t="shared" si="788"/>
        <v>0.86378351253422281</v>
      </c>
      <c r="JA116" s="285">
        <f t="shared" si="789"/>
        <v>0.18100819871742838</v>
      </c>
      <c r="JB116" s="285">
        <f t="shared" si="790"/>
        <v>0.48139887387553593</v>
      </c>
      <c r="JC116" s="285">
        <f t="shared" si="791"/>
        <v>0.25283102967330584</v>
      </c>
      <c r="JD116" s="60">
        <f t="shared" si="792"/>
        <v>9686045</v>
      </c>
      <c r="JE116" s="60">
        <f t="shared" si="793"/>
        <v>3227493</v>
      </c>
      <c r="JF116" s="60">
        <f t="shared" si="794"/>
        <v>0</v>
      </c>
      <c r="JG116" s="60">
        <f t="shared" si="795"/>
        <v>1994187</v>
      </c>
      <c r="JH116" s="284">
        <f t="shared" si="796"/>
        <v>0</v>
      </c>
      <c r="JI116" s="284">
        <f t="shared" si="797"/>
        <v>1</v>
      </c>
      <c r="JJ116" s="560">
        <f t="shared" si="798"/>
        <v>0.59635399751515716</v>
      </c>
      <c r="JK116" s="561">
        <f t="shared" si="799"/>
        <v>0.51379692875181948</v>
      </c>
      <c r="JL116" s="561">
        <f t="shared" si="800"/>
        <v>6.4601342415869262E-2</v>
      </c>
      <c r="JM116" s="561">
        <f t="shared" si="801"/>
        <v>1.7093193703174733E-2</v>
      </c>
      <c r="JN116" s="561">
        <f t="shared" si="802"/>
        <v>0.3564236336336396</v>
      </c>
      <c r="JO116" s="561">
        <f t="shared" si="803"/>
        <v>1.7716569976729848E-2</v>
      </c>
      <c r="JP116" s="561">
        <f t="shared" si="804"/>
        <v>6.1277447995694956E-2</v>
      </c>
      <c r="JQ116" s="561">
        <f t="shared" si="805"/>
        <v>1.030909116476928</v>
      </c>
      <c r="JR116" s="61">
        <f t="shared" si="806"/>
        <v>79549.055555555562</v>
      </c>
      <c r="JS116" s="61">
        <f t="shared" si="807"/>
        <v>21086.055555555555</v>
      </c>
      <c r="JT116" s="61">
        <f t="shared" si="808"/>
        <v>21024.666666666668</v>
      </c>
      <c r="JU116" s="61">
        <f t="shared" si="809"/>
        <v>12658.277777777777</v>
      </c>
      <c r="JV116" s="61">
        <f t="shared" si="810"/>
        <v>3959</v>
      </c>
      <c r="JW116" s="61">
        <f t="shared" si="811"/>
        <v>12168.944444444445</v>
      </c>
      <c r="JX116" s="61">
        <f t="shared" si="812"/>
        <v>155.32136507026098</v>
      </c>
      <c r="JY116" s="394">
        <f t="shared" si="813"/>
        <v>0.10405455445495478</v>
      </c>
      <c r="JZ116" s="61">
        <f t="shared" si="814"/>
        <v>0</v>
      </c>
      <c r="KA116" s="61">
        <f t="shared" si="815"/>
        <v>0</v>
      </c>
      <c r="KB116" s="61">
        <f t="shared" si="816"/>
        <v>0</v>
      </c>
      <c r="KC116" s="61">
        <f t="shared" si="817"/>
        <v>0</v>
      </c>
      <c r="KD116" s="61">
        <f t="shared" si="818"/>
        <v>0</v>
      </c>
      <c r="KE116" s="61">
        <f t="shared" si="819"/>
        <v>0</v>
      </c>
      <c r="KF116" s="61">
        <f t="shared" si="820"/>
        <v>0</v>
      </c>
      <c r="KG116" s="61">
        <f t="shared" si="821"/>
        <v>0</v>
      </c>
      <c r="KH116" s="61">
        <f t="shared" si="822"/>
        <v>0</v>
      </c>
      <c r="KI116" s="394">
        <f t="shared" si="823"/>
        <v>0</v>
      </c>
      <c r="KJ116" s="438">
        <f t="shared" si="824"/>
        <v>18</v>
      </c>
      <c r="KK116" s="438">
        <f t="shared" si="825"/>
        <v>17435</v>
      </c>
      <c r="KL116" s="438">
        <f t="shared" si="826"/>
        <v>95</v>
      </c>
      <c r="KM116" s="438">
        <f t="shared" si="827"/>
        <v>150446</v>
      </c>
      <c r="KN116" s="438">
        <f t="shared" si="828"/>
        <v>155.32136507026098</v>
      </c>
      <c r="KO116" s="438">
        <f t="shared" si="829"/>
        <v>28505.557894736841</v>
      </c>
      <c r="KP116" s="438">
        <f t="shared" si="830"/>
        <v>1431883</v>
      </c>
      <c r="KQ116" s="438">
        <f t="shared" si="831"/>
        <v>379549</v>
      </c>
      <c r="KR116" s="438">
        <f t="shared" si="832"/>
        <v>378444</v>
      </c>
      <c r="KS116" s="438">
        <f t="shared" si="833"/>
        <v>227849</v>
      </c>
      <c r="KT116" s="438">
        <f t="shared" si="834"/>
        <v>71262</v>
      </c>
      <c r="KU116" s="438">
        <f t="shared" si="835"/>
        <v>219041</v>
      </c>
      <c r="KV116" s="420">
        <f t="shared" si="836"/>
        <v>0.10405455445495478</v>
      </c>
      <c r="KW116" s="420">
        <f t="shared" si="837"/>
        <v>-0.25696628500074076</v>
      </c>
      <c r="KX116" s="108"/>
      <c r="KY116" s="282">
        <f t="shared" si="838"/>
        <v>0</v>
      </c>
      <c r="KZ116" s="282"/>
      <c r="LA116" s="282">
        <f t="shared" si="839"/>
        <v>0</v>
      </c>
      <c r="LB116" s="282"/>
      <c r="LC116" s="286">
        <f t="shared" si="951"/>
        <v>0</v>
      </c>
      <c r="LD116" s="286"/>
      <c r="LE116" s="282">
        <f t="shared" si="841"/>
        <v>0</v>
      </c>
      <c r="LF116" s="282"/>
      <c r="LG116" s="282">
        <f t="shared" si="842"/>
        <v>0</v>
      </c>
      <c r="LH116" s="282">
        <f t="shared" si="843"/>
        <v>0</v>
      </c>
      <c r="LI116" s="282">
        <f t="shared" si="844"/>
        <v>0</v>
      </c>
      <c r="LJ116" s="282">
        <f t="shared" si="845"/>
        <v>0</v>
      </c>
      <c r="LK116" s="282"/>
      <c r="LL116" s="282">
        <f t="shared" si="846"/>
        <v>0</v>
      </c>
      <c r="LM116" s="282">
        <f t="shared" si="847"/>
        <v>0</v>
      </c>
      <c r="LN116" s="282">
        <f t="shared" si="848"/>
        <v>0</v>
      </c>
      <c r="LO116" s="282">
        <f t="shared" si="849"/>
        <v>0</v>
      </c>
      <c r="LP116" s="286">
        <f t="shared" si="850"/>
        <v>0</v>
      </c>
      <c r="LQ116" s="282">
        <f t="shared" si="851"/>
        <v>0</v>
      </c>
      <c r="LR116" s="282">
        <f t="shared" si="852"/>
        <v>0</v>
      </c>
      <c r="LS116" s="282">
        <f t="shared" si="853"/>
        <v>0</v>
      </c>
      <c r="LT116" s="286">
        <f t="shared" si="854"/>
        <v>0</v>
      </c>
      <c r="LU116" s="286">
        <f t="shared" si="855"/>
        <v>0</v>
      </c>
      <c r="LV116" s="286">
        <f t="shared" si="856"/>
        <v>0</v>
      </c>
      <c r="LW116" s="286">
        <f t="shared" si="857"/>
        <v>0</v>
      </c>
      <c r="LX116" s="286">
        <f t="shared" si="858"/>
        <v>0</v>
      </c>
      <c r="LY116" s="286">
        <f t="shared" si="859"/>
        <v>0</v>
      </c>
      <c r="LZ116" s="286">
        <f t="shared" si="860"/>
        <v>0</v>
      </c>
      <c r="MA116" s="286">
        <f t="shared" si="861"/>
        <v>0</v>
      </c>
      <c r="MB116" s="286">
        <f t="shared" si="862"/>
        <v>0</v>
      </c>
      <c r="MC116" s="286">
        <f t="shared" si="863"/>
        <v>0</v>
      </c>
      <c r="MD116" s="286">
        <f t="shared" si="864"/>
        <v>0</v>
      </c>
      <c r="ME116" s="286">
        <f t="shared" si="865"/>
        <v>0</v>
      </c>
      <c r="MF116" s="286">
        <f t="shared" si="866"/>
        <v>0</v>
      </c>
      <c r="MG116" s="286">
        <f t="shared" si="867"/>
        <v>0</v>
      </c>
      <c r="MH116" s="286">
        <f t="shared" si="868"/>
        <v>0</v>
      </c>
      <c r="MI116" s="286">
        <f t="shared" si="869"/>
        <v>0</v>
      </c>
      <c r="MJ116" s="286">
        <f t="shared" si="870"/>
        <v>0</v>
      </c>
      <c r="MK116" s="286">
        <f t="shared" si="871"/>
        <v>0</v>
      </c>
      <c r="ML116" s="282">
        <f t="shared" si="872"/>
        <v>0</v>
      </c>
      <c r="MM116" s="1232">
        <f t="shared" si="873"/>
        <v>0</v>
      </c>
      <c r="MN116" s="1232">
        <f t="shared" si="874"/>
        <v>0</v>
      </c>
      <c r="MO116" s="1232">
        <f t="shared" si="875"/>
        <v>0</v>
      </c>
      <c r="MP116" s="1232">
        <f t="shared" si="876"/>
        <v>0</v>
      </c>
      <c r="MQ116" s="282">
        <f t="shared" si="877"/>
        <v>0</v>
      </c>
      <c r="MR116" s="282">
        <f t="shared" si="878"/>
        <v>0</v>
      </c>
      <c r="MS116" s="282">
        <f t="shared" si="879"/>
        <v>0</v>
      </c>
      <c r="MT116" s="282">
        <f t="shared" si="880"/>
        <v>0</v>
      </c>
      <c r="MU116" s="282">
        <f t="shared" si="881"/>
        <v>0</v>
      </c>
      <c r="MV116" s="282">
        <f t="shared" si="882"/>
        <v>0</v>
      </c>
      <c r="MW116" s="282">
        <f t="shared" si="883"/>
        <v>0</v>
      </c>
      <c r="MX116" s="282">
        <f t="shared" si="884"/>
        <v>0</v>
      </c>
      <c r="MY116" s="282">
        <f t="shared" si="885"/>
        <v>0</v>
      </c>
      <c r="MZ116" s="282">
        <f t="shared" si="886"/>
        <v>0</v>
      </c>
      <c r="NA116" s="282">
        <f t="shared" si="887"/>
        <v>0</v>
      </c>
      <c r="NB116" s="282">
        <f t="shared" si="888"/>
        <v>0</v>
      </c>
      <c r="NC116" s="282">
        <f t="shared" si="889"/>
        <v>0</v>
      </c>
      <c r="ND116" s="282">
        <f t="shared" si="890"/>
        <v>0</v>
      </c>
      <c r="NE116" s="282">
        <f t="shared" si="891"/>
        <v>0</v>
      </c>
      <c r="NF116" s="282">
        <f t="shared" si="892"/>
        <v>0</v>
      </c>
      <c r="NG116" s="282">
        <f t="shared" si="893"/>
        <v>0</v>
      </c>
      <c r="NH116" s="282">
        <f t="shared" si="894"/>
        <v>0</v>
      </c>
      <c r="NI116" s="282">
        <f t="shared" si="895"/>
        <v>0</v>
      </c>
      <c r="NJ116" s="282">
        <f t="shared" si="896"/>
        <v>0</v>
      </c>
      <c r="NK116" s="282">
        <f t="shared" si="897"/>
        <v>0</v>
      </c>
      <c r="NL116" s="282">
        <f t="shared" si="898"/>
        <v>0</v>
      </c>
      <c r="NM116" s="1205">
        <f t="shared" si="899"/>
        <v>0</v>
      </c>
      <c r="NN116" s="282">
        <f t="shared" si="900"/>
        <v>0</v>
      </c>
      <c r="NO116" s="282">
        <f t="shared" si="901"/>
        <v>0</v>
      </c>
      <c r="NP116" s="282">
        <f t="shared" si="902"/>
        <v>0</v>
      </c>
      <c r="NQ116" s="282">
        <f t="shared" si="903"/>
        <v>0</v>
      </c>
      <c r="NR116" s="282">
        <f t="shared" si="904"/>
        <v>0</v>
      </c>
      <c r="NS116" s="282">
        <f t="shared" si="905"/>
        <v>0</v>
      </c>
      <c r="NT116" s="282">
        <f t="shared" si="906"/>
        <v>0</v>
      </c>
      <c r="NU116" s="282">
        <f t="shared" si="907"/>
        <v>0</v>
      </c>
      <c r="NV116" s="286">
        <f t="shared" si="908"/>
        <v>0</v>
      </c>
      <c r="NW116" s="286">
        <f t="shared" si="909"/>
        <v>0</v>
      </c>
      <c r="NX116" s="286">
        <f t="shared" si="910"/>
        <v>0</v>
      </c>
      <c r="NY116" s="286">
        <f t="shared" si="911"/>
        <v>0</v>
      </c>
      <c r="NZ116" s="286">
        <f t="shared" si="912"/>
        <v>0</v>
      </c>
      <c r="OA116" s="286">
        <f t="shared" si="913"/>
        <v>0</v>
      </c>
      <c r="OB116" s="286">
        <f t="shared" si="914"/>
        <v>0</v>
      </c>
      <c r="OC116" s="286">
        <f t="shared" si="915"/>
        <v>0</v>
      </c>
      <c r="OD116" s="286">
        <f t="shared" si="916"/>
        <v>0</v>
      </c>
      <c r="OE116" s="282">
        <f t="shared" si="917"/>
        <v>0</v>
      </c>
      <c r="OF116" s="282">
        <f t="shared" si="918"/>
        <v>0</v>
      </c>
      <c r="OG116" s="286">
        <f t="shared" si="919"/>
        <v>0</v>
      </c>
      <c r="OH116" s="286">
        <f t="shared" si="920"/>
        <v>0</v>
      </c>
      <c r="OI116" s="286">
        <f t="shared" si="921"/>
        <v>0</v>
      </c>
      <c r="OJ116" s="286">
        <f t="shared" si="922"/>
        <v>0</v>
      </c>
      <c r="OK116" s="286">
        <f t="shared" si="923"/>
        <v>0</v>
      </c>
      <c r="OL116" s="286">
        <f t="shared" si="924"/>
        <v>0</v>
      </c>
      <c r="OM116" s="286">
        <f t="shared" si="925"/>
        <v>0</v>
      </c>
      <c r="ON116" s="286">
        <f t="shared" si="926"/>
        <v>0</v>
      </c>
      <c r="OO116" s="286">
        <f t="shared" si="927"/>
        <v>0</v>
      </c>
      <c r="OP116" s="434">
        <f t="shared" si="928"/>
        <v>0</v>
      </c>
      <c r="OQ116" s="434">
        <f t="shared" si="929"/>
        <v>0</v>
      </c>
      <c r="OR116" s="282">
        <f t="shared" si="930"/>
        <v>0</v>
      </c>
      <c r="OS116" s="282">
        <f t="shared" si="931"/>
        <v>0</v>
      </c>
      <c r="OT116" s="282">
        <f t="shared" si="932"/>
        <v>0</v>
      </c>
      <c r="OU116" s="282">
        <f t="shared" si="933"/>
        <v>0</v>
      </c>
      <c r="OV116" s="282">
        <f t="shared" si="934"/>
        <v>0</v>
      </c>
      <c r="OW116" s="286">
        <f t="shared" si="935"/>
        <v>0</v>
      </c>
      <c r="OX116" s="286">
        <f t="shared" si="936"/>
        <v>0</v>
      </c>
      <c r="OY116" s="286">
        <f t="shared" si="937"/>
        <v>0</v>
      </c>
      <c r="OZ116" s="286">
        <f t="shared" si="938"/>
        <v>0</v>
      </c>
      <c r="PA116" s="286">
        <f t="shared" si="939"/>
        <v>0</v>
      </c>
      <c r="PB116" s="286">
        <f t="shared" si="940"/>
        <v>0</v>
      </c>
      <c r="PC116" s="286">
        <f t="shared" si="941"/>
        <v>0</v>
      </c>
      <c r="PD116" s="282">
        <f t="shared" si="942"/>
        <v>0</v>
      </c>
      <c r="PE116" s="282">
        <f t="shared" si="943"/>
        <v>0</v>
      </c>
      <c r="PF116" s="286">
        <f t="shared" si="944"/>
        <v>0</v>
      </c>
      <c r="PG116" s="286">
        <f t="shared" si="945"/>
        <v>0</v>
      </c>
      <c r="PH116" s="286">
        <f t="shared" si="946"/>
        <v>0</v>
      </c>
      <c r="PI116" s="286">
        <f t="shared" si="947"/>
        <v>0</v>
      </c>
      <c r="PJ116" s="286">
        <f t="shared" si="948"/>
        <v>0</v>
      </c>
      <c r="PK116" s="286">
        <f t="shared" si="949"/>
        <v>0</v>
      </c>
      <c r="PL116" s="286">
        <f t="shared" si="950"/>
        <v>0</v>
      </c>
      <c r="PM116" s="562">
        <v>60</v>
      </c>
    </row>
    <row r="117" spans="1:431" s="289" customFormat="1" ht="15.75" customHeight="1">
      <c r="A117" s="1935" t="s">
        <v>1198</v>
      </c>
      <c r="B117" s="1040" t="str">
        <f>VLOOKUP(A117,'Area (&amp;golfacre for lookup)'!$A$2:$B$162,2,FALSE)</f>
        <v>SW exc CIRA</v>
      </c>
      <c r="C117" s="1936"/>
      <c r="D117" s="1937">
        <v>44834</v>
      </c>
      <c r="E117" s="402"/>
      <c r="F117" s="1936">
        <v>1</v>
      </c>
      <c r="G117" s="1936">
        <v>0</v>
      </c>
      <c r="H117" s="1936">
        <v>316</v>
      </c>
      <c r="I117" s="1936">
        <v>255</v>
      </c>
      <c r="J117" s="1936">
        <v>571</v>
      </c>
      <c r="K117" s="1938">
        <v>407.13260787992493</v>
      </c>
      <c r="L117" s="1939" t="s">
        <v>1208</v>
      </c>
      <c r="M117" s="1939" t="s">
        <v>1208</v>
      </c>
      <c r="N117" s="1939" t="s">
        <v>1208</v>
      </c>
      <c r="O117" s="1939" t="s">
        <v>1208</v>
      </c>
      <c r="P117" s="1939" t="s">
        <v>1208</v>
      </c>
      <c r="Q117" s="1936">
        <v>0</v>
      </c>
      <c r="R117" s="1936">
        <v>100000</v>
      </c>
      <c r="S117" s="1936">
        <v>100000</v>
      </c>
      <c r="T117" s="1939" t="s">
        <v>1208</v>
      </c>
      <c r="U117" s="1939" t="s">
        <v>1208</v>
      </c>
      <c r="V117" s="1939" t="s">
        <v>1208</v>
      </c>
      <c r="W117" s="1936">
        <v>14261</v>
      </c>
      <c r="X117" s="1936">
        <v>13325</v>
      </c>
      <c r="Y117" s="1939" t="s">
        <v>1208</v>
      </c>
      <c r="Z117" s="1939" t="s">
        <v>1208</v>
      </c>
      <c r="AA117" s="1936">
        <v>936</v>
      </c>
      <c r="AB117" s="1362">
        <v>7.0243902439024397E-2</v>
      </c>
      <c r="AC117" s="1939" t="s">
        <v>1208</v>
      </c>
      <c r="AD117" s="1363" t="s">
        <v>1208</v>
      </c>
      <c r="AE117" s="1936">
        <v>1</v>
      </c>
      <c r="AF117" s="1936">
        <v>3260.5200000000004</v>
      </c>
      <c r="AG117" s="1939" t="s">
        <v>1208</v>
      </c>
      <c r="AH117" s="1936">
        <v>0</v>
      </c>
      <c r="AI117" s="1936">
        <v>0</v>
      </c>
      <c r="AJ117" s="1939" t="s">
        <v>1208</v>
      </c>
      <c r="AK117" s="1938">
        <v>1</v>
      </c>
      <c r="AL117" s="1938">
        <v>1500</v>
      </c>
      <c r="AM117" s="1936">
        <v>18085.52</v>
      </c>
      <c r="AN117" s="1939" t="s">
        <v>1208</v>
      </c>
      <c r="AO117" s="1936">
        <v>600</v>
      </c>
      <c r="AP117" s="1936">
        <v>0</v>
      </c>
      <c r="AQ117" s="1936">
        <v>18685.52</v>
      </c>
      <c r="AR117" s="1939" t="s">
        <v>1208</v>
      </c>
      <c r="AS117" s="1363" t="s">
        <v>1208</v>
      </c>
      <c r="AT117" s="1363" t="s">
        <v>1208</v>
      </c>
      <c r="AU117" s="1363" t="s">
        <v>1208</v>
      </c>
      <c r="AV117" s="1363" t="s">
        <v>1208</v>
      </c>
      <c r="AW117" s="1363" t="s">
        <v>1291</v>
      </c>
      <c r="AX117" s="1938">
        <v>0</v>
      </c>
      <c r="AY117" s="1938">
        <v>0</v>
      </c>
      <c r="AZ117" s="1938">
        <v>0</v>
      </c>
      <c r="BA117" s="1938">
        <v>0</v>
      </c>
      <c r="BB117" s="1938">
        <v>0</v>
      </c>
      <c r="BC117" s="1938">
        <v>0</v>
      </c>
      <c r="BD117" s="1938">
        <v>0</v>
      </c>
      <c r="BE117" s="1936">
        <v>0</v>
      </c>
      <c r="BF117" s="1936">
        <v>0</v>
      </c>
      <c r="BG117" s="1936">
        <v>0</v>
      </c>
      <c r="BH117" s="1936">
        <v>0</v>
      </c>
      <c r="BI117" s="1938">
        <v>28369847</v>
      </c>
      <c r="BJ117" s="1936">
        <v>1898009</v>
      </c>
      <c r="BK117" s="1936">
        <v>1516570</v>
      </c>
      <c r="BL117" s="1362">
        <v>1.2515142723382369</v>
      </c>
      <c r="BM117" s="1936">
        <v>1</v>
      </c>
      <c r="BN117" s="1936">
        <v>5643414</v>
      </c>
      <c r="BO117" s="1363" t="s">
        <v>1208</v>
      </c>
      <c r="BP117" s="1938">
        <v>1613338</v>
      </c>
      <c r="BQ117" s="1938">
        <v>2156302</v>
      </c>
      <c r="BR117" s="1940">
        <v>0.7481966811698918</v>
      </c>
      <c r="BS117" s="1409">
        <v>0</v>
      </c>
      <c r="BT117" s="1938">
        <v>7133006</v>
      </c>
      <c r="BU117" s="1938">
        <v>27281585</v>
      </c>
      <c r="BV117" s="1940">
        <v>0.26145863592602847</v>
      </c>
      <c r="BW117" s="1936">
        <v>13861.365782974584</v>
      </c>
      <c r="BX117" s="1936">
        <v>4661.8938480107618</v>
      </c>
      <c r="BY117" s="1936">
        <v>0</v>
      </c>
      <c r="BZ117" s="1936">
        <v>1190280</v>
      </c>
      <c r="CA117" s="1936">
        <v>56969</v>
      </c>
      <c r="CB117" s="1936">
        <v>559427</v>
      </c>
      <c r="CC117" s="1936">
        <v>339955</v>
      </c>
      <c r="CD117" s="1936">
        <v>5425042</v>
      </c>
      <c r="CE117" s="1936">
        <v>0</v>
      </c>
      <c r="CF117" s="1936">
        <v>0</v>
      </c>
      <c r="CG117" s="1936">
        <v>1163204</v>
      </c>
      <c r="CH117" s="1936">
        <v>722749</v>
      </c>
      <c r="CI117" s="1936">
        <v>37452</v>
      </c>
      <c r="CJ117" s="1936">
        <v>9495078</v>
      </c>
      <c r="CK117" s="1366">
        <v>0.12535758000092259</v>
      </c>
      <c r="CL117" s="1366">
        <v>5.9998453935818114E-3</v>
      </c>
      <c r="CM117" s="1366">
        <v>5.8917578138905233E-2</v>
      </c>
      <c r="CN117" s="1366">
        <v>3.5803286713389823E-2</v>
      </c>
      <c r="CO117" s="1366">
        <v>0.57135307366616683</v>
      </c>
      <c r="CP117" s="1366">
        <v>0</v>
      </c>
      <c r="CQ117" s="1366">
        <v>0</v>
      </c>
      <c r="CR117" s="1366">
        <v>0.12250599731776822</v>
      </c>
      <c r="CS117" s="1366">
        <v>7.6118279386435797E-2</v>
      </c>
      <c r="CT117" s="1366">
        <v>3.9443593828297147E-3</v>
      </c>
      <c r="CU117" s="1366">
        <v>1</v>
      </c>
      <c r="CV117" s="1936">
        <v>5441369</v>
      </c>
      <c r="CW117" s="1936">
        <v>673603</v>
      </c>
      <c r="CX117" s="1936">
        <v>401368</v>
      </c>
      <c r="CY117" s="1936">
        <v>2364975</v>
      </c>
      <c r="CZ117" s="1936">
        <v>100616</v>
      </c>
      <c r="DA117" s="1936">
        <v>332450</v>
      </c>
      <c r="DB117" s="1936">
        <v>9314381</v>
      </c>
      <c r="DC117" s="1366">
        <v>0.58419008198182998</v>
      </c>
      <c r="DD117" s="1366">
        <v>7.2318600667076002E-2</v>
      </c>
      <c r="DE117" s="1366">
        <v>4.3091215615938407E-2</v>
      </c>
      <c r="DF117" s="1366">
        <v>0.25390576142418914</v>
      </c>
      <c r="DG117" s="1366">
        <v>1.0802220780962256E-2</v>
      </c>
      <c r="DH117" s="1366">
        <v>3.5692119530004195E-2</v>
      </c>
      <c r="DI117" s="1366">
        <v>1</v>
      </c>
      <c r="DJ117" s="1936">
        <v>180697</v>
      </c>
      <c r="DK117" s="1936">
        <v>2923.5683336645138</v>
      </c>
      <c r="DL117" s="1936">
        <v>139.92738212902316</v>
      </c>
      <c r="DM117" s="1936">
        <v>1374.0658182922823</v>
      </c>
      <c r="DN117" s="1936">
        <v>834.99821291706132</v>
      </c>
      <c r="DO117" s="1936">
        <v>13325</v>
      </c>
      <c r="DP117" s="1936">
        <v>0</v>
      </c>
      <c r="DQ117" s="1936">
        <v>0</v>
      </c>
      <c r="DR117" s="1936">
        <v>2857.0642033739095</v>
      </c>
      <c r="DS117" s="1936">
        <v>1775.2176711258642</v>
      </c>
      <c r="DT117" s="1936">
        <v>91.98968413516431</v>
      </c>
      <c r="DU117" s="1936">
        <v>23321.831305637821</v>
      </c>
      <c r="DV117" s="1936">
        <v>13365.102413032011</v>
      </c>
      <c r="DW117" s="1936">
        <v>1654.5051586697393</v>
      </c>
      <c r="DX117" s="1936">
        <v>985.84095754466057</v>
      </c>
      <c r="DY117" s="1936">
        <v>5808.856756316357</v>
      </c>
      <c r="DZ117" s="1936">
        <v>247.13323878414215</v>
      </c>
      <c r="EA117" s="1936">
        <v>816.56441553816546</v>
      </c>
      <c r="EB117" s="1936">
        <v>22878.002939885075</v>
      </c>
      <c r="EC117" s="1936">
        <v>443.82836575274445</v>
      </c>
      <c r="ED117" s="1941">
        <v>93</v>
      </c>
      <c r="EE117" s="1936">
        <v>1</v>
      </c>
      <c r="EF117" s="1936">
        <v>10</v>
      </c>
      <c r="EG117" s="1938">
        <v>50000</v>
      </c>
      <c r="EH117" s="1938">
        <v>1</v>
      </c>
      <c r="EI117" s="1368">
        <v>0.14000000000000001</v>
      </c>
      <c r="EJ117" s="1936">
        <v>4.3777699772034939</v>
      </c>
      <c r="EK117" s="1936">
        <v>1</v>
      </c>
      <c r="EL117" s="1936">
        <v>600</v>
      </c>
      <c r="EM117" s="1936">
        <v>0</v>
      </c>
      <c r="EN117" s="1362">
        <v>0</v>
      </c>
      <c r="EO117" s="1936">
        <v>0</v>
      </c>
      <c r="EP117" s="1936">
        <v>0</v>
      </c>
      <c r="EQ117" s="1936">
        <v>0</v>
      </c>
      <c r="ER117" s="1938">
        <v>1</v>
      </c>
      <c r="ES117" s="1936">
        <v>4632.2818744997739</v>
      </c>
      <c r="ET117" s="1936">
        <v>-2225.5033924161326</v>
      </c>
      <c r="EU117" s="1938">
        <v>2</v>
      </c>
      <c r="EV117" s="1936">
        <v>42020</v>
      </c>
      <c r="EW117" s="1936">
        <v>6854</v>
      </c>
      <c r="EX117" s="1938">
        <v>1</v>
      </c>
      <c r="EY117" s="1936">
        <v>1163204</v>
      </c>
      <c r="EZ117" s="1936">
        <v>485642</v>
      </c>
      <c r="FA117" s="1936">
        <v>677562</v>
      </c>
      <c r="FB117" s="1936">
        <v>722749</v>
      </c>
      <c r="FC117" s="1936">
        <v>187961</v>
      </c>
      <c r="FD117" s="1936">
        <v>534788</v>
      </c>
      <c r="FE117" s="1936">
        <v>1885953</v>
      </c>
      <c r="FF117" s="1936">
        <v>673603</v>
      </c>
      <c r="FG117" s="1936">
        <v>1212350</v>
      </c>
      <c r="FH117" s="1366">
        <v>1</v>
      </c>
      <c r="FI117" s="1366">
        <v>0.41750372247688283</v>
      </c>
      <c r="FJ117" s="1366">
        <v>0.58249627752311717</v>
      </c>
      <c r="FK117" s="1366">
        <v>1</v>
      </c>
      <c r="FL117" s="1366">
        <v>0.2600640056229756</v>
      </c>
      <c r="FM117" s="1366">
        <v>0.7399359943770244</v>
      </c>
      <c r="FN117" s="1366">
        <v>1</v>
      </c>
      <c r="FO117" s="1366">
        <v>0.35716849783637239</v>
      </c>
      <c r="FP117" s="1366">
        <v>0.64283150216362761</v>
      </c>
      <c r="FQ117" s="1936">
        <v>1316418</v>
      </c>
      <c r="FR117" s="1936">
        <v>0</v>
      </c>
      <c r="FS117" s="1936">
        <v>314155</v>
      </c>
      <c r="FT117" s="1936">
        <v>17453</v>
      </c>
      <c r="FU117" s="1936">
        <v>34833</v>
      </c>
      <c r="FV117" s="1936">
        <v>15376</v>
      </c>
      <c r="FW117" s="1936">
        <v>420190</v>
      </c>
      <c r="FX117" s="1936">
        <v>2118425</v>
      </c>
      <c r="FY117" s="1936">
        <v>-906075</v>
      </c>
      <c r="FZ117" s="1366">
        <v>0.69801209256010088</v>
      </c>
      <c r="GA117" s="1366">
        <v>0</v>
      </c>
      <c r="GB117" s="1366">
        <v>0.16657626144447926</v>
      </c>
      <c r="GC117" s="1366">
        <v>9.2542072893651121E-3</v>
      </c>
      <c r="GD117" s="1366">
        <v>1.8469707357500427E-2</v>
      </c>
      <c r="GE117" s="1366">
        <v>8.1529073099912888E-3</v>
      </c>
      <c r="GF117" s="1366">
        <v>0.22279982587052805</v>
      </c>
      <c r="GG117" s="1366">
        <v>1.123265001831965</v>
      </c>
      <c r="GH117" s="1366">
        <v>-0.48043349966833743</v>
      </c>
      <c r="GI117" s="1942">
        <v>1.6094162703787898</v>
      </c>
      <c r="GJ117" s="1943">
        <v>1</v>
      </c>
      <c r="GK117" s="1371">
        <v>0.05</v>
      </c>
      <c r="GL117" s="1943">
        <v>1</v>
      </c>
      <c r="GM117" s="1371">
        <v>0.03</v>
      </c>
      <c r="GN117" s="1943">
        <v>18</v>
      </c>
      <c r="GO117" s="1985">
        <f>IF(GN117=0,0,VLOOKUP(A117,'Area (&amp;golfacre for lookup)'!$G$2:$H$133,2,FALSE))</f>
        <v>103</v>
      </c>
      <c r="GP117" s="1943">
        <v>30386</v>
      </c>
      <c r="GQ117" s="1943">
        <v>961284</v>
      </c>
      <c r="GR117" s="1943">
        <v>212692</v>
      </c>
      <c r="GS117" s="1943">
        <v>470439</v>
      </c>
      <c r="GT117" s="1943">
        <v>54870</v>
      </c>
      <c r="GU117" s="1943">
        <v>0</v>
      </c>
      <c r="GV117" s="1943">
        <v>11314</v>
      </c>
      <c r="GW117" s="1943">
        <v>1710599</v>
      </c>
      <c r="GX117" s="1943">
        <v>95033.277777777781</v>
      </c>
      <c r="GY117" s="1985">
        <f t="shared" si="764"/>
        <v>16607.757281553397</v>
      </c>
      <c r="GZ117" s="1366">
        <v>0.56195753651206393</v>
      </c>
      <c r="HA117" s="1366">
        <v>0.12433773198745</v>
      </c>
      <c r="HB117" s="1366">
        <v>0.27501419093545593</v>
      </c>
      <c r="HC117" s="1366">
        <v>3.2076483150054458E-2</v>
      </c>
      <c r="HD117" s="1366">
        <v>0</v>
      </c>
      <c r="HE117" s="1366">
        <v>6.6140574149756897E-3</v>
      </c>
      <c r="HF117" s="1366">
        <v>1</v>
      </c>
      <c r="HG117" s="1936">
        <v>0</v>
      </c>
      <c r="HH117" s="1988">
        <f>IF(HG117=0,0,VLOOKUP(A117,'Area (&amp;golfacre for lookup)'!$G$2:$H$134,2,FALSE))</f>
        <v>0</v>
      </c>
      <c r="HI117" s="1936">
        <v>0</v>
      </c>
      <c r="HJ117" s="1936">
        <v>0</v>
      </c>
      <c r="HK117" s="1936">
        <v>0</v>
      </c>
      <c r="HL117" s="1936">
        <v>0</v>
      </c>
      <c r="HM117" s="1936">
        <v>0</v>
      </c>
      <c r="HN117" s="1936">
        <v>0</v>
      </c>
      <c r="HO117" s="1936">
        <v>0</v>
      </c>
      <c r="HP117" s="1936">
        <v>0</v>
      </c>
      <c r="HQ117" s="1936">
        <v>0</v>
      </c>
      <c r="HR117" s="1988">
        <f t="shared" si="765"/>
        <v>0</v>
      </c>
      <c r="HS117" s="1936">
        <v>0</v>
      </c>
      <c r="HT117" s="1936">
        <v>0</v>
      </c>
      <c r="HU117" s="1936">
        <v>0</v>
      </c>
      <c r="HV117" s="1936">
        <v>0</v>
      </c>
      <c r="HW117" s="1936">
        <v>0</v>
      </c>
      <c r="HX117" s="1936">
        <v>0</v>
      </c>
      <c r="HY117" s="1936">
        <v>0</v>
      </c>
      <c r="HZ117" s="51"/>
      <c r="IA117" s="59">
        <f t="shared" si="767"/>
        <v>0</v>
      </c>
      <c r="IB117" s="59"/>
      <c r="IC117" s="815">
        <f t="shared" si="768"/>
        <v>1</v>
      </c>
      <c r="ID117" s="815"/>
      <c r="IE117" s="284">
        <f t="shared" si="769"/>
        <v>0</v>
      </c>
      <c r="IF117" s="284"/>
      <c r="IG117" s="284">
        <f t="shared" si="770"/>
        <v>69682.080115693112</v>
      </c>
      <c r="IH117" s="284"/>
      <c r="II117" s="1288">
        <f t="shared" si="771"/>
        <v>0</v>
      </c>
      <c r="IJ117" s="1288">
        <f t="shared" si="772"/>
        <v>0.7481966811698918</v>
      </c>
      <c r="IK117" s="284">
        <f t="shared" si="773"/>
        <v>0</v>
      </c>
      <c r="IL117" s="284">
        <f t="shared" si="774"/>
        <v>0</v>
      </c>
      <c r="IM117" s="284">
        <f t="shared" si="775"/>
        <v>0</v>
      </c>
      <c r="IN117" s="284">
        <f t="shared" si="776"/>
        <v>0</v>
      </c>
      <c r="IO117" s="753">
        <f t="shared" si="777"/>
        <v>-1586.8213660245183</v>
      </c>
      <c r="IP117" s="113">
        <f t="shared" si="778"/>
        <v>-2225.5033924161326</v>
      </c>
      <c r="IQ117" s="30">
        <f t="shared" si="779"/>
        <v>-0.16701714014379981</v>
      </c>
      <c r="IR117" s="438">
        <f t="shared" si="780"/>
        <v>1163204</v>
      </c>
      <c r="IS117" s="438">
        <f t="shared" si="781"/>
        <v>722749</v>
      </c>
      <c r="IT117" s="438">
        <f t="shared" si="782"/>
        <v>1316418</v>
      </c>
      <c r="IU117" s="438">
        <f t="shared" si="783"/>
        <v>331608</v>
      </c>
      <c r="IV117" s="438">
        <f t="shared" si="784"/>
        <v>673603</v>
      </c>
      <c r="IW117" s="438">
        <f t="shared" si="785"/>
        <v>470399</v>
      </c>
      <c r="IX117" s="285">
        <f t="shared" si="786"/>
        <v>0.61677252826555062</v>
      </c>
      <c r="IY117" s="285">
        <f t="shared" si="787"/>
        <v>0.38322747173444938</v>
      </c>
      <c r="IZ117" s="285">
        <f t="shared" si="788"/>
        <v>0.69801209256010088</v>
      </c>
      <c r="JA117" s="285">
        <f t="shared" si="789"/>
        <v>0.17583046873384436</v>
      </c>
      <c r="JB117" s="285">
        <f t="shared" si="790"/>
        <v>0.35716849783637239</v>
      </c>
      <c r="JC117" s="285">
        <f t="shared" si="791"/>
        <v>0.24942244053801976</v>
      </c>
      <c r="JD117" s="60">
        <f t="shared" si="792"/>
        <v>5425042</v>
      </c>
      <c r="JE117" s="60">
        <f t="shared" si="793"/>
        <v>2146631</v>
      </c>
      <c r="JF117" s="60">
        <f t="shared" si="794"/>
        <v>0</v>
      </c>
      <c r="JG117" s="60">
        <f t="shared" si="795"/>
        <v>433066</v>
      </c>
      <c r="JH117" s="284">
        <f t="shared" si="796"/>
        <v>1</v>
      </c>
      <c r="JI117" s="284">
        <f t="shared" si="797"/>
        <v>1</v>
      </c>
      <c r="JJ117" s="560">
        <f t="shared" si="798"/>
        <v>0.71746268950193681</v>
      </c>
      <c r="JK117" s="561">
        <f t="shared" si="799"/>
        <v>0.57307259613875738</v>
      </c>
      <c r="JL117" s="561">
        <f t="shared" si="800"/>
        <v>7.0942334544276522E-2</v>
      </c>
      <c r="JM117" s="561">
        <f t="shared" si="801"/>
        <v>4.2271164070479463E-2</v>
      </c>
      <c r="JN117" s="561">
        <f t="shared" si="802"/>
        <v>0.24907378328013735</v>
      </c>
      <c r="JO117" s="561">
        <f t="shared" si="803"/>
        <v>1.0596648073875749E-2</v>
      </c>
      <c r="JP117" s="561">
        <f t="shared" si="804"/>
        <v>3.5012877198059879E-2</v>
      </c>
      <c r="JQ117" s="561">
        <f t="shared" si="805"/>
        <v>0.98096940330558635</v>
      </c>
      <c r="JR117" s="61">
        <f t="shared" si="806"/>
        <v>53404.666666666664</v>
      </c>
      <c r="JS117" s="61">
        <f t="shared" si="807"/>
        <v>11816.222222222223</v>
      </c>
      <c r="JT117" s="61">
        <f t="shared" si="808"/>
        <v>26135.5</v>
      </c>
      <c r="JU117" s="61">
        <f t="shared" si="809"/>
        <v>3048.3333333333335</v>
      </c>
      <c r="JV117" s="61">
        <f t="shared" si="810"/>
        <v>0</v>
      </c>
      <c r="JW117" s="61">
        <f t="shared" si="811"/>
        <v>628.55555555555554</v>
      </c>
      <c r="JX117" s="61">
        <f t="shared" si="812"/>
        <v>56.295629566247612</v>
      </c>
      <c r="JY117" s="394">
        <f t="shared" si="813"/>
        <v>0.18365138810619835</v>
      </c>
      <c r="JZ117" s="61">
        <f t="shared" si="814"/>
        <v>0</v>
      </c>
      <c r="KA117" s="61">
        <f t="shared" si="815"/>
        <v>0</v>
      </c>
      <c r="KB117" s="61">
        <f t="shared" si="816"/>
        <v>0</v>
      </c>
      <c r="KC117" s="61">
        <f t="shared" si="817"/>
        <v>0</v>
      </c>
      <c r="KD117" s="61">
        <f t="shared" si="818"/>
        <v>0</v>
      </c>
      <c r="KE117" s="61">
        <f t="shared" si="819"/>
        <v>0</v>
      </c>
      <c r="KF117" s="61">
        <f t="shared" si="820"/>
        <v>0</v>
      </c>
      <c r="KG117" s="61">
        <f t="shared" si="821"/>
        <v>0</v>
      </c>
      <c r="KH117" s="61">
        <f t="shared" si="822"/>
        <v>0</v>
      </c>
      <c r="KI117" s="394">
        <f t="shared" si="823"/>
        <v>0</v>
      </c>
      <c r="KJ117" s="438">
        <f t="shared" si="824"/>
        <v>18</v>
      </c>
      <c r="KK117" s="438">
        <f t="shared" si="825"/>
        <v>30386</v>
      </c>
      <c r="KL117" s="438">
        <f t="shared" si="826"/>
        <v>103</v>
      </c>
      <c r="KM117" s="438">
        <f t="shared" si="827"/>
        <v>95033.277777777781</v>
      </c>
      <c r="KN117" s="438">
        <f t="shared" si="828"/>
        <v>56.295629566247612</v>
      </c>
      <c r="KO117" s="438">
        <f t="shared" si="829"/>
        <v>16607.757281553397</v>
      </c>
      <c r="KP117" s="438">
        <f t="shared" si="830"/>
        <v>961284</v>
      </c>
      <c r="KQ117" s="438">
        <f t="shared" si="831"/>
        <v>212692</v>
      </c>
      <c r="KR117" s="438">
        <f t="shared" si="832"/>
        <v>470439</v>
      </c>
      <c r="KS117" s="438">
        <f t="shared" si="833"/>
        <v>54870</v>
      </c>
      <c r="KT117" s="438">
        <f t="shared" si="834"/>
        <v>0</v>
      </c>
      <c r="KU117" s="438">
        <f t="shared" si="835"/>
        <v>11314</v>
      </c>
      <c r="KV117" s="420">
        <f t="shared" si="836"/>
        <v>0.18365138810619835</v>
      </c>
      <c r="KW117" s="420">
        <f t="shared" si="837"/>
        <v>-0.31322983305935698</v>
      </c>
      <c r="KX117" s="108"/>
      <c r="KY117" s="282">
        <f t="shared" si="838"/>
        <v>0</v>
      </c>
      <c r="KZ117" s="282"/>
      <c r="LA117" s="282">
        <f t="shared" si="839"/>
        <v>0</v>
      </c>
      <c r="LB117" s="282"/>
      <c r="LC117" s="286">
        <f t="shared" si="951"/>
        <v>0</v>
      </c>
      <c r="LD117" s="286"/>
      <c r="LE117" s="282">
        <f t="shared" si="841"/>
        <v>0</v>
      </c>
      <c r="LF117" s="282"/>
      <c r="LG117" s="282">
        <f t="shared" si="842"/>
        <v>0</v>
      </c>
      <c r="LH117" s="282">
        <f t="shared" si="843"/>
        <v>0</v>
      </c>
      <c r="LI117" s="282">
        <f t="shared" si="844"/>
        <v>0</v>
      </c>
      <c r="LJ117" s="282">
        <f t="shared" si="845"/>
        <v>0</v>
      </c>
      <c r="LK117" s="282"/>
      <c r="LL117" s="282">
        <f t="shared" si="846"/>
        <v>0</v>
      </c>
      <c r="LM117" s="282">
        <f t="shared" si="847"/>
        <v>0</v>
      </c>
      <c r="LN117" s="282">
        <f t="shared" si="848"/>
        <v>0</v>
      </c>
      <c r="LO117" s="282">
        <f t="shared" si="849"/>
        <v>0</v>
      </c>
      <c r="LP117" s="286">
        <f t="shared" si="850"/>
        <v>0</v>
      </c>
      <c r="LQ117" s="282">
        <f t="shared" si="851"/>
        <v>0</v>
      </c>
      <c r="LR117" s="282">
        <f t="shared" si="852"/>
        <v>0</v>
      </c>
      <c r="LS117" s="282">
        <f t="shared" si="853"/>
        <v>0</v>
      </c>
      <c r="LT117" s="286">
        <f t="shared" si="854"/>
        <v>0</v>
      </c>
      <c r="LU117" s="286">
        <f t="shared" si="855"/>
        <v>0</v>
      </c>
      <c r="LV117" s="286">
        <f t="shared" si="856"/>
        <v>0</v>
      </c>
      <c r="LW117" s="286">
        <f t="shared" si="857"/>
        <v>0</v>
      </c>
      <c r="LX117" s="286">
        <f t="shared" si="858"/>
        <v>0</v>
      </c>
      <c r="LY117" s="286">
        <f t="shared" si="859"/>
        <v>0</v>
      </c>
      <c r="LZ117" s="286">
        <f t="shared" si="860"/>
        <v>0</v>
      </c>
      <c r="MA117" s="286">
        <f t="shared" si="861"/>
        <v>0</v>
      </c>
      <c r="MB117" s="286">
        <f t="shared" si="862"/>
        <v>0</v>
      </c>
      <c r="MC117" s="286">
        <f t="shared" si="863"/>
        <v>0</v>
      </c>
      <c r="MD117" s="286">
        <f t="shared" si="864"/>
        <v>0</v>
      </c>
      <c r="ME117" s="286">
        <f t="shared" si="865"/>
        <v>0</v>
      </c>
      <c r="MF117" s="286">
        <f t="shared" si="866"/>
        <v>0</v>
      </c>
      <c r="MG117" s="286">
        <f t="shared" si="867"/>
        <v>0</v>
      </c>
      <c r="MH117" s="286">
        <f t="shared" si="868"/>
        <v>0</v>
      </c>
      <c r="MI117" s="286">
        <f t="shared" si="869"/>
        <v>0</v>
      </c>
      <c r="MJ117" s="286">
        <f t="shared" si="870"/>
        <v>0</v>
      </c>
      <c r="MK117" s="286">
        <f t="shared" si="871"/>
        <v>0</v>
      </c>
      <c r="ML117" s="282">
        <f t="shared" si="872"/>
        <v>0</v>
      </c>
      <c r="MM117" s="1232">
        <f t="shared" si="873"/>
        <v>0</v>
      </c>
      <c r="MN117" s="1232">
        <f t="shared" si="874"/>
        <v>0</v>
      </c>
      <c r="MO117" s="1232">
        <f t="shared" si="875"/>
        <v>0</v>
      </c>
      <c r="MP117" s="1232">
        <f t="shared" si="876"/>
        <v>0</v>
      </c>
      <c r="MQ117" s="282">
        <f t="shared" si="877"/>
        <v>0</v>
      </c>
      <c r="MR117" s="282">
        <f t="shared" si="878"/>
        <v>0</v>
      </c>
      <c r="MS117" s="282">
        <f t="shared" si="879"/>
        <v>0</v>
      </c>
      <c r="MT117" s="282">
        <f t="shared" si="880"/>
        <v>0</v>
      </c>
      <c r="MU117" s="282">
        <f t="shared" si="881"/>
        <v>0</v>
      </c>
      <c r="MV117" s="282">
        <f t="shared" si="882"/>
        <v>0</v>
      </c>
      <c r="MW117" s="282">
        <f t="shared" si="883"/>
        <v>0</v>
      </c>
      <c r="MX117" s="282">
        <f t="shared" si="884"/>
        <v>0</v>
      </c>
      <c r="MY117" s="282">
        <f t="shared" si="885"/>
        <v>0</v>
      </c>
      <c r="MZ117" s="282">
        <f t="shared" si="886"/>
        <v>0</v>
      </c>
      <c r="NA117" s="282">
        <f t="shared" si="887"/>
        <v>0</v>
      </c>
      <c r="NB117" s="282">
        <f t="shared" si="888"/>
        <v>0</v>
      </c>
      <c r="NC117" s="282">
        <f t="shared" si="889"/>
        <v>0</v>
      </c>
      <c r="ND117" s="282">
        <f t="shared" si="890"/>
        <v>0</v>
      </c>
      <c r="NE117" s="282">
        <f t="shared" si="891"/>
        <v>0</v>
      </c>
      <c r="NF117" s="282">
        <f t="shared" si="892"/>
        <v>0</v>
      </c>
      <c r="NG117" s="282">
        <f t="shared" si="893"/>
        <v>0</v>
      </c>
      <c r="NH117" s="282">
        <f t="shared" si="894"/>
        <v>0</v>
      </c>
      <c r="NI117" s="282">
        <f t="shared" si="895"/>
        <v>0</v>
      </c>
      <c r="NJ117" s="282">
        <f t="shared" si="896"/>
        <v>0</v>
      </c>
      <c r="NK117" s="282">
        <f t="shared" si="897"/>
        <v>0</v>
      </c>
      <c r="NL117" s="282">
        <f t="shared" si="898"/>
        <v>0</v>
      </c>
      <c r="NM117" s="1205">
        <f t="shared" si="899"/>
        <v>0</v>
      </c>
      <c r="NN117" s="282">
        <f t="shared" si="900"/>
        <v>0</v>
      </c>
      <c r="NO117" s="282">
        <f t="shared" si="901"/>
        <v>0</v>
      </c>
      <c r="NP117" s="282">
        <f t="shared" si="902"/>
        <v>0</v>
      </c>
      <c r="NQ117" s="282">
        <f t="shared" si="903"/>
        <v>0</v>
      </c>
      <c r="NR117" s="282">
        <f t="shared" si="904"/>
        <v>0</v>
      </c>
      <c r="NS117" s="282">
        <f t="shared" si="905"/>
        <v>0</v>
      </c>
      <c r="NT117" s="282">
        <f t="shared" si="906"/>
        <v>0</v>
      </c>
      <c r="NU117" s="282">
        <f t="shared" si="907"/>
        <v>0</v>
      </c>
      <c r="NV117" s="286">
        <f t="shared" si="908"/>
        <v>0</v>
      </c>
      <c r="NW117" s="286">
        <f t="shared" si="909"/>
        <v>0</v>
      </c>
      <c r="NX117" s="286">
        <f t="shared" si="910"/>
        <v>0</v>
      </c>
      <c r="NY117" s="286">
        <f t="shared" si="911"/>
        <v>0</v>
      </c>
      <c r="NZ117" s="286">
        <f t="shared" si="912"/>
        <v>0</v>
      </c>
      <c r="OA117" s="286">
        <f t="shared" si="913"/>
        <v>0</v>
      </c>
      <c r="OB117" s="286">
        <f t="shared" si="914"/>
        <v>0</v>
      </c>
      <c r="OC117" s="286">
        <f t="shared" si="915"/>
        <v>0</v>
      </c>
      <c r="OD117" s="286">
        <f t="shared" si="916"/>
        <v>0</v>
      </c>
      <c r="OE117" s="282">
        <f t="shared" si="917"/>
        <v>0</v>
      </c>
      <c r="OF117" s="282">
        <f t="shared" si="918"/>
        <v>0</v>
      </c>
      <c r="OG117" s="286">
        <f t="shared" si="919"/>
        <v>0</v>
      </c>
      <c r="OH117" s="286">
        <f t="shared" si="920"/>
        <v>0</v>
      </c>
      <c r="OI117" s="286">
        <f t="shared" si="921"/>
        <v>0</v>
      </c>
      <c r="OJ117" s="286">
        <f t="shared" si="922"/>
        <v>0</v>
      </c>
      <c r="OK117" s="286">
        <f t="shared" si="923"/>
        <v>0</v>
      </c>
      <c r="OL117" s="286">
        <f t="shared" si="924"/>
        <v>0</v>
      </c>
      <c r="OM117" s="286">
        <f t="shared" si="925"/>
        <v>0</v>
      </c>
      <c r="ON117" s="286">
        <f t="shared" si="926"/>
        <v>0</v>
      </c>
      <c r="OO117" s="286">
        <f t="shared" si="927"/>
        <v>0</v>
      </c>
      <c r="OP117" s="434">
        <f t="shared" si="928"/>
        <v>0</v>
      </c>
      <c r="OQ117" s="434">
        <f t="shared" si="929"/>
        <v>0</v>
      </c>
      <c r="OR117" s="282">
        <f t="shared" si="930"/>
        <v>0</v>
      </c>
      <c r="OS117" s="282">
        <f t="shared" si="931"/>
        <v>0</v>
      </c>
      <c r="OT117" s="282">
        <f t="shared" si="932"/>
        <v>0</v>
      </c>
      <c r="OU117" s="282">
        <f t="shared" si="933"/>
        <v>0</v>
      </c>
      <c r="OV117" s="282">
        <f t="shared" si="934"/>
        <v>0</v>
      </c>
      <c r="OW117" s="286">
        <f t="shared" si="935"/>
        <v>0</v>
      </c>
      <c r="OX117" s="286">
        <f t="shared" si="936"/>
        <v>0</v>
      </c>
      <c r="OY117" s="286">
        <f t="shared" si="937"/>
        <v>0</v>
      </c>
      <c r="OZ117" s="286">
        <f t="shared" si="938"/>
        <v>0</v>
      </c>
      <c r="PA117" s="286">
        <f t="shared" si="939"/>
        <v>0</v>
      </c>
      <c r="PB117" s="286">
        <f t="shared" si="940"/>
        <v>0</v>
      </c>
      <c r="PC117" s="286">
        <f t="shared" si="941"/>
        <v>0</v>
      </c>
      <c r="PD117" s="282">
        <f t="shared" si="942"/>
        <v>0</v>
      </c>
      <c r="PE117" s="282">
        <f t="shared" si="943"/>
        <v>0</v>
      </c>
      <c r="PF117" s="286">
        <f t="shared" si="944"/>
        <v>0</v>
      </c>
      <c r="PG117" s="286">
        <f t="shared" si="945"/>
        <v>0</v>
      </c>
      <c r="PH117" s="286">
        <f t="shared" si="946"/>
        <v>0</v>
      </c>
      <c r="PI117" s="286">
        <f t="shared" si="947"/>
        <v>0</v>
      </c>
      <c r="PJ117" s="286">
        <f t="shared" si="948"/>
        <v>0</v>
      </c>
      <c r="PK117" s="286">
        <f t="shared" si="949"/>
        <v>0</v>
      </c>
      <c r="PL117" s="286">
        <f t="shared" si="950"/>
        <v>0</v>
      </c>
      <c r="PM117" s="562">
        <v>61</v>
      </c>
    </row>
    <row r="118" spans="1:431" s="289" customFormat="1" ht="15.75" customHeight="1">
      <c r="A118" s="1935" t="s">
        <v>1197</v>
      </c>
      <c r="B118" s="1040" t="str">
        <f>VLOOKUP(A118,'Area (&amp;golfacre for lookup)'!$A$2:$B$162,2,FALSE)</f>
        <v>Yacht &amp; Beach</v>
      </c>
      <c r="C118" s="1936"/>
      <c r="D118" s="1937">
        <v>44651</v>
      </c>
      <c r="E118" s="402"/>
      <c r="F118" s="1936">
        <v>1</v>
      </c>
      <c r="G118" s="1936">
        <v>0</v>
      </c>
      <c r="H118" s="1936">
        <v>889</v>
      </c>
      <c r="I118" s="1936">
        <v>191</v>
      </c>
      <c r="J118" s="1936">
        <v>1080</v>
      </c>
      <c r="K118" s="1938">
        <v>864.0573333333333</v>
      </c>
      <c r="L118" s="1939" t="s">
        <v>1208</v>
      </c>
      <c r="M118" s="1939" t="s">
        <v>1208</v>
      </c>
      <c r="N118" s="1939" t="s">
        <v>1208</v>
      </c>
      <c r="O118" s="1939" t="s">
        <v>1208</v>
      </c>
      <c r="P118" s="1939" t="s">
        <v>1208</v>
      </c>
      <c r="Q118" s="1936">
        <v>30000</v>
      </c>
      <c r="R118" s="1936">
        <v>55000</v>
      </c>
      <c r="S118" s="1936">
        <v>85000</v>
      </c>
      <c r="T118" s="1939" t="s">
        <v>1208</v>
      </c>
      <c r="U118" s="1939" t="s">
        <v>1208</v>
      </c>
      <c r="V118" s="1939" t="s">
        <v>1208</v>
      </c>
      <c r="W118" s="1936">
        <v>4800</v>
      </c>
      <c r="X118" s="1936">
        <v>3000</v>
      </c>
      <c r="Y118" s="1939" t="s">
        <v>1208</v>
      </c>
      <c r="Z118" s="1939" t="s">
        <v>1208</v>
      </c>
      <c r="AA118" s="1936">
        <v>1800</v>
      </c>
      <c r="AB118" s="1362">
        <v>0.6</v>
      </c>
      <c r="AC118" s="1939" t="s">
        <v>1208</v>
      </c>
      <c r="AD118" s="1363" t="s">
        <v>1208</v>
      </c>
      <c r="AE118" s="1936">
        <v>1</v>
      </c>
      <c r="AF118" s="1936">
        <v>1200</v>
      </c>
      <c r="AG118" s="1939" t="s">
        <v>1208</v>
      </c>
      <c r="AH118" s="1936">
        <v>1</v>
      </c>
      <c r="AI118" s="1936">
        <v>750</v>
      </c>
      <c r="AJ118" s="1939" t="s">
        <v>1208</v>
      </c>
      <c r="AK118" s="1938">
        <v>0</v>
      </c>
      <c r="AL118" s="1938">
        <v>0</v>
      </c>
      <c r="AM118" s="1936">
        <v>4950</v>
      </c>
      <c r="AN118" s="1939" t="s">
        <v>1208</v>
      </c>
      <c r="AO118" s="1936">
        <v>900</v>
      </c>
      <c r="AP118" s="1936">
        <v>0</v>
      </c>
      <c r="AQ118" s="1936">
        <v>5850</v>
      </c>
      <c r="AR118" s="1939" t="s">
        <v>1208</v>
      </c>
      <c r="AS118" s="1363" t="s">
        <v>1208</v>
      </c>
      <c r="AT118" s="1363" t="s">
        <v>1208</v>
      </c>
      <c r="AU118" s="1363" t="s">
        <v>1208</v>
      </c>
      <c r="AV118" s="1363" t="s">
        <v>1208</v>
      </c>
      <c r="AW118" s="1363" t="s">
        <v>1291</v>
      </c>
      <c r="AX118" s="1938">
        <v>0</v>
      </c>
      <c r="AY118" s="1938">
        <v>0</v>
      </c>
      <c r="AZ118" s="1938">
        <v>0</v>
      </c>
      <c r="BA118" s="1938">
        <v>0</v>
      </c>
      <c r="BB118" s="1938">
        <v>0</v>
      </c>
      <c r="BC118" s="1938">
        <v>0</v>
      </c>
      <c r="BD118" s="1938">
        <v>0</v>
      </c>
      <c r="BE118" s="1936">
        <v>0</v>
      </c>
      <c r="BF118" s="1936">
        <v>0</v>
      </c>
      <c r="BG118" s="1936">
        <v>400000</v>
      </c>
      <c r="BH118" s="1936">
        <v>400000</v>
      </c>
      <c r="BI118" s="1938">
        <v>22464314</v>
      </c>
      <c r="BJ118" s="1936">
        <v>455750</v>
      </c>
      <c r="BK118" s="1936">
        <v>1343585</v>
      </c>
      <c r="BL118" s="1362">
        <v>0.33920444184774318</v>
      </c>
      <c r="BM118" s="1936">
        <v>1</v>
      </c>
      <c r="BN118" s="1936">
        <v>13569366</v>
      </c>
      <c r="BO118" s="1363" t="s">
        <v>1208</v>
      </c>
      <c r="BP118" s="1938">
        <v>2496466</v>
      </c>
      <c r="BQ118" s="1938">
        <v>1382460</v>
      </c>
      <c r="BR118" s="1940">
        <v>1.8058142731073594</v>
      </c>
      <c r="BS118" s="1409">
        <v>1</v>
      </c>
      <c r="BT118" s="1938">
        <v>15604261</v>
      </c>
      <c r="BU118" s="1938">
        <v>11106308</v>
      </c>
      <c r="BV118" s="1940">
        <v>1.4049908394400732</v>
      </c>
      <c r="BW118" s="1936">
        <v>15704.242619702705</v>
      </c>
      <c r="BX118" s="1936">
        <v>527.45342515851576</v>
      </c>
      <c r="BY118" s="1936">
        <v>462.93224369370552</v>
      </c>
      <c r="BZ118" s="1936">
        <v>0</v>
      </c>
      <c r="CA118" s="1936">
        <v>51386</v>
      </c>
      <c r="CB118" s="1936">
        <v>0</v>
      </c>
      <c r="CC118" s="1936">
        <v>2301701</v>
      </c>
      <c r="CD118" s="1936">
        <v>2592172</v>
      </c>
      <c r="CE118" s="1936">
        <v>691288</v>
      </c>
      <c r="CF118" s="1936">
        <v>0</v>
      </c>
      <c r="CG118" s="1936">
        <v>3173066</v>
      </c>
      <c r="CH118" s="1936">
        <v>1844163</v>
      </c>
      <c r="CI118" s="1936">
        <v>190750</v>
      </c>
      <c r="CJ118" s="1936">
        <v>10844526</v>
      </c>
      <c r="CK118" s="1366">
        <v>0</v>
      </c>
      <c r="CL118" s="1366">
        <v>4.7384274794490784E-3</v>
      </c>
      <c r="CM118" s="1366">
        <v>0</v>
      </c>
      <c r="CN118" s="1366">
        <v>0.21224542225266463</v>
      </c>
      <c r="CO118" s="1366">
        <v>0.23903045647177201</v>
      </c>
      <c r="CP118" s="1366">
        <v>6.3745340275822113E-2</v>
      </c>
      <c r="CQ118" s="1366">
        <v>0</v>
      </c>
      <c r="CR118" s="1366">
        <v>0.2925960987137658</v>
      </c>
      <c r="CS118" s="1366">
        <v>0.17005473544901825</v>
      </c>
      <c r="CT118" s="1366">
        <v>1.7589519357508111E-2</v>
      </c>
      <c r="CU118" s="1366">
        <v>1</v>
      </c>
      <c r="CV118" s="1936">
        <v>5123787</v>
      </c>
      <c r="CW118" s="1936">
        <v>2015352</v>
      </c>
      <c r="CX118" s="1936">
        <v>0</v>
      </c>
      <c r="CY118" s="1936">
        <v>3018807</v>
      </c>
      <c r="CZ118" s="1936">
        <v>236667</v>
      </c>
      <c r="DA118" s="1936">
        <v>489997</v>
      </c>
      <c r="DB118" s="1936">
        <v>10884610</v>
      </c>
      <c r="DC118" s="1366">
        <v>0.4707368477143416</v>
      </c>
      <c r="DD118" s="1366">
        <v>0.18515610573093569</v>
      </c>
      <c r="DE118" s="1366">
        <v>0</v>
      </c>
      <c r="DF118" s="1366">
        <v>0.27734636335155782</v>
      </c>
      <c r="DG118" s="1366">
        <v>2.1743268706917382E-2</v>
      </c>
      <c r="DH118" s="1366">
        <v>4.5017414496247452E-2</v>
      </c>
      <c r="DI118" s="1366">
        <v>1</v>
      </c>
      <c r="DJ118" s="1936">
        <v>-40084</v>
      </c>
      <c r="DK118" s="1936">
        <v>0</v>
      </c>
      <c r="DL118" s="1936">
        <v>59.470590686111883</v>
      </c>
      <c r="DM118" s="1936">
        <v>0</v>
      </c>
      <c r="DN118" s="1936">
        <v>2663.8290206051142</v>
      </c>
      <c r="DO118" s="1936">
        <v>3000</v>
      </c>
      <c r="DP118" s="1936">
        <v>800.04876219633582</v>
      </c>
      <c r="DQ118" s="1936">
        <v>0</v>
      </c>
      <c r="DR118" s="1936">
        <v>3672.2864069205284</v>
      </c>
      <c r="DS118" s="1936">
        <v>2134.3062883172875</v>
      </c>
      <c r="DT118" s="1936">
        <v>220.76081371143582</v>
      </c>
      <c r="DU118" s="1936">
        <v>12550.701882436813</v>
      </c>
      <c r="DV118" s="1936">
        <v>5929.915530296601</v>
      </c>
      <c r="DW118" s="1936">
        <v>2332.4285579814918</v>
      </c>
      <c r="DX118" s="1936">
        <v>0</v>
      </c>
      <c r="DY118" s="1936">
        <v>3493.7577444706603</v>
      </c>
      <c r="DZ118" s="1936">
        <v>273.90196329564549</v>
      </c>
      <c r="EA118" s="1936">
        <v>567.08852653296162</v>
      </c>
      <c r="EB118" s="1936">
        <v>12597.09232257736</v>
      </c>
      <c r="EC118" s="1936">
        <v>-46.390440140546232</v>
      </c>
      <c r="ED118" s="1941">
        <v>82</v>
      </c>
      <c r="EE118" s="1936">
        <v>0</v>
      </c>
      <c r="EF118" s="1936">
        <v>0</v>
      </c>
      <c r="EG118" s="1938">
        <v>0</v>
      </c>
      <c r="EH118" s="1938">
        <v>0</v>
      </c>
      <c r="EI118" s="1368">
        <v>0</v>
      </c>
      <c r="EJ118" s="1936">
        <v>10.537284552845527</v>
      </c>
      <c r="EK118" s="1936">
        <v>1</v>
      </c>
      <c r="EL118" s="1936">
        <v>900</v>
      </c>
      <c r="EM118" s="1936">
        <v>1</v>
      </c>
      <c r="EN118" s="1362">
        <v>0.2</v>
      </c>
      <c r="EO118" s="1936">
        <v>0</v>
      </c>
      <c r="EP118" s="1936">
        <v>0</v>
      </c>
      <c r="EQ118" s="1936">
        <v>0</v>
      </c>
      <c r="ER118" s="1938">
        <v>0</v>
      </c>
      <c r="ES118" s="1936">
        <v>5806.5926952378159</v>
      </c>
      <c r="ET118" s="1936">
        <v>-819.60764949239478</v>
      </c>
      <c r="EU118" s="1938">
        <v>3</v>
      </c>
      <c r="EV118" s="1936">
        <v>108188</v>
      </c>
      <c r="EW118" s="1936">
        <v>7510</v>
      </c>
      <c r="EX118" s="1938">
        <v>1</v>
      </c>
      <c r="EY118" s="1936">
        <v>3173066</v>
      </c>
      <c r="EZ118" s="1936">
        <v>1423542</v>
      </c>
      <c r="FA118" s="1936">
        <v>1749524</v>
      </c>
      <c r="FB118" s="1936">
        <v>1844163</v>
      </c>
      <c r="FC118" s="1936">
        <v>591810</v>
      </c>
      <c r="FD118" s="1936">
        <v>1252353</v>
      </c>
      <c r="FE118" s="1936">
        <v>5017229</v>
      </c>
      <c r="FF118" s="1936">
        <v>2015352</v>
      </c>
      <c r="FG118" s="1936">
        <v>3001877</v>
      </c>
      <c r="FH118" s="1366">
        <v>1</v>
      </c>
      <c r="FI118" s="1366">
        <v>0.44863296256680446</v>
      </c>
      <c r="FJ118" s="1366">
        <v>0.55136703743319548</v>
      </c>
      <c r="FK118" s="1366">
        <v>1</v>
      </c>
      <c r="FL118" s="1366">
        <v>0.32090981111756389</v>
      </c>
      <c r="FM118" s="1366">
        <v>0.67909018888243611</v>
      </c>
      <c r="FN118" s="1366">
        <v>1</v>
      </c>
      <c r="FO118" s="1366">
        <v>0.40168626945271979</v>
      </c>
      <c r="FP118" s="1366">
        <v>0.59831373054728021</v>
      </c>
      <c r="FQ118" s="1936">
        <v>2772189</v>
      </c>
      <c r="FR118" s="1936">
        <v>0</v>
      </c>
      <c r="FS118" s="1936">
        <v>461819</v>
      </c>
      <c r="FT118" s="1936">
        <v>55880</v>
      </c>
      <c r="FU118" s="1936">
        <v>76524</v>
      </c>
      <c r="FV118" s="1936">
        <v>1708</v>
      </c>
      <c r="FW118" s="1936">
        <v>341945</v>
      </c>
      <c r="FX118" s="1936">
        <v>3710065</v>
      </c>
      <c r="FY118" s="1936">
        <v>-708188</v>
      </c>
      <c r="FZ118" s="1366">
        <v>0.55253387876056681</v>
      </c>
      <c r="GA118" s="1366">
        <v>0</v>
      </c>
      <c r="GB118" s="1366">
        <v>9.2046625737035329E-2</v>
      </c>
      <c r="GC118" s="1366">
        <v>1.1137621982173825E-2</v>
      </c>
      <c r="GD118" s="1366">
        <v>1.525224381825107E-2</v>
      </c>
      <c r="GE118" s="1366">
        <v>3.4042695679228517E-4</v>
      </c>
      <c r="GF118" s="1366">
        <v>6.8154154414717769E-2</v>
      </c>
      <c r="GG118" s="1366">
        <v>0.73946495166953707</v>
      </c>
      <c r="GH118" s="1366">
        <v>-0.14115122112225692</v>
      </c>
      <c r="GI118" s="1942">
        <v>1.7205995348567344</v>
      </c>
      <c r="GJ118" s="1943">
        <v>1</v>
      </c>
      <c r="GK118" s="1371">
        <v>0.08</v>
      </c>
      <c r="GL118" s="1943">
        <v>1</v>
      </c>
      <c r="GM118" s="1371">
        <v>0.03</v>
      </c>
      <c r="GN118" s="1943">
        <v>0</v>
      </c>
      <c r="GO118" s="1985">
        <f>IF(GN118=0,0,VLOOKUP(A118,'Area (&amp;golfacre for lookup)'!$G$2:$H$133,2,FALSE))</f>
        <v>0</v>
      </c>
      <c r="GP118" s="1943">
        <v>0</v>
      </c>
      <c r="GQ118" s="1943">
        <v>0</v>
      </c>
      <c r="GR118" s="1943">
        <v>0</v>
      </c>
      <c r="GS118" s="1943">
        <v>0</v>
      </c>
      <c r="GT118" s="1943">
        <v>0</v>
      </c>
      <c r="GU118" s="1943">
        <v>0</v>
      </c>
      <c r="GV118" s="1943">
        <v>0</v>
      </c>
      <c r="GW118" s="1943">
        <v>0</v>
      </c>
      <c r="GX118" s="1936">
        <v>0</v>
      </c>
      <c r="GY118" s="1985">
        <f t="shared" si="764"/>
        <v>0</v>
      </c>
      <c r="GZ118" s="1936">
        <v>0</v>
      </c>
      <c r="HA118" s="1936">
        <v>0</v>
      </c>
      <c r="HB118" s="1936">
        <v>0</v>
      </c>
      <c r="HC118" s="1936">
        <v>0</v>
      </c>
      <c r="HD118" s="1936">
        <v>0</v>
      </c>
      <c r="HE118" s="1936">
        <v>0</v>
      </c>
      <c r="HF118" s="1936">
        <v>0</v>
      </c>
      <c r="HG118" s="1936">
        <v>0</v>
      </c>
      <c r="HH118" s="1988">
        <f>IF(HG118=0,0,VLOOKUP(A118,'Area (&amp;golfacre for lookup)'!$G$2:$H$134,2,FALSE))</f>
        <v>0</v>
      </c>
      <c r="HI118" s="1936">
        <v>0</v>
      </c>
      <c r="HJ118" s="1936">
        <v>0</v>
      </c>
      <c r="HK118" s="1936">
        <v>0</v>
      </c>
      <c r="HL118" s="1936">
        <v>0</v>
      </c>
      <c r="HM118" s="1936">
        <v>0</v>
      </c>
      <c r="HN118" s="1936">
        <v>0</v>
      </c>
      <c r="HO118" s="1936">
        <v>0</v>
      </c>
      <c r="HP118" s="1936">
        <v>0</v>
      </c>
      <c r="HQ118" s="1936">
        <v>0</v>
      </c>
      <c r="HR118" s="1988">
        <f t="shared" si="765"/>
        <v>0</v>
      </c>
      <c r="HS118" s="1936">
        <v>0</v>
      </c>
      <c r="HT118" s="1936">
        <v>0</v>
      </c>
      <c r="HU118" s="1936">
        <v>0</v>
      </c>
      <c r="HV118" s="1936">
        <v>0</v>
      </c>
      <c r="HW118" s="1936">
        <v>0</v>
      </c>
      <c r="HX118" s="1936">
        <v>0</v>
      </c>
      <c r="HY118" s="1936">
        <v>0</v>
      </c>
      <c r="HZ118" s="51"/>
      <c r="IA118" s="59">
        <f t="shared" si="767"/>
        <v>0.35</v>
      </c>
      <c r="IB118" s="59"/>
      <c r="IC118" s="815">
        <f t="shared" si="768"/>
        <v>1</v>
      </c>
      <c r="ID118" s="815"/>
      <c r="IE118" s="284">
        <f t="shared" si="769"/>
        <v>0</v>
      </c>
      <c r="IF118" s="284"/>
      <c r="IG118" s="284">
        <f t="shared" si="770"/>
        <v>25998.638207649801</v>
      </c>
      <c r="IH118" s="284"/>
      <c r="II118" s="1288">
        <f t="shared" si="771"/>
        <v>1.8058142731073594</v>
      </c>
      <c r="IJ118" s="1288">
        <f t="shared" si="772"/>
        <v>0</v>
      </c>
      <c r="IK118" s="284">
        <f t="shared" si="773"/>
        <v>0</v>
      </c>
      <c r="IL118" s="284">
        <f t="shared" si="774"/>
        <v>0</v>
      </c>
      <c r="IM118" s="284">
        <f t="shared" si="775"/>
        <v>1</v>
      </c>
      <c r="IN118" s="284">
        <f t="shared" si="776"/>
        <v>0</v>
      </c>
      <c r="IO118" s="753">
        <f t="shared" si="777"/>
        <v>-655.72962962962958</v>
      </c>
      <c r="IP118" s="113">
        <f t="shared" si="778"/>
        <v>-819.60764949239478</v>
      </c>
      <c r="IQ118" s="30">
        <f t="shared" si="779"/>
        <v>-0.27320254983079828</v>
      </c>
      <c r="IR118" s="438">
        <f t="shared" si="780"/>
        <v>3173066</v>
      </c>
      <c r="IS118" s="438">
        <f t="shared" si="781"/>
        <v>1844163</v>
      </c>
      <c r="IT118" s="438">
        <f t="shared" si="782"/>
        <v>2772189</v>
      </c>
      <c r="IU118" s="438">
        <f t="shared" si="783"/>
        <v>517699</v>
      </c>
      <c r="IV118" s="438">
        <f t="shared" si="784"/>
        <v>2015352</v>
      </c>
      <c r="IW118" s="438">
        <f t="shared" si="785"/>
        <v>420177</v>
      </c>
      <c r="IX118" s="285">
        <f t="shared" si="786"/>
        <v>0.6324339590638578</v>
      </c>
      <c r="IY118" s="285">
        <f t="shared" si="787"/>
        <v>0.36756604093614226</v>
      </c>
      <c r="IZ118" s="285">
        <f t="shared" si="788"/>
        <v>0.55253387876056681</v>
      </c>
      <c r="JA118" s="285">
        <f t="shared" si="789"/>
        <v>0.10318424771920914</v>
      </c>
      <c r="JB118" s="285">
        <f t="shared" si="790"/>
        <v>0.40168626945271979</v>
      </c>
      <c r="JC118" s="285">
        <f t="shared" si="791"/>
        <v>8.374682518976112E-2</v>
      </c>
      <c r="JD118" s="60">
        <f t="shared" si="792"/>
        <v>3283460</v>
      </c>
      <c r="JE118" s="60">
        <f t="shared" si="793"/>
        <v>2353087</v>
      </c>
      <c r="JF118" s="60">
        <f t="shared" si="794"/>
        <v>0</v>
      </c>
      <c r="JG118" s="60">
        <f t="shared" si="795"/>
        <v>726664</v>
      </c>
      <c r="JH118" s="284">
        <f t="shared" si="796"/>
        <v>0</v>
      </c>
      <c r="JI118" s="284" t="str">
        <f t="shared" si="797"/>
        <v/>
      </c>
      <c r="JJ118" s="560">
        <f t="shared" si="798"/>
        <v>0</v>
      </c>
      <c r="JK118" s="561">
        <f t="shared" si="799"/>
        <v>0.47247680534861553</v>
      </c>
      <c r="JL118" s="561">
        <f t="shared" si="800"/>
        <v>0.18584048763403768</v>
      </c>
      <c r="JM118" s="561">
        <f t="shared" si="801"/>
        <v>0</v>
      </c>
      <c r="JN118" s="561">
        <f t="shared" si="802"/>
        <v>0.2783715028208702</v>
      </c>
      <c r="JO118" s="561">
        <f t="shared" si="803"/>
        <v>2.1823637105024232E-2</v>
      </c>
      <c r="JP118" s="561">
        <f t="shared" si="804"/>
        <v>4.5183809785692801E-2</v>
      </c>
      <c r="JQ118" s="561">
        <f t="shared" si="805"/>
        <v>1.0036962426942404</v>
      </c>
      <c r="JR118" s="61">
        <f t="shared" si="806"/>
        <v>0</v>
      </c>
      <c r="JS118" s="61">
        <f t="shared" si="807"/>
        <v>0</v>
      </c>
      <c r="JT118" s="61">
        <f t="shared" si="808"/>
        <v>0</v>
      </c>
      <c r="JU118" s="61">
        <f t="shared" si="809"/>
        <v>0</v>
      </c>
      <c r="JV118" s="61">
        <f t="shared" si="810"/>
        <v>0</v>
      </c>
      <c r="JW118" s="61">
        <f t="shared" si="811"/>
        <v>0</v>
      </c>
      <c r="JX118" s="61">
        <f t="shared" si="812"/>
        <v>0</v>
      </c>
      <c r="JY118" s="394">
        <f t="shared" si="813"/>
        <v>0</v>
      </c>
      <c r="JZ118" s="61">
        <f t="shared" si="814"/>
        <v>0</v>
      </c>
      <c r="KA118" s="61">
        <f t="shared" si="815"/>
        <v>0</v>
      </c>
      <c r="KB118" s="61">
        <f t="shared" si="816"/>
        <v>0</v>
      </c>
      <c r="KC118" s="61">
        <f t="shared" si="817"/>
        <v>0</v>
      </c>
      <c r="KD118" s="61">
        <f t="shared" si="818"/>
        <v>0</v>
      </c>
      <c r="KE118" s="61">
        <f t="shared" si="819"/>
        <v>0</v>
      </c>
      <c r="KF118" s="61">
        <f t="shared" si="820"/>
        <v>0</v>
      </c>
      <c r="KG118" s="61">
        <f t="shared" si="821"/>
        <v>0</v>
      </c>
      <c r="KH118" s="61">
        <f t="shared" si="822"/>
        <v>0</v>
      </c>
      <c r="KI118" s="394">
        <f t="shared" si="823"/>
        <v>0</v>
      </c>
      <c r="KJ118" s="438">
        <f t="shared" si="824"/>
        <v>0</v>
      </c>
      <c r="KK118" s="438">
        <f t="shared" si="825"/>
        <v>0</v>
      </c>
      <c r="KL118" s="438">
        <f t="shared" si="826"/>
        <v>0</v>
      </c>
      <c r="KM118" s="438">
        <f t="shared" si="827"/>
        <v>0</v>
      </c>
      <c r="KN118" s="438">
        <f t="shared" si="828"/>
        <v>0</v>
      </c>
      <c r="KO118" s="438">
        <f t="shared" si="829"/>
        <v>0</v>
      </c>
      <c r="KP118" s="438">
        <f t="shared" si="830"/>
        <v>0</v>
      </c>
      <c r="KQ118" s="438">
        <f t="shared" si="831"/>
        <v>0</v>
      </c>
      <c r="KR118" s="438">
        <f t="shared" si="832"/>
        <v>0</v>
      </c>
      <c r="KS118" s="438">
        <f t="shared" si="833"/>
        <v>0</v>
      </c>
      <c r="KT118" s="438">
        <f t="shared" si="834"/>
        <v>0</v>
      </c>
      <c r="KU118" s="438">
        <f t="shared" si="835"/>
        <v>0</v>
      </c>
      <c r="KV118" s="420">
        <f t="shared" si="836"/>
        <v>0</v>
      </c>
      <c r="KW118" s="420">
        <f t="shared" si="837"/>
        <v>0</v>
      </c>
      <c r="KX118" s="108"/>
      <c r="KY118" s="282">
        <f t="shared" si="838"/>
        <v>0</v>
      </c>
      <c r="KZ118" s="282"/>
      <c r="LA118" s="282">
        <f t="shared" si="839"/>
        <v>0</v>
      </c>
      <c r="LB118" s="282"/>
      <c r="LC118" s="286">
        <f t="shared" si="951"/>
        <v>0</v>
      </c>
      <c r="LD118" s="286"/>
      <c r="LE118" s="282">
        <f t="shared" si="841"/>
        <v>0</v>
      </c>
      <c r="LF118" s="282"/>
      <c r="LG118" s="282">
        <f t="shared" si="842"/>
        <v>0</v>
      </c>
      <c r="LH118" s="282">
        <f t="shared" si="843"/>
        <v>0</v>
      </c>
      <c r="LI118" s="282">
        <f t="shared" si="844"/>
        <v>0</v>
      </c>
      <c r="LJ118" s="282">
        <f t="shared" si="845"/>
        <v>0</v>
      </c>
      <c r="LK118" s="282"/>
      <c r="LL118" s="282">
        <f t="shared" si="846"/>
        <v>0</v>
      </c>
      <c r="LM118" s="282">
        <f t="shared" si="847"/>
        <v>0</v>
      </c>
      <c r="LN118" s="282">
        <f t="shared" si="848"/>
        <v>0</v>
      </c>
      <c r="LO118" s="282">
        <f t="shared" si="849"/>
        <v>0</v>
      </c>
      <c r="LP118" s="286">
        <f t="shared" si="850"/>
        <v>0</v>
      </c>
      <c r="LQ118" s="282">
        <f t="shared" si="851"/>
        <v>0</v>
      </c>
      <c r="LR118" s="282">
        <f t="shared" si="852"/>
        <v>0</v>
      </c>
      <c r="LS118" s="282">
        <f t="shared" si="853"/>
        <v>0</v>
      </c>
      <c r="LT118" s="286">
        <f t="shared" si="854"/>
        <v>0</v>
      </c>
      <c r="LU118" s="286">
        <f t="shared" si="855"/>
        <v>0</v>
      </c>
      <c r="LV118" s="286">
        <f t="shared" si="856"/>
        <v>0</v>
      </c>
      <c r="LW118" s="286">
        <f t="shared" si="857"/>
        <v>0</v>
      </c>
      <c r="LX118" s="286">
        <f t="shared" si="858"/>
        <v>0</v>
      </c>
      <c r="LY118" s="286">
        <f t="shared" si="859"/>
        <v>0</v>
      </c>
      <c r="LZ118" s="286">
        <f t="shared" si="860"/>
        <v>0</v>
      </c>
      <c r="MA118" s="286">
        <f t="shared" si="861"/>
        <v>0</v>
      </c>
      <c r="MB118" s="286">
        <f t="shared" si="862"/>
        <v>0</v>
      </c>
      <c r="MC118" s="286">
        <f t="shared" si="863"/>
        <v>0</v>
      </c>
      <c r="MD118" s="286">
        <f t="shared" si="864"/>
        <v>0</v>
      </c>
      <c r="ME118" s="286">
        <f t="shared" si="865"/>
        <v>0</v>
      </c>
      <c r="MF118" s="286">
        <f t="shared" si="866"/>
        <v>0</v>
      </c>
      <c r="MG118" s="286">
        <f t="shared" si="867"/>
        <v>0</v>
      </c>
      <c r="MH118" s="286">
        <f t="shared" si="868"/>
        <v>0</v>
      </c>
      <c r="MI118" s="286">
        <f t="shared" si="869"/>
        <v>0</v>
      </c>
      <c r="MJ118" s="286">
        <f t="shared" si="870"/>
        <v>0</v>
      </c>
      <c r="MK118" s="286">
        <f t="shared" si="871"/>
        <v>0</v>
      </c>
      <c r="ML118" s="282">
        <f t="shared" si="872"/>
        <v>0</v>
      </c>
      <c r="MM118" s="1232">
        <f t="shared" si="873"/>
        <v>0</v>
      </c>
      <c r="MN118" s="1232">
        <f t="shared" si="874"/>
        <v>0</v>
      </c>
      <c r="MO118" s="1232">
        <f t="shared" si="875"/>
        <v>0</v>
      </c>
      <c r="MP118" s="1232">
        <f t="shared" si="876"/>
        <v>0</v>
      </c>
      <c r="MQ118" s="282">
        <f t="shared" si="877"/>
        <v>0</v>
      </c>
      <c r="MR118" s="282">
        <f t="shared" si="878"/>
        <v>0</v>
      </c>
      <c r="MS118" s="282">
        <f t="shared" si="879"/>
        <v>0</v>
      </c>
      <c r="MT118" s="282">
        <f t="shared" si="880"/>
        <v>0</v>
      </c>
      <c r="MU118" s="282">
        <f t="shared" si="881"/>
        <v>0</v>
      </c>
      <c r="MV118" s="282">
        <f t="shared" si="882"/>
        <v>0</v>
      </c>
      <c r="MW118" s="282">
        <f t="shared" si="883"/>
        <v>0</v>
      </c>
      <c r="MX118" s="282">
        <f t="shared" si="884"/>
        <v>0</v>
      </c>
      <c r="MY118" s="282">
        <f t="shared" si="885"/>
        <v>0</v>
      </c>
      <c r="MZ118" s="282">
        <f t="shared" si="886"/>
        <v>0</v>
      </c>
      <c r="NA118" s="282">
        <f t="shared" si="887"/>
        <v>0</v>
      </c>
      <c r="NB118" s="282">
        <f t="shared" si="888"/>
        <v>0</v>
      </c>
      <c r="NC118" s="282">
        <f t="shared" si="889"/>
        <v>0</v>
      </c>
      <c r="ND118" s="282">
        <f t="shared" si="890"/>
        <v>0</v>
      </c>
      <c r="NE118" s="282">
        <f t="shared" si="891"/>
        <v>0</v>
      </c>
      <c r="NF118" s="282">
        <f t="shared" si="892"/>
        <v>0</v>
      </c>
      <c r="NG118" s="282">
        <f t="shared" si="893"/>
        <v>0</v>
      </c>
      <c r="NH118" s="282">
        <f t="shared" si="894"/>
        <v>0</v>
      </c>
      <c r="NI118" s="282">
        <f t="shared" si="895"/>
        <v>0</v>
      </c>
      <c r="NJ118" s="282">
        <f t="shared" si="896"/>
        <v>0</v>
      </c>
      <c r="NK118" s="282">
        <f t="shared" si="897"/>
        <v>0</v>
      </c>
      <c r="NL118" s="282">
        <f t="shared" si="898"/>
        <v>0</v>
      </c>
      <c r="NM118" s="1205">
        <f t="shared" si="899"/>
        <v>0</v>
      </c>
      <c r="NN118" s="282">
        <f t="shared" si="900"/>
        <v>0</v>
      </c>
      <c r="NO118" s="282">
        <f t="shared" si="901"/>
        <v>0</v>
      </c>
      <c r="NP118" s="282">
        <f t="shared" si="902"/>
        <v>0</v>
      </c>
      <c r="NQ118" s="282">
        <f t="shared" si="903"/>
        <v>0</v>
      </c>
      <c r="NR118" s="282">
        <f t="shared" si="904"/>
        <v>0</v>
      </c>
      <c r="NS118" s="282">
        <f t="shared" si="905"/>
        <v>0</v>
      </c>
      <c r="NT118" s="282">
        <f t="shared" si="906"/>
        <v>0</v>
      </c>
      <c r="NU118" s="282">
        <f t="shared" si="907"/>
        <v>0</v>
      </c>
      <c r="NV118" s="286">
        <f t="shared" si="908"/>
        <v>0</v>
      </c>
      <c r="NW118" s="286">
        <f t="shared" si="909"/>
        <v>0</v>
      </c>
      <c r="NX118" s="286">
        <f t="shared" si="910"/>
        <v>0</v>
      </c>
      <c r="NY118" s="286">
        <f t="shared" si="911"/>
        <v>0</v>
      </c>
      <c r="NZ118" s="286">
        <f t="shared" si="912"/>
        <v>0</v>
      </c>
      <c r="OA118" s="286">
        <f t="shared" si="913"/>
        <v>0</v>
      </c>
      <c r="OB118" s="286">
        <f t="shared" si="914"/>
        <v>0</v>
      </c>
      <c r="OC118" s="286">
        <f t="shared" si="915"/>
        <v>0</v>
      </c>
      <c r="OD118" s="286">
        <f t="shared" si="916"/>
        <v>0</v>
      </c>
      <c r="OE118" s="282">
        <f t="shared" si="917"/>
        <v>0</v>
      </c>
      <c r="OF118" s="282">
        <f t="shared" si="918"/>
        <v>0</v>
      </c>
      <c r="OG118" s="286">
        <f t="shared" si="919"/>
        <v>0</v>
      </c>
      <c r="OH118" s="286">
        <f t="shared" si="920"/>
        <v>0</v>
      </c>
      <c r="OI118" s="286">
        <f t="shared" si="921"/>
        <v>0</v>
      </c>
      <c r="OJ118" s="286">
        <f t="shared" si="922"/>
        <v>0</v>
      </c>
      <c r="OK118" s="286">
        <f t="shared" si="923"/>
        <v>0</v>
      </c>
      <c r="OL118" s="286">
        <f t="shared" si="924"/>
        <v>0</v>
      </c>
      <c r="OM118" s="286">
        <f t="shared" si="925"/>
        <v>0</v>
      </c>
      <c r="ON118" s="286">
        <f t="shared" si="926"/>
        <v>0</v>
      </c>
      <c r="OO118" s="286">
        <f t="shared" si="927"/>
        <v>0</v>
      </c>
      <c r="OP118" s="434">
        <f t="shared" si="928"/>
        <v>0</v>
      </c>
      <c r="OQ118" s="434">
        <f t="shared" si="929"/>
        <v>0</v>
      </c>
      <c r="OR118" s="282">
        <f t="shared" si="930"/>
        <v>0</v>
      </c>
      <c r="OS118" s="282">
        <f t="shared" si="931"/>
        <v>0</v>
      </c>
      <c r="OT118" s="282">
        <f t="shared" si="932"/>
        <v>0</v>
      </c>
      <c r="OU118" s="282">
        <f t="shared" si="933"/>
        <v>0</v>
      </c>
      <c r="OV118" s="282">
        <f t="shared" si="934"/>
        <v>0</v>
      </c>
      <c r="OW118" s="286">
        <f t="shared" si="935"/>
        <v>0</v>
      </c>
      <c r="OX118" s="286">
        <f t="shared" si="936"/>
        <v>0</v>
      </c>
      <c r="OY118" s="286">
        <f t="shared" si="937"/>
        <v>0</v>
      </c>
      <c r="OZ118" s="286">
        <f t="shared" si="938"/>
        <v>0</v>
      </c>
      <c r="PA118" s="286">
        <f t="shared" si="939"/>
        <v>0</v>
      </c>
      <c r="PB118" s="286">
        <f t="shared" si="940"/>
        <v>0</v>
      </c>
      <c r="PC118" s="286">
        <f t="shared" si="941"/>
        <v>0</v>
      </c>
      <c r="PD118" s="282">
        <f t="shared" si="942"/>
        <v>0</v>
      </c>
      <c r="PE118" s="282">
        <f t="shared" si="943"/>
        <v>0</v>
      </c>
      <c r="PF118" s="286">
        <f t="shared" si="944"/>
        <v>0</v>
      </c>
      <c r="PG118" s="286">
        <f t="shared" si="945"/>
        <v>0</v>
      </c>
      <c r="PH118" s="286">
        <f t="shared" si="946"/>
        <v>0</v>
      </c>
      <c r="PI118" s="286">
        <f t="shared" si="947"/>
        <v>0</v>
      </c>
      <c r="PJ118" s="286">
        <f t="shared" si="948"/>
        <v>0</v>
      </c>
      <c r="PK118" s="286">
        <f t="shared" si="949"/>
        <v>0</v>
      </c>
      <c r="PL118" s="286">
        <f t="shared" si="950"/>
        <v>0</v>
      </c>
      <c r="PM118" s="562">
        <v>62</v>
      </c>
    </row>
    <row r="119" spans="1:431" s="289" customFormat="1" ht="15.75" customHeight="1">
      <c r="A119" s="1935" t="s">
        <v>724</v>
      </c>
      <c r="B119" s="1040" t="str">
        <f>VLOOKUP(A119,'Area (&amp;golfacre for lookup)'!$A$2:$B$162,2,FALSE)</f>
        <v>Yacht &amp; Beach</v>
      </c>
      <c r="C119" s="1936"/>
      <c r="D119" s="1937">
        <v>44742</v>
      </c>
      <c r="E119" s="402"/>
      <c r="F119" s="1936">
        <v>1</v>
      </c>
      <c r="G119" s="1936">
        <v>0</v>
      </c>
      <c r="H119" s="1936">
        <v>300</v>
      </c>
      <c r="I119" s="1936">
        <v>72</v>
      </c>
      <c r="J119" s="1936">
        <v>372</v>
      </c>
      <c r="K119" s="1938">
        <v>317.84779816513759</v>
      </c>
      <c r="L119" s="1939" t="s">
        <v>1208</v>
      </c>
      <c r="M119" s="1939" t="s">
        <v>1208</v>
      </c>
      <c r="N119" s="1939" t="s">
        <v>1208</v>
      </c>
      <c r="O119" s="1939" t="s">
        <v>1208</v>
      </c>
      <c r="P119" s="1939" t="s">
        <v>1208</v>
      </c>
      <c r="Q119" s="1936">
        <v>85000</v>
      </c>
      <c r="R119" s="1936">
        <v>89000</v>
      </c>
      <c r="S119" s="1936">
        <v>174000</v>
      </c>
      <c r="T119" s="1939" t="s">
        <v>1208</v>
      </c>
      <c r="U119" s="1939" t="s">
        <v>1208</v>
      </c>
      <c r="V119" s="1939" t="s">
        <v>1208</v>
      </c>
      <c r="W119" s="1936">
        <v>13000</v>
      </c>
      <c r="X119" s="1936">
        <v>10900</v>
      </c>
      <c r="Y119" s="1939" t="s">
        <v>1208</v>
      </c>
      <c r="Z119" s="1939" t="s">
        <v>1208</v>
      </c>
      <c r="AA119" s="1936">
        <v>2100</v>
      </c>
      <c r="AB119" s="1362">
        <v>0.19266055045871561</v>
      </c>
      <c r="AC119" s="1939" t="s">
        <v>1208</v>
      </c>
      <c r="AD119" s="1363" t="s">
        <v>1208</v>
      </c>
      <c r="AE119" s="1936">
        <v>1</v>
      </c>
      <c r="AF119" s="1936">
        <v>1500</v>
      </c>
      <c r="AG119" s="1939" t="s">
        <v>1208</v>
      </c>
      <c r="AH119" s="1936">
        <v>0</v>
      </c>
      <c r="AI119" s="1936">
        <v>0</v>
      </c>
      <c r="AJ119" s="1939" t="s">
        <v>1208</v>
      </c>
      <c r="AK119" s="1938">
        <v>0</v>
      </c>
      <c r="AL119" s="1938">
        <v>0</v>
      </c>
      <c r="AM119" s="1936">
        <v>12400</v>
      </c>
      <c r="AN119" s="1939" t="s">
        <v>1208</v>
      </c>
      <c r="AO119" s="1936">
        <v>720</v>
      </c>
      <c r="AP119" s="1936">
        <v>0</v>
      </c>
      <c r="AQ119" s="1936">
        <v>13120</v>
      </c>
      <c r="AR119" s="1939" t="s">
        <v>1208</v>
      </c>
      <c r="AS119" s="1363" t="s">
        <v>1208</v>
      </c>
      <c r="AT119" s="1363" t="s">
        <v>1208</v>
      </c>
      <c r="AU119" s="1363" t="s">
        <v>1208</v>
      </c>
      <c r="AV119" s="1363" t="s">
        <v>1208</v>
      </c>
      <c r="AW119" s="1363" t="s">
        <v>1291</v>
      </c>
      <c r="AX119" s="1938">
        <v>0</v>
      </c>
      <c r="AY119" s="1938">
        <v>0</v>
      </c>
      <c r="AZ119" s="1938">
        <v>0</v>
      </c>
      <c r="BA119" s="1938">
        <v>0</v>
      </c>
      <c r="BB119" s="1938">
        <v>0</v>
      </c>
      <c r="BC119" s="1938">
        <v>0</v>
      </c>
      <c r="BD119" s="1938">
        <v>0</v>
      </c>
      <c r="BE119" s="1936">
        <v>0</v>
      </c>
      <c r="BF119" s="1936">
        <v>0</v>
      </c>
      <c r="BG119" s="1936">
        <v>550000</v>
      </c>
      <c r="BH119" s="1936">
        <v>550000</v>
      </c>
      <c r="BI119" s="1938">
        <v>21099662</v>
      </c>
      <c r="BJ119" s="1936">
        <v>976857</v>
      </c>
      <c r="BK119" s="1936">
        <v>1550917</v>
      </c>
      <c r="BL119" s="1362">
        <v>0.62985769064366437</v>
      </c>
      <c r="BM119" s="1936">
        <v>1</v>
      </c>
      <c r="BN119" s="1936">
        <v>3197917</v>
      </c>
      <c r="BO119" s="1363" t="s">
        <v>1208</v>
      </c>
      <c r="BP119" s="1938">
        <v>6602696</v>
      </c>
      <c r="BQ119" s="1938">
        <v>3756114</v>
      </c>
      <c r="BR119" s="1940">
        <v>1.7578529299163976</v>
      </c>
      <c r="BS119" s="1409">
        <v>1</v>
      </c>
      <c r="BT119" s="1938">
        <v>4100505</v>
      </c>
      <c r="BU119" s="1938">
        <v>23926860</v>
      </c>
      <c r="BV119" s="1940">
        <v>0.17137664532663291</v>
      </c>
      <c r="BW119" s="1936">
        <v>10061.158260213981</v>
      </c>
      <c r="BX119" s="1936">
        <v>3073.3483309910321</v>
      </c>
      <c r="BY119" s="1936">
        <v>1730.3879503807289</v>
      </c>
      <c r="BZ119" s="1936">
        <v>0</v>
      </c>
      <c r="CA119" s="1936">
        <v>0</v>
      </c>
      <c r="CB119" s="1936">
        <v>0</v>
      </c>
      <c r="CC119" s="1936">
        <v>1166580</v>
      </c>
      <c r="CD119" s="1936">
        <v>3464541</v>
      </c>
      <c r="CE119" s="1936">
        <v>0</v>
      </c>
      <c r="CF119" s="1936">
        <v>0</v>
      </c>
      <c r="CG119" s="1936">
        <v>1154929</v>
      </c>
      <c r="CH119" s="1936">
        <v>607086</v>
      </c>
      <c r="CI119" s="1936">
        <v>311406</v>
      </c>
      <c r="CJ119" s="1936">
        <v>6704542</v>
      </c>
      <c r="CK119" s="1366">
        <v>0</v>
      </c>
      <c r="CL119" s="1366">
        <v>0</v>
      </c>
      <c r="CM119" s="1366">
        <v>0</v>
      </c>
      <c r="CN119" s="1366">
        <v>0.17399846253480103</v>
      </c>
      <c r="CO119" s="1366">
        <v>0.51674536456032338</v>
      </c>
      <c r="CP119" s="1366">
        <v>0</v>
      </c>
      <c r="CQ119" s="1366">
        <v>0</v>
      </c>
      <c r="CR119" s="1366">
        <v>0.17226068536821754</v>
      </c>
      <c r="CS119" s="1366">
        <v>9.0548466994464352E-2</v>
      </c>
      <c r="CT119" s="1366">
        <v>4.6447020542193636E-2</v>
      </c>
      <c r="CU119" s="1366">
        <v>1</v>
      </c>
      <c r="CV119" s="1936">
        <v>3012842</v>
      </c>
      <c r="CW119" s="1936">
        <v>842205</v>
      </c>
      <c r="CX119" s="1936">
        <v>0</v>
      </c>
      <c r="CY119" s="1936">
        <v>2493456</v>
      </c>
      <c r="CZ119" s="1936">
        <v>26065</v>
      </c>
      <c r="DA119" s="1936">
        <v>524739</v>
      </c>
      <c r="DB119" s="1936">
        <v>6899307</v>
      </c>
      <c r="DC119" s="1366">
        <v>0.43668762674280187</v>
      </c>
      <c r="DD119" s="1366">
        <v>0.12207095582208474</v>
      </c>
      <c r="DE119" s="1366">
        <v>0</v>
      </c>
      <c r="DF119" s="1366">
        <v>0.36140673258922962</v>
      </c>
      <c r="DG119" s="1366">
        <v>3.777915666022689E-3</v>
      </c>
      <c r="DH119" s="1366">
        <v>7.6056769179861108E-2</v>
      </c>
      <c r="DI119" s="1366">
        <v>1</v>
      </c>
      <c r="DJ119" s="1936">
        <v>-194765</v>
      </c>
      <c r="DK119" s="1936">
        <v>0</v>
      </c>
      <c r="DL119" s="1936">
        <v>0</v>
      </c>
      <c r="DM119" s="1936">
        <v>0</v>
      </c>
      <c r="DN119" s="1936">
        <v>3670.2472275548193</v>
      </c>
      <c r="DO119" s="1936">
        <v>10900</v>
      </c>
      <c r="DP119" s="1936">
        <v>0</v>
      </c>
      <c r="DQ119" s="1936">
        <v>0</v>
      </c>
      <c r="DR119" s="1936">
        <v>3633.5913184459359</v>
      </c>
      <c r="DS119" s="1936">
        <v>1909.9896349906094</v>
      </c>
      <c r="DT119" s="1936">
        <v>979.73307286592956</v>
      </c>
      <c r="DU119" s="1936">
        <v>21093.561253857293</v>
      </c>
      <c r="DV119" s="1936">
        <v>9478.8827149108656</v>
      </c>
      <c r="DW119" s="1936">
        <v>2649.7116068189121</v>
      </c>
      <c r="DX119" s="1936">
        <v>0</v>
      </c>
      <c r="DY119" s="1936">
        <v>7844.8113040082371</v>
      </c>
      <c r="DZ119" s="1936">
        <v>82.004658048497632</v>
      </c>
      <c r="EA119" s="1936">
        <v>1650.9128048996968</v>
      </c>
      <c r="EB119" s="1936">
        <v>21706.323088686207</v>
      </c>
      <c r="EC119" s="1936">
        <v>-612.76183482891395</v>
      </c>
      <c r="ED119" s="1941">
        <v>53</v>
      </c>
      <c r="EE119" s="1936">
        <v>0</v>
      </c>
      <c r="EF119" s="1936">
        <v>0</v>
      </c>
      <c r="EG119" s="1938">
        <v>0</v>
      </c>
      <c r="EH119" s="1938">
        <v>1</v>
      </c>
      <c r="EI119" s="1368">
        <v>0.04</v>
      </c>
      <c r="EJ119" s="1936">
        <v>5.9971282672667474</v>
      </c>
      <c r="EK119" s="1936">
        <v>1</v>
      </c>
      <c r="EL119" s="1936">
        <v>720</v>
      </c>
      <c r="EM119" s="1936">
        <v>1</v>
      </c>
      <c r="EN119" s="1362">
        <v>0.22</v>
      </c>
      <c r="EO119" s="1936">
        <v>0</v>
      </c>
      <c r="EP119" s="1936">
        <v>0</v>
      </c>
      <c r="EQ119" s="1936">
        <v>0</v>
      </c>
      <c r="ER119" s="1938">
        <v>0</v>
      </c>
      <c r="ES119" s="1936">
        <v>5543.5809534365453</v>
      </c>
      <c r="ET119" s="1936">
        <v>-2191.7093779522311</v>
      </c>
      <c r="EU119" s="1938">
        <v>2</v>
      </c>
      <c r="EV119" s="1936">
        <v>26022</v>
      </c>
      <c r="EW119" s="1936">
        <v>385</v>
      </c>
      <c r="EX119" s="1938">
        <v>1</v>
      </c>
      <c r="EY119" s="1936">
        <v>1154929</v>
      </c>
      <c r="EZ119" s="1936">
        <v>613973</v>
      </c>
      <c r="FA119" s="1936">
        <v>540956</v>
      </c>
      <c r="FB119" s="1936">
        <v>607086</v>
      </c>
      <c r="FC119" s="1936">
        <v>228232</v>
      </c>
      <c r="FD119" s="1936">
        <v>378854</v>
      </c>
      <c r="FE119" s="1936">
        <v>1762015</v>
      </c>
      <c r="FF119" s="1936">
        <v>842205</v>
      </c>
      <c r="FG119" s="1936">
        <v>919810</v>
      </c>
      <c r="FH119" s="1366">
        <v>1</v>
      </c>
      <c r="FI119" s="1366">
        <v>0.53161103409819999</v>
      </c>
      <c r="FJ119" s="1366">
        <v>0.46838896590180001</v>
      </c>
      <c r="FK119" s="1366">
        <v>1</v>
      </c>
      <c r="FL119" s="1366">
        <v>0.37594673571783899</v>
      </c>
      <c r="FM119" s="1366">
        <v>0.62405326428216101</v>
      </c>
      <c r="FN119" s="1366">
        <v>1</v>
      </c>
      <c r="FO119" s="1366">
        <v>0.47797833730132833</v>
      </c>
      <c r="FP119" s="1366">
        <v>0.52202166269867167</v>
      </c>
      <c r="FQ119" s="1936">
        <v>1033120</v>
      </c>
      <c r="FR119" s="1936">
        <v>0</v>
      </c>
      <c r="FS119" s="1936">
        <v>203162</v>
      </c>
      <c r="FT119" s="1936">
        <v>45405</v>
      </c>
      <c r="FU119" s="1936">
        <v>1408</v>
      </c>
      <c r="FV119" s="1936">
        <v>20459</v>
      </c>
      <c r="FW119" s="1936">
        <v>312886</v>
      </c>
      <c r="FX119" s="1936">
        <v>1616440</v>
      </c>
      <c r="FY119" s="1936">
        <v>-696630</v>
      </c>
      <c r="FZ119" s="1366">
        <v>0.58632872024358473</v>
      </c>
      <c r="GA119" s="1366">
        <v>0</v>
      </c>
      <c r="GB119" s="1366">
        <v>0.11530094806230366</v>
      </c>
      <c r="GC119" s="1366">
        <v>2.5768793114701066E-2</v>
      </c>
      <c r="GD119" s="1366">
        <v>7.9908513832175091E-4</v>
      </c>
      <c r="GE119" s="1366">
        <v>1.1611138384179476E-2</v>
      </c>
      <c r="GF119" s="1366">
        <v>0.17757283564555354</v>
      </c>
      <c r="GG119" s="1366">
        <v>0.91738152058864431</v>
      </c>
      <c r="GH119" s="1366">
        <v>-0.39535985788997258</v>
      </c>
      <c r="GI119" s="1942">
        <v>1.902414155490326</v>
      </c>
      <c r="GJ119" s="1943">
        <v>1</v>
      </c>
      <c r="GK119" s="1371">
        <v>0.03</v>
      </c>
      <c r="GL119" s="1943">
        <v>1</v>
      </c>
      <c r="GM119" s="1371">
        <v>0.03</v>
      </c>
      <c r="GN119" s="1943">
        <v>0</v>
      </c>
      <c r="GO119" s="1985">
        <f>IF(GN119=0,0,VLOOKUP(A119,'Area (&amp;golfacre for lookup)'!$G$2:$H$133,2,FALSE))</f>
        <v>0</v>
      </c>
      <c r="GP119" s="1943">
        <v>0</v>
      </c>
      <c r="GQ119" s="1943">
        <v>0</v>
      </c>
      <c r="GR119" s="1943">
        <v>0</v>
      </c>
      <c r="GS119" s="1943">
        <v>0</v>
      </c>
      <c r="GT119" s="1943">
        <v>0</v>
      </c>
      <c r="GU119" s="1943">
        <v>0</v>
      </c>
      <c r="GV119" s="1943">
        <v>0</v>
      </c>
      <c r="GW119" s="1943">
        <v>0</v>
      </c>
      <c r="GX119" s="1936">
        <v>0</v>
      </c>
      <c r="GY119" s="1985">
        <f t="shared" si="764"/>
        <v>0</v>
      </c>
      <c r="GZ119" s="1936">
        <v>0</v>
      </c>
      <c r="HA119" s="1936">
        <v>0</v>
      </c>
      <c r="HB119" s="1936">
        <v>0</v>
      </c>
      <c r="HC119" s="1936">
        <v>0</v>
      </c>
      <c r="HD119" s="1936">
        <v>0</v>
      </c>
      <c r="HE119" s="1936">
        <v>0</v>
      </c>
      <c r="HF119" s="1936">
        <v>0</v>
      </c>
      <c r="HG119" s="1936">
        <v>0</v>
      </c>
      <c r="HH119" s="1988">
        <f>IF(HG119=0,0,VLOOKUP(A119,'Area (&amp;golfacre for lookup)'!$G$2:$H$134,2,FALSE))</f>
        <v>0</v>
      </c>
      <c r="HI119" s="1936">
        <v>0</v>
      </c>
      <c r="HJ119" s="1936">
        <v>0</v>
      </c>
      <c r="HK119" s="1936">
        <v>0</v>
      </c>
      <c r="HL119" s="1936">
        <v>0</v>
      </c>
      <c r="HM119" s="1936">
        <v>0</v>
      </c>
      <c r="HN119" s="1936">
        <v>0</v>
      </c>
      <c r="HO119" s="1936">
        <v>0</v>
      </c>
      <c r="HP119" s="1936">
        <v>0</v>
      </c>
      <c r="HQ119" s="1936">
        <v>0</v>
      </c>
      <c r="HR119" s="1988">
        <f t="shared" si="765"/>
        <v>0</v>
      </c>
      <c r="HS119" s="1936">
        <v>0</v>
      </c>
      <c r="HT119" s="1936">
        <v>0</v>
      </c>
      <c r="HU119" s="1936">
        <v>0</v>
      </c>
      <c r="HV119" s="1936">
        <v>0</v>
      </c>
      <c r="HW119" s="1936">
        <v>0</v>
      </c>
      <c r="HX119" s="1936">
        <v>0</v>
      </c>
      <c r="HY119" s="1936">
        <v>0</v>
      </c>
      <c r="HZ119" s="51"/>
      <c r="IA119" s="59">
        <f t="shared" si="767"/>
        <v>0.49</v>
      </c>
      <c r="IB119" s="59"/>
      <c r="IC119" s="815">
        <f t="shared" si="768"/>
        <v>1</v>
      </c>
      <c r="ID119" s="815"/>
      <c r="IE119" s="284">
        <f t="shared" si="769"/>
        <v>0</v>
      </c>
      <c r="IF119" s="284"/>
      <c r="IG119" s="284">
        <f t="shared" si="770"/>
        <v>66382.910694374819</v>
      </c>
      <c r="IH119" s="284"/>
      <c r="II119" s="1288">
        <f t="shared" si="771"/>
        <v>1.7578529299163976</v>
      </c>
      <c r="IJ119" s="1288">
        <f t="shared" si="772"/>
        <v>0</v>
      </c>
      <c r="IK119" s="284">
        <f t="shared" si="773"/>
        <v>0</v>
      </c>
      <c r="IL119" s="284">
        <f t="shared" si="774"/>
        <v>0</v>
      </c>
      <c r="IM119" s="284">
        <f t="shared" si="775"/>
        <v>1</v>
      </c>
      <c r="IN119" s="284">
        <f t="shared" si="776"/>
        <v>0</v>
      </c>
      <c r="IO119" s="753">
        <f t="shared" si="777"/>
        <v>-1872.6612903225807</v>
      </c>
      <c r="IP119" s="113">
        <f t="shared" si="778"/>
        <v>-2191.7093779522311</v>
      </c>
      <c r="IQ119" s="30">
        <f t="shared" si="779"/>
        <v>-0.20107425485800284</v>
      </c>
      <c r="IR119" s="438">
        <f t="shared" si="780"/>
        <v>1154929</v>
      </c>
      <c r="IS119" s="438">
        <f t="shared" si="781"/>
        <v>607086</v>
      </c>
      <c r="IT119" s="438">
        <f t="shared" si="782"/>
        <v>1033120</v>
      </c>
      <c r="IU119" s="438">
        <f t="shared" si="783"/>
        <v>248567</v>
      </c>
      <c r="IV119" s="438">
        <f t="shared" si="784"/>
        <v>842205</v>
      </c>
      <c r="IW119" s="438">
        <f t="shared" si="785"/>
        <v>334753</v>
      </c>
      <c r="IX119" s="285">
        <f t="shared" si="786"/>
        <v>0.65545923275341011</v>
      </c>
      <c r="IY119" s="285">
        <f t="shared" si="787"/>
        <v>0.34454076724658983</v>
      </c>
      <c r="IZ119" s="285">
        <f t="shared" si="788"/>
        <v>0.58632872024358473</v>
      </c>
      <c r="JA119" s="285">
        <f t="shared" si="789"/>
        <v>0.14106974117700474</v>
      </c>
      <c r="JB119" s="285">
        <f t="shared" si="790"/>
        <v>0.47797833730132833</v>
      </c>
      <c r="JC119" s="285">
        <f t="shared" si="791"/>
        <v>0.18998305916805475</v>
      </c>
      <c r="JD119" s="60">
        <f t="shared" si="792"/>
        <v>3464541</v>
      </c>
      <c r="JE119" s="60">
        <f t="shared" si="793"/>
        <v>1166580</v>
      </c>
      <c r="JF119" s="60">
        <f t="shared" si="794"/>
        <v>0</v>
      </c>
      <c r="JG119" s="60">
        <f t="shared" si="795"/>
        <v>550804</v>
      </c>
      <c r="JH119" s="284">
        <f t="shared" si="796"/>
        <v>0</v>
      </c>
      <c r="JI119" s="284" t="str">
        <f t="shared" si="797"/>
        <v/>
      </c>
      <c r="JJ119" s="560">
        <f t="shared" si="798"/>
        <v>0</v>
      </c>
      <c r="JK119" s="561">
        <f t="shared" si="799"/>
        <v>0.44937327560928098</v>
      </c>
      <c r="JL119" s="561">
        <f t="shared" si="800"/>
        <v>0.12561708167388616</v>
      </c>
      <c r="JM119" s="561">
        <f t="shared" si="801"/>
        <v>0</v>
      </c>
      <c r="JN119" s="561">
        <f t="shared" si="802"/>
        <v>0.37190549332079653</v>
      </c>
      <c r="JO119" s="561">
        <f t="shared" si="803"/>
        <v>3.8876630200839969E-3</v>
      </c>
      <c r="JP119" s="561">
        <f t="shared" si="804"/>
        <v>7.826619625919265E-2</v>
      </c>
      <c r="JQ119" s="561">
        <f t="shared" si="805"/>
        <v>1.0290497098832405</v>
      </c>
      <c r="JR119" s="61">
        <f t="shared" si="806"/>
        <v>0</v>
      </c>
      <c r="JS119" s="61">
        <f t="shared" si="807"/>
        <v>0</v>
      </c>
      <c r="JT119" s="61">
        <f t="shared" si="808"/>
        <v>0</v>
      </c>
      <c r="JU119" s="61">
        <f t="shared" si="809"/>
        <v>0</v>
      </c>
      <c r="JV119" s="61">
        <f t="shared" si="810"/>
        <v>0</v>
      </c>
      <c r="JW119" s="61">
        <f t="shared" si="811"/>
        <v>0</v>
      </c>
      <c r="JX119" s="61">
        <f t="shared" si="812"/>
        <v>0</v>
      </c>
      <c r="JY119" s="394">
        <f t="shared" si="813"/>
        <v>0</v>
      </c>
      <c r="JZ119" s="61">
        <f t="shared" si="814"/>
        <v>0</v>
      </c>
      <c r="KA119" s="61">
        <f t="shared" si="815"/>
        <v>0</v>
      </c>
      <c r="KB119" s="61">
        <f t="shared" si="816"/>
        <v>0</v>
      </c>
      <c r="KC119" s="61">
        <f t="shared" si="817"/>
        <v>0</v>
      </c>
      <c r="KD119" s="61">
        <f t="shared" si="818"/>
        <v>0</v>
      </c>
      <c r="KE119" s="61">
        <f t="shared" si="819"/>
        <v>0</v>
      </c>
      <c r="KF119" s="61">
        <f t="shared" si="820"/>
        <v>0</v>
      </c>
      <c r="KG119" s="61">
        <f t="shared" si="821"/>
        <v>0</v>
      </c>
      <c r="KH119" s="61">
        <f t="shared" si="822"/>
        <v>0</v>
      </c>
      <c r="KI119" s="394">
        <f t="shared" si="823"/>
        <v>0</v>
      </c>
      <c r="KJ119" s="438">
        <f t="shared" si="824"/>
        <v>0</v>
      </c>
      <c r="KK119" s="438">
        <f t="shared" si="825"/>
        <v>0</v>
      </c>
      <c r="KL119" s="438">
        <f t="shared" si="826"/>
        <v>0</v>
      </c>
      <c r="KM119" s="438">
        <f t="shared" si="827"/>
        <v>0</v>
      </c>
      <c r="KN119" s="438">
        <f t="shared" si="828"/>
        <v>0</v>
      </c>
      <c r="KO119" s="438">
        <f t="shared" si="829"/>
        <v>0</v>
      </c>
      <c r="KP119" s="438">
        <f t="shared" si="830"/>
        <v>0</v>
      </c>
      <c r="KQ119" s="438">
        <f t="shared" si="831"/>
        <v>0</v>
      </c>
      <c r="KR119" s="438">
        <f t="shared" si="832"/>
        <v>0</v>
      </c>
      <c r="KS119" s="438">
        <f t="shared" si="833"/>
        <v>0</v>
      </c>
      <c r="KT119" s="438">
        <f t="shared" si="834"/>
        <v>0</v>
      </c>
      <c r="KU119" s="438">
        <f t="shared" si="835"/>
        <v>0</v>
      </c>
      <c r="KV119" s="420">
        <f t="shared" si="836"/>
        <v>0</v>
      </c>
      <c r="KW119" s="420">
        <f t="shared" si="837"/>
        <v>0</v>
      </c>
      <c r="KX119" s="108"/>
      <c r="KY119" s="282">
        <f t="shared" si="838"/>
        <v>0</v>
      </c>
      <c r="KZ119" s="282"/>
      <c r="LA119" s="282">
        <f t="shared" si="839"/>
        <v>0</v>
      </c>
      <c r="LB119" s="282"/>
      <c r="LC119" s="286">
        <f t="shared" si="951"/>
        <v>0</v>
      </c>
      <c r="LD119" s="286"/>
      <c r="LE119" s="282">
        <f t="shared" si="841"/>
        <v>0</v>
      </c>
      <c r="LF119" s="282"/>
      <c r="LG119" s="282">
        <f t="shared" si="842"/>
        <v>0</v>
      </c>
      <c r="LH119" s="282">
        <f t="shared" si="843"/>
        <v>0</v>
      </c>
      <c r="LI119" s="282">
        <f t="shared" si="844"/>
        <v>0</v>
      </c>
      <c r="LJ119" s="282">
        <f t="shared" si="845"/>
        <v>0</v>
      </c>
      <c r="LK119" s="282"/>
      <c r="LL119" s="282">
        <f t="shared" si="846"/>
        <v>0</v>
      </c>
      <c r="LM119" s="282">
        <f t="shared" si="847"/>
        <v>0</v>
      </c>
      <c r="LN119" s="282">
        <f t="shared" si="848"/>
        <v>0</v>
      </c>
      <c r="LO119" s="282">
        <f t="shared" si="849"/>
        <v>0</v>
      </c>
      <c r="LP119" s="286">
        <f t="shared" si="850"/>
        <v>0</v>
      </c>
      <c r="LQ119" s="282">
        <f t="shared" si="851"/>
        <v>0</v>
      </c>
      <c r="LR119" s="282">
        <f t="shared" si="852"/>
        <v>0</v>
      </c>
      <c r="LS119" s="282">
        <f t="shared" si="853"/>
        <v>0</v>
      </c>
      <c r="LT119" s="286">
        <f t="shared" si="854"/>
        <v>0</v>
      </c>
      <c r="LU119" s="286">
        <f t="shared" si="855"/>
        <v>0</v>
      </c>
      <c r="LV119" s="286">
        <f t="shared" si="856"/>
        <v>0</v>
      </c>
      <c r="LW119" s="286">
        <f t="shared" si="857"/>
        <v>0</v>
      </c>
      <c r="LX119" s="286">
        <f t="shared" si="858"/>
        <v>0</v>
      </c>
      <c r="LY119" s="286">
        <f t="shared" si="859"/>
        <v>0</v>
      </c>
      <c r="LZ119" s="286">
        <f t="shared" si="860"/>
        <v>0</v>
      </c>
      <c r="MA119" s="286">
        <f t="shared" si="861"/>
        <v>0</v>
      </c>
      <c r="MB119" s="286">
        <f t="shared" si="862"/>
        <v>0</v>
      </c>
      <c r="MC119" s="286">
        <f t="shared" si="863"/>
        <v>0</v>
      </c>
      <c r="MD119" s="286">
        <f t="shared" si="864"/>
        <v>0</v>
      </c>
      <c r="ME119" s="286">
        <f t="shared" si="865"/>
        <v>0</v>
      </c>
      <c r="MF119" s="286">
        <f t="shared" si="866"/>
        <v>0</v>
      </c>
      <c r="MG119" s="286">
        <f t="shared" si="867"/>
        <v>0</v>
      </c>
      <c r="MH119" s="286">
        <f t="shared" si="868"/>
        <v>0</v>
      </c>
      <c r="MI119" s="286">
        <f t="shared" si="869"/>
        <v>0</v>
      </c>
      <c r="MJ119" s="286">
        <f t="shared" si="870"/>
        <v>0</v>
      </c>
      <c r="MK119" s="286">
        <f t="shared" si="871"/>
        <v>0</v>
      </c>
      <c r="ML119" s="282">
        <f t="shared" si="872"/>
        <v>0</v>
      </c>
      <c r="MM119" s="1232">
        <f t="shared" si="873"/>
        <v>0</v>
      </c>
      <c r="MN119" s="1232">
        <f t="shared" si="874"/>
        <v>0</v>
      </c>
      <c r="MO119" s="1232">
        <f t="shared" si="875"/>
        <v>0</v>
      </c>
      <c r="MP119" s="1232">
        <f t="shared" si="876"/>
        <v>0</v>
      </c>
      <c r="MQ119" s="282">
        <f t="shared" si="877"/>
        <v>0</v>
      </c>
      <c r="MR119" s="282">
        <f t="shared" si="878"/>
        <v>0</v>
      </c>
      <c r="MS119" s="282">
        <f t="shared" si="879"/>
        <v>0</v>
      </c>
      <c r="MT119" s="282">
        <f t="shared" si="880"/>
        <v>0</v>
      </c>
      <c r="MU119" s="282">
        <f t="shared" si="881"/>
        <v>0</v>
      </c>
      <c r="MV119" s="282">
        <f t="shared" si="882"/>
        <v>0</v>
      </c>
      <c r="MW119" s="282">
        <f t="shared" si="883"/>
        <v>0</v>
      </c>
      <c r="MX119" s="282">
        <f t="shared" si="884"/>
        <v>0</v>
      </c>
      <c r="MY119" s="282">
        <f t="shared" si="885"/>
        <v>0</v>
      </c>
      <c r="MZ119" s="282">
        <f t="shared" si="886"/>
        <v>0</v>
      </c>
      <c r="NA119" s="282">
        <f t="shared" si="887"/>
        <v>0</v>
      </c>
      <c r="NB119" s="282">
        <f t="shared" si="888"/>
        <v>0</v>
      </c>
      <c r="NC119" s="282">
        <f t="shared" si="889"/>
        <v>0</v>
      </c>
      <c r="ND119" s="282">
        <f t="shared" si="890"/>
        <v>0</v>
      </c>
      <c r="NE119" s="282">
        <f t="shared" si="891"/>
        <v>0</v>
      </c>
      <c r="NF119" s="282">
        <f t="shared" si="892"/>
        <v>0</v>
      </c>
      <c r="NG119" s="282">
        <f t="shared" si="893"/>
        <v>0</v>
      </c>
      <c r="NH119" s="282">
        <f t="shared" si="894"/>
        <v>0</v>
      </c>
      <c r="NI119" s="282">
        <f t="shared" si="895"/>
        <v>0</v>
      </c>
      <c r="NJ119" s="282">
        <f t="shared" si="896"/>
        <v>0</v>
      </c>
      <c r="NK119" s="282">
        <f t="shared" si="897"/>
        <v>0</v>
      </c>
      <c r="NL119" s="282">
        <f t="shared" si="898"/>
        <v>0</v>
      </c>
      <c r="NM119" s="1205">
        <f t="shared" si="899"/>
        <v>0</v>
      </c>
      <c r="NN119" s="282">
        <f t="shared" si="900"/>
        <v>0</v>
      </c>
      <c r="NO119" s="282">
        <f t="shared" si="901"/>
        <v>0</v>
      </c>
      <c r="NP119" s="282">
        <f t="shared" si="902"/>
        <v>0</v>
      </c>
      <c r="NQ119" s="282">
        <f t="shared" si="903"/>
        <v>0</v>
      </c>
      <c r="NR119" s="282">
        <f t="shared" si="904"/>
        <v>0</v>
      </c>
      <c r="NS119" s="282">
        <f t="shared" si="905"/>
        <v>0</v>
      </c>
      <c r="NT119" s="282">
        <f t="shared" si="906"/>
        <v>0</v>
      </c>
      <c r="NU119" s="282">
        <f t="shared" si="907"/>
        <v>0</v>
      </c>
      <c r="NV119" s="286">
        <f t="shared" si="908"/>
        <v>0</v>
      </c>
      <c r="NW119" s="286">
        <f t="shared" si="909"/>
        <v>0</v>
      </c>
      <c r="NX119" s="286">
        <f t="shared" si="910"/>
        <v>0</v>
      </c>
      <c r="NY119" s="286">
        <f t="shared" si="911"/>
        <v>0</v>
      </c>
      <c r="NZ119" s="286">
        <f t="shared" si="912"/>
        <v>0</v>
      </c>
      <c r="OA119" s="286">
        <f t="shared" si="913"/>
        <v>0</v>
      </c>
      <c r="OB119" s="286">
        <f t="shared" si="914"/>
        <v>0</v>
      </c>
      <c r="OC119" s="286">
        <f t="shared" si="915"/>
        <v>0</v>
      </c>
      <c r="OD119" s="286">
        <f t="shared" si="916"/>
        <v>0</v>
      </c>
      <c r="OE119" s="282">
        <f t="shared" si="917"/>
        <v>0</v>
      </c>
      <c r="OF119" s="282">
        <f t="shared" si="918"/>
        <v>0</v>
      </c>
      <c r="OG119" s="286">
        <f t="shared" si="919"/>
        <v>0</v>
      </c>
      <c r="OH119" s="286">
        <f t="shared" si="920"/>
        <v>0</v>
      </c>
      <c r="OI119" s="286">
        <f t="shared" si="921"/>
        <v>0</v>
      </c>
      <c r="OJ119" s="286">
        <f t="shared" si="922"/>
        <v>0</v>
      </c>
      <c r="OK119" s="286">
        <f t="shared" si="923"/>
        <v>0</v>
      </c>
      <c r="OL119" s="286">
        <f t="shared" si="924"/>
        <v>0</v>
      </c>
      <c r="OM119" s="286">
        <f t="shared" si="925"/>
        <v>0</v>
      </c>
      <c r="ON119" s="286">
        <f t="shared" si="926"/>
        <v>0</v>
      </c>
      <c r="OO119" s="286">
        <f t="shared" si="927"/>
        <v>0</v>
      </c>
      <c r="OP119" s="434">
        <f t="shared" si="928"/>
        <v>0</v>
      </c>
      <c r="OQ119" s="434">
        <f t="shared" si="929"/>
        <v>0</v>
      </c>
      <c r="OR119" s="282">
        <f t="shared" si="930"/>
        <v>0</v>
      </c>
      <c r="OS119" s="282">
        <f t="shared" si="931"/>
        <v>0</v>
      </c>
      <c r="OT119" s="282">
        <f t="shared" si="932"/>
        <v>0</v>
      </c>
      <c r="OU119" s="282">
        <f t="shared" si="933"/>
        <v>0</v>
      </c>
      <c r="OV119" s="282">
        <f t="shared" si="934"/>
        <v>0</v>
      </c>
      <c r="OW119" s="286">
        <f t="shared" si="935"/>
        <v>0</v>
      </c>
      <c r="OX119" s="286">
        <f t="shared" si="936"/>
        <v>0</v>
      </c>
      <c r="OY119" s="286">
        <f t="shared" si="937"/>
        <v>0</v>
      </c>
      <c r="OZ119" s="286">
        <f t="shared" si="938"/>
        <v>0</v>
      </c>
      <c r="PA119" s="286">
        <f t="shared" si="939"/>
        <v>0</v>
      </c>
      <c r="PB119" s="286">
        <f t="shared" si="940"/>
        <v>0</v>
      </c>
      <c r="PC119" s="286">
        <f t="shared" si="941"/>
        <v>0</v>
      </c>
      <c r="PD119" s="282">
        <f t="shared" si="942"/>
        <v>0</v>
      </c>
      <c r="PE119" s="282">
        <f t="shared" si="943"/>
        <v>0</v>
      </c>
      <c r="PF119" s="286">
        <f t="shared" si="944"/>
        <v>0</v>
      </c>
      <c r="PG119" s="286">
        <f t="shared" si="945"/>
        <v>0</v>
      </c>
      <c r="PH119" s="286">
        <f t="shared" si="946"/>
        <v>0</v>
      </c>
      <c r="PI119" s="286">
        <f t="shared" si="947"/>
        <v>0</v>
      </c>
      <c r="PJ119" s="286">
        <f t="shared" si="948"/>
        <v>0</v>
      </c>
      <c r="PK119" s="286">
        <f t="shared" si="949"/>
        <v>0</v>
      </c>
      <c r="PL119" s="286">
        <f t="shared" si="950"/>
        <v>0</v>
      </c>
      <c r="PM119" s="562">
        <v>63</v>
      </c>
    </row>
    <row r="120" spans="1:431" s="289" customFormat="1" ht="15.75" customHeight="1">
      <c r="A120" s="1935" t="s">
        <v>1129</v>
      </c>
      <c r="B120" s="1040" t="str">
        <f>VLOOKUP(A120,'Area (&amp;golfacre for lookup)'!$A$2:$B$162,2,FALSE)</f>
        <v>SE exc BOCA</v>
      </c>
      <c r="C120" s="1936"/>
      <c r="D120" s="1937">
        <v>44834</v>
      </c>
      <c r="E120" s="402"/>
      <c r="F120" s="1936">
        <v>1</v>
      </c>
      <c r="G120" s="1936">
        <v>0</v>
      </c>
      <c r="H120" s="1936">
        <v>415</v>
      </c>
      <c r="I120" s="1936">
        <v>229</v>
      </c>
      <c r="J120" s="1936">
        <v>644</v>
      </c>
      <c r="K120" s="1938">
        <v>521.18082632802714</v>
      </c>
      <c r="L120" s="1939" t="s">
        <v>1208</v>
      </c>
      <c r="M120" s="1939" t="s">
        <v>1208</v>
      </c>
      <c r="N120" s="1939" t="s">
        <v>1208</v>
      </c>
      <c r="O120" s="1939" t="s">
        <v>1208</v>
      </c>
      <c r="P120" s="1939" t="s">
        <v>1208</v>
      </c>
      <c r="Q120" s="1936">
        <v>0</v>
      </c>
      <c r="R120" s="1936">
        <v>389500</v>
      </c>
      <c r="S120" s="1936">
        <v>389500</v>
      </c>
      <c r="T120" s="1939" t="s">
        <v>1208</v>
      </c>
      <c r="U120" s="1939" t="s">
        <v>1208</v>
      </c>
      <c r="V120" s="1939" t="s">
        <v>1208</v>
      </c>
      <c r="W120" s="1936">
        <v>19088</v>
      </c>
      <c r="X120" s="1936">
        <v>16773</v>
      </c>
      <c r="Y120" s="1939" t="s">
        <v>1208</v>
      </c>
      <c r="Z120" s="1939" t="s">
        <v>1208</v>
      </c>
      <c r="AA120" s="1936">
        <v>2315</v>
      </c>
      <c r="AB120" s="1362">
        <v>0.13801943599833066</v>
      </c>
      <c r="AC120" s="1939" t="s">
        <v>1208</v>
      </c>
      <c r="AD120" s="1363" t="s">
        <v>1208</v>
      </c>
      <c r="AE120" s="1936">
        <v>0</v>
      </c>
      <c r="AF120" s="1936">
        <v>0</v>
      </c>
      <c r="AG120" s="1939" t="s">
        <v>1208</v>
      </c>
      <c r="AH120" s="1936">
        <v>0</v>
      </c>
      <c r="AI120" s="1936">
        <v>0</v>
      </c>
      <c r="AJ120" s="1939" t="s">
        <v>1208</v>
      </c>
      <c r="AK120" s="1938">
        <v>1</v>
      </c>
      <c r="AL120" s="1938">
        <v>2490</v>
      </c>
      <c r="AM120" s="1936">
        <v>19263</v>
      </c>
      <c r="AN120" s="1939" t="s">
        <v>1208</v>
      </c>
      <c r="AO120" s="1936">
        <v>1800</v>
      </c>
      <c r="AP120" s="1936">
        <v>642</v>
      </c>
      <c r="AQ120" s="1936">
        <v>21705</v>
      </c>
      <c r="AR120" s="1939" t="s">
        <v>1208</v>
      </c>
      <c r="AS120" s="1363" t="s">
        <v>1208</v>
      </c>
      <c r="AT120" s="1363" t="s">
        <v>1208</v>
      </c>
      <c r="AU120" s="1363" t="s">
        <v>1208</v>
      </c>
      <c r="AV120" s="1363" t="s">
        <v>1208</v>
      </c>
      <c r="AW120" s="1363" t="s">
        <v>1291</v>
      </c>
      <c r="AX120" s="1938">
        <v>0</v>
      </c>
      <c r="AY120" s="1938">
        <v>0</v>
      </c>
      <c r="AZ120" s="1938">
        <v>0</v>
      </c>
      <c r="BA120" s="1938">
        <v>0</v>
      </c>
      <c r="BB120" s="1938">
        <v>0</v>
      </c>
      <c r="BC120" s="1938">
        <v>0</v>
      </c>
      <c r="BD120" s="1938">
        <v>0</v>
      </c>
      <c r="BE120" s="1936">
        <v>0</v>
      </c>
      <c r="BF120" s="1936">
        <v>0</v>
      </c>
      <c r="BG120" s="1936">
        <v>1033827</v>
      </c>
      <c r="BH120" s="1936">
        <v>1033827</v>
      </c>
      <c r="BI120" s="1938">
        <v>21397313</v>
      </c>
      <c r="BJ120" s="1936">
        <v>2007647</v>
      </c>
      <c r="BK120" s="1936">
        <v>2659555</v>
      </c>
      <c r="BL120" s="1362">
        <v>0.75488079772743932</v>
      </c>
      <c r="BM120" s="1936">
        <v>1</v>
      </c>
      <c r="BN120" s="1936">
        <v>1595020</v>
      </c>
      <c r="BO120" s="1363" t="s">
        <v>1208</v>
      </c>
      <c r="BP120" s="1938">
        <v>2763483</v>
      </c>
      <c r="BQ120" s="1938">
        <v>3498081</v>
      </c>
      <c r="BR120" s="1940">
        <v>0.78999971698768556</v>
      </c>
      <c r="BS120" s="1409">
        <v>0</v>
      </c>
      <c r="BT120" s="1938">
        <v>4009821</v>
      </c>
      <c r="BU120" s="1938">
        <v>27942459</v>
      </c>
      <c r="BV120" s="1940">
        <v>0.14350279622849227</v>
      </c>
      <c r="BW120" s="1936">
        <v>3060.3965445883591</v>
      </c>
      <c r="BX120" s="1936">
        <v>3852.112162576761</v>
      </c>
      <c r="BY120" s="1936">
        <v>1983.6243924854546</v>
      </c>
      <c r="BZ120" s="1936">
        <v>1700428</v>
      </c>
      <c r="CA120" s="1936">
        <v>469045</v>
      </c>
      <c r="CB120" s="1936">
        <v>2027001</v>
      </c>
      <c r="CC120" s="1936">
        <v>402527</v>
      </c>
      <c r="CD120" s="1936">
        <v>8741766</v>
      </c>
      <c r="CE120" s="1936">
        <v>0</v>
      </c>
      <c r="CF120" s="1936">
        <v>0</v>
      </c>
      <c r="CG120" s="1936">
        <v>1490893</v>
      </c>
      <c r="CH120" s="1936">
        <v>657003</v>
      </c>
      <c r="CI120" s="1936">
        <v>334953</v>
      </c>
      <c r="CJ120" s="1936">
        <v>15823616</v>
      </c>
      <c r="CK120" s="1366">
        <v>0.1074614045234667</v>
      </c>
      <c r="CL120" s="1366">
        <v>2.9642086865606446E-2</v>
      </c>
      <c r="CM120" s="1366">
        <v>0.12809973396725502</v>
      </c>
      <c r="CN120" s="1366">
        <v>2.543837009189303E-2</v>
      </c>
      <c r="CO120" s="1366">
        <v>0.55245059030755039</v>
      </c>
      <c r="CP120" s="1366">
        <v>0</v>
      </c>
      <c r="CQ120" s="1366">
        <v>0</v>
      </c>
      <c r="CR120" s="1366">
        <v>9.4219488137224763E-2</v>
      </c>
      <c r="CS120" s="1366">
        <v>4.1520408483117895E-2</v>
      </c>
      <c r="CT120" s="1366">
        <v>2.1167917623885715E-2</v>
      </c>
      <c r="CU120" s="1366">
        <v>1</v>
      </c>
      <c r="CV120" s="1936">
        <v>8498151</v>
      </c>
      <c r="CW120" s="1936">
        <v>1016210</v>
      </c>
      <c r="CX120" s="1936">
        <v>837030</v>
      </c>
      <c r="CY120" s="1936">
        <v>5354042</v>
      </c>
      <c r="CZ120" s="1936">
        <v>256531</v>
      </c>
      <c r="DA120" s="1936">
        <v>350048</v>
      </c>
      <c r="DB120" s="1936">
        <v>16312012</v>
      </c>
      <c r="DC120" s="1366">
        <v>0.52097503361326614</v>
      </c>
      <c r="DD120" s="1366">
        <v>6.2298262164103363E-2</v>
      </c>
      <c r="DE120" s="1366">
        <v>5.1313718994321487E-2</v>
      </c>
      <c r="DF120" s="1366">
        <v>0.32822695324157436</v>
      </c>
      <c r="DG120" s="1366">
        <v>1.5726508783833654E-2</v>
      </c>
      <c r="DH120" s="1366">
        <v>2.1459523202901027E-2</v>
      </c>
      <c r="DI120" s="1366">
        <v>1</v>
      </c>
      <c r="DJ120" s="1936">
        <v>-488396</v>
      </c>
      <c r="DK120" s="1936">
        <v>3262.6449671610981</v>
      </c>
      <c r="DL120" s="1936">
        <v>899.96595481965551</v>
      </c>
      <c r="DM120" s="1936">
        <v>3889.2470666682229</v>
      </c>
      <c r="DN120" s="1936">
        <v>772.33654744361729</v>
      </c>
      <c r="DO120" s="1936">
        <v>16773</v>
      </c>
      <c r="DP120" s="1936">
        <v>0</v>
      </c>
      <c r="DQ120" s="1936">
        <v>0</v>
      </c>
      <c r="DR120" s="1936">
        <v>2860.606002151053</v>
      </c>
      <c r="DS120" s="1936">
        <v>1260.6047014985302</v>
      </c>
      <c r="DT120" s="1936">
        <v>642.68097189972832</v>
      </c>
      <c r="DU120" s="1936">
        <v>30361.086211641908</v>
      </c>
      <c r="DV120" s="1936">
        <v>16305.571062300229</v>
      </c>
      <c r="DW120" s="1936">
        <v>1949.8223047837246</v>
      </c>
      <c r="DX120" s="1936">
        <v>1606.0260810001093</v>
      </c>
      <c r="DY120" s="1936">
        <v>10272.906694825737</v>
      </c>
      <c r="DZ120" s="1936">
        <v>492.21112335882708</v>
      </c>
      <c r="EA120" s="1936">
        <v>671.64404812482974</v>
      </c>
      <c r="EB120" s="1936">
        <v>31298.181314393456</v>
      </c>
      <c r="EC120" s="1936">
        <v>-937.09510275154935</v>
      </c>
      <c r="ED120" s="1941">
        <v>140</v>
      </c>
      <c r="EE120" s="1936">
        <v>0</v>
      </c>
      <c r="EF120" s="1936">
        <v>0</v>
      </c>
      <c r="EG120" s="1938">
        <v>0</v>
      </c>
      <c r="EH120" s="1938">
        <v>1</v>
      </c>
      <c r="EI120" s="1368">
        <v>0.18</v>
      </c>
      <c r="EJ120" s="1936">
        <v>3.7227201880573366</v>
      </c>
      <c r="EK120" s="1936">
        <v>1</v>
      </c>
      <c r="EL120" s="1936">
        <v>1800</v>
      </c>
      <c r="EM120" s="1936">
        <v>0</v>
      </c>
      <c r="EN120" s="1362">
        <v>0</v>
      </c>
      <c r="EO120" s="1936">
        <v>1</v>
      </c>
      <c r="EP120" s="1936">
        <v>53.5</v>
      </c>
      <c r="EQ120" s="1936">
        <v>1</v>
      </c>
      <c r="ER120" s="1938">
        <v>0</v>
      </c>
      <c r="ES120" s="1936">
        <v>4121.2107036495836</v>
      </c>
      <c r="ET120" s="1936">
        <v>-2753.9155845626619</v>
      </c>
      <c r="EU120" s="1938">
        <v>2</v>
      </c>
      <c r="EV120" s="1936">
        <v>55667</v>
      </c>
      <c r="EW120" s="1936">
        <v>3137</v>
      </c>
      <c r="EX120" s="1938">
        <v>2</v>
      </c>
      <c r="EY120" s="1936">
        <v>1490893</v>
      </c>
      <c r="EZ120" s="1936">
        <v>682269</v>
      </c>
      <c r="FA120" s="1936">
        <v>808624</v>
      </c>
      <c r="FB120" s="1936">
        <v>657003</v>
      </c>
      <c r="FC120" s="1936">
        <v>333941</v>
      </c>
      <c r="FD120" s="1936">
        <v>323062</v>
      </c>
      <c r="FE120" s="1936">
        <v>2147896</v>
      </c>
      <c r="FF120" s="1936">
        <v>1016210</v>
      </c>
      <c r="FG120" s="1936">
        <v>1131686</v>
      </c>
      <c r="FH120" s="1366">
        <v>1</v>
      </c>
      <c r="FI120" s="1366">
        <v>0.45762439021445539</v>
      </c>
      <c r="FJ120" s="1366">
        <v>0.54237560978554467</v>
      </c>
      <c r="FK120" s="1366">
        <v>1</v>
      </c>
      <c r="FL120" s="1366">
        <v>0.50827926204294349</v>
      </c>
      <c r="FM120" s="1366">
        <v>0.49172073795705651</v>
      </c>
      <c r="FN120" s="1366">
        <v>1</v>
      </c>
      <c r="FO120" s="1366">
        <v>0.47311881022172397</v>
      </c>
      <c r="FP120" s="1366">
        <v>0.52688118977827603</v>
      </c>
      <c r="FQ120" s="1936">
        <v>2184490.2000000002</v>
      </c>
      <c r="FR120" s="1936">
        <v>-429579.2</v>
      </c>
      <c r="FS120" s="1936">
        <v>366841</v>
      </c>
      <c r="FT120" s="1936">
        <v>58005</v>
      </c>
      <c r="FU120" s="1936">
        <v>21030</v>
      </c>
      <c r="FV120" s="1936">
        <v>10409</v>
      </c>
      <c r="FW120" s="1936">
        <v>355778</v>
      </c>
      <c r="FX120" s="1936">
        <v>2566974</v>
      </c>
      <c r="FY120" s="1936">
        <v>-1435288</v>
      </c>
      <c r="FZ120" s="1366">
        <v>1.0170372308528906</v>
      </c>
      <c r="GA120" s="1366">
        <v>-0.2</v>
      </c>
      <c r="GB120" s="1366">
        <v>0.17079085765791269</v>
      </c>
      <c r="GC120" s="1366">
        <v>2.700549747287578E-2</v>
      </c>
      <c r="GD120" s="1366">
        <v>9.7909768443164846E-3</v>
      </c>
      <c r="GE120" s="1366">
        <v>4.8461378018302562E-3</v>
      </c>
      <c r="GF120" s="1366">
        <v>0.16564023584009654</v>
      </c>
      <c r="GG120" s="1366">
        <v>1.1951109364699222</v>
      </c>
      <c r="GH120" s="1366">
        <v>-0.66822974669164614</v>
      </c>
      <c r="GI120" s="1942">
        <v>2.269233169407141</v>
      </c>
      <c r="GJ120" s="1943">
        <v>1</v>
      </c>
      <c r="GK120" s="1371">
        <v>7.0000000000000007E-2</v>
      </c>
      <c r="GL120" s="1943">
        <v>1</v>
      </c>
      <c r="GM120" s="1371">
        <v>2.5000000000000001E-2</v>
      </c>
      <c r="GN120" s="1943">
        <v>18</v>
      </c>
      <c r="GO120" s="1985">
        <f>IF(GN120=0,0,VLOOKUP(A120,'Area (&amp;golfacre for lookup)'!$G$2:$H$133,2,FALSE))</f>
        <v>120</v>
      </c>
      <c r="GP120" s="1943">
        <v>26408</v>
      </c>
      <c r="GQ120" s="1943">
        <v>1443714</v>
      </c>
      <c r="GR120" s="1943">
        <v>219170</v>
      </c>
      <c r="GS120" s="1943">
        <v>1002951</v>
      </c>
      <c r="GT120" s="1943">
        <v>342425</v>
      </c>
      <c r="GU120" s="1943">
        <v>0</v>
      </c>
      <c r="GV120" s="1943">
        <v>1171910</v>
      </c>
      <c r="GW120" s="1943">
        <v>4180170</v>
      </c>
      <c r="GX120" s="1943">
        <v>232231.66666666666</v>
      </c>
      <c r="GY120" s="1985">
        <f t="shared" si="764"/>
        <v>34834.75</v>
      </c>
      <c r="GZ120" s="1366">
        <v>0.34537207816906967</v>
      </c>
      <c r="HA120" s="1366">
        <v>5.2430881997622109E-2</v>
      </c>
      <c r="HB120" s="1366">
        <v>0.23993067267599164</v>
      </c>
      <c r="HC120" s="1366">
        <v>8.1916524926019751E-2</v>
      </c>
      <c r="HD120" s="1366">
        <v>0</v>
      </c>
      <c r="HE120" s="1366">
        <v>0.28034984223129683</v>
      </c>
      <c r="HF120" s="1366">
        <v>1</v>
      </c>
      <c r="HG120" s="1936">
        <v>0</v>
      </c>
      <c r="HH120" s="1988">
        <f>IF(HG120=0,0,VLOOKUP(A120,'Area (&amp;golfacre for lookup)'!$G$2:$H$134,2,FALSE))</f>
        <v>0</v>
      </c>
      <c r="HI120" s="1936">
        <v>0</v>
      </c>
      <c r="HJ120" s="1936">
        <v>0</v>
      </c>
      <c r="HK120" s="1936">
        <v>0</v>
      </c>
      <c r="HL120" s="1936">
        <v>0</v>
      </c>
      <c r="HM120" s="1936">
        <v>0</v>
      </c>
      <c r="HN120" s="1936">
        <v>0</v>
      </c>
      <c r="HO120" s="1936">
        <v>0</v>
      </c>
      <c r="HP120" s="1936">
        <v>0</v>
      </c>
      <c r="HQ120" s="1936">
        <v>0</v>
      </c>
      <c r="HR120" s="1988">
        <f t="shared" si="765"/>
        <v>0</v>
      </c>
      <c r="HS120" s="1936">
        <v>0</v>
      </c>
      <c r="HT120" s="1936">
        <v>0</v>
      </c>
      <c r="HU120" s="1936">
        <v>0</v>
      </c>
      <c r="HV120" s="1936">
        <v>0</v>
      </c>
      <c r="HW120" s="1936">
        <v>0</v>
      </c>
      <c r="HX120" s="1936">
        <v>0</v>
      </c>
      <c r="HY120" s="1936">
        <v>0</v>
      </c>
      <c r="HZ120" s="51"/>
      <c r="IA120" s="59">
        <f t="shared" si="767"/>
        <v>0</v>
      </c>
      <c r="IB120" s="59"/>
      <c r="IC120" s="815">
        <f t="shared" si="768"/>
        <v>1</v>
      </c>
      <c r="ID120" s="815"/>
      <c r="IE120" s="284">
        <f t="shared" si="769"/>
        <v>0</v>
      </c>
      <c r="IF120" s="284"/>
      <c r="IG120" s="284">
        <f t="shared" si="770"/>
        <v>41055.449316419596</v>
      </c>
      <c r="IH120" s="284"/>
      <c r="II120" s="1288">
        <f t="shared" si="771"/>
        <v>0</v>
      </c>
      <c r="IJ120" s="1288">
        <f t="shared" si="772"/>
        <v>0.78999971698768556</v>
      </c>
      <c r="IK120" s="284">
        <f t="shared" si="773"/>
        <v>0</v>
      </c>
      <c r="IL120" s="284">
        <f t="shared" si="774"/>
        <v>1</v>
      </c>
      <c r="IM120" s="284">
        <f t="shared" si="775"/>
        <v>0</v>
      </c>
      <c r="IN120" s="284">
        <f t="shared" si="776"/>
        <v>0</v>
      </c>
      <c r="IO120" s="753">
        <f t="shared" si="777"/>
        <v>-2228.7080745341614</v>
      </c>
      <c r="IP120" s="113">
        <f t="shared" si="778"/>
        <v>-2753.9155845626619</v>
      </c>
      <c r="IQ120" s="30">
        <f t="shared" si="779"/>
        <v>-0.16418741933838082</v>
      </c>
      <c r="IR120" s="438">
        <f t="shared" si="780"/>
        <v>1490893</v>
      </c>
      <c r="IS120" s="438">
        <f t="shared" si="781"/>
        <v>657003</v>
      </c>
      <c r="IT120" s="438">
        <f t="shared" si="782"/>
        <v>2184490.2000000002</v>
      </c>
      <c r="IU120" s="438">
        <f t="shared" si="783"/>
        <v>424846</v>
      </c>
      <c r="IV120" s="438">
        <f t="shared" si="784"/>
        <v>1016210</v>
      </c>
      <c r="IW120" s="438">
        <f t="shared" si="785"/>
        <v>-42362.200000000012</v>
      </c>
      <c r="IX120" s="285">
        <f t="shared" si="786"/>
        <v>0.6941178716287939</v>
      </c>
      <c r="IY120" s="285">
        <f t="shared" si="787"/>
        <v>0.30588212837120604</v>
      </c>
      <c r="IZ120" s="285">
        <f t="shared" si="788"/>
        <v>1.0170372308528906</v>
      </c>
      <c r="JA120" s="285">
        <f t="shared" si="789"/>
        <v>0.19779635513078844</v>
      </c>
      <c r="JB120" s="285">
        <f t="shared" si="790"/>
        <v>0.47311881022172397</v>
      </c>
      <c r="JC120" s="285">
        <f t="shared" si="791"/>
        <v>-1.9722649513756723E-2</v>
      </c>
      <c r="JD120" s="60">
        <f t="shared" si="792"/>
        <v>8741766</v>
      </c>
      <c r="JE120" s="60">
        <f t="shared" si="793"/>
        <v>4599001</v>
      </c>
      <c r="JF120" s="60">
        <f t="shared" si="794"/>
        <v>0</v>
      </c>
      <c r="JG120" s="60">
        <f t="shared" si="795"/>
        <v>606579</v>
      </c>
      <c r="JH120" s="284">
        <f t="shared" si="796"/>
        <v>0</v>
      </c>
      <c r="JI120" s="284">
        <f t="shared" si="797"/>
        <v>1</v>
      </c>
      <c r="JJ120" s="560">
        <f t="shared" si="798"/>
        <v>0.41294010215091159</v>
      </c>
      <c r="JK120" s="561">
        <f t="shared" si="799"/>
        <v>0.53705493106000546</v>
      </c>
      <c r="JL120" s="561">
        <f t="shared" si="800"/>
        <v>6.4221098388636322E-2</v>
      </c>
      <c r="JM120" s="561">
        <f t="shared" si="801"/>
        <v>5.2897517229942889E-2</v>
      </c>
      <c r="JN120" s="561">
        <f t="shared" si="802"/>
        <v>0.33835768006503697</v>
      </c>
      <c r="JO120" s="561">
        <f t="shared" si="803"/>
        <v>1.621190756904111E-2</v>
      </c>
      <c r="JP120" s="561">
        <f t="shared" si="804"/>
        <v>2.2121871511543253E-2</v>
      </c>
      <c r="JQ120" s="561">
        <f t="shared" si="805"/>
        <v>1.0308650058242059</v>
      </c>
      <c r="JR120" s="61">
        <f t="shared" si="806"/>
        <v>80206.333333333328</v>
      </c>
      <c r="JS120" s="61">
        <f t="shared" si="807"/>
        <v>12176.111111111111</v>
      </c>
      <c r="JT120" s="61">
        <f t="shared" si="808"/>
        <v>55719.5</v>
      </c>
      <c r="JU120" s="61">
        <f t="shared" si="809"/>
        <v>19023.611111111109</v>
      </c>
      <c r="JV120" s="61">
        <f t="shared" si="810"/>
        <v>0</v>
      </c>
      <c r="JW120" s="61">
        <f t="shared" si="811"/>
        <v>65106.111111111109</v>
      </c>
      <c r="JX120" s="61">
        <f t="shared" si="812"/>
        <v>158.29180551348077</v>
      </c>
      <c r="JY120" s="394">
        <f t="shared" si="813"/>
        <v>0.2562632984821247</v>
      </c>
      <c r="JZ120" s="61">
        <f t="shared" si="814"/>
        <v>0</v>
      </c>
      <c r="KA120" s="61">
        <f t="shared" si="815"/>
        <v>0</v>
      </c>
      <c r="KB120" s="61">
        <f t="shared" si="816"/>
        <v>0</v>
      </c>
      <c r="KC120" s="61">
        <f t="shared" si="817"/>
        <v>0</v>
      </c>
      <c r="KD120" s="61">
        <f t="shared" si="818"/>
        <v>0</v>
      </c>
      <c r="KE120" s="61">
        <f t="shared" si="819"/>
        <v>0</v>
      </c>
      <c r="KF120" s="61">
        <f t="shared" si="820"/>
        <v>0</v>
      </c>
      <c r="KG120" s="61">
        <f t="shared" si="821"/>
        <v>0</v>
      </c>
      <c r="KH120" s="61">
        <f t="shared" si="822"/>
        <v>0</v>
      </c>
      <c r="KI120" s="394">
        <f t="shared" si="823"/>
        <v>0</v>
      </c>
      <c r="KJ120" s="438">
        <f t="shared" si="824"/>
        <v>18</v>
      </c>
      <c r="KK120" s="438">
        <f t="shared" si="825"/>
        <v>26408</v>
      </c>
      <c r="KL120" s="438">
        <f t="shared" si="826"/>
        <v>120</v>
      </c>
      <c r="KM120" s="438">
        <f t="shared" si="827"/>
        <v>232231.66666666666</v>
      </c>
      <c r="KN120" s="438">
        <f t="shared" si="828"/>
        <v>158.29180551348077</v>
      </c>
      <c r="KO120" s="438">
        <f t="shared" si="829"/>
        <v>34834.75</v>
      </c>
      <c r="KP120" s="438">
        <f t="shared" si="830"/>
        <v>1443714</v>
      </c>
      <c r="KQ120" s="438">
        <f t="shared" si="831"/>
        <v>219170</v>
      </c>
      <c r="KR120" s="438">
        <f t="shared" si="832"/>
        <v>1002951</v>
      </c>
      <c r="KS120" s="438">
        <f t="shared" si="833"/>
        <v>342425</v>
      </c>
      <c r="KT120" s="438">
        <f t="shared" si="834"/>
        <v>0</v>
      </c>
      <c r="KU120" s="438">
        <f t="shared" si="835"/>
        <v>1171910</v>
      </c>
      <c r="KV120" s="420">
        <f t="shared" si="836"/>
        <v>0.2562632984821247</v>
      </c>
      <c r="KW120" s="420">
        <f t="shared" si="837"/>
        <v>-0.34412497429009198</v>
      </c>
      <c r="KX120" s="108"/>
      <c r="KY120" s="282">
        <f t="shared" si="838"/>
        <v>0</v>
      </c>
      <c r="KZ120" s="282"/>
      <c r="LA120" s="282">
        <f t="shared" si="839"/>
        <v>0</v>
      </c>
      <c r="LB120" s="282"/>
      <c r="LC120" s="286">
        <f t="shared" si="951"/>
        <v>0</v>
      </c>
      <c r="LD120" s="286"/>
      <c r="LE120" s="282">
        <f t="shared" si="841"/>
        <v>0</v>
      </c>
      <c r="LF120" s="282"/>
      <c r="LG120" s="282">
        <f t="shared" si="842"/>
        <v>0</v>
      </c>
      <c r="LH120" s="282">
        <f t="shared" si="843"/>
        <v>0</v>
      </c>
      <c r="LI120" s="282">
        <f t="shared" si="844"/>
        <v>0</v>
      </c>
      <c r="LJ120" s="282">
        <f t="shared" si="845"/>
        <v>0</v>
      </c>
      <c r="LK120" s="282"/>
      <c r="LL120" s="282">
        <f t="shared" si="846"/>
        <v>0</v>
      </c>
      <c r="LM120" s="282">
        <f t="shared" si="847"/>
        <v>0</v>
      </c>
      <c r="LN120" s="282">
        <f t="shared" si="848"/>
        <v>0</v>
      </c>
      <c r="LO120" s="282">
        <f t="shared" si="849"/>
        <v>0</v>
      </c>
      <c r="LP120" s="286">
        <f t="shared" si="850"/>
        <v>0</v>
      </c>
      <c r="LQ120" s="282">
        <f t="shared" si="851"/>
        <v>0</v>
      </c>
      <c r="LR120" s="282">
        <f t="shared" si="852"/>
        <v>0</v>
      </c>
      <c r="LS120" s="282">
        <f t="shared" si="853"/>
        <v>0</v>
      </c>
      <c r="LT120" s="286">
        <f t="shared" si="854"/>
        <v>0</v>
      </c>
      <c r="LU120" s="286">
        <f t="shared" si="855"/>
        <v>0</v>
      </c>
      <c r="LV120" s="286">
        <f t="shared" si="856"/>
        <v>0</v>
      </c>
      <c r="LW120" s="286">
        <f t="shared" si="857"/>
        <v>0</v>
      </c>
      <c r="LX120" s="286">
        <f t="shared" si="858"/>
        <v>0</v>
      </c>
      <c r="LY120" s="286">
        <f t="shared" si="859"/>
        <v>0</v>
      </c>
      <c r="LZ120" s="286">
        <f t="shared" si="860"/>
        <v>0</v>
      </c>
      <c r="MA120" s="286">
        <f t="shared" si="861"/>
        <v>0</v>
      </c>
      <c r="MB120" s="286">
        <f t="shared" si="862"/>
        <v>0</v>
      </c>
      <c r="MC120" s="286">
        <f t="shared" si="863"/>
        <v>0</v>
      </c>
      <c r="MD120" s="286">
        <f t="shared" si="864"/>
        <v>0</v>
      </c>
      <c r="ME120" s="286">
        <f t="shared" si="865"/>
        <v>0</v>
      </c>
      <c r="MF120" s="286">
        <f t="shared" si="866"/>
        <v>0</v>
      </c>
      <c r="MG120" s="286">
        <f t="shared" si="867"/>
        <v>0</v>
      </c>
      <c r="MH120" s="286">
        <f t="shared" si="868"/>
        <v>0</v>
      </c>
      <c r="MI120" s="286">
        <f t="shared" si="869"/>
        <v>0</v>
      </c>
      <c r="MJ120" s="286">
        <f t="shared" si="870"/>
        <v>0</v>
      </c>
      <c r="MK120" s="286">
        <f t="shared" si="871"/>
        <v>0</v>
      </c>
      <c r="ML120" s="282">
        <f t="shared" si="872"/>
        <v>0</v>
      </c>
      <c r="MM120" s="1232">
        <f t="shared" si="873"/>
        <v>0</v>
      </c>
      <c r="MN120" s="1232">
        <f t="shared" si="874"/>
        <v>0</v>
      </c>
      <c r="MO120" s="1232">
        <f t="shared" si="875"/>
        <v>0</v>
      </c>
      <c r="MP120" s="1232">
        <f t="shared" si="876"/>
        <v>0</v>
      </c>
      <c r="MQ120" s="282">
        <f t="shared" si="877"/>
        <v>0</v>
      </c>
      <c r="MR120" s="282">
        <f t="shared" si="878"/>
        <v>0</v>
      </c>
      <c r="MS120" s="282">
        <f t="shared" si="879"/>
        <v>0</v>
      </c>
      <c r="MT120" s="282">
        <f t="shared" si="880"/>
        <v>0</v>
      </c>
      <c r="MU120" s="282">
        <f t="shared" si="881"/>
        <v>0</v>
      </c>
      <c r="MV120" s="282">
        <f t="shared" si="882"/>
        <v>0</v>
      </c>
      <c r="MW120" s="282">
        <f t="shared" si="883"/>
        <v>0</v>
      </c>
      <c r="MX120" s="282">
        <f t="shared" si="884"/>
        <v>0</v>
      </c>
      <c r="MY120" s="282">
        <f t="shared" si="885"/>
        <v>0</v>
      </c>
      <c r="MZ120" s="282">
        <f t="shared" si="886"/>
        <v>0</v>
      </c>
      <c r="NA120" s="282">
        <f t="shared" si="887"/>
        <v>0</v>
      </c>
      <c r="NB120" s="282">
        <f t="shared" si="888"/>
        <v>0</v>
      </c>
      <c r="NC120" s="282">
        <f t="shared" si="889"/>
        <v>0</v>
      </c>
      <c r="ND120" s="282">
        <f t="shared" si="890"/>
        <v>0</v>
      </c>
      <c r="NE120" s="282">
        <f t="shared" si="891"/>
        <v>0</v>
      </c>
      <c r="NF120" s="282">
        <f t="shared" si="892"/>
        <v>0</v>
      </c>
      <c r="NG120" s="282">
        <f t="shared" si="893"/>
        <v>0</v>
      </c>
      <c r="NH120" s="282">
        <f t="shared" si="894"/>
        <v>0</v>
      </c>
      <c r="NI120" s="282">
        <f t="shared" si="895"/>
        <v>0</v>
      </c>
      <c r="NJ120" s="282">
        <f t="shared" si="896"/>
        <v>0</v>
      </c>
      <c r="NK120" s="282">
        <f t="shared" si="897"/>
        <v>0</v>
      </c>
      <c r="NL120" s="282">
        <f t="shared" si="898"/>
        <v>0</v>
      </c>
      <c r="NM120" s="1205">
        <f t="shared" si="899"/>
        <v>0</v>
      </c>
      <c r="NN120" s="282">
        <f t="shared" si="900"/>
        <v>0</v>
      </c>
      <c r="NO120" s="282">
        <f t="shared" si="901"/>
        <v>0</v>
      </c>
      <c r="NP120" s="282">
        <f t="shared" si="902"/>
        <v>0</v>
      </c>
      <c r="NQ120" s="282">
        <f t="shared" si="903"/>
        <v>0</v>
      </c>
      <c r="NR120" s="282">
        <f t="shared" si="904"/>
        <v>0</v>
      </c>
      <c r="NS120" s="282">
        <f t="shared" si="905"/>
        <v>0</v>
      </c>
      <c r="NT120" s="282">
        <f t="shared" si="906"/>
        <v>0</v>
      </c>
      <c r="NU120" s="282">
        <f t="shared" si="907"/>
        <v>0</v>
      </c>
      <c r="NV120" s="286">
        <f t="shared" si="908"/>
        <v>0</v>
      </c>
      <c r="NW120" s="286">
        <f t="shared" si="909"/>
        <v>0</v>
      </c>
      <c r="NX120" s="286">
        <f t="shared" si="910"/>
        <v>0</v>
      </c>
      <c r="NY120" s="286">
        <f t="shared" si="911"/>
        <v>0</v>
      </c>
      <c r="NZ120" s="286">
        <f t="shared" si="912"/>
        <v>0</v>
      </c>
      <c r="OA120" s="286">
        <f t="shared" si="913"/>
        <v>0</v>
      </c>
      <c r="OB120" s="286">
        <f t="shared" si="914"/>
        <v>0</v>
      </c>
      <c r="OC120" s="286">
        <f t="shared" si="915"/>
        <v>0</v>
      </c>
      <c r="OD120" s="286">
        <f t="shared" si="916"/>
        <v>0</v>
      </c>
      <c r="OE120" s="282">
        <f t="shared" si="917"/>
        <v>0</v>
      </c>
      <c r="OF120" s="282">
        <f t="shared" si="918"/>
        <v>0</v>
      </c>
      <c r="OG120" s="286">
        <f t="shared" si="919"/>
        <v>0</v>
      </c>
      <c r="OH120" s="286">
        <f t="shared" si="920"/>
        <v>0</v>
      </c>
      <c r="OI120" s="286">
        <f t="shared" si="921"/>
        <v>0</v>
      </c>
      <c r="OJ120" s="286">
        <f t="shared" si="922"/>
        <v>0</v>
      </c>
      <c r="OK120" s="286">
        <f t="shared" si="923"/>
        <v>0</v>
      </c>
      <c r="OL120" s="286">
        <f t="shared" si="924"/>
        <v>0</v>
      </c>
      <c r="OM120" s="286">
        <f t="shared" si="925"/>
        <v>0</v>
      </c>
      <c r="ON120" s="286">
        <f t="shared" si="926"/>
        <v>0</v>
      </c>
      <c r="OO120" s="286">
        <f t="shared" si="927"/>
        <v>0</v>
      </c>
      <c r="OP120" s="434">
        <f t="shared" si="928"/>
        <v>0</v>
      </c>
      <c r="OQ120" s="434">
        <f t="shared" si="929"/>
        <v>0</v>
      </c>
      <c r="OR120" s="282">
        <f t="shared" si="930"/>
        <v>0</v>
      </c>
      <c r="OS120" s="282">
        <f t="shared" si="931"/>
        <v>0</v>
      </c>
      <c r="OT120" s="282">
        <f t="shared" si="932"/>
        <v>0</v>
      </c>
      <c r="OU120" s="282">
        <f t="shared" si="933"/>
        <v>0</v>
      </c>
      <c r="OV120" s="282">
        <f t="shared" si="934"/>
        <v>0</v>
      </c>
      <c r="OW120" s="286">
        <f t="shared" si="935"/>
        <v>0</v>
      </c>
      <c r="OX120" s="286">
        <f t="shared" si="936"/>
        <v>0</v>
      </c>
      <c r="OY120" s="286">
        <f t="shared" si="937"/>
        <v>0</v>
      </c>
      <c r="OZ120" s="286">
        <f t="shared" si="938"/>
        <v>0</v>
      </c>
      <c r="PA120" s="286">
        <f t="shared" si="939"/>
        <v>0</v>
      </c>
      <c r="PB120" s="286">
        <f t="shared" si="940"/>
        <v>0</v>
      </c>
      <c r="PC120" s="286">
        <f t="shared" si="941"/>
        <v>0</v>
      </c>
      <c r="PD120" s="282">
        <f t="shared" si="942"/>
        <v>0</v>
      </c>
      <c r="PE120" s="282">
        <f t="shared" si="943"/>
        <v>0</v>
      </c>
      <c r="PF120" s="286">
        <f t="shared" si="944"/>
        <v>0</v>
      </c>
      <c r="PG120" s="286">
        <f t="shared" si="945"/>
        <v>0</v>
      </c>
      <c r="PH120" s="286">
        <f t="shared" si="946"/>
        <v>0</v>
      </c>
      <c r="PI120" s="286">
        <f t="shared" si="947"/>
        <v>0</v>
      </c>
      <c r="PJ120" s="286">
        <f t="shared" si="948"/>
        <v>0</v>
      </c>
      <c r="PK120" s="286">
        <f t="shared" si="949"/>
        <v>0</v>
      </c>
      <c r="PL120" s="286">
        <f t="shared" si="950"/>
        <v>0</v>
      </c>
      <c r="PM120" s="562">
        <v>64</v>
      </c>
    </row>
    <row r="121" spans="1:431" s="289" customFormat="1" ht="15.75" customHeight="1">
      <c r="A121" s="1935" t="s">
        <v>986</v>
      </c>
      <c r="B121" s="1040" t="str">
        <f>VLOOKUP(A121,'Area (&amp;golfacre for lookup)'!$A$2:$B$162,2,FALSE)</f>
        <v>Yacht &amp; Beach</v>
      </c>
      <c r="C121" s="1936"/>
      <c r="D121" s="1937">
        <v>44681</v>
      </c>
      <c r="E121" s="402"/>
      <c r="F121" s="1936">
        <v>1</v>
      </c>
      <c r="G121" s="1936">
        <v>0</v>
      </c>
      <c r="H121" s="1936">
        <v>669</v>
      </c>
      <c r="I121" s="1936">
        <v>412</v>
      </c>
      <c r="J121" s="1936">
        <v>1081</v>
      </c>
      <c r="K121" s="1938">
        <v>858.40085548426521</v>
      </c>
      <c r="L121" s="1939" t="s">
        <v>1208</v>
      </c>
      <c r="M121" s="1939" t="s">
        <v>1208</v>
      </c>
      <c r="N121" s="1939" t="s">
        <v>1208</v>
      </c>
      <c r="O121" s="1939" t="s">
        <v>1208</v>
      </c>
      <c r="P121" s="1939" t="s">
        <v>1208</v>
      </c>
      <c r="Q121" s="1936">
        <v>0</v>
      </c>
      <c r="R121" s="1936">
        <v>25000</v>
      </c>
      <c r="S121" s="1936">
        <v>25000</v>
      </c>
      <c r="T121" s="1939" t="s">
        <v>1208</v>
      </c>
      <c r="U121" s="1939" t="s">
        <v>1208</v>
      </c>
      <c r="V121" s="1939" t="s">
        <v>1208</v>
      </c>
      <c r="W121" s="1936">
        <v>5200</v>
      </c>
      <c r="X121" s="1936">
        <v>3273</v>
      </c>
      <c r="Y121" s="1939" t="s">
        <v>1208</v>
      </c>
      <c r="Z121" s="1939" t="s">
        <v>1208</v>
      </c>
      <c r="AA121" s="1936">
        <v>1927</v>
      </c>
      <c r="AB121" s="1362">
        <v>0.58875649251451267</v>
      </c>
      <c r="AC121" s="1939" t="s">
        <v>1208</v>
      </c>
      <c r="AD121" s="1363" t="s">
        <v>1208</v>
      </c>
      <c r="AE121" s="1936">
        <v>1</v>
      </c>
      <c r="AF121" s="1936">
        <v>120</v>
      </c>
      <c r="AG121" s="1939" t="s">
        <v>1208</v>
      </c>
      <c r="AH121" s="1936">
        <v>1</v>
      </c>
      <c r="AI121" s="1936">
        <v>1805</v>
      </c>
      <c r="AJ121" s="1939" t="s">
        <v>1208</v>
      </c>
      <c r="AK121" s="1938">
        <v>1</v>
      </c>
      <c r="AL121" s="1938">
        <v>1740</v>
      </c>
      <c r="AM121" s="1936">
        <v>6938</v>
      </c>
      <c r="AN121" s="1939" t="s">
        <v>1208</v>
      </c>
      <c r="AO121" s="1936">
        <v>1000</v>
      </c>
      <c r="AP121" s="1936">
        <v>630</v>
      </c>
      <c r="AQ121" s="1936">
        <v>8568</v>
      </c>
      <c r="AR121" s="1939" t="s">
        <v>1208</v>
      </c>
      <c r="AS121" s="1363" t="s">
        <v>1208</v>
      </c>
      <c r="AT121" s="1363" t="s">
        <v>1208</v>
      </c>
      <c r="AU121" s="1363" t="s">
        <v>1208</v>
      </c>
      <c r="AV121" s="1363" t="s">
        <v>1208</v>
      </c>
      <c r="AW121" s="1363" t="s">
        <v>1291</v>
      </c>
      <c r="AX121" s="1938">
        <v>0</v>
      </c>
      <c r="AY121" s="1938">
        <v>0</v>
      </c>
      <c r="AZ121" s="1938">
        <v>0</v>
      </c>
      <c r="BA121" s="1938">
        <v>0</v>
      </c>
      <c r="BB121" s="1938">
        <v>0</v>
      </c>
      <c r="BC121" s="1938">
        <v>0</v>
      </c>
      <c r="BD121" s="1938">
        <v>0</v>
      </c>
      <c r="BE121" s="1936">
        <v>1</v>
      </c>
      <c r="BF121" s="1936">
        <v>500000</v>
      </c>
      <c r="BG121" s="1936">
        <v>755000</v>
      </c>
      <c r="BH121" s="1936">
        <v>1255000</v>
      </c>
      <c r="BI121" s="1938">
        <v>31713802</v>
      </c>
      <c r="BJ121" s="1936">
        <v>1822424</v>
      </c>
      <c r="BK121" s="1936">
        <v>1549039</v>
      </c>
      <c r="BL121" s="1362">
        <v>1.1764868411963805</v>
      </c>
      <c r="BM121" s="1936">
        <v>1</v>
      </c>
      <c r="BN121" s="1936">
        <v>18702236</v>
      </c>
      <c r="BO121" s="1363" t="s">
        <v>1208</v>
      </c>
      <c r="BP121" s="1938">
        <v>3879192</v>
      </c>
      <c r="BQ121" s="1938">
        <v>2834519</v>
      </c>
      <c r="BR121" s="1940">
        <v>1.3685538886844646</v>
      </c>
      <c r="BS121" s="1409">
        <v>1</v>
      </c>
      <c r="BT121" s="1938">
        <v>20433570</v>
      </c>
      <c r="BU121" s="1938">
        <v>16198427</v>
      </c>
      <c r="BV121" s="1940">
        <v>1.2614539671043368</v>
      </c>
      <c r="BW121" s="1936">
        <v>21787.298883164753</v>
      </c>
      <c r="BX121" s="1936">
        <v>2123.0454144548621</v>
      </c>
      <c r="BY121" s="1936">
        <v>1462.02091013993</v>
      </c>
      <c r="BZ121" s="1936">
        <v>0</v>
      </c>
      <c r="CA121" s="1936">
        <v>292772</v>
      </c>
      <c r="CB121" s="1936">
        <v>0</v>
      </c>
      <c r="CC121" s="1936">
        <v>1906985</v>
      </c>
      <c r="CD121" s="1936">
        <v>2809546</v>
      </c>
      <c r="CE121" s="1936">
        <v>1518451</v>
      </c>
      <c r="CF121" s="1936">
        <v>0</v>
      </c>
      <c r="CG121" s="1936">
        <v>3800295</v>
      </c>
      <c r="CH121" s="1936">
        <v>2053454</v>
      </c>
      <c r="CI121" s="1936">
        <v>150065</v>
      </c>
      <c r="CJ121" s="1936">
        <v>12531568</v>
      </c>
      <c r="CK121" s="1366">
        <v>0</v>
      </c>
      <c r="CL121" s="1366">
        <v>2.3362758754530956E-2</v>
      </c>
      <c r="CM121" s="1366">
        <v>0</v>
      </c>
      <c r="CN121" s="1366">
        <v>0.15217449244978762</v>
      </c>
      <c r="CO121" s="1366">
        <v>0.2241974827092667</v>
      </c>
      <c r="CP121" s="1366">
        <v>0.12117007225273006</v>
      </c>
      <c r="CQ121" s="1366">
        <v>0</v>
      </c>
      <c r="CR121" s="1366">
        <v>0.30325774077114692</v>
      </c>
      <c r="CS121" s="1366">
        <v>0.16386249510037371</v>
      </c>
      <c r="CT121" s="1366">
        <v>1.1974957962164032E-2</v>
      </c>
      <c r="CU121" s="1366">
        <v>1</v>
      </c>
      <c r="CV121" s="1936">
        <v>6086032</v>
      </c>
      <c r="CW121" s="1936">
        <v>2379705</v>
      </c>
      <c r="CX121" s="1936">
        <v>0</v>
      </c>
      <c r="CY121" s="1936">
        <v>3200899</v>
      </c>
      <c r="CZ121" s="1936">
        <v>374473</v>
      </c>
      <c r="DA121" s="1936">
        <v>501588</v>
      </c>
      <c r="DB121" s="1936">
        <v>12542697</v>
      </c>
      <c r="DC121" s="1366">
        <v>0.48522514735068545</v>
      </c>
      <c r="DD121" s="1366">
        <v>0.18972833354740212</v>
      </c>
      <c r="DE121" s="1366">
        <v>0</v>
      </c>
      <c r="DF121" s="1366">
        <v>0.25520021730573578</v>
      </c>
      <c r="DG121" s="1366">
        <v>2.9855859549186271E-2</v>
      </c>
      <c r="DH121" s="1366">
        <v>3.9990442246990422E-2</v>
      </c>
      <c r="DI121" s="1366">
        <v>1</v>
      </c>
      <c r="DJ121" s="1936">
        <v>-11129</v>
      </c>
      <c r="DK121" s="1936">
        <v>0</v>
      </c>
      <c r="DL121" s="1936">
        <v>341.06676167608572</v>
      </c>
      <c r="DM121" s="1936">
        <v>0</v>
      </c>
      <c r="DN121" s="1936">
        <v>2221.5553349188799</v>
      </c>
      <c r="DO121" s="1936">
        <v>3273</v>
      </c>
      <c r="DP121" s="1936">
        <v>1768.929970536165</v>
      </c>
      <c r="DQ121" s="1936">
        <v>0</v>
      </c>
      <c r="DR121" s="1936">
        <v>4427.1798842232874</v>
      </c>
      <c r="DS121" s="1936">
        <v>2392.1854071796652</v>
      </c>
      <c r="DT121" s="1936">
        <v>174.8192572750188</v>
      </c>
      <c r="DU121" s="1936">
        <v>14598.736615809103</v>
      </c>
      <c r="DV121" s="1936">
        <v>7089.964975124095</v>
      </c>
      <c r="DW121" s="1936">
        <v>2772.253760927922</v>
      </c>
      <c r="DX121" s="1936">
        <v>0</v>
      </c>
      <c r="DY121" s="1936">
        <v>3728.9093778852525</v>
      </c>
      <c r="DZ121" s="1936">
        <v>436.24490540464546</v>
      </c>
      <c r="EA121" s="1936">
        <v>584.32840181296194</v>
      </c>
      <c r="EB121" s="1936">
        <v>14611.701421154878</v>
      </c>
      <c r="EC121" s="1936">
        <v>-12.964805345774726</v>
      </c>
      <c r="ED121" s="1941">
        <v>97</v>
      </c>
      <c r="EE121" s="1936">
        <v>0</v>
      </c>
      <c r="EF121" s="1936">
        <v>0</v>
      </c>
      <c r="EG121" s="1938">
        <v>0</v>
      </c>
      <c r="EH121" s="1938">
        <v>1</v>
      </c>
      <c r="EI121" s="1368">
        <v>0.04</v>
      </c>
      <c r="EJ121" s="1936">
        <v>8.8494933555078887</v>
      </c>
      <c r="EK121" s="1936">
        <v>1</v>
      </c>
      <c r="EL121" s="1936">
        <v>1000</v>
      </c>
      <c r="EM121" s="1936">
        <v>0</v>
      </c>
      <c r="EN121" s="1362">
        <v>0</v>
      </c>
      <c r="EO121" s="1936">
        <v>1</v>
      </c>
      <c r="EP121" s="1936">
        <v>52.5</v>
      </c>
      <c r="EQ121" s="1936">
        <v>1</v>
      </c>
      <c r="ER121" s="1938">
        <v>0</v>
      </c>
      <c r="ES121" s="1936">
        <v>6819.3652914029526</v>
      </c>
      <c r="ET121" s="1936">
        <v>51.883452486629295</v>
      </c>
      <c r="EU121" s="1938">
        <v>1</v>
      </c>
      <c r="EV121" s="1936">
        <v>127154</v>
      </c>
      <c r="EW121" s="1936">
        <v>59364</v>
      </c>
      <c r="EX121" s="1938">
        <v>1</v>
      </c>
      <c r="EY121" s="1936">
        <v>3800295</v>
      </c>
      <c r="EZ121" s="1936">
        <v>1596526</v>
      </c>
      <c r="FA121" s="1936">
        <v>2203769</v>
      </c>
      <c r="FB121" s="1936">
        <v>2053454</v>
      </c>
      <c r="FC121" s="1936">
        <v>783179</v>
      </c>
      <c r="FD121" s="1936">
        <v>1270275</v>
      </c>
      <c r="FE121" s="1936">
        <v>5853749</v>
      </c>
      <c r="FF121" s="1936">
        <v>2379705</v>
      </c>
      <c r="FG121" s="1936">
        <v>3474044</v>
      </c>
      <c r="FH121" s="1366">
        <v>1</v>
      </c>
      <c r="FI121" s="1366">
        <v>0.42010580757546456</v>
      </c>
      <c r="FJ121" s="1366">
        <v>0.57989419242453544</v>
      </c>
      <c r="FK121" s="1366">
        <v>1</v>
      </c>
      <c r="FL121" s="1366">
        <v>0.38139593095340824</v>
      </c>
      <c r="FM121" s="1366">
        <v>0.61860406904659171</v>
      </c>
      <c r="FN121" s="1366">
        <v>1</v>
      </c>
      <c r="FO121" s="1366">
        <v>0.40652665496931967</v>
      </c>
      <c r="FP121" s="1366">
        <v>0.59347334503068039</v>
      </c>
      <c r="FQ121" s="1936">
        <v>3410205</v>
      </c>
      <c r="FR121" s="1936">
        <v>-1170749.8</v>
      </c>
      <c r="FS121" s="1936">
        <v>450776</v>
      </c>
      <c r="FT121" s="1936">
        <v>99007</v>
      </c>
      <c r="FU121" s="1936">
        <v>126793</v>
      </c>
      <c r="FV121" s="1936">
        <v>33890</v>
      </c>
      <c r="FW121" s="1936">
        <v>479586</v>
      </c>
      <c r="FX121" s="1936">
        <v>3429507.2</v>
      </c>
      <c r="FY121" s="1936">
        <v>44536.799999999814</v>
      </c>
      <c r="FZ121" s="1366">
        <v>0.58256768440191065</v>
      </c>
      <c r="GA121" s="1366">
        <v>-0.2</v>
      </c>
      <c r="GB121" s="1366">
        <v>7.7006376597288331E-2</v>
      </c>
      <c r="GC121" s="1366">
        <v>1.6913434450298432E-2</v>
      </c>
      <c r="GD121" s="1366">
        <v>2.1660136093980115E-2</v>
      </c>
      <c r="GE121" s="1366">
        <v>5.7894521955075282E-3</v>
      </c>
      <c r="GF121" s="1366">
        <v>8.1928008870896241E-2</v>
      </c>
      <c r="GG121" s="1366">
        <v>0.58586509260988129</v>
      </c>
      <c r="GH121" s="1366">
        <v>7.6082524207990148E-3</v>
      </c>
      <c r="GI121" s="1942">
        <v>1.8506842617365669</v>
      </c>
      <c r="GJ121" s="1943">
        <v>1</v>
      </c>
      <c r="GK121" s="1371">
        <v>0.2</v>
      </c>
      <c r="GL121" s="1943">
        <v>1</v>
      </c>
      <c r="GM121" s="1371">
        <v>0.14000000000000001</v>
      </c>
      <c r="GN121" s="1943">
        <v>0</v>
      </c>
      <c r="GO121" s="1985">
        <f>IF(GN121=0,0,VLOOKUP(A121,'Area (&amp;golfacre for lookup)'!$G$2:$H$133,2,FALSE))</f>
        <v>0</v>
      </c>
      <c r="GP121" s="1943">
        <v>0</v>
      </c>
      <c r="GQ121" s="1943">
        <v>0</v>
      </c>
      <c r="GR121" s="1943">
        <v>0</v>
      </c>
      <c r="GS121" s="1943">
        <v>0</v>
      </c>
      <c r="GT121" s="1943">
        <v>0</v>
      </c>
      <c r="GU121" s="1943">
        <v>0</v>
      </c>
      <c r="GV121" s="1943">
        <v>0</v>
      </c>
      <c r="GW121" s="1943">
        <v>0</v>
      </c>
      <c r="GX121" s="1936">
        <v>0</v>
      </c>
      <c r="GY121" s="1985">
        <f t="shared" si="764"/>
        <v>0</v>
      </c>
      <c r="GZ121" s="1936">
        <v>0</v>
      </c>
      <c r="HA121" s="1936">
        <v>0</v>
      </c>
      <c r="HB121" s="1936">
        <v>0</v>
      </c>
      <c r="HC121" s="1936">
        <v>0</v>
      </c>
      <c r="HD121" s="1936">
        <v>0</v>
      </c>
      <c r="HE121" s="1936">
        <v>0</v>
      </c>
      <c r="HF121" s="1936">
        <v>0</v>
      </c>
      <c r="HG121" s="1936">
        <v>0</v>
      </c>
      <c r="HH121" s="1988">
        <f>IF(HG121=0,0,VLOOKUP(A121,'Area (&amp;golfacre for lookup)'!$G$2:$H$134,2,FALSE))</f>
        <v>0</v>
      </c>
      <c r="HI121" s="1936">
        <v>0</v>
      </c>
      <c r="HJ121" s="1936">
        <v>0</v>
      </c>
      <c r="HK121" s="1936">
        <v>0</v>
      </c>
      <c r="HL121" s="1936">
        <v>0</v>
      </c>
      <c r="HM121" s="1936">
        <v>0</v>
      </c>
      <c r="HN121" s="1936">
        <v>0</v>
      </c>
      <c r="HO121" s="1936">
        <v>0</v>
      </c>
      <c r="HP121" s="1936">
        <v>0</v>
      </c>
      <c r="HQ121" s="1936">
        <v>0</v>
      </c>
      <c r="HR121" s="1988">
        <f t="shared" si="765"/>
        <v>0</v>
      </c>
      <c r="HS121" s="1936">
        <v>0</v>
      </c>
      <c r="HT121" s="1936">
        <v>0</v>
      </c>
      <c r="HU121" s="1936">
        <v>0</v>
      </c>
      <c r="HV121" s="1936">
        <v>0</v>
      </c>
      <c r="HW121" s="1936">
        <v>0</v>
      </c>
      <c r="HX121" s="1936">
        <v>0</v>
      </c>
      <c r="HY121" s="1936">
        <v>0</v>
      </c>
      <c r="HZ121" s="51"/>
      <c r="IA121" s="59">
        <f t="shared" ref="IA121:IA152" si="1136">IF(Q121=0,0,ROUND(Q121/S121,2))</f>
        <v>0</v>
      </c>
      <c r="IB121" s="59"/>
      <c r="IC121" s="815">
        <f t="shared" ref="IC121:IC152" si="1137">IF(AA121&gt;0,1,0)</f>
        <v>1</v>
      </c>
      <c r="ID121" s="815"/>
      <c r="IE121" s="284">
        <f t="shared" ref="IE121:IE152" si="1138">IF(AA121&lt;0,1,0)</f>
        <v>0</v>
      </c>
      <c r="IF121" s="284"/>
      <c r="IG121" s="284">
        <f t="shared" ref="IG121:IG152" si="1139">IF(BI121=0,0,+IF(K121=0,0,BI121/K121))</f>
        <v>36945.212481304807</v>
      </c>
      <c r="IH121" s="284"/>
      <c r="II121" s="1288">
        <f t="shared" ref="II121:II152" si="1140">IF(BR121&gt;1,BR121,0)</f>
        <v>1.3685538886844646</v>
      </c>
      <c r="IJ121" s="1288">
        <f t="shared" ref="IJ121:IJ152" si="1141">IF(BR121&lt;1,BR121,0)</f>
        <v>0</v>
      </c>
      <c r="IK121" s="284">
        <f t="shared" ref="IK121:IK152" si="1142">IF(OR(EK121=1,EO121=1),0,1)</f>
        <v>0</v>
      </c>
      <c r="IL121" s="284">
        <f t="shared" ref="IL121:IL152" si="1143">IF(AND(EK121=1,EO121=1),1,0)</f>
        <v>1</v>
      </c>
      <c r="IM121" s="284">
        <f t="shared" ref="IM121:IM152" si="1144">IF(AND(EK121=1,EM121=1),1,0)</f>
        <v>0</v>
      </c>
      <c r="IN121" s="284">
        <f t="shared" ref="IN121:IN152" si="1145">IF(AND(EK121=1,EM121=1,EO121=1),1,0)</f>
        <v>0</v>
      </c>
      <c r="IO121" s="753">
        <f t="shared" ref="IO121:IO152" si="1146">IF(J121=0,0,FY121/$J121)</f>
        <v>41.199629972247749</v>
      </c>
      <c r="IP121" s="113">
        <f t="shared" ref="IP121:IP152" si="1147">IF(K121=0,0,FY121/K121)</f>
        <v>51.883452486629295</v>
      </c>
      <c r="IQ121" s="30">
        <f t="shared" ref="IQ121:IQ152" si="1148">IF(FY121=0,0,+IF(CD121=0,0,FY121/CD121))</f>
        <v>1.5851956152346258E-2</v>
      </c>
      <c r="IR121" s="438">
        <f t="shared" ref="IR121:IR152" si="1149">EY121</f>
        <v>3800295</v>
      </c>
      <c r="IS121" s="438">
        <f t="shared" ref="IS121:IS152" si="1150">FB121</f>
        <v>2053454</v>
      </c>
      <c r="IT121" s="438">
        <f t="shared" ref="IT121:IT152" si="1151">FQ121</f>
        <v>3410205</v>
      </c>
      <c r="IU121" s="438">
        <f t="shared" ref="IU121:IU152" si="1152">FS121+FT121</f>
        <v>549783</v>
      </c>
      <c r="IV121" s="438">
        <f t="shared" ref="IV121:IV152" si="1153">FF121</f>
        <v>2379705</v>
      </c>
      <c r="IW121" s="438">
        <f t="shared" ref="IW121:IW152" si="1154">SUM(FU121:FW121)+FR121</f>
        <v>-530480.80000000005</v>
      </c>
      <c r="IX121" s="285">
        <f t="shared" ref="IX121:IX152" si="1155">IF(($IR121+$IS121)=0,0,IR121/SUM($IR121+$IS121))</f>
        <v>0.64920702954636422</v>
      </c>
      <c r="IY121" s="285">
        <f t="shared" ref="IY121:IY152" si="1156">IF(($IR121+$IS121)=0,0,IS121/SUM($IR121+$IS121))</f>
        <v>0.35079297045363578</v>
      </c>
      <c r="IZ121" s="285">
        <f t="shared" ref="IZ121:IZ152" si="1157">IF(($IR121+$IS121)=0,0,IT121/SUM($IR121+$IS121))</f>
        <v>0.58256768440191065</v>
      </c>
      <c r="JA121" s="285">
        <f t="shared" ref="JA121:JA152" si="1158">IF(($IR121+$IS121)=0,0,IU121/SUM($IR121+$IS121))</f>
        <v>9.3919811047586774E-2</v>
      </c>
      <c r="JB121" s="285">
        <f t="shared" ref="JB121:JB152" si="1159">IF(($IR121+$IS121)=0,0,IV121/SUM($IR121+$IS121))</f>
        <v>0.40652665496931967</v>
      </c>
      <c r="JC121" s="285">
        <f t="shared" ref="JC121:JC152" si="1160">IF(($IR121+$IS121)=0,0,IW121/SUM($IR121+$IS121))</f>
        <v>-9.0622402839616117E-2</v>
      </c>
      <c r="JD121" s="60">
        <f t="shared" ref="JD121:JD152" si="1161">CD121+CE121+CF121</f>
        <v>4327997</v>
      </c>
      <c r="JE121" s="60">
        <f t="shared" ref="JE121:JE152" si="1162">BZ121+CA121+CB121+CC121</f>
        <v>2199757</v>
      </c>
      <c r="JF121" s="60">
        <f t="shared" ref="JF121:JF152" si="1163">JD121+JE121+CG121+CH121+CI121-CJ121</f>
        <v>0</v>
      </c>
      <c r="JG121" s="60">
        <f t="shared" ref="JG121:JG152" si="1164">CZ121+DA121</f>
        <v>876061</v>
      </c>
      <c r="JH121" s="284">
        <f t="shared" ref="JH121:JH152" si="1165">IF(DJ121&gt;0,1,0)</f>
        <v>0</v>
      </c>
      <c r="JI121" s="284" t="str">
        <f t="shared" ref="JI121:JI152" si="1166">IF(B121="Yacht &amp; Beach","",+IF(CB121&gt;0,1,0))</f>
        <v/>
      </c>
      <c r="JJ121" s="560">
        <f t="shared" ref="JJ121:JJ152" si="1167">IF(B121="Yacht &amp; Beach",0,+IF(CX121=0,0,CX121/CB121))</f>
        <v>0</v>
      </c>
      <c r="JK121" s="561">
        <f t="shared" ref="JK121:JK152" si="1168">CV121/$CJ121</f>
        <v>0.48565606474784323</v>
      </c>
      <c r="JL121" s="561">
        <f t="shared" ref="JL121:JL152" si="1169">CW121/$CJ121</f>
        <v>0.18989682695732887</v>
      </c>
      <c r="JM121" s="561">
        <f t="shared" ref="JM121:JM152" si="1170">CX121/$CJ121</f>
        <v>0</v>
      </c>
      <c r="JN121" s="561">
        <f t="shared" ref="JN121:JN152" si="1171">CY121/$CJ121</f>
        <v>0.25542685480380428</v>
      </c>
      <c r="JO121" s="561">
        <f t="shared" ref="JO121:JO152" si="1172">CZ121/$CJ121</f>
        <v>2.9882373857764648E-2</v>
      </c>
      <c r="JP121" s="561">
        <f t="shared" ref="JP121:JP152" si="1173">DA121/$CJ121</f>
        <v>4.002595684753895E-2</v>
      </c>
      <c r="JQ121" s="561">
        <f t="shared" ref="JQ121:JQ152" si="1174">SUM(JK121:JP121)</f>
        <v>1.0008880772142799</v>
      </c>
      <c r="JR121" s="61">
        <f t="shared" ref="JR121:JR152" si="1175">IF(GQ121=0,0,GQ121/$GN121)</f>
        <v>0</v>
      </c>
      <c r="JS121" s="61">
        <f t="shared" ref="JS121:JS152" si="1176">IF(GR121=0,0,GR121/$GN121)</f>
        <v>0</v>
      </c>
      <c r="JT121" s="61">
        <f t="shared" ref="JT121:JT152" si="1177">IF(GS121=0,0,GS121/$GN121)</f>
        <v>0</v>
      </c>
      <c r="JU121" s="61">
        <f t="shared" ref="JU121:JU152" si="1178">IF(GT121=0,0,GT121/$GN121)</f>
        <v>0</v>
      </c>
      <c r="JV121" s="61">
        <f t="shared" ref="JV121:JV152" si="1179">IF(GU121=0,0,GU121/$GN121)</f>
        <v>0</v>
      </c>
      <c r="JW121" s="61">
        <f t="shared" ref="JW121:JW152" si="1180">IF(GV121=0,0,GV121/$GN121)</f>
        <v>0</v>
      </c>
      <c r="JX121" s="61">
        <f t="shared" ref="JX121:JX152" si="1181">IF(GP121=0,0,GW121/GP121)</f>
        <v>0</v>
      </c>
      <c r="JY121" s="394">
        <f t="shared" ref="JY121:JY152" si="1182">IF(OR(GW121=0,DB121=0),0,GW121/DB121)</f>
        <v>0</v>
      </c>
      <c r="JZ121" s="61">
        <f t="shared" ref="JZ121:JZ152" si="1183">IF(HJ121=0,0,HJ121/$HG121)</f>
        <v>0</v>
      </c>
      <c r="KA121" s="61">
        <f t="shared" ref="KA121:KA152" si="1184">IF(HK121=0,0,HK121/$HG121)</f>
        <v>0</v>
      </c>
      <c r="KB121" s="61">
        <f t="shared" ref="KB121:KB152" si="1185">IF(HL121=0,0,HL121/$HG121)</f>
        <v>0</v>
      </c>
      <c r="KC121" s="61">
        <f t="shared" ref="KC121:KC152" si="1186">IF(HM121=0,0,HM121/$HG121)</f>
        <v>0</v>
      </c>
      <c r="KD121" s="61">
        <f t="shared" ref="KD121:KD152" si="1187">IF(HN121=0,0,HN121/$HG121)</f>
        <v>0</v>
      </c>
      <c r="KE121" s="61">
        <f t="shared" ref="KE121:KE152" si="1188">IF(HO121=0,0,HO121/$HG121)</f>
        <v>0</v>
      </c>
      <c r="KF121" s="61">
        <f t="shared" ref="KF121:KF152" si="1189">IF(HI121=0,0,ROUND(HI121/HG121*18,-2))</f>
        <v>0</v>
      </c>
      <c r="KG121" s="61">
        <f t="shared" ref="KG121:KG152" si="1190">IF(HH121=0,0,HH121/HG121*36)</f>
        <v>0</v>
      </c>
      <c r="KH121" s="61">
        <f t="shared" ref="KH121:KH152" si="1191">IF(HI121=0,0,HP121/HI121)</f>
        <v>0</v>
      </c>
      <c r="KI121" s="394">
        <f t="shared" ref="KI121:KI152" si="1192">IF(OR(HP121=0,DB121=0),0,HP121/DB121)</f>
        <v>0</v>
      </c>
      <c r="KJ121" s="438">
        <f t="shared" ref="KJ121:KJ152" si="1193">IF($GN121&gt;0,GN121,HG121)</f>
        <v>0</v>
      </c>
      <c r="KK121" s="438">
        <f t="shared" ref="KK121:KK152" si="1194">IF($GN121&gt;0,GP121,HI121)</f>
        <v>0</v>
      </c>
      <c r="KL121" s="438">
        <f t="shared" ref="KL121:KL152" si="1195">IF($GN121&gt;0,GO121,HH121)</f>
        <v>0</v>
      </c>
      <c r="KM121" s="438">
        <f t="shared" ref="KM121:KM152" si="1196">IF($GN121&gt;0,GX121,HQ121)</f>
        <v>0</v>
      </c>
      <c r="KN121" s="438">
        <f t="shared" ref="KN121:KN152" si="1197">IF($GN121&gt;0,JX121,KH121)</f>
        <v>0</v>
      </c>
      <c r="KO121" s="438">
        <f t="shared" ref="KO121:KO152" si="1198">IF($GN121&gt;0,GY121,HR121)</f>
        <v>0</v>
      </c>
      <c r="KP121" s="438">
        <f t="shared" ref="KP121:KP152" si="1199">IF($GN121&gt;0,GQ121,HJ121)</f>
        <v>0</v>
      </c>
      <c r="KQ121" s="438">
        <f t="shared" ref="KQ121:KQ152" si="1200">IF($GN121&gt;0,GR121,HK121)</f>
        <v>0</v>
      </c>
      <c r="KR121" s="438">
        <f t="shared" ref="KR121:KR152" si="1201">IF($GN121&gt;0,GS121,HL121)</f>
        <v>0</v>
      </c>
      <c r="KS121" s="438">
        <f t="shared" ref="KS121:KS152" si="1202">IF($GN121&gt;0,GT121,HM121)</f>
        <v>0</v>
      </c>
      <c r="KT121" s="438">
        <f t="shared" ref="KT121:KT152" si="1203">IF($GN121&gt;0,GU121,HN121)</f>
        <v>0</v>
      </c>
      <c r="KU121" s="438">
        <f t="shared" ref="KU121:KU152" si="1204">IF($GN121&gt;0,GV121,HO121)</f>
        <v>0</v>
      </c>
      <c r="KV121" s="420">
        <f t="shared" ref="KV121:KV152" si="1205">MAX(JY121,KI121)</f>
        <v>0</v>
      </c>
      <c r="KW121" s="420">
        <f t="shared" ref="KW121:KW152" si="1206">IF(CD121&gt;0,-SUM(KP121:KT121)/CD121,0)</f>
        <v>0</v>
      </c>
      <c r="KX121" s="108"/>
      <c r="KY121" s="282">
        <f t="shared" ref="KY121:KY152" si="1207">Q121+R121-S121</f>
        <v>0</v>
      </c>
      <c r="KZ121" s="282"/>
      <c r="LA121" s="282">
        <f t="shared" ref="LA121:LA152" si="1208">W121-X121-AA121</f>
        <v>0</v>
      </c>
      <c r="LB121" s="282"/>
      <c r="LC121" s="286">
        <f t="shared" si="951"/>
        <v>0</v>
      </c>
      <c r="LD121" s="286"/>
      <c r="LE121" s="282">
        <f t="shared" ref="LE121:LE152" si="1209">X121+AF121+AI121+AL121-AM121</f>
        <v>0</v>
      </c>
      <c r="LF121" s="282"/>
      <c r="LG121" s="282">
        <f t="shared" ref="LG121:LG152" si="1210">EL121-AO121</f>
        <v>0</v>
      </c>
      <c r="LH121" s="282">
        <f t="shared" ref="LH121:LH152" si="1211">EP121*12-AP121</f>
        <v>0</v>
      </c>
      <c r="LI121" s="282">
        <f t="shared" ref="LI121:LI152" si="1212">IF(FQ121=0,0,FQ121/$FE121-FZ121)</f>
        <v>0</v>
      </c>
      <c r="LJ121" s="282">
        <f t="shared" ref="LJ121:LJ152" si="1213">X121+AF121+AI121+AL121+AO121+AP121-AQ121</f>
        <v>0</v>
      </c>
      <c r="LK121" s="282"/>
      <c r="LL121" s="282">
        <f t="shared" ref="LL121:LL152" si="1214">IF(S121=V121,"Same/chk",0)</f>
        <v>0</v>
      </c>
      <c r="LM121" s="282">
        <f t="shared" ref="LM121:LM152" si="1215">IF(AND(B121="SW CIRA", G121=0),"fix",0)</f>
        <v>0</v>
      </c>
      <c r="LN121" s="282">
        <f t="shared" ref="LN121:LN152" si="1216">IF(AND(BM121=1,BN121=0),"fix",+IF(AND(BM121=0,BN121&gt;0),"fix",0))</f>
        <v>0</v>
      </c>
      <c r="LO121" s="282">
        <f t="shared" ref="LO121:LO152" si="1217">IF($BH121=0,0,BF121+BG121-BH121)</f>
        <v>0</v>
      </c>
      <c r="LP121" s="286">
        <f t="shared" ref="LP121:LP152" si="1218">IF(BK121=0,0,BJ121/BK121-BL121)</f>
        <v>0</v>
      </c>
      <c r="LQ121" s="282">
        <f t="shared" ref="LQ121:LQ152" si="1219">IF(BN121=0,0,+IF(K121=0,0,BN121/K121))-BW121</f>
        <v>0</v>
      </c>
      <c r="LR121" s="282">
        <f t="shared" ref="LR121:LR152" si="1220">IF(BJ121=0,0,+IF(K121=0,0,BJ121/K121))-BX121</f>
        <v>0</v>
      </c>
      <c r="LS121" s="282">
        <f t="shared" ref="LS121:LS152" si="1221">IF(BH121=0,0,+IF(K121=0,0,BH121/K121))-BY121</f>
        <v>0</v>
      </c>
      <c r="LT121" s="286">
        <f t="shared" ref="LT121:LT152" si="1222">BZ121/$CJ121-CK121</f>
        <v>0</v>
      </c>
      <c r="LU121" s="286">
        <f t="shared" ref="LU121:LU152" si="1223">CA121/$CJ121-CL121</f>
        <v>0</v>
      </c>
      <c r="LV121" s="286">
        <f t="shared" ref="LV121:LV152" si="1224">CB121/$CJ121-CM121</f>
        <v>0</v>
      </c>
      <c r="LW121" s="286">
        <f t="shared" ref="LW121:LW152" si="1225">CC121/$CJ121-CN121</f>
        <v>0</v>
      </c>
      <c r="LX121" s="286">
        <f t="shared" ref="LX121:LX152" si="1226">CD121/$CJ121-CO121</f>
        <v>0</v>
      </c>
      <c r="LY121" s="286">
        <f t="shared" ref="LY121:LY152" si="1227">CE121/$CJ121-CP121</f>
        <v>0</v>
      </c>
      <c r="LZ121" s="286">
        <f t="shared" ref="LZ121:LZ152" si="1228">CF121/$CJ121-CQ121</f>
        <v>0</v>
      </c>
      <c r="MA121" s="286">
        <f t="shared" ref="MA121:MA152" si="1229">CG121/$CJ121-CR121</f>
        <v>0</v>
      </c>
      <c r="MB121" s="286">
        <f t="shared" ref="MB121:MB152" si="1230">CH121/$CJ121-CS121</f>
        <v>0</v>
      </c>
      <c r="MC121" s="286">
        <f t="shared" ref="MC121:MC152" si="1231">CI121/$CJ121-CT121</f>
        <v>0</v>
      </c>
      <c r="MD121" s="286">
        <f t="shared" ref="MD121:MD152" si="1232">SUM(CK121:CT121)-CU121</f>
        <v>0</v>
      </c>
      <c r="ME121" s="286">
        <f t="shared" ref="ME121:ME152" si="1233">CV121/$DB121-DC121</f>
        <v>0</v>
      </c>
      <c r="MF121" s="286">
        <f t="shared" ref="MF121:MF152" si="1234">CW121/$DB121-DD121</f>
        <v>0</v>
      </c>
      <c r="MG121" s="286">
        <f t="shared" ref="MG121:MG152" si="1235">CX121/$DB121-DE121</f>
        <v>0</v>
      </c>
      <c r="MH121" s="286">
        <f t="shared" ref="MH121:MH152" si="1236">CY121/$DB121-DF121</f>
        <v>0</v>
      </c>
      <c r="MI121" s="286">
        <f t="shared" ref="MI121:MI152" si="1237">CZ121/$DB121-DG121</f>
        <v>0</v>
      </c>
      <c r="MJ121" s="286">
        <f t="shared" ref="MJ121:MJ152" si="1238">DA121/$DB121-DH121</f>
        <v>0</v>
      </c>
      <c r="MK121" s="286">
        <f t="shared" ref="MK121:MK152" si="1239">SUM(DC121:DH121)-DI121</f>
        <v>0</v>
      </c>
      <c r="ML121" s="282">
        <f t="shared" ref="ML121:ML152" si="1240">CJ121-DB121-DJ121</f>
        <v>0</v>
      </c>
      <c r="MM121" s="1232">
        <f t="shared" ref="MM121:MM152" si="1241">IF(AND(CB121=0,CX121=0),0,+IF(AND(CB121&gt;0,CX121&gt;0),0,"fix"))</f>
        <v>0</v>
      </c>
      <c r="MN121" s="1232">
        <f t="shared" ref="MN121:MN152" si="1242">IF(AND(AH121=1,CE121=0),"fix",+IF(AND(AH121=0,CE121&gt;0),"fix",0))</f>
        <v>0</v>
      </c>
      <c r="MO121" s="1232">
        <f t="shared" ref="MO121:MO152" si="1243">IF(AND(AE121=1,AF121=0),"fix",+IF(AND(AE121=0,AF121&gt;0),"fix",0))</f>
        <v>0</v>
      </c>
      <c r="MP121" s="1232">
        <f t="shared" ref="MP121:MP152" si="1244">IF(AND(AK121=1,AL121=0),"fix",+IF(AND(AK121=0,AL121&gt;0),"fix",0))</f>
        <v>0</v>
      </c>
      <c r="MQ121" s="282">
        <f t="shared" ref="MQ121:MQ152" si="1245">IF(CD121=0,0,+IF(X121=0,0,CD121/X121))-K121</f>
        <v>0</v>
      </c>
      <c r="MR121" s="282">
        <f t="shared" ref="MR121:MR152" si="1246">IF(BZ121=0,0,+IF($K121=0,0,BZ121/$K121))-DK121</f>
        <v>0</v>
      </c>
      <c r="MS121" s="282">
        <f t="shared" ref="MS121:MS152" si="1247">IF(CA121=0,0,+IF($K121=0,0,CA121/$K121))-DL121</f>
        <v>0</v>
      </c>
      <c r="MT121" s="282">
        <f t="shared" ref="MT121:MT152" si="1248">IF(CB121=0,0,+IF($K121=0,0,CB121/$K121))-DM121</f>
        <v>0</v>
      </c>
      <c r="MU121" s="282">
        <f t="shared" ref="MU121:MU152" si="1249">IF(CC121=0,0,+IF($K121=0,0,CC121/$K121))-DN121</f>
        <v>0</v>
      </c>
      <c r="MV121" s="282">
        <f t="shared" ref="MV121:MV152" si="1250">IF(CD121=0,0,+IF($K121=0,0,CD121/$K121))-DO121</f>
        <v>0</v>
      </c>
      <c r="MW121" s="282">
        <f t="shared" ref="MW121:MW152" si="1251">IF(CE121=0,0,+IF($K121=0,0,CE121/$K121))-DP121</f>
        <v>0</v>
      </c>
      <c r="MX121" s="282">
        <f t="shared" ref="MX121:MX152" si="1252">IF(CF121=0,0,+IF($K121=0,0,CF121/$K121))-DQ121</f>
        <v>0</v>
      </c>
      <c r="MY121" s="282">
        <f t="shared" ref="MY121:MY152" si="1253">IF(CG121=0,0,+IF($K121=0,0,CG121/$K121))-DR121</f>
        <v>0</v>
      </c>
      <c r="MZ121" s="282">
        <f t="shared" ref="MZ121:MZ152" si="1254">IF(CH121=0,0,+IF($K121=0,0,CH121/$K121))-DS121</f>
        <v>0</v>
      </c>
      <c r="NA121" s="282">
        <f t="shared" ref="NA121:NA152" si="1255">IF(CI121=0,0,+IF($K121=0,0,CI121/$K121))-DT121</f>
        <v>0</v>
      </c>
      <c r="NB121" s="282">
        <f t="shared" ref="NB121:NB152" si="1256">IF(CJ121=0,0,+IF($K121=0,0,CJ121/$K121))-DU121</f>
        <v>0</v>
      </c>
      <c r="NC121" s="282">
        <f t="shared" ref="NC121:NC152" si="1257">SUM(DK121:DT121)-DU121</f>
        <v>0</v>
      </c>
      <c r="ND121" s="282">
        <f t="shared" ref="ND121:ND152" si="1258">IF(CV121=0,0,+IF($K121=0,0,CV121/$K121))-DV121</f>
        <v>0</v>
      </c>
      <c r="NE121" s="282">
        <f t="shared" ref="NE121:NE152" si="1259">IF(CW121=0,0,+IF($K121=0,0,CW121/$K121))-DW121</f>
        <v>0</v>
      </c>
      <c r="NF121" s="282">
        <f t="shared" ref="NF121:NF152" si="1260">IF(CX121=0,0,+IF($K121=0,0,CX121/$K121))-DX121</f>
        <v>0</v>
      </c>
      <c r="NG121" s="282">
        <f t="shared" ref="NG121:NG152" si="1261">IF(CY121=0,0,+IF($K121=0,0,CY121/$K121))-DY121</f>
        <v>0</v>
      </c>
      <c r="NH121" s="282">
        <f t="shared" ref="NH121:NH152" si="1262">IF(CZ121=0,0,+IF($K121=0,0,CZ121/$K121))-DZ121</f>
        <v>0</v>
      </c>
      <c r="NI121" s="282">
        <f t="shared" ref="NI121:NI152" si="1263">IF(DA121=0,0,+IF($K121=0,0,DA121/$K121))-EA121</f>
        <v>0</v>
      </c>
      <c r="NJ121" s="282">
        <f t="shared" ref="NJ121:NJ152" si="1264">IF(DB121=0,0,+IF($K121=0,0,DB121/$K121))-EB121</f>
        <v>0</v>
      </c>
      <c r="NK121" s="282">
        <f t="shared" ref="NK121:NK152" si="1265">SUM(DV121:EA121)-EB121</f>
        <v>0</v>
      </c>
      <c r="NL121" s="282">
        <f t="shared" ref="NL121:NL152" si="1266">IF(DJ121=0,0,+IF($K121=0,0,DJ121/$K121))-EC121</f>
        <v>0</v>
      </c>
      <c r="NM121" s="1205">
        <f t="shared" ref="NM121:NM152" si="1267">IF(K121=0,0,+IF(ED121=0,0,K121/ED121))-EJ121</f>
        <v>0</v>
      </c>
      <c r="NN121" s="282">
        <f t="shared" ref="NN121:NN152" si="1268">CG121+CH121-EY121-FB121</f>
        <v>0</v>
      </c>
      <c r="NO121" s="282">
        <f t="shared" ref="NO121:NO152" si="1269">IF(FE121=0,0,+IF(K121=0,0,FE121/K121))-ES121</f>
        <v>0</v>
      </c>
      <c r="NP121" s="282">
        <f t="shared" ref="NP121:NP152" si="1270">IF(FY121=0,0,+IF(K121=0,0,FY121/K121))-ET121</f>
        <v>0</v>
      </c>
      <c r="NQ121" s="282">
        <f t="shared" ref="NQ121:NQ152" si="1271">EY121-EZ121-FA121</f>
        <v>0</v>
      </c>
      <c r="NR121" s="282">
        <f t="shared" ref="NR121:NR152" si="1272">FB121-FC121-FD121</f>
        <v>0</v>
      </c>
      <c r="NS121" s="282">
        <f t="shared" ref="NS121:NS152" si="1273">EY121+FB121-FE121</f>
        <v>0</v>
      </c>
      <c r="NT121" s="282">
        <f t="shared" ref="NT121:NT152" si="1274">EZ121+FC121-FF121</f>
        <v>0</v>
      </c>
      <c r="NU121" s="282">
        <f t="shared" ref="NU121:NU152" si="1275">FE121-FF121-FG121</f>
        <v>0</v>
      </c>
      <c r="NV121" s="286">
        <f t="shared" ref="NV121:NV152" si="1276">EY121/$EY121-FH121</f>
        <v>0</v>
      </c>
      <c r="NW121" s="286">
        <f t="shared" ref="NW121:NW152" si="1277">EZ121/$EY121-FI121</f>
        <v>0</v>
      </c>
      <c r="NX121" s="286">
        <f t="shared" ref="NX121:NX152" si="1278">FA121/$EY121-FJ121</f>
        <v>0</v>
      </c>
      <c r="NY121" s="286">
        <f t="shared" ref="NY121:NY152" si="1279">FB121/$FB121-FK121</f>
        <v>0</v>
      </c>
      <c r="NZ121" s="286">
        <f t="shared" ref="NZ121:NZ152" si="1280">FC121/$FB121-FL121</f>
        <v>0</v>
      </c>
      <c r="OA121" s="286">
        <f t="shared" ref="OA121:OA152" si="1281">FD121/$FB121-FM121</f>
        <v>0</v>
      </c>
      <c r="OB121" s="286">
        <f t="shared" ref="OB121:OB152" si="1282">FE121/$FE121-FN121</f>
        <v>0</v>
      </c>
      <c r="OC121" s="286">
        <f t="shared" ref="OC121:OC152" si="1283">FF121/$FE121-FO121</f>
        <v>0</v>
      </c>
      <c r="OD121" s="286">
        <f t="shared" ref="OD121:OD152" si="1284">FG121/$FE121-FP121</f>
        <v>0</v>
      </c>
      <c r="OE121" s="282">
        <f t="shared" ref="OE121:OE152" si="1285">SUM(FQ121:FW121)-FX121</f>
        <v>0</v>
      </c>
      <c r="OF121" s="282">
        <f t="shared" ref="OF121:OF152" si="1286">FG121-FX121-FY121</f>
        <v>0</v>
      </c>
      <c r="OG121" s="286">
        <f t="shared" ref="OG121:OG152" si="1287">FQ121/$FE121-FZ121</f>
        <v>0</v>
      </c>
      <c r="OH121" s="286">
        <f t="shared" ref="OH121:OH152" si="1288">FR121/$FE121-GA121</f>
        <v>0</v>
      </c>
      <c r="OI121" s="286">
        <f t="shared" ref="OI121:OI152" si="1289">FS121/$FE121-GB121</f>
        <v>0</v>
      </c>
      <c r="OJ121" s="286">
        <f t="shared" ref="OJ121:OJ152" si="1290">FT121/$FE121-GC121</f>
        <v>0</v>
      </c>
      <c r="OK121" s="286">
        <f t="shared" ref="OK121:OK152" si="1291">FU121/$FE121-GD121</f>
        <v>0</v>
      </c>
      <c r="OL121" s="286">
        <f t="shared" ref="OL121:OL152" si="1292">FV121/$FE121-GE121</f>
        <v>0</v>
      </c>
      <c r="OM121" s="286">
        <f t="shared" ref="OM121:OM152" si="1293">FW121/$FE121-GF121</f>
        <v>0</v>
      </c>
      <c r="ON121" s="286">
        <f t="shared" ref="ON121:ON152" si="1294">SUM(FZ121:GF121)-GG121</f>
        <v>0</v>
      </c>
      <c r="OO121" s="286">
        <f t="shared" ref="OO121:OO152" si="1295">FY121/$FE121-GH121</f>
        <v>0</v>
      </c>
      <c r="OP121" s="434">
        <f t="shared" ref="OP121:OP152" si="1296">IF(AND(GJ121=0,GK121&gt;0),"fix",+IF(AND(GJ121=1,GK121=0),"fix",0))</f>
        <v>0</v>
      </c>
      <c r="OQ121" s="434">
        <f t="shared" ref="OQ121:OQ152" si="1297">IF(AND(GL121=0,GM121&gt;0),"fix",+IF(AND(GL121=1,GM121=0),"fix",0))</f>
        <v>0</v>
      </c>
      <c r="OR121" s="282">
        <f t="shared" ref="OR121:OR152" si="1298">IF(AND(EO121=1,FR121=0),"fix",+IF(AND(EO121=0,FR121&lt;&gt;0),"fix",0))</f>
        <v>0</v>
      </c>
      <c r="OS121" s="282">
        <f t="shared" ref="OS121:OS152" si="1299">IF(AND(GN121=18,GP121=0),"fix",+IF(AND(GN121=0,GP121&lt;&gt;0),"fix",0))</f>
        <v>0</v>
      </c>
      <c r="OT121" s="282">
        <f t="shared" ref="OT121:OT152" si="1300">IF(AND(HG121&gt;0,HI121=0),"fix",+IF(AND(HG121=0,HI121&lt;&gt;0),"fix",0))</f>
        <v>0</v>
      </c>
      <c r="OU121" s="282">
        <f t="shared" ref="OU121:OU152" si="1301">IF(GW121&gt;0,GW121/$GN121-GX121,0)</f>
        <v>0</v>
      </c>
      <c r="OV121" s="282">
        <f t="shared" ref="OV121:OV152" si="1302">IF(GW121&gt;0,GW121/GO121-GY121,0)</f>
        <v>0</v>
      </c>
      <c r="OW121" s="286">
        <f t="shared" ref="OW121:OW152" si="1303">IF(GQ121&gt;0,GQ121/$GW121-GZ121,0)</f>
        <v>0</v>
      </c>
      <c r="OX121" s="286">
        <f t="shared" ref="OX121:OX152" si="1304">IF(GR121&gt;0,GR121/$GW121-HA121,0)</f>
        <v>0</v>
      </c>
      <c r="OY121" s="286">
        <f t="shared" ref="OY121:OY152" si="1305">IF(GS121&gt;0,GS121/$GW121-HB121,0)</f>
        <v>0</v>
      </c>
      <c r="OZ121" s="286">
        <f t="shared" ref="OZ121:OZ152" si="1306">IF(GT121&gt;0,GT121/$GW121-HC121,0)</f>
        <v>0</v>
      </c>
      <c r="PA121" s="286">
        <f t="shared" ref="PA121:PA152" si="1307">IF(GU121&gt;0,GU121/$GW121-HD121,0)</f>
        <v>0</v>
      </c>
      <c r="PB121" s="286">
        <f t="shared" ref="PB121:PB152" si="1308">IF(GV121&gt;0,GV121/$GW121-HE121,0)</f>
        <v>0</v>
      </c>
      <c r="PC121" s="286">
        <f t="shared" ref="PC121:PC152" si="1309">SUM(GZ121:HE121)-HF121</f>
        <v>0</v>
      </c>
      <c r="PD121" s="282">
        <f t="shared" ref="PD121:PD152" si="1310">IF(HP121&gt;0,HP121/$HG121-HQ121,0)</f>
        <v>0</v>
      </c>
      <c r="PE121" s="282">
        <f t="shared" ref="PE121:PE152" si="1311">IF(HP121&gt;0,HP121/HH121-HR121,0)</f>
        <v>0</v>
      </c>
      <c r="PF121" s="286">
        <f t="shared" ref="PF121:PF152" si="1312">IF(HJ121&gt;0,HJ121/$HP121-HS121,0)</f>
        <v>0</v>
      </c>
      <c r="PG121" s="286">
        <f t="shared" ref="PG121:PG152" si="1313">IF(HK121&gt;0,HK121/$HP121-HT121,0)</f>
        <v>0</v>
      </c>
      <c r="PH121" s="286">
        <f t="shared" ref="PH121:PH152" si="1314">IF(HL121&gt;0,HL121/$HP121-HU121,0)</f>
        <v>0</v>
      </c>
      <c r="PI121" s="286">
        <f t="shared" ref="PI121:PI152" si="1315">IF(HM121&gt;0,HM121/$HP121-HV121,0)</f>
        <v>0</v>
      </c>
      <c r="PJ121" s="286">
        <f t="shared" ref="PJ121:PJ152" si="1316">IF(HN121&gt;0,HN121/$HP121-HW121,0)</f>
        <v>0</v>
      </c>
      <c r="PK121" s="286">
        <f t="shared" ref="PK121:PK152" si="1317">IF(HO121&gt;0,HO121/$HP121-HX121,0)</f>
        <v>0</v>
      </c>
      <c r="PL121" s="286">
        <f t="shared" ref="PL121:PL152" si="1318">SUM(HS121:HX121)-HY121</f>
        <v>0</v>
      </c>
      <c r="PM121" s="562">
        <v>65</v>
      </c>
    </row>
    <row r="122" spans="1:431" s="289" customFormat="1" ht="15.75" customHeight="1">
      <c r="A122" s="1935" t="s">
        <v>1029</v>
      </c>
      <c r="B122" s="1040" t="str">
        <f>VLOOKUP(A122,'Area (&amp;golfacre for lookup)'!$A$2:$B$162,2,FALSE)</f>
        <v>SW CIRA</v>
      </c>
      <c r="C122" s="1936"/>
      <c r="D122" s="1937">
        <v>44926</v>
      </c>
      <c r="E122" s="402"/>
      <c r="F122" s="1936">
        <v>0</v>
      </c>
      <c r="G122" s="1936">
        <v>1</v>
      </c>
      <c r="H122" s="1936">
        <v>830</v>
      </c>
      <c r="I122" s="1936">
        <v>461</v>
      </c>
      <c r="J122" s="1936">
        <v>1291</v>
      </c>
      <c r="K122" s="1938">
        <v>915.83836756611629</v>
      </c>
      <c r="L122" s="1939" t="s">
        <v>1208</v>
      </c>
      <c r="M122" s="1939" t="s">
        <v>1208</v>
      </c>
      <c r="N122" s="1939" t="s">
        <v>1208</v>
      </c>
      <c r="O122" s="1939" t="s">
        <v>1208</v>
      </c>
      <c r="P122" s="1939" t="s">
        <v>1208</v>
      </c>
      <c r="Q122" s="1936">
        <v>0</v>
      </c>
      <c r="R122" s="1979">
        <v>7000</v>
      </c>
      <c r="S122" s="1979">
        <v>7000</v>
      </c>
      <c r="T122" s="1939" t="s">
        <v>1208</v>
      </c>
      <c r="U122" s="1939" t="s">
        <v>1208</v>
      </c>
      <c r="V122" s="1939" t="s">
        <v>1208</v>
      </c>
      <c r="W122" s="1936">
        <v>7827</v>
      </c>
      <c r="X122" s="1936">
        <v>7449</v>
      </c>
      <c r="Y122" s="1939" t="s">
        <v>1208</v>
      </c>
      <c r="Z122" s="1939" t="s">
        <v>1208</v>
      </c>
      <c r="AA122" s="1936">
        <v>378</v>
      </c>
      <c r="AB122" s="1362">
        <v>5.0745066451872732E-2</v>
      </c>
      <c r="AC122" s="1939" t="s">
        <v>1208</v>
      </c>
      <c r="AD122" s="1363" t="s">
        <v>1208</v>
      </c>
      <c r="AE122" s="1936">
        <v>1</v>
      </c>
      <c r="AF122" s="1936">
        <v>1457</v>
      </c>
      <c r="AG122" s="1939" t="s">
        <v>1208</v>
      </c>
      <c r="AH122" s="1936">
        <v>0</v>
      </c>
      <c r="AI122" s="1936">
        <v>0</v>
      </c>
      <c r="AJ122" s="1939" t="s">
        <v>1208</v>
      </c>
      <c r="AK122" s="1986">
        <v>0</v>
      </c>
      <c r="AL122" s="1938">
        <v>0</v>
      </c>
      <c r="AM122" s="1936">
        <v>8906</v>
      </c>
      <c r="AN122" s="1939" t="s">
        <v>1208</v>
      </c>
      <c r="AO122" s="1936">
        <v>500</v>
      </c>
      <c r="AP122" s="1936">
        <v>0</v>
      </c>
      <c r="AQ122" s="1936">
        <v>9406</v>
      </c>
      <c r="AR122" s="1939" t="s">
        <v>1208</v>
      </c>
      <c r="AS122" s="1363" t="s">
        <v>1208</v>
      </c>
      <c r="AT122" s="1363" t="s">
        <v>1208</v>
      </c>
      <c r="AU122" s="1363" t="s">
        <v>1208</v>
      </c>
      <c r="AV122" s="1363" t="s">
        <v>1208</v>
      </c>
      <c r="AW122" s="1363" t="s">
        <v>1291</v>
      </c>
      <c r="AX122" s="1938">
        <v>1</v>
      </c>
      <c r="AY122" s="1938">
        <v>1</v>
      </c>
      <c r="AZ122" s="1938">
        <v>0</v>
      </c>
      <c r="BA122" s="1938">
        <v>0</v>
      </c>
      <c r="BB122" s="1938">
        <v>0</v>
      </c>
      <c r="BC122" s="1938">
        <v>0</v>
      </c>
      <c r="BD122" s="1938">
        <v>0</v>
      </c>
      <c r="BE122" s="1936">
        <v>0</v>
      </c>
      <c r="BF122" s="1936">
        <v>0</v>
      </c>
      <c r="BG122" s="1936">
        <v>855000</v>
      </c>
      <c r="BH122" s="1936">
        <v>855000</v>
      </c>
      <c r="BI122" s="1938">
        <v>8554245</v>
      </c>
      <c r="BJ122" s="1936">
        <v>3087643</v>
      </c>
      <c r="BK122" s="1936">
        <v>1062140</v>
      </c>
      <c r="BL122" s="1362">
        <v>2.9070019018208524</v>
      </c>
      <c r="BM122" s="1936">
        <v>1</v>
      </c>
      <c r="BN122" s="1936">
        <v>142167</v>
      </c>
      <c r="BO122" s="1363" t="s">
        <v>1208</v>
      </c>
      <c r="BP122" s="1938">
        <v>4009666</v>
      </c>
      <c r="BQ122" s="1938">
        <v>3514048</v>
      </c>
      <c r="BR122" s="1940">
        <v>1.1410390523976905</v>
      </c>
      <c r="BS122" s="1409">
        <v>1</v>
      </c>
      <c r="BT122" s="1938">
        <v>3798273</v>
      </c>
      <c r="BU122" s="1938">
        <v>13756500</v>
      </c>
      <c r="BV122" s="1940">
        <v>0.2761075128121252</v>
      </c>
      <c r="BW122" s="1936">
        <v>155.23153979431493</v>
      </c>
      <c r="BX122" s="1936">
        <v>3371.3841976347389</v>
      </c>
      <c r="BY122" s="1936">
        <v>933.57084642806888</v>
      </c>
      <c r="BZ122" s="1936">
        <v>324447</v>
      </c>
      <c r="CA122" s="1936">
        <v>0</v>
      </c>
      <c r="CB122" s="1936">
        <v>572905</v>
      </c>
      <c r="CC122" s="1936">
        <v>0</v>
      </c>
      <c r="CD122" s="1936">
        <v>6822080</v>
      </c>
      <c r="CE122" s="1936">
        <v>0</v>
      </c>
      <c r="CF122" s="1936">
        <v>0</v>
      </c>
      <c r="CG122" s="1936">
        <v>1467655</v>
      </c>
      <c r="CH122" s="1936">
        <v>702332</v>
      </c>
      <c r="CI122" s="1936">
        <v>187563</v>
      </c>
      <c r="CJ122" s="1936">
        <v>10076982</v>
      </c>
      <c r="CK122" s="1366">
        <v>3.219684226884597E-2</v>
      </c>
      <c r="CL122" s="1366">
        <v>0</v>
      </c>
      <c r="CM122" s="1366">
        <v>5.6852835501740501E-2</v>
      </c>
      <c r="CN122" s="1366">
        <v>0</v>
      </c>
      <c r="CO122" s="1366">
        <v>0.67699634672365194</v>
      </c>
      <c r="CP122" s="1366">
        <v>0</v>
      </c>
      <c r="CQ122" s="1366">
        <v>0</v>
      </c>
      <c r="CR122" s="1366">
        <v>0.14564430104172063</v>
      </c>
      <c r="CS122" s="1366">
        <v>6.9696661163034732E-2</v>
      </c>
      <c r="CT122" s="1366">
        <v>1.8613013301006193E-2</v>
      </c>
      <c r="CU122" s="1366">
        <v>1</v>
      </c>
      <c r="CV122" s="1936">
        <v>4513657</v>
      </c>
      <c r="CW122" s="1936">
        <v>972998</v>
      </c>
      <c r="CX122" s="1936">
        <v>530620</v>
      </c>
      <c r="CY122" s="1936">
        <v>3535914</v>
      </c>
      <c r="CZ122" s="1936">
        <v>0</v>
      </c>
      <c r="DA122" s="1936">
        <v>285599</v>
      </c>
      <c r="DB122" s="1936">
        <v>9838788</v>
      </c>
      <c r="DC122" s="1366">
        <v>0.45876148566266495</v>
      </c>
      <c r="DD122" s="1366">
        <v>9.8894091426708255E-2</v>
      </c>
      <c r="DE122" s="1366">
        <v>5.3931439522835536E-2</v>
      </c>
      <c r="DF122" s="1366">
        <v>0.35938511938665618</v>
      </c>
      <c r="DG122" s="1366">
        <v>0</v>
      </c>
      <c r="DH122" s="1366">
        <v>2.9027864001135099E-2</v>
      </c>
      <c r="DI122" s="1366">
        <v>1</v>
      </c>
      <c r="DJ122" s="1936">
        <v>238194</v>
      </c>
      <c r="DK122" s="1936">
        <v>354.26229287841829</v>
      </c>
      <c r="DL122" s="1936">
        <v>0</v>
      </c>
      <c r="DM122" s="1936">
        <v>625.55252137178104</v>
      </c>
      <c r="DN122" s="1936">
        <v>0</v>
      </c>
      <c r="DO122" s="1936">
        <v>7449</v>
      </c>
      <c r="DP122" s="1936">
        <v>0</v>
      </c>
      <c r="DQ122" s="1936">
        <v>0</v>
      </c>
      <c r="DR122" s="1936">
        <v>1602.526222940804</v>
      </c>
      <c r="DS122" s="1936">
        <v>766.87330960645431</v>
      </c>
      <c r="DT122" s="1936">
        <v>204.7992382088747</v>
      </c>
      <c r="DU122" s="1936">
        <v>11003.013585006333</v>
      </c>
      <c r="DV122" s="1936">
        <v>4928.4427906151786</v>
      </c>
      <c r="DW122" s="1936">
        <v>1062.4123584009569</v>
      </c>
      <c r="DX122" s="1936">
        <v>579.38171056334727</v>
      </c>
      <c r="DY122" s="1936">
        <v>3860.8493869904778</v>
      </c>
      <c r="DZ122" s="1936">
        <v>0</v>
      </c>
      <c r="EA122" s="1936">
        <v>311.84432768305265</v>
      </c>
      <c r="EB122" s="1936">
        <v>10742.930574253014</v>
      </c>
      <c r="EC122" s="1936">
        <v>260.0830107533186</v>
      </c>
      <c r="ED122" s="1941">
        <v>115</v>
      </c>
      <c r="EE122" s="1936">
        <v>1</v>
      </c>
      <c r="EF122" s="1936">
        <v>35</v>
      </c>
      <c r="EG122" s="1938">
        <v>100000</v>
      </c>
      <c r="EH122" s="1938">
        <v>1</v>
      </c>
      <c r="EI122" s="1368">
        <v>0.08</v>
      </c>
      <c r="EJ122" s="1936">
        <v>7.9638118918792724</v>
      </c>
      <c r="EK122" s="1936">
        <v>1</v>
      </c>
      <c r="EL122" s="1936">
        <v>500</v>
      </c>
      <c r="EM122" s="1936">
        <v>0</v>
      </c>
      <c r="EN122" s="1362">
        <v>0</v>
      </c>
      <c r="EO122" s="1936">
        <v>0</v>
      </c>
      <c r="EP122" s="1936">
        <v>0</v>
      </c>
      <c r="EQ122" s="1936">
        <v>0</v>
      </c>
      <c r="ER122" s="1938">
        <v>1</v>
      </c>
      <c r="ES122" s="1936">
        <v>2369.3995325472583</v>
      </c>
      <c r="ET122" s="1936">
        <v>-1086.9658176098785</v>
      </c>
      <c r="EU122" s="1938">
        <v>2</v>
      </c>
      <c r="EV122" s="1936">
        <v>84480</v>
      </c>
      <c r="EW122" s="1936">
        <v>0</v>
      </c>
      <c r="EX122" s="1938">
        <v>1</v>
      </c>
      <c r="EY122" s="1936">
        <v>1467655</v>
      </c>
      <c r="EZ122" s="1936">
        <v>718461</v>
      </c>
      <c r="FA122" s="1936">
        <v>749194</v>
      </c>
      <c r="FB122" s="1936">
        <v>702332</v>
      </c>
      <c r="FC122" s="1936">
        <v>254537</v>
      </c>
      <c r="FD122" s="1936">
        <v>447795</v>
      </c>
      <c r="FE122" s="1936">
        <v>2169987</v>
      </c>
      <c r="FF122" s="1936">
        <v>972998</v>
      </c>
      <c r="FG122" s="1936">
        <v>1196989</v>
      </c>
      <c r="FH122" s="1366">
        <v>1</v>
      </c>
      <c r="FI122" s="1366">
        <v>0.48952989633122224</v>
      </c>
      <c r="FJ122" s="1366">
        <v>0.51047010366877776</v>
      </c>
      <c r="FK122" s="1366">
        <v>1</v>
      </c>
      <c r="FL122" s="1366">
        <v>0.36241691963344969</v>
      </c>
      <c r="FM122" s="1366">
        <v>0.63758308036655031</v>
      </c>
      <c r="FN122" s="1366">
        <v>1</v>
      </c>
      <c r="FO122" s="1366">
        <v>0.44838886131575906</v>
      </c>
      <c r="FP122" s="1366">
        <v>0.55161113868424094</v>
      </c>
      <c r="FQ122" s="1936">
        <v>1543375</v>
      </c>
      <c r="FR122" s="1936">
        <v>0</v>
      </c>
      <c r="FS122" s="1936">
        <v>295842</v>
      </c>
      <c r="FT122" s="1936">
        <v>3797</v>
      </c>
      <c r="FU122" s="1936">
        <v>31158</v>
      </c>
      <c r="FV122" s="1936">
        <v>3450</v>
      </c>
      <c r="FW122" s="1936">
        <v>314852</v>
      </c>
      <c r="FX122" s="1936">
        <v>2192474</v>
      </c>
      <c r="FY122" s="1936">
        <v>-995485</v>
      </c>
      <c r="FZ122" s="1366">
        <v>0.71123697976070821</v>
      </c>
      <c r="GA122" s="1366">
        <v>0</v>
      </c>
      <c r="GB122" s="1366">
        <v>0.13633353563869277</v>
      </c>
      <c r="GC122" s="1366">
        <v>1.7497800678068578E-3</v>
      </c>
      <c r="GD122" s="1366">
        <v>1.4358611364952877E-2</v>
      </c>
      <c r="GE122" s="1366">
        <v>1.5898712757265365E-3</v>
      </c>
      <c r="GF122" s="1366">
        <v>0.14509395678407289</v>
      </c>
      <c r="GG122" s="1366">
        <v>1.0103627348919602</v>
      </c>
      <c r="GH122" s="1366">
        <v>-0.45875159620771921</v>
      </c>
      <c r="GI122" s="1942">
        <v>2.0896883525170433</v>
      </c>
      <c r="GJ122" s="1943">
        <v>1</v>
      </c>
      <c r="GK122" s="1371">
        <v>0.08</v>
      </c>
      <c r="GL122" s="1943">
        <v>1</v>
      </c>
      <c r="GM122" s="1371">
        <v>0.05</v>
      </c>
      <c r="GN122" s="1943">
        <v>18</v>
      </c>
      <c r="GO122" s="1985">
        <f>IF(GN122=0,0,VLOOKUP(A122,'Area (&amp;golfacre for lookup)'!$G$2:$H$133,2,FALSE))</f>
        <v>125</v>
      </c>
      <c r="GP122" s="1943">
        <v>53000</v>
      </c>
      <c r="GQ122" s="1943">
        <v>879023</v>
      </c>
      <c r="GR122" s="1943">
        <v>204686</v>
      </c>
      <c r="GS122" s="1943">
        <v>527756</v>
      </c>
      <c r="GT122" s="1943">
        <v>111937</v>
      </c>
      <c r="GU122" s="1943">
        <v>0</v>
      </c>
      <c r="GV122" s="1943">
        <v>216090</v>
      </c>
      <c r="GW122" s="1943">
        <v>1939492</v>
      </c>
      <c r="GX122" s="1943">
        <v>107749.55555555556</v>
      </c>
      <c r="GY122" s="1985">
        <f t="shared" ref="GY122:GY175" si="1319">IF(GW122=0,0,GW122/GO122)</f>
        <v>15515.936</v>
      </c>
      <c r="GZ122" s="1366">
        <v>0.4532233182709699</v>
      </c>
      <c r="HA122" s="1366">
        <v>0.10553588259193644</v>
      </c>
      <c r="HB122" s="1366">
        <v>0.27211042891643789</v>
      </c>
      <c r="HC122" s="1366">
        <v>5.7714597430667411E-2</v>
      </c>
      <c r="HD122" s="1366">
        <v>0</v>
      </c>
      <c r="HE122" s="1366">
        <v>0.11141577278998831</v>
      </c>
      <c r="HF122" s="1366">
        <v>1</v>
      </c>
      <c r="HG122" s="1936">
        <v>0</v>
      </c>
      <c r="HH122" s="1988">
        <f>IF(HG122=0,0,VLOOKUP(A122,'Area (&amp;golfacre for lookup)'!$G$2:$H$134,2,FALSE))</f>
        <v>0</v>
      </c>
      <c r="HI122" s="1936">
        <v>0</v>
      </c>
      <c r="HJ122" s="1936">
        <v>0</v>
      </c>
      <c r="HK122" s="1936">
        <v>0</v>
      </c>
      <c r="HL122" s="1936">
        <v>0</v>
      </c>
      <c r="HM122" s="1936">
        <v>0</v>
      </c>
      <c r="HN122" s="1936">
        <v>0</v>
      </c>
      <c r="HO122" s="1936">
        <v>0</v>
      </c>
      <c r="HP122" s="1936">
        <v>0</v>
      </c>
      <c r="HQ122" s="1936">
        <v>0</v>
      </c>
      <c r="HR122" s="1988">
        <f t="shared" ref="HR122:HR175" si="1320">IF(HP122=0,0,HP122/HH122)</f>
        <v>0</v>
      </c>
      <c r="HS122" s="1936">
        <v>0</v>
      </c>
      <c r="HT122" s="1936">
        <v>0</v>
      </c>
      <c r="HU122" s="1936">
        <v>0</v>
      </c>
      <c r="HV122" s="1936">
        <v>0</v>
      </c>
      <c r="HW122" s="1936">
        <v>0</v>
      </c>
      <c r="HX122" s="1936">
        <v>0</v>
      </c>
      <c r="HY122" s="1936">
        <v>0</v>
      </c>
      <c r="HZ122" s="51"/>
      <c r="IA122" s="59">
        <f t="shared" si="1136"/>
        <v>0</v>
      </c>
      <c r="IB122" s="59"/>
      <c r="IC122" s="815">
        <f t="shared" si="1137"/>
        <v>1</v>
      </c>
      <c r="ID122" s="815"/>
      <c r="IE122" s="284">
        <f t="shared" si="1138"/>
        <v>0</v>
      </c>
      <c r="IF122" s="284"/>
      <c r="IG122" s="284">
        <f t="shared" si="1139"/>
        <v>9340.3435616410243</v>
      </c>
      <c r="IH122" s="284"/>
      <c r="II122" s="1288">
        <f t="shared" si="1140"/>
        <v>1.1410390523976905</v>
      </c>
      <c r="IJ122" s="1288">
        <f t="shared" si="1141"/>
        <v>0</v>
      </c>
      <c r="IK122" s="284">
        <f t="shared" si="1142"/>
        <v>0</v>
      </c>
      <c r="IL122" s="284">
        <f t="shared" si="1143"/>
        <v>0</v>
      </c>
      <c r="IM122" s="284">
        <f t="shared" si="1144"/>
        <v>0</v>
      </c>
      <c r="IN122" s="284">
        <f t="shared" si="1145"/>
        <v>0</v>
      </c>
      <c r="IO122" s="753">
        <f t="shared" si="1146"/>
        <v>-771.09604957397369</v>
      </c>
      <c r="IP122" s="113">
        <f t="shared" si="1147"/>
        <v>-1086.9658176098785</v>
      </c>
      <c r="IQ122" s="30">
        <f t="shared" si="1148"/>
        <v>-0.14592103874478166</v>
      </c>
      <c r="IR122" s="438">
        <f t="shared" si="1149"/>
        <v>1467655</v>
      </c>
      <c r="IS122" s="438">
        <f t="shared" si="1150"/>
        <v>702332</v>
      </c>
      <c r="IT122" s="438">
        <f t="shared" si="1151"/>
        <v>1543375</v>
      </c>
      <c r="IU122" s="438">
        <f t="shared" si="1152"/>
        <v>299639</v>
      </c>
      <c r="IV122" s="438">
        <f t="shared" si="1153"/>
        <v>972998</v>
      </c>
      <c r="IW122" s="438">
        <f t="shared" si="1154"/>
        <v>349460</v>
      </c>
      <c r="IX122" s="285">
        <f t="shared" si="1155"/>
        <v>0.6763427615004145</v>
      </c>
      <c r="IY122" s="285">
        <f t="shared" si="1156"/>
        <v>0.3236572384995855</v>
      </c>
      <c r="IZ122" s="285">
        <f t="shared" si="1157"/>
        <v>0.71123697976070821</v>
      </c>
      <c r="JA122" s="285">
        <f t="shared" si="1158"/>
        <v>0.13808331570649962</v>
      </c>
      <c r="JB122" s="285">
        <f t="shared" si="1159"/>
        <v>0.44838886131575906</v>
      </c>
      <c r="JC122" s="285">
        <f t="shared" si="1160"/>
        <v>0.16104243942475233</v>
      </c>
      <c r="JD122" s="60">
        <f t="shared" si="1161"/>
        <v>6822080</v>
      </c>
      <c r="JE122" s="60">
        <f t="shared" si="1162"/>
        <v>897352</v>
      </c>
      <c r="JF122" s="60">
        <f t="shared" si="1163"/>
        <v>0</v>
      </c>
      <c r="JG122" s="60">
        <f t="shared" si="1164"/>
        <v>285599</v>
      </c>
      <c r="JH122" s="284">
        <f t="shared" si="1165"/>
        <v>1</v>
      </c>
      <c r="JI122" s="284">
        <f t="shared" si="1166"/>
        <v>1</v>
      </c>
      <c r="JJ122" s="560">
        <f t="shared" si="1167"/>
        <v>0.92619195154519507</v>
      </c>
      <c r="JK122" s="561">
        <f t="shared" si="1168"/>
        <v>0.44791754118445382</v>
      </c>
      <c r="JL122" s="561">
        <f t="shared" si="1169"/>
        <v>9.6556488837630156E-2</v>
      </c>
      <c r="JM122" s="561">
        <f t="shared" si="1170"/>
        <v>5.2656638664234985E-2</v>
      </c>
      <c r="JN122" s="561">
        <f t="shared" si="1171"/>
        <v>0.35089017723758958</v>
      </c>
      <c r="JO122" s="561">
        <f t="shared" si="1172"/>
        <v>0</v>
      </c>
      <c r="JP122" s="561">
        <f t="shared" si="1173"/>
        <v>2.8341719772844685E-2</v>
      </c>
      <c r="JQ122" s="561">
        <f t="shared" si="1174"/>
        <v>0.97636256569675328</v>
      </c>
      <c r="JR122" s="61">
        <f t="shared" si="1175"/>
        <v>48834.611111111109</v>
      </c>
      <c r="JS122" s="61">
        <f t="shared" si="1176"/>
        <v>11371.444444444445</v>
      </c>
      <c r="JT122" s="61">
        <f t="shared" si="1177"/>
        <v>29319.777777777777</v>
      </c>
      <c r="JU122" s="61">
        <f t="shared" si="1178"/>
        <v>6218.7222222222226</v>
      </c>
      <c r="JV122" s="61">
        <f t="shared" si="1179"/>
        <v>0</v>
      </c>
      <c r="JW122" s="61">
        <f t="shared" si="1180"/>
        <v>12005</v>
      </c>
      <c r="JX122" s="61">
        <f t="shared" si="1181"/>
        <v>36.594188679245285</v>
      </c>
      <c r="JY122" s="394">
        <f t="shared" si="1182"/>
        <v>0.19712712582078198</v>
      </c>
      <c r="JZ122" s="61">
        <f t="shared" si="1183"/>
        <v>0</v>
      </c>
      <c r="KA122" s="61">
        <f t="shared" si="1184"/>
        <v>0</v>
      </c>
      <c r="KB122" s="61">
        <f t="shared" si="1185"/>
        <v>0</v>
      </c>
      <c r="KC122" s="61">
        <f t="shared" si="1186"/>
        <v>0</v>
      </c>
      <c r="KD122" s="61">
        <f t="shared" si="1187"/>
        <v>0</v>
      </c>
      <c r="KE122" s="61">
        <f t="shared" si="1188"/>
        <v>0</v>
      </c>
      <c r="KF122" s="61">
        <f t="shared" si="1189"/>
        <v>0</v>
      </c>
      <c r="KG122" s="61">
        <f t="shared" si="1190"/>
        <v>0</v>
      </c>
      <c r="KH122" s="61">
        <f t="shared" si="1191"/>
        <v>0</v>
      </c>
      <c r="KI122" s="394">
        <f t="shared" si="1192"/>
        <v>0</v>
      </c>
      <c r="KJ122" s="438">
        <f t="shared" si="1193"/>
        <v>18</v>
      </c>
      <c r="KK122" s="438">
        <f t="shared" si="1194"/>
        <v>53000</v>
      </c>
      <c r="KL122" s="438">
        <f t="shared" si="1195"/>
        <v>125</v>
      </c>
      <c r="KM122" s="438">
        <f t="shared" si="1196"/>
        <v>107749.55555555556</v>
      </c>
      <c r="KN122" s="438">
        <f t="shared" si="1197"/>
        <v>36.594188679245285</v>
      </c>
      <c r="KO122" s="438">
        <f t="shared" si="1198"/>
        <v>15515.936</v>
      </c>
      <c r="KP122" s="438">
        <f t="shared" si="1199"/>
        <v>879023</v>
      </c>
      <c r="KQ122" s="438">
        <f t="shared" si="1200"/>
        <v>204686</v>
      </c>
      <c r="KR122" s="438">
        <f t="shared" si="1201"/>
        <v>527756</v>
      </c>
      <c r="KS122" s="438">
        <f t="shared" si="1202"/>
        <v>111937</v>
      </c>
      <c r="KT122" s="438">
        <f t="shared" si="1203"/>
        <v>0</v>
      </c>
      <c r="KU122" s="438">
        <f t="shared" si="1204"/>
        <v>216090</v>
      </c>
      <c r="KV122" s="420">
        <f t="shared" si="1205"/>
        <v>0.19712712582078198</v>
      </c>
      <c r="KW122" s="420">
        <f t="shared" si="1206"/>
        <v>-0.25262119470894506</v>
      </c>
      <c r="KX122" s="108"/>
      <c r="KY122" s="282">
        <f t="shared" si="1207"/>
        <v>0</v>
      </c>
      <c r="KZ122" s="282"/>
      <c r="LA122" s="282">
        <f t="shared" si="1208"/>
        <v>0</v>
      </c>
      <c r="LB122" s="282"/>
      <c r="LC122" s="286">
        <f t="shared" si="951"/>
        <v>0</v>
      </c>
      <c r="LD122" s="286"/>
      <c r="LE122" s="282">
        <f t="shared" si="1209"/>
        <v>0</v>
      </c>
      <c r="LF122" s="282"/>
      <c r="LG122" s="282">
        <f t="shared" si="1210"/>
        <v>0</v>
      </c>
      <c r="LH122" s="282">
        <f t="shared" si="1211"/>
        <v>0</v>
      </c>
      <c r="LI122" s="282">
        <f t="shared" si="1212"/>
        <v>0</v>
      </c>
      <c r="LJ122" s="282">
        <f t="shared" si="1213"/>
        <v>0</v>
      </c>
      <c r="LK122" s="282"/>
      <c r="LL122" s="282">
        <f t="shared" si="1214"/>
        <v>0</v>
      </c>
      <c r="LM122" s="282">
        <f t="shared" si="1215"/>
        <v>0</v>
      </c>
      <c r="LN122" s="282">
        <f t="shared" si="1216"/>
        <v>0</v>
      </c>
      <c r="LO122" s="282">
        <f t="shared" si="1217"/>
        <v>0</v>
      </c>
      <c r="LP122" s="286">
        <f t="shared" si="1218"/>
        <v>0</v>
      </c>
      <c r="LQ122" s="282">
        <f t="shared" si="1219"/>
        <v>0</v>
      </c>
      <c r="LR122" s="282">
        <f t="shared" si="1220"/>
        <v>0</v>
      </c>
      <c r="LS122" s="282">
        <f t="shared" si="1221"/>
        <v>0</v>
      </c>
      <c r="LT122" s="286">
        <f t="shared" si="1222"/>
        <v>0</v>
      </c>
      <c r="LU122" s="286">
        <f t="shared" si="1223"/>
        <v>0</v>
      </c>
      <c r="LV122" s="286">
        <f t="shared" si="1224"/>
        <v>0</v>
      </c>
      <c r="LW122" s="286">
        <f t="shared" si="1225"/>
        <v>0</v>
      </c>
      <c r="LX122" s="286">
        <f t="shared" si="1226"/>
        <v>0</v>
      </c>
      <c r="LY122" s="286">
        <f t="shared" si="1227"/>
        <v>0</v>
      </c>
      <c r="LZ122" s="286">
        <f t="shared" si="1228"/>
        <v>0</v>
      </c>
      <c r="MA122" s="286">
        <f t="shared" si="1229"/>
        <v>0</v>
      </c>
      <c r="MB122" s="286">
        <f t="shared" si="1230"/>
        <v>0</v>
      </c>
      <c r="MC122" s="286">
        <f t="shared" si="1231"/>
        <v>0</v>
      </c>
      <c r="MD122" s="286">
        <f t="shared" si="1232"/>
        <v>0</v>
      </c>
      <c r="ME122" s="286">
        <f t="shared" si="1233"/>
        <v>0</v>
      </c>
      <c r="MF122" s="286">
        <f t="shared" si="1234"/>
        <v>0</v>
      </c>
      <c r="MG122" s="286">
        <f t="shared" si="1235"/>
        <v>0</v>
      </c>
      <c r="MH122" s="286">
        <f t="shared" si="1236"/>
        <v>0</v>
      </c>
      <c r="MI122" s="286">
        <f t="shared" si="1237"/>
        <v>0</v>
      </c>
      <c r="MJ122" s="286">
        <f t="shared" si="1238"/>
        <v>0</v>
      </c>
      <c r="MK122" s="286">
        <f t="shared" si="1239"/>
        <v>0</v>
      </c>
      <c r="ML122" s="282">
        <f t="shared" si="1240"/>
        <v>0</v>
      </c>
      <c r="MM122" s="1232">
        <f t="shared" si="1241"/>
        <v>0</v>
      </c>
      <c r="MN122" s="1232">
        <f t="shared" si="1242"/>
        <v>0</v>
      </c>
      <c r="MO122" s="1232">
        <f t="shared" si="1243"/>
        <v>0</v>
      </c>
      <c r="MP122" s="1232">
        <f t="shared" si="1244"/>
        <v>0</v>
      </c>
      <c r="MQ122" s="282">
        <f t="shared" si="1245"/>
        <v>0</v>
      </c>
      <c r="MR122" s="282">
        <f t="shared" si="1246"/>
        <v>0</v>
      </c>
      <c r="MS122" s="282">
        <f t="shared" si="1247"/>
        <v>0</v>
      </c>
      <c r="MT122" s="282">
        <f t="shared" si="1248"/>
        <v>0</v>
      </c>
      <c r="MU122" s="282">
        <f t="shared" si="1249"/>
        <v>0</v>
      </c>
      <c r="MV122" s="282">
        <f t="shared" si="1250"/>
        <v>0</v>
      </c>
      <c r="MW122" s="282">
        <f t="shared" si="1251"/>
        <v>0</v>
      </c>
      <c r="MX122" s="282">
        <f t="shared" si="1252"/>
        <v>0</v>
      </c>
      <c r="MY122" s="282">
        <f t="shared" si="1253"/>
        <v>0</v>
      </c>
      <c r="MZ122" s="282">
        <f t="shared" si="1254"/>
        <v>0</v>
      </c>
      <c r="NA122" s="282">
        <f t="shared" si="1255"/>
        <v>0</v>
      </c>
      <c r="NB122" s="282">
        <f t="shared" si="1256"/>
        <v>0</v>
      </c>
      <c r="NC122" s="282">
        <f t="shared" si="1257"/>
        <v>0</v>
      </c>
      <c r="ND122" s="282">
        <f t="shared" si="1258"/>
        <v>0</v>
      </c>
      <c r="NE122" s="282">
        <f t="shared" si="1259"/>
        <v>0</v>
      </c>
      <c r="NF122" s="282">
        <f t="shared" si="1260"/>
        <v>0</v>
      </c>
      <c r="NG122" s="282">
        <f t="shared" si="1261"/>
        <v>0</v>
      </c>
      <c r="NH122" s="282">
        <f t="shared" si="1262"/>
        <v>0</v>
      </c>
      <c r="NI122" s="282">
        <f t="shared" si="1263"/>
        <v>0</v>
      </c>
      <c r="NJ122" s="282">
        <f t="shared" si="1264"/>
        <v>0</v>
      </c>
      <c r="NK122" s="282">
        <f t="shared" si="1265"/>
        <v>0</v>
      </c>
      <c r="NL122" s="282">
        <f t="shared" si="1266"/>
        <v>0</v>
      </c>
      <c r="NM122" s="1205">
        <f t="shared" si="1267"/>
        <v>0</v>
      </c>
      <c r="NN122" s="282">
        <f t="shared" si="1268"/>
        <v>0</v>
      </c>
      <c r="NO122" s="282">
        <f t="shared" si="1269"/>
        <v>0</v>
      </c>
      <c r="NP122" s="282">
        <f t="shared" si="1270"/>
        <v>0</v>
      </c>
      <c r="NQ122" s="282">
        <f t="shared" si="1271"/>
        <v>0</v>
      </c>
      <c r="NR122" s="282">
        <f t="shared" si="1272"/>
        <v>0</v>
      </c>
      <c r="NS122" s="282">
        <f t="shared" si="1273"/>
        <v>0</v>
      </c>
      <c r="NT122" s="282">
        <f t="shared" si="1274"/>
        <v>0</v>
      </c>
      <c r="NU122" s="282">
        <f t="shared" si="1275"/>
        <v>0</v>
      </c>
      <c r="NV122" s="286">
        <f t="shared" si="1276"/>
        <v>0</v>
      </c>
      <c r="NW122" s="286">
        <f t="shared" si="1277"/>
        <v>0</v>
      </c>
      <c r="NX122" s="286">
        <f t="shared" si="1278"/>
        <v>0</v>
      </c>
      <c r="NY122" s="286">
        <f t="shared" si="1279"/>
        <v>0</v>
      </c>
      <c r="NZ122" s="286">
        <f t="shared" si="1280"/>
        <v>0</v>
      </c>
      <c r="OA122" s="286">
        <f t="shared" si="1281"/>
        <v>0</v>
      </c>
      <c r="OB122" s="286">
        <f t="shared" si="1282"/>
        <v>0</v>
      </c>
      <c r="OC122" s="286">
        <f t="shared" si="1283"/>
        <v>0</v>
      </c>
      <c r="OD122" s="286">
        <f t="shared" si="1284"/>
        <v>0</v>
      </c>
      <c r="OE122" s="282">
        <f t="shared" si="1285"/>
        <v>0</v>
      </c>
      <c r="OF122" s="282">
        <f t="shared" si="1286"/>
        <v>0</v>
      </c>
      <c r="OG122" s="286">
        <f t="shared" si="1287"/>
        <v>0</v>
      </c>
      <c r="OH122" s="286">
        <f t="shared" si="1288"/>
        <v>0</v>
      </c>
      <c r="OI122" s="286">
        <f t="shared" si="1289"/>
        <v>0</v>
      </c>
      <c r="OJ122" s="286">
        <f t="shared" si="1290"/>
        <v>0</v>
      </c>
      <c r="OK122" s="286">
        <f t="shared" si="1291"/>
        <v>0</v>
      </c>
      <c r="OL122" s="286">
        <f t="shared" si="1292"/>
        <v>0</v>
      </c>
      <c r="OM122" s="286">
        <f t="shared" si="1293"/>
        <v>0</v>
      </c>
      <c r="ON122" s="286">
        <f t="shared" si="1294"/>
        <v>0</v>
      </c>
      <c r="OO122" s="286">
        <f t="shared" si="1295"/>
        <v>0</v>
      </c>
      <c r="OP122" s="434">
        <f t="shared" si="1296"/>
        <v>0</v>
      </c>
      <c r="OQ122" s="434">
        <f t="shared" si="1297"/>
        <v>0</v>
      </c>
      <c r="OR122" s="282">
        <f t="shared" si="1298"/>
        <v>0</v>
      </c>
      <c r="OS122" s="282">
        <f t="shared" si="1299"/>
        <v>0</v>
      </c>
      <c r="OT122" s="282">
        <f t="shared" si="1300"/>
        <v>0</v>
      </c>
      <c r="OU122" s="282">
        <f t="shared" si="1301"/>
        <v>0</v>
      </c>
      <c r="OV122" s="282">
        <f t="shared" si="1302"/>
        <v>0</v>
      </c>
      <c r="OW122" s="286">
        <f t="shared" si="1303"/>
        <v>0</v>
      </c>
      <c r="OX122" s="286">
        <f t="shared" si="1304"/>
        <v>0</v>
      </c>
      <c r="OY122" s="286">
        <f t="shared" si="1305"/>
        <v>0</v>
      </c>
      <c r="OZ122" s="286">
        <f t="shared" si="1306"/>
        <v>0</v>
      </c>
      <c r="PA122" s="286">
        <f t="shared" si="1307"/>
        <v>0</v>
      </c>
      <c r="PB122" s="286">
        <f t="shared" si="1308"/>
        <v>0</v>
      </c>
      <c r="PC122" s="286">
        <f t="shared" si="1309"/>
        <v>0</v>
      </c>
      <c r="PD122" s="282">
        <f t="shared" si="1310"/>
        <v>0</v>
      </c>
      <c r="PE122" s="282">
        <f t="shared" si="1311"/>
        <v>0</v>
      </c>
      <c r="PF122" s="286">
        <f t="shared" si="1312"/>
        <v>0</v>
      </c>
      <c r="PG122" s="286">
        <f t="shared" si="1313"/>
        <v>0</v>
      </c>
      <c r="PH122" s="286">
        <f t="shared" si="1314"/>
        <v>0</v>
      </c>
      <c r="PI122" s="286">
        <f t="shared" si="1315"/>
        <v>0</v>
      </c>
      <c r="PJ122" s="286">
        <f t="shared" si="1316"/>
        <v>0</v>
      </c>
      <c r="PK122" s="286">
        <f t="shared" si="1317"/>
        <v>0</v>
      </c>
      <c r="PL122" s="286">
        <f t="shared" si="1318"/>
        <v>0</v>
      </c>
      <c r="PM122" s="562">
        <v>66</v>
      </c>
    </row>
    <row r="123" spans="1:431" s="289" customFormat="1" ht="15.75" customHeight="1">
      <c r="A123" s="1935" t="s">
        <v>2149</v>
      </c>
      <c r="B123" s="1040" t="str">
        <f>VLOOKUP(A123,'Area (&amp;golfacre for lookup)'!$A$2:$B$162,2,FALSE)</f>
        <v>North&amp;Central</v>
      </c>
      <c r="C123" s="1936"/>
      <c r="D123" s="1937">
        <v>44865</v>
      </c>
      <c r="E123" s="402"/>
      <c r="F123" s="1936">
        <v>1</v>
      </c>
      <c r="G123" s="1936">
        <v>0</v>
      </c>
      <c r="H123" s="1936">
        <v>257</v>
      </c>
      <c r="I123" s="1936">
        <v>82</v>
      </c>
      <c r="J123" s="1936">
        <v>339</v>
      </c>
      <c r="K123" s="1938">
        <v>299.26137499999999</v>
      </c>
      <c r="L123" s="1939" t="s">
        <v>1208</v>
      </c>
      <c r="M123" s="1939" t="s">
        <v>1208</v>
      </c>
      <c r="N123" s="1939" t="s">
        <v>1208</v>
      </c>
      <c r="O123" s="1939" t="s">
        <v>1208</v>
      </c>
      <c r="P123" s="1939" t="s">
        <v>1208</v>
      </c>
      <c r="Q123" s="1936">
        <v>100</v>
      </c>
      <c r="R123" s="1936">
        <v>79900</v>
      </c>
      <c r="S123" s="1936">
        <v>80000</v>
      </c>
      <c r="T123" s="1939" t="s">
        <v>1208</v>
      </c>
      <c r="U123" s="1939" t="s">
        <v>1208</v>
      </c>
      <c r="V123" s="1939" t="s">
        <v>1208</v>
      </c>
      <c r="W123" s="1936">
        <v>9750</v>
      </c>
      <c r="X123" s="1936">
        <v>8000</v>
      </c>
      <c r="Y123" s="1939" t="s">
        <v>1208</v>
      </c>
      <c r="Z123" s="1939" t="s">
        <v>1208</v>
      </c>
      <c r="AA123" s="1936">
        <v>1750</v>
      </c>
      <c r="AB123" s="1362">
        <v>0.21875</v>
      </c>
      <c r="AC123" s="1939" t="s">
        <v>1208</v>
      </c>
      <c r="AD123" s="1363" t="s">
        <v>1208</v>
      </c>
      <c r="AE123" s="1936">
        <v>1</v>
      </c>
      <c r="AF123" s="1936">
        <v>925</v>
      </c>
      <c r="AG123" s="1939" t="s">
        <v>1208</v>
      </c>
      <c r="AH123" s="1936">
        <v>0</v>
      </c>
      <c r="AI123" s="1936">
        <v>0</v>
      </c>
      <c r="AJ123" s="1939" t="s">
        <v>1208</v>
      </c>
      <c r="AK123" s="1938">
        <v>1</v>
      </c>
      <c r="AL123" s="1938">
        <v>1500</v>
      </c>
      <c r="AM123" s="1936">
        <v>10425</v>
      </c>
      <c r="AN123" s="1939" t="s">
        <v>1208</v>
      </c>
      <c r="AO123" s="1936">
        <v>0</v>
      </c>
      <c r="AP123" s="1936">
        <v>0</v>
      </c>
      <c r="AQ123" s="1936">
        <v>10425</v>
      </c>
      <c r="AR123" s="1939" t="s">
        <v>1208</v>
      </c>
      <c r="AS123" s="1363" t="s">
        <v>1208</v>
      </c>
      <c r="AT123" s="1363" t="s">
        <v>1208</v>
      </c>
      <c r="AU123" s="1363" t="s">
        <v>1208</v>
      </c>
      <c r="AV123" s="1363" t="s">
        <v>1208</v>
      </c>
      <c r="AW123" s="1363" t="s">
        <v>1291</v>
      </c>
      <c r="AX123" s="1938">
        <v>0</v>
      </c>
      <c r="AY123" s="1938">
        <v>0</v>
      </c>
      <c r="AZ123" s="1938">
        <v>0</v>
      </c>
      <c r="BA123" s="1938">
        <v>0</v>
      </c>
      <c r="BB123" s="1938">
        <v>0</v>
      </c>
      <c r="BC123" s="1938">
        <v>0</v>
      </c>
      <c r="BD123" s="1938">
        <v>0</v>
      </c>
      <c r="BE123" s="1936">
        <v>1</v>
      </c>
      <c r="BF123" s="1936">
        <v>7900000</v>
      </c>
      <c r="BG123" s="1936">
        <v>752000</v>
      </c>
      <c r="BH123" s="1936">
        <v>8652000</v>
      </c>
      <c r="BI123" s="1938">
        <v>9296412</v>
      </c>
      <c r="BJ123" s="1936">
        <v>1273622</v>
      </c>
      <c r="BK123" s="1936">
        <v>509143</v>
      </c>
      <c r="BL123" s="1362">
        <v>2.5015015427885681</v>
      </c>
      <c r="BM123" s="1936">
        <v>1</v>
      </c>
      <c r="BN123" s="1936">
        <v>2073043</v>
      </c>
      <c r="BO123" s="1363" t="s">
        <v>1208</v>
      </c>
      <c r="BP123" s="1938">
        <v>3237553</v>
      </c>
      <c r="BQ123" s="1938">
        <v>1879743</v>
      </c>
      <c r="BR123" s="1940">
        <v>1.7223381068582249</v>
      </c>
      <c r="BS123" s="1409">
        <v>1</v>
      </c>
      <c r="BT123" s="1938">
        <v>3952789</v>
      </c>
      <c r="BU123" s="1938">
        <v>9577707</v>
      </c>
      <c r="BV123" s="1940">
        <v>0.41270723775534163</v>
      </c>
      <c r="BW123" s="1936">
        <v>6927.1986737346242</v>
      </c>
      <c r="BX123" s="1936">
        <v>4255.8850102189099</v>
      </c>
      <c r="BY123" s="1936">
        <v>28911.18173870584</v>
      </c>
      <c r="BZ123" s="1936">
        <v>909972</v>
      </c>
      <c r="CA123" s="1936">
        <v>0</v>
      </c>
      <c r="CB123" s="1936">
        <v>305294</v>
      </c>
      <c r="CC123" s="1936">
        <v>0</v>
      </c>
      <c r="CD123" s="1936">
        <v>2394091</v>
      </c>
      <c r="CE123" s="1936">
        <v>0</v>
      </c>
      <c r="CF123" s="1936">
        <v>0</v>
      </c>
      <c r="CG123" s="1936">
        <v>338060</v>
      </c>
      <c r="CH123" s="1936">
        <v>119064</v>
      </c>
      <c r="CI123" s="1936">
        <v>59137</v>
      </c>
      <c r="CJ123" s="1936">
        <v>4125618</v>
      </c>
      <c r="CK123" s="1366">
        <v>0.22056622789603886</v>
      </c>
      <c r="CL123" s="1366">
        <v>0</v>
      </c>
      <c r="CM123" s="1366">
        <v>7.3999580184108169E-2</v>
      </c>
      <c r="CN123" s="1366">
        <v>0</v>
      </c>
      <c r="CO123" s="1366">
        <v>0.58029875766491223</v>
      </c>
      <c r="CP123" s="1366">
        <v>0</v>
      </c>
      <c r="CQ123" s="1366">
        <v>0</v>
      </c>
      <c r="CR123" s="1366">
        <v>8.1941663042967142E-2</v>
      </c>
      <c r="CS123" s="1366">
        <v>2.8859676295769507E-2</v>
      </c>
      <c r="CT123" s="1366">
        <v>1.433409491620407E-2</v>
      </c>
      <c r="CU123" s="1366">
        <v>1</v>
      </c>
      <c r="CV123" s="1936">
        <v>2547676</v>
      </c>
      <c r="CW123" s="1936">
        <v>175339</v>
      </c>
      <c r="CX123" s="1936">
        <v>203977</v>
      </c>
      <c r="CY123" s="1936">
        <v>1539427</v>
      </c>
      <c r="CZ123" s="1936">
        <v>95943</v>
      </c>
      <c r="DA123" s="1936">
        <v>122549</v>
      </c>
      <c r="DB123" s="1936">
        <v>4684911</v>
      </c>
      <c r="DC123" s="1366">
        <v>0.54380456747203954</v>
      </c>
      <c r="DD123" s="1366">
        <v>3.7426324640959026E-2</v>
      </c>
      <c r="DE123" s="1366">
        <v>4.3539140871619544E-2</v>
      </c>
      <c r="DF123" s="1366">
        <v>0.32859258158799604</v>
      </c>
      <c r="DG123" s="1366">
        <v>2.0479151044705012E-2</v>
      </c>
      <c r="DH123" s="1366">
        <v>2.615823438268091E-2</v>
      </c>
      <c r="DI123" s="1366">
        <v>1</v>
      </c>
      <c r="DJ123" s="1936">
        <v>-559293</v>
      </c>
      <c r="DK123" s="1936">
        <v>3040.7265220912655</v>
      </c>
      <c r="DL123" s="1936">
        <v>0</v>
      </c>
      <c r="DM123" s="1936">
        <v>1020.1583816154023</v>
      </c>
      <c r="DN123" s="1936">
        <v>0</v>
      </c>
      <c r="DO123" s="1936">
        <v>8000</v>
      </c>
      <c r="DP123" s="1936">
        <v>0</v>
      </c>
      <c r="DQ123" s="1936">
        <v>0</v>
      </c>
      <c r="DR123" s="1936">
        <v>1129.6479540669091</v>
      </c>
      <c r="DS123" s="1936">
        <v>397.85956340005458</v>
      </c>
      <c r="DT123" s="1936">
        <v>197.60986528916405</v>
      </c>
      <c r="DU123" s="1936">
        <v>13786.002286462795</v>
      </c>
      <c r="DV123" s="1936">
        <v>8513.2135745884352</v>
      </c>
      <c r="DW123" s="1936">
        <v>585.90588244139428</v>
      </c>
      <c r="DX123" s="1936">
        <v>681.6014930092465</v>
      </c>
      <c r="DY123" s="1936">
        <v>5144.0885079138598</v>
      </c>
      <c r="DZ123" s="1936">
        <v>320.59934229734796</v>
      </c>
      <c r="EA123" s="1936">
        <v>409.50490186045562</v>
      </c>
      <c r="EB123" s="1936">
        <v>15654.91370211074</v>
      </c>
      <c r="EC123" s="1936">
        <v>-1868.9114156479434</v>
      </c>
      <c r="ED123" s="1941">
        <v>54</v>
      </c>
      <c r="EE123" s="1936">
        <v>0</v>
      </c>
      <c r="EF123" s="1936">
        <v>0</v>
      </c>
      <c r="EG123" s="1938">
        <v>0</v>
      </c>
      <c r="EH123" s="1938">
        <v>1</v>
      </c>
      <c r="EI123" s="1368">
        <v>0.09</v>
      </c>
      <c r="EJ123" s="1936">
        <v>5.5418773148148146</v>
      </c>
      <c r="EK123" s="1936">
        <v>0</v>
      </c>
      <c r="EL123" s="1936">
        <v>0</v>
      </c>
      <c r="EM123" s="1936">
        <v>1</v>
      </c>
      <c r="EN123" s="1362">
        <v>0.2</v>
      </c>
      <c r="EO123" s="1936">
        <v>0</v>
      </c>
      <c r="EP123" s="1936">
        <v>0</v>
      </c>
      <c r="EQ123" s="1936">
        <v>0</v>
      </c>
      <c r="ER123" s="1938">
        <v>0</v>
      </c>
      <c r="ES123" s="1936">
        <v>1527.5075174669635</v>
      </c>
      <c r="ET123" s="1936">
        <v>-615.56557373967826</v>
      </c>
      <c r="EU123" s="1938">
        <v>1</v>
      </c>
      <c r="EV123" s="1936">
        <v>25000</v>
      </c>
      <c r="EW123" s="1936">
        <v>1550</v>
      </c>
      <c r="EX123" s="1938">
        <v>1</v>
      </c>
      <c r="EY123" s="1936">
        <v>338060</v>
      </c>
      <c r="EZ123" s="1936">
        <v>140537</v>
      </c>
      <c r="FA123" s="1936">
        <v>197523</v>
      </c>
      <c r="FB123" s="1936">
        <v>119064</v>
      </c>
      <c r="FC123" s="1936">
        <v>34802</v>
      </c>
      <c r="FD123" s="1936">
        <v>84262</v>
      </c>
      <c r="FE123" s="1936">
        <v>457124</v>
      </c>
      <c r="FF123" s="1936">
        <v>175339</v>
      </c>
      <c r="FG123" s="1936">
        <v>281785</v>
      </c>
      <c r="FH123" s="1366">
        <v>1</v>
      </c>
      <c r="FI123" s="1366">
        <v>0.41571614506300658</v>
      </c>
      <c r="FJ123" s="1366">
        <v>0.58428385493699342</v>
      </c>
      <c r="FK123" s="1366">
        <v>1</v>
      </c>
      <c r="FL123" s="1366">
        <v>0.29229657999059327</v>
      </c>
      <c r="FM123" s="1366">
        <v>0.70770342000940667</v>
      </c>
      <c r="FN123" s="1366">
        <v>1</v>
      </c>
      <c r="FO123" s="1366">
        <v>0.38356988475774628</v>
      </c>
      <c r="FP123" s="1366">
        <v>0.61643011524225377</v>
      </c>
      <c r="FQ123" s="1936">
        <v>276636</v>
      </c>
      <c r="FR123" s="1936">
        <v>0</v>
      </c>
      <c r="FS123" s="1936">
        <v>145127</v>
      </c>
      <c r="FT123" s="1936">
        <v>12243</v>
      </c>
      <c r="FU123" s="1936">
        <v>7145</v>
      </c>
      <c r="FV123" s="1936">
        <v>0</v>
      </c>
      <c r="FW123" s="1936">
        <v>24849</v>
      </c>
      <c r="FX123" s="1936">
        <v>466000</v>
      </c>
      <c r="FY123" s="1936">
        <v>-184215</v>
      </c>
      <c r="FZ123" s="1366">
        <v>0.6051662131062906</v>
      </c>
      <c r="GA123" s="1366">
        <v>0</v>
      </c>
      <c r="GB123" s="1366">
        <v>0.31747840848434999</v>
      </c>
      <c r="GC123" s="1366">
        <v>2.6782667285025506E-2</v>
      </c>
      <c r="GD123" s="1366">
        <v>1.5630332251205362E-2</v>
      </c>
      <c r="GE123" s="1366">
        <v>0</v>
      </c>
      <c r="GF123" s="1366">
        <v>5.4359429826480343E-2</v>
      </c>
      <c r="GG123" s="1366">
        <v>1.0194170509533518</v>
      </c>
      <c r="GH123" s="1366">
        <v>-0.40298693571109806</v>
      </c>
      <c r="GI123" s="1942">
        <v>2.8393133104884769</v>
      </c>
      <c r="GJ123" s="1943">
        <v>0</v>
      </c>
      <c r="GK123" s="1371">
        <v>0</v>
      </c>
      <c r="GL123" s="1943">
        <v>0</v>
      </c>
      <c r="GM123" s="1371">
        <v>0</v>
      </c>
      <c r="GN123" s="1943">
        <v>18</v>
      </c>
      <c r="GO123" s="1985">
        <f>IF(GN123=0,0,VLOOKUP(A123,'Area (&amp;golfacre for lookup)'!$G$2:$H$133,2,FALSE))</f>
        <v>86</v>
      </c>
      <c r="GP123" s="1943">
        <v>28687</v>
      </c>
      <c r="GQ123" s="1943">
        <v>803614</v>
      </c>
      <c r="GR123" s="1943">
        <v>216333</v>
      </c>
      <c r="GS123" s="1943">
        <v>561903</v>
      </c>
      <c r="GT123" s="1943">
        <v>174115</v>
      </c>
      <c r="GU123" s="1943">
        <v>0</v>
      </c>
      <c r="GV123" s="1943">
        <v>36155</v>
      </c>
      <c r="GW123" s="1943">
        <v>1792120</v>
      </c>
      <c r="GX123" s="1943">
        <v>99562.222222222219</v>
      </c>
      <c r="GY123" s="1985">
        <f t="shared" si="1319"/>
        <v>20838.60465116279</v>
      </c>
      <c r="GZ123" s="1366">
        <v>0.44841528469075731</v>
      </c>
      <c r="HA123" s="1366">
        <v>0.1207134566881682</v>
      </c>
      <c r="HB123" s="1366">
        <v>0.31354094591880011</v>
      </c>
      <c r="HC123" s="1366">
        <v>9.7155882418588038E-2</v>
      </c>
      <c r="HD123" s="1366">
        <v>0</v>
      </c>
      <c r="HE123" s="1366">
        <v>2.0174430283686359E-2</v>
      </c>
      <c r="HF123" s="1366">
        <v>1</v>
      </c>
      <c r="HG123" s="1936">
        <v>0</v>
      </c>
      <c r="HH123" s="1988">
        <f>IF(HG123=0,0,VLOOKUP(A123,'Area (&amp;golfacre for lookup)'!$G$2:$H$134,2,FALSE))</f>
        <v>0</v>
      </c>
      <c r="HI123" s="1936">
        <v>0</v>
      </c>
      <c r="HJ123" s="1936">
        <v>0</v>
      </c>
      <c r="HK123" s="1936">
        <v>0</v>
      </c>
      <c r="HL123" s="1936">
        <v>0</v>
      </c>
      <c r="HM123" s="1936">
        <v>0</v>
      </c>
      <c r="HN123" s="1936">
        <v>0</v>
      </c>
      <c r="HO123" s="1936">
        <v>0</v>
      </c>
      <c r="HP123" s="1936">
        <v>0</v>
      </c>
      <c r="HQ123" s="1936">
        <v>0</v>
      </c>
      <c r="HR123" s="1988">
        <f t="shared" si="1320"/>
        <v>0</v>
      </c>
      <c r="HS123" s="1936">
        <v>0</v>
      </c>
      <c r="HT123" s="1936">
        <v>0</v>
      </c>
      <c r="HU123" s="1936">
        <v>0</v>
      </c>
      <c r="HV123" s="1936">
        <v>0</v>
      </c>
      <c r="HW123" s="1936">
        <v>0</v>
      </c>
      <c r="HX123" s="1936">
        <v>0</v>
      </c>
      <c r="HY123" s="1936">
        <v>0</v>
      </c>
      <c r="HZ123" s="51"/>
      <c r="IA123" s="59">
        <f t="shared" si="1136"/>
        <v>0</v>
      </c>
      <c r="IB123" s="59"/>
      <c r="IC123" s="815">
        <f t="shared" si="1137"/>
        <v>1</v>
      </c>
      <c r="ID123" s="815"/>
      <c r="IE123" s="284">
        <f t="shared" si="1138"/>
        <v>0</v>
      </c>
      <c r="IF123" s="284"/>
      <c r="IG123" s="284">
        <f t="shared" si="1139"/>
        <v>31064.523445432944</v>
      </c>
      <c r="IH123" s="284"/>
      <c r="II123" s="1288">
        <f t="shared" si="1140"/>
        <v>1.7223381068582249</v>
      </c>
      <c r="IJ123" s="1288">
        <f t="shared" si="1141"/>
        <v>0</v>
      </c>
      <c r="IK123" s="284">
        <f t="shared" si="1142"/>
        <v>1</v>
      </c>
      <c r="IL123" s="284">
        <f t="shared" si="1143"/>
        <v>0</v>
      </c>
      <c r="IM123" s="284">
        <f t="shared" si="1144"/>
        <v>0</v>
      </c>
      <c r="IN123" s="284">
        <f t="shared" si="1145"/>
        <v>0</v>
      </c>
      <c r="IO123" s="753">
        <f t="shared" si="1146"/>
        <v>-543.40707964601768</v>
      </c>
      <c r="IP123" s="113">
        <f t="shared" si="1147"/>
        <v>-615.56557373967826</v>
      </c>
      <c r="IQ123" s="30">
        <f t="shared" si="1148"/>
        <v>-7.694569671745978E-2</v>
      </c>
      <c r="IR123" s="438">
        <f t="shared" si="1149"/>
        <v>338060</v>
      </c>
      <c r="IS123" s="438">
        <f t="shared" si="1150"/>
        <v>119064</v>
      </c>
      <c r="IT123" s="438">
        <f t="shared" si="1151"/>
        <v>276636</v>
      </c>
      <c r="IU123" s="438">
        <f t="shared" si="1152"/>
        <v>157370</v>
      </c>
      <c r="IV123" s="438">
        <f t="shared" si="1153"/>
        <v>175339</v>
      </c>
      <c r="IW123" s="438">
        <f t="shared" si="1154"/>
        <v>31994</v>
      </c>
      <c r="IX123" s="285">
        <f t="shared" si="1155"/>
        <v>0.73953675589118051</v>
      </c>
      <c r="IY123" s="285">
        <f t="shared" si="1156"/>
        <v>0.26046324410881949</v>
      </c>
      <c r="IZ123" s="285">
        <f t="shared" si="1157"/>
        <v>0.6051662131062906</v>
      </c>
      <c r="JA123" s="285">
        <f t="shared" si="1158"/>
        <v>0.34426107576937548</v>
      </c>
      <c r="JB123" s="285">
        <f t="shared" si="1159"/>
        <v>0.38356988475774628</v>
      </c>
      <c r="JC123" s="285">
        <f t="shared" si="1160"/>
        <v>6.9989762077685702E-2</v>
      </c>
      <c r="JD123" s="60">
        <f t="shared" si="1161"/>
        <v>2394091</v>
      </c>
      <c r="JE123" s="60">
        <f t="shared" si="1162"/>
        <v>1215266</v>
      </c>
      <c r="JF123" s="60">
        <f t="shared" si="1163"/>
        <v>0</v>
      </c>
      <c r="JG123" s="60">
        <f t="shared" si="1164"/>
        <v>218492</v>
      </c>
      <c r="JH123" s="284">
        <f t="shared" si="1165"/>
        <v>0</v>
      </c>
      <c r="JI123" s="284">
        <f t="shared" si="1166"/>
        <v>1</v>
      </c>
      <c r="JJ123" s="560">
        <f t="shared" si="1167"/>
        <v>0.66813301276802028</v>
      </c>
      <c r="JK123" s="561">
        <f t="shared" si="1168"/>
        <v>0.61752590763371695</v>
      </c>
      <c r="JL123" s="561">
        <f t="shared" si="1169"/>
        <v>4.250005696116315E-2</v>
      </c>
      <c r="JM123" s="561">
        <f t="shared" si="1170"/>
        <v>4.9441562451976895E-2</v>
      </c>
      <c r="JN123" s="561">
        <f t="shared" si="1171"/>
        <v>0.37313852130759562</v>
      </c>
      <c r="JO123" s="561">
        <f t="shared" si="1172"/>
        <v>2.3255425005417371E-2</v>
      </c>
      <c r="JP123" s="561">
        <f t="shared" si="1173"/>
        <v>2.9704398225914277E-2</v>
      </c>
      <c r="JQ123" s="561">
        <f t="shared" si="1174"/>
        <v>1.1355658715857841</v>
      </c>
      <c r="JR123" s="61">
        <f t="shared" si="1175"/>
        <v>44645.222222222219</v>
      </c>
      <c r="JS123" s="61">
        <f t="shared" si="1176"/>
        <v>12018.5</v>
      </c>
      <c r="JT123" s="61">
        <f t="shared" si="1177"/>
        <v>31216.833333333332</v>
      </c>
      <c r="JU123" s="61">
        <f t="shared" si="1178"/>
        <v>9673.0555555555547</v>
      </c>
      <c r="JV123" s="61">
        <f t="shared" si="1179"/>
        <v>0</v>
      </c>
      <c r="JW123" s="61">
        <f t="shared" si="1180"/>
        <v>2008.6111111111111</v>
      </c>
      <c r="JX123" s="61">
        <f t="shared" si="1181"/>
        <v>62.471502771290133</v>
      </c>
      <c r="JY123" s="394">
        <f t="shared" si="1182"/>
        <v>0.38253021242025731</v>
      </c>
      <c r="JZ123" s="61">
        <f t="shared" si="1183"/>
        <v>0</v>
      </c>
      <c r="KA123" s="61">
        <f t="shared" si="1184"/>
        <v>0</v>
      </c>
      <c r="KB123" s="61">
        <f t="shared" si="1185"/>
        <v>0</v>
      </c>
      <c r="KC123" s="61">
        <f t="shared" si="1186"/>
        <v>0</v>
      </c>
      <c r="KD123" s="61">
        <f t="shared" si="1187"/>
        <v>0</v>
      </c>
      <c r="KE123" s="61">
        <f t="shared" si="1188"/>
        <v>0</v>
      </c>
      <c r="KF123" s="61">
        <f t="shared" si="1189"/>
        <v>0</v>
      </c>
      <c r="KG123" s="61">
        <f t="shared" si="1190"/>
        <v>0</v>
      </c>
      <c r="KH123" s="61">
        <f t="shared" si="1191"/>
        <v>0</v>
      </c>
      <c r="KI123" s="394">
        <f t="shared" si="1192"/>
        <v>0</v>
      </c>
      <c r="KJ123" s="438">
        <f t="shared" si="1193"/>
        <v>18</v>
      </c>
      <c r="KK123" s="438">
        <f t="shared" si="1194"/>
        <v>28687</v>
      </c>
      <c r="KL123" s="438">
        <f t="shared" si="1195"/>
        <v>86</v>
      </c>
      <c r="KM123" s="438">
        <f t="shared" si="1196"/>
        <v>99562.222222222219</v>
      </c>
      <c r="KN123" s="438">
        <f t="shared" si="1197"/>
        <v>62.471502771290133</v>
      </c>
      <c r="KO123" s="438">
        <f t="shared" si="1198"/>
        <v>20838.60465116279</v>
      </c>
      <c r="KP123" s="438">
        <f t="shared" si="1199"/>
        <v>803614</v>
      </c>
      <c r="KQ123" s="438">
        <f t="shared" si="1200"/>
        <v>216333</v>
      </c>
      <c r="KR123" s="438">
        <f t="shared" si="1201"/>
        <v>561903</v>
      </c>
      <c r="KS123" s="438">
        <f t="shared" si="1202"/>
        <v>174115</v>
      </c>
      <c r="KT123" s="438">
        <f t="shared" si="1203"/>
        <v>0</v>
      </c>
      <c r="KU123" s="438">
        <f t="shared" si="1204"/>
        <v>36155</v>
      </c>
      <c r="KV123" s="420">
        <f t="shared" si="1205"/>
        <v>0.38253021242025731</v>
      </c>
      <c r="KW123" s="420">
        <f t="shared" si="1206"/>
        <v>-0.73345791784856962</v>
      </c>
      <c r="KX123" s="108"/>
      <c r="KY123" s="282">
        <f t="shared" si="1207"/>
        <v>0</v>
      </c>
      <c r="KZ123" s="282"/>
      <c r="LA123" s="282">
        <f t="shared" si="1208"/>
        <v>0</v>
      </c>
      <c r="LB123" s="282"/>
      <c r="LC123" s="286">
        <f t="shared" si="951"/>
        <v>0</v>
      </c>
      <c r="LD123" s="286"/>
      <c r="LE123" s="282">
        <f t="shared" si="1209"/>
        <v>0</v>
      </c>
      <c r="LF123" s="282"/>
      <c r="LG123" s="282">
        <f t="shared" si="1210"/>
        <v>0</v>
      </c>
      <c r="LH123" s="282">
        <f t="shared" si="1211"/>
        <v>0</v>
      </c>
      <c r="LI123" s="282">
        <f t="shared" si="1212"/>
        <v>0</v>
      </c>
      <c r="LJ123" s="282">
        <f t="shared" si="1213"/>
        <v>0</v>
      </c>
      <c r="LK123" s="282"/>
      <c r="LL123" s="282">
        <f t="shared" si="1214"/>
        <v>0</v>
      </c>
      <c r="LM123" s="282">
        <f t="shared" si="1215"/>
        <v>0</v>
      </c>
      <c r="LN123" s="282">
        <f t="shared" si="1216"/>
        <v>0</v>
      </c>
      <c r="LO123" s="282">
        <f t="shared" si="1217"/>
        <v>0</v>
      </c>
      <c r="LP123" s="286">
        <f t="shared" si="1218"/>
        <v>0</v>
      </c>
      <c r="LQ123" s="282">
        <f t="shared" si="1219"/>
        <v>0</v>
      </c>
      <c r="LR123" s="282">
        <f t="shared" si="1220"/>
        <v>0</v>
      </c>
      <c r="LS123" s="282">
        <f t="shared" si="1221"/>
        <v>0</v>
      </c>
      <c r="LT123" s="286">
        <f t="shared" si="1222"/>
        <v>0</v>
      </c>
      <c r="LU123" s="286">
        <f t="shared" si="1223"/>
        <v>0</v>
      </c>
      <c r="LV123" s="286">
        <f t="shared" si="1224"/>
        <v>0</v>
      </c>
      <c r="LW123" s="286">
        <f t="shared" si="1225"/>
        <v>0</v>
      </c>
      <c r="LX123" s="286">
        <f t="shared" si="1226"/>
        <v>0</v>
      </c>
      <c r="LY123" s="286">
        <f t="shared" si="1227"/>
        <v>0</v>
      </c>
      <c r="LZ123" s="286">
        <f t="shared" si="1228"/>
        <v>0</v>
      </c>
      <c r="MA123" s="286">
        <f t="shared" si="1229"/>
        <v>0</v>
      </c>
      <c r="MB123" s="286">
        <f t="shared" si="1230"/>
        <v>0</v>
      </c>
      <c r="MC123" s="286">
        <f t="shared" si="1231"/>
        <v>0</v>
      </c>
      <c r="MD123" s="286">
        <f t="shared" si="1232"/>
        <v>0</v>
      </c>
      <c r="ME123" s="286">
        <f t="shared" si="1233"/>
        <v>0</v>
      </c>
      <c r="MF123" s="286">
        <f t="shared" si="1234"/>
        <v>0</v>
      </c>
      <c r="MG123" s="286">
        <f t="shared" si="1235"/>
        <v>0</v>
      </c>
      <c r="MH123" s="286">
        <f t="shared" si="1236"/>
        <v>0</v>
      </c>
      <c r="MI123" s="286">
        <f t="shared" si="1237"/>
        <v>0</v>
      </c>
      <c r="MJ123" s="286">
        <f t="shared" si="1238"/>
        <v>0</v>
      </c>
      <c r="MK123" s="286">
        <f t="shared" si="1239"/>
        <v>0</v>
      </c>
      <c r="ML123" s="282">
        <f t="shared" si="1240"/>
        <v>0</v>
      </c>
      <c r="MM123" s="1232">
        <f t="shared" si="1241"/>
        <v>0</v>
      </c>
      <c r="MN123" s="1232">
        <f t="shared" si="1242"/>
        <v>0</v>
      </c>
      <c r="MO123" s="1232">
        <f t="shared" si="1243"/>
        <v>0</v>
      </c>
      <c r="MP123" s="1232">
        <f t="shared" si="1244"/>
        <v>0</v>
      </c>
      <c r="MQ123" s="282">
        <f t="shared" si="1245"/>
        <v>0</v>
      </c>
      <c r="MR123" s="282">
        <f t="shared" si="1246"/>
        <v>0</v>
      </c>
      <c r="MS123" s="282">
        <f t="shared" si="1247"/>
        <v>0</v>
      </c>
      <c r="MT123" s="282">
        <f t="shared" si="1248"/>
        <v>0</v>
      </c>
      <c r="MU123" s="282">
        <f t="shared" si="1249"/>
        <v>0</v>
      </c>
      <c r="MV123" s="282">
        <f t="shared" si="1250"/>
        <v>0</v>
      </c>
      <c r="MW123" s="282">
        <f t="shared" si="1251"/>
        <v>0</v>
      </c>
      <c r="MX123" s="282">
        <f t="shared" si="1252"/>
        <v>0</v>
      </c>
      <c r="MY123" s="282">
        <f t="shared" si="1253"/>
        <v>0</v>
      </c>
      <c r="MZ123" s="282">
        <f t="shared" si="1254"/>
        <v>0</v>
      </c>
      <c r="NA123" s="282">
        <f t="shared" si="1255"/>
        <v>0</v>
      </c>
      <c r="NB123" s="282">
        <f t="shared" si="1256"/>
        <v>0</v>
      </c>
      <c r="NC123" s="282">
        <f t="shared" si="1257"/>
        <v>0</v>
      </c>
      <c r="ND123" s="282">
        <f t="shared" si="1258"/>
        <v>0</v>
      </c>
      <c r="NE123" s="282">
        <f t="shared" si="1259"/>
        <v>0</v>
      </c>
      <c r="NF123" s="282">
        <f t="shared" si="1260"/>
        <v>0</v>
      </c>
      <c r="NG123" s="282">
        <f t="shared" si="1261"/>
        <v>0</v>
      </c>
      <c r="NH123" s="282">
        <f t="shared" si="1262"/>
        <v>0</v>
      </c>
      <c r="NI123" s="282">
        <f t="shared" si="1263"/>
        <v>0</v>
      </c>
      <c r="NJ123" s="282">
        <f t="shared" si="1264"/>
        <v>0</v>
      </c>
      <c r="NK123" s="282">
        <f t="shared" si="1265"/>
        <v>0</v>
      </c>
      <c r="NL123" s="282">
        <f t="shared" si="1266"/>
        <v>0</v>
      </c>
      <c r="NM123" s="1205">
        <f t="shared" si="1267"/>
        <v>0</v>
      </c>
      <c r="NN123" s="282">
        <f t="shared" si="1268"/>
        <v>0</v>
      </c>
      <c r="NO123" s="282">
        <f t="shared" si="1269"/>
        <v>0</v>
      </c>
      <c r="NP123" s="282">
        <f t="shared" si="1270"/>
        <v>0</v>
      </c>
      <c r="NQ123" s="282">
        <f t="shared" si="1271"/>
        <v>0</v>
      </c>
      <c r="NR123" s="282">
        <f t="shared" si="1272"/>
        <v>0</v>
      </c>
      <c r="NS123" s="282">
        <f t="shared" si="1273"/>
        <v>0</v>
      </c>
      <c r="NT123" s="282">
        <f t="shared" si="1274"/>
        <v>0</v>
      </c>
      <c r="NU123" s="282">
        <f t="shared" si="1275"/>
        <v>0</v>
      </c>
      <c r="NV123" s="286">
        <f t="shared" si="1276"/>
        <v>0</v>
      </c>
      <c r="NW123" s="286">
        <f t="shared" si="1277"/>
        <v>0</v>
      </c>
      <c r="NX123" s="286">
        <f t="shared" si="1278"/>
        <v>0</v>
      </c>
      <c r="NY123" s="286">
        <f t="shared" si="1279"/>
        <v>0</v>
      </c>
      <c r="NZ123" s="286">
        <f t="shared" si="1280"/>
        <v>0</v>
      </c>
      <c r="OA123" s="286">
        <f t="shared" si="1281"/>
        <v>0</v>
      </c>
      <c r="OB123" s="286">
        <f t="shared" si="1282"/>
        <v>0</v>
      </c>
      <c r="OC123" s="286">
        <f t="shared" si="1283"/>
        <v>0</v>
      </c>
      <c r="OD123" s="286">
        <f t="shared" si="1284"/>
        <v>0</v>
      </c>
      <c r="OE123" s="282">
        <f t="shared" si="1285"/>
        <v>0</v>
      </c>
      <c r="OF123" s="282">
        <f t="shared" si="1286"/>
        <v>0</v>
      </c>
      <c r="OG123" s="286">
        <f t="shared" si="1287"/>
        <v>0</v>
      </c>
      <c r="OH123" s="286">
        <f t="shared" si="1288"/>
        <v>0</v>
      </c>
      <c r="OI123" s="286">
        <f t="shared" si="1289"/>
        <v>0</v>
      </c>
      <c r="OJ123" s="286">
        <f t="shared" si="1290"/>
        <v>0</v>
      </c>
      <c r="OK123" s="286">
        <f t="shared" si="1291"/>
        <v>0</v>
      </c>
      <c r="OL123" s="286">
        <f t="shared" si="1292"/>
        <v>0</v>
      </c>
      <c r="OM123" s="286">
        <f t="shared" si="1293"/>
        <v>0</v>
      </c>
      <c r="ON123" s="286">
        <f t="shared" si="1294"/>
        <v>0</v>
      </c>
      <c r="OO123" s="286">
        <f t="shared" si="1295"/>
        <v>0</v>
      </c>
      <c r="OP123" s="434">
        <f t="shared" si="1296"/>
        <v>0</v>
      </c>
      <c r="OQ123" s="434">
        <f t="shared" si="1297"/>
        <v>0</v>
      </c>
      <c r="OR123" s="282">
        <f t="shared" si="1298"/>
        <v>0</v>
      </c>
      <c r="OS123" s="282">
        <f t="shared" si="1299"/>
        <v>0</v>
      </c>
      <c r="OT123" s="282">
        <f t="shared" si="1300"/>
        <v>0</v>
      </c>
      <c r="OU123" s="282">
        <f t="shared" si="1301"/>
        <v>0</v>
      </c>
      <c r="OV123" s="282">
        <f t="shared" si="1302"/>
        <v>0</v>
      </c>
      <c r="OW123" s="286">
        <f t="shared" si="1303"/>
        <v>0</v>
      </c>
      <c r="OX123" s="286">
        <f t="shared" si="1304"/>
        <v>0</v>
      </c>
      <c r="OY123" s="286">
        <f t="shared" si="1305"/>
        <v>0</v>
      </c>
      <c r="OZ123" s="286">
        <f t="shared" si="1306"/>
        <v>0</v>
      </c>
      <c r="PA123" s="286">
        <f t="shared" si="1307"/>
        <v>0</v>
      </c>
      <c r="PB123" s="286">
        <f t="shared" si="1308"/>
        <v>0</v>
      </c>
      <c r="PC123" s="286">
        <f t="shared" si="1309"/>
        <v>0</v>
      </c>
      <c r="PD123" s="282">
        <f t="shared" si="1310"/>
        <v>0</v>
      </c>
      <c r="PE123" s="282">
        <f t="shared" si="1311"/>
        <v>0</v>
      </c>
      <c r="PF123" s="286">
        <f t="shared" si="1312"/>
        <v>0</v>
      </c>
      <c r="PG123" s="286">
        <f t="shared" si="1313"/>
        <v>0</v>
      </c>
      <c r="PH123" s="286">
        <f t="shared" si="1314"/>
        <v>0</v>
      </c>
      <c r="PI123" s="286">
        <f t="shared" si="1315"/>
        <v>0</v>
      </c>
      <c r="PJ123" s="286">
        <f t="shared" si="1316"/>
        <v>0</v>
      </c>
      <c r="PK123" s="286">
        <f t="shared" si="1317"/>
        <v>0</v>
      </c>
      <c r="PL123" s="286">
        <f t="shared" si="1318"/>
        <v>0</v>
      </c>
      <c r="PM123" s="562">
        <v>67</v>
      </c>
    </row>
    <row r="124" spans="1:431" s="289" customFormat="1" ht="15.75" customHeight="1">
      <c r="A124" s="1935" t="s">
        <v>1199</v>
      </c>
      <c r="B124" s="1040" t="str">
        <f>VLOOKUP(A124,'Area (&amp;golfacre for lookup)'!$A$2:$B$162,2,FALSE)</f>
        <v>SW CIRA</v>
      </c>
      <c r="C124" s="1936"/>
      <c r="D124" s="1937">
        <v>44681</v>
      </c>
      <c r="E124" s="402"/>
      <c r="F124" s="1936">
        <v>0</v>
      </c>
      <c r="G124" s="1936">
        <v>1</v>
      </c>
      <c r="H124" s="1936">
        <v>807</v>
      </c>
      <c r="I124" s="1936">
        <v>672</v>
      </c>
      <c r="J124" s="1936">
        <v>1479</v>
      </c>
      <c r="K124" s="1938">
        <v>1116.314952638701</v>
      </c>
      <c r="L124" s="1939" t="s">
        <v>1208</v>
      </c>
      <c r="M124" s="1939" t="s">
        <v>1208</v>
      </c>
      <c r="N124" s="1939" t="s">
        <v>1208</v>
      </c>
      <c r="O124" s="1939" t="s">
        <v>1208</v>
      </c>
      <c r="P124" s="1939" t="s">
        <v>1208</v>
      </c>
      <c r="Q124" s="1936">
        <v>0</v>
      </c>
      <c r="R124" s="1936">
        <v>5000</v>
      </c>
      <c r="S124" s="1936">
        <v>5000</v>
      </c>
      <c r="T124" s="1939" t="s">
        <v>1208</v>
      </c>
      <c r="U124" s="1939" t="s">
        <v>1208</v>
      </c>
      <c r="V124" s="1939" t="s">
        <v>1208</v>
      </c>
      <c r="W124" s="1936">
        <v>5792</v>
      </c>
      <c r="X124" s="1936">
        <v>5912</v>
      </c>
      <c r="Y124" s="1939" t="s">
        <v>1208</v>
      </c>
      <c r="Z124" s="1939" t="s">
        <v>1208</v>
      </c>
      <c r="AA124" s="1936">
        <v>-120</v>
      </c>
      <c r="AB124" s="1362">
        <v>-2.0297699594046009E-2</v>
      </c>
      <c r="AC124" s="1939" t="s">
        <v>1208</v>
      </c>
      <c r="AD124" s="1363" t="s">
        <v>1208</v>
      </c>
      <c r="AE124" s="1936">
        <v>1</v>
      </c>
      <c r="AF124" s="1936">
        <v>1304</v>
      </c>
      <c r="AG124" s="1939" t="s">
        <v>1208</v>
      </c>
      <c r="AH124" s="1936">
        <v>0</v>
      </c>
      <c r="AI124" s="1936">
        <v>0</v>
      </c>
      <c r="AJ124" s="1939" t="s">
        <v>1208</v>
      </c>
      <c r="AK124" s="1938">
        <v>1</v>
      </c>
      <c r="AL124" s="1938">
        <v>464</v>
      </c>
      <c r="AM124" s="1936">
        <v>7680</v>
      </c>
      <c r="AN124" s="1939" t="s">
        <v>1208</v>
      </c>
      <c r="AO124" s="1936">
        <v>700</v>
      </c>
      <c r="AP124" s="1936">
        <v>0</v>
      </c>
      <c r="AQ124" s="1936">
        <v>8380</v>
      </c>
      <c r="AR124" s="1939" t="s">
        <v>1208</v>
      </c>
      <c r="AS124" s="1363" t="s">
        <v>1208</v>
      </c>
      <c r="AT124" s="1363" t="s">
        <v>1208</v>
      </c>
      <c r="AU124" s="1363" t="s">
        <v>1208</v>
      </c>
      <c r="AV124" s="1363" t="s">
        <v>1208</v>
      </c>
      <c r="AW124" s="1363" t="s">
        <v>1291</v>
      </c>
      <c r="AX124" s="1938">
        <v>0</v>
      </c>
      <c r="AY124" s="1938">
        <v>0</v>
      </c>
      <c r="AZ124" s="1938">
        <v>0</v>
      </c>
      <c r="BA124" s="1938">
        <v>0</v>
      </c>
      <c r="BB124" s="1938">
        <v>0</v>
      </c>
      <c r="BC124" s="1938">
        <v>0</v>
      </c>
      <c r="BD124" s="1938">
        <v>0</v>
      </c>
      <c r="BE124" s="1936">
        <v>0</v>
      </c>
      <c r="BF124" s="1936">
        <v>0</v>
      </c>
      <c r="BG124" s="1936">
        <v>166733</v>
      </c>
      <c r="BH124" s="1936">
        <v>166733</v>
      </c>
      <c r="BI124" s="1938">
        <v>15211883</v>
      </c>
      <c r="BJ124" s="1936">
        <v>544435</v>
      </c>
      <c r="BK124" s="1936">
        <v>1208515</v>
      </c>
      <c r="BL124" s="1362">
        <v>0.45049916633223419</v>
      </c>
      <c r="BM124" s="1936">
        <v>1</v>
      </c>
      <c r="BN124" s="1936">
        <v>1343881</v>
      </c>
      <c r="BO124" s="1363" t="s">
        <v>1208</v>
      </c>
      <c r="BP124" s="1938">
        <v>5051774</v>
      </c>
      <c r="BQ124" s="1938">
        <v>2060233</v>
      </c>
      <c r="BR124" s="1940">
        <v>2.4520401333247257</v>
      </c>
      <c r="BS124" s="1409">
        <v>1</v>
      </c>
      <c r="BT124" s="1938">
        <v>3217793</v>
      </c>
      <c r="BU124" s="1938">
        <v>23599620</v>
      </c>
      <c r="BV124" s="1940">
        <v>0.13634935647268898</v>
      </c>
      <c r="BW124" s="1936">
        <v>1203.8546978371896</v>
      </c>
      <c r="BX124" s="1936">
        <v>487.70734344558059</v>
      </c>
      <c r="BY124" s="1936">
        <v>149.36017797296645</v>
      </c>
      <c r="BZ124" s="1936">
        <v>1264397</v>
      </c>
      <c r="CA124" s="1936">
        <v>21399</v>
      </c>
      <c r="CB124" s="1936">
        <v>428366</v>
      </c>
      <c r="CC124" s="1936">
        <v>0</v>
      </c>
      <c r="CD124" s="1936">
        <v>6599654</v>
      </c>
      <c r="CE124" s="1936">
        <v>0</v>
      </c>
      <c r="CF124" s="1936">
        <v>0</v>
      </c>
      <c r="CG124" s="1936">
        <v>1577099</v>
      </c>
      <c r="CH124" s="1936">
        <v>1021674</v>
      </c>
      <c r="CI124" s="1936">
        <v>1159950</v>
      </c>
      <c r="CJ124" s="1936">
        <v>12072539</v>
      </c>
      <c r="CK124" s="1366">
        <v>0.10473331252025775</v>
      </c>
      <c r="CL124" s="1366">
        <v>1.7725351725929402E-3</v>
      </c>
      <c r="CM124" s="1366">
        <v>3.5482676842046236E-2</v>
      </c>
      <c r="CN124" s="1366">
        <v>0</v>
      </c>
      <c r="CO124" s="1366">
        <v>0.54666661254935689</v>
      </c>
      <c r="CP124" s="1366">
        <v>0</v>
      </c>
      <c r="CQ124" s="1366">
        <v>0</v>
      </c>
      <c r="CR124" s="1366">
        <v>0.1306352375419951</v>
      </c>
      <c r="CS124" s="1366">
        <v>8.462793120817419E-2</v>
      </c>
      <c r="CT124" s="1366">
        <v>9.6081694165576936E-2</v>
      </c>
      <c r="CU124" s="1366">
        <v>1</v>
      </c>
      <c r="CV124" s="1936">
        <v>6559169</v>
      </c>
      <c r="CW124" s="1936">
        <v>1220154</v>
      </c>
      <c r="CX124" s="1936">
        <v>310698</v>
      </c>
      <c r="CY124" s="1936">
        <v>3415324</v>
      </c>
      <c r="CZ124" s="1936">
        <v>4006</v>
      </c>
      <c r="DA124" s="1936">
        <v>262093</v>
      </c>
      <c r="DB124" s="1936">
        <v>11771444</v>
      </c>
      <c r="DC124" s="1366">
        <v>0.55721022841377832</v>
      </c>
      <c r="DD124" s="1366">
        <v>0.10365372336647909</v>
      </c>
      <c r="DE124" s="1366">
        <v>2.6394212978458717E-2</v>
      </c>
      <c r="DF124" s="1366">
        <v>0.29013636729699432</v>
      </c>
      <c r="DG124" s="1366">
        <v>3.4031508793653522E-4</v>
      </c>
      <c r="DH124" s="1366">
        <v>2.2265152856353051E-2</v>
      </c>
      <c r="DI124" s="1366">
        <v>1</v>
      </c>
      <c r="DJ124" s="1936">
        <v>301095</v>
      </c>
      <c r="DK124" s="1936">
        <v>1132.6525699680619</v>
      </c>
      <c r="DL124" s="1936">
        <v>19.169321300783341</v>
      </c>
      <c r="DM124" s="1936">
        <v>383.73220656719275</v>
      </c>
      <c r="DN124" s="1936">
        <v>0</v>
      </c>
      <c r="DO124" s="1936">
        <v>5912</v>
      </c>
      <c r="DP124" s="1936">
        <v>0</v>
      </c>
      <c r="DQ124" s="1936">
        <v>0</v>
      </c>
      <c r="DR124" s="1936">
        <v>1412.7724404946077</v>
      </c>
      <c r="DS124" s="1936">
        <v>915.22020518045338</v>
      </c>
      <c r="DT124" s="1936">
        <v>1039.088473426031</v>
      </c>
      <c r="DU124" s="1936">
        <v>10814.635216937129</v>
      </c>
      <c r="DV124" s="1936">
        <v>5875.7333532939756</v>
      </c>
      <c r="DW124" s="1936">
        <v>1093.0194898096172</v>
      </c>
      <c r="DX124" s="1936">
        <v>278.32467823313158</v>
      </c>
      <c r="DY124" s="1936">
        <v>3059.4627366828622</v>
      </c>
      <c r="DZ124" s="1936">
        <v>3.5885929777530761</v>
      </c>
      <c r="EA124" s="1936">
        <v>234.78409868153693</v>
      </c>
      <c r="EB124" s="1936">
        <v>10544.912949678877</v>
      </c>
      <c r="EC124" s="1936">
        <v>269.72226725825323</v>
      </c>
      <c r="ED124" s="1941">
        <v>146</v>
      </c>
      <c r="EE124" s="1936">
        <v>1</v>
      </c>
      <c r="EF124" s="1936">
        <v>16</v>
      </c>
      <c r="EG124" s="1938">
        <v>45000</v>
      </c>
      <c r="EH124" s="1938">
        <v>0</v>
      </c>
      <c r="EI124" s="1368">
        <v>0</v>
      </c>
      <c r="EJ124" s="1936">
        <v>7.6459928262924723</v>
      </c>
      <c r="EK124" s="1936">
        <v>1</v>
      </c>
      <c r="EL124" s="1936">
        <v>700</v>
      </c>
      <c r="EM124" s="1936">
        <v>1</v>
      </c>
      <c r="EN124" s="1362">
        <v>0.2</v>
      </c>
      <c r="EO124" s="1936">
        <v>0</v>
      </c>
      <c r="EP124" s="1936">
        <v>0</v>
      </c>
      <c r="EQ124" s="1936">
        <v>0</v>
      </c>
      <c r="ER124" s="1938">
        <v>0</v>
      </c>
      <c r="ES124" s="1936">
        <v>2327.9926456750609</v>
      </c>
      <c r="ET124" s="1936">
        <v>-928.5847130773825</v>
      </c>
      <c r="EU124" s="1938">
        <v>2</v>
      </c>
      <c r="EV124" s="1936">
        <v>0</v>
      </c>
      <c r="EW124" s="1936">
        <v>0</v>
      </c>
      <c r="EX124" s="1938">
        <v>1</v>
      </c>
      <c r="EY124" s="1936">
        <v>1577099</v>
      </c>
      <c r="EZ124" s="1936">
        <v>854941</v>
      </c>
      <c r="FA124" s="1936">
        <v>722158</v>
      </c>
      <c r="FB124" s="1936">
        <v>1021674</v>
      </c>
      <c r="FC124" s="1936">
        <v>365213</v>
      </c>
      <c r="FD124" s="1936">
        <v>656461</v>
      </c>
      <c r="FE124" s="1936">
        <v>2598773</v>
      </c>
      <c r="FF124" s="1936">
        <v>1220154</v>
      </c>
      <c r="FG124" s="1936">
        <v>1378619</v>
      </c>
      <c r="FH124" s="1366">
        <v>1</v>
      </c>
      <c r="FI124" s="1366">
        <v>0.54209723042117208</v>
      </c>
      <c r="FJ124" s="1366">
        <v>0.45790276957882797</v>
      </c>
      <c r="FK124" s="1366">
        <v>1</v>
      </c>
      <c r="FL124" s="1366">
        <v>0.35746529714958003</v>
      </c>
      <c r="FM124" s="1366">
        <v>0.64253470285042003</v>
      </c>
      <c r="FN124" s="1366">
        <v>1</v>
      </c>
      <c r="FO124" s="1366">
        <v>0.46951157334634458</v>
      </c>
      <c r="FP124" s="1366">
        <v>0.53048842665365536</v>
      </c>
      <c r="FQ124" s="1936">
        <v>1482558</v>
      </c>
      <c r="FR124" s="1936">
        <v>0</v>
      </c>
      <c r="FS124" s="1936">
        <v>439343</v>
      </c>
      <c r="FT124" s="1936">
        <v>45317</v>
      </c>
      <c r="FU124" s="1936">
        <v>34818</v>
      </c>
      <c r="FV124" s="1936">
        <v>31714</v>
      </c>
      <c r="FW124" s="1936">
        <v>381462</v>
      </c>
      <c r="FX124" s="1936">
        <v>2415212</v>
      </c>
      <c r="FY124" s="1936">
        <v>-1036593</v>
      </c>
      <c r="FZ124" s="1366">
        <v>0.57048383987366347</v>
      </c>
      <c r="GA124" s="1366">
        <v>0</v>
      </c>
      <c r="GB124" s="1366">
        <v>0.16905785922818192</v>
      </c>
      <c r="GC124" s="1366">
        <v>1.7437844705943919E-2</v>
      </c>
      <c r="GD124" s="1366">
        <v>1.3397861221430267E-2</v>
      </c>
      <c r="GE124" s="1366">
        <v>1.2203451398025145E-2</v>
      </c>
      <c r="GF124" s="1366">
        <v>0.14678542527569741</v>
      </c>
      <c r="GG124" s="1366">
        <v>0.92936628170294211</v>
      </c>
      <c r="GH124" s="1366">
        <v>-0.39887785504928674</v>
      </c>
      <c r="GI124" s="1942">
        <v>1.5436421011007424</v>
      </c>
      <c r="GJ124" s="1943">
        <v>1</v>
      </c>
      <c r="GK124" s="1371">
        <v>0.05</v>
      </c>
      <c r="GL124" s="1943">
        <v>1</v>
      </c>
      <c r="GM124" s="1371">
        <v>0.02</v>
      </c>
      <c r="GN124" s="1943">
        <v>18</v>
      </c>
      <c r="GO124" s="1985">
        <f>IF(GN124=0,0,VLOOKUP(A124,'Area (&amp;golfacre for lookup)'!$G$2:$H$133,2,FALSE))</f>
        <v>126</v>
      </c>
      <c r="GP124" s="1943">
        <v>52000</v>
      </c>
      <c r="GQ124" s="1943">
        <v>599097</v>
      </c>
      <c r="GR124" s="1943">
        <v>159528</v>
      </c>
      <c r="GS124" s="1943">
        <v>365718</v>
      </c>
      <c r="GT124" s="1943">
        <v>50126</v>
      </c>
      <c r="GU124" s="1943">
        <v>495</v>
      </c>
      <c r="GV124" s="1943">
        <v>59624</v>
      </c>
      <c r="GW124" s="1943">
        <v>1234588</v>
      </c>
      <c r="GX124" s="1943">
        <v>68588.222222222219</v>
      </c>
      <c r="GY124" s="1985">
        <f t="shared" si="1319"/>
        <v>9798.3174603174612</v>
      </c>
      <c r="GZ124" s="1366">
        <v>0.48526066995629313</v>
      </c>
      <c r="HA124" s="1366">
        <v>0.1292155763704167</v>
      </c>
      <c r="HB124" s="1366">
        <v>0.29622675742838905</v>
      </c>
      <c r="HC124" s="1366">
        <v>4.0601399009224132E-2</v>
      </c>
      <c r="HD124" s="1366">
        <v>4.0094347264026543E-4</v>
      </c>
      <c r="HE124" s="1366">
        <v>4.8294653763036738E-2</v>
      </c>
      <c r="HF124" s="1366">
        <v>1</v>
      </c>
      <c r="HG124" s="1936">
        <v>0</v>
      </c>
      <c r="HH124" s="1988">
        <f>IF(HG124=0,0,VLOOKUP(A124,'Area (&amp;golfacre for lookup)'!$G$2:$H$134,2,FALSE))</f>
        <v>0</v>
      </c>
      <c r="HI124" s="1936">
        <v>0</v>
      </c>
      <c r="HJ124" s="1936">
        <v>0</v>
      </c>
      <c r="HK124" s="1936">
        <v>0</v>
      </c>
      <c r="HL124" s="1936">
        <v>0</v>
      </c>
      <c r="HM124" s="1936">
        <v>0</v>
      </c>
      <c r="HN124" s="1936">
        <v>0</v>
      </c>
      <c r="HO124" s="1936">
        <v>0</v>
      </c>
      <c r="HP124" s="1936">
        <v>0</v>
      </c>
      <c r="HQ124" s="1936">
        <v>0</v>
      </c>
      <c r="HR124" s="1988">
        <f t="shared" si="1320"/>
        <v>0</v>
      </c>
      <c r="HS124" s="1936">
        <v>0</v>
      </c>
      <c r="HT124" s="1936">
        <v>0</v>
      </c>
      <c r="HU124" s="1936">
        <v>0</v>
      </c>
      <c r="HV124" s="1936">
        <v>0</v>
      </c>
      <c r="HW124" s="1936">
        <v>0</v>
      </c>
      <c r="HX124" s="1936">
        <v>0</v>
      </c>
      <c r="HY124" s="1936">
        <v>0</v>
      </c>
      <c r="HZ124" s="51"/>
      <c r="IA124" s="59">
        <f t="shared" si="1136"/>
        <v>0</v>
      </c>
      <c r="IB124" s="59"/>
      <c r="IC124" s="815">
        <f t="shared" si="1137"/>
        <v>0</v>
      </c>
      <c r="ID124" s="815"/>
      <c r="IE124" s="284">
        <f t="shared" si="1138"/>
        <v>1</v>
      </c>
      <c r="IF124" s="284"/>
      <c r="IG124" s="284">
        <f t="shared" si="1139"/>
        <v>13626.873817324362</v>
      </c>
      <c r="IH124" s="284"/>
      <c r="II124" s="1288">
        <f t="shared" si="1140"/>
        <v>2.4520401333247257</v>
      </c>
      <c r="IJ124" s="1288">
        <f t="shared" si="1141"/>
        <v>0</v>
      </c>
      <c r="IK124" s="284">
        <f t="shared" si="1142"/>
        <v>0</v>
      </c>
      <c r="IL124" s="284">
        <f t="shared" si="1143"/>
        <v>0</v>
      </c>
      <c r="IM124" s="284">
        <f t="shared" si="1144"/>
        <v>1</v>
      </c>
      <c r="IN124" s="284">
        <f t="shared" si="1145"/>
        <v>0</v>
      </c>
      <c r="IO124" s="753">
        <f t="shared" si="1146"/>
        <v>-700.87423935091283</v>
      </c>
      <c r="IP124" s="113">
        <f t="shared" si="1147"/>
        <v>-928.5847130773825</v>
      </c>
      <c r="IQ124" s="30">
        <f t="shared" si="1148"/>
        <v>-0.15706777961390098</v>
      </c>
      <c r="IR124" s="438">
        <f t="shared" si="1149"/>
        <v>1577099</v>
      </c>
      <c r="IS124" s="438">
        <f t="shared" si="1150"/>
        <v>1021674</v>
      </c>
      <c r="IT124" s="438">
        <f t="shared" si="1151"/>
        <v>1482558</v>
      </c>
      <c r="IU124" s="438">
        <f t="shared" si="1152"/>
        <v>484660</v>
      </c>
      <c r="IV124" s="438">
        <f t="shared" si="1153"/>
        <v>1220154</v>
      </c>
      <c r="IW124" s="438">
        <f t="shared" si="1154"/>
        <v>447994</v>
      </c>
      <c r="IX124" s="285">
        <f t="shared" si="1155"/>
        <v>0.60686293108324585</v>
      </c>
      <c r="IY124" s="285">
        <f t="shared" si="1156"/>
        <v>0.39313706891675415</v>
      </c>
      <c r="IZ124" s="285">
        <f t="shared" si="1157"/>
        <v>0.57048383987366347</v>
      </c>
      <c r="JA124" s="285">
        <f t="shared" si="1158"/>
        <v>0.18649570393412584</v>
      </c>
      <c r="JB124" s="285">
        <f t="shared" si="1159"/>
        <v>0.46951157334634458</v>
      </c>
      <c r="JC124" s="285">
        <f t="shared" si="1160"/>
        <v>0.17238673789515283</v>
      </c>
      <c r="JD124" s="60">
        <f t="shared" si="1161"/>
        <v>6599654</v>
      </c>
      <c r="JE124" s="60">
        <f t="shared" si="1162"/>
        <v>1714162</v>
      </c>
      <c r="JF124" s="60">
        <f t="shared" si="1163"/>
        <v>0</v>
      </c>
      <c r="JG124" s="60">
        <f t="shared" si="1164"/>
        <v>266099</v>
      </c>
      <c r="JH124" s="284">
        <f t="shared" si="1165"/>
        <v>1</v>
      </c>
      <c r="JI124" s="284">
        <f t="shared" si="1166"/>
        <v>1</v>
      </c>
      <c r="JJ124" s="560">
        <f t="shared" si="1167"/>
        <v>0.72530966509947103</v>
      </c>
      <c r="JK124" s="561">
        <f t="shared" si="1168"/>
        <v>0.54331313404744441</v>
      </c>
      <c r="JL124" s="561">
        <f t="shared" si="1169"/>
        <v>0.10106854904341166</v>
      </c>
      <c r="JM124" s="561">
        <f t="shared" si="1170"/>
        <v>2.5735928457137309E-2</v>
      </c>
      <c r="JN124" s="561">
        <f t="shared" si="1171"/>
        <v>0.28290022504793733</v>
      </c>
      <c r="JO124" s="561">
        <f t="shared" si="1172"/>
        <v>3.3182746396594783E-4</v>
      </c>
      <c r="JP124" s="561">
        <f t="shared" si="1173"/>
        <v>2.1709849104649816E-2</v>
      </c>
      <c r="JQ124" s="561">
        <f t="shared" si="1174"/>
        <v>0.97505951316454653</v>
      </c>
      <c r="JR124" s="61">
        <f t="shared" si="1175"/>
        <v>33283.166666666664</v>
      </c>
      <c r="JS124" s="61">
        <f t="shared" si="1176"/>
        <v>8862.6666666666661</v>
      </c>
      <c r="JT124" s="61">
        <f t="shared" si="1177"/>
        <v>20317.666666666668</v>
      </c>
      <c r="JU124" s="61">
        <f t="shared" si="1178"/>
        <v>2784.7777777777778</v>
      </c>
      <c r="JV124" s="61">
        <f t="shared" si="1179"/>
        <v>27.5</v>
      </c>
      <c r="JW124" s="61">
        <f t="shared" si="1180"/>
        <v>3312.4444444444443</v>
      </c>
      <c r="JX124" s="61">
        <f t="shared" si="1181"/>
        <v>23.742076923076922</v>
      </c>
      <c r="JY124" s="394">
        <f t="shared" si="1182"/>
        <v>0.1048799110797282</v>
      </c>
      <c r="JZ124" s="61">
        <f t="shared" si="1183"/>
        <v>0</v>
      </c>
      <c r="KA124" s="61">
        <f t="shared" si="1184"/>
        <v>0</v>
      </c>
      <c r="KB124" s="61">
        <f t="shared" si="1185"/>
        <v>0</v>
      </c>
      <c r="KC124" s="61">
        <f t="shared" si="1186"/>
        <v>0</v>
      </c>
      <c r="KD124" s="61">
        <f t="shared" si="1187"/>
        <v>0</v>
      </c>
      <c r="KE124" s="61">
        <f t="shared" si="1188"/>
        <v>0</v>
      </c>
      <c r="KF124" s="61">
        <f t="shared" si="1189"/>
        <v>0</v>
      </c>
      <c r="KG124" s="61">
        <f t="shared" si="1190"/>
        <v>0</v>
      </c>
      <c r="KH124" s="61">
        <f t="shared" si="1191"/>
        <v>0</v>
      </c>
      <c r="KI124" s="394">
        <f t="shared" si="1192"/>
        <v>0</v>
      </c>
      <c r="KJ124" s="438">
        <f t="shared" si="1193"/>
        <v>18</v>
      </c>
      <c r="KK124" s="438">
        <f t="shared" si="1194"/>
        <v>52000</v>
      </c>
      <c r="KL124" s="438">
        <f t="shared" si="1195"/>
        <v>126</v>
      </c>
      <c r="KM124" s="438">
        <f t="shared" si="1196"/>
        <v>68588.222222222219</v>
      </c>
      <c r="KN124" s="438">
        <f t="shared" si="1197"/>
        <v>23.742076923076922</v>
      </c>
      <c r="KO124" s="438">
        <f t="shared" si="1198"/>
        <v>9798.3174603174612</v>
      </c>
      <c r="KP124" s="438">
        <f t="shared" si="1199"/>
        <v>599097</v>
      </c>
      <c r="KQ124" s="438">
        <f t="shared" si="1200"/>
        <v>159528</v>
      </c>
      <c r="KR124" s="438">
        <f t="shared" si="1201"/>
        <v>365718</v>
      </c>
      <c r="KS124" s="438">
        <f t="shared" si="1202"/>
        <v>50126</v>
      </c>
      <c r="KT124" s="438">
        <f t="shared" si="1203"/>
        <v>495</v>
      </c>
      <c r="KU124" s="438">
        <f t="shared" si="1204"/>
        <v>59624</v>
      </c>
      <c r="KV124" s="420">
        <f t="shared" si="1205"/>
        <v>0.1048799110797282</v>
      </c>
      <c r="KW124" s="420">
        <f t="shared" si="1206"/>
        <v>-0.17803418179195454</v>
      </c>
      <c r="KX124" s="108"/>
      <c r="KY124" s="282">
        <f t="shared" si="1207"/>
        <v>0</v>
      </c>
      <c r="KZ124" s="282"/>
      <c r="LA124" s="282">
        <f t="shared" si="1208"/>
        <v>0</v>
      </c>
      <c r="LB124" s="282"/>
      <c r="LC124" s="286">
        <f t="shared" si="951"/>
        <v>0</v>
      </c>
      <c r="LD124" s="286"/>
      <c r="LE124" s="282">
        <f t="shared" si="1209"/>
        <v>0</v>
      </c>
      <c r="LF124" s="282"/>
      <c r="LG124" s="282">
        <f t="shared" si="1210"/>
        <v>0</v>
      </c>
      <c r="LH124" s="282">
        <f t="shared" si="1211"/>
        <v>0</v>
      </c>
      <c r="LI124" s="282">
        <f t="shared" si="1212"/>
        <v>0</v>
      </c>
      <c r="LJ124" s="282">
        <f t="shared" si="1213"/>
        <v>0</v>
      </c>
      <c r="LK124" s="282"/>
      <c r="LL124" s="282">
        <f t="shared" si="1214"/>
        <v>0</v>
      </c>
      <c r="LM124" s="282">
        <f t="shared" si="1215"/>
        <v>0</v>
      </c>
      <c r="LN124" s="282">
        <f t="shared" si="1216"/>
        <v>0</v>
      </c>
      <c r="LO124" s="282">
        <f t="shared" si="1217"/>
        <v>0</v>
      </c>
      <c r="LP124" s="286">
        <f t="shared" si="1218"/>
        <v>0</v>
      </c>
      <c r="LQ124" s="282">
        <f t="shared" si="1219"/>
        <v>0</v>
      </c>
      <c r="LR124" s="282">
        <f t="shared" si="1220"/>
        <v>0</v>
      </c>
      <c r="LS124" s="282">
        <f t="shared" si="1221"/>
        <v>0</v>
      </c>
      <c r="LT124" s="286">
        <f t="shared" si="1222"/>
        <v>0</v>
      </c>
      <c r="LU124" s="286">
        <f t="shared" si="1223"/>
        <v>0</v>
      </c>
      <c r="LV124" s="286">
        <f t="shared" si="1224"/>
        <v>0</v>
      </c>
      <c r="LW124" s="286">
        <f t="shared" si="1225"/>
        <v>0</v>
      </c>
      <c r="LX124" s="286">
        <f t="shared" si="1226"/>
        <v>0</v>
      </c>
      <c r="LY124" s="286">
        <f t="shared" si="1227"/>
        <v>0</v>
      </c>
      <c r="LZ124" s="286">
        <f t="shared" si="1228"/>
        <v>0</v>
      </c>
      <c r="MA124" s="286">
        <f t="shared" si="1229"/>
        <v>0</v>
      </c>
      <c r="MB124" s="286">
        <f t="shared" si="1230"/>
        <v>0</v>
      </c>
      <c r="MC124" s="286">
        <f t="shared" si="1231"/>
        <v>0</v>
      </c>
      <c r="MD124" s="286">
        <f t="shared" si="1232"/>
        <v>0</v>
      </c>
      <c r="ME124" s="286">
        <f t="shared" si="1233"/>
        <v>0</v>
      </c>
      <c r="MF124" s="286">
        <f t="shared" si="1234"/>
        <v>0</v>
      </c>
      <c r="MG124" s="286">
        <f t="shared" si="1235"/>
        <v>0</v>
      </c>
      <c r="MH124" s="286">
        <f t="shared" si="1236"/>
        <v>0</v>
      </c>
      <c r="MI124" s="286">
        <f t="shared" si="1237"/>
        <v>0</v>
      </c>
      <c r="MJ124" s="286">
        <f t="shared" si="1238"/>
        <v>0</v>
      </c>
      <c r="MK124" s="286">
        <f t="shared" si="1239"/>
        <v>0</v>
      </c>
      <c r="ML124" s="282">
        <f t="shared" si="1240"/>
        <v>0</v>
      </c>
      <c r="MM124" s="1232">
        <f t="shared" si="1241"/>
        <v>0</v>
      </c>
      <c r="MN124" s="1232">
        <f t="shared" si="1242"/>
        <v>0</v>
      </c>
      <c r="MO124" s="1232">
        <f t="shared" si="1243"/>
        <v>0</v>
      </c>
      <c r="MP124" s="1232">
        <f t="shared" si="1244"/>
        <v>0</v>
      </c>
      <c r="MQ124" s="282">
        <f t="shared" si="1245"/>
        <v>0</v>
      </c>
      <c r="MR124" s="282">
        <f t="shared" si="1246"/>
        <v>0</v>
      </c>
      <c r="MS124" s="282">
        <f t="shared" si="1247"/>
        <v>0</v>
      </c>
      <c r="MT124" s="282">
        <f t="shared" si="1248"/>
        <v>0</v>
      </c>
      <c r="MU124" s="282">
        <f t="shared" si="1249"/>
        <v>0</v>
      </c>
      <c r="MV124" s="282">
        <f t="shared" si="1250"/>
        <v>0</v>
      </c>
      <c r="MW124" s="282">
        <f t="shared" si="1251"/>
        <v>0</v>
      </c>
      <c r="MX124" s="282">
        <f t="shared" si="1252"/>
        <v>0</v>
      </c>
      <c r="MY124" s="282">
        <f t="shared" si="1253"/>
        <v>0</v>
      </c>
      <c r="MZ124" s="282">
        <f t="shared" si="1254"/>
        <v>0</v>
      </c>
      <c r="NA124" s="282">
        <f t="shared" si="1255"/>
        <v>0</v>
      </c>
      <c r="NB124" s="282">
        <f t="shared" si="1256"/>
        <v>0</v>
      </c>
      <c r="NC124" s="282">
        <f t="shared" si="1257"/>
        <v>0</v>
      </c>
      <c r="ND124" s="282">
        <f t="shared" si="1258"/>
        <v>0</v>
      </c>
      <c r="NE124" s="282">
        <f t="shared" si="1259"/>
        <v>0</v>
      </c>
      <c r="NF124" s="282">
        <f t="shared" si="1260"/>
        <v>0</v>
      </c>
      <c r="NG124" s="282">
        <f t="shared" si="1261"/>
        <v>0</v>
      </c>
      <c r="NH124" s="282">
        <f t="shared" si="1262"/>
        <v>0</v>
      </c>
      <c r="NI124" s="282">
        <f t="shared" si="1263"/>
        <v>0</v>
      </c>
      <c r="NJ124" s="282">
        <f t="shared" si="1264"/>
        <v>0</v>
      </c>
      <c r="NK124" s="282">
        <f t="shared" si="1265"/>
        <v>0</v>
      </c>
      <c r="NL124" s="282">
        <f t="shared" si="1266"/>
        <v>0</v>
      </c>
      <c r="NM124" s="1205">
        <f t="shared" si="1267"/>
        <v>0</v>
      </c>
      <c r="NN124" s="282">
        <f t="shared" si="1268"/>
        <v>0</v>
      </c>
      <c r="NO124" s="282">
        <f t="shared" si="1269"/>
        <v>0</v>
      </c>
      <c r="NP124" s="282">
        <f t="shared" si="1270"/>
        <v>0</v>
      </c>
      <c r="NQ124" s="282">
        <f t="shared" si="1271"/>
        <v>0</v>
      </c>
      <c r="NR124" s="282">
        <f t="shared" si="1272"/>
        <v>0</v>
      </c>
      <c r="NS124" s="282">
        <f t="shared" si="1273"/>
        <v>0</v>
      </c>
      <c r="NT124" s="282">
        <f t="shared" si="1274"/>
        <v>0</v>
      </c>
      <c r="NU124" s="282">
        <f t="shared" si="1275"/>
        <v>0</v>
      </c>
      <c r="NV124" s="286">
        <f t="shared" si="1276"/>
        <v>0</v>
      </c>
      <c r="NW124" s="286">
        <f t="shared" si="1277"/>
        <v>0</v>
      </c>
      <c r="NX124" s="286">
        <f t="shared" si="1278"/>
        <v>0</v>
      </c>
      <c r="NY124" s="286">
        <f t="shared" si="1279"/>
        <v>0</v>
      </c>
      <c r="NZ124" s="286">
        <f t="shared" si="1280"/>
        <v>0</v>
      </c>
      <c r="OA124" s="286">
        <f t="shared" si="1281"/>
        <v>0</v>
      </c>
      <c r="OB124" s="286">
        <f t="shared" si="1282"/>
        <v>0</v>
      </c>
      <c r="OC124" s="286">
        <f t="shared" si="1283"/>
        <v>0</v>
      </c>
      <c r="OD124" s="286">
        <f t="shared" si="1284"/>
        <v>0</v>
      </c>
      <c r="OE124" s="282">
        <f t="shared" si="1285"/>
        <v>0</v>
      </c>
      <c r="OF124" s="282">
        <f t="shared" si="1286"/>
        <v>0</v>
      </c>
      <c r="OG124" s="286">
        <f t="shared" si="1287"/>
        <v>0</v>
      </c>
      <c r="OH124" s="286">
        <f t="shared" si="1288"/>
        <v>0</v>
      </c>
      <c r="OI124" s="286">
        <f t="shared" si="1289"/>
        <v>0</v>
      </c>
      <c r="OJ124" s="286">
        <f t="shared" si="1290"/>
        <v>0</v>
      </c>
      <c r="OK124" s="286">
        <f t="shared" si="1291"/>
        <v>0</v>
      </c>
      <c r="OL124" s="286">
        <f t="shared" si="1292"/>
        <v>0</v>
      </c>
      <c r="OM124" s="286">
        <f t="shared" si="1293"/>
        <v>0</v>
      </c>
      <c r="ON124" s="286">
        <f t="shared" si="1294"/>
        <v>0</v>
      </c>
      <c r="OO124" s="286">
        <f t="shared" si="1295"/>
        <v>0</v>
      </c>
      <c r="OP124" s="434">
        <f t="shared" si="1296"/>
        <v>0</v>
      </c>
      <c r="OQ124" s="434">
        <f t="shared" si="1297"/>
        <v>0</v>
      </c>
      <c r="OR124" s="282">
        <f t="shared" si="1298"/>
        <v>0</v>
      </c>
      <c r="OS124" s="282">
        <f t="shared" si="1299"/>
        <v>0</v>
      </c>
      <c r="OT124" s="282">
        <f t="shared" si="1300"/>
        <v>0</v>
      </c>
      <c r="OU124" s="282">
        <f t="shared" si="1301"/>
        <v>0</v>
      </c>
      <c r="OV124" s="282">
        <f t="shared" si="1302"/>
        <v>0</v>
      </c>
      <c r="OW124" s="286">
        <f t="shared" si="1303"/>
        <v>0</v>
      </c>
      <c r="OX124" s="286">
        <f t="shared" si="1304"/>
        <v>0</v>
      </c>
      <c r="OY124" s="286">
        <f t="shared" si="1305"/>
        <v>0</v>
      </c>
      <c r="OZ124" s="286">
        <f t="shared" si="1306"/>
        <v>0</v>
      </c>
      <c r="PA124" s="286">
        <f t="shared" si="1307"/>
        <v>0</v>
      </c>
      <c r="PB124" s="286">
        <f t="shared" si="1308"/>
        <v>0</v>
      </c>
      <c r="PC124" s="286">
        <f t="shared" si="1309"/>
        <v>0</v>
      </c>
      <c r="PD124" s="282">
        <f t="shared" si="1310"/>
        <v>0</v>
      </c>
      <c r="PE124" s="282">
        <f t="shared" si="1311"/>
        <v>0</v>
      </c>
      <c r="PF124" s="286">
        <f t="shared" si="1312"/>
        <v>0</v>
      </c>
      <c r="PG124" s="286">
        <f t="shared" si="1313"/>
        <v>0</v>
      </c>
      <c r="PH124" s="286">
        <f t="shared" si="1314"/>
        <v>0</v>
      </c>
      <c r="PI124" s="286">
        <f t="shared" si="1315"/>
        <v>0</v>
      </c>
      <c r="PJ124" s="286">
        <f t="shared" si="1316"/>
        <v>0</v>
      </c>
      <c r="PK124" s="286">
        <f t="shared" si="1317"/>
        <v>0</v>
      </c>
      <c r="PL124" s="286">
        <f t="shared" si="1318"/>
        <v>0</v>
      </c>
      <c r="PM124" s="562">
        <v>68</v>
      </c>
    </row>
    <row r="125" spans="1:431" s="289" customFormat="1" ht="15.75" customHeight="1">
      <c r="A125" s="1935" t="s">
        <v>679</v>
      </c>
      <c r="B125" s="1040" t="str">
        <f>VLOOKUP(A125,'Area (&amp;golfacre for lookup)'!$A$2:$B$162,2,FALSE)</f>
        <v>North&amp;Central</v>
      </c>
      <c r="C125" s="1984"/>
      <c r="D125" s="1937">
        <v>44742</v>
      </c>
      <c r="E125" s="402"/>
      <c r="F125" s="2083">
        <v>1</v>
      </c>
      <c r="G125" s="1936">
        <v>0</v>
      </c>
      <c r="H125" s="1936">
        <v>276</v>
      </c>
      <c r="I125" s="1936">
        <v>37</v>
      </c>
      <c r="J125" s="1936">
        <v>313</v>
      </c>
      <c r="K125" s="1938">
        <v>294.45066842402559</v>
      </c>
      <c r="L125" s="1939" t="s">
        <v>1208</v>
      </c>
      <c r="M125" s="1939" t="s">
        <v>1208</v>
      </c>
      <c r="N125" s="1939" t="s">
        <v>1208</v>
      </c>
      <c r="O125" s="1939" t="s">
        <v>1208</v>
      </c>
      <c r="P125" s="1939" t="s">
        <v>1208</v>
      </c>
      <c r="Q125" s="1936">
        <v>0</v>
      </c>
      <c r="R125" s="1936">
        <v>170000</v>
      </c>
      <c r="S125" s="1936">
        <v>170000</v>
      </c>
      <c r="T125" s="1939" t="s">
        <v>1208</v>
      </c>
      <c r="U125" s="1939" t="s">
        <v>1208</v>
      </c>
      <c r="V125" s="1939" t="s">
        <v>1208</v>
      </c>
      <c r="W125" s="1936">
        <v>25492</v>
      </c>
      <c r="X125" s="1936">
        <v>21244</v>
      </c>
      <c r="Y125" s="1939" t="s">
        <v>1208</v>
      </c>
      <c r="Z125" s="1939" t="s">
        <v>1208</v>
      </c>
      <c r="AA125" s="1936">
        <v>4248</v>
      </c>
      <c r="AB125" s="1362">
        <v>0.1999623423084165</v>
      </c>
      <c r="AC125" s="1939" t="s">
        <v>1208</v>
      </c>
      <c r="AD125" s="1363" t="s">
        <v>1208</v>
      </c>
      <c r="AE125" s="1936">
        <v>0</v>
      </c>
      <c r="AF125" s="1936">
        <v>0</v>
      </c>
      <c r="AG125" s="1939" t="s">
        <v>1208</v>
      </c>
      <c r="AH125" s="1936">
        <v>0</v>
      </c>
      <c r="AI125" s="1936">
        <v>0</v>
      </c>
      <c r="AJ125" s="1939" t="s">
        <v>1208</v>
      </c>
      <c r="AK125" s="1938">
        <v>1</v>
      </c>
      <c r="AL125" s="1938">
        <v>2500</v>
      </c>
      <c r="AM125" s="1936">
        <v>23744</v>
      </c>
      <c r="AN125" s="1939" t="s">
        <v>1208</v>
      </c>
      <c r="AO125" s="1936">
        <v>0</v>
      </c>
      <c r="AP125" s="1936">
        <v>0</v>
      </c>
      <c r="AQ125" s="1936">
        <v>23744</v>
      </c>
      <c r="AR125" s="1939" t="s">
        <v>1208</v>
      </c>
      <c r="AS125" s="1363" t="s">
        <v>1208</v>
      </c>
      <c r="AT125" s="1363" t="s">
        <v>1208</v>
      </c>
      <c r="AU125" s="1363" t="s">
        <v>1208</v>
      </c>
      <c r="AV125" s="1363" t="s">
        <v>1208</v>
      </c>
      <c r="AW125" s="1363" t="s">
        <v>1291</v>
      </c>
      <c r="AX125" s="1938">
        <v>0</v>
      </c>
      <c r="AY125" s="1938">
        <v>0</v>
      </c>
      <c r="AZ125" s="1938">
        <v>0</v>
      </c>
      <c r="BA125" s="1938">
        <v>0</v>
      </c>
      <c r="BB125" s="1938">
        <v>0</v>
      </c>
      <c r="BC125" s="1938">
        <v>0</v>
      </c>
      <c r="BD125" s="1938">
        <v>0</v>
      </c>
      <c r="BE125" s="1936">
        <v>1</v>
      </c>
      <c r="BF125" s="1936">
        <v>40000000</v>
      </c>
      <c r="BG125" s="1936">
        <v>750000</v>
      </c>
      <c r="BH125" s="1936">
        <v>40750000</v>
      </c>
      <c r="BI125" s="1938">
        <v>19709492</v>
      </c>
      <c r="BJ125" s="1936">
        <v>1729786</v>
      </c>
      <c r="BK125" s="1936">
        <v>1332497</v>
      </c>
      <c r="BL125" s="1362">
        <v>1.2981537669503196</v>
      </c>
      <c r="BM125" s="1936">
        <v>0</v>
      </c>
      <c r="BN125" s="1936">
        <v>0</v>
      </c>
      <c r="BO125" s="1363" t="s">
        <v>1208</v>
      </c>
      <c r="BP125" s="1938">
        <v>1073059</v>
      </c>
      <c r="BQ125" s="1938">
        <v>1106666</v>
      </c>
      <c r="BR125" s="1940">
        <v>0.96963221062181359</v>
      </c>
      <c r="BS125" s="1409">
        <v>0</v>
      </c>
      <c r="BT125" s="1938">
        <v>1136666</v>
      </c>
      <c r="BU125" s="1938">
        <v>23879845</v>
      </c>
      <c r="BV125" s="1940">
        <v>4.7599387684467802E-2</v>
      </c>
      <c r="BW125" s="1936">
        <v>0</v>
      </c>
      <c r="BX125" s="1936">
        <v>5874.6207276697724</v>
      </c>
      <c r="BY125" s="1936">
        <v>138393.30105142671</v>
      </c>
      <c r="BZ125" s="1936">
        <v>747636</v>
      </c>
      <c r="CA125" s="1936">
        <v>0</v>
      </c>
      <c r="CB125" s="1936">
        <v>0</v>
      </c>
      <c r="CC125" s="1936">
        <v>0</v>
      </c>
      <c r="CD125" s="1936">
        <v>6255310</v>
      </c>
      <c r="CE125" s="1936">
        <v>0</v>
      </c>
      <c r="CF125" s="1936">
        <v>0</v>
      </c>
      <c r="CG125" s="1936">
        <v>1126862</v>
      </c>
      <c r="CH125" s="1936">
        <v>507748</v>
      </c>
      <c r="CI125" s="1936">
        <v>826966</v>
      </c>
      <c r="CJ125" s="1936">
        <v>9464522</v>
      </c>
      <c r="CK125" s="1366">
        <v>7.8993529731348294E-2</v>
      </c>
      <c r="CL125" s="1366">
        <v>0</v>
      </c>
      <c r="CM125" s="1366">
        <v>0</v>
      </c>
      <c r="CN125" s="1366">
        <v>0</v>
      </c>
      <c r="CO125" s="1366">
        <v>0.66092191449288196</v>
      </c>
      <c r="CP125" s="1366">
        <v>0</v>
      </c>
      <c r="CQ125" s="1366">
        <v>0</v>
      </c>
      <c r="CR125" s="1366">
        <v>0.11906169165225672</v>
      </c>
      <c r="CS125" s="1366">
        <v>5.3647505917361699E-2</v>
      </c>
      <c r="CT125" s="1366">
        <v>8.7375358206151346E-2</v>
      </c>
      <c r="CU125" s="1366">
        <v>1</v>
      </c>
      <c r="CV125" s="1936">
        <v>5602589</v>
      </c>
      <c r="CW125" s="1936">
        <v>773688</v>
      </c>
      <c r="CX125" s="1936">
        <v>0</v>
      </c>
      <c r="CY125" s="1936">
        <v>2824290</v>
      </c>
      <c r="CZ125" s="1936">
        <v>377304</v>
      </c>
      <c r="DA125" s="1936">
        <v>422529</v>
      </c>
      <c r="DB125" s="1936">
        <v>10000400</v>
      </c>
      <c r="DC125" s="1366">
        <v>0.56023649054037838</v>
      </c>
      <c r="DD125" s="1366">
        <v>7.7365705371785123E-2</v>
      </c>
      <c r="DE125" s="1366">
        <v>0</v>
      </c>
      <c r="DF125" s="1366">
        <v>0.28241770329186833</v>
      </c>
      <c r="DG125" s="1366">
        <v>3.7728890844366224E-2</v>
      </c>
      <c r="DH125" s="1366">
        <v>4.2251209951601934E-2</v>
      </c>
      <c r="DI125" s="1366">
        <v>1</v>
      </c>
      <c r="DJ125" s="1936">
        <v>-535878</v>
      </c>
      <c r="DK125" s="1936">
        <v>2539.0874607333612</v>
      </c>
      <c r="DL125" s="1936">
        <v>0</v>
      </c>
      <c r="DM125" s="1936">
        <v>0</v>
      </c>
      <c r="DN125" s="1936">
        <v>0</v>
      </c>
      <c r="DO125" s="1936">
        <v>21244</v>
      </c>
      <c r="DP125" s="1936">
        <v>0</v>
      </c>
      <c r="DQ125" s="1936">
        <v>0</v>
      </c>
      <c r="DR125" s="1936">
        <v>3826.9975953230137</v>
      </c>
      <c r="DS125" s="1936">
        <v>1724.390719564658</v>
      </c>
      <c r="DT125" s="1936">
        <v>2808.504407295562</v>
      </c>
      <c r="DU125" s="1936">
        <v>32142.980182916595</v>
      </c>
      <c r="DV125" s="1936">
        <v>19027.258555691085</v>
      </c>
      <c r="DW125" s="1936">
        <v>2627.5640810767172</v>
      </c>
      <c r="DX125" s="1936">
        <v>0</v>
      </c>
      <c r="DY125" s="1936">
        <v>9591.7255515713859</v>
      </c>
      <c r="DZ125" s="1936">
        <v>1281.3827253965032</v>
      </c>
      <c r="EA125" s="1936">
        <v>1434.973818403884</v>
      </c>
      <c r="EB125" s="1936">
        <v>33962.904732139577</v>
      </c>
      <c r="EC125" s="1936">
        <v>-1819.9245492229802</v>
      </c>
      <c r="ED125" s="1941">
        <v>135</v>
      </c>
      <c r="EE125" s="1936">
        <v>1</v>
      </c>
      <c r="EF125" s="1936">
        <v>15</v>
      </c>
      <c r="EG125" s="1938">
        <v>94000</v>
      </c>
      <c r="EH125" s="1938">
        <v>1</v>
      </c>
      <c r="EI125" s="1368">
        <v>0.08</v>
      </c>
      <c r="EJ125" s="1936">
        <v>2.1811160624001897</v>
      </c>
      <c r="EK125" s="1936">
        <v>0</v>
      </c>
      <c r="EL125" s="1936">
        <v>0</v>
      </c>
      <c r="EM125" s="1936">
        <v>0</v>
      </c>
      <c r="EN125" s="1362">
        <v>0</v>
      </c>
      <c r="EO125" s="1936">
        <v>0</v>
      </c>
      <c r="EP125" s="1936">
        <v>0</v>
      </c>
      <c r="EQ125" s="1936">
        <v>0</v>
      </c>
      <c r="ER125" s="1938">
        <v>1</v>
      </c>
      <c r="ES125" s="1936">
        <v>5551.3883148876721</v>
      </c>
      <c r="ET125" s="1936">
        <v>-4123.3868019330775</v>
      </c>
      <c r="EU125" s="1938">
        <v>3</v>
      </c>
      <c r="EV125" s="1979">
        <v>25459</v>
      </c>
      <c r="EW125" s="1979">
        <v>0</v>
      </c>
      <c r="EX125" s="1938">
        <v>0</v>
      </c>
      <c r="EY125" s="1936">
        <v>1126862</v>
      </c>
      <c r="EZ125" s="1936">
        <v>612758</v>
      </c>
      <c r="FA125" s="1936">
        <v>514104</v>
      </c>
      <c r="FB125" s="1936">
        <v>507748</v>
      </c>
      <c r="FC125" s="1936">
        <v>160930</v>
      </c>
      <c r="FD125" s="1936">
        <v>346818</v>
      </c>
      <c r="FE125" s="1936">
        <v>1634610</v>
      </c>
      <c r="FF125" s="1936">
        <v>773688</v>
      </c>
      <c r="FG125" s="1936">
        <v>860922</v>
      </c>
      <c r="FH125" s="1366">
        <v>1</v>
      </c>
      <c r="FI125" s="1366">
        <v>0.54377377176619679</v>
      </c>
      <c r="FJ125" s="1366">
        <v>0.45622622823380327</v>
      </c>
      <c r="FK125" s="1366">
        <v>1</v>
      </c>
      <c r="FL125" s="1366">
        <v>0.31694856503619906</v>
      </c>
      <c r="FM125" s="1366">
        <v>0.68305143496380094</v>
      </c>
      <c r="FN125" s="1366">
        <v>1</v>
      </c>
      <c r="FO125" s="1366">
        <v>0.47331657092517482</v>
      </c>
      <c r="FP125" s="1366">
        <v>0.52668342907482524</v>
      </c>
      <c r="FQ125" s="1936">
        <v>1250225</v>
      </c>
      <c r="FR125" s="1936">
        <v>0</v>
      </c>
      <c r="FS125" s="1936">
        <v>229369</v>
      </c>
      <c r="FT125" s="1936">
        <v>21934</v>
      </c>
      <c r="FU125" s="1936">
        <v>-617</v>
      </c>
      <c r="FV125" s="1936">
        <v>43955</v>
      </c>
      <c r="FW125" s="1936">
        <v>530190</v>
      </c>
      <c r="FX125" s="1936">
        <v>2075056</v>
      </c>
      <c r="FY125" s="1936">
        <v>-1214134</v>
      </c>
      <c r="FZ125" s="1366">
        <v>0.7648460489046317</v>
      </c>
      <c r="GA125" s="1366">
        <v>0</v>
      </c>
      <c r="GB125" s="1366">
        <v>0.14032032105517525</v>
      </c>
      <c r="GC125" s="1366">
        <v>1.3418491260912388E-2</v>
      </c>
      <c r="GD125" s="1366">
        <v>-3.7746006692727929E-4</v>
      </c>
      <c r="GE125" s="1366">
        <v>2.6890206226561686E-2</v>
      </c>
      <c r="GF125" s="1366">
        <v>0.32435259786738119</v>
      </c>
      <c r="GG125" s="1366">
        <v>1.269450205247735</v>
      </c>
      <c r="GH125" s="1366">
        <v>-0.74276677617290976</v>
      </c>
      <c r="GI125" s="1942">
        <v>2.2193332125385035</v>
      </c>
      <c r="GJ125" s="1943">
        <v>1</v>
      </c>
      <c r="GK125" s="1371">
        <v>0.05</v>
      </c>
      <c r="GL125" s="1943">
        <v>1</v>
      </c>
      <c r="GM125" s="1371">
        <v>0.03</v>
      </c>
      <c r="GN125" s="1943">
        <v>18</v>
      </c>
      <c r="GO125" s="1985">
        <f>IF(GN125=0,0,VLOOKUP(A125,'Area (&amp;golfacre for lookup)'!$G$2:$H$133,2,FALSE))</f>
        <v>100</v>
      </c>
      <c r="GP125" s="1943">
        <v>18500</v>
      </c>
      <c r="GQ125" s="1943">
        <v>1260997</v>
      </c>
      <c r="GR125" s="1943">
        <v>233541</v>
      </c>
      <c r="GS125" s="1943">
        <v>358594</v>
      </c>
      <c r="GT125" s="1943">
        <v>78047</v>
      </c>
      <c r="GU125" s="1943">
        <v>66107</v>
      </c>
      <c r="GV125" s="1943">
        <v>237764</v>
      </c>
      <c r="GW125" s="1943">
        <v>2235050</v>
      </c>
      <c r="GX125" s="1943">
        <v>124169.44444444444</v>
      </c>
      <c r="GY125" s="1985">
        <f t="shared" si="1319"/>
        <v>22350.5</v>
      </c>
      <c r="GZ125" s="1366">
        <v>0.56419185253126325</v>
      </c>
      <c r="HA125" s="1366">
        <v>0.10449027985951097</v>
      </c>
      <c r="HB125" s="1366">
        <v>0.16044115344175747</v>
      </c>
      <c r="HC125" s="1366">
        <v>3.4919576743249595E-2</v>
      </c>
      <c r="HD125" s="1366">
        <v>2.9577414375517325E-2</v>
      </c>
      <c r="HE125" s="1366">
        <v>0.10637972304870137</v>
      </c>
      <c r="HF125" s="1366">
        <v>1</v>
      </c>
      <c r="HG125" s="1936">
        <v>0</v>
      </c>
      <c r="HH125" s="1988">
        <f>IF(HG125=0,0,VLOOKUP(A125,'Area (&amp;golfacre for lookup)'!$G$2:$H$134,2,FALSE))</f>
        <v>0</v>
      </c>
      <c r="HI125" s="1936">
        <v>0</v>
      </c>
      <c r="HJ125" s="1936">
        <v>0</v>
      </c>
      <c r="HK125" s="1936">
        <v>0</v>
      </c>
      <c r="HL125" s="1936">
        <v>0</v>
      </c>
      <c r="HM125" s="1936">
        <v>0</v>
      </c>
      <c r="HN125" s="1936">
        <v>0</v>
      </c>
      <c r="HO125" s="1936">
        <v>0</v>
      </c>
      <c r="HP125" s="1936">
        <v>0</v>
      </c>
      <c r="HQ125" s="1936">
        <v>0</v>
      </c>
      <c r="HR125" s="1988">
        <f t="shared" si="1320"/>
        <v>0</v>
      </c>
      <c r="HS125" s="1936">
        <v>0</v>
      </c>
      <c r="HT125" s="1936">
        <v>0</v>
      </c>
      <c r="HU125" s="1936">
        <v>0</v>
      </c>
      <c r="HV125" s="1936">
        <v>0</v>
      </c>
      <c r="HW125" s="1936">
        <v>0</v>
      </c>
      <c r="HX125" s="1936">
        <v>0</v>
      </c>
      <c r="HY125" s="1936">
        <v>0</v>
      </c>
      <c r="HZ125" s="51"/>
      <c r="IA125" s="59">
        <f t="shared" si="1136"/>
        <v>0</v>
      </c>
      <c r="IB125" s="59"/>
      <c r="IC125" s="815">
        <f t="shared" si="1137"/>
        <v>1</v>
      </c>
      <c r="ID125" s="815"/>
      <c r="IE125" s="284">
        <f t="shared" si="1138"/>
        <v>0</v>
      </c>
      <c r="IF125" s="284"/>
      <c r="IG125" s="284">
        <f t="shared" si="1139"/>
        <v>66936.482452188618</v>
      </c>
      <c r="IH125" s="284"/>
      <c r="II125" s="1288">
        <f t="shared" si="1140"/>
        <v>0</v>
      </c>
      <c r="IJ125" s="1288">
        <f t="shared" si="1141"/>
        <v>0.96963221062181359</v>
      </c>
      <c r="IK125" s="284">
        <f t="shared" si="1142"/>
        <v>1</v>
      </c>
      <c r="IL125" s="284">
        <f t="shared" si="1143"/>
        <v>0</v>
      </c>
      <c r="IM125" s="284">
        <f t="shared" si="1144"/>
        <v>0</v>
      </c>
      <c r="IN125" s="284">
        <f t="shared" si="1145"/>
        <v>0</v>
      </c>
      <c r="IO125" s="753">
        <f t="shared" si="1146"/>
        <v>-3879.0223642172523</v>
      </c>
      <c r="IP125" s="113">
        <f t="shared" si="1147"/>
        <v>-4123.3868019330775</v>
      </c>
      <c r="IQ125" s="30">
        <f t="shared" si="1148"/>
        <v>-0.19409653558336837</v>
      </c>
      <c r="IR125" s="438">
        <f t="shared" si="1149"/>
        <v>1126862</v>
      </c>
      <c r="IS125" s="438">
        <f t="shared" si="1150"/>
        <v>507748</v>
      </c>
      <c r="IT125" s="438">
        <f t="shared" si="1151"/>
        <v>1250225</v>
      </c>
      <c r="IU125" s="438">
        <f t="shared" si="1152"/>
        <v>251303</v>
      </c>
      <c r="IV125" s="438">
        <f t="shared" si="1153"/>
        <v>773688</v>
      </c>
      <c r="IW125" s="438">
        <f t="shared" si="1154"/>
        <v>573528</v>
      </c>
      <c r="IX125" s="285">
        <f t="shared" si="1155"/>
        <v>0.68937667088785703</v>
      </c>
      <c r="IY125" s="285">
        <f t="shared" si="1156"/>
        <v>0.31062332911214297</v>
      </c>
      <c r="IZ125" s="285">
        <f t="shared" si="1157"/>
        <v>0.7648460489046317</v>
      </c>
      <c r="JA125" s="285">
        <f t="shared" si="1158"/>
        <v>0.15373881231608763</v>
      </c>
      <c r="JB125" s="285">
        <f t="shared" si="1159"/>
        <v>0.47331657092517482</v>
      </c>
      <c r="JC125" s="285">
        <f t="shared" si="1160"/>
        <v>0.35086534402701564</v>
      </c>
      <c r="JD125" s="60">
        <f t="shared" si="1161"/>
        <v>6255310</v>
      </c>
      <c r="JE125" s="60">
        <f t="shared" si="1162"/>
        <v>747636</v>
      </c>
      <c r="JF125" s="60">
        <f t="shared" si="1163"/>
        <v>0</v>
      </c>
      <c r="JG125" s="60">
        <f t="shared" si="1164"/>
        <v>799833</v>
      </c>
      <c r="JH125" s="284">
        <f t="shared" si="1165"/>
        <v>0</v>
      </c>
      <c r="JI125" s="284">
        <f t="shared" si="1166"/>
        <v>0</v>
      </c>
      <c r="JJ125" s="560">
        <f t="shared" si="1167"/>
        <v>0</v>
      </c>
      <c r="JK125" s="561">
        <f t="shared" si="1168"/>
        <v>0.59195688910649691</v>
      </c>
      <c r="JL125" s="561">
        <f t="shared" si="1169"/>
        <v>8.1746125160890318E-2</v>
      </c>
      <c r="JM125" s="561">
        <f t="shared" si="1170"/>
        <v>0</v>
      </c>
      <c r="JN125" s="561">
        <f t="shared" si="1171"/>
        <v>0.29840809710199839</v>
      </c>
      <c r="JO125" s="561">
        <f t="shared" si="1172"/>
        <v>3.9865087745582922E-2</v>
      </c>
      <c r="JP125" s="561">
        <f t="shared" si="1173"/>
        <v>4.4643459014623244E-2</v>
      </c>
      <c r="JQ125" s="561">
        <f t="shared" si="1174"/>
        <v>1.0566196581295917</v>
      </c>
      <c r="JR125" s="61">
        <f t="shared" si="1175"/>
        <v>70055.388888888891</v>
      </c>
      <c r="JS125" s="61">
        <f t="shared" si="1176"/>
        <v>12974.5</v>
      </c>
      <c r="JT125" s="61">
        <f t="shared" si="1177"/>
        <v>19921.888888888891</v>
      </c>
      <c r="JU125" s="61">
        <f t="shared" si="1178"/>
        <v>4335.9444444444443</v>
      </c>
      <c r="JV125" s="61">
        <f t="shared" si="1179"/>
        <v>3672.6111111111113</v>
      </c>
      <c r="JW125" s="61">
        <f t="shared" si="1180"/>
        <v>13209.111111111111</v>
      </c>
      <c r="JX125" s="61">
        <f t="shared" si="1181"/>
        <v>120.81351351351351</v>
      </c>
      <c r="JY125" s="394">
        <f t="shared" si="1182"/>
        <v>0.22349606015759368</v>
      </c>
      <c r="JZ125" s="61">
        <f t="shared" si="1183"/>
        <v>0</v>
      </c>
      <c r="KA125" s="61">
        <f t="shared" si="1184"/>
        <v>0</v>
      </c>
      <c r="KB125" s="61">
        <f t="shared" si="1185"/>
        <v>0</v>
      </c>
      <c r="KC125" s="61">
        <f t="shared" si="1186"/>
        <v>0</v>
      </c>
      <c r="KD125" s="61">
        <f t="shared" si="1187"/>
        <v>0</v>
      </c>
      <c r="KE125" s="61">
        <f t="shared" si="1188"/>
        <v>0</v>
      </c>
      <c r="KF125" s="61">
        <f t="shared" si="1189"/>
        <v>0</v>
      </c>
      <c r="KG125" s="61">
        <f t="shared" si="1190"/>
        <v>0</v>
      </c>
      <c r="KH125" s="61">
        <f t="shared" si="1191"/>
        <v>0</v>
      </c>
      <c r="KI125" s="394">
        <f t="shared" si="1192"/>
        <v>0</v>
      </c>
      <c r="KJ125" s="438">
        <f t="shared" si="1193"/>
        <v>18</v>
      </c>
      <c r="KK125" s="438">
        <f t="shared" si="1194"/>
        <v>18500</v>
      </c>
      <c r="KL125" s="438">
        <f t="shared" si="1195"/>
        <v>100</v>
      </c>
      <c r="KM125" s="438">
        <f t="shared" si="1196"/>
        <v>124169.44444444444</v>
      </c>
      <c r="KN125" s="438">
        <f t="shared" si="1197"/>
        <v>120.81351351351351</v>
      </c>
      <c r="KO125" s="438">
        <f t="shared" si="1198"/>
        <v>22350.5</v>
      </c>
      <c r="KP125" s="438">
        <f t="shared" si="1199"/>
        <v>1260997</v>
      </c>
      <c r="KQ125" s="438">
        <f t="shared" si="1200"/>
        <v>233541</v>
      </c>
      <c r="KR125" s="438">
        <f t="shared" si="1201"/>
        <v>358594</v>
      </c>
      <c r="KS125" s="438">
        <f t="shared" si="1202"/>
        <v>78047</v>
      </c>
      <c r="KT125" s="438">
        <f t="shared" si="1203"/>
        <v>66107</v>
      </c>
      <c r="KU125" s="438">
        <f t="shared" si="1204"/>
        <v>237764</v>
      </c>
      <c r="KV125" s="420">
        <f t="shared" si="1205"/>
        <v>0.22349606015759368</v>
      </c>
      <c r="KW125" s="420">
        <f t="shared" si="1206"/>
        <v>-0.31929448740350197</v>
      </c>
      <c r="KX125" s="108"/>
      <c r="KY125" s="282">
        <f t="shared" si="1207"/>
        <v>0</v>
      </c>
      <c r="KZ125" s="282"/>
      <c r="LA125" s="282">
        <f t="shared" si="1208"/>
        <v>0</v>
      </c>
      <c r="LB125" s="282"/>
      <c r="LC125" s="286">
        <f t="shared" si="951"/>
        <v>0</v>
      </c>
      <c r="LD125" s="286"/>
      <c r="LE125" s="282">
        <f t="shared" si="1209"/>
        <v>0</v>
      </c>
      <c r="LF125" s="282"/>
      <c r="LG125" s="282">
        <f t="shared" si="1210"/>
        <v>0</v>
      </c>
      <c r="LH125" s="282">
        <f t="shared" si="1211"/>
        <v>0</v>
      </c>
      <c r="LI125" s="282">
        <f t="shared" si="1212"/>
        <v>0</v>
      </c>
      <c r="LJ125" s="282">
        <f t="shared" si="1213"/>
        <v>0</v>
      </c>
      <c r="LK125" s="282"/>
      <c r="LL125" s="282">
        <f t="shared" si="1214"/>
        <v>0</v>
      </c>
      <c r="LM125" s="282">
        <f t="shared" si="1215"/>
        <v>0</v>
      </c>
      <c r="LN125" s="282">
        <f t="shared" si="1216"/>
        <v>0</v>
      </c>
      <c r="LO125" s="282">
        <f t="shared" si="1217"/>
        <v>0</v>
      </c>
      <c r="LP125" s="286">
        <f t="shared" si="1218"/>
        <v>0</v>
      </c>
      <c r="LQ125" s="282">
        <f t="shared" si="1219"/>
        <v>0</v>
      </c>
      <c r="LR125" s="282">
        <f t="shared" si="1220"/>
        <v>0</v>
      </c>
      <c r="LS125" s="282">
        <f t="shared" si="1221"/>
        <v>0</v>
      </c>
      <c r="LT125" s="286">
        <f t="shared" si="1222"/>
        <v>0</v>
      </c>
      <c r="LU125" s="286">
        <f t="shared" si="1223"/>
        <v>0</v>
      </c>
      <c r="LV125" s="286">
        <f t="shared" si="1224"/>
        <v>0</v>
      </c>
      <c r="LW125" s="286">
        <f t="shared" si="1225"/>
        <v>0</v>
      </c>
      <c r="LX125" s="286">
        <f t="shared" si="1226"/>
        <v>0</v>
      </c>
      <c r="LY125" s="286">
        <f t="shared" si="1227"/>
        <v>0</v>
      </c>
      <c r="LZ125" s="286">
        <f t="shared" si="1228"/>
        <v>0</v>
      </c>
      <c r="MA125" s="286">
        <f t="shared" si="1229"/>
        <v>0</v>
      </c>
      <c r="MB125" s="286">
        <f t="shared" si="1230"/>
        <v>0</v>
      </c>
      <c r="MC125" s="286">
        <f t="shared" si="1231"/>
        <v>0</v>
      </c>
      <c r="MD125" s="286">
        <f t="shared" si="1232"/>
        <v>0</v>
      </c>
      <c r="ME125" s="286">
        <f t="shared" si="1233"/>
        <v>0</v>
      </c>
      <c r="MF125" s="286">
        <f t="shared" si="1234"/>
        <v>0</v>
      </c>
      <c r="MG125" s="286">
        <f t="shared" si="1235"/>
        <v>0</v>
      </c>
      <c r="MH125" s="286">
        <f t="shared" si="1236"/>
        <v>0</v>
      </c>
      <c r="MI125" s="286">
        <f t="shared" si="1237"/>
        <v>0</v>
      </c>
      <c r="MJ125" s="286">
        <f t="shared" si="1238"/>
        <v>0</v>
      </c>
      <c r="MK125" s="286">
        <f t="shared" si="1239"/>
        <v>0</v>
      </c>
      <c r="ML125" s="282">
        <f t="shared" si="1240"/>
        <v>0</v>
      </c>
      <c r="MM125" s="1232">
        <f t="shared" si="1241"/>
        <v>0</v>
      </c>
      <c r="MN125" s="1232">
        <f t="shared" si="1242"/>
        <v>0</v>
      </c>
      <c r="MO125" s="1232">
        <f t="shared" si="1243"/>
        <v>0</v>
      </c>
      <c r="MP125" s="1232">
        <f t="shared" si="1244"/>
        <v>0</v>
      </c>
      <c r="MQ125" s="282">
        <f t="shared" si="1245"/>
        <v>0</v>
      </c>
      <c r="MR125" s="282">
        <f t="shared" si="1246"/>
        <v>0</v>
      </c>
      <c r="MS125" s="282">
        <f t="shared" si="1247"/>
        <v>0</v>
      </c>
      <c r="MT125" s="282">
        <f t="shared" si="1248"/>
        <v>0</v>
      </c>
      <c r="MU125" s="282">
        <f t="shared" si="1249"/>
        <v>0</v>
      </c>
      <c r="MV125" s="282">
        <f t="shared" si="1250"/>
        <v>0</v>
      </c>
      <c r="MW125" s="282">
        <f t="shared" si="1251"/>
        <v>0</v>
      </c>
      <c r="MX125" s="282">
        <f t="shared" si="1252"/>
        <v>0</v>
      </c>
      <c r="MY125" s="282">
        <f t="shared" si="1253"/>
        <v>0</v>
      </c>
      <c r="MZ125" s="282">
        <f t="shared" si="1254"/>
        <v>0</v>
      </c>
      <c r="NA125" s="282">
        <f t="shared" si="1255"/>
        <v>0</v>
      </c>
      <c r="NB125" s="282">
        <f t="shared" si="1256"/>
        <v>0</v>
      </c>
      <c r="NC125" s="282">
        <f t="shared" si="1257"/>
        <v>0</v>
      </c>
      <c r="ND125" s="282">
        <f t="shared" si="1258"/>
        <v>0</v>
      </c>
      <c r="NE125" s="282">
        <f t="shared" si="1259"/>
        <v>0</v>
      </c>
      <c r="NF125" s="282">
        <f t="shared" si="1260"/>
        <v>0</v>
      </c>
      <c r="NG125" s="282">
        <f t="shared" si="1261"/>
        <v>0</v>
      </c>
      <c r="NH125" s="282">
        <f t="shared" si="1262"/>
        <v>0</v>
      </c>
      <c r="NI125" s="282">
        <f t="shared" si="1263"/>
        <v>0</v>
      </c>
      <c r="NJ125" s="282">
        <f t="shared" si="1264"/>
        <v>0</v>
      </c>
      <c r="NK125" s="282">
        <f t="shared" si="1265"/>
        <v>0</v>
      </c>
      <c r="NL125" s="282">
        <f t="shared" si="1266"/>
        <v>0</v>
      </c>
      <c r="NM125" s="1205">
        <f t="shared" si="1267"/>
        <v>0</v>
      </c>
      <c r="NN125" s="282">
        <f t="shared" si="1268"/>
        <v>0</v>
      </c>
      <c r="NO125" s="282">
        <f t="shared" si="1269"/>
        <v>0</v>
      </c>
      <c r="NP125" s="282">
        <f t="shared" si="1270"/>
        <v>0</v>
      </c>
      <c r="NQ125" s="282">
        <f t="shared" si="1271"/>
        <v>0</v>
      </c>
      <c r="NR125" s="282">
        <f t="shared" si="1272"/>
        <v>0</v>
      </c>
      <c r="NS125" s="282">
        <f t="shared" si="1273"/>
        <v>0</v>
      </c>
      <c r="NT125" s="282">
        <f t="shared" si="1274"/>
        <v>0</v>
      </c>
      <c r="NU125" s="282">
        <f t="shared" si="1275"/>
        <v>0</v>
      </c>
      <c r="NV125" s="286">
        <f t="shared" si="1276"/>
        <v>0</v>
      </c>
      <c r="NW125" s="286">
        <f t="shared" si="1277"/>
        <v>0</v>
      </c>
      <c r="NX125" s="286">
        <f t="shared" si="1278"/>
        <v>0</v>
      </c>
      <c r="NY125" s="286">
        <f t="shared" si="1279"/>
        <v>0</v>
      </c>
      <c r="NZ125" s="286">
        <f t="shared" si="1280"/>
        <v>0</v>
      </c>
      <c r="OA125" s="286">
        <f t="shared" si="1281"/>
        <v>0</v>
      </c>
      <c r="OB125" s="286">
        <f t="shared" si="1282"/>
        <v>0</v>
      </c>
      <c r="OC125" s="286">
        <f t="shared" si="1283"/>
        <v>0</v>
      </c>
      <c r="OD125" s="286">
        <f t="shared" si="1284"/>
        <v>0</v>
      </c>
      <c r="OE125" s="282">
        <f t="shared" si="1285"/>
        <v>0</v>
      </c>
      <c r="OF125" s="282">
        <f t="shared" si="1286"/>
        <v>0</v>
      </c>
      <c r="OG125" s="286">
        <f t="shared" si="1287"/>
        <v>0</v>
      </c>
      <c r="OH125" s="286">
        <f t="shared" si="1288"/>
        <v>0</v>
      </c>
      <c r="OI125" s="286">
        <f t="shared" si="1289"/>
        <v>0</v>
      </c>
      <c r="OJ125" s="286">
        <f t="shared" si="1290"/>
        <v>0</v>
      </c>
      <c r="OK125" s="286">
        <f t="shared" si="1291"/>
        <v>0</v>
      </c>
      <c r="OL125" s="286">
        <f t="shared" si="1292"/>
        <v>0</v>
      </c>
      <c r="OM125" s="286">
        <f t="shared" si="1293"/>
        <v>0</v>
      </c>
      <c r="ON125" s="286">
        <f t="shared" si="1294"/>
        <v>0</v>
      </c>
      <c r="OO125" s="286">
        <f t="shared" si="1295"/>
        <v>0</v>
      </c>
      <c r="OP125" s="434">
        <f t="shared" si="1296"/>
        <v>0</v>
      </c>
      <c r="OQ125" s="434">
        <f t="shared" si="1297"/>
        <v>0</v>
      </c>
      <c r="OR125" s="282">
        <f t="shared" si="1298"/>
        <v>0</v>
      </c>
      <c r="OS125" s="282">
        <f t="shared" si="1299"/>
        <v>0</v>
      </c>
      <c r="OT125" s="282">
        <f t="shared" si="1300"/>
        <v>0</v>
      </c>
      <c r="OU125" s="282">
        <f t="shared" si="1301"/>
        <v>0</v>
      </c>
      <c r="OV125" s="282">
        <f t="shared" si="1302"/>
        <v>0</v>
      </c>
      <c r="OW125" s="286">
        <f t="shared" si="1303"/>
        <v>0</v>
      </c>
      <c r="OX125" s="286">
        <f t="shared" si="1304"/>
        <v>0</v>
      </c>
      <c r="OY125" s="286">
        <f t="shared" si="1305"/>
        <v>0</v>
      </c>
      <c r="OZ125" s="286">
        <f t="shared" si="1306"/>
        <v>0</v>
      </c>
      <c r="PA125" s="286">
        <f t="shared" si="1307"/>
        <v>0</v>
      </c>
      <c r="PB125" s="286">
        <f t="shared" si="1308"/>
        <v>0</v>
      </c>
      <c r="PC125" s="286">
        <f t="shared" si="1309"/>
        <v>0</v>
      </c>
      <c r="PD125" s="282">
        <f t="shared" si="1310"/>
        <v>0</v>
      </c>
      <c r="PE125" s="282">
        <f t="shared" si="1311"/>
        <v>0</v>
      </c>
      <c r="PF125" s="286">
        <f t="shared" si="1312"/>
        <v>0</v>
      </c>
      <c r="PG125" s="286">
        <f t="shared" si="1313"/>
        <v>0</v>
      </c>
      <c r="PH125" s="286">
        <f t="shared" si="1314"/>
        <v>0</v>
      </c>
      <c r="PI125" s="286">
        <f t="shared" si="1315"/>
        <v>0</v>
      </c>
      <c r="PJ125" s="286">
        <f t="shared" si="1316"/>
        <v>0</v>
      </c>
      <c r="PK125" s="286">
        <f t="shared" si="1317"/>
        <v>0</v>
      </c>
      <c r="PL125" s="286">
        <f t="shared" si="1318"/>
        <v>0</v>
      </c>
      <c r="PM125" s="562">
        <v>69</v>
      </c>
    </row>
    <row r="126" spans="1:431" s="1526" customFormat="1" ht="15.75" customHeight="1">
      <c r="A126" s="1935" t="s">
        <v>1624</v>
      </c>
      <c r="B126" s="1040" t="str">
        <f>VLOOKUP(A126,'Area (&amp;golfacre for lookup)'!$A$2:$B$162,2,FALSE)</f>
        <v>SE exc BOCA</v>
      </c>
      <c r="C126" s="1936" t="s">
        <v>2188</v>
      </c>
      <c r="D126" s="1937">
        <v>44834</v>
      </c>
      <c r="E126" s="402"/>
      <c r="F126" s="1936">
        <v>1</v>
      </c>
      <c r="G126" s="1936">
        <v>0</v>
      </c>
      <c r="H126" s="1936">
        <v>384</v>
      </c>
      <c r="I126" s="1936">
        <v>139</v>
      </c>
      <c r="J126" s="1936">
        <v>523</v>
      </c>
      <c r="K126" s="1938">
        <v>461.12501061931869</v>
      </c>
      <c r="L126" s="1939" t="s">
        <v>1208</v>
      </c>
      <c r="M126" s="1939" t="s">
        <v>1208</v>
      </c>
      <c r="N126" s="1939" t="s">
        <v>1208</v>
      </c>
      <c r="O126" s="1939" t="s">
        <v>1208</v>
      </c>
      <c r="P126" s="1939" t="s">
        <v>1208</v>
      </c>
      <c r="Q126" s="1979">
        <v>1000</v>
      </c>
      <c r="R126" s="1979">
        <v>259000</v>
      </c>
      <c r="S126" s="1936">
        <v>260000</v>
      </c>
      <c r="T126" s="1939" t="s">
        <v>1208</v>
      </c>
      <c r="U126" s="1939" t="s">
        <v>1208</v>
      </c>
      <c r="V126" s="1939" t="s">
        <v>1208</v>
      </c>
      <c r="W126" s="1936">
        <v>25661</v>
      </c>
      <c r="X126" s="1936">
        <v>23542</v>
      </c>
      <c r="Y126" s="1939" t="s">
        <v>1208</v>
      </c>
      <c r="Z126" s="1939" t="s">
        <v>1208</v>
      </c>
      <c r="AA126" s="1936">
        <v>2119</v>
      </c>
      <c r="AB126" s="1362">
        <v>9.0009345000424776E-2</v>
      </c>
      <c r="AC126" s="1939" t="s">
        <v>1208</v>
      </c>
      <c r="AD126" s="1363" t="s">
        <v>1208</v>
      </c>
      <c r="AE126" s="1936">
        <v>0</v>
      </c>
      <c r="AF126" s="1936">
        <v>0</v>
      </c>
      <c r="AG126" s="1939" t="s">
        <v>1208</v>
      </c>
      <c r="AH126" s="1936">
        <v>0</v>
      </c>
      <c r="AI126" s="1936">
        <v>0</v>
      </c>
      <c r="AJ126" s="1939" t="s">
        <v>1208</v>
      </c>
      <c r="AK126" s="1938">
        <v>0</v>
      </c>
      <c r="AL126" s="1938">
        <v>0</v>
      </c>
      <c r="AM126" s="1936">
        <v>23542</v>
      </c>
      <c r="AN126" s="1939" t="s">
        <v>1208</v>
      </c>
      <c r="AO126" s="1936">
        <v>0</v>
      </c>
      <c r="AP126" s="1936">
        <v>0</v>
      </c>
      <c r="AQ126" s="1936">
        <v>23542</v>
      </c>
      <c r="AR126" s="1939" t="s">
        <v>1208</v>
      </c>
      <c r="AS126" s="1363" t="s">
        <v>1208</v>
      </c>
      <c r="AT126" s="1363" t="s">
        <v>1208</v>
      </c>
      <c r="AU126" s="1363" t="s">
        <v>1208</v>
      </c>
      <c r="AV126" s="1363" t="s">
        <v>1208</v>
      </c>
      <c r="AW126" s="1363" t="s">
        <v>1291</v>
      </c>
      <c r="AX126" s="1938">
        <v>1</v>
      </c>
      <c r="AY126" s="1938">
        <v>0</v>
      </c>
      <c r="AZ126" s="1938">
        <v>1</v>
      </c>
      <c r="BA126" s="1938">
        <v>0</v>
      </c>
      <c r="BB126" s="1938">
        <v>0</v>
      </c>
      <c r="BC126" s="1938">
        <v>0</v>
      </c>
      <c r="BD126" s="1938">
        <v>0</v>
      </c>
      <c r="BE126" s="1936">
        <v>1</v>
      </c>
      <c r="BF126" s="1936">
        <v>0</v>
      </c>
      <c r="BG126" s="1936">
        <v>3500000</v>
      </c>
      <c r="BH126" s="1936">
        <v>3500000</v>
      </c>
      <c r="BI126" s="1938">
        <v>34996470</v>
      </c>
      <c r="BJ126" s="1936">
        <v>1043118</v>
      </c>
      <c r="BK126" s="1936">
        <v>2147540</v>
      </c>
      <c r="BL126" s="1362">
        <v>0.48572692476042356</v>
      </c>
      <c r="BM126" s="1936">
        <v>0</v>
      </c>
      <c r="BN126" s="1936">
        <v>0</v>
      </c>
      <c r="BO126" s="1363" t="s">
        <v>1208</v>
      </c>
      <c r="BP126" s="1938">
        <v>16376040</v>
      </c>
      <c r="BQ126" s="1938">
        <v>13077512</v>
      </c>
      <c r="BR126" s="1940">
        <v>1.2522290172626107</v>
      </c>
      <c r="BS126" s="1409">
        <v>1</v>
      </c>
      <c r="BT126" s="1938">
        <v>16023087</v>
      </c>
      <c r="BU126" s="1938">
        <v>36051655</v>
      </c>
      <c r="BV126" s="1940">
        <v>0.44444802880755407</v>
      </c>
      <c r="BW126" s="1936">
        <v>0</v>
      </c>
      <c r="BX126" s="1936">
        <v>2262.1154263548397</v>
      </c>
      <c r="BY126" s="1936">
        <v>7590.1326525301438</v>
      </c>
      <c r="BZ126" s="1936">
        <v>1513616</v>
      </c>
      <c r="CA126" s="1936">
        <v>337844</v>
      </c>
      <c r="CB126" s="1936">
        <v>1058169</v>
      </c>
      <c r="CC126" s="1936">
        <v>1111388</v>
      </c>
      <c r="CD126" s="1936">
        <v>10855805</v>
      </c>
      <c r="CE126" s="1936">
        <v>0</v>
      </c>
      <c r="CF126" s="1936">
        <v>0</v>
      </c>
      <c r="CG126" s="1936">
        <v>3080412</v>
      </c>
      <c r="CH126" s="1936">
        <v>1335207</v>
      </c>
      <c r="CI126" s="1936">
        <v>153703</v>
      </c>
      <c r="CJ126" s="1936">
        <v>19446144</v>
      </c>
      <c r="CK126" s="1366">
        <v>7.7836305233572267E-2</v>
      </c>
      <c r="CL126" s="1366">
        <v>1.737331575864089E-2</v>
      </c>
      <c r="CM126" s="1366">
        <v>5.4415363786260142E-2</v>
      </c>
      <c r="CN126" s="1366">
        <v>5.715210172258315E-2</v>
      </c>
      <c r="CO126" s="1366">
        <v>0.55824974863911325</v>
      </c>
      <c r="CP126" s="1366">
        <v>0</v>
      </c>
      <c r="CQ126" s="1366">
        <v>0</v>
      </c>
      <c r="CR126" s="1366">
        <v>0.15840734286447741</v>
      </c>
      <c r="CS126" s="1366">
        <v>6.8661787138879563E-2</v>
      </c>
      <c r="CT126" s="1366">
        <v>7.9040348564733444E-3</v>
      </c>
      <c r="CU126" s="1366">
        <v>1</v>
      </c>
      <c r="CV126" s="1936">
        <v>10982807</v>
      </c>
      <c r="CW126" s="1936">
        <v>1730030</v>
      </c>
      <c r="CX126" s="1936">
        <v>676821</v>
      </c>
      <c r="CY126" s="1936">
        <v>5367317</v>
      </c>
      <c r="CZ126" s="1936">
        <v>410314</v>
      </c>
      <c r="DA126" s="1936">
        <v>631191</v>
      </c>
      <c r="DB126" s="1936">
        <v>19798480</v>
      </c>
      <c r="DC126" s="1366">
        <v>0.55472980754078094</v>
      </c>
      <c r="DD126" s="1366">
        <v>8.738196063536191E-2</v>
      </c>
      <c r="DE126" s="1366">
        <v>3.4185503129533175E-2</v>
      </c>
      <c r="DF126" s="1366">
        <v>0.27109742768131695</v>
      </c>
      <c r="DG126" s="1366">
        <v>2.0724520266202254E-2</v>
      </c>
      <c r="DH126" s="1366">
        <v>3.1880780746804803E-2</v>
      </c>
      <c r="DI126" s="1366">
        <v>1</v>
      </c>
      <c r="DJ126" s="1936">
        <v>-352336</v>
      </c>
      <c r="DK126" s="1936">
        <v>3282.4417785691617</v>
      </c>
      <c r="DL126" s="1936">
        <v>732.65165024611258</v>
      </c>
      <c r="DM126" s="1936">
        <v>2294.7551653700484</v>
      </c>
      <c r="DN126" s="1936">
        <v>2410.1663852657634</v>
      </c>
      <c r="DO126" s="1936">
        <v>23542</v>
      </c>
      <c r="DP126" s="1936">
        <v>0</v>
      </c>
      <c r="DQ126" s="1936">
        <v>0</v>
      </c>
      <c r="DR126" s="1936">
        <v>6680.2102012701953</v>
      </c>
      <c r="DS126" s="1936">
        <v>2895.5423567390903</v>
      </c>
      <c r="DT126" s="1936">
        <v>333.32175974052592</v>
      </c>
      <c r="DU126" s="1936">
        <v>42171.089297200895</v>
      </c>
      <c r="DV126" s="1936">
        <v>23817.417722039037</v>
      </c>
      <c r="DW126" s="1936">
        <v>3751.7591979590643</v>
      </c>
      <c r="DX126" s="1936">
        <v>1467.7603348623156</v>
      </c>
      <c r="DY126" s="1936">
        <v>11639.613719480038</v>
      </c>
      <c r="DZ126" s="1936">
        <v>889.8107683400724</v>
      </c>
      <c r="EA126" s="1936">
        <v>1368.8066911666153</v>
      </c>
      <c r="EB126" s="1936">
        <v>42935.168433847146</v>
      </c>
      <c r="EC126" s="1936">
        <v>-764.07913664624596</v>
      </c>
      <c r="ED126" s="1941">
        <v>210</v>
      </c>
      <c r="EE126" s="1936">
        <v>0</v>
      </c>
      <c r="EF126" s="1936">
        <v>0</v>
      </c>
      <c r="EG126" s="1938">
        <v>0</v>
      </c>
      <c r="EH126" s="1938">
        <v>1</v>
      </c>
      <c r="EI126" s="1368">
        <v>7.0000000000000007E-2</v>
      </c>
      <c r="EJ126" s="1936">
        <v>2.1958333839015176</v>
      </c>
      <c r="EK126" s="1936">
        <v>0</v>
      </c>
      <c r="EL126" s="1936">
        <v>0</v>
      </c>
      <c r="EM126" s="1936">
        <v>0</v>
      </c>
      <c r="EN126" s="1362">
        <v>0</v>
      </c>
      <c r="EO126" s="1936">
        <v>0</v>
      </c>
      <c r="EP126" s="1936">
        <v>0</v>
      </c>
      <c r="EQ126" s="1936">
        <v>0</v>
      </c>
      <c r="ER126" s="1938">
        <v>1</v>
      </c>
      <c r="ES126" s="1936">
        <v>9575.7525580092861</v>
      </c>
      <c r="ET126" s="1936">
        <v>-4251.5824447841496</v>
      </c>
      <c r="EU126" s="1938">
        <v>2</v>
      </c>
      <c r="EV126" s="1936">
        <v>88396</v>
      </c>
      <c r="EW126" s="1936">
        <v>20245</v>
      </c>
      <c r="EX126" s="1938">
        <v>0</v>
      </c>
      <c r="EY126" s="1936">
        <v>3080412</v>
      </c>
      <c r="EZ126" s="1936">
        <v>1299095</v>
      </c>
      <c r="FA126" s="1936">
        <v>1781317</v>
      </c>
      <c r="FB126" s="1936">
        <v>1335207</v>
      </c>
      <c r="FC126" s="1936">
        <v>430935</v>
      </c>
      <c r="FD126" s="1936">
        <v>904272</v>
      </c>
      <c r="FE126" s="1936">
        <v>4415619</v>
      </c>
      <c r="FF126" s="1936">
        <v>1730030</v>
      </c>
      <c r="FG126" s="1936">
        <v>2685589</v>
      </c>
      <c r="FH126" s="1366">
        <v>1</v>
      </c>
      <c r="FI126" s="1366">
        <v>0.42172767798593175</v>
      </c>
      <c r="FJ126" s="1366">
        <v>0.5782723220140682</v>
      </c>
      <c r="FK126" s="1366">
        <v>1</v>
      </c>
      <c r="FL126" s="1366">
        <v>0.32274770878223374</v>
      </c>
      <c r="FM126" s="1366">
        <v>0.6772522912177662</v>
      </c>
      <c r="FN126" s="1366">
        <v>1</v>
      </c>
      <c r="FO126" s="1366">
        <v>0.39179784306571741</v>
      </c>
      <c r="FP126" s="1366">
        <v>0.60820215693428259</v>
      </c>
      <c r="FQ126" s="1936">
        <v>2908884</v>
      </c>
      <c r="FR126" s="1936">
        <v>0</v>
      </c>
      <c r="FS126" s="1936">
        <v>595598</v>
      </c>
      <c r="FT126" s="1936">
        <v>160877</v>
      </c>
      <c r="FU126" s="1936">
        <v>81734</v>
      </c>
      <c r="FV126" s="1936">
        <v>14217</v>
      </c>
      <c r="FW126" s="1936">
        <v>884790</v>
      </c>
      <c r="FX126" s="1936">
        <v>4646100</v>
      </c>
      <c r="FY126" s="1936">
        <v>-1960511</v>
      </c>
      <c r="FZ126" s="1366">
        <v>0.65877151085725472</v>
      </c>
      <c r="GA126" s="1366">
        <v>0</v>
      </c>
      <c r="GB126" s="1366">
        <v>0.1348843729497495</v>
      </c>
      <c r="GC126" s="1366">
        <v>3.6433623462531525E-2</v>
      </c>
      <c r="GD126" s="1366">
        <v>1.8510202080387825E-2</v>
      </c>
      <c r="GE126" s="1366">
        <v>3.2197071350585273E-3</v>
      </c>
      <c r="GF126" s="1366">
        <v>0.20037734233863927</v>
      </c>
      <c r="GG126" s="1366">
        <v>1.0521967588236214</v>
      </c>
      <c r="GH126" s="1366">
        <v>-0.44399460188933876</v>
      </c>
      <c r="GI126" s="1942">
        <v>2.3070669941065316</v>
      </c>
      <c r="GJ126" s="1943">
        <v>1</v>
      </c>
      <c r="GK126" s="1371">
        <v>0.04</v>
      </c>
      <c r="GL126" s="1943">
        <v>1</v>
      </c>
      <c r="GM126" s="1371">
        <v>0.02</v>
      </c>
      <c r="GN126" s="1943">
        <v>18</v>
      </c>
      <c r="GO126" s="1985">
        <f>IF(GN126=0,0,VLOOKUP(A126,'Area (&amp;golfacre for lookup)'!$G$2:$H$133,2,FALSE))</f>
        <v>135</v>
      </c>
      <c r="GP126" s="1943">
        <v>22961</v>
      </c>
      <c r="GQ126" s="1943">
        <v>1118433</v>
      </c>
      <c r="GR126" s="1943">
        <v>248652</v>
      </c>
      <c r="GS126" s="1943">
        <v>911715</v>
      </c>
      <c r="GT126" s="1943">
        <v>61654</v>
      </c>
      <c r="GU126" s="1943">
        <v>0</v>
      </c>
      <c r="GV126" s="1943">
        <v>356316</v>
      </c>
      <c r="GW126" s="1943">
        <v>2696770</v>
      </c>
      <c r="GX126" s="1943">
        <v>149820.55555555556</v>
      </c>
      <c r="GY126" s="1985">
        <f t="shared" si="1319"/>
        <v>19976.074074074073</v>
      </c>
      <c r="GZ126" s="1366">
        <v>0.41473058510736921</v>
      </c>
      <c r="HA126" s="1366">
        <v>9.220363620182663E-2</v>
      </c>
      <c r="HB126" s="1366">
        <v>0.33807666208093384</v>
      </c>
      <c r="HC126" s="1366">
        <v>2.2862164737815979E-2</v>
      </c>
      <c r="HD126" s="1366">
        <v>0</v>
      </c>
      <c r="HE126" s="1366">
        <v>0.13212695187205434</v>
      </c>
      <c r="HF126" s="1366">
        <v>1</v>
      </c>
      <c r="HG126" s="1936">
        <v>0</v>
      </c>
      <c r="HH126" s="1988">
        <f>IF(HG126=0,0,VLOOKUP(A126,'Area (&amp;golfacre for lookup)'!$G$2:$H$134,2,FALSE))</f>
        <v>0</v>
      </c>
      <c r="HI126" s="1936">
        <v>0</v>
      </c>
      <c r="HJ126" s="1936">
        <v>0</v>
      </c>
      <c r="HK126" s="1936">
        <v>0</v>
      </c>
      <c r="HL126" s="1936">
        <v>0</v>
      </c>
      <c r="HM126" s="1936">
        <v>0</v>
      </c>
      <c r="HN126" s="1936">
        <v>0</v>
      </c>
      <c r="HO126" s="1936">
        <v>0</v>
      </c>
      <c r="HP126" s="1936">
        <v>0</v>
      </c>
      <c r="HQ126" s="1936">
        <v>0</v>
      </c>
      <c r="HR126" s="1988">
        <f t="shared" si="1320"/>
        <v>0</v>
      </c>
      <c r="HS126" s="1936">
        <v>0</v>
      </c>
      <c r="HT126" s="1936">
        <v>0</v>
      </c>
      <c r="HU126" s="1936">
        <v>0</v>
      </c>
      <c r="HV126" s="1936">
        <v>0</v>
      </c>
      <c r="HW126" s="1936">
        <v>0</v>
      </c>
      <c r="HX126" s="1936">
        <v>0</v>
      </c>
      <c r="HY126" s="1936">
        <v>0</v>
      </c>
      <c r="HZ126" s="51"/>
      <c r="IA126" s="59">
        <f t="shared" si="1136"/>
        <v>0</v>
      </c>
      <c r="IB126" s="59"/>
      <c r="IC126" s="815">
        <f t="shared" si="1137"/>
        <v>1</v>
      </c>
      <c r="ID126" s="815"/>
      <c r="IE126" s="284">
        <f t="shared" si="1138"/>
        <v>0</v>
      </c>
      <c r="IF126" s="284"/>
      <c r="IG126" s="284">
        <f t="shared" si="1139"/>
        <v>75893.671334369021</v>
      </c>
      <c r="IH126" s="284"/>
      <c r="II126" s="1288">
        <f t="shared" si="1140"/>
        <v>1.2522290172626107</v>
      </c>
      <c r="IJ126" s="1288">
        <f t="shared" si="1141"/>
        <v>0</v>
      </c>
      <c r="IK126" s="284">
        <f t="shared" si="1142"/>
        <v>1</v>
      </c>
      <c r="IL126" s="284">
        <f t="shared" si="1143"/>
        <v>0</v>
      </c>
      <c r="IM126" s="284">
        <f t="shared" si="1144"/>
        <v>0</v>
      </c>
      <c r="IN126" s="284">
        <f t="shared" si="1145"/>
        <v>0</v>
      </c>
      <c r="IO126" s="753">
        <f t="shared" si="1146"/>
        <v>-3748.5869980879543</v>
      </c>
      <c r="IP126" s="113">
        <f t="shared" si="1147"/>
        <v>-4251.5824447841496</v>
      </c>
      <c r="IQ126" s="30">
        <f t="shared" si="1148"/>
        <v>-0.1805956352384738</v>
      </c>
      <c r="IR126" s="438">
        <f t="shared" si="1149"/>
        <v>3080412</v>
      </c>
      <c r="IS126" s="438">
        <f t="shared" si="1150"/>
        <v>1335207</v>
      </c>
      <c r="IT126" s="438">
        <f t="shared" si="1151"/>
        <v>2908884</v>
      </c>
      <c r="IU126" s="438">
        <f t="shared" si="1152"/>
        <v>756475</v>
      </c>
      <c r="IV126" s="438">
        <f t="shared" si="1153"/>
        <v>1730030</v>
      </c>
      <c r="IW126" s="438">
        <f t="shared" si="1154"/>
        <v>980741</v>
      </c>
      <c r="IX126" s="285">
        <f t="shared" si="1155"/>
        <v>0.69761725366251026</v>
      </c>
      <c r="IY126" s="285">
        <f t="shared" si="1156"/>
        <v>0.30238274633748974</v>
      </c>
      <c r="IZ126" s="285">
        <f t="shared" si="1157"/>
        <v>0.65877151085725472</v>
      </c>
      <c r="JA126" s="285">
        <f t="shared" si="1158"/>
        <v>0.17131799641228104</v>
      </c>
      <c r="JB126" s="285">
        <f t="shared" si="1159"/>
        <v>0.39179784306571741</v>
      </c>
      <c r="JC126" s="285">
        <f t="shared" si="1160"/>
        <v>0.22210725155408562</v>
      </c>
      <c r="JD126" s="60">
        <f t="shared" si="1161"/>
        <v>10855805</v>
      </c>
      <c r="JE126" s="60">
        <f t="shared" si="1162"/>
        <v>4021017</v>
      </c>
      <c r="JF126" s="60">
        <f t="shared" si="1163"/>
        <v>0</v>
      </c>
      <c r="JG126" s="60">
        <f t="shared" si="1164"/>
        <v>1041505</v>
      </c>
      <c r="JH126" s="284">
        <f t="shared" si="1165"/>
        <v>0</v>
      </c>
      <c r="JI126" s="284">
        <f t="shared" si="1166"/>
        <v>1</v>
      </c>
      <c r="JJ126" s="560">
        <f t="shared" si="1167"/>
        <v>0.6396152221431548</v>
      </c>
      <c r="JK126" s="561">
        <f t="shared" si="1168"/>
        <v>0.5647807092244097</v>
      </c>
      <c r="JL126" s="561">
        <f t="shared" si="1169"/>
        <v>8.896519536212423E-2</v>
      </c>
      <c r="JM126" s="561">
        <f t="shared" si="1170"/>
        <v>3.4804894996149367E-2</v>
      </c>
      <c r="JN126" s="561">
        <f t="shared" si="1171"/>
        <v>0.27600932092244096</v>
      </c>
      <c r="JO126" s="561">
        <f t="shared" si="1172"/>
        <v>2.1100018594946125E-2</v>
      </c>
      <c r="JP126" s="561">
        <f t="shared" si="1173"/>
        <v>3.2458414377678164E-2</v>
      </c>
      <c r="JQ126" s="561">
        <f t="shared" si="1174"/>
        <v>1.0181185534777486</v>
      </c>
      <c r="JR126" s="61">
        <f t="shared" si="1175"/>
        <v>62135.166666666664</v>
      </c>
      <c r="JS126" s="61">
        <f t="shared" si="1176"/>
        <v>13814</v>
      </c>
      <c r="JT126" s="61">
        <f t="shared" si="1177"/>
        <v>50650.833333333336</v>
      </c>
      <c r="JU126" s="61">
        <f t="shared" si="1178"/>
        <v>3425.2222222222222</v>
      </c>
      <c r="JV126" s="61">
        <f t="shared" si="1179"/>
        <v>0</v>
      </c>
      <c r="JW126" s="61">
        <f t="shared" si="1180"/>
        <v>19795.333333333332</v>
      </c>
      <c r="JX126" s="61">
        <f t="shared" si="1181"/>
        <v>117.45002395366056</v>
      </c>
      <c r="JY126" s="394">
        <f t="shared" si="1182"/>
        <v>0.13621096164958119</v>
      </c>
      <c r="JZ126" s="61">
        <f t="shared" si="1183"/>
        <v>0</v>
      </c>
      <c r="KA126" s="61">
        <f t="shared" si="1184"/>
        <v>0</v>
      </c>
      <c r="KB126" s="61">
        <f t="shared" si="1185"/>
        <v>0</v>
      </c>
      <c r="KC126" s="61">
        <f t="shared" si="1186"/>
        <v>0</v>
      </c>
      <c r="KD126" s="61">
        <f t="shared" si="1187"/>
        <v>0</v>
      </c>
      <c r="KE126" s="61">
        <f t="shared" si="1188"/>
        <v>0</v>
      </c>
      <c r="KF126" s="61">
        <f t="shared" si="1189"/>
        <v>0</v>
      </c>
      <c r="KG126" s="61">
        <f t="shared" si="1190"/>
        <v>0</v>
      </c>
      <c r="KH126" s="61">
        <f t="shared" si="1191"/>
        <v>0</v>
      </c>
      <c r="KI126" s="394">
        <f t="shared" si="1192"/>
        <v>0</v>
      </c>
      <c r="KJ126" s="438">
        <f t="shared" si="1193"/>
        <v>18</v>
      </c>
      <c r="KK126" s="438">
        <f t="shared" si="1194"/>
        <v>22961</v>
      </c>
      <c r="KL126" s="438">
        <f t="shared" si="1195"/>
        <v>135</v>
      </c>
      <c r="KM126" s="438">
        <f t="shared" si="1196"/>
        <v>149820.55555555556</v>
      </c>
      <c r="KN126" s="438">
        <f t="shared" si="1197"/>
        <v>117.45002395366056</v>
      </c>
      <c r="KO126" s="438">
        <f t="shared" si="1198"/>
        <v>19976.074074074073</v>
      </c>
      <c r="KP126" s="438">
        <f t="shared" si="1199"/>
        <v>1118433</v>
      </c>
      <c r="KQ126" s="438">
        <f t="shared" si="1200"/>
        <v>248652</v>
      </c>
      <c r="KR126" s="438">
        <f t="shared" si="1201"/>
        <v>911715</v>
      </c>
      <c r="KS126" s="438">
        <f t="shared" si="1202"/>
        <v>61654</v>
      </c>
      <c r="KT126" s="438">
        <f t="shared" si="1203"/>
        <v>0</v>
      </c>
      <c r="KU126" s="438">
        <f t="shared" si="1204"/>
        <v>356316</v>
      </c>
      <c r="KV126" s="420">
        <f t="shared" si="1205"/>
        <v>0.13621096164958119</v>
      </c>
      <c r="KW126" s="420">
        <f t="shared" si="1206"/>
        <v>-0.21559469795192526</v>
      </c>
      <c r="KX126" s="108"/>
      <c r="KY126" s="282">
        <f t="shared" si="1207"/>
        <v>0</v>
      </c>
      <c r="KZ126" s="282"/>
      <c r="LA126" s="282">
        <f t="shared" si="1208"/>
        <v>0</v>
      </c>
      <c r="LB126" s="282"/>
      <c r="LC126" s="286">
        <f t="shared" si="951"/>
        <v>0</v>
      </c>
      <c r="LD126" s="286"/>
      <c r="LE126" s="282">
        <f t="shared" si="1209"/>
        <v>0</v>
      </c>
      <c r="LF126" s="282"/>
      <c r="LG126" s="282">
        <f t="shared" si="1210"/>
        <v>0</v>
      </c>
      <c r="LH126" s="282">
        <f t="shared" si="1211"/>
        <v>0</v>
      </c>
      <c r="LI126" s="282">
        <f t="shared" si="1212"/>
        <v>0</v>
      </c>
      <c r="LJ126" s="282">
        <f t="shared" si="1213"/>
        <v>0</v>
      </c>
      <c r="LK126" s="282"/>
      <c r="LL126" s="282">
        <f t="shared" si="1214"/>
        <v>0</v>
      </c>
      <c r="LM126" s="282">
        <f t="shared" si="1215"/>
        <v>0</v>
      </c>
      <c r="LN126" s="282">
        <f t="shared" si="1216"/>
        <v>0</v>
      </c>
      <c r="LO126" s="282">
        <f t="shared" si="1217"/>
        <v>0</v>
      </c>
      <c r="LP126" s="286">
        <f t="shared" si="1218"/>
        <v>0</v>
      </c>
      <c r="LQ126" s="282">
        <f t="shared" si="1219"/>
        <v>0</v>
      </c>
      <c r="LR126" s="282">
        <f t="shared" si="1220"/>
        <v>0</v>
      </c>
      <c r="LS126" s="282">
        <f t="shared" si="1221"/>
        <v>0</v>
      </c>
      <c r="LT126" s="286">
        <f t="shared" si="1222"/>
        <v>0</v>
      </c>
      <c r="LU126" s="286">
        <f t="shared" si="1223"/>
        <v>0</v>
      </c>
      <c r="LV126" s="286">
        <f t="shared" si="1224"/>
        <v>0</v>
      </c>
      <c r="LW126" s="286">
        <f t="shared" si="1225"/>
        <v>0</v>
      </c>
      <c r="LX126" s="286">
        <f t="shared" si="1226"/>
        <v>0</v>
      </c>
      <c r="LY126" s="286">
        <f t="shared" si="1227"/>
        <v>0</v>
      </c>
      <c r="LZ126" s="286">
        <f t="shared" si="1228"/>
        <v>0</v>
      </c>
      <c r="MA126" s="286">
        <f t="shared" si="1229"/>
        <v>0</v>
      </c>
      <c r="MB126" s="286">
        <f t="shared" si="1230"/>
        <v>0</v>
      </c>
      <c r="MC126" s="286">
        <f t="shared" si="1231"/>
        <v>0</v>
      </c>
      <c r="MD126" s="286">
        <f t="shared" si="1232"/>
        <v>0</v>
      </c>
      <c r="ME126" s="286">
        <f t="shared" si="1233"/>
        <v>0</v>
      </c>
      <c r="MF126" s="286">
        <f t="shared" si="1234"/>
        <v>0</v>
      </c>
      <c r="MG126" s="286">
        <f t="shared" si="1235"/>
        <v>0</v>
      </c>
      <c r="MH126" s="286">
        <f t="shared" si="1236"/>
        <v>0</v>
      </c>
      <c r="MI126" s="286">
        <f t="shared" si="1237"/>
        <v>0</v>
      </c>
      <c r="MJ126" s="286">
        <f t="shared" si="1238"/>
        <v>0</v>
      </c>
      <c r="MK126" s="286">
        <f t="shared" si="1239"/>
        <v>0</v>
      </c>
      <c r="ML126" s="282">
        <f t="shared" si="1240"/>
        <v>0</v>
      </c>
      <c r="MM126" s="1232">
        <f t="shared" si="1241"/>
        <v>0</v>
      </c>
      <c r="MN126" s="1232">
        <f t="shared" si="1242"/>
        <v>0</v>
      </c>
      <c r="MO126" s="1232">
        <f t="shared" si="1243"/>
        <v>0</v>
      </c>
      <c r="MP126" s="1232">
        <f t="shared" si="1244"/>
        <v>0</v>
      </c>
      <c r="MQ126" s="282">
        <f t="shared" si="1245"/>
        <v>0</v>
      </c>
      <c r="MR126" s="282">
        <f t="shared" si="1246"/>
        <v>0</v>
      </c>
      <c r="MS126" s="282">
        <f t="shared" si="1247"/>
        <v>0</v>
      </c>
      <c r="MT126" s="282">
        <f t="shared" si="1248"/>
        <v>0</v>
      </c>
      <c r="MU126" s="282">
        <f t="shared" si="1249"/>
        <v>0</v>
      </c>
      <c r="MV126" s="282">
        <f t="shared" si="1250"/>
        <v>0</v>
      </c>
      <c r="MW126" s="282">
        <f t="shared" si="1251"/>
        <v>0</v>
      </c>
      <c r="MX126" s="282">
        <f t="shared" si="1252"/>
        <v>0</v>
      </c>
      <c r="MY126" s="282">
        <f t="shared" si="1253"/>
        <v>0</v>
      </c>
      <c r="MZ126" s="282">
        <f t="shared" si="1254"/>
        <v>0</v>
      </c>
      <c r="NA126" s="282">
        <f t="shared" si="1255"/>
        <v>0</v>
      </c>
      <c r="NB126" s="282">
        <f t="shared" si="1256"/>
        <v>0</v>
      </c>
      <c r="NC126" s="282">
        <f t="shared" si="1257"/>
        <v>0</v>
      </c>
      <c r="ND126" s="282">
        <f t="shared" si="1258"/>
        <v>0</v>
      </c>
      <c r="NE126" s="282">
        <f t="shared" si="1259"/>
        <v>0</v>
      </c>
      <c r="NF126" s="282">
        <f t="shared" si="1260"/>
        <v>0</v>
      </c>
      <c r="NG126" s="282">
        <f t="shared" si="1261"/>
        <v>0</v>
      </c>
      <c r="NH126" s="282">
        <f t="shared" si="1262"/>
        <v>0</v>
      </c>
      <c r="NI126" s="282">
        <f t="shared" si="1263"/>
        <v>0</v>
      </c>
      <c r="NJ126" s="282">
        <f t="shared" si="1264"/>
        <v>0</v>
      </c>
      <c r="NK126" s="282">
        <f t="shared" si="1265"/>
        <v>0</v>
      </c>
      <c r="NL126" s="282">
        <f t="shared" si="1266"/>
        <v>0</v>
      </c>
      <c r="NM126" s="1205">
        <f t="shared" si="1267"/>
        <v>0</v>
      </c>
      <c r="NN126" s="282">
        <f t="shared" si="1268"/>
        <v>0</v>
      </c>
      <c r="NO126" s="282">
        <f t="shared" si="1269"/>
        <v>0</v>
      </c>
      <c r="NP126" s="282">
        <f t="shared" si="1270"/>
        <v>0</v>
      </c>
      <c r="NQ126" s="282">
        <f t="shared" si="1271"/>
        <v>0</v>
      </c>
      <c r="NR126" s="282">
        <f t="shared" si="1272"/>
        <v>0</v>
      </c>
      <c r="NS126" s="282">
        <f t="shared" si="1273"/>
        <v>0</v>
      </c>
      <c r="NT126" s="282">
        <f t="shared" si="1274"/>
        <v>0</v>
      </c>
      <c r="NU126" s="282">
        <f t="shared" si="1275"/>
        <v>0</v>
      </c>
      <c r="NV126" s="286">
        <f t="shared" si="1276"/>
        <v>0</v>
      </c>
      <c r="NW126" s="286">
        <f t="shared" si="1277"/>
        <v>0</v>
      </c>
      <c r="NX126" s="286">
        <f t="shared" si="1278"/>
        <v>0</v>
      </c>
      <c r="NY126" s="286">
        <f t="shared" si="1279"/>
        <v>0</v>
      </c>
      <c r="NZ126" s="286">
        <f t="shared" si="1280"/>
        <v>0</v>
      </c>
      <c r="OA126" s="286">
        <f t="shared" si="1281"/>
        <v>0</v>
      </c>
      <c r="OB126" s="286">
        <f t="shared" si="1282"/>
        <v>0</v>
      </c>
      <c r="OC126" s="286">
        <f t="shared" si="1283"/>
        <v>0</v>
      </c>
      <c r="OD126" s="286">
        <f t="shared" si="1284"/>
        <v>0</v>
      </c>
      <c r="OE126" s="282">
        <f t="shared" si="1285"/>
        <v>0</v>
      </c>
      <c r="OF126" s="282">
        <f t="shared" si="1286"/>
        <v>0</v>
      </c>
      <c r="OG126" s="286">
        <f t="shared" si="1287"/>
        <v>0</v>
      </c>
      <c r="OH126" s="286">
        <f t="shared" si="1288"/>
        <v>0</v>
      </c>
      <c r="OI126" s="286">
        <f t="shared" si="1289"/>
        <v>0</v>
      </c>
      <c r="OJ126" s="286">
        <f t="shared" si="1290"/>
        <v>0</v>
      </c>
      <c r="OK126" s="286">
        <f t="shared" si="1291"/>
        <v>0</v>
      </c>
      <c r="OL126" s="286">
        <f t="shared" si="1292"/>
        <v>0</v>
      </c>
      <c r="OM126" s="286">
        <f t="shared" si="1293"/>
        <v>0</v>
      </c>
      <c r="ON126" s="286">
        <f t="shared" si="1294"/>
        <v>0</v>
      </c>
      <c r="OO126" s="286">
        <f t="shared" si="1295"/>
        <v>0</v>
      </c>
      <c r="OP126" s="434">
        <f t="shared" si="1296"/>
        <v>0</v>
      </c>
      <c r="OQ126" s="434">
        <f t="shared" si="1297"/>
        <v>0</v>
      </c>
      <c r="OR126" s="282">
        <f t="shared" si="1298"/>
        <v>0</v>
      </c>
      <c r="OS126" s="282">
        <f t="shared" si="1299"/>
        <v>0</v>
      </c>
      <c r="OT126" s="282">
        <f t="shared" si="1300"/>
        <v>0</v>
      </c>
      <c r="OU126" s="282">
        <f t="shared" si="1301"/>
        <v>0</v>
      </c>
      <c r="OV126" s="282">
        <f t="shared" si="1302"/>
        <v>0</v>
      </c>
      <c r="OW126" s="286">
        <f t="shared" si="1303"/>
        <v>0</v>
      </c>
      <c r="OX126" s="286">
        <f t="shared" si="1304"/>
        <v>0</v>
      </c>
      <c r="OY126" s="286">
        <f t="shared" si="1305"/>
        <v>0</v>
      </c>
      <c r="OZ126" s="286">
        <f t="shared" si="1306"/>
        <v>0</v>
      </c>
      <c r="PA126" s="286">
        <f t="shared" si="1307"/>
        <v>0</v>
      </c>
      <c r="PB126" s="286">
        <f t="shared" si="1308"/>
        <v>0</v>
      </c>
      <c r="PC126" s="286">
        <f t="shared" si="1309"/>
        <v>0</v>
      </c>
      <c r="PD126" s="282">
        <f t="shared" si="1310"/>
        <v>0</v>
      </c>
      <c r="PE126" s="282">
        <f t="shared" si="1311"/>
        <v>0</v>
      </c>
      <c r="PF126" s="286">
        <f t="shared" si="1312"/>
        <v>0</v>
      </c>
      <c r="PG126" s="286">
        <f t="shared" si="1313"/>
        <v>0</v>
      </c>
      <c r="PH126" s="286">
        <f t="shared" si="1314"/>
        <v>0</v>
      </c>
      <c r="PI126" s="286">
        <f t="shared" si="1315"/>
        <v>0</v>
      </c>
      <c r="PJ126" s="286">
        <f t="shared" si="1316"/>
        <v>0</v>
      </c>
      <c r="PK126" s="286">
        <f t="shared" si="1317"/>
        <v>0</v>
      </c>
      <c r="PL126" s="286">
        <f t="shared" si="1318"/>
        <v>0</v>
      </c>
      <c r="PM126" s="562">
        <v>70</v>
      </c>
    </row>
    <row r="127" spans="1:431" s="289" customFormat="1" ht="15.75" customHeight="1">
      <c r="A127" s="1935" t="s">
        <v>1135</v>
      </c>
      <c r="B127" s="1040" t="str">
        <f>VLOOKUP(A127,'Area (&amp;golfacre for lookup)'!$A$2:$B$162,2,FALSE)</f>
        <v>North&amp;Central</v>
      </c>
      <c r="C127" s="1936"/>
      <c r="D127" s="1937">
        <v>44742</v>
      </c>
      <c r="E127" s="402"/>
      <c r="F127" s="1936">
        <v>0</v>
      </c>
      <c r="G127" s="1936">
        <v>1</v>
      </c>
      <c r="H127" s="1936">
        <v>285</v>
      </c>
      <c r="I127" s="1979">
        <v>584</v>
      </c>
      <c r="J127" s="1979">
        <f>+I127+H127</f>
        <v>869</v>
      </c>
      <c r="K127" s="1938">
        <v>505.73950414651</v>
      </c>
      <c r="L127" s="1939" t="s">
        <v>1208</v>
      </c>
      <c r="M127" s="1939" t="s">
        <v>1208</v>
      </c>
      <c r="N127" s="1939" t="s">
        <v>1208</v>
      </c>
      <c r="O127" s="1939" t="s">
        <v>1208</v>
      </c>
      <c r="P127" s="1939" t="s">
        <v>1208</v>
      </c>
      <c r="Q127" s="1936">
        <v>5000</v>
      </c>
      <c r="R127" s="1936">
        <v>45000</v>
      </c>
      <c r="S127" s="1936">
        <v>50000</v>
      </c>
      <c r="T127" s="1939" t="s">
        <v>1208</v>
      </c>
      <c r="U127" s="1939" t="s">
        <v>1208</v>
      </c>
      <c r="V127" s="1939" t="s">
        <v>1208</v>
      </c>
      <c r="W127" s="1936">
        <v>24605</v>
      </c>
      <c r="X127" s="1936">
        <v>23152</v>
      </c>
      <c r="Y127" s="1939" t="s">
        <v>1208</v>
      </c>
      <c r="Z127" s="1939" t="s">
        <v>1208</v>
      </c>
      <c r="AA127" s="1936">
        <v>1453</v>
      </c>
      <c r="AB127" s="1362">
        <v>6.2759156876295782E-2</v>
      </c>
      <c r="AC127" s="1939" t="s">
        <v>1208</v>
      </c>
      <c r="AD127" s="1363" t="s">
        <v>1208</v>
      </c>
      <c r="AE127" s="1936">
        <v>1</v>
      </c>
      <c r="AF127" s="1979">
        <v>890</v>
      </c>
      <c r="AG127" s="1939" t="s">
        <v>1208</v>
      </c>
      <c r="AH127" s="1936">
        <v>0</v>
      </c>
      <c r="AI127" s="1936">
        <v>0</v>
      </c>
      <c r="AJ127" s="1939" t="s">
        <v>1208</v>
      </c>
      <c r="AK127" s="1938">
        <v>1</v>
      </c>
      <c r="AL127" s="1938">
        <v>1935</v>
      </c>
      <c r="AM127" s="1936">
        <v>25977</v>
      </c>
      <c r="AN127" s="1939" t="s">
        <v>1208</v>
      </c>
      <c r="AO127" s="1936">
        <v>0</v>
      </c>
      <c r="AP127" s="1936">
        <v>675</v>
      </c>
      <c r="AQ127" s="1936">
        <v>26652</v>
      </c>
      <c r="AR127" s="1939" t="s">
        <v>1208</v>
      </c>
      <c r="AS127" s="1363" t="s">
        <v>1208</v>
      </c>
      <c r="AT127" s="1363" t="s">
        <v>1208</v>
      </c>
      <c r="AU127" s="1363" t="s">
        <v>1208</v>
      </c>
      <c r="AV127" s="1363" t="s">
        <v>1208</v>
      </c>
      <c r="AW127" s="1363" t="s">
        <v>1291</v>
      </c>
      <c r="AX127" s="1938">
        <v>1</v>
      </c>
      <c r="AY127" s="1938">
        <v>0</v>
      </c>
      <c r="AZ127" s="1938">
        <v>1</v>
      </c>
      <c r="BA127" s="1938">
        <v>0</v>
      </c>
      <c r="BB127" s="1938">
        <v>0</v>
      </c>
      <c r="BC127" s="1938">
        <v>0</v>
      </c>
      <c r="BD127" s="1938">
        <v>0</v>
      </c>
      <c r="BE127" s="1936">
        <v>1</v>
      </c>
      <c r="BF127" s="1936">
        <v>1500000</v>
      </c>
      <c r="BG127" s="1936">
        <v>1280571</v>
      </c>
      <c r="BH127" s="1936">
        <v>2780571</v>
      </c>
      <c r="BI127" s="1938">
        <v>26205285</v>
      </c>
      <c r="BJ127" s="1936">
        <v>2706438</v>
      </c>
      <c r="BK127" s="1936">
        <v>1451269</v>
      </c>
      <c r="BL127" s="1362">
        <v>1.8648768767196158</v>
      </c>
      <c r="BM127" s="1936">
        <v>0</v>
      </c>
      <c r="BN127" s="1936">
        <v>0</v>
      </c>
      <c r="BO127" s="1363" t="s">
        <v>1208</v>
      </c>
      <c r="BP127" s="1938">
        <v>4733047</v>
      </c>
      <c r="BQ127" s="1938">
        <v>6206150</v>
      </c>
      <c r="BR127" s="1940">
        <v>0.76263818953779716</v>
      </c>
      <c r="BS127" s="1409">
        <v>0</v>
      </c>
      <c r="BT127" s="1938">
        <v>6206150</v>
      </c>
      <c r="BU127" s="1938">
        <v>35052681</v>
      </c>
      <c r="BV127" s="1940">
        <v>0.1770520776998484</v>
      </c>
      <c r="BW127" s="1936">
        <v>0</v>
      </c>
      <c r="BX127" s="1936">
        <v>5351.44669896295</v>
      </c>
      <c r="BY127" s="1936">
        <v>5498.030067262619</v>
      </c>
      <c r="BZ127" s="1936">
        <v>192240</v>
      </c>
      <c r="CA127" s="1936">
        <v>15308</v>
      </c>
      <c r="CB127" s="1936">
        <v>0</v>
      </c>
      <c r="CC127" s="1936">
        <v>0</v>
      </c>
      <c r="CD127" s="1936">
        <v>11708881</v>
      </c>
      <c r="CE127" s="1936">
        <v>0</v>
      </c>
      <c r="CF127" s="1936">
        <v>0</v>
      </c>
      <c r="CG127" s="1936">
        <v>1701331</v>
      </c>
      <c r="CH127" s="1936">
        <v>781384</v>
      </c>
      <c r="CI127" s="1936">
        <v>904293</v>
      </c>
      <c r="CJ127" s="1936">
        <v>15303437</v>
      </c>
      <c r="CK127" s="1366">
        <v>1.2561883974168679E-2</v>
      </c>
      <c r="CL127" s="1366">
        <v>1.0002981683134317E-3</v>
      </c>
      <c r="CM127" s="1366">
        <v>0</v>
      </c>
      <c r="CN127" s="1366">
        <v>0</v>
      </c>
      <c r="CO127" s="1366">
        <v>0.76511446415599316</v>
      </c>
      <c r="CP127" s="1366">
        <v>0</v>
      </c>
      <c r="CQ127" s="1366">
        <v>0</v>
      </c>
      <c r="CR127" s="1366">
        <v>0.11117313058497905</v>
      </c>
      <c r="CS127" s="1366">
        <v>5.1059379667456405E-2</v>
      </c>
      <c r="CT127" s="1366">
        <v>5.9090843449089249E-2</v>
      </c>
      <c r="CU127" s="1366">
        <v>1</v>
      </c>
      <c r="CV127" s="1936">
        <v>8915464</v>
      </c>
      <c r="CW127" s="1936">
        <v>1232003</v>
      </c>
      <c r="CX127" s="1936">
        <v>0</v>
      </c>
      <c r="CY127" s="1936">
        <v>4436501</v>
      </c>
      <c r="CZ127" s="1936">
        <v>113099</v>
      </c>
      <c r="DA127" s="1936">
        <v>548483</v>
      </c>
      <c r="DB127" s="1936">
        <v>15245550</v>
      </c>
      <c r="DC127" s="1366">
        <v>0.58479123416341161</v>
      </c>
      <c r="DD127" s="1366">
        <v>8.0810662783566356E-2</v>
      </c>
      <c r="DE127" s="1366">
        <v>0</v>
      </c>
      <c r="DF127" s="1366">
        <v>0.29100301399424749</v>
      </c>
      <c r="DG127" s="1366">
        <v>7.4184926093187852E-3</v>
      </c>
      <c r="DH127" s="1366">
        <v>3.5976596449455743E-2</v>
      </c>
      <c r="DI127" s="1366">
        <v>1</v>
      </c>
      <c r="DJ127" s="1936">
        <v>57887</v>
      </c>
      <c r="DK127" s="1936">
        <v>380.11663796053614</v>
      </c>
      <c r="DL127" s="1936">
        <v>30.268547096857507</v>
      </c>
      <c r="DM127" s="1936">
        <v>0</v>
      </c>
      <c r="DN127" s="1936">
        <v>0</v>
      </c>
      <c r="DO127" s="1936">
        <v>23152</v>
      </c>
      <c r="DP127" s="1936">
        <v>0</v>
      </c>
      <c r="DQ127" s="1936">
        <v>0</v>
      </c>
      <c r="DR127" s="1936">
        <v>3364.0460870684401</v>
      </c>
      <c r="DS127" s="1936">
        <v>1545.0325584485829</v>
      </c>
      <c r="DT127" s="1936">
        <v>1788.0608348483515</v>
      </c>
      <c r="DU127" s="1936">
        <v>30259.52466542277</v>
      </c>
      <c r="DV127" s="1936">
        <v>17628.569504464176</v>
      </c>
      <c r="DW127" s="1936">
        <v>2436.042646261415</v>
      </c>
      <c r="DX127" s="1936">
        <v>0</v>
      </c>
      <c r="DY127" s="1936">
        <v>8772.3046422625703</v>
      </c>
      <c r="DZ127" s="1936">
        <v>223.63093860122075</v>
      </c>
      <c r="EA127" s="1936">
        <v>1084.5168224017309</v>
      </c>
      <c r="EB127" s="1936">
        <v>30145.064553991113</v>
      </c>
      <c r="EC127" s="1936">
        <v>114.46011143165603</v>
      </c>
      <c r="ED127" s="1941">
        <v>122</v>
      </c>
      <c r="EE127" s="1936">
        <v>1</v>
      </c>
      <c r="EF127" s="1936">
        <v>16</v>
      </c>
      <c r="EG127" s="1938">
        <v>135000</v>
      </c>
      <c r="EH127" s="1938">
        <v>1</v>
      </c>
      <c r="EI127" s="1368">
        <v>0.12</v>
      </c>
      <c r="EJ127" s="1936">
        <v>4.1454057716927046</v>
      </c>
      <c r="EK127" s="1936">
        <v>0</v>
      </c>
      <c r="EL127" s="1936">
        <v>0</v>
      </c>
      <c r="EM127" s="1936">
        <v>0</v>
      </c>
      <c r="EN127" s="1362">
        <v>0</v>
      </c>
      <c r="EO127" s="1936">
        <v>1</v>
      </c>
      <c r="EP127" s="1936">
        <v>56.25</v>
      </c>
      <c r="EQ127" s="1936">
        <v>0</v>
      </c>
      <c r="ER127" s="1938">
        <v>0</v>
      </c>
      <c r="ES127" s="1936">
        <v>4909.0786455170228</v>
      </c>
      <c r="ET127" s="1936">
        <v>-3967.564296536962</v>
      </c>
      <c r="EU127" s="1938">
        <v>2</v>
      </c>
      <c r="EV127" s="1936">
        <v>75036</v>
      </c>
      <c r="EW127" s="1936">
        <v>11000</v>
      </c>
      <c r="EX127" s="1938">
        <v>0</v>
      </c>
      <c r="EY127" s="1936">
        <v>1701331</v>
      </c>
      <c r="EZ127" s="1936">
        <v>948628</v>
      </c>
      <c r="FA127" s="1936">
        <v>752703</v>
      </c>
      <c r="FB127" s="1936">
        <v>781384</v>
      </c>
      <c r="FC127" s="1936">
        <v>283375</v>
      </c>
      <c r="FD127" s="1936">
        <v>498009</v>
      </c>
      <c r="FE127" s="1936">
        <v>2482715</v>
      </c>
      <c r="FF127" s="1936">
        <v>1232003</v>
      </c>
      <c r="FG127" s="1936">
        <v>1250712</v>
      </c>
      <c r="FH127" s="1366">
        <v>1</v>
      </c>
      <c r="FI127" s="1366">
        <v>0.5575799183110165</v>
      </c>
      <c r="FJ127" s="1366">
        <v>0.4424200816889835</v>
      </c>
      <c r="FK127" s="1366">
        <v>1</v>
      </c>
      <c r="FL127" s="1366">
        <v>0.36265779693466976</v>
      </c>
      <c r="FM127" s="1366">
        <v>0.63734220306533018</v>
      </c>
      <c r="FN127" s="1366">
        <v>1</v>
      </c>
      <c r="FO127" s="1366">
        <v>0.49623214907873037</v>
      </c>
      <c r="FP127" s="1366">
        <v>0.50376785092126963</v>
      </c>
      <c r="FQ127" s="1936">
        <v>2683153</v>
      </c>
      <c r="FR127" s="1936">
        <v>-496543</v>
      </c>
      <c r="FS127" s="1936">
        <v>454514</v>
      </c>
      <c r="FT127" s="1936">
        <v>71636</v>
      </c>
      <c r="FU127" s="1936">
        <v>84701</v>
      </c>
      <c r="FV127" s="1936">
        <v>108621</v>
      </c>
      <c r="FW127" s="1936">
        <v>351184</v>
      </c>
      <c r="FX127" s="1936">
        <v>3257266</v>
      </c>
      <c r="FY127" s="1936">
        <v>-2006554</v>
      </c>
      <c r="FZ127" s="1366">
        <v>1.0807333906630443</v>
      </c>
      <c r="GA127" s="1366">
        <v>-0.2</v>
      </c>
      <c r="GB127" s="1366">
        <v>0.18307135535089611</v>
      </c>
      <c r="GC127" s="1366">
        <v>2.8853895835808781E-2</v>
      </c>
      <c r="GD127" s="1366">
        <v>3.4116279959640956E-2</v>
      </c>
      <c r="GE127" s="1366">
        <v>4.3750893678895883E-2</v>
      </c>
      <c r="GF127" s="1366">
        <v>0.14145159633707452</v>
      </c>
      <c r="GG127" s="1366">
        <v>1.3119774118253607</v>
      </c>
      <c r="GH127" s="1366">
        <v>-0.80820956090409091</v>
      </c>
      <c r="GI127" s="1942">
        <v>2.1773302243199248</v>
      </c>
      <c r="GJ127" s="1943">
        <v>1</v>
      </c>
      <c r="GK127" s="1371">
        <v>7.0000000000000007E-2</v>
      </c>
      <c r="GL127" s="1943">
        <v>1</v>
      </c>
      <c r="GM127" s="1371">
        <v>7.0000000000000007E-2</v>
      </c>
      <c r="GN127" s="1943">
        <v>0</v>
      </c>
      <c r="GO127" s="1985">
        <f>IF(GN127=0,0,VLOOKUP(A127,'Area (&amp;golfacre for lookup)'!$G$2:$H$133,2,FALSE))</f>
        <v>0</v>
      </c>
      <c r="GP127" s="1943">
        <v>0</v>
      </c>
      <c r="GQ127" s="1943">
        <v>0</v>
      </c>
      <c r="GR127" s="1943">
        <v>0</v>
      </c>
      <c r="GS127" s="1943">
        <v>0</v>
      </c>
      <c r="GT127" s="1943">
        <v>0</v>
      </c>
      <c r="GU127" s="1943">
        <v>0</v>
      </c>
      <c r="GV127" s="1943">
        <v>0</v>
      </c>
      <c r="GW127" s="1943">
        <v>0</v>
      </c>
      <c r="GX127" s="1936">
        <v>0</v>
      </c>
      <c r="GY127" s="1985">
        <f t="shared" si="1319"/>
        <v>0</v>
      </c>
      <c r="GZ127" s="1936">
        <v>0</v>
      </c>
      <c r="HA127" s="1936">
        <v>0</v>
      </c>
      <c r="HB127" s="1936">
        <v>0</v>
      </c>
      <c r="HC127" s="1936">
        <v>0</v>
      </c>
      <c r="HD127" s="1936">
        <v>0</v>
      </c>
      <c r="HE127" s="1936">
        <v>0</v>
      </c>
      <c r="HF127" s="1936">
        <v>0</v>
      </c>
      <c r="HG127" s="1936">
        <v>36</v>
      </c>
      <c r="HH127" s="1988">
        <f>IF(HG127=0,0,VLOOKUP(A127,'Area (&amp;golfacre for lookup)'!$G$2:$H$134,2,FALSE))</f>
        <v>275</v>
      </c>
      <c r="HI127" s="1936">
        <v>42506</v>
      </c>
      <c r="HJ127" s="1936">
        <v>1307790</v>
      </c>
      <c r="HK127" s="1936">
        <v>386777</v>
      </c>
      <c r="HL127" s="1936">
        <v>614750</v>
      </c>
      <c r="HM127" s="1936">
        <v>27390</v>
      </c>
      <c r="HN127" s="1936">
        <v>261301</v>
      </c>
      <c r="HO127" s="1936">
        <v>353772</v>
      </c>
      <c r="HP127" s="1936">
        <v>2951780</v>
      </c>
      <c r="HQ127" s="1936">
        <v>81993.888888888891</v>
      </c>
      <c r="HR127" s="1988">
        <f t="shared" si="1320"/>
        <v>10733.745454545455</v>
      </c>
      <c r="HS127" s="1366">
        <v>0.44305131141209708</v>
      </c>
      <c r="HT127" s="1366">
        <v>0.13103178421156048</v>
      </c>
      <c r="HU127" s="1366">
        <v>0.20826416602863357</v>
      </c>
      <c r="HV127" s="1366">
        <v>9.2791468198849501E-3</v>
      </c>
      <c r="HW127" s="1366">
        <v>8.8523196173156529E-2</v>
      </c>
      <c r="HX127" s="1366">
        <v>0.11985039535466735</v>
      </c>
      <c r="HY127" s="1366">
        <v>1</v>
      </c>
      <c r="HZ127" s="1525"/>
      <c r="IA127" s="59">
        <f t="shared" si="1136"/>
        <v>0.1</v>
      </c>
      <c r="IB127" s="59"/>
      <c r="IC127" s="815">
        <f t="shared" si="1137"/>
        <v>1</v>
      </c>
      <c r="ID127" s="815"/>
      <c r="IE127" s="284">
        <f t="shared" si="1138"/>
        <v>0</v>
      </c>
      <c r="IF127" s="284"/>
      <c r="IG127" s="284">
        <f t="shared" si="1139"/>
        <v>51815.776274436474</v>
      </c>
      <c r="IH127" s="284"/>
      <c r="II127" s="1288">
        <f t="shared" si="1140"/>
        <v>0</v>
      </c>
      <c r="IJ127" s="1288">
        <f t="shared" si="1141"/>
        <v>0.76263818953779716</v>
      </c>
      <c r="IK127" s="284">
        <f t="shared" si="1142"/>
        <v>0</v>
      </c>
      <c r="IL127" s="284">
        <f t="shared" si="1143"/>
        <v>0</v>
      </c>
      <c r="IM127" s="284">
        <f t="shared" si="1144"/>
        <v>0</v>
      </c>
      <c r="IN127" s="284">
        <f t="shared" si="1145"/>
        <v>0</v>
      </c>
      <c r="IO127" s="753">
        <f t="shared" si="1146"/>
        <v>-2309.0379746835442</v>
      </c>
      <c r="IP127" s="113">
        <f t="shared" si="1147"/>
        <v>-3967.564296536962</v>
      </c>
      <c r="IQ127" s="30">
        <f t="shared" si="1148"/>
        <v>-0.1713702615988667</v>
      </c>
      <c r="IR127" s="438">
        <f t="shared" si="1149"/>
        <v>1701331</v>
      </c>
      <c r="IS127" s="438">
        <f t="shared" si="1150"/>
        <v>781384</v>
      </c>
      <c r="IT127" s="438">
        <f t="shared" si="1151"/>
        <v>2683153</v>
      </c>
      <c r="IU127" s="438">
        <f t="shared" si="1152"/>
        <v>526150</v>
      </c>
      <c r="IV127" s="438">
        <f t="shared" si="1153"/>
        <v>1232003</v>
      </c>
      <c r="IW127" s="438">
        <f t="shared" si="1154"/>
        <v>47963</v>
      </c>
      <c r="IX127" s="285">
        <f t="shared" si="1155"/>
        <v>0.68527035926395097</v>
      </c>
      <c r="IY127" s="285">
        <f t="shared" si="1156"/>
        <v>0.31472964073604903</v>
      </c>
      <c r="IZ127" s="285">
        <f t="shared" si="1157"/>
        <v>1.0807333906630443</v>
      </c>
      <c r="JA127" s="285">
        <f t="shared" si="1158"/>
        <v>0.21192525118670488</v>
      </c>
      <c r="JB127" s="285">
        <f t="shared" si="1159"/>
        <v>0.49623214907873037</v>
      </c>
      <c r="JC127" s="285">
        <f t="shared" si="1160"/>
        <v>1.9318769975611376E-2</v>
      </c>
      <c r="JD127" s="60">
        <f t="shared" si="1161"/>
        <v>11708881</v>
      </c>
      <c r="JE127" s="60">
        <f t="shared" si="1162"/>
        <v>207548</v>
      </c>
      <c r="JF127" s="60">
        <f t="shared" si="1163"/>
        <v>0</v>
      </c>
      <c r="JG127" s="60">
        <f t="shared" si="1164"/>
        <v>661582</v>
      </c>
      <c r="JH127" s="284">
        <f t="shared" si="1165"/>
        <v>1</v>
      </c>
      <c r="JI127" s="284">
        <f t="shared" si="1166"/>
        <v>0</v>
      </c>
      <c r="JJ127" s="560">
        <f t="shared" si="1167"/>
        <v>0</v>
      </c>
      <c r="JK127" s="561">
        <f t="shared" si="1168"/>
        <v>0.58257919446461603</v>
      </c>
      <c r="JL127" s="561">
        <f t="shared" si="1169"/>
        <v>8.0504987213003198E-2</v>
      </c>
      <c r="JM127" s="561">
        <f t="shared" si="1170"/>
        <v>0</v>
      </c>
      <c r="JN127" s="561">
        <f t="shared" si="1171"/>
        <v>0.28990226182523571</v>
      </c>
      <c r="JO127" s="561">
        <f t="shared" si="1172"/>
        <v>7.3904313129135634E-3</v>
      </c>
      <c r="JP127" s="561">
        <f t="shared" si="1173"/>
        <v>3.5840510860403449E-2</v>
      </c>
      <c r="JQ127" s="561">
        <f t="shared" si="1174"/>
        <v>0.99621738567617191</v>
      </c>
      <c r="JR127" s="61">
        <f t="shared" si="1175"/>
        <v>0</v>
      </c>
      <c r="JS127" s="61">
        <f t="shared" si="1176"/>
        <v>0</v>
      </c>
      <c r="JT127" s="61">
        <f t="shared" si="1177"/>
        <v>0</v>
      </c>
      <c r="JU127" s="61">
        <f t="shared" si="1178"/>
        <v>0</v>
      </c>
      <c r="JV127" s="61">
        <f t="shared" si="1179"/>
        <v>0</v>
      </c>
      <c r="JW127" s="61">
        <f t="shared" si="1180"/>
        <v>0</v>
      </c>
      <c r="JX127" s="61">
        <f t="shared" si="1181"/>
        <v>0</v>
      </c>
      <c r="JY127" s="394">
        <f t="shared" si="1182"/>
        <v>0</v>
      </c>
      <c r="JZ127" s="61">
        <f t="shared" si="1183"/>
        <v>36327.5</v>
      </c>
      <c r="KA127" s="61">
        <f t="shared" si="1184"/>
        <v>10743.805555555555</v>
      </c>
      <c r="KB127" s="61">
        <f t="shared" si="1185"/>
        <v>17076.388888888891</v>
      </c>
      <c r="KC127" s="61">
        <f t="shared" si="1186"/>
        <v>760.83333333333337</v>
      </c>
      <c r="KD127" s="61">
        <f t="shared" si="1187"/>
        <v>7258.3611111111113</v>
      </c>
      <c r="KE127" s="61">
        <f t="shared" si="1188"/>
        <v>9827</v>
      </c>
      <c r="KF127" s="61">
        <f t="shared" si="1189"/>
        <v>21300</v>
      </c>
      <c r="KG127" s="61">
        <f t="shared" si="1190"/>
        <v>275</v>
      </c>
      <c r="KH127" s="61">
        <f t="shared" si="1191"/>
        <v>69.443843222133353</v>
      </c>
      <c r="KI127" s="394">
        <f t="shared" si="1192"/>
        <v>0.19361584199979667</v>
      </c>
      <c r="KJ127" s="438">
        <f t="shared" si="1193"/>
        <v>36</v>
      </c>
      <c r="KK127" s="438">
        <f t="shared" si="1194"/>
        <v>42506</v>
      </c>
      <c r="KL127" s="438">
        <f t="shared" si="1195"/>
        <v>275</v>
      </c>
      <c r="KM127" s="438">
        <f t="shared" si="1196"/>
        <v>81993.888888888891</v>
      </c>
      <c r="KN127" s="438">
        <f t="shared" si="1197"/>
        <v>69.443843222133353</v>
      </c>
      <c r="KO127" s="438">
        <f t="shared" si="1198"/>
        <v>10733.745454545455</v>
      </c>
      <c r="KP127" s="438">
        <f t="shared" si="1199"/>
        <v>1307790</v>
      </c>
      <c r="KQ127" s="438">
        <f t="shared" si="1200"/>
        <v>386777</v>
      </c>
      <c r="KR127" s="438">
        <f t="shared" si="1201"/>
        <v>614750</v>
      </c>
      <c r="KS127" s="438">
        <f t="shared" si="1202"/>
        <v>27390</v>
      </c>
      <c r="KT127" s="438">
        <f t="shared" si="1203"/>
        <v>261301</v>
      </c>
      <c r="KU127" s="438">
        <f t="shared" si="1204"/>
        <v>353772</v>
      </c>
      <c r="KV127" s="420">
        <f t="shared" si="1205"/>
        <v>0.19361584199979667</v>
      </c>
      <c r="KW127" s="420">
        <f t="shared" si="1206"/>
        <v>-0.22188354292779985</v>
      </c>
      <c r="KX127" s="108"/>
      <c r="KY127" s="282">
        <f t="shared" si="1207"/>
        <v>0</v>
      </c>
      <c r="KZ127" s="282"/>
      <c r="LA127" s="282">
        <f t="shared" si="1208"/>
        <v>0</v>
      </c>
      <c r="LB127" s="282"/>
      <c r="LC127" s="286">
        <f t="shared" si="951"/>
        <v>0</v>
      </c>
      <c r="LD127" s="286"/>
      <c r="LE127" s="282">
        <f t="shared" si="1209"/>
        <v>0</v>
      </c>
      <c r="LF127" s="282"/>
      <c r="LG127" s="282">
        <f t="shared" si="1210"/>
        <v>0</v>
      </c>
      <c r="LH127" s="282">
        <f t="shared" si="1211"/>
        <v>0</v>
      </c>
      <c r="LI127" s="282">
        <f t="shared" si="1212"/>
        <v>0</v>
      </c>
      <c r="LJ127" s="282">
        <f t="shared" si="1213"/>
        <v>0</v>
      </c>
      <c r="LK127" s="282"/>
      <c r="LL127" s="282">
        <f t="shared" si="1214"/>
        <v>0</v>
      </c>
      <c r="LM127" s="282">
        <f t="shared" si="1215"/>
        <v>0</v>
      </c>
      <c r="LN127" s="282">
        <f t="shared" si="1216"/>
        <v>0</v>
      </c>
      <c r="LO127" s="282">
        <f t="shared" si="1217"/>
        <v>0</v>
      </c>
      <c r="LP127" s="286">
        <f t="shared" si="1218"/>
        <v>0</v>
      </c>
      <c r="LQ127" s="282">
        <f t="shared" si="1219"/>
        <v>0</v>
      </c>
      <c r="LR127" s="282">
        <f t="shared" si="1220"/>
        <v>0</v>
      </c>
      <c r="LS127" s="282">
        <f t="shared" si="1221"/>
        <v>0</v>
      </c>
      <c r="LT127" s="286">
        <f t="shared" si="1222"/>
        <v>0</v>
      </c>
      <c r="LU127" s="286">
        <f t="shared" si="1223"/>
        <v>0</v>
      </c>
      <c r="LV127" s="286">
        <f t="shared" si="1224"/>
        <v>0</v>
      </c>
      <c r="LW127" s="286">
        <f t="shared" si="1225"/>
        <v>0</v>
      </c>
      <c r="LX127" s="286">
        <f t="shared" si="1226"/>
        <v>0</v>
      </c>
      <c r="LY127" s="286">
        <f t="shared" si="1227"/>
        <v>0</v>
      </c>
      <c r="LZ127" s="286">
        <f t="shared" si="1228"/>
        <v>0</v>
      </c>
      <c r="MA127" s="286">
        <f t="shared" si="1229"/>
        <v>0</v>
      </c>
      <c r="MB127" s="286">
        <f t="shared" si="1230"/>
        <v>0</v>
      </c>
      <c r="MC127" s="286">
        <f t="shared" si="1231"/>
        <v>0</v>
      </c>
      <c r="MD127" s="286">
        <f t="shared" si="1232"/>
        <v>0</v>
      </c>
      <c r="ME127" s="286">
        <f t="shared" si="1233"/>
        <v>0</v>
      </c>
      <c r="MF127" s="286">
        <f t="shared" si="1234"/>
        <v>0</v>
      </c>
      <c r="MG127" s="286">
        <f t="shared" si="1235"/>
        <v>0</v>
      </c>
      <c r="MH127" s="286">
        <f t="shared" si="1236"/>
        <v>0</v>
      </c>
      <c r="MI127" s="286">
        <f t="shared" si="1237"/>
        <v>0</v>
      </c>
      <c r="MJ127" s="286">
        <f t="shared" si="1238"/>
        <v>0</v>
      </c>
      <c r="MK127" s="286">
        <f t="shared" si="1239"/>
        <v>0</v>
      </c>
      <c r="ML127" s="282">
        <f t="shared" si="1240"/>
        <v>0</v>
      </c>
      <c r="MM127" s="1232">
        <f t="shared" si="1241"/>
        <v>0</v>
      </c>
      <c r="MN127" s="1232">
        <f t="shared" si="1242"/>
        <v>0</v>
      </c>
      <c r="MO127" s="1232">
        <f t="shared" si="1243"/>
        <v>0</v>
      </c>
      <c r="MP127" s="1232">
        <f t="shared" si="1244"/>
        <v>0</v>
      </c>
      <c r="MQ127" s="282">
        <f t="shared" si="1245"/>
        <v>0</v>
      </c>
      <c r="MR127" s="282">
        <f t="shared" si="1246"/>
        <v>0</v>
      </c>
      <c r="MS127" s="282">
        <f t="shared" si="1247"/>
        <v>0</v>
      </c>
      <c r="MT127" s="282">
        <f t="shared" si="1248"/>
        <v>0</v>
      </c>
      <c r="MU127" s="282">
        <f t="shared" si="1249"/>
        <v>0</v>
      </c>
      <c r="MV127" s="282">
        <f t="shared" si="1250"/>
        <v>0</v>
      </c>
      <c r="MW127" s="282">
        <f t="shared" si="1251"/>
        <v>0</v>
      </c>
      <c r="MX127" s="282">
        <f t="shared" si="1252"/>
        <v>0</v>
      </c>
      <c r="MY127" s="282">
        <f t="shared" si="1253"/>
        <v>0</v>
      </c>
      <c r="MZ127" s="282">
        <f t="shared" si="1254"/>
        <v>0</v>
      </c>
      <c r="NA127" s="282">
        <f t="shared" si="1255"/>
        <v>0</v>
      </c>
      <c r="NB127" s="282">
        <f t="shared" si="1256"/>
        <v>0</v>
      </c>
      <c r="NC127" s="282">
        <f t="shared" si="1257"/>
        <v>0</v>
      </c>
      <c r="ND127" s="282">
        <f t="shared" si="1258"/>
        <v>0</v>
      </c>
      <c r="NE127" s="282">
        <f t="shared" si="1259"/>
        <v>0</v>
      </c>
      <c r="NF127" s="282">
        <f t="shared" si="1260"/>
        <v>0</v>
      </c>
      <c r="NG127" s="282">
        <f t="shared" si="1261"/>
        <v>0</v>
      </c>
      <c r="NH127" s="282">
        <f t="shared" si="1262"/>
        <v>0</v>
      </c>
      <c r="NI127" s="282">
        <f t="shared" si="1263"/>
        <v>0</v>
      </c>
      <c r="NJ127" s="282">
        <f t="shared" si="1264"/>
        <v>0</v>
      </c>
      <c r="NK127" s="282">
        <f t="shared" si="1265"/>
        <v>0</v>
      </c>
      <c r="NL127" s="282">
        <f t="shared" si="1266"/>
        <v>0</v>
      </c>
      <c r="NM127" s="1205">
        <f t="shared" si="1267"/>
        <v>0</v>
      </c>
      <c r="NN127" s="282">
        <f t="shared" si="1268"/>
        <v>0</v>
      </c>
      <c r="NO127" s="282">
        <f t="shared" si="1269"/>
        <v>0</v>
      </c>
      <c r="NP127" s="282">
        <f t="shared" si="1270"/>
        <v>0</v>
      </c>
      <c r="NQ127" s="282">
        <f t="shared" si="1271"/>
        <v>0</v>
      </c>
      <c r="NR127" s="282">
        <f t="shared" si="1272"/>
        <v>0</v>
      </c>
      <c r="NS127" s="282">
        <f t="shared" si="1273"/>
        <v>0</v>
      </c>
      <c r="NT127" s="282">
        <f t="shared" si="1274"/>
        <v>0</v>
      </c>
      <c r="NU127" s="282">
        <f t="shared" si="1275"/>
        <v>0</v>
      </c>
      <c r="NV127" s="286">
        <f t="shared" si="1276"/>
        <v>0</v>
      </c>
      <c r="NW127" s="286">
        <f t="shared" si="1277"/>
        <v>0</v>
      </c>
      <c r="NX127" s="286">
        <f t="shared" si="1278"/>
        <v>0</v>
      </c>
      <c r="NY127" s="286">
        <f t="shared" si="1279"/>
        <v>0</v>
      </c>
      <c r="NZ127" s="286">
        <f t="shared" si="1280"/>
        <v>0</v>
      </c>
      <c r="OA127" s="286">
        <f t="shared" si="1281"/>
        <v>0</v>
      </c>
      <c r="OB127" s="286">
        <f t="shared" si="1282"/>
        <v>0</v>
      </c>
      <c r="OC127" s="286">
        <f t="shared" si="1283"/>
        <v>0</v>
      </c>
      <c r="OD127" s="286">
        <f t="shared" si="1284"/>
        <v>0</v>
      </c>
      <c r="OE127" s="282">
        <f t="shared" si="1285"/>
        <v>0</v>
      </c>
      <c r="OF127" s="282">
        <f t="shared" si="1286"/>
        <v>0</v>
      </c>
      <c r="OG127" s="286">
        <f t="shared" si="1287"/>
        <v>0</v>
      </c>
      <c r="OH127" s="286">
        <f t="shared" si="1288"/>
        <v>0</v>
      </c>
      <c r="OI127" s="286">
        <f t="shared" si="1289"/>
        <v>0</v>
      </c>
      <c r="OJ127" s="286">
        <f t="shared" si="1290"/>
        <v>0</v>
      </c>
      <c r="OK127" s="286">
        <f t="shared" si="1291"/>
        <v>0</v>
      </c>
      <c r="OL127" s="286">
        <f t="shared" si="1292"/>
        <v>0</v>
      </c>
      <c r="OM127" s="286">
        <f t="shared" si="1293"/>
        <v>0</v>
      </c>
      <c r="ON127" s="286">
        <f t="shared" si="1294"/>
        <v>0</v>
      </c>
      <c r="OO127" s="286">
        <f t="shared" si="1295"/>
        <v>0</v>
      </c>
      <c r="OP127" s="434">
        <f t="shared" si="1296"/>
        <v>0</v>
      </c>
      <c r="OQ127" s="434">
        <f t="shared" si="1297"/>
        <v>0</v>
      </c>
      <c r="OR127" s="282">
        <f t="shared" si="1298"/>
        <v>0</v>
      </c>
      <c r="OS127" s="282">
        <f t="shared" si="1299"/>
        <v>0</v>
      </c>
      <c r="OT127" s="282">
        <f t="shared" si="1300"/>
        <v>0</v>
      </c>
      <c r="OU127" s="282">
        <f t="shared" si="1301"/>
        <v>0</v>
      </c>
      <c r="OV127" s="282">
        <f t="shared" si="1302"/>
        <v>0</v>
      </c>
      <c r="OW127" s="286">
        <f t="shared" si="1303"/>
        <v>0</v>
      </c>
      <c r="OX127" s="286">
        <f t="shared" si="1304"/>
        <v>0</v>
      </c>
      <c r="OY127" s="286">
        <f t="shared" si="1305"/>
        <v>0</v>
      </c>
      <c r="OZ127" s="286">
        <f t="shared" si="1306"/>
        <v>0</v>
      </c>
      <c r="PA127" s="286">
        <f t="shared" si="1307"/>
        <v>0</v>
      </c>
      <c r="PB127" s="286">
        <f t="shared" si="1308"/>
        <v>0</v>
      </c>
      <c r="PC127" s="286">
        <f t="shared" si="1309"/>
        <v>0</v>
      </c>
      <c r="PD127" s="282">
        <f t="shared" si="1310"/>
        <v>0</v>
      </c>
      <c r="PE127" s="282">
        <f t="shared" si="1311"/>
        <v>0</v>
      </c>
      <c r="PF127" s="286">
        <f t="shared" si="1312"/>
        <v>0</v>
      </c>
      <c r="PG127" s="286">
        <f t="shared" si="1313"/>
        <v>0</v>
      </c>
      <c r="PH127" s="286">
        <f t="shared" si="1314"/>
        <v>0</v>
      </c>
      <c r="PI127" s="286">
        <f t="shared" si="1315"/>
        <v>0</v>
      </c>
      <c r="PJ127" s="286">
        <f t="shared" si="1316"/>
        <v>0</v>
      </c>
      <c r="PK127" s="286">
        <f t="shared" si="1317"/>
        <v>0</v>
      </c>
      <c r="PL127" s="286">
        <f t="shared" si="1318"/>
        <v>0</v>
      </c>
      <c r="PM127" s="562">
        <v>71</v>
      </c>
    </row>
    <row r="128" spans="1:431" s="289" customFormat="1" ht="15.75" customHeight="1">
      <c r="A128" s="1935" t="s">
        <v>1625</v>
      </c>
      <c r="B128" s="1040" t="str">
        <f>VLOOKUP(A128,'Area (&amp;golfacre for lookup)'!$A$2:$B$162,2,FALSE)</f>
        <v>SE exc BOCA</v>
      </c>
      <c r="C128" s="1936"/>
      <c r="D128" s="1937">
        <v>44926</v>
      </c>
      <c r="E128" s="402"/>
      <c r="F128" s="1936">
        <v>0</v>
      </c>
      <c r="G128" s="1936">
        <v>1</v>
      </c>
      <c r="H128" s="1936">
        <v>795</v>
      </c>
      <c r="I128" s="1936">
        <v>375</v>
      </c>
      <c r="J128" s="1936">
        <v>1170</v>
      </c>
      <c r="K128" s="1938">
        <v>1010.8493701747258</v>
      </c>
      <c r="L128" s="1939" t="s">
        <v>1208</v>
      </c>
      <c r="M128" s="1939" t="s">
        <v>1208</v>
      </c>
      <c r="N128" s="1939" t="s">
        <v>1208</v>
      </c>
      <c r="O128" s="1939" t="s">
        <v>1208</v>
      </c>
      <c r="P128" s="1939" t="s">
        <v>1208</v>
      </c>
      <c r="Q128" s="1936">
        <v>60000</v>
      </c>
      <c r="R128" s="1936">
        <v>100000</v>
      </c>
      <c r="S128" s="1936">
        <v>160000</v>
      </c>
      <c r="T128" s="1939" t="s">
        <v>1208</v>
      </c>
      <c r="U128" s="1939" t="s">
        <v>1208</v>
      </c>
      <c r="V128" s="1939" t="s">
        <v>1208</v>
      </c>
      <c r="W128" s="1936">
        <v>26985</v>
      </c>
      <c r="X128" s="1936">
        <v>24610</v>
      </c>
      <c r="Y128" s="1939" t="s">
        <v>1208</v>
      </c>
      <c r="Z128" s="1939" t="s">
        <v>1208</v>
      </c>
      <c r="AA128" s="1936">
        <v>2375</v>
      </c>
      <c r="AB128" s="1362">
        <v>9.6505485574969518E-2</v>
      </c>
      <c r="AC128" s="1939" t="s">
        <v>1208</v>
      </c>
      <c r="AD128" s="1363" t="s">
        <v>1208</v>
      </c>
      <c r="AE128" s="1936">
        <v>1</v>
      </c>
      <c r="AF128" s="1936">
        <v>2064</v>
      </c>
      <c r="AG128" s="1939" t="s">
        <v>1208</v>
      </c>
      <c r="AH128" s="1936">
        <v>0</v>
      </c>
      <c r="AI128" s="1936">
        <v>0</v>
      </c>
      <c r="AJ128" s="1939" t="s">
        <v>1208</v>
      </c>
      <c r="AK128" s="1938">
        <v>0</v>
      </c>
      <c r="AL128" s="1938">
        <v>0</v>
      </c>
      <c r="AM128" s="1936">
        <v>26674</v>
      </c>
      <c r="AN128" s="1939" t="s">
        <v>1208</v>
      </c>
      <c r="AO128" s="1936">
        <v>0</v>
      </c>
      <c r="AP128" s="1936">
        <v>0</v>
      </c>
      <c r="AQ128" s="1936">
        <v>26674</v>
      </c>
      <c r="AR128" s="1939" t="s">
        <v>1208</v>
      </c>
      <c r="AS128" s="1363" t="s">
        <v>1208</v>
      </c>
      <c r="AT128" s="1363" t="s">
        <v>1208</v>
      </c>
      <c r="AU128" s="1363" t="s">
        <v>1208</v>
      </c>
      <c r="AV128" s="1363" t="s">
        <v>1208</v>
      </c>
      <c r="AW128" s="1363" t="s">
        <v>1291</v>
      </c>
      <c r="AX128" s="1938">
        <v>0</v>
      </c>
      <c r="AY128" s="1938">
        <v>0</v>
      </c>
      <c r="AZ128" s="1938">
        <v>0</v>
      </c>
      <c r="BA128" s="1938">
        <v>0</v>
      </c>
      <c r="BB128" s="1938">
        <v>0</v>
      </c>
      <c r="BC128" s="1938">
        <v>0</v>
      </c>
      <c r="BD128" s="1938">
        <v>0</v>
      </c>
      <c r="BE128" s="1936">
        <v>0</v>
      </c>
      <c r="BF128" s="1936">
        <v>0</v>
      </c>
      <c r="BG128" s="1936">
        <v>1500000</v>
      </c>
      <c r="BH128" s="1936">
        <v>1500000</v>
      </c>
      <c r="BI128" s="1938">
        <v>55989016</v>
      </c>
      <c r="BJ128" s="1936">
        <v>3243526</v>
      </c>
      <c r="BK128" s="1936">
        <v>4127363</v>
      </c>
      <c r="BL128" s="1362">
        <v>0.78585915510702598</v>
      </c>
      <c r="BM128" s="1936">
        <v>1</v>
      </c>
      <c r="BN128" s="1936">
        <v>936793</v>
      </c>
      <c r="BO128" s="1363" t="s">
        <v>1208</v>
      </c>
      <c r="BP128" s="1938">
        <v>25841258</v>
      </c>
      <c r="BQ128" s="1938">
        <v>34269897</v>
      </c>
      <c r="BR128" s="1940">
        <v>0.75405123044285771</v>
      </c>
      <c r="BS128" s="1409">
        <v>0</v>
      </c>
      <c r="BT128" s="1938">
        <v>36689472</v>
      </c>
      <c r="BU128" s="1938">
        <v>47083956</v>
      </c>
      <c r="BV128" s="1940">
        <v>0.77923511779681387</v>
      </c>
      <c r="BW128" s="1936">
        <v>926.73847127003194</v>
      </c>
      <c r="BX128" s="1936">
        <v>3208.7134796743803</v>
      </c>
      <c r="BY128" s="1936">
        <v>1483.9006129476286</v>
      </c>
      <c r="BZ128" s="1936">
        <v>3026756</v>
      </c>
      <c r="CA128" s="1936">
        <v>624834</v>
      </c>
      <c r="CB128" s="1936">
        <v>1007608</v>
      </c>
      <c r="CC128" s="1936">
        <v>2703840</v>
      </c>
      <c r="CD128" s="1936">
        <v>24877003</v>
      </c>
      <c r="CE128" s="1936">
        <v>0</v>
      </c>
      <c r="CF128" s="1936">
        <v>0</v>
      </c>
      <c r="CG128" s="1936">
        <v>5895145</v>
      </c>
      <c r="CH128" s="1936">
        <v>1944660</v>
      </c>
      <c r="CI128" s="1936">
        <v>669035</v>
      </c>
      <c r="CJ128" s="1936">
        <v>40748881</v>
      </c>
      <c r="CK128" s="1366">
        <v>7.4278260549044281E-2</v>
      </c>
      <c r="CL128" s="1366">
        <v>1.5333770760478061E-2</v>
      </c>
      <c r="CM128" s="1366">
        <v>2.4727255700592123E-2</v>
      </c>
      <c r="CN128" s="1366">
        <v>6.6353723921891247E-2</v>
      </c>
      <c r="CO128" s="1366">
        <v>0.61049536550463801</v>
      </c>
      <c r="CP128" s="1366">
        <v>0</v>
      </c>
      <c r="CQ128" s="1366">
        <v>0</v>
      </c>
      <c r="CR128" s="1366">
        <v>0.14467010762823157</v>
      </c>
      <c r="CS128" s="1366">
        <v>4.7723028271622968E-2</v>
      </c>
      <c r="CT128" s="1366">
        <v>1.6418487663501728E-2</v>
      </c>
      <c r="CU128" s="1366">
        <v>1</v>
      </c>
      <c r="CV128" s="1936">
        <v>19086738</v>
      </c>
      <c r="CW128" s="1936">
        <v>4824453</v>
      </c>
      <c r="CX128" s="1936">
        <v>778410</v>
      </c>
      <c r="CY128" s="1936">
        <v>12664000</v>
      </c>
      <c r="CZ128" s="1936">
        <v>670812</v>
      </c>
      <c r="DA128" s="1936">
        <v>668248</v>
      </c>
      <c r="DB128" s="1936">
        <v>38692661</v>
      </c>
      <c r="DC128" s="1366">
        <v>0.49329091116271379</v>
      </c>
      <c r="DD128" s="1366">
        <v>0.12468651354839616</v>
      </c>
      <c r="DE128" s="1366">
        <v>2.0117768586657817E-2</v>
      </c>
      <c r="DF128" s="1366">
        <v>0.32729721018670699</v>
      </c>
      <c r="DG128" s="1366">
        <v>1.7336931156014316E-2</v>
      </c>
      <c r="DH128" s="1366">
        <v>1.7270665359510943E-2</v>
      </c>
      <c r="DI128" s="1366">
        <v>1</v>
      </c>
      <c r="DJ128" s="1936">
        <v>2056220</v>
      </c>
      <c r="DK128" s="1936">
        <v>2994.2700557619419</v>
      </c>
      <c r="DL128" s="1936">
        <v>618.12770372701243</v>
      </c>
      <c r="DM128" s="1936">
        <v>996.7934192072895</v>
      </c>
      <c r="DN128" s="1936">
        <v>2674.8198888748775</v>
      </c>
      <c r="DO128" s="1936">
        <v>24610</v>
      </c>
      <c r="DP128" s="1936">
        <v>0</v>
      </c>
      <c r="DQ128" s="1936">
        <v>0</v>
      </c>
      <c r="DR128" s="1936">
        <v>5831.8728526100995</v>
      </c>
      <c r="DS128" s="1936">
        <v>1923.7881106498237</v>
      </c>
      <c r="DT128" s="1936">
        <v>661.85429772227781</v>
      </c>
      <c r="DU128" s="1936">
        <v>40311.526328553322</v>
      </c>
      <c r="DV128" s="1936">
        <v>18881.881478247196</v>
      </c>
      <c r="DW128" s="1936">
        <v>4772.6725092246843</v>
      </c>
      <c r="DX128" s="1936">
        <v>770.05538408304244</v>
      </c>
      <c r="DY128" s="1936">
        <v>12528.07824157918</v>
      </c>
      <c r="DZ128" s="1936">
        <v>663.61222531508315</v>
      </c>
      <c r="EA128" s="1936">
        <v>661.07574453401799</v>
      </c>
      <c r="EB128" s="1936">
        <v>38277.375582983208</v>
      </c>
      <c r="EC128" s="1936">
        <v>2034.1507455701153</v>
      </c>
      <c r="ED128" s="1941">
        <v>325</v>
      </c>
      <c r="EE128" s="1936">
        <v>1</v>
      </c>
      <c r="EF128" s="1936">
        <v>97</v>
      </c>
      <c r="EG128" s="1938">
        <v>959000</v>
      </c>
      <c r="EH128" s="1938">
        <v>1</v>
      </c>
      <c r="EI128" s="1368">
        <v>0.09</v>
      </c>
      <c r="EJ128" s="1936">
        <v>3.1103057543837718</v>
      </c>
      <c r="EK128" s="1936">
        <v>0</v>
      </c>
      <c r="EL128" s="1936">
        <v>0</v>
      </c>
      <c r="EM128" s="1936">
        <v>1</v>
      </c>
      <c r="EN128" s="1362">
        <v>0.2</v>
      </c>
      <c r="EO128" s="1936">
        <v>0</v>
      </c>
      <c r="EP128" s="1936">
        <v>0</v>
      </c>
      <c r="EQ128" s="1936">
        <v>0</v>
      </c>
      <c r="ER128" s="1938">
        <v>0</v>
      </c>
      <c r="ES128" s="1936">
        <v>7755.6609632599229</v>
      </c>
      <c r="ET128" s="1936">
        <v>-6796.2390863561814</v>
      </c>
      <c r="EU128" s="1938">
        <v>4</v>
      </c>
      <c r="EV128" s="1936">
        <v>259234</v>
      </c>
      <c r="EW128" s="1936">
        <v>8366</v>
      </c>
      <c r="EX128" s="1938">
        <v>1</v>
      </c>
      <c r="EY128" s="1936">
        <v>5895145</v>
      </c>
      <c r="EZ128" s="1936">
        <v>3915518</v>
      </c>
      <c r="FA128" s="1936">
        <v>1979627</v>
      </c>
      <c r="FB128" s="1936">
        <v>1944660</v>
      </c>
      <c r="FC128" s="1936">
        <v>908935</v>
      </c>
      <c r="FD128" s="1936">
        <v>1035725</v>
      </c>
      <c r="FE128" s="1936">
        <v>7839805</v>
      </c>
      <c r="FF128" s="1936">
        <v>4824453</v>
      </c>
      <c r="FG128" s="1936">
        <v>3015352</v>
      </c>
      <c r="FH128" s="1366">
        <v>1</v>
      </c>
      <c r="FI128" s="1366">
        <v>0.66419367123285344</v>
      </c>
      <c r="FJ128" s="1366">
        <v>0.3358063287671465</v>
      </c>
      <c r="FK128" s="1366">
        <v>1</v>
      </c>
      <c r="FL128" s="1366">
        <v>0.46740047103349686</v>
      </c>
      <c r="FM128" s="1366">
        <v>0.53259952896650309</v>
      </c>
      <c r="FN128" s="1366">
        <v>1</v>
      </c>
      <c r="FO128" s="1366">
        <v>0.61537920904920462</v>
      </c>
      <c r="FP128" s="1366">
        <v>0.38462079095079532</v>
      </c>
      <c r="FQ128" s="1936">
        <v>5326261</v>
      </c>
      <c r="FR128" s="1936">
        <v>0</v>
      </c>
      <c r="FS128" s="1936">
        <v>1195429</v>
      </c>
      <c r="FT128" s="1936">
        <v>196992</v>
      </c>
      <c r="FU128" s="1936">
        <v>219234</v>
      </c>
      <c r="FV128" s="1936">
        <v>53917</v>
      </c>
      <c r="FW128" s="1936">
        <v>2893493</v>
      </c>
      <c r="FX128" s="1936">
        <v>9885326</v>
      </c>
      <c r="FY128" s="1936">
        <v>-6869974</v>
      </c>
      <c r="FZ128" s="1366">
        <v>0.67938692352679686</v>
      </c>
      <c r="GA128" s="1366">
        <v>0</v>
      </c>
      <c r="GB128" s="1366">
        <v>0.15248198137581229</v>
      </c>
      <c r="GC128" s="1366">
        <v>2.5127155586140218E-2</v>
      </c>
      <c r="GD128" s="1366">
        <v>2.7964215946697655E-2</v>
      </c>
      <c r="GE128" s="1366">
        <v>6.8773394236208681E-3</v>
      </c>
      <c r="GF128" s="1366">
        <v>0.36907716454682227</v>
      </c>
      <c r="GG128" s="1366">
        <v>1.2609147804058902</v>
      </c>
      <c r="GH128" s="1366">
        <v>-0.87629398945509485</v>
      </c>
      <c r="GI128" s="1942">
        <v>3.0314527989468596</v>
      </c>
      <c r="GJ128" s="1943">
        <v>1</v>
      </c>
      <c r="GK128" s="1371">
        <v>0.08</v>
      </c>
      <c r="GL128" s="1943">
        <v>1</v>
      </c>
      <c r="GM128" s="1371">
        <v>0.01</v>
      </c>
      <c r="GN128" s="1943">
        <v>0</v>
      </c>
      <c r="GO128" s="1985">
        <v>0</v>
      </c>
      <c r="GP128" s="1943">
        <v>0</v>
      </c>
      <c r="GQ128" s="1943">
        <v>0</v>
      </c>
      <c r="GR128" s="1943">
        <v>0</v>
      </c>
      <c r="GS128" s="1943">
        <v>0</v>
      </c>
      <c r="GT128" s="1943">
        <v>0</v>
      </c>
      <c r="GU128" s="1943">
        <v>0</v>
      </c>
      <c r="GV128" s="1943">
        <v>0</v>
      </c>
      <c r="GW128" s="1943">
        <v>0</v>
      </c>
      <c r="GX128" s="1943">
        <v>0</v>
      </c>
      <c r="GY128" s="1943">
        <v>0</v>
      </c>
      <c r="GZ128" s="1943">
        <v>0</v>
      </c>
      <c r="HA128" s="1943">
        <v>0</v>
      </c>
      <c r="HB128" s="1943">
        <v>0</v>
      </c>
      <c r="HC128" s="1943">
        <v>0</v>
      </c>
      <c r="HD128" s="1943">
        <v>0</v>
      </c>
      <c r="HE128" s="1943">
        <v>0</v>
      </c>
      <c r="HF128" s="1943">
        <v>0</v>
      </c>
      <c r="HG128" s="1936">
        <v>36</v>
      </c>
      <c r="HH128" s="1988">
        <f>IF(HG128=0,0,VLOOKUP(A128,'Area (&amp;golfacre for lookup)'!$G$2:$H$134,2,FALSE))</f>
        <v>270</v>
      </c>
      <c r="HI128" s="1936">
        <v>77195</v>
      </c>
      <c r="HJ128" s="1936">
        <v>2383564</v>
      </c>
      <c r="HK128" s="1936">
        <v>186543</v>
      </c>
      <c r="HL128" s="1936">
        <v>1356639</v>
      </c>
      <c r="HM128" s="1936">
        <v>157711</v>
      </c>
      <c r="HN128" s="1936">
        <v>11064</v>
      </c>
      <c r="HO128" s="1936">
        <v>564290</v>
      </c>
      <c r="HP128" s="1936">
        <v>4659811</v>
      </c>
      <c r="HQ128" s="1936">
        <v>129439.19444444444</v>
      </c>
      <c r="HR128" s="1988">
        <v>17258.559259259258</v>
      </c>
      <c r="HS128" s="1366">
        <v>0.5115151666022506</v>
      </c>
      <c r="HT128" s="1366">
        <v>4.0032310323315688E-2</v>
      </c>
      <c r="HU128" s="1366">
        <v>0.2911360568057374</v>
      </c>
      <c r="HV128" s="1366">
        <v>3.3844934912596242E-2</v>
      </c>
      <c r="HW128" s="1366">
        <v>2.3743452255896216E-3</v>
      </c>
      <c r="HX128" s="1366">
        <v>0.12109718613051045</v>
      </c>
      <c r="HY128" s="1366">
        <v>1</v>
      </c>
      <c r="HZ128" s="51"/>
      <c r="IA128" s="59">
        <f t="shared" si="1136"/>
        <v>0.38</v>
      </c>
      <c r="IB128" s="59"/>
      <c r="IC128" s="815">
        <f t="shared" si="1137"/>
        <v>1</v>
      </c>
      <c r="ID128" s="815"/>
      <c r="IE128" s="284">
        <f t="shared" si="1138"/>
        <v>0</v>
      </c>
      <c r="IF128" s="284"/>
      <c r="IG128" s="284">
        <f t="shared" si="1139"/>
        <v>55388.090107156393</v>
      </c>
      <c r="IH128" s="284"/>
      <c r="II128" s="1288">
        <f t="shared" si="1140"/>
        <v>0</v>
      </c>
      <c r="IJ128" s="1288">
        <f t="shared" si="1141"/>
        <v>0.75405123044285771</v>
      </c>
      <c r="IK128" s="284">
        <f t="shared" si="1142"/>
        <v>1</v>
      </c>
      <c r="IL128" s="284">
        <f t="shared" si="1143"/>
        <v>0</v>
      </c>
      <c r="IM128" s="284">
        <f t="shared" si="1144"/>
        <v>0</v>
      </c>
      <c r="IN128" s="284">
        <f t="shared" si="1145"/>
        <v>0</v>
      </c>
      <c r="IO128" s="753">
        <f t="shared" si="1146"/>
        <v>-5871.7726495726492</v>
      </c>
      <c r="IP128" s="113">
        <f t="shared" si="1147"/>
        <v>-6796.2390863561814</v>
      </c>
      <c r="IQ128" s="30">
        <f t="shared" si="1148"/>
        <v>-0.27615762236311181</v>
      </c>
      <c r="IR128" s="438">
        <f t="shared" si="1149"/>
        <v>5895145</v>
      </c>
      <c r="IS128" s="438">
        <f t="shared" si="1150"/>
        <v>1944660</v>
      </c>
      <c r="IT128" s="438">
        <f t="shared" si="1151"/>
        <v>5326261</v>
      </c>
      <c r="IU128" s="438">
        <f t="shared" si="1152"/>
        <v>1392421</v>
      </c>
      <c r="IV128" s="438">
        <f t="shared" si="1153"/>
        <v>4824453</v>
      </c>
      <c r="IW128" s="438">
        <f t="shared" si="1154"/>
        <v>3166644</v>
      </c>
      <c r="IX128" s="285">
        <f t="shared" si="1155"/>
        <v>0.75195046305360913</v>
      </c>
      <c r="IY128" s="285">
        <f t="shared" si="1156"/>
        <v>0.2480495369463909</v>
      </c>
      <c r="IZ128" s="285">
        <f t="shared" si="1157"/>
        <v>0.67938692352679686</v>
      </c>
      <c r="JA128" s="285">
        <f t="shared" si="1158"/>
        <v>0.17760913696195249</v>
      </c>
      <c r="JB128" s="285">
        <f t="shared" si="1159"/>
        <v>0.61537920904920462</v>
      </c>
      <c r="JC128" s="285">
        <f t="shared" si="1160"/>
        <v>0.40391871991714079</v>
      </c>
      <c r="JD128" s="60">
        <f t="shared" si="1161"/>
        <v>24877003</v>
      </c>
      <c r="JE128" s="60">
        <f t="shared" si="1162"/>
        <v>7363038</v>
      </c>
      <c r="JF128" s="60">
        <f t="shared" si="1163"/>
        <v>0</v>
      </c>
      <c r="JG128" s="60">
        <f t="shared" si="1164"/>
        <v>1339060</v>
      </c>
      <c r="JH128" s="284">
        <f t="shared" si="1165"/>
        <v>1</v>
      </c>
      <c r="JI128" s="284">
        <f t="shared" si="1166"/>
        <v>1</v>
      </c>
      <c r="JJ128" s="560">
        <f t="shared" si="1167"/>
        <v>0.77253257219077265</v>
      </c>
      <c r="JK128" s="561">
        <f t="shared" si="1168"/>
        <v>0.46839907088491584</v>
      </c>
      <c r="JL128" s="561">
        <f t="shared" si="1169"/>
        <v>0.11839473579654862</v>
      </c>
      <c r="JM128" s="561">
        <f t="shared" si="1170"/>
        <v>1.9102610449597376E-2</v>
      </c>
      <c r="JN128" s="561">
        <f t="shared" si="1171"/>
        <v>0.31078154023419685</v>
      </c>
      <c r="JO128" s="561">
        <f t="shared" si="1172"/>
        <v>1.6462096222961312E-2</v>
      </c>
      <c r="JP128" s="561">
        <f t="shared" si="1173"/>
        <v>1.6399174249717433E-2</v>
      </c>
      <c r="JQ128" s="561">
        <f t="shared" si="1174"/>
        <v>0.94953922783793743</v>
      </c>
      <c r="JR128" s="61">
        <f t="shared" si="1175"/>
        <v>0</v>
      </c>
      <c r="JS128" s="61">
        <f t="shared" si="1176"/>
        <v>0</v>
      </c>
      <c r="JT128" s="61">
        <f t="shared" si="1177"/>
        <v>0</v>
      </c>
      <c r="JU128" s="61">
        <f t="shared" si="1178"/>
        <v>0</v>
      </c>
      <c r="JV128" s="61">
        <f t="shared" si="1179"/>
        <v>0</v>
      </c>
      <c r="JW128" s="61">
        <f t="shared" si="1180"/>
        <v>0</v>
      </c>
      <c r="JX128" s="61">
        <f t="shared" si="1181"/>
        <v>0</v>
      </c>
      <c r="JY128" s="394">
        <f t="shared" si="1182"/>
        <v>0</v>
      </c>
      <c r="JZ128" s="61">
        <f t="shared" si="1183"/>
        <v>66210.111111111109</v>
      </c>
      <c r="KA128" s="61">
        <f t="shared" si="1184"/>
        <v>5181.75</v>
      </c>
      <c r="KB128" s="61">
        <f t="shared" si="1185"/>
        <v>37684.416666666664</v>
      </c>
      <c r="KC128" s="61">
        <f t="shared" si="1186"/>
        <v>4380.8611111111113</v>
      </c>
      <c r="KD128" s="61">
        <f t="shared" si="1187"/>
        <v>307.33333333333331</v>
      </c>
      <c r="KE128" s="61">
        <f t="shared" si="1188"/>
        <v>15674.722222222223</v>
      </c>
      <c r="KF128" s="61">
        <f t="shared" si="1189"/>
        <v>38600</v>
      </c>
      <c r="KG128" s="61">
        <f t="shared" si="1190"/>
        <v>270</v>
      </c>
      <c r="KH128" s="61">
        <f t="shared" si="1191"/>
        <v>60.364155709566681</v>
      </c>
      <c r="KI128" s="394">
        <f t="shared" si="1192"/>
        <v>0.12043139136902474</v>
      </c>
      <c r="KJ128" s="438">
        <f t="shared" si="1193"/>
        <v>36</v>
      </c>
      <c r="KK128" s="438">
        <f t="shared" si="1194"/>
        <v>77195</v>
      </c>
      <c r="KL128" s="438">
        <f t="shared" si="1195"/>
        <v>270</v>
      </c>
      <c r="KM128" s="438">
        <f t="shared" si="1196"/>
        <v>129439.19444444444</v>
      </c>
      <c r="KN128" s="438">
        <f t="shared" si="1197"/>
        <v>60.364155709566681</v>
      </c>
      <c r="KO128" s="438">
        <f t="shared" si="1198"/>
        <v>17258.559259259258</v>
      </c>
      <c r="KP128" s="438">
        <f t="shared" si="1199"/>
        <v>2383564</v>
      </c>
      <c r="KQ128" s="438">
        <f t="shared" si="1200"/>
        <v>186543</v>
      </c>
      <c r="KR128" s="438">
        <f t="shared" si="1201"/>
        <v>1356639</v>
      </c>
      <c r="KS128" s="438">
        <f t="shared" si="1202"/>
        <v>157711</v>
      </c>
      <c r="KT128" s="438">
        <f t="shared" si="1203"/>
        <v>11064</v>
      </c>
      <c r="KU128" s="438">
        <f t="shared" si="1204"/>
        <v>564290</v>
      </c>
      <c r="KV128" s="420">
        <f t="shared" si="1205"/>
        <v>0.12043139136902474</v>
      </c>
      <c r="KW128" s="420">
        <f t="shared" si="1206"/>
        <v>-0.16463080379899458</v>
      </c>
      <c r="KX128" s="108"/>
      <c r="KY128" s="282">
        <f t="shared" si="1207"/>
        <v>0</v>
      </c>
      <c r="KZ128" s="282"/>
      <c r="LA128" s="282">
        <f t="shared" si="1208"/>
        <v>0</v>
      </c>
      <c r="LB128" s="282"/>
      <c r="LC128" s="286">
        <f t="shared" si="951"/>
        <v>0</v>
      </c>
      <c r="LD128" s="286"/>
      <c r="LE128" s="282">
        <f t="shared" si="1209"/>
        <v>0</v>
      </c>
      <c r="LF128" s="282"/>
      <c r="LG128" s="282">
        <f t="shared" si="1210"/>
        <v>0</v>
      </c>
      <c r="LH128" s="282">
        <f t="shared" si="1211"/>
        <v>0</v>
      </c>
      <c r="LI128" s="282">
        <f t="shared" si="1212"/>
        <v>0</v>
      </c>
      <c r="LJ128" s="282">
        <f t="shared" si="1213"/>
        <v>0</v>
      </c>
      <c r="LK128" s="282"/>
      <c r="LL128" s="282">
        <f t="shared" si="1214"/>
        <v>0</v>
      </c>
      <c r="LM128" s="282">
        <f t="shared" si="1215"/>
        <v>0</v>
      </c>
      <c r="LN128" s="282">
        <f t="shared" si="1216"/>
        <v>0</v>
      </c>
      <c r="LO128" s="282">
        <f t="shared" si="1217"/>
        <v>0</v>
      </c>
      <c r="LP128" s="286">
        <f t="shared" si="1218"/>
        <v>0</v>
      </c>
      <c r="LQ128" s="282">
        <f t="shared" si="1219"/>
        <v>0</v>
      </c>
      <c r="LR128" s="282">
        <f t="shared" si="1220"/>
        <v>0</v>
      </c>
      <c r="LS128" s="282">
        <f t="shared" si="1221"/>
        <v>0</v>
      </c>
      <c r="LT128" s="286">
        <f t="shared" si="1222"/>
        <v>0</v>
      </c>
      <c r="LU128" s="286">
        <f t="shared" si="1223"/>
        <v>0</v>
      </c>
      <c r="LV128" s="286">
        <f t="shared" si="1224"/>
        <v>0</v>
      </c>
      <c r="LW128" s="286">
        <f t="shared" si="1225"/>
        <v>0</v>
      </c>
      <c r="LX128" s="286">
        <f t="shared" si="1226"/>
        <v>0</v>
      </c>
      <c r="LY128" s="286">
        <f t="shared" si="1227"/>
        <v>0</v>
      </c>
      <c r="LZ128" s="286">
        <f t="shared" si="1228"/>
        <v>0</v>
      </c>
      <c r="MA128" s="286">
        <f t="shared" si="1229"/>
        <v>0</v>
      </c>
      <c r="MB128" s="286">
        <f t="shared" si="1230"/>
        <v>0</v>
      </c>
      <c r="MC128" s="286">
        <f t="shared" si="1231"/>
        <v>0</v>
      </c>
      <c r="MD128" s="286">
        <f t="shared" si="1232"/>
        <v>0</v>
      </c>
      <c r="ME128" s="286">
        <f t="shared" si="1233"/>
        <v>0</v>
      </c>
      <c r="MF128" s="286">
        <f t="shared" si="1234"/>
        <v>0</v>
      </c>
      <c r="MG128" s="286">
        <f t="shared" si="1235"/>
        <v>0</v>
      </c>
      <c r="MH128" s="286">
        <f t="shared" si="1236"/>
        <v>0</v>
      </c>
      <c r="MI128" s="286">
        <f t="shared" si="1237"/>
        <v>0</v>
      </c>
      <c r="MJ128" s="286">
        <f t="shared" si="1238"/>
        <v>0</v>
      </c>
      <c r="MK128" s="286">
        <f t="shared" si="1239"/>
        <v>0</v>
      </c>
      <c r="ML128" s="282">
        <f t="shared" si="1240"/>
        <v>0</v>
      </c>
      <c r="MM128" s="1232">
        <f t="shared" si="1241"/>
        <v>0</v>
      </c>
      <c r="MN128" s="1232">
        <f t="shared" si="1242"/>
        <v>0</v>
      </c>
      <c r="MO128" s="1232">
        <f t="shared" si="1243"/>
        <v>0</v>
      </c>
      <c r="MP128" s="1232">
        <f t="shared" si="1244"/>
        <v>0</v>
      </c>
      <c r="MQ128" s="282">
        <f t="shared" si="1245"/>
        <v>0</v>
      </c>
      <c r="MR128" s="282">
        <f t="shared" si="1246"/>
        <v>0</v>
      </c>
      <c r="MS128" s="282">
        <f t="shared" si="1247"/>
        <v>0</v>
      </c>
      <c r="MT128" s="282">
        <f t="shared" si="1248"/>
        <v>0</v>
      </c>
      <c r="MU128" s="282">
        <f t="shared" si="1249"/>
        <v>0</v>
      </c>
      <c r="MV128" s="282">
        <f t="shared" si="1250"/>
        <v>0</v>
      </c>
      <c r="MW128" s="282">
        <f t="shared" si="1251"/>
        <v>0</v>
      </c>
      <c r="MX128" s="282">
        <f t="shared" si="1252"/>
        <v>0</v>
      </c>
      <c r="MY128" s="282">
        <f t="shared" si="1253"/>
        <v>0</v>
      </c>
      <c r="MZ128" s="282">
        <f t="shared" si="1254"/>
        <v>0</v>
      </c>
      <c r="NA128" s="282">
        <f t="shared" si="1255"/>
        <v>0</v>
      </c>
      <c r="NB128" s="282">
        <f t="shared" si="1256"/>
        <v>0</v>
      </c>
      <c r="NC128" s="282">
        <f t="shared" si="1257"/>
        <v>0</v>
      </c>
      <c r="ND128" s="282">
        <f t="shared" si="1258"/>
        <v>0</v>
      </c>
      <c r="NE128" s="282">
        <f t="shared" si="1259"/>
        <v>0</v>
      </c>
      <c r="NF128" s="282">
        <f t="shared" si="1260"/>
        <v>0</v>
      </c>
      <c r="NG128" s="282">
        <f t="shared" si="1261"/>
        <v>0</v>
      </c>
      <c r="NH128" s="282">
        <f t="shared" si="1262"/>
        <v>0</v>
      </c>
      <c r="NI128" s="282">
        <f t="shared" si="1263"/>
        <v>0</v>
      </c>
      <c r="NJ128" s="282">
        <f t="shared" si="1264"/>
        <v>0</v>
      </c>
      <c r="NK128" s="282">
        <f t="shared" si="1265"/>
        <v>0</v>
      </c>
      <c r="NL128" s="282">
        <f t="shared" si="1266"/>
        <v>0</v>
      </c>
      <c r="NM128" s="1205">
        <f t="shared" si="1267"/>
        <v>0</v>
      </c>
      <c r="NN128" s="282">
        <f t="shared" si="1268"/>
        <v>0</v>
      </c>
      <c r="NO128" s="282">
        <f t="shared" si="1269"/>
        <v>0</v>
      </c>
      <c r="NP128" s="282">
        <f t="shared" si="1270"/>
        <v>0</v>
      </c>
      <c r="NQ128" s="282">
        <f t="shared" si="1271"/>
        <v>0</v>
      </c>
      <c r="NR128" s="282">
        <f t="shared" si="1272"/>
        <v>0</v>
      </c>
      <c r="NS128" s="282">
        <f t="shared" si="1273"/>
        <v>0</v>
      </c>
      <c r="NT128" s="282">
        <f t="shared" si="1274"/>
        <v>0</v>
      </c>
      <c r="NU128" s="282">
        <f t="shared" si="1275"/>
        <v>0</v>
      </c>
      <c r="NV128" s="286">
        <f t="shared" si="1276"/>
        <v>0</v>
      </c>
      <c r="NW128" s="286">
        <f t="shared" si="1277"/>
        <v>0</v>
      </c>
      <c r="NX128" s="286">
        <f t="shared" si="1278"/>
        <v>0</v>
      </c>
      <c r="NY128" s="286">
        <f t="shared" si="1279"/>
        <v>0</v>
      </c>
      <c r="NZ128" s="286">
        <f t="shared" si="1280"/>
        <v>0</v>
      </c>
      <c r="OA128" s="286">
        <f t="shared" si="1281"/>
        <v>0</v>
      </c>
      <c r="OB128" s="286">
        <f t="shared" si="1282"/>
        <v>0</v>
      </c>
      <c r="OC128" s="286">
        <f t="shared" si="1283"/>
        <v>0</v>
      </c>
      <c r="OD128" s="286">
        <f t="shared" si="1284"/>
        <v>0</v>
      </c>
      <c r="OE128" s="282">
        <f t="shared" si="1285"/>
        <v>0</v>
      </c>
      <c r="OF128" s="282">
        <f t="shared" si="1286"/>
        <v>0</v>
      </c>
      <c r="OG128" s="286">
        <f t="shared" si="1287"/>
        <v>0</v>
      </c>
      <c r="OH128" s="286">
        <f t="shared" si="1288"/>
        <v>0</v>
      </c>
      <c r="OI128" s="286">
        <f t="shared" si="1289"/>
        <v>0</v>
      </c>
      <c r="OJ128" s="286">
        <f t="shared" si="1290"/>
        <v>0</v>
      </c>
      <c r="OK128" s="286">
        <f t="shared" si="1291"/>
        <v>0</v>
      </c>
      <c r="OL128" s="286">
        <f t="shared" si="1292"/>
        <v>0</v>
      </c>
      <c r="OM128" s="286">
        <f t="shared" si="1293"/>
        <v>0</v>
      </c>
      <c r="ON128" s="286">
        <f t="shared" si="1294"/>
        <v>0</v>
      </c>
      <c r="OO128" s="286">
        <f t="shared" si="1295"/>
        <v>0</v>
      </c>
      <c r="OP128" s="434">
        <f t="shared" si="1296"/>
        <v>0</v>
      </c>
      <c r="OQ128" s="434">
        <f t="shared" si="1297"/>
        <v>0</v>
      </c>
      <c r="OR128" s="282">
        <f t="shared" si="1298"/>
        <v>0</v>
      </c>
      <c r="OS128" s="282">
        <f t="shared" si="1299"/>
        <v>0</v>
      </c>
      <c r="OT128" s="282">
        <f t="shared" si="1300"/>
        <v>0</v>
      </c>
      <c r="OU128" s="282">
        <f t="shared" si="1301"/>
        <v>0</v>
      </c>
      <c r="OV128" s="282">
        <f t="shared" si="1302"/>
        <v>0</v>
      </c>
      <c r="OW128" s="286">
        <f t="shared" si="1303"/>
        <v>0</v>
      </c>
      <c r="OX128" s="286">
        <f t="shared" si="1304"/>
        <v>0</v>
      </c>
      <c r="OY128" s="286">
        <f t="shared" si="1305"/>
        <v>0</v>
      </c>
      <c r="OZ128" s="286">
        <f t="shared" si="1306"/>
        <v>0</v>
      </c>
      <c r="PA128" s="286">
        <f t="shared" si="1307"/>
        <v>0</v>
      </c>
      <c r="PB128" s="286">
        <f t="shared" si="1308"/>
        <v>0</v>
      </c>
      <c r="PC128" s="286">
        <f t="shared" si="1309"/>
        <v>0</v>
      </c>
      <c r="PD128" s="282">
        <f t="shared" si="1310"/>
        <v>0</v>
      </c>
      <c r="PE128" s="282">
        <f t="shared" si="1311"/>
        <v>0</v>
      </c>
      <c r="PF128" s="286">
        <f t="shared" si="1312"/>
        <v>0</v>
      </c>
      <c r="PG128" s="286">
        <f t="shared" si="1313"/>
        <v>0</v>
      </c>
      <c r="PH128" s="286">
        <f t="shared" si="1314"/>
        <v>0</v>
      </c>
      <c r="PI128" s="286">
        <f t="shared" si="1315"/>
        <v>0</v>
      </c>
      <c r="PJ128" s="286">
        <f t="shared" si="1316"/>
        <v>0</v>
      </c>
      <c r="PK128" s="286">
        <f t="shared" si="1317"/>
        <v>0</v>
      </c>
      <c r="PL128" s="286">
        <f t="shared" si="1318"/>
        <v>0</v>
      </c>
      <c r="PM128" s="562">
        <v>72</v>
      </c>
    </row>
    <row r="129" spans="1:429" s="289" customFormat="1" ht="15.75" customHeight="1">
      <c r="A129" s="1935" t="s">
        <v>1008</v>
      </c>
      <c r="B129" s="1040" t="str">
        <f>VLOOKUP(A129,'Area (&amp;golfacre for lookup)'!$A$2:$B$162,2,FALSE)</f>
        <v>BOCA</v>
      </c>
      <c r="C129" s="1936"/>
      <c r="D129" s="1937">
        <v>44865</v>
      </c>
      <c r="E129" s="402"/>
      <c r="F129" s="1936">
        <v>1</v>
      </c>
      <c r="G129" s="1936">
        <v>1</v>
      </c>
      <c r="H129" s="1936">
        <v>386</v>
      </c>
      <c r="I129" s="1936">
        <v>93</v>
      </c>
      <c r="J129" s="1936">
        <v>479</v>
      </c>
      <c r="K129" s="1938">
        <v>503.08504075787619</v>
      </c>
      <c r="L129" s="1939" t="s">
        <v>1208</v>
      </c>
      <c r="M129" s="1939" t="s">
        <v>1208</v>
      </c>
      <c r="N129" s="1939" t="s">
        <v>1208</v>
      </c>
      <c r="O129" s="1939" t="s">
        <v>1208</v>
      </c>
      <c r="P129" s="1939" t="s">
        <v>1208</v>
      </c>
      <c r="Q129" s="1936">
        <v>20000</v>
      </c>
      <c r="R129" s="1936">
        <v>120000</v>
      </c>
      <c r="S129" s="1936">
        <v>140000</v>
      </c>
      <c r="T129" s="1939" t="s">
        <v>1208</v>
      </c>
      <c r="U129" s="1939" t="s">
        <v>1208</v>
      </c>
      <c r="V129" s="1939" t="s">
        <v>1208</v>
      </c>
      <c r="W129" s="1936">
        <v>30223</v>
      </c>
      <c r="X129" s="1936">
        <v>27234</v>
      </c>
      <c r="Y129" s="1939" t="s">
        <v>1208</v>
      </c>
      <c r="Z129" s="1939" t="s">
        <v>1208</v>
      </c>
      <c r="AA129" s="1936">
        <v>2989</v>
      </c>
      <c r="AB129" s="1362">
        <v>0.10975251523830507</v>
      </c>
      <c r="AC129" s="1939" t="s">
        <v>1208</v>
      </c>
      <c r="AD129" s="1363" t="s">
        <v>1208</v>
      </c>
      <c r="AE129" s="1936">
        <v>1</v>
      </c>
      <c r="AF129" s="1936">
        <v>1473</v>
      </c>
      <c r="AG129" s="1939" t="s">
        <v>1208</v>
      </c>
      <c r="AH129" s="1936">
        <v>1</v>
      </c>
      <c r="AI129" s="1936">
        <v>900</v>
      </c>
      <c r="AJ129" s="1939" t="s">
        <v>1208</v>
      </c>
      <c r="AK129" s="1938">
        <v>1</v>
      </c>
      <c r="AL129" s="1938">
        <v>5522</v>
      </c>
      <c r="AM129" s="1936">
        <v>35129</v>
      </c>
      <c r="AN129" s="1939" t="s">
        <v>1208</v>
      </c>
      <c r="AO129" s="1936">
        <v>2000</v>
      </c>
      <c r="AP129" s="1936">
        <v>0</v>
      </c>
      <c r="AQ129" s="1936">
        <v>37129</v>
      </c>
      <c r="AR129" s="1939" t="s">
        <v>1208</v>
      </c>
      <c r="AS129" s="1363" t="s">
        <v>1208</v>
      </c>
      <c r="AT129" s="1363" t="s">
        <v>1208</v>
      </c>
      <c r="AU129" s="1363" t="s">
        <v>1208</v>
      </c>
      <c r="AV129" s="1363" t="s">
        <v>1208</v>
      </c>
      <c r="AW129" s="1363" t="s">
        <v>1291</v>
      </c>
      <c r="AX129" s="1938">
        <v>0</v>
      </c>
      <c r="AY129" s="1938">
        <v>0</v>
      </c>
      <c r="AZ129" s="1938">
        <v>0</v>
      </c>
      <c r="BA129" s="1938">
        <v>0</v>
      </c>
      <c r="BB129" s="1938">
        <v>0</v>
      </c>
      <c r="BC129" s="1938">
        <v>0</v>
      </c>
      <c r="BD129" s="1938">
        <v>0</v>
      </c>
      <c r="BE129" s="1936">
        <v>1</v>
      </c>
      <c r="BF129" s="1936">
        <v>700000</v>
      </c>
      <c r="BG129" s="1936">
        <v>3169530</v>
      </c>
      <c r="BH129" s="1936">
        <v>3869530</v>
      </c>
      <c r="BI129" s="1938">
        <v>32313987</v>
      </c>
      <c r="BJ129" s="1936">
        <v>2138485</v>
      </c>
      <c r="BK129" s="1936">
        <v>3835603</v>
      </c>
      <c r="BL129" s="1362">
        <v>0.55753554265131189</v>
      </c>
      <c r="BM129" s="1936">
        <v>1</v>
      </c>
      <c r="BN129" s="1936">
        <v>20217295</v>
      </c>
      <c r="BO129" s="1363" t="s">
        <v>1208</v>
      </c>
      <c r="BP129" s="1938">
        <v>14361402</v>
      </c>
      <c r="BQ129" s="1938">
        <v>5249473</v>
      </c>
      <c r="BR129" s="1940">
        <v>2.7357797630352607</v>
      </c>
      <c r="BS129" s="1409">
        <v>1</v>
      </c>
      <c r="BT129" s="1938">
        <v>23740845</v>
      </c>
      <c r="BU129" s="1938">
        <v>24337028</v>
      </c>
      <c r="BV129" s="1940">
        <v>0.97550304827688905</v>
      </c>
      <c r="BW129" s="1936">
        <v>40186.635185064348</v>
      </c>
      <c r="BX129" s="1936">
        <v>4250.7425718293343</v>
      </c>
      <c r="BY129" s="1936">
        <v>7691.6021875162851</v>
      </c>
      <c r="BZ129" s="1936">
        <v>1170661</v>
      </c>
      <c r="CA129" s="1936">
        <v>384338</v>
      </c>
      <c r="CB129" s="1936">
        <v>633198</v>
      </c>
      <c r="CC129" s="1936">
        <v>573250</v>
      </c>
      <c r="CD129" s="1936">
        <v>13701018</v>
      </c>
      <c r="CE129" s="1936">
        <v>419955</v>
      </c>
      <c r="CF129" s="1936">
        <v>0</v>
      </c>
      <c r="CG129" s="1936">
        <v>2884021</v>
      </c>
      <c r="CH129" s="1936">
        <v>978723</v>
      </c>
      <c r="CI129" s="1936">
        <v>342180</v>
      </c>
      <c r="CJ129" s="1936">
        <v>21087344</v>
      </c>
      <c r="CK129" s="1366">
        <v>5.5514862374322724E-2</v>
      </c>
      <c r="CL129" s="1366">
        <v>1.8226003236822996E-2</v>
      </c>
      <c r="CM129" s="1366">
        <v>3.0027394630637218E-2</v>
      </c>
      <c r="CN129" s="1366">
        <v>2.7184552023241999E-2</v>
      </c>
      <c r="CO129" s="1366">
        <v>0.64972705903597916</v>
      </c>
      <c r="CP129" s="1366">
        <v>1.9915025808845344E-2</v>
      </c>
      <c r="CQ129" s="1366">
        <v>0</v>
      </c>
      <c r="CR129" s="1366">
        <v>0.13676549308438274</v>
      </c>
      <c r="CS129" s="1366">
        <v>4.6412815193795864E-2</v>
      </c>
      <c r="CT129" s="1366">
        <v>1.6226794611971997E-2</v>
      </c>
      <c r="CU129" s="1366">
        <v>1</v>
      </c>
      <c r="CV129" s="1936">
        <v>11516311</v>
      </c>
      <c r="CW129" s="1936">
        <v>2187553</v>
      </c>
      <c r="CX129" s="1936">
        <v>557285</v>
      </c>
      <c r="CY129" s="1936">
        <v>6540062</v>
      </c>
      <c r="CZ129" s="1936">
        <v>457840</v>
      </c>
      <c r="DA129" s="1936">
        <v>412634</v>
      </c>
      <c r="DB129" s="1936">
        <v>21671685</v>
      </c>
      <c r="DC129" s="1366">
        <v>0.53139896597795699</v>
      </c>
      <c r="DD129" s="1366">
        <v>0.10094060521828367</v>
      </c>
      <c r="DE129" s="1366">
        <v>2.5714890189664531E-2</v>
      </c>
      <c r="DF129" s="1366">
        <v>0.30177911869796925</v>
      </c>
      <c r="DG129" s="1366">
        <v>2.1126183773896676E-2</v>
      </c>
      <c r="DH129" s="1366">
        <v>1.9040236142228904E-2</v>
      </c>
      <c r="DI129" s="1366">
        <v>1</v>
      </c>
      <c r="DJ129" s="1936">
        <v>-584341</v>
      </c>
      <c r="DK129" s="1936">
        <v>2326.9644397226543</v>
      </c>
      <c r="DL129" s="1936">
        <v>763.9622903933124</v>
      </c>
      <c r="DM129" s="1936">
        <v>1258.6301493801409</v>
      </c>
      <c r="DN129" s="1936">
        <v>1139.4693810343144</v>
      </c>
      <c r="DO129" s="1936">
        <v>27234</v>
      </c>
      <c r="DP129" s="1936">
        <v>834.75946604843523</v>
      </c>
      <c r="DQ129" s="1936">
        <v>0</v>
      </c>
      <c r="DR129" s="1936">
        <v>5732.6709529175132</v>
      </c>
      <c r="DS129" s="1936">
        <v>1945.4424614287784</v>
      </c>
      <c r="DT129" s="1936">
        <v>680.16333676811462</v>
      </c>
      <c r="DU129" s="1936">
        <v>41916.06247769326</v>
      </c>
      <c r="DV129" s="1936">
        <v>22891.380317433348</v>
      </c>
      <c r="DW129" s="1936">
        <v>4348.2767778277494</v>
      </c>
      <c r="DX129" s="1936">
        <v>1107.7351836192026</v>
      </c>
      <c r="DY129" s="1936">
        <v>12999.913474166664</v>
      </c>
      <c r="DZ129" s="1936">
        <v>910.06482583994853</v>
      </c>
      <c r="EA129" s="1936">
        <v>820.20725438065983</v>
      </c>
      <c r="EB129" s="1936">
        <v>43077.577833267569</v>
      </c>
      <c r="EC129" s="1936">
        <v>-1161.5153555743084</v>
      </c>
      <c r="ED129" s="1941">
        <v>174</v>
      </c>
      <c r="EE129" s="1936">
        <v>1</v>
      </c>
      <c r="EF129" s="1936">
        <v>30</v>
      </c>
      <c r="EG129" s="1938">
        <v>231170</v>
      </c>
      <c r="EH129" s="1938">
        <v>1</v>
      </c>
      <c r="EI129" s="1368">
        <v>8.3000000000000004E-2</v>
      </c>
      <c r="EJ129" s="1936">
        <v>2.8912933376889436</v>
      </c>
      <c r="EK129" s="1936">
        <v>1</v>
      </c>
      <c r="EL129" s="1936">
        <v>2000</v>
      </c>
      <c r="EM129" s="1936">
        <v>0</v>
      </c>
      <c r="EN129" s="1362">
        <v>0</v>
      </c>
      <c r="EO129" s="1936">
        <v>0</v>
      </c>
      <c r="EP129" s="1936">
        <v>0</v>
      </c>
      <c r="EQ129" s="1936">
        <v>0</v>
      </c>
      <c r="ER129" s="1938">
        <v>1</v>
      </c>
      <c r="ES129" s="1936">
        <v>7678.1134143462914</v>
      </c>
      <c r="ET129" s="1936">
        <v>-6974.8927432107603</v>
      </c>
      <c r="EU129" s="1938">
        <v>2</v>
      </c>
      <c r="EV129" s="1936">
        <v>96564</v>
      </c>
      <c r="EW129" s="1936">
        <v>6867</v>
      </c>
      <c r="EX129" s="1938">
        <v>0</v>
      </c>
      <c r="EY129" s="1936">
        <v>2884021</v>
      </c>
      <c r="EZ129" s="1936">
        <v>1701543</v>
      </c>
      <c r="FA129" s="1936">
        <v>1182478</v>
      </c>
      <c r="FB129" s="1936">
        <v>978723</v>
      </c>
      <c r="FC129" s="1936">
        <v>486010</v>
      </c>
      <c r="FD129" s="1936">
        <v>492713</v>
      </c>
      <c r="FE129" s="1936">
        <v>3862744</v>
      </c>
      <c r="FF129" s="1936">
        <v>2187553</v>
      </c>
      <c r="FG129" s="1936">
        <v>1675191</v>
      </c>
      <c r="FH129" s="1366">
        <v>1</v>
      </c>
      <c r="FI129" s="1366">
        <v>0.58998980936685275</v>
      </c>
      <c r="FJ129" s="1366">
        <v>0.41001019063314725</v>
      </c>
      <c r="FK129" s="1366">
        <v>1</v>
      </c>
      <c r="FL129" s="1366">
        <v>0.49657563988993819</v>
      </c>
      <c r="FM129" s="1366">
        <v>0.50342436011006175</v>
      </c>
      <c r="FN129" s="1366">
        <v>1</v>
      </c>
      <c r="FO129" s="1366">
        <v>0.56632098839581391</v>
      </c>
      <c r="FP129" s="1366">
        <v>0.43367901160418604</v>
      </c>
      <c r="FQ129" s="1936">
        <v>3696494.2</v>
      </c>
      <c r="FR129" s="1936">
        <v>0</v>
      </c>
      <c r="FS129" s="1936">
        <v>735417</v>
      </c>
      <c r="FT129" s="1936">
        <v>124745</v>
      </c>
      <c r="FU129" s="1936">
        <v>61157</v>
      </c>
      <c r="FV129" s="1936">
        <v>27545</v>
      </c>
      <c r="FW129" s="1936">
        <v>538797</v>
      </c>
      <c r="FX129" s="1936">
        <v>5184155.2</v>
      </c>
      <c r="FY129" s="1936">
        <v>-3508964.2</v>
      </c>
      <c r="FZ129" s="1366">
        <v>0.95696069944060491</v>
      </c>
      <c r="GA129" s="1366">
        <v>0</v>
      </c>
      <c r="GB129" s="1366">
        <v>0.19038719625219791</v>
      </c>
      <c r="GC129" s="1366">
        <v>3.2294400043078188E-2</v>
      </c>
      <c r="GD129" s="1366">
        <v>1.5832527343256502E-2</v>
      </c>
      <c r="GE129" s="1366">
        <v>7.130941113363971E-3</v>
      </c>
      <c r="GF129" s="1366">
        <v>0.1394855574172143</v>
      </c>
      <c r="GG129" s="1366">
        <v>1.3420913216097159</v>
      </c>
      <c r="GH129" s="1366">
        <v>-0.9084123100055298</v>
      </c>
      <c r="GI129" s="1942">
        <v>2.9467183258184391</v>
      </c>
      <c r="GJ129" s="1943">
        <v>1</v>
      </c>
      <c r="GK129" s="1371">
        <v>0.01</v>
      </c>
      <c r="GL129" s="1943">
        <v>1</v>
      </c>
      <c r="GM129" s="1371">
        <v>0.03</v>
      </c>
      <c r="GN129" s="1943">
        <v>18</v>
      </c>
      <c r="GO129" s="1985">
        <f>IF(GN129=0,0,VLOOKUP(A129,'Area (&amp;golfacre for lookup)'!$G$2:$H$133,2,FALSE))</f>
        <v>120</v>
      </c>
      <c r="GP129" s="1943">
        <v>36119</v>
      </c>
      <c r="GQ129" s="1943">
        <v>957573</v>
      </c>
      <c r="GR129" s="1943">
        <v>207827</v>
      </c>
      <c r="GS129" s="1943">
        <v>496922</v>
      </c>
      <c r="GT129" s="1943">
        <v>91394</v>
      </c>
      <c r="GU129" s="1943">
        <v>0</v>
      </c>
      <c r="GV129" s="1943">
        <v>75488</v>
      </c>
      <c r="GW129" s="1943">
        <v>1829204</v>
      </c>
      <c r="GX129" s="1943">
        <v>101622.44444444444</v>
      </c>
      <c r="GY129" s="1985">
        <f t="shared" si="1319"/>
        <v>15243.366666666667</v>
      </c>
      <c r="GZ129" s="1366">
        <v>0.52349163898613826</v>
      </c>
      <c r="HA129" s="1366">
        <v>0.11361608656005563</v>
      </c>
      <c r="HB129" s="1366">
        <v>0.27166024128528038</v>
      </c>
      <c r="HC129" s="1366">
        <v>4.9963809394687524E-2</v>
      </c>
      <c r="HD129" s="1366">
        <v>0</v>
      </c>
      <c r="HE129" s="1366">
        <v>4.1268223773838236E-2</v>
      </c>
      <c r="HF129" s="1366">
        <v>1</v>
      </c>
      <c r="HG129" s="1936">
        <v>0</v>
      </c>
      <c r="HH129" s="1988">
        <f>IF(HG129=0,0,VLOOKUP(A129,'Area (&amp;golfacre for lookup)'!$G$2:$H$134,2,FALSE))</f>
        <v>0</v>
      </c>
      <c r="HI129" s="1936">
        <v>0</v>
      </c>
      <c r="HJ129" s="1936">
        <v>0</v>
      </c>
      <c r="HK129" s="1936">
        <v>0</v>
      </c>
      <c r="HL129" s="1936">
        <v>0</v>
      </c>
      <c r="HM129" s="1936">
        <v>0</v>
      </c>
      <c r="HN129" s="1936">
        <v>0</v>
      </c>
      <c r="HO129" s="1936">
        <v>0</v>
      </c>
      <c r="HP129" s="1936">
        <v>0</v>
      </c>
      <c r="HQ129" s="1936">
        <v>0</v>
      </c>
      <c r="HR129" s="1988">
        <f t="shared" si="1320"/>
        <v>0</v>
      </c>
      <c r="HS129" s="1936">
        <v>0</v>
      </c>
      <c r="HT129" s="1936">
        <v>0</v>
      </c>
      <c r="HU129" s="1936">
        <v>0</v>
      </c>
      <c r="HV129" s="1936">
        <v>0</v>
      </c>
      <c r="HW129" s="1936">
        <v>0</v>
      </c>
      <c r="HX129" s="1936">
        <v>0</v>
      </c>
      <c r="HY129" s="1936">
        <v>0</v>
      </c>
      <c r="HZ129" s="51"/>
      <c r="IA129" s="59">
        <f t="shared" si="1136"/>
        <v>0.14000000000000001</v>
      </c>
      <c r="IB129" s="59"/>
      <c r="IC129" s="815">
        <f t="shared" si="1137"/>
        <v>1</v>
      </c>
      <c r="ID129" s="815"/>
      <c r="IE129" s="284">
        <f t="shared" si="1138"/>
        <v>0</v>
      </c>
      <c r="IF129" s="284"/>
      <c r="IG129" s="284">
        <f t="shared" si="1139"/>
        <v>64231.659425452912</v>
      </c>
      <c r="IH129" s="284"/>
      <c r="II129" s="1288">
        <f t="shared" si="1140"/>
        <v>2.7357797630352607</v>
      </c>
      <c r="IJ129" s="1288">
        <f t="shared" si="1141"/>
        <v>0</v>
      </c>
      <c r="IK129" s="284">
        <f t="shared" si="1142"/>
        <v>0</v>
      </c>
      <c r="IL129" s="284">
        <f t="shared" si="1143"/>
        <v>0</v>
      </c>
      <c r="IM129" s="284">
        <f t="shared" si="1144"/>
        <v>0</v>
      </c>
      <c r="IN129" s="284">
        <f t="shared" si="1145"/>
        <v>0</v>
      </c>
      <c r="IO129" s="753">
        <f t="shared" si="1146"/>
        <v>-7325.6037578288106</v>
      </c>
      <c r="IP129" s="113">
        <f t="shared" si="1147"/>
        <v>-6974.8927432107603</v>
      </c>
      <c r="IQ129" s="30">
        <f t="shared" si="1148"/>
        <v>-0.25610974308624368</v>
      </c>
      <c r="IR129" s="438">
        <f t="shared" si="1149"/>
        <v>2884021</v>
      </c>
      <c r="IS129" s="438">
        <f t="shared" si="1150"/>
        <v>978723</v>
      </c>
      <c r="IT129" s="438">
        <f t="shared" si="1151"/>
        <v>3696494.2</v>
      </c>
      <c r="IU129" s="438">
        <f t="shared" si="1152"/>
        <v>860162</v>
      </c>
      <c r="IV129" s="438">
        <f t="shared" si="1153"/>
        <v>2187553</v>
      </c>
      <c r="IW129" s="438">
        <f t="shared" si="1154"/>
        <v>627499</v>
      </c>
      <c r="IX129" s="285">
        <f t="shared" si="1155"/>
        <v>0.74662493812688602</v>
      </c>
      <c r="IY129" s="285">
        <f t="shared" si="1156"/>
        <v>0.25337506187311404</v>
      </c>
      <c r="IZ129" s="285">
        <f t="shared" si="1157"/>
        <v>0.95696069944060491</v>
      </c>
      <c r="JA129" s="285">
        <f t="shared" si="1158"/>
        <v>0.22268159629527609</v>
      </c>
      <c r="JB129" s="285">
        <f t="shared" si="1159"/>
        <v>0.56632098839581391</v>
      </c>
      <c r="JC129" s="285">
        <f t="shared" si="1160"/>
        <v>0.16244902587383478</v>
      </c>
      <c r="JD129" s="60">
        <f t="shared" si="1161"/>
        <v>14120973</v>
      </c>
      <c r="JE129" s="60">
        <f t="shared" si="1162"/>
        <v>2761447</v>
      </c>
      <c r="JF129" s="60">
        <f t="shared" si="1163"/>
        <v>0</v>
      </c>
      <c r="JG129" s="60">
        <f t="shared" si="1164"/>
        <v>870474</v>
      </c>
      <c r="JH129" s="284">
        <f t="shared" si="1165"/>
        <v>0</v>
      </c>
      <c r="JI129" s="284">
        <f t="shared" si="1166"/>
        <v>1</v>
      </c>
      <c r="JJ129" s="560">
        <f t="shared" si="1167"/>
        <v>0.88011175019504173</v>
      </c>
      <c r="JK129" s="561">
        <f t="shared" si="1168"/>
        <v>0.54612430090769137</v>
      </c>
      <c r="JL129" s="561">
        <f t="shared" si="1169"/>
        <v>0.10373772059677122</v>
      </c>
      <c r="JM129" s="561">
        <f t="shared" si="1170"/>
        <v>2.6427462842167321E-2</v>
      </c>
      <c r="JN129" s="561">
        <f t="shared" si="1171"/>
        <v>0.31014157117178909</v>
      </c>
      <c r="JO129" s="561">
        <f t="shared" si="1172"/>
        <v>2.1711601043735047E-2</v>
      </c>
      <c r="JP129" s="561">
        <f t="shared" si="1173"/>
        <v>1.956785074497765E-2</v>
      </c>
      <c r="JQ129" s="561">
        <f t="shared" si="1174"/>
        <v>1.0277105073071318</v>
      </c>
      <c r="JR129" s="61">
        <f t="shared" si="1175"/>
        <v>53198.5</v>
      </c>
      <c r="JS129" s="61">
        <f t="shared" si="1176"/>
        <v>11545.944444444445</v>
      </c>
      <c r="JT129" s="61">
        <f t="shared" si="1177"/>
        <v>27606.777777777777</v>
      </c>
      <c r="JU129" s="61">
        <f t="shared" si="1178"/>
        <v>5077.4444444444443</v>
      </c>
      <c r="JV129" s="61">
        <f t="shared" si="1179"/>
        <v>0</v>
      </c>
      <c r="JW129" s="61">
        <f t="shared" si="1180"/>
        <v>4193.7777777777774</v>
      </c>
      <c r="JX129" s="61">
        <f t="shared" si="1181"/>
        <v>50.643816273983219</v>
      </c>
      <c r="JY129" s="394">
        <f t="shared" si="1182"/>
        <v>8.4405250445454522E-2</v>
      </c>
      <c r="JZ129" s="61">
        <f t="shared" si="1183"/>
        <v>0</v>
      </c>
      <c r="KA129" s="61">
        <f t="shared" si="1184"/>
        <v>0</v>
      </c>
      <c r="KB129" s="61">
        <f t="shared" si="1185"/>
        <v>0</v>
      </c>
      <c r="KC129" s="61">
        <f t="shared" si="1186"/>
        <v>0</v>
      </c>
      <c r="KD129" s="61">
        <f t="shared" si="1187"/>
        <v>0</v>
      </c>
      <c r="KE129" s="61">
        <f t="shared" si="1188"/>
        <v>0</v>
      </c>
      <c r="KF129" s="61">
        <f t="shared" si="1189"/>
        <v>0</v>
      </c>
      <c r="KG129" s="61">
        <f t="shared" si="1190"/>
        <v>0</v>
      </c>
      <c r="KH129" s="61">
        <f t="shared" si="1191"/>
        <v>0</v>
      </c>
      <c r="KI129" s="394">
        <f t="shared" si="1192"/>
        <v>0</v>
      </c>
      <c r="KJ129" s="438">
        <f t="shared" si="1193"/>
        <v>18</v>
      </c>
      <c r="KK129" s="438">
        <f t="shared" si="1194"/>
        <v>36119</v>
      </c>
      <c r="KL129" s="438">
        <f t="shared" si="1195"/>
        <v>120</v>
      </c>
      <c r="KM129" s="438">
        <f t="shared" si="1196"/>
        <v>101622.44444444444</v>
      </c>
      <c r="KN129" s="438">
        <f t="shared" si="1197"/>
        <v>50.643816273983219</v>
      </c>
      <c r="KO129" s="438">
        <f t="shared" si="1198"/>
        <v>15243.366666666667</v>
      </c>
      <c r="KP129" s="438">
        <f t="shared" si="1199"/>
        <v>957573</v>
      </c>
      <c r="KQ129" s="438">
        <f t="shared" si="1200"/>
        <v>207827</v>
      </c>
      <c r="KR129" s="438">
        <f t="shared" si="1201"/>
        <v>496922</v>
      </c>
      <c r="KS129" s="438">
        <f t="shared" si="1202"/>
        <v>91394</v>
      </c>
      <c r="KT129" s="438">
        <f t="shared" si="1203"/>
        <v>0</v>
      </c>
      <c r="KU129" s="438">
        <f t="shared" si="1204"/>
        <v>75488</v>
      </c>
      <c r="KV129" s="420">
        <f t="shared" si="1205"/>
        <v>8.4405250445454522E-2</v>
      </c>
      <c r="KW129" s="420">
        <f t="shared" si="1206"/>
        <v>-0.12799895598998556</v>
      </c>
      <c r="KX129" s="108"/>
      <c r="KY129" s="282">
        <f t="shared" si="1207"/>
        <v>0</v>
      </c>
      <c r="KZ129" s="282"/>
      <c r="LA129" s="282">
        <f t="shared" si="1208"/>
        <v>0</v>
      </c>
      <c r="LB129" s="282"/>
      <c r="LC129" s="286">
        <f t="shared" si="951"/>
        <v>0</v>
      </c>
      <c r="LD129" s="286"/>
      <c r="LE129" s="282">
        <f t="shared" si="1209"/>
        <v>0</v>
      </c>
      <c r="LF129" s="282"/>
      <c r="LG129" s="282">
        <f t="shared" si="1210"/>
        <v>0</v>
      </c>
      <c r="LH129" s="282">
        <f t="shared" si="1211"/>
        <v>0</v>
      </c>
      <c r="LI129" s="282">
        <f t="shared" si="1212"/>
        <v>0</v>
      </c>
      <c r="LJ129" s="282">
        <f t="shared" si="1213"/>
        <v>0</v>
      </c>
      <c r="LK129" s="282"/>
      <c r="LL129" s="282">
        <f t="shared" si="1214"/>
        <v>0</v>
      </c>
      <c r="LM129" s="282">
        <f t="shared" si="1215"/>
        <v>0</v>
      </c>
      <c r="LN129" s="282">
        <f t="shared" si="1216"/>
        <v>0</v>
      </c>
      <c r="LO129" s="282">
        <f t="shared" si="1217"/>
        <v>0</v>
      </c>
      <c r="LP129" s="286">
        <f t="shared" si="1218"/>
        <v>0</v>
      </c>
      <c r="LQ129" s="282">
        <f t="shared" si="1219"/>
        <v>0</v>
      </c>
      <c r="LR129" s="282">
        <f t="shared" si="1220"/>
        <v>0</v>
      </c>
      <c r="LS129" s="282">
        <f t="shared" si="1221"/>
        <v>0</v>
      </c>
      <c r="LT129" s="286">
        <f t="shared" si="1222"/>
        <v>0</v>
      </c>
      <c r="LU129" s="286">
        <f t="shared" si="1223"/>
        <v>0</v>
      </c>
      <c r="LV129" s="286">
        <f t="shared" si="1224"/>
        <v>0</v>
      </c>
      <c r="LW129" s="286">
        <f t="shared" si="1225"/>
        <v>0</v>
      </c>
      <c r="LX129" s="286">
        <f t="shared" si="1226"/>
        <v>0</v>
      </c>
      <c r="LY129" s="286">
        <f t="shared" si="1227"/>
        <v>0</v>
      </c>
      <c r="LZ129" s="286">
        <f t="shared" si="1228"/>
        <v>0</v>
      </c>
      <c r="MA129" s="286">
        <f t="shared" si="1229"/>
        <v>0</v>
      </c>
      <c r="MB129" s="286">
        <f t="shared" si="1230"/>
        <v>0</v>
      </c>
      <c r="MC129" s="286">
        <f t="shared" si="1231"/>
        <v>0</v>
      </c>
      <c r="MD129" s="286">
        <f t="shared" si="1232"/>
        <v>0</v>
      </c>
      <c r="ME129" s="286">
        <f t="shared" si="1233"/>
        <v>0</v>
      </c>
      <c r="MF129" s="286">
        <f t="shared" si="1234"/>
        <v>0</v>
      </c>
      <c r="MG129" s="286">
        <f t="shared" si="1235"/>
        <v>0</v>
      </c>
      <c r="MH129" s="286">
        <f t="shared" si="1236"/>
        <v>0</v>
      </c>
      <c r="MI129" s="286">
        <f t="shared" si="1237"/>
        <v>0</v>
      </c>
      <c r="MJ129" s="286">
        <f t="shared" si="1238"/>
        <v>0</v>
      </c>
      <c r="MK129" s="286">
        <f t="shared" si="1239"/>
        <v>0</v>
      </c>
      <c r="ML129" s="282">
        <f t="shared" si="1240"/>
        <v>0</v>
      </c>
      <c r="MM129" s="1232">
        <f t="shared" si="1241"/>
        <v>0</v>
      </c>
      <c r="MN129" s="1232">
        <f t="shared" si="1242"/>
        <v>0</v>
      </c>
      <c r="MO129" s="1232">
        <f t="shared" si="1243"/>
        <v>0</v>
      </c>
      <c r="MP129" s="1232">
        <f t="shared" si="1244"/>
        <v>0</v>
      </c>
      <c r="MQ129" s="282">
        <f t="shared" si="1245"/>
        <v>0</v>
      </c>
      <c r="MR129" s="282">
        <f t="shared" si="1246"/>
        <v>0</v>
      </c>
      <c r="MS129" s="282">
        <f t="shared" si="1247"/>
        <v>0</v>
      </c>
      <c r="MT129" s="282">
        <f t="shared" si="1248"/>
        <v>0</v>
      </c>
      <c r="MU129" s="282">
        <f t="shared" si="1249"/>
        <v>0</v>
      </c>
      <c r="MV129" s="282">
        <f t="shared" si="1250"/>
        <v>0</v>
      </c>
      <c r="MW129" s="282">
        <f t="shared" si="1251"/>
        <v>0</v>
      </c>
      <c r="MX129" s="282">
        <f t="shared" si="1252"/>
        <v>0</v>
      </c>
      <c r="MY129" s="282">
        <f t="shared" si="1253"/>
        <v>0</v>
      </c>
      <c r="MZ129" s="282">
        <f t="shared" si="1254"/>
        <v>0</v>
      </c>
      <c r="NA129" s="282">
        <f t="shared" si="1255"/>
        <v>0</v>
      </c>
      <c r="NB129" s="282">
        <f t="shared" si="1256"/>
        <v>0</v>
      </c>
      <c r="NC129" s="282">
        <f t="shared" si="1257"/>
        <v>0</v>
      </c>
      <c r="ND129" s="282">
        <f t="shared" si="1258"/>
        <v>0</v>
      </c>
      <c r="NE129" s="282">
        <f t="shared" si="1259"/>
        <v>0</v>
      </c>
      <c r="NF129" s="282">
        <f t="shared" si="1260"/>
        <v>0</v>
      </c>
      <c r="NG129" s="282">
        <f t="shared" si="1261"/>
        <v>0</v>
      </c>
      <c r="NH129" s="282">
        <f t="shared" si="1262"/>
        <v>0</v>
      </c>
      <c r="NI129" s="282">
        <f t="shared" si="1263"/>
        <v>0</v>
      </c>
      <c r="NJ129" s="282">
        <f t="shared" si="1264"/>
        <v>0</v>
      </c>
      <c r="NK129" s="282">
        <f t="shared" si="1265"/>
        <v>0</v>
      </c>
      <c r="NL129" s="282">
        <f t="shared" si="1266"/>
        <v>0</v>
      </c>
      <c r="NM129" s="1205">
        <f t="shared" si="1267"/>
        <v>0</v>
      </c>
      <c r="NN129" s="282">
        <f t="shared" si="1268"/>
        <v>0</v>
      </c>
      <c r="NO129" s="282">
        <f t="shared" si="1269"/>
        <v>0</v>
      </c>
      <c r="NP129" s="282">
        <f t="shared" si="1270"/>
        <v>0</v>
      </c>
      <c r="NQ129" s="282">
        <f t="shared" si="1271"/>
        <v>0</v>
      </c>
      <c r="NR129" s="282">
        <f t="shared" si="1272"/>
        <v>0</v>
      </c>
      <c r="NS129" s="282">
        <f t="shared" si="1273"/>
        <v>0</v>
      </c>
      <c r="NT129" s="282">
        <f t="shared" si="1274"/>
        <v>0</v>
      </c>
      <c r="NU129" s="282">
        <f t="shared" si="1275"/>
        <v>0</v>
      </c>
      <c r="NV129" s="286">
        <f t="shared" si="1276"/>
        <v>0</v>
      </c>
      <c r="NW129" s="286">
        <f t="shared" si="1277"/>
        <v>0</v>
      </c>
      <c r="NX129" s="286">
        <f t="shared" si="1278"/>
        <v>0</v>
      </c>
      <c r="NY129" s="286">
        <f t="shared" si="1279"/>
        <v>0</v>
      </c>
      <c r="NZ129" s="286">
        <f t="shared" si="1280"/>
        <v>0</v>
      </c>
      <c r="OA129" s="286">
        <f t="shared" si="1281"/>
        <v>0</v>
      </c>
      <c r="OB129" s="286">
        <f t="shared" si="1282"/>
        <v>0</v>
      </c>
      <c r="OC129" s="286">
        <f t="shared" si="1283"/>
        <v>0</v>
      </c>
      <c r="OD129" s="286">
        <f t="shared" si="1284"/>
        <v>0</v>
      </c>
      <c r="OE129" s="282">
        <f t="shared" si="1285"/>
        <v>0</v>
      </c>
      <c r="OF129" s="282">
        <f t="shared" si="1286"/>
        <v>0</v>
      </c>
      <c r="OG129" s="286">
        <f t="shared" si="1287"/>
        <v>0</v>
      </c>
      <c r="OH129" s="286">
        <f t="shared" si="1288"/>
        <v>0</v>
      </c>
      <c r="OI129" s="286">
        <f t="shared" si="1289"/>
        <v>0</v>
      </c>
      <c r="OJ129" s="286">
        <f t="shared" si="1290"/>
        <v>0</v>
      </c>
      <c r="OK129" s="286">
        <f t="shared" si="1291"/>
        <v>0</v>
      </c>
      <c r="OL129" s="286">
        <f t="shared" si="1292"/>
        <v>0</v>
      </c>
      <c r="OM129" s="286">
        <f t="shared" si="1293"/>
        <v>0</v>
      </c>
      <c r="ON129" s="286">
        <f t="shared" si="1294"/>
        <v>0</v>
      </c>
      <c r="OO129" s="286">
        <f t="shared" si="1295"/>
        <v>0</v>
      </c>
      <c r="OP129" s="434">
        <f t="shared" si="1296"/>
        <v>0</v>
      </c>
      <c r="OQ129" s="434">
        <f t="shared" si="1297"/>
        <v>0</v>
      </c>
      <c r="OR129" s="282">
        <f t="shared" si="1298"/>
        <v>0</v>
      </c>
      <c r="OS129" s="282">
        <f t="shared" si="1299"/>
        <v>0</v>
      </c>
      <c r="OT129" s="282">
        <f t="shared" si="1300"/>
        <v>0</v>
      </c>
      <c r="OU129" s="282">
        <f t="shared" si="1301"/>
        <v>0</v>
      </c>
      <c r="OV129" s="282">
        <f t="shared" si="1302"/>
        <v>0</v>
      </c>
      <c r="OW129" s="286">
        <f t="shared" si="1303"/>
        <v>0</v>
      </c>
      <c r="OX129" s="286">
        <f t="shared" si="1304"/>
        <v>0</v>
      </c>
      <c r="OY129" s="286">
        <f t="shared" si="1305"/>
        <v>0</v>
      </c>
      <c r="OZ129" s="286">
        <f t="shared" si="1306"/>
        <v>0</v>
      </c>
      <c r="PA129" s="286">
        <f t="shared" si="1307"/>
        <v>0</v>
      </c>
      <c r="PB129" s="286">
        <f t="shared" si="1308"/>
        <v>0</v>
      </c>
      <c r="PC129" s="286">
        <f t="shared" si="1309"/>
        <v>0</v>
      </c>
      <c r="PD129" s="282">
        <f t="shared" si="1310"/>
        <v>0</v>
      </c>
      <c r="PE129" s="282">
        <f t="shared" si="1311"/>
        <v>0</v>
      </c>
      <c r="PF129" s="286">
        <f t="shared" si="1312"/>
        <v>0</v>
      </c>
      <c r="PG129" s="286">
        <f t="shared" si="1313"/>
        <v>0</v>
      </c>
      <c r="PH129" s="286">
        <f t="shared" si="1314"/>
        <v>0</v>
      </c>
      <c r="PI129" s="286">
        <f t="shared" si="1315"/>
        <v>0</v>
      </c>
      <c r="PJ129" s="286">
        <f t="shared" si="1316"/>
        <v>0</v>
      </c>
      <c r="PK129" s="286">
        <f t="shared" si="1317"/>
        <v>0</v>
      </c>
      <c r="PL129" s="286">
        <f t="shared" si="1318"/>
        <v>0</v>
      </c>
      <c r="PM129" s="562">
        <v>73</v>
      </c>
    </row>
    <row r="130" spans="1:429" s="289" customFormat="1" ht="15.75" customHeight="1">
      <c r="A130" s="1935" t="s">
        <v>1315</v>
      </c>
      <c r="B130" s="1040" t="str">
        <f>VLOOKUP(A130,'Area (&amp;golfacre for lookup)'!$A$2:$B$162,2,FALSE)</f>
        <v>SW exc CIRA</v>
      </c>
      <c r="C130" s="1936" t="s">
        <v>2366</v>
      </c>
      <c r="D130" s="1937">
        <v>44834</v>
      </c>
      <c r="E130" s="402"/>
      <c r="F130" s="1936">
        <v>1</v>
      </c>
      <c r="G130" s="1936">
        <v>0</v>
      </c>
      <c r="H130" s="1936">
        <v>212</v>
      </c>
      <c r="I130" s="1936">
        <v>68</v>
      </c>
      <c r="J130" s="1936">
        <v>280</v>
      </c>
      <c r="K130" s="1938">
        <v>243.52502463054188</v>
      </c>
      <c r="L130" s="1939" t="s">
        <v>1208</v>
      </c>
      <c r="M130" s="1939" t="s">
        <v>1208</v>
      </c>
      <c r="N130" s="1939" t="s">
        <v>1208</v>
      </c>
      <c r="O130" s="1939" t="s">
        <v>1208</v>
      </c>
      <c r="P130" s="1939" t="s">
        <v>1208</v>
      </c>
      <c r="Q130" s="1979">
        <v>0</v>
      </c>
      <c r="R130" s="1979">
        <v>75000</v>
      </c>
      <c r="S130" s="1979">
        <v>75000</v>
      </c>
      <c r="T130" s="1939" t="s">
        <v>1208</v>
      </c>
      <c r="U130" s="1939" t="s">
        <v>1208</v>
      </c>
      <c r="V130" s="1939" t="s">
        <v>1208</v>
      </c>
      <c r="W130" s="1936">
        <v>21924</v>
      </c>
      <c r="X130" s="1936">
        <v>20300</v>
      </c>
      <c r="Y130" s="1939" t="s">
        <v>1208</v>
      </c>
      <c r="Z130" s="1939" t="s">
        <v>1208</v>
      </c>
      <c r="AA130" s="1936">
        <v>1624</v>
      </c>
      <c r="AB130" s="1362">
        <v>0.08</v>
      </c>
      <c r="AC130" s="1939" t="s">
        <v>1208</v>
      </c>
      <c r="AD130" s="1363" t="s">
        <v>1208</v>
      </c>
      <c r="AE130" s="1936">
        <v>0</v>
      </c>
      <c r="AF130" s="1936">
        <v>0</v>
      </c>
      <c r="AG130" s="1939" t="s">
        <v>1208</v>
      </c>
      <c r="AH130" s="1936">
        <v>0</v>
      </c>
      <c r="AI130" s="1936">
        <v>0</v>
      </c>
      <c r="AJ130" s="1939" t="s">
        <v>1208</v>
      </c>
      <c r="AK130" s="1938">
        <v>0</v>
      </c>
      <c r="AL130" s="1938">
        <v>0</v>
      </c>
      <c r="AM130" s="1936">
        <v>20300</v>
      </c>
      <c r="AN130" s="1939" t="s">
        <v>1208</v>
      </c>
      <c r="AO130" s="1936">
        <v>0</v>
      </c>
      <c r="AP130" s="1936">
        <v>900</v>
      </c>
      <c r="AQ130" s="1936">
        <v>21200</v>
      </c>
      <c r="AR130" s="1939" t="s">
        <v>1208</v>
      </c>
      <c r="AS130" s="1363" t="s">
        <v>1208</v>
      </c>
      <c r="AT130" s="1363" t="s">
        <v>1208</v>
      </c>
      <c r="AU130" s="1363" t="s">
        <v>1208</v>
      </c>
      <c r="AV130" s="1363" t="s">
        <v>1208</v>
      </c>
      <c r="AW130" s="1363" t="s">
        <v>1291</v>
      </c>
      <c r="AX130" s="1938">
        <v>0</v>
      </c>
      <c r="AY130" s="1938">
        <v>0</v>
      </c>
      <c r="AZ130" s="1938">
        <v>0</v>
      </c>
      <c r="BA130" s="1938">
        <v>0</v>
      </c>
      <c r="BB130" s="1938">
        <v>0</v>
      </c>
      <c r="BC130" s="1938">
        <v>0</v>
      </c>
      <c r="BD130" s="1938">
        <v>0</v>
      </c>
      <c r="BE130" s="1936">
        <v>0</v>
      </c>
      <c r="BF130" s="1936">
        <v>0</v>
      </c>
      <c r="BG130" s="1936">
        <v>0</v>
      </c>
      <c r="BH130" s="1936">
        <v>0</v>
      </c>
      <c r="BI130" s="1938">
        <v>23901281</v>
      </c>
      <c r="BJ130" s="1936">
        <v>821959</v>
      </c>
      <c r="BK130" s="1936">
        <v>944221</v>
      </c>
      <c r="BL130" s="1362">
        <v>0.87051548313371552</v>
      </c>
      <c r="BM130" s="1936">
        <v>1</v>
      </c>
      <c r="BN130" s="1936">
        <v>46669</v>
      </c>
      <c r="BO130" s="1363" t="s">
        <v>1208</v>
      </c>
      <c r="BP130" s="1938">
        <v>2134612</v>
      </c>
      <c r="BQ130" s="1938">
        <v>731497</v>
      </c>
      <c r="BR130" s="1940">
        <v>2.9181418379022745</v>
      </c>
      <c r="BS130" s="1409">
        <v>1</v>
      </c>
      <c r="BT130" s="1938">
        <v>842158</v>
      </c>
      <c r="BU130" s="1938">
        <v>26655500</v>
      </c>
      <c r="BV130" s="1940">
        <v>3.1594155052428206E-2</v>
      </c>
      <c r="BW130" s="1936">
        <v>191.63944268480313</v>
      </c>
      <c r="BX130" s="1936">
        <v>3375.2547658993785</v>
      </c>
      <c r="BY130" s="1936">
        <v>0</v>
      </c>
      <c r="BZ130" s="1936">
        <v>1204295</v>
      </c>
      <c r="CA130" s="1936">
        <v>0</v>
      </c>
      <c r="CB130" s="1936">
        <v>879872</v>
      </c>
      <c r="CC130" s="1936">
        <v>274306</v>
      </c>
      <c r="CD130" s="1936">
        <v>4943558</v>
      </c>
      <c r="CE130" s="1936">
        <v>0</v>
      </c>
      <c r="CF130" s="1936">
        <v>0</v>
      </c>
      <c r="CG130" s="1936">
        <v>731265</v>
      </c>
      <c r="CH130" s="1936">
        <v>593443</v>
      </c>
      <c r="CI130" s="1936">
        <v>275035</v>
      </c>
      <c r="CJ130" s="1936">
        <v>8901774</v>
      </c>
      <c r="CK130" s="1366">
        <v>0.13528707873284584</v>
      </c>
      <c r="CL130" s="1366">
        <v>0</v>
      </c>
      <c r="CM130" s="1366">
        <v>9.8842320643053844E-2</v>
      </c>
      <c r="CN130" s="1366">
        <v>3.0814756699057963E-2</v>
      </c>
      <c r="CO130" s="1366">
        <v>0.5553452603941641</v>
      </c>
      <c r="CP130" s="1366">
        <v>0</v>
      </c>
      <c r="CQ130" s="1366">
        <v>0</v>
      </c>
      <c r="CR130" s="1366">
        <v>8.2148232475908731E-2</v>
      </c>
      <c r="CS130" s="1366">
        <v>6.6665700567100444E-2</v>
      </c>
      <c r="CT130" s="1366">
        <v>3.0896650487869048E-2</v>
      </c>
      <c r="CU130" s="1366">
        <v>1</v>
      </c>
      <c r="CV130" s="1936">
        <v>4277429</v>
      </c>
      <c r="CW130" s="1936">
        <v>633307</v>
      </c>
      <c r="CX130" s="1936">
        <v>602949</v>
      </c>
      <c r="CY130" s="1936">
        <v>2269449</v>
      </c>
      <c r="CZ130" s="1936">
        <v>105824</v>
      </c>
      <c r="DA130" s="1936">
        <v>202276</v>
      </c>
      <c r="DB130" s="1936">
        <v>8091234</v>
      </c>
      <c r="DC130" s="1366">
        <v>0.52864977085077502</v>
      </c>
      <c r="DD130" s="1366">
        <v>7.8270755733921421E-2</v>
      </c>
      <c r="DE130" s="1366">
        <v>7.4518794043034728E-2</v>
      </c>
      <c r="DF130" s="1366">
        <v>0.28048243321105287</v>
      </c>
      <c r="DG130" s="1366">
        <v>1.3078845575347345E-2</v>
      </c>
      <c r="DH130" s="1366">
        <v>2.4999400585868609E-2</v>
      </c>
      <c r="DI130" s="1366">
        <v>1</v>
      </c>
      <c r="DJ130" s="1936">
        <v>810540</v>
      </c>
      <c r="DK130" s="1936">
        <v>4945.2617932266594</v>
      </c>
      <c r="DL130" s="1936">
        <v>0</v>
      </c>
      <c r="DM130" s="1936">
        <v>3613.0660548536093</v>
      </c>
      <c r="DN130" s="1936">
        <v>1126.3975865156228</v>
      </c>
      <c r="DO130" s="1936">
        <v>20300</v>
      </c>
      <c r="DP130" s="1936">
        <v>0</v>
      </c>
      <c r="DQ130" s="1936">
        <v>0</v>
      </c>
      <c r="DR130" s="1936">
        <v>3002.8330809510071</v>
      </c>
      <c r="DS130" s="1936">
        <v>2436.8871367545398</v>
      </c>
      <c r="DT130" s="1936">
        <v>1129.3911187043825</v>
      </c>
      <c r="DU130" s="1936">
        <v>36553.836771005823</v>
      </c>
      <c r="DV130" s="1936">
        <v>17564.638404161538</v>
      </c>
      <c r="DW130" s="1936">
        <v>2600.5828393234183</v>
      </c>
      <c r="DX130" s="1936">
        <v>2475.922139479298</v>
      </c>
      <c r="DY130" s="1936">
        <v>9319.1613611087396</v>
      </c>
      <c r="DZ130" s="1936">
        <v>434.55082351618006</v>
      </c>
      <c r="EA130" s="1936">
        <v>830.61689576616675</v>
      </c>
      <c r="EB130" s="1936">
        <v>33225.472463355341</v>
      </c>
      <c r="EC130" s="1936">
        <v>3328.3643076504818</v>
      </c>
      <c r="ED130" s="1941">
        <v>76</v>
      </c>
      <c r="EE130" s="1936">
        <v>0</v>
      </c>
      <c r="EF130" s="1936">
        <v>0</v>
      </c>
      <c r="EG130" s="1938">
        <v>0</v>
      </c>
      <c r="EH130" s="1938">
        <v>1</v>
      </c>
      <c r="EI130" s="1368">
        <v>0.09</v>
      </c>
      <c r="EJ130" s="1936">
        <v>3.2042766398755509</v>
      </c>
      <c r="EK130" s="1936">
        <v>0</v>
      </c>
      <c r="EL130" s="1936">
        <v>0</v>
      </c>
      <c r="EM130" s="1936">
        <v>0</v>
      </c>
      <c r="EN130" s="1362">
        <v>0</v>
      </c>
      <c r="EO130" s="1936">
        <v>1</v>
      </c>
      <c r="EP130" s="1936">
        <v>75</v>
      </c>
      <c r="EQ130" s="1936">
        <v>0</v>
      </c>
      <c r="ER130" s="1938">
        <v>0</v>
      </c>
      <c r="ES130" s="1936">
        <v>5439.7202177055469</v>
      </c>
      <c r="ET130" s="1936">
        <v>-1094.6226179605862</v>
      </c>
      <c r="EU130" s="1938">
        <v>1</v>
      </c>
      <c r="EV130" s="1936">
        <v>0</v>
      </c>
      <c r="EW130" s="1936">
        <v>0</v>
      </c>
      <c r="EX130" s="1938">
        <v>1</v>
      </c>
      <c r="EY130" s="1936">
        <v>731265</v>
      </c>
      <c r="EZ130" s="1936">
        <v>308825</v>
      </c>
      <c r="FA130" s="1936">
        <v>422440</v>
      </c>
      <c r="FB130" s="1936">
        <v>593443</v>
      </c>
      <c r="FC130" s="1936">
        <v>324482</v>
      </c>
      <c r="FD130" s="1936">
        <v>268961</v>
      </c>
      <c r="FE130" s="1936">
        <v>1324708</v>
      </c>
      <c r="FF130" s="1936">
        <v>633307</v>
      </c>
      <c r="FG130" s="1936">
        <v>691401</v>
      </c>
      <c r="FH130" s="1366">
        <v>1</v>
      </c>
      <c r="FI130" s="1366">
        <v>0.42231612342994673</v>
      </c>
      <c r="FJ130" s="1366">
        <v>0.57768387657005327</v>
      </c>
      <c r="FK130" s="1366">
        <v>1</v>
      </c>
      <c r="FL130" s="1366">
        <v>0.54677871337264072</v>
      </c>
      <c r="FM130" s="1366">
        <v>0.45322128662735933</v>
      </c>
      <c r="FN130" s="1366">
        <v>1</v>
      </c>
      <c r="FO130" s="1366">
        <v>0.4780729036134756</v>
      </c>
      <c r="FP130" s="1366">
        <v>0.52192709638652446</v>
      </c>
      <c r="FQ130" s="1936">
        <v>564912</v>
      </c>
      <c r="FR130" s="1936">
        <v>0</v>
      </c>
      <c r="FS130" s="1936">
        <v>132445</v>
      </c>
      <c r="FT130" s="1936">
        <v>19820</v>
      </c>
      <c r="FU130" s="1936">
        <v>44582</v>
      </c>
      <c r="FV130" s="1936">
        <v>1838</v>
      </c>
      <c r="FW130" s="1936">
        <v>194372</v>
      </c>
      <c r="FX130" s="1936">
        <v>957969</v>
      </c>
      <c r="FY130" s="1936">
        <v>-266568</v>
      </c>
      <c r="FZ130" s="1366">
        <v>0.42644265755170196</v>
      </c>
      <c r="GA130" s="1366">
        <v>0</v>
      </c>
      <c r="GB130" s="1366">
        <v>9.9980524009819521E-2</v>
      </c>
      <c r="GC130" s="1366">
        <v>1.4961787805312567E-2</v>
      </c>
      <c r="GD130" s="1366">
        <v>3.3654209078529007E-2</v>
      </c>
      <c r="GE130" s="1366">
        <v>1.3874755795239403E-3</v>
      </c>
      <c r="GF130" s="1366">
        <v>0.14672818462634785</v>
      </c>
      <c r="GG130" s="1366">
        <v>0.72315483865123487</v>
      </c>
      <c r="GH130" s="1366">
        <v>-0.20122774226471041</v>
      </c>
      <c r="GI130" s="1942">
        <v>1.232241344156052</v>
      </c>
      <c r="GJ130" s="1943">
        <v>0</v>
      </c>
      <c r="GK130" s="1371">
        <v>0</v>
      </c>
      <c r="GL130" s="1943">
        <v>0</v>
      </c>
      <c r="GM130" s="1371">
        <v>0</v>
      </c>
      <c r="GN130" s="1943">
        <v>18</v>
      </c>
      <c r="GO130" s="1985">
        <f>IF(GN130=0,0,VLOOKUP(A130,'Area (&amp;golfacre for lookup)'!$G$2:$H$133,2,FALSE))</f>
        <v>80</v>
      </c>
      <c r="GP130" s="1943">
        <v>19940</v>
      </c>
      <c r="GQ130" s="1943">
        <v>1292093</v>
      </c>
      <c r="GR130" s="1943">
        <v>299912</v>
      </c>
      <c r="GS130" s="1943">
        <v>524224</v>
      </c>
      <c r="GT130" s="1943">
        <v>119737</v>
      </c>
      <c r="GU130" s="1943">
        <v>397109</v>
      </c>
      <c r="GV130" s="1943">
        <v>111009</v>
      </c>
      <c r="GW130" s="1943">
        <v>2744084</v>
      </c>
      <c r="GX130" s="1943">
        <v>152449.11111111112</v>
      </c>
      <c r="GY130" s="1985">
        <f t="shared" si="1319"/>
        <v>34301.050000000003</v>
      </c>
      <c r="GZ130" s="1366">
        <v>0.4708649589444055</v>
      </c>
      <c r="HA130" s="1366">
        <v>0.10929403035767127</v>
      </c>
      <c r="HB130" s="1366">
        <v>0.19103788367994565</v>
      </c>
      <c r="HC130" s="1366">
        <v>4.363459719163116E-2</v>
      </c>
      <c r="HD130" s="1366">
        <v>0.14471459328504521</v>
      </c>
      <c r="HE130" s="1366">
        <v>4.0453936541301215E-2</v>
      </c>
      <c r="HF130" s="1366">
        <v>1</v>
      </c>
      <c r="HG130" s="1936">
        <v>0</v>
      </c>
      <c r="HH130" s="1988">
        <f>IF(HG130=0,0,VLOOKUP(A130,'Area (&amp;golfacre for lookup)'!$G$2:$H$134,2,FALSE))</f>
        <v>0</v>
      </c>
      <c r="HI130" s="1936">
        <v>0</v>
      </c>
      <c r="HJ130" s="1936">
        <v>0</v>
      </c>
      <c r="HK130" s="1936">
        <v>0</v>
      </c>
      <c r="HL130" s="1936">
        <v>0</v>
      </c>
      <c r="HM130" s="1936">
        <v>0</v>
      </c>
      <c r="HN130" s="1936">
        <v>0</v>
      </c>
      <c r="HO130" s="1936">
        <v>0</v>
      </c>
      <c r="HP130" s="1936">
        <v>0</v>
      </c>
      <c r="HQ130" s="1936">
        <v>0</v>
      </c>
      <c r="HR130" s="1988">
        <f t="shared" si="1320"/>
        <v>0</v>
      </c>
      <c r="HS130" s="1936">
        <v>0</v>
      </c>
      <c r="HT130" s="1936">
        <v>0</v>
      </c>
      <c r="HU130" s="1936">
        <v>0</v>
      </c>
      <c r="HV130" s="1936">
        <v>0</v>
      </c>
      <c r="HW130" s="1936">
        <v>0</v>
      </c>
      <c r="HX130" s="1936">
        <v>0</v>
      </c>
      <c r="HY130" s="1936">
        <v>0</v>
      </c>
      <c r="HZ130" s="51"/>
      <c r="IA130" s="59">
        <f t="shared" si="1136"/>
        <v>0</v>
      </c>
      <c r="IB130" s="59"/>
      <c r="IC130" s="815">
        <f t="shared" si="1137"/>
        <v>1</v>
      </c>
      <c r="ID130" s="815"/>
      <c r="IE130" s="284">
        <f t="shared" si="1138"/>
        <v>0</v>
      </c>
      <c r="IF130" s="284"/>
      <c r="IG130" s="284">
        <f t="shared" si="1139"/>
        <v>98147.124864318364</v>
      </c>
      <c r="IH130" s="284"/>
      <c r="II130" s="1288">
        <f t="shared" si="1140"/>
        <v>2.9181418379022745</v>
      </c>
      <c r="IJ130" s="1288">
        <f t="shared" si="1141"/>
        <v>0</v>
      </c>
      <c r="IK130" s="284">
        <f t="shared" si="1142"/>
        <v>0</v>
      </c>
      <c r="IL130" s="284">
        <f t="shared" si="1143"/>
        <v>0</v>
      </c>
      <c r="IM130" s="284">
        <f t="shared" si="1144"/>
        <v>0</v>
      </c>
      <c r="IN130" s="284">
        <f t="shared" si="1145"/>
        <v>0</v>
      </c>
      <c r="IO130" s="753">
        <f t="shared" si="1146"/>
        <v>-952.02857142857147</v>
      </c>
      <c r="IP130" s="113">
        <f t="shared" si="1147"/>
        <v>-1094.6226179605862</v>
      </c>
      <c r="IQ130" s="30">
        <f t="shared" si="1148"/>
        <v>-5.3922296451260406E-2</v>
      </c>
      <c r="IR130" s="438">
        <f t="shared" si="1149"/>
        <v>731265</v>
      </c>
      <c r="IS130" s="438">
        <f t="shared" si="1150"/>
        <v>593443</v>
      </c>
      <c r="IT130" s="438">
        <f t="shared" si="1151"/>
        <v>564912</v>
      </c>
      <c r="IU130" s="438">
        <f t="shared" si="1152"/>
        <v>152265</v>
      </c>
      <c r="IV130" s="438">
        <f t="shared" si="1153"/>
        <v>633307</v>
      </c>
      <c r="IW130" s="438">
        <f t="shared" si="1154"/>
        <v>240792</v>
      </c>
      <c r="IX130" s="285">
        <f t="shared" si="1155"/>
        <v>0.55201976586538315</v>
      </c>
      <c r="IY130" s="285">
        <f t="shared" si="1156"/>
        <v>0.44798023413461685</v>
      </c>
      <c r="IZ130" s="285">
        <f t="shared" si="1157"/>
        <v>0.42644265755170196</v>
      </c>
      <c r="JA130" s="285">
        <f t="shared" si="1158"/>
        <v>0.11494231181513209</v>
      </c>
      <c r="JB130" s="285">
        <f t="shared" si="1159"/>
        <v>0.4780729036134756</v>
      </c>
      <c r="JC130" s="285">
        <f t="shared" si="1160"/>
        <v>0.18176986928440078</v>
      </c>
      <c r="JD130" s="60">
        <f t="shared" si="1161"/>
        <v>4943558</v>
      </c>
      <c r="JE130" s="60">
        <f t="shared" si="1162"/>
        <v>2358473</v>
      </c>
      <c r="JF130" s="60">
        <f t="shared" si="1163"/>
        <v>0</v>
      </c>
      <c r="JG130" s="60">
        <f t="shared" si="1164"/>
        <v>308100</v>
      </c>
      <c r="JH130" s="284">
        <f t="shared" si="1165"/>
        <v>1</v>
      </c>
      <c r="JI130" s="284">
        <f t="shared" si="1166"/>
        <v>1</v>
      </c>
      <c r="JJ130" s="560">
        <f t="shared" si="1167"/>
        <v>0.68526899367180683</v>
      </c>
      <c r="JK130" s="561">
        <f t="shared" si="1168"/>
        <v>0.48051422109795194</v>
      </c>
      <c r="JL130" s="561">
        <f t="shared" si="1169"/>
        <v>7.114390906801274E-2</v>
      </c>
      <c r="JM130" s="561">
        <f t="shared" si="1170"/>
        <v>6.7733577599251568E-2</v>
      </c>
      <c r="JN130" s="561">
        <f t="shared" si="1171"/>
        <v>0.25494345284434317</v>
      </c>
      <c r="JO130" s="561">
        <f t="shared" si="1172"/>
        <v>1.1887967499511895E-2</v>
      </c>
      <c r="JP130" s="561">
        <f t="shared" si="1173"/>
        <v>2.2723111146160303E-2</v>
      </c>
      <c r="JQ130" s="561">
        <f t="shared" si="1174"/>
        <v>0.90894623925523166</v>
      </c>
      <c r="JR130" s="61">
        <f t="shared" si="1175"/>
        <v>71782.944444444438</v>
      </c>
      <c r="JS130" s="61">
        <f t="shared" si="1176"/>
        <v>16661.777777777777</v>
      </c>
      <c r="JT130" s="61">
        <f t="shared" si="1177"/>
        <v>29123.555555555555</v>
      </c>
      <c r="JU130" s="61">
        <f t="shared" si="1178"/>
        <v>6652.0555555555557</v>
      </c>
      <c r="JV130" s="61">
        <f t="shared" si="1179"/>
        <v>22061.611111111109</v>
      </c>
      <c r="JW130" s="61">
        <f t="shared" si="1180"/>
        <v>6167.166666666667</v>
      </c>
      <c r="JX130" s="61">
        <f t="shared" si="1181"/>
        <v>137.61705115346038</v>
      </c>
      <c r="JY130" s="394">
        <f t="shared" si="1182"/>
        <v>0.33914283037667681</v>
      </c>
      <c r="JZ130" s="61">
        <f t="shared" si="1183"/>
        <v>0</v>
      </c>
      <c r="KA130" s="61">
        <f t="shared" si="1184"/>
        <v>0</v>
      </c>
      <c r="KB130" s="61">
        <f t="shared" si="1185"/>
        <v>0</v>
      </c>
      <c r="KC130" s="61">
        <f t="shared" si="1186"/>
        <v>0</v>
      </c>
      <c r="KD130" s="61">
        <f t="shared" si="1187"/>
        <v>0</v>
      </c>
      <c r="KE130" s="61">
        <f t="shared" si="1188"/>
        <v>0</v>
      </c>
      <c r="KF130" s="61">
        <f t="shared" si="1189"/>
        <v>0</v>
      </c>
      <c r="KG130" s="61">
        <f t="shared" si="1190"/>
        <v>0</v>
      </c>
      <c r="KH130" s="61">
        <f t="shared" si="1191"/>
        <v>0</v>
      </c>
      <c r="KI130" s="394">
        <f t="shared" si="1192"/>
        <v>0</v>
      </c>
      <c r="KJ130" s="438">
        <f t="shared" si="1193"/>
        <v>18</v>
      </c>
      <c r="KK130" s="438">
        <f t="shared" si="1194"/>
        <v>19940</v>
      </c>
      <c r="KL130" s="438">
        <f t="shared" si="1195"/>
        <v>80</v>
      </c>
      <c r="KM130" s="438">
        <f t="shared" si="1196"/>
        <v>152449.11111111112</v>
      </c>
      <c r="KN130" s="438">
        <f t="shared" si="1197"/>
        <v>137.61705115346038</v>
      </c>
      <c r="KO130" s="438">
        <f t="shared" si="1198"/>
        <v>34301.050000000003</v>
      </c>
      <c r="KP130" s="438">
        <f t="shared" si="1199"/>
        <v>1292093</v>
      </c>
      <c r="KQ130" s="438">
        <f t="shared" si="1200"/>
        <v>299912</v>
      </c>
      <c r="KR130" s="438">
        <f t="shared" si="1201"/>
        <v>524224</v>
      </c>
      <c r="KS130" s="438">
        <f t="shared" si="1202"/>
        <v>119737</v>
      </c>
      <c r="KT130" s="438">
        <f t="shared" si="1203"/>
        <v>397109</v>
      </c>
      <c r="KU130" s="438">
        <f t="shared" si="1204"/>
        <v>111009</v>
      </c>
      <c r="KV130" s="420">
        <f t="shared" si="1205"/>
        <v>0.33914283037667681</v>
      </c>
      <c r="KW130" s="420">
        <f t="shared" si="1206"/>
        <v>-0.53262751241110151</v>
      </c>
      <c r="KX130" s="108"/>
      <c r="KY130" s="282">
        <f t="shared" si="1207"/>
        <v>0</v>
      </c>
      <c r="KZ130" s="282"/>
      <c r="LA130" s="282">
        <f t="shared" si="1208"/>
        <v>0</v>
      </c>
      <c r="LB130" s="282"/>
      <c r="LC130" s="286">
        <f t="shared" si="951"/>
        <v>0</v>
      </c>
      <c r="LD130" s="286"/>
      <c r="LE130" s="282">
        <f t="shared" si="1209"/>
        <v>0</v>
      </c>
      <c r="LF130" s="282"/>
      <c r="LG130" s="282">
        <f t="shared" si="1210"/>
        <v>0</v>
      </c>
      <c r="LH130" s="282">
        <f t="shared" si="1211"/>
        <v>0</v>
      </c>
      <c r="LI130" s="282">
        <f t="shared" si="1212"/>
        <v>0</v>
      </c>
      <c r="LJ130" s="282">
        <f t="shared" si="1213"/>
        <v>0</v>
      </c>
      <c r="LK130" s="282"/>
      <c r="LL130" s="282">
        <f t="shared" si="1214"/>
        <v>0</v>
      </c>
      <c r="LM130" s="282">
        <f t="shared" si="1215"/>
        <v>0</v>
      </c>
      <c r="LN130" s="282">
        <f t="shared" si="1216"/>
        <v>0</v>
      </c>
      <c r="LO130" s="282">
        <f t="shared" si="1217"/>
        <v>0</v>
      </c>
      <c r="LP130" s="286">
        <f t="shared" si="1218"/>
        <v>0</v>
      </c>
      <c r="LQ130" s="282">
        <f t="shared" si="1219"/>
        <v>0</v>
      </c>
      <c r="LR130" s="282">
        <f t="shared" si="1220"/>
        <v>0</v>
      </c>
      <c r="LS130" s="282">
        <f t="shared" si="1221"/>
        <v>0</v>
      </c>
      <c r="LT130" s="286">
        <f t="shared" si="1222"/>
        <v>0</v>
      </c>
      <c r="LU130" s="286">
        <f t="shared" si="1223"/>
        <v>0</v>
      </c>
      <c r="LV130" s="286">
        <f t="shared" si="1224"/>
        <v>0</v>
      </c>
      <c r="LW130" s="286">
        <f t="shared" si="1225"/>
        <v>0</v>
      </c>
      <c r="LX130" s="286">
        <f t="shared" si="1226"/>
        <v>0</v>
      </c>
      <c r="LY130" s="286">
        <f t="shared" si="1227"/>
        <v>0</v>
      </c>
      <c r="LZ130" s="286">
        <f t="shared" si="1228"/>
        <v>0</v>
      </c>
      <c r="MA130" s="286">
        <f t="shared" si="1229"/>
        <v>0</v>
      </c>
      <c r="MB130" s="286">
        <f t="shared" si="1230"/>
        <v>0</v>
      </c>
      <c r="MC130" s="286">
        <f t="shared" si="1231"/>
        <v>0</v>
      </c>
      <c r="MD130" s="286">
        <f t="shared" si="1232"/>
        <v>0</v>
      </c>
      <c r="ME130" s="286">
        <f t="shared" si="1233"/>
        <v>0</v>
      </c>
      <c r="MF130" s="286">
        <f t="shared" si="1234"/>
        <v>0</v>
      </c>
      <c r="MG130" s="286">
        <f t="shared" si="1235"/>
        <v>0</v>
      </c>
      <c r="MH130" s="286">
        <f t="shared" si="1236"/>
        <v>0</v>
      </c>
      <c r="MI130" s="286">
        <f t="shared" si="1237"/>
        <v>0</v>
      </c>
      <c r="MJ130" s="286">
        <f t="shared" si="1238"/>
        <v>0</v>
      </c>
      <c r="MK130" s="286">
        <f t="shared" si="1239"/>
        <v>0</v>
      </c>
      <c r="ML130" s="282">
        <f t="shared" si="1240"/>
        <v>0</v>
      </c>
      <c r="MM130" s="1232">
        <f t="shared" si="1241"/>
        <v>0</v>
      </c>
      <c r="MN130" s="1232">
        <f t="shared" si="1242"/>
        <v>0</v>
      </c>
      <c r="MO130" s="1232">
        <f t="shared" si="1243"/>
        <v>0</v>
      </c>
      <c r="MP130" s="1232">
        <f t="shared" si="1244"/>
        <v>0</v>
      </c>
      <c r="MQ130" s="282">
        <f t="shared" si="1245"/>
        <v>0</v>
      </c>
      <c r="MR130" s="282">
        <f t="shared" si="1246"/>
        <v>0</v>
      </c>
      <c r="MS130" s="282">
        <f t="shared" si="1247"/>
        <v>0</v>
      </c>
      <c r="MT130" s="282">
        <f t="shared" si="1248"/>
        <v>0</v>
      </c>
      <c r="MU130" s="282">
        <f t="shared" si="1249"/>
        <v>0</v>
      </c>
      <c r="MV130" s="282">
        <f t="shared" si="1250"/>
        <v>0</v>
      </c>
      <c r="MW130" s="282">
        <f t="shared" si="1251"/>
        <v>0</v>
      </c>
      <c r="MX130" s="282">
        <f t="shared" si="1252"/>
        <v>0</v>
      </c>
      <c r="MY130" s="282">
        <f t="shared" si="1253"/>
        <v>0</v>
      </c>
      <c r="MZ130" s="282">
        <f t="shared" si="1254"/>
        <v>0</v>
      </c>
      <c r="NA130" s="282">
        <f t="shared" si="1255"/>
        <v>0</v>
      </c>
      <c r="NB130" s="282">
        <f t="shared" si="1256"/>
        <v>0</v>
      </c>
      <c r="NC130" s="282">
        <f t="shared" si="1257"/>
        <v>0</v>
      </c>
      <c r="ND130" s="282">
        <f t="shared" si="1258"/>
        <v>0</v>
      </c>
      <c r="NE130" s="282">
        <f t="shared" si="1259"/>
        <v>0</v>
      </c>
      <c r="NF130" s="282">
        <f t="shared" si="1260"/>
        <v>0</v>
      </c>
      <c r="NG130" s="282">
        <f t="shared" si="1261"/>
        <v>0</v>
      </c>
      <c r="NH130" s="282">
        <f t="shared" si="1262"/>
        <v>0</v>
      </c>
      <c r="NI130" s="282">
        <f t="shared" si="1263"/>
        <v>0</v>
      </c>
      <c r="NJ130" s="282">
        <f t="shared" si="1264"/>
        <v>0</v>
      </c>
      <c r="NK130" s="282">
        <f t="shared" si="1265"/>
        <v>0</v>
      </c>
      <c r="NL130" s="282">
        <f t="shared" si="1266"/>
        <v>0</v>
      </c>
      <c r="NM130" s="1205">
        <f t="shared" si="1267"/>
        <v>0</v>
      </c>
      <c r="NN130" s="282">
        <f t="shared" si="1268"/>
        <v>0</v>
      </c>
      <c r="NO130" s="282">
        <f t="shared" si="1269"/>
        <v>0</v>
      </c>
      <c r="NP130" s="282">
        <f t="shared" si="1270"/>
        <v>0</v>
      </c>
      <c r="NQ130" s="282">
        <f t="shared" si="1271"/>
        <v>0</v>
      </c>
      <c r="NR130" s="282">
        <f t="shared" si="1272"/>
        <v>0</v>
      </c>
      <c r="NS130" s="282">
        <f t="shared" si="1273"/>
        <v>0</v>
      </c>
      <c r="NT130" s="282">
        <f t="shared" si="1274"/>
        <v>0</v>
      </c>
      <c r="NU130" s="282">
        <f t="shared" si="1275"/>
        <v>0</v>
      </c>
      <c r="NV130" s="286">
        <f t="shared" si="1276"/>
        <v>0</v>
      </c>
      <c r="NW130" s="286">
        <f t="shared" si="1277"/>
        <v>0</v>
      </c>
      <c r="NX130" s="286">
        <f t="shared" si="1278"/>
        <v>0</v>
      </c>
      <c r="NY130" s="286">
        <f t="shared" si="1279"/>
        <v>0</v>
      </c>
      <c r="NZ130" s="286">
        <f t="shared" si="1280"/>
        <v>0</v>
      </c>
      <c r="OA130" s="286">
        <f t="shared" si="1281"/>
        <v>0</v>
      </c>
      <c r="OB130" s="286">
        <f t="shared" si="1282"/>
        <v>0</v>
      </c>
      <c r="OC130" s="286">
        <f t="shared" si="1283"/>
        <v>0</v>
      </c>
      <c r="OD130" s="286">
        <f t="shared" si="1284"/>
        <v>0</v>
      </c>
      <c r="OE130" s="282">
        <f t="shared" si="1285"/>
        <v>0</v>
      </c>
      <c r="OF130" s="282">
        <f t="shared" si="1286"/>
        <v>0</v>
      </c>
      <c r="OG130" s="286">
        <f t="shared" si="1287"/>
        <v>0</v>
      </c>
      <c r="OH130" s="286">
        <f t="shared" si="1288"/>
        <v>0</v>
      </c>
      <c r="OI130" s="286">
        <f t="shared" si="1289"/>
        <v>0</v>
      </c>
      <c r="OJ130" s="286">
        <f t="shared" si="1290"/>
        <v>0</v>
      </c>
      <c r="OK130" s="286">
        <f t="shared" si="1291"/>
        <v>0</v>
      </c>
      <c r="OL130" s="286">
        <f t="shared" si="1292"/>
        <v>0</v>
      </c>
      <c r="OM130" s="286">
        <f t="shared" si="1293"/>
        <v>0</v>
      </c>
      <c r="ON130" s="286">
        <f t="shared" si="1294"/>
        <v>0</v>
      </c>
      <c r="OO130" s="286">
        <f t="shared" si="1295"/>
        <v>0</v>
      </c>
      <c r="OP130" s="434">
        <f t="shared" si="1296"/>
        <v>0</v>
      </c>
      <c r="OQ130" s="434">
        <f t="shared" si="1297"/>
        <v>0</v>
      </c>
      <c r="OR130" s="282" t="str">
        <f t="shared" si="1298"/>
        <v>fix</v>
      </c>
      <c r="OS130" s="282">
        <f t="shared" si="1299"/>
        <v>0</v>
      </c>
      <c r="OT130" s="282">
        <f t="shared" si="1300"/>
        <v>0</v>
      </c>
      <c r="OU130" s="282">
        <f t="shared" si="1301"/>
        <v>0</v>
      </c>
      <c r="OV130" s="282">
        <f t="shared" si="1302"/>
        <v>0</v>
      </c>
      <c r="OW130" s="286">
        <f t="shared" si="1303"/>
        <v>0</v>
      </c>
      <c r="OX130" s="286">
        <f t="shared" si="1304"/>
        <v>0</v>
      </c>
      <c r="OY130" s="286">
        <f t="shared" si="1305"/>
        <v>0</v>
      </c>
      <c r="OZ130" s="286">
        <f t="shared" si="1306"/>
        <v>0</v>
      </c>
      <c r="PA130" s="286">
        <f t="shared" si="1307"/>
        <v>0</v>
      </c>
      <c r="PB130" s="286">
        <f t="shared" si="1308"/>
        <v>0</v>
      </c>
      <c r="PC130" s="286">
        <f t="shared" si="1309"/>
        <v>0</v>
      </c>
      <c r="PD130" s="282">
        <f t="shared" si="1310"/>
        <v>0</v>
      </c>
      <c r="PE130" s="282">
        <f t="shared" si="1311"/>
        <v>0</v>
      </c>
      <c r="PF130" s="286">
        <f t="shared" si="1312"/>
        <v>0</v>
      </c>
      <c r="PG130" s="286">
        <f t="shared" si="1313"/>
        <v>0</v>
      </c>
      <c r="PH130" s="286">
        <f t="shared" si="1314"/>
        <v>0</v>
      </c>
      <c r="PI130" s="286">
        <f t="shared" si="1315"/>
        <v>0</v>
      </c>
      <c r="PJ130" s="286">
        <f t="shared" si="1316"/>
        <v>0</v>
      </c>
      <c r="PK130" s="286">
        <f t="shared" si="1317"/>
        <v>0</v>
      </c>
      <c r="PL130" s="286">
        <f t="shared" si="1318"/>
        <v>0</v>
      </c>
      <c r="PM130" s="562">
        <v>74</v>
      </c>
    </row>
    <row r="131" spans="1:429" s="289" customFormat="1" ht="15.75" customHeight="1">
      <c r="A131" s="1935" t="s">
        <v>1848</v>
      </c>
      <c r="B131" s="1040" t="str">
        <f>VLOOKUP(A131,'Area (&amp;golfacre for lookup)'!$A$2:$B$162,2,FALSE)</f>
        <v>Yacht &amp; Beach</v>
      </c>
      <c r="C131" s="1936"/>
      <c r="D131" s="1937">
        <v>44834</v>
      </c>
      <c r="E131" s="402"/>
      <c r="F131" s="1936">
        <v>1</v>
      </c>
      <c r="G131" s="1936">
        <v>0</v>
      </c>
      <c r="H131" s="1936">
        <v>545</v>
      </c>
      <c r="I131" s="1936">
        <v>66</v>
      </c>
      <c r="J131" s="1936">
        <v>611</v>
      </c>
      <c r="K131" s="1938">
        <v>645.16440422322773</v>
      </c>
      <c r="L131" s="1939" t="s">
        <v>1208</v>
      </c>
      <c r="M131" s="1939" t="s">
        <v>1208</v>
      </c>
      <c r="N131" s="1939" t="s">
        <v>1208</v>
      </c>
      <c r="O131" s="1939" t="s">
        <v>1208</v>
      </c>
      <c r="P131" s="1939" t="s">
        <v>1208</v>
      </c>
      <c r="Q131" s="1936">
        <v>0</v>
      </c>
      <c r="R131" s="1936">
        <v>60000</v>
      </c>
      <c r="S131" s="1936">
        <v>60000</v>
      </c>
      <c r="T131" s="1939" t="s">
        <v>1208</v>
      </c>
      <c r="U131" s="1939" t="s">
        <v>1208</v>
      </c>
      <c r="V131" s="1939" t="s">
        <v>1208</v>
      </c>
      <c r="W131" s="1936">
        <v>8708</v>
      </c>
      <c r="X131" s="1936">
        <v>6630</v>
      </c>
      <c r="Y131" s="1939" t="s">
        <v>1208</v>
      </c>
      <c r="Z131" s="1939" t="s">
        <v>1208</v>
      </c>
      <c r="AA131" s="1936">
        <v>2078</v>
      </c>
      <c r="AB131" s="1362">
        <v>0.31342383107088989</v>
      </c>
      <c r="AC131" s="1939" t="s">
        <v>1208</v>
      </c>
      <c r="AD131" s="1363" t="s">
        <v>1208</v>
      </c>
      <c r="AE131" s="1936">
        <v>1</v>
      </c>
      <c r="AF131" s="1936">
        <v>1500</v>
      </c>
      <c r="AG131" s="1939" t="s">
        <v>1208</v>
      </c>
      <c r="AH131" s="1936">
        <v>0</v>
      </c>
      <c r="AI131" s="1936">
        <v>0</v>
      </c>
      <c r="AJ131" s="1939" t="s">
        <v>1208</v>
      </c>
      <c r="AK131" s="1938">
        <v>0</v>
      </c>
      <c r="AL131" s="1938">
        <v>0</v>
      </c>
      <c r="AM131" s="1936">
        <v>8130</v>
      </c>
      <c r="AN131" s="1939" t="s">
        <v>1208</v>
      </c>
      <c r="AO131" s="1936">
        <v>0</v>
      </c>
      <c r="AP131" s="1936">
        <v>750</v>
      </c>
      <c r="AQ131" s="1936">
        <v>8880</v>
      </c>
      <c r="AR131" s="1939" t="s">
        <v>1208</v>
      </c>
      <c r="AS131" s="1363" t="s">
        <v>1208</v>
      </c>
      <c r="AT131" s="1363" t="s">
        <v>1208</v>
      </c>
      <c r="AU131" s="1363" t="s">
        <v>1208</v>
      </c>
      <c r="AV131" s="1363" t="s">
        <v>1208</v>
      </c>
      <c r="AW131" s="1363" t="s">
        <v>1291</v>
      </c>
      <c r="AX131" s="1938">
        <v>0</v>
      </c>
      <c r="AY131" s="1938">
        <v>0</v>
      </c>
      <c r="AZ131" s="1938">
        <v>0</v>
      </c>
      <c r="BA131" s="1938">
        <v>0</v>
      </c>
      <c r="BB131" s="1938">
        <v>0</v>
      </c>
      <c r="BC131" s="1938">
        <v>0</v>
      </c>
      <c r="BD131" s="1938">
        <v>0</v>
      </c>
      <c r="BE131" s="1936">
        <v>1</v>
      </c>
      <c r="BF131" s="1936">
        <v>815000</v>
      </c>
      <c r="BG131" s="1936">
        <v>1552577</v>
      </c>
      <c r="BH131" s="1936">
        <v>2367577</v>
      </c>
      <c r="BI131" s="1938">
        <v>16511224</v>
      </c>
      <c r="BJ131" s="1936">
        <v>657958</v>
      </c>
      <c r="BK131" s="1936">
        <v>1111258</v>
      </c>
      <c r="BL131" s="1362">
        <v>0.59208392650491604</v>
      </c>
      <c r="BM131" s="1936">
        <v>1</v>
      </c>
      <c r="BN131" s="1936">
        <v>3492110</v>
      </c>
      <c r="BO131" s="1363" t="s">
        <v>1208</v>
      </c>
      <c r="BP131" s="1938">
        <v>3588099</v>
      </c>
      <c r="BQ131" s="1938">
        <v>2934401</v>
      </c>
      <c r="BR131" s="1940">
        <v>1.2227705075073243</v>
      </c>
      <c r="BS131" s="1409">
        <v>1</v>
      </c>
      <c r="BT131" s="1938">
        <v>6314175</v>
      </c>
      <c r="BU131" s="1938">
        <v>16821120</v>
      </c>
      <c r="BV131" s="1940">
        <v>0.37537185395502798</v>
      </c>
      <c r="BW131" s="1936">
        <v>5412.7443751402707</v>
      </c>
      <c r="BX131" s="1936">
        <v>1019.8299777436972</v>
      </c>
      <c r="BY131" s="1936">
        <v>3669.7266378955637</v>
      </c>
      <c r="BZ131" s="1936">
        <v>0</v>
      </c>
      <c r="CA131" s="1936">
        <v>0</v>
      </c>
      <c r="CB131" s="1936">
        <v>0</v>
      </c>
      <c r="CC131" s="1936">
        <v>1272335</v>
      </c>
      <c r="CD131" s="1936">
        <v>4277440</v>
      </c>
      <c r="CE131" s="1936">
        <v>0</v>
      </c>
      <c r="CF131" s="1936">
        <v>0</v>
      </c>
      <c r="CG131" s="1936">
        <v>2271396</v>
      </c>
      <c r="CH131" s="1936">
        <v>981874</v>
      </c>
      <c r="CI131" s="1936">
        <v>317891</v>
      </c>
      <c r="CJ131" s="1936">
        <v>9120936</v>
      </c>
      <c r="CK131" s="1366">
        <v>0</v>
      </c>
      <c r="CL131" s="1366">
        <v>0</v>
      </c>
      <c r="CM131" s="1366">
        <v>0</v>
      </c>
      <c r="CN131" s="1366">
        <v>0.13949609996167059</v>
      </c>
      <c r="CO131" s="1366">
        <v>0.46896941278833665</v>
      </c>
      <c r="CP131" s="1366">
        <v>0</v>
      </c>
      <c r="CQ131" s="1366">
        <v>0</v>
      </c>
      <c r="CR131" s="1366">
        <v>0.24903102050052758</v>
      </c>
      <c r="CS131" s="1366">
        <v>0.10765057445858627</v>
      </c>
      <c r="CT131" s="1366">
        <v>3.4852892290878922E-2</v>
      </c>
      <c r="CU131" s="1366">
        <v>1</v>
      </c>
      <c r="CV131" s="1936">
        <v>4569228</v>
      </c>
      <c r="CW131" s="1936">
        <v>1428958</v>
      </c>
      <c r="CX131" s="1936">
        <v>0</v>
      </c>
      <c r="CY131" s="1936">
        <v>2600908</v>
      </c>
      <c r="CZ131" s="1936">
        <v>173477</v>
      </c>
      <c r="DA131" s="1936">
        <v>281416</v>
      </c>
      <c r="DB131" s="1936">
        <v>9053987</v>
      </c>
      <c r="DC131" s="1366">
        <v>0.50466474051707833</v>
      </c>
      <c r="DD131" s="1366">
        <v>0.15782638079776345</v>
      </c>
      <c r="DE131" s="1366">
        <v>0</v>
      </c>
      <c r="DF131" s="1366">
        <v>0.28726659315945563</v>
      </c>
      <c r="DG131" s="1366">
        <v>1.916028816917895E-2</v>
      </c>
      <c r="DH131" s="1366">
        <v>3.1081997356523706E-2</v>
      </c>
      <c r="DI131" s="1366">
        <v>1</v>
      </c>
      <c r="DJ131" s="1936">
        <v>66949</v>
      </c>
      <c r="DK131" s="1936">
        <v>0</v>
      </c>
      <c r="DL131" s="1936">
        <v>0</v>
      </c>
      <c r="DM131" s="1936">
        <v>0</v>
      </c>
      <c r="DN131" s="1936">
        <v>1972.109731521658</v>
      </c>
      <c r="DO131" s="1936">
        <v>6630</v>
      </c>
      <c r="DP131" s="1936">
        <v>0</v>
      </c>
      <c r="DQ131" s="1936">
        <v>0</v>
      </c>
      <c r="DR131" s="1936">
        <v>3520.6468074362238</v>
      </c>
      <c r="DS131" s="1936">
        <v>1521.8973544924067</v>
      </c>
      <c r="DT131" s="1936">
        <v>492.72867182239844</v>
      </c>
      <c r="DU131" s="1936">
        <v>14137.382565272686</v>
      </c>
      <c r="DV131" s="1936">
        <v>7082.269217101818</v>
      </c>
      <c r="DW131" s="1936">
        <v>2214.8742098077355</v>
      </c>
      <c r="DX131" s="1936">
        <v>0</v>
      </c>
      <c r="DY131" s="1936">
        <v>4031.3879423206404</v>
      </c>
      <c r="DZ131" s="1936">
        <v>268.88805219944641</v>
      </c>
      <c r="EA131" s="1936">
        <v>436.1926946958929</v>
      </c>
      <c r="EB131" s="1936">
        <v>14033.612116125534</v>
      </c>
      <c r="EC131" s="1936">
        <v>103.77044914715344</v>
      </c>
      <c r="ED131" s="1941">
        <v>76</v>
      </c>
      <c r="EE131" s="1936">
        <v>0</v>
      </c>
      <c r="EF131" s="1936">
        <v>0</v>
      </c>
      <c r="EG131" s="1938">
        <v>0</v>
      </c>
      <c r="EH131" s="1938">
        <v>1</v>
      </c>
      <c r="EI131" s="1368">
        <v>4.1000000000000002E-2</v>
      </c>
      <c r="EJ131" s="1936">
        <v>8.4890053187266812</v>
      </c>
      <c r="EK131" s="1936">
        <v>0</v>
      </c>
      <c r="EL131" s="1936">
        <v>0</v>
      </c>
      <c r="EM131" s="1936">
        <v>0</v>
      </c>
      <c r="EN131" s="1362">
        <v>0</v>
      </c>
      <c r="EO131" s="1936">
        <v>1</v>
      </c>
      <c r="EP131" s="1936">
        <v>62.5</v>
      </c>
      <c r="EQ131" s="1936">
        <v>0</v>
      </c>
      <c r="ER131" s="1938">
        <v>0</v>
      </c>
      <c r="ES131" s="1936">
        <v>5042.5441619286303</v>
      </c>
      <c r="ET131" s="1936">
        <v>-2758.9091839979055</v>
      </c>
      <c r="EU131" s="1938">
        <v>2</v>
      </c>
      <c r="EV131" s="1936">
        <v>53315</v>
      </c>
      <c r="EW131" s="1936">
        <v>16334</v>
      </c>
      <c r="EX131" s="1938">
        <v>0</v>
      </c>
      <c r="EY131" s="1936">
        <v>2271396</v>
      </c>
      <c r="EZ131" s="1936">
        <v>1041788</v>
      </c>
      <c r="FA131" s="1936">
        <v>1229608</v>
      </c>
      <c r="FB131" s="1936">
        <v>981874</v>
      </c>
      <c r="FC131" s="1936">
        <v>387170</v>
      </c>
      <c r="FD131" s="1936">
        <v>594704</v>
      </c>
      <c r="FE131" s="1936">
        <v>3253270</v>
      </c>
      <c r="FF131" s="1936">
        <v>1428958</v>
      </c>
      <c r="FG131" s="1936">
        <v>1824312</v>
      </c>
      <c r="FH131" s="1366">
        <v>1</v>
      </c>
      <c r="FI131" s="1366">
        <v>0.45865538197654659</v>
      </c>
      <c r="FJ131" s="1366">
        <v>0.54134461802345346</v>
      </c>
      <c r="FK131" s="1366">
        <v>1</v>
      </c>
      <c r="FL131" s="1366">
        <v>0.39431739714056996</v>
      </c>
      <c r="FM131" s="1366">
        <v>0.60568260285942999</v>
      </c>
      <c r="FN131" s="1366">
        <v>1</v>
      </c>
      <c r="FO131" s="1366">
        <v>0.43923744417155663</v>
      </c>
      <c r="FP131" s="1366">
        <v>0.56076255582844337</v>
      </c>
      <c r="FQ131" s="1936">
        <v>3276362</v>
      </c>
      <c r="FR131" s="1936">
        <v>-650654</v>
      </c>
      <c r="FS131" s="1936">
        <v>528528</v>
      </c>
      <c r="FT131" s="1936">
        <v>0</v>
      </c>
      <c r="FU131" s="1936">
        <v>33920</v>
      </c>
      <c r="FV131" s="1936">
        <v>7807</v>
      </c>
      <c r="FW131" s="1936">
        <v>408299</v>
      </c>
      <c r="FX131" s="1936">
        <v>3604262</v>
      </c>
      <c r="FY131" s="1936">
        <v>-1779950</v>
      </c>
      <c r="FZ131" s="1366">
        <v>1.0070980889996834</v>
      </c>
      <c r="GA131" s="1366">
        <v>-0.2</v>
      </c>
      <c r="GB131" s="1366">
        <v>0.16246053970312946</v>
      </c>
      <c r="GC131" s="1366">
        <v>0</v>
      </c>
      <c r="GD131" s="1366">
        <v>1.0426432481779871E-2</v>
      </c>
      <c r="GE131" s="1366">
        <v>2.3997393391879556E-3</v>
      </c>
      <c r="GF131" s="1366">
        <v>0.12550418501999527</v>
      </c>
      <c r="GG131" s="1366">
        <v>1.1078889855437759</v>
      </c>
      <c r="GH131" s="1366">
        <v>-0.54712642971533254</v>
      </c>
      <c r="GI131" s="1942">
        <v>2.3133273719438545</v>
      </c>
      <c r="GJ131" s="1943">
        <v>1</v>
      </c>
      <c r="GK131" s="1371">
        <v>0.03</v>
      </c>
      <c r="GL131" s="1943">
        <v>0</v>
      </c>
      <c r="GM131" s="1371">
        <v>0</v>
      </c>
      <c r="GN131" s="1943">
        <v>0</v>
      </c>
      <c r="GO131" s="1985">
        <f>IF(GN131=0,0,VLOOKUP(A131,'Area (&amp;golfacre for lookup)'!$G$2:$H$133,2,FALSE))</f>
        <v>0</v>
      </c>
      <c r="GP131" s="1943">
        <v>0</v>
      </c>
      <c r="GQ131" s="1943">
        <v>0</v>
      </c>
      <c r="GR131" s="1943">
        <v>0</v>
      </c>
      <c r="GS131" s="1943">
        <v>0</v>
      </c>
      <c r="GT131" s="1943">
        <v>0</v>
      </c>
      <c r="GU131" s="1943">
        <v>0</v>
      </c>
      <c r="GV131" s="1943">
        <v>0</v>
      </c>
      <c r="GW131" s="1943">
        <v>0</v>
      </c>
      <c r="GX131" s="1936">
        <v>0</v>
      </c>
      <c r="GY131" s="1985">
        <f t="shared" si="1319"/>
        <v>0</v>
      </c>
      <c r="GZ131" s="1936">
        <v>0</v>
      </c>
      <c r="HA131" s="1936">
        <v>0</v>
      </c>
      <c r="HB131" s="1936">
        <v>0</v>
      </c>
      <c r="HC131" s="1936">
        <v>0</v>
      </c>
      <c r="HD131" s="1936">
        <v>0</v>
      </c>
      <c r="HE131" s="1936">
        <v>0</v>
      </c>
      <c r="HF131" s="1936">
        <v>0</v>
      </c>
      <c r="HG131" s="1936">
        <v>0</v>
      </c>
      <c r="HH131" s="1988">
        <f>IF(HG134=0,0,VLOOKUP(A134,'Area (&amp;golfacre for lookup)'!$G$2:$H$134,2,FALSE))</f>
        <v>0</v>
      </c>
      <c r="HI131" s="1936">
        <v>0</v>
      </c>
      <c r="HJ131" s="1936">
        <v>0</v>
      </c>
      <c r="HK131" s="1936">
        <v>0</v>
      </c>
      <c r="HL131" s="1936">
        <v>0</v>
      </c>
      <c r="HM131" s="1936">
        <v>0</v>
      </c>
      <c r="HN131" s="1936">
        <v>0</v>
      </c>
      <c r="HO131" s="1936">
        <v>0</v>
      </c>
      <c r="HP131" s="1936">
        <v>0</v>
      </c>
      <c r="HQ131" s="1936">
        <v>0</v>
      </c>
      <c r="HR131" s="1988">
        <f t="shared" si="1320"/>
        <v>0</v>
      </c>
      <c r="HS131" s="1936">
        <v>0</v>
      </c>
      <c r="HT131" s="1936">
        <v>0</v>
      </c>
      <c r="HU131" s="1936">
        <v>0</v>
      </c>
      <c r="HV131" s="1936">
        <v>0</v>
      </c>
      <c r="HW131" s="1936">
        <v>0</v>
      </c>
      <c r="HX131" s="1936">
        <v>0</v>
      </c>
      <c r="HY131" s="1936">
        <v>0</v>
      </c>
      <c r="HZ131" s="51"/>
      <c r="IA131" s="59">
        <f t="shared" si="1136"/>
        <v>0</v>
      </c>
      <c r="IB131" s="59"/>
      <c r="IC131" s="815">
        <f t="shared" si="1137"/>
        <v>1</v>
      </c>
      <c r="ID131" s="815"/>
      <c r="IE131" s="284">
        <f t="shared" si="1138"/>
        <v>0</v>
      </c>
      <c r="IF131" s="284"/>
      <c r="IG131" s="284">
        <f t="shared" si="1139"/>
        <v>25592.273677713772</v>
      </c>
      <c r="IH131" s="284"/>
      <c r="II131" s="1288">
        <f t="shared" si="1140"/>
        <v>1.2227705075073243</v>
      </c>
      <c r="IJ131" s="1288">
        <f t="shared" si="1141"/>
        <v>0</v>
      </c>
      <c r="IK131" s="284">
        <f t="shared" si="1142"/>
        <v>0</v>
      </c>
      <c r="IL131" s="284">
        <f t="shared" si="1143"/>
        <v>0</v>
      </c>
      <c r="IM131" s="284">
        <f t="shared" si="1144"/>
        <v>0</v>
      </c>
      <c r="IN131" s="284">
        <f t="shared" si="1145"/>
        <v>0</v>
      </c>
      <c r="IO131" s="753">
        <f t="shared" si="1146"/>
        <v>-2913.1751227495906</v>
      </c>
      <c r="IP131" s="113">
        <f t="shared" si="1147"/>
        <v>-2758.9091839979055</v>
      </c>
      <c r="IQ131" s="30">
        <f t="shared" si="1148"/>
        <v>-0.41612506545971423</v>
      </c>
      <c r="IR131" s="438">
        <f t="shared" si="1149"/>
        <v>2271396</v>
      </c>
      <c r="IS131" s="438">
        <f t="shared" si="1150"/>
        <v>981874</v>
      </c>
      <c r="IT131" s="438">
        <f t="shared" si="1151"/>
        <v>3276362</v>
      </c>
      <c r="IU131" s="438">
        <f t="shared" si="1152"/>
        <v>528528</v>
      </c>
      <c r="IV131" s="438">
        <f t="shared" si="1153"/>
        <v>1428958</v>
      </c>
      <c r="IW131" s="438">
        <f t="shared" si="1154"/>
        <v>-200628</v>
      </c>
      <c r="IX131" s="285">
        <f t="shared" si="1155"/>
        <v>0.69818859178611059</v>
      </c>
      <c r="IY131" s="285">
        <f t="shared" si="1156"/>
        <v>0.30181140821388941</v>
      </c>
      <c r="IZ131" s="285">
        <f t="shared" si="1157"/>
        <v>1.0070980889996834</v>
      </c>
      <c r="JA131" s="285">
        <f t="shared" si="1158"/>
        <v>0.16246053970312946</v>
      </c>
      <c r="JB131" s="285">
        <f t="shared" si="1159"/>
        <v>0.43923744417155663</v>
      </c>
      <c r="JC131" s="285">
        <f t="shared" si="1160"/>
        <v>-6.1669643159036905E-2</v>
      </c>
      <c r="JD131" s="60">
        <f t="shared" si="1161"/>
        <v>4277440</v>
      </c>
      <c r="JE131" s="60">
        <f t="shared" si="1162"/>
        <v>1272335</v>
      </c>
      <c r="JF131" s="60">
        <f t="shared" si="1163"/>
        <v>0</v>
      </c>
      <c r="JG131" s="60">
        <f t="shared" si="1164"/>
        <v>454893</v>
      </c>
      <c r="JH131" s="284">
        <f t="shared" si="1165"/>
        <v>1</v>
      </c>
      <c r="JI131" s="284" t="str">
        <f t="shared" si="1166"/>
        <v/>
      </c>
      <c r="JJ131" s="560">
        <f t="shared" si="1167"/>
        <v>0</v>
      </c>
      <c r="JK131" s="561">
        <f t="shared" si="1168"/>
        <v>0.50096042774557348</v>
      </c>
      <c r="JL131" s="561">
        <f t="shared" si="1169"/>
        <v>0.15666791215287554</v>
      </c>
      <c r="JM131" s="561">
        <f t="shared" si="1170"/>
        <v>0</v>
      </c>
      <c r="JN131" s="561">
        <f t="shared" si="1171"/>
        <v>0.28515801448447836</v>
      </c>
      <c r="JO131" s="561">
        <f t="shared" si="1172"/>
        <v>1.9019648860599394E-2</v>
      </c>
      <c r="JP131" s="561">
        <f t="shared" si="1173"/>
        <v>3.0853850964418564E-2</v>
      </c>
      <c r="JQ131" s="561">
        <f t="shared" si="1174"/>
        <v>0.99265985420794534</v>
      </c>
      <c r="JR131" s="61">
        <f t="shared" si="1175"/>
        <v>0</v>
      </c>
      <c r="JS131" s="61">
        <f t="shared" si="1176"/>
        <v>0</v>
      </c>
      <c r="JT131" s="61">
        <f t="shared" si="1177"/>
        <v>0</v>
      </c>
      <c r="JU131" s="61">
        <f t="shared" si="1178"/>
        <v>0</v>
      </c>
      <c r="JV131" s="61">
        <f t="shared" si="1179"/>
        <v>0</v>
      </c>
      <c r="JW131" s="61">
        <f t="shared" si="1180"/>
        <v>0</v>
      </c>
      <c r="JX131" s="61">
        <f t="shared" si="1181"/>
        <v>0</v>
      </c>
      <c r="JY131" s="394">
        <f t="shared" si="1182"/>
        <v>0</v>
      </c>
      <c r="JZ131" s="61">
        <f t="shared" si="1183"/>
        <v>0</v>
      </c>
      <c r="KA131" s="61">
        <f t="shared" si="1184"/>
        <v>0</v>
      </c>
      <c r="KB131" s="61">
        <f t="shared" si="1185"/>
        <v>0</v>
      </c>
      <c r="KC131" s="61">
        <f t="shared" si="1186"/>
        <v>0</v>
      </c>
      <c r="KD131" s="61">
        <f t="shared" si="1187"/>
        <v>0</v>
      </c>
      <c r="KE131" s="61">
        <f t="shared" si="1188"/>
        <v>0</v>
      </c>
      <c r="KF131" s="61">
        <f t="shared" si="1189"/>
        <v>0</v>
      </c>
      <c r="KG131" s="61">
        <f t="shared" si="1190"/>
        <v>0</v>
      </c>
      <c r="KH131" s="61">
        <f t="shared" si="1191"/>
        <v>0</v>
      </c>
      <c r="KI131" s="394">
        <f t="shared" si="1192"/>
        <v>0</v>
      </c>
      <c r="KJ131" s="438">
        <f t="shared" si="1193"/>
        <v>0</v>
      </c>
      <c r="KK131" s="438">
        <f t="shared" si="1194"/>
        <v>0</v>
      </c>
      <c r="KL131" s="438">
        <f t="shared" si="1195"/>
        <v>0</v>
      </c>
      <c r="KM131" s="438">
        <f t="shared" si="1196"/>
        <v>0</v>
      </c>
      <c r="KN131" s="438">
        <f t="shared" si="1197"/>
        <v>0</v>
      </c>
      <c r="KO131" s="438">
        <f t="shared" si="1198"/>
        <v>0</v>
      </c>
      <c r="KP131" s="438">
        <f t="shared" si="1199"/>
        <v>0</v>
      </c>
      <c r="KQ131" s="438">
        <f t="shared" si="1200"/>
        <v>0</v>
      </c>
      <c r="KR131" s="438">
        <f t="shared" si="1201"/>
        <v>0</v>
      </c>
      <c r="KS131" s="438">
        <f t="shared" si="1202"/>
        <v>0</v>
      </c>
      <c r="KT131" s="438">
        <f t="shared" si="1203"/>
        <v>0</v>
      </c>
      <c r="KU131" s="438">
        <f t="shared" si="1204"/>
        <v>0</v>
      </c>
      <c r="KV131" s="420">
        <f t="shared" si="1205"/>
        <v>0</v>
      </c>
      <c r="KW131" s="420">
        <f t="shared" si="1206"/>
        <v>0</v>
      </c>
      <c r="KX131" s="108"/>
      <c r="KY131" s="282">
        <f t="shared" si="1207"/>
        <v>0</v>
      </c>
      <c r="KZ131" s="282"/>
      <c r="LA131" s="282">
        <f t="shared" si="1208"/>
        <v>0</v>
      </c>
      <c r="LB131" s="282"/>
      <c r="LC131" s="286">
        <f t="shared" si="951"/>
        <v>0</v>
      </c>
      <c r="LD131" s="286"/>
      <c r="LE131" s="282">
        <f t="shared" si="1209"/>
        <v>0</v>
      </c>
      <c r="LF131" s="282"/>
      <c r="LG131" s="282">
        <f t="shared" si="1210"/>
        <v>0</v>
      </c>
      <c r="LH131" s="282">
        <f t="shared" si="1211"/>
        <v>0</v>
      </c>
      <c r="LI131" s="282">
        <f t="shared" si="1212"/>
        <v>0</v>
      </c>
      <c r="LJ131" s="282">
        <f t="shared" si="1213"/>
        <v>0</v>
      </c>
      <c r="LK131" s="282"/>
      <c r="LL131" s="282">
        <f t="shared" si="1214"/>
        <v>0</v>
      </c>
      <c r="LM131" s="282">
        <f t="shared" si="1215"/>
        <v>0</v>
      </c>
      <c r="LN131" s="282">
        <f t="shared" si="1216"/>
        <v>0</v>
      </c>
      <c r="LO131" s="282">
        <f t="shared" si="1217"/>
        <v>0</v>
      </c>
      <c r="LP131" s="286">
        <f t="shared" si="1218"/>
        <v>0</v>
      </c>
      <c r="LQ131" s="282">
        <f t="shared" si="1219"/>
        <v>0</v>
      </c>
      <c r="LR131" s="282">
        <f t="shared" si="1220"/>
        <v>0</v>
      </c>
      <c r="LS131" s="282">
        <f t="shared" si="1221"/>
        <v>0</v>
      </c>
      <c r="LT131" s="286">
        <f t="shared" si="1222"/>
        <v>0</v>
      </c>
      <c r="LU131" s="286">
        <f t="shared" si="1223"/>
        <v>0</v>
      </c>
      <c r="LV131" s="286">
        <f t="shared" si="1224"/>
        <v>0</v>
      </c>
      <c r="LW131" s="286">
        <f t="shared" si="1225"/>
        <v>0</v>
      </c>
      <c r="LX131" s="286">
        <f t="shared" si="1226"/>
        <v>0</v>
      </c>
      <c r="LY131" s="286">
        <f t="shared" si="1227"/>
        <v>0</v>
      </c>
      <c r="LZ131" s="286">
        <f t="shared" si="1228"/>
        <v>0</v>
      </c>
      <c r="MA131" s="286">
        <f t="shared" si="1229"/>
        <v>0</v>
      </c>
      <c r="MB131" s="286">
        <f t="shared" si="1230"/>
        <v>0</v>
      </c>
      <c r="MC131" s="286">
        <f t="shared" si="1231"/>
        <v>0</v>
      </c>
      <c r="MD131" s="286">
        <f t="shared" si="1232"/>
        <v>0</v>
      </c>
      <c r="ME131" s="286">
        <f t="shared" si="1233"/>
        <v>0</v>
      </c>
      <c r="MF131" s="286">
        <f t="shared" si="1234"/>
        <v>0</v>
      </c>
      <c r="MG131" s="286">
        <f t="shared" si="1235"/>
        <v>0</v>
      </c>
      <c r="MH131" s="286">
        <f t="shared" si="1236"/>
        <v>0</v>
      </c>
      <c r="MI131" s="286">
        <f t="shared" si="1237"/>
        <v>0</v>
      </c>
      <c r="MJ131" s="286">
        <f t="shared" si="1238"/>
        <v>0</v>
      </c>
      <c r="MK131" s="286">
        <f t="shared" si="1239"/>
        <v>0</v>
      </c>
      <c r="ML131" s="282">
        <f t="shared" si="1240"/>
        <v>0</v>
      </c>
      <c r="MM131" s="1232">
        <f t="shared" si="1241"/>
        <v>0</v>
      </c>
      <c r="MN131" s="1232">
        <f t="shared" si="1242"/>
        <v>0</v>
      </c>
      <c r="MO131" s="1232">
        <f t="shared" si="1243"/>
        <v>0</v>
      </c>
      <c r="MP131" s="1232">
        <f t="shared" si="1244"/>
        <v>0</v>
      </c>
      <c r="MQ131" s="282">
        <f t="shared" si="1245"/>
        <v>0</v>
      </c>
      <c r="MR131" s="282">
        <f t="shared" si="1246"/>
        <v>0</v>
      </c>
      <c r="MS131" s="282">
        <f t="shared" si="1247"/>
        <v>0</v>
      </c>
      <c r="MT131" s="282">
        <f t="shared" si="1248"/>
        <v>0</v>
      </c>
      <c r="MU131" s="282">
        <f t="shared" si="1249"/>
        <v>0</v>
      </c>
      <c r="MV131" s="282">
        <f t="shared" si="1250"/>
        <v>0</v>
      </c>
      <c r="MW131" s="282">
        <f t="shared" si="1251"/>
        <v>0</v>
      </c>
      <c r="MX131" s="282">
        <f t="shared" si="1252"/>
        <v>0</v>
      </c>
      <c r="MY131" s="282">
        <f t="shared" si="1253"/>
        <v>0</v>
      </c>
      <c r="MZ131" s="282">
        <f t="shared" si="1254"/>
        <v>0</v>
      </c>
      <c r="NA131" s="282">
        <f t="shared" si="1255"/>
        <v>0</v>
      </c>
      <c r="NB131" s="282">
        <f t="shared" si="1256"/>
        <v>0</v>
      </c>
      <c r="NC131" s="282">
        <f t="shared" si="1257"/>
        <v>0</v>
      </c>
      <c r="ND131" s="282">
        <f t="shared" si="1258"/>
        <v>0</v>
      </c>
      <c r="NE131" s="282">
        <f t="shared" si="1259"/>
        <v>0</v>
      </c>
      <c r="NF131" s="282">
        <f t="shared" si="1260"/>
        <v>0</v>
      </c>
      <c r="NG131" s="282">
        <f t="shared" si="1261"/>
        <v>0</v>
      </c>
      <c r="NH131" s="282">
        <f t="shared" si="1262"/>
        <v>0</v>
      </c>
      <c r="NI131" s="282">
        <f t="shared" si="1263"/>
        <v>0</v>
      </c>
      <c r="NJ131" s="282">
        <f t="shared" si="1264"/>
        <v>0</v>
      </c>
      <c r="NK131" s="282">
        <f t="shared" si="1265"/>
        <v>0</v>
      </c>
      <c r="NL131" s="282">
        <f t="shared" si="1266"/>
        <v>0</v>
      </c>
      <c r="NM131" s="1205">
        <f t="shared" si="1267"/>
        <v>0</v>
      </c>
      <c r="NN131" s="282">
        <f t="shared" si="1268"/>
        <v>0</v>
      </c>
      <c r="NO131" s="282">
        <f t="shared" si="1269"/>
        <v>0</v>
      </c>
      <c r="NP131" s="282">
        <f t="shared" si="1270"/>
        <v>0</v>
      </c>
      <c r="NQ131" s="282">
        <f t="shared" si="1271"/>
        <v>0</v>
      </c>
      <c r="NR131" s="282">
        <f t="shared" si="1272"/>
        <v>0</v>
      </c>
      <c r="NS131" s="282">
        <f t="shared" si="1273"/>
        <v>0</v>
      </c>
      <c r="NT131" s="282">
        <f t="shared" si="1274"/>
        <v>0</v>
      </c>
      <c r="NU131" s="282">
        <f t="shared" si="1275"/>
        <v>0</v>
      </c>
      <c r="NV131" s="286">
        <f t="shared" si="1276"/>
        <v>0</v>
      </c>
      <c r="NW131" s="286">
        <f t="shared" si="1277"/>
        <v>0</v>
      </c>
      <c r="NX131" s="286">
        <f t="shared" si="1278"/>
        <v>0</v>
      </c>
      <c r="NY131" s="286">
        <f t="shared" si="1279"/>
        <v>0</v>
      </c>
      <c r="NZ131" s="286">
        <f t="shared" si="1280"/>
        <v>0</v>
      </c>
      <c r="OA131" s="286">
        <f t="shared" si="1281"/>
        <v>0</v>
      </c>
      <c r="OB131" s="286">
        <f t="shared" si="1282"/>
        <v>0</v>
      </c>
      <c r="OC131" s="286">
        <f t="shared" si="1283"/>
        <v>0</v>
      </c>
      <c r="OD131" s="286">
        <f t="shared" si="1284"/>
        <v>0</v>
      </c>
      <c r="OE131" s="282">
        <f t="shared" si="1285"/>
        <v>0</v>
      </c>
      <c r="OF131" s="282">
        <f t="shared" si="1286"/>
        <v>0</v>
      </c>
      <c r="OG131" s="286">
        <f t="shared" si="1287"/>
        <v>0</v>
      </c>
      <c r="OH131" s="286">
        <f t="shared" si="1288"/>
        <v>0</v>
      </c>
      <c r="OI131" s="286">
        <f t="shared" si="1289"/>
        <v>0</v>
      </c>
      <c r="OJ131" s="286">
        <f t="shared" si="1290"/>
        <v>0</v>
      </c>
      <c r="OK131" s="286">
        <f t="shared" si="1291"/>
        <v>0</v>
      </c>
      <c r="OL131" s="286">
        <f t="shared" si="1292"/>
        <v>0</v>
      </c>
      <c r="OM131" s="286">
        <f t="shared" si="1293"/>
        <v>0</v>
      </c>
      <c r="ON131" s="286">
        <f t="shared" si="1294"/>
        <v>0</v>
      </c>
      <c r="OO131" s="286">
        <f t="shared" si="1295"/>
        <v>0</v>
      </c>
      <c r="OP131" s="434">
        <f t="shared" si="1296"/>
        <v>0</v>
      </c>
      <c r="OQ131" s="434">
        <f t="shared" si="1297"/>
        <v>0</v>
      </c>
      <c r="OR131" s="282">
        <f t="shared" si="1298"/>
        <v>0</v>
      </c>
      <c r="OS131" s="282">
        <f t="shared" si="1299"/>
        <v>0</v>
      </c>
      <c r="OT131" s="282">
        <f t="shared" si="1300"/>
        <v>0</v>
      </c>
      <c r="OU131" s="282">
        <f t="shared" si="1301"/>
        <v>0</v>
      </c>
      <c r="OV131" s="282">
        <f t="shared" si="1302"/>
        <v>0</v>
      </c>
      <c r="OW131" s="286">
        <f t="shared" si="1303"/>
        <v>0</v>
      </c>
      <c r="OX131" s="286">
        <f t="shared" si="1304"/>
        <v>0</v>
      </c>
      <c r="OY131" s="286">
        <f t="shared" si="1305"/>
        <v>0</v>
      </c>
      <c r="OZ131" s="286">
        <f t="shared" si="1306"/>
        <v>0</v>
      </c>
      <c r="PA131" s="286">
        <f t="shared" si="1307"/>
        <v>0</v>
      </c>
      <c r="PB131" s="286">
        <f t="shared" si="1308"/>
        <v>0</v>
      </c>
      <c r="PC131" s="286">
        <f t="shared" si="1309"/>
        <v>0</v>
      </c>
      <c r="PD131" s="282">
        <f t="shared" si="1310"/>
        <v>0</v>
      </c>
      <c r="PE131" s="282">
        <f t="shared" si="1311"/>
        <v>0</v>
      </c>
      <c r="PF131" s="286">
        <f t="shared" si="1312"/>
        <v>0</v>
      </c>
      <c r="PG131" s="286">
        <f t="shared" si="1313"/>
        <v>0</v>
      </c>
      <c r="PH131" s="286">
        <f t="shared" si="1314"/>
        <v>0</v>
      </c>
      <c r="PI131" s="286">
        <f t="shared" si="1315"/>
        <v>0</v>
      </c>
      <c r="PJ131" s="286">
        <f t="shared" si="1316"/>
        <v>0</v>
      </c>
      <c r="PK131" s="286">
        <f t="shared" si="1317"/>
        <v>0</v>
      </c>
      <c r="PL131" s="286">
        <f t="shared" si="1318"/>
        <v>0</v>
      </c>
      <c r="PM131" s="562">
        <v>75</v>
      </c>
    </row>
    <row r="132" spans="1:429" s="289" customFormat="1" ht="15.75" customHeight="1">
      <c r="A132" s="1935" t="s">
        <v>1849</v>
      </c>
      <c r="B132" s="1040" t="str">
        <f>VLOOKUP(A132,'Area (&amp;golfacre for lookup)'!$A$2:$B$162,2,FALSE)</f>
        <v>North&amp;Central</v>
      </c>
      <c r="C132" s="1936"/>
      <c r="D132" s="1937">
        <v>44926</v>
      </c>
      <c r="E132" s="402"/>
      <c r="F132" s="1936">
        <v>1</v>
      </c>
      <c r="G132" s="1936">
        <v>1</v>
      </c>
      <c r="H132" s="1936">
        <v>593</v>
      </c>
      <c r="I132" s="1936">
        <v>347</v>
      </c>
      <c r="J132" s="1936">
        <v>940</v>
      </c>
      <c r="K132" s="1938">
        <v>859.90558116562397</v>
      </c>
      <c r="L132" s="1939" t="s">
        <v>1208</v>
      </c>
      <c r="M132" s="1939" t="s">
        <v>1208</v>
      </c>
      <c r="N132" s="1939" t="s">
        <v>1208</v>
      </c>
      <c r="O132" s="1939" t="s">
        <v>1208</v>
      </c>
      <c r="P132" s="1939" t="s">
        <v>1208</v>
      </c>
      <c r="Q132" s="1936">
        <v>0</v>
      </c>
      <c r="R132" s="1936">
        <v>70000</v>
      </c>
      <c r="S132" s="1936">
        <v>70000</v>
      </c>
      <c r="T132" s="1939" t="s">
        <v>1208</v>
      </c>
      <c r="U132" s="1939" t="s">
        <v>1208</v>
      </c>
      <c r="V132" s="1939" t="s">
        <v>1208</v>
      </c>
      <c r="W132" s="1936">
        <v>14486</v>
      </c>
      <c r="X132" s="1936">
        <v>12148</v>
      </c>
      <c r="Y132" s="1939" t="s">
        <v>1208</v>
      </c>
      <c r="Z132" s="1939" t="s">
        <v>1208</v>
      </c>
      <c r="AA132" s="1936">
        <v>2338</v>
      </c>
      <c r="AB132" s="1362">
        <v>0.19245966414224563</v>
      </c>
      <c r="AC132" s="1939" t="s">
        <v>1208</v>
      </c>
      <c r="AD132" s="1363" t="s">
        <v>1208</v>
      </c>
      <c r="AE132" s="1936">
        <v>1</v>
      </c>
      <c r="AF132" s="1936">
        <v>3956</v>
      </c>
      <c r="AG132" s="1939" t="s">
        <v>1208</v>
      </c>
      <c r="AH132" s="1936">
        <v>0</v>
      </c>
      <c r="AI132" s="1936">
        <v>0</v>
      </c>
      <c r="AJ132" s="1939" t="s">
        <v>1208</v>
      </c>
      <c r="AK132" s="1938">
        <v>0</v>
      </c>
      <c r="AL132" s="1938">
        <v>0</v>
      </c>
      <c r="AM132" s="1936">
        <v>16104</v>
      </c>
      <c r="AN132" s="1939" t="s">
        <v>1208</v>
      </c>
      <c r="AO132" s="1936">
        <v>0</v>
      </c>
      <c r="AP132" s="1936">
        <v>0</v>
      </c>
      <c r="AQ132" s="1936">
        <v>16104</v>
      </c>
      <c r="AR132" s="1939" t="s">
        <v>1208</v>
      </c>
      <c r="AS132" s="1363" t="s">
        <v>1208</v>
      </c>
      <c r="AT132" s="1363" t="s">
        <v>1208</v>
      </c>
      <c r="AU132" s="1363" t="s">
        <v>1208</v>
      </c>
      <c r="AV132" s="1363" t="s">
        <v>1208</v>
      </c>
      <c r="AW132" s="1363" t="s">
        <v>1291</v>
      </c>
      <c r="AX132" s="1938">
        <v>1</v>
      </c>
      <c r="AY132" s="1938">
        <v>1</v>
      </c>
      <c r="AZ132" s="1938">
        <v>0</v>
      </c>
      <c r="BA132" s="1938">
        <v>0</v>
      </c>
      <c r="BB132" s="1938">
        <v>0</v>
      </c>
      <c r="BC132" s="1938">
        <v>0</v>
      </c>
      <c r="BD132" s="1938">
        <v>0</v>
      </c>
      <c r="BE132" s="1936">
        <v>1</v>
      </c>
      <c r="BF132" s="1936">
        <v>5000000</v>
      </c>
      <c r="BG132" s="1936">
        <v>1610000</v>
      </c>
      <c r="BH132" s="1936">
        <v>6610000</v>
      </c>
      <c r="BI132" s="1938">
        <v>26656179</v>
      </c>
      <c r="BJ132" s="1936">
        <v>3014203</v>
      </c>
      <c r="BK132" s="1936">
        <v>2311287</v>
      </c>
      <c r="BL132" s="1362">
        <v>1.3041232006237218</v>
      </c>
      <c r="BM132" s="1936">
        <v>1</v>
      </c>
      <c r="BN132" s="1936">
        <v>5874914</v>
      </c>
      <c r="BO132" s="1363" t="s">
        <v>1208</v>
      </c>
      <c r="BP132" s="1938">
        <v>6599784</v>
      </c>
      <c r="BQ132" s="1938">
        <v>8214828</v>
      </c>
      <c r="BR132" s="1940">
        <v>0.80339892691605963</v>
      </c>
      <c r="BS132" s="1409">
        <v>0</v>
      </c>
      <c r="BT132" s="1938">
        <v>15780197</v>
      </c>
      <c r="BU132" s="1938">
        <v>27924793</v>
      </c>
      <c r="BV132" s="1940">
        <v>0.56509629274601969</v>
      </c>
      <c r="BW132" s="1936">
        <v>6832.0454346120232</v>
      </c>
      <c r="BX132" s="1936">
        <v>3505.2720508153593</v>
      </c>
      <c r="BY132" s="1936">
        <v>7686.8904502747573</v>
      </c>
      <c r="BZ132" s="1936">
        <v>1403513</v>
      </c>
      <c r="CA132" s="1936">
        <v>179500</v>
      </c>
      <c r="CB132" s="1936">
        <v>586506</v>
      </c>
      <c r="CC132" s="1936">
        <v>300494</v>
      </c>
      <c r="CD132" s="1936">
        <v>10446133</v>
      </c>
      <c r="CE132" s="1936">
        <v>0</v>
      </c>
      <c r="CF132" s="1936">
        <v>0</v>
      </c>
      <c r="CG132" s="1936">
        <v>1218383</v>
      </c>
      <c r="CH132" s="1936">
        <v>497472</v>
      </c>
      <c r="CI132" s="1936">
        <v>735452</v>
      </c>
      <c r="CJ132" s="1936">
        <v>15367453</v>
      </c>
      <c r="CK132" s="1366">
        <v>9.1330228893493279E-2</v>
      </c>
      <c r="CL132" s="1366">
        <v>1.1680530273949757E-2</v>
      </c>
      <c r="CM132" s="1366">
        <v>3.8165465676062257E-2</v>
      </c>
      <c r="CN132" s="1366">
        <v>1.9553923477104503E-2</v>
      </c>
      <c r="CO132" s="1366">
        <v>0.67975695126576929</v>
      </c>
      <c r="CP132" s="1366">
        <v>0</v>
      </c>
      <c r="CQ132" s="1366">
        <v>0</v>
      </c>
      <c r="CR132" s="1366">
        <v>7.9283339926271457E-2</v>
      </c>
      <c r="CS132" s="1366">
        <v>3.2371792514999068E-2</v>
      </c>
      <c r="CT132" s="1366">
        <v>4.7857767972350397E-2</v>
      </c>
      <c r="CU132" s="1366">
        <v>1</v>
      </c>
      <c r="CV132" s="1936">
        <v>6874210</v>
      </c>
      <c r="CW132" s="1936">
        <v>849741</v>
      </c>
      <c r="CX132" s="1936">
        <v>382842</v>
      </c>
      <c r="CY132" s="1936">
        <v>7087942</v>
      </c>
      <c r="CZ132" s="1936">
        <v>230180</v>
      </c>
      <c r="DA132" s="1936">
        <v>456037</v>
      </c>
      <c r="DB132" s="1936">
        <v>15880952</v>
      </c>
      <c r="DC132" s="1366">
        <v>0.4328588109831199</v>
      </c>
      <c r="DD132" s="1366">
        <v>5.3506930818756959E-2</v>
      </c>
      <c r="DE132" s="1366">
        <v>2.410699308202682E-2</v>
      </c>
      <c r="DF132" s="1366">
        <v>0.44631719811255649</v>
      </c>
      <c r="DG132" s="1366">
        <v>1.4494093301207635E-2</v>
      </c>
      <c r="DH132" s="1366">
        <v>2.8715973702332202E-2</v>
      </c>
      <c r="DI132" s="1366">
        <v>1</v>
      </c>
      <c r="DJ132" s="1936">
        <v>-513499</v>
      </c>
      <c r="DK132" s="1936">
        <v>1632.1710554518118</v>
      </c>
      <c r="DL132" s="1936">
        <v>208.7438480823478</v>
      </c>
      <c r="DM132" s="1936">
        <v>682.05860369574077</v>
      </c>
      <c r="DN132" s="1936">
        <v>349.44999379196111</v>
      </c>
      <c r="DO132" s="1936">
        <v>12148</v>
      </c>
      <c r="DP132" s="1936">
        <v>0</v>
      </c>
      <c r="DQ132" s="1936">
        <v>0</v>
      </c>
      <c r="DR132" s="1936">
        <v>1416.8799769254326</v>
      </c>
      <c r="DS132" s="1936">
        <v>578.51932921014884</v>
      </c>
      <c r="DT132" s="1936">
        <v>855.27064378751447</v>
      </c>
      <c r="DU132" s="1936">
        <v>17871.093450944958</v>
      </c>
      <c r="DV132" s="1936">
        <v>7994.1451137947415</v>
      </c>
      <c r="DW132" s="1936">
        <v>988.1794218013498</v>
      </c>
      <c r="DX132" s="1936">
        <v>445.21399603087571</v>
      </c>
      <c r="DY132" s="1936">
        <v>8242.6979836461978</v>
      </c>
      <c r="DZ132" s="1936">
        <v>267.68055126236663</v>
      </c>
      <c r="EA132" s="1936">
        <v>530.33380639515121</v>
      </c>
      <c r="EB132" s="1936">
        <v>18468.250872930683</v>
      </c>
      <c r="EC132" s="1936">
        <v>-597.15742198572434</v>
      </c>
      <c r="ED132" s="1941">
        <v>127</v>
      </c>
      <c r="EE132" s="1936">
        <v>1</v>
      </c>
      <c r="EF132" s="1936">
        <v>18</v>
      </c>
      <c r="EG132" s="1938">
        <v>0</v>
      </c>
      <c r="EH132" s="1938">
        <v>1</v>
      </c>
      <c r="EI132" s="1368">
        <v>0.11</v>
      </c>
      <c r="EJ132" s="1936">
        <v>6.7709100879182991</v>
      </c>
      <c r="EK132" s="1936">
        <v>0</v>
      </c>
      <c r="EL132" s="1936">
        <v>0</v>
      </c>
      <c r="EM132" s="1936">
        <v>1</v>
      </c>
      <c r="EN132" s="1362">
        <v>0.22</v>
      </c>
      <c r="EO132" s="1936">
        <v>0</v>
      </c>
      <c r="EP132" s="1936">
        <v>0</v>
      </c>
      <c r="EQ132" s="1936">
        <v>0</v>
      </c>
      <c r="ER132" s="1938">
        <v>0</v>
      </c>
      <c r="ES132" s="1936">
        <v>1995.3993061355814</v>
      </c>
      <c r="ET132" s="1936">
        <v>-1787.6462645076413</v>
      </c>
      <c r="EU132" s="1938">
        <v>1</v>
      </c>
      <c r="EV132" s="1936">
        <v>102000</v>
      </c>
      <c r="EW132" s="1936">
        <v>28000</v>
      </c>
      <c r="EX132" s="1938">
        <v>1</v>
      </c>
      <c r="EY132" s="1936">
        <v>1218383</v>
      </c>
      <c r="EZ132" s="1936">
        <v>690474</v>
      </c>
      <c r="FA132" s="1936">
        <v>527909</v>
      </c>
      <c r="FB132" s="1936">
        <v>497472</v>
      </c>
      <c r="FC132" s="1936">
        <v>159267</v>
      </c>
      <c r="FD132" s="1936">
        <v>338205</v>
      </c>
      <c r="FE132" s="1936">
        <v>1715855</v>
      </c>
      <c r="FF132" s="1936">
        <v>849741</v>
      </c>
      <c r="FG132" s="1936">
        <v>866114</v>
      </c>
      <c r="FH132" s="1366">
        <v>1</v>
      </c>
      <c r="FI132" s="1366">
        <v>0.56671342262654678</v>
      </c>
      <c r="FJ132" s="1366">
        <v>0.43328657737345316</v>
      </c>
      <c r="FK132" s="1366">
        <v>1</v>
      </c>
      <c r="FL132" s="1366">
        <v>0.32015269201080665</v>
      </c>
      <c r="FM132" s="1366">
        <v>0.67984730798919335</v>
      </c>
      <c r="FN132" s="1366">
        <v>1</v>
      </c>
      <c r="FO132" s="1366">
        <v>0.49522890920270068</v>
      </c>
      <c r="FP132" s="1366">
        <v>0.50477109079729932</v>
      </c>
      <c r="FQ132" s="1936">
        <v>1358346</v>
      </c>
      <c r="FR132" s="1936">
        <v>0</v>
      </c>
      <c r="FS132" s="1936">
        <v>380278</v>
      </c>
      <c r="FT132" s="1936">
        <v>70430</v>
      </c>
      <c r="FU132" s="1936">
        <v>21345</v>
      </c>
      <c r="FV132" s="1936">
        <v>52865</v>
      </c>
      <c r="FW132" s="1936">
        <v>520057</v>
      </c>
      <c r="FX132" s="1936">
        <v>2403321</v>
      </c>
      <c r="FY132" s="1936">
        <v>-1537207</v>
      </c>
      <c r="FZ132" s="1366">
        <v>0.79164381605671807</v>
      </c>
      <c r="GA132" s="1366">
        <v>0</v>
      </c>
      <c r="GB132" s="1366">
        <v>0.22162595324196974</v>
      </c>
      <c r="GC132" s="1366">
        <v>4.1046591932301972E-2</v>
      </c>
      <c r="GD132" s="1366">
        <v>1.2439862342680472E-2</v>
      </c>
      <c r="GE132" s="1366">
        <v>3.0809712941944394E-2</v>
      </c>
      <c r="GF132" s="1366">
        <v>0.30308913049179564</v>
      </c>
      <c r="GG132" s="1366">
        <v>1.4006550670074103</v>
      </c>
      <c r="GH132" s="1366">
        <v>-0.89588397621011095</v>
      </c>
      <c r="GI132" s="1942">
        <v>2.4491488968223338</v>
      </c>
      <c r="GJ132" s="1987">
        <v>0</v>
      </c>
      <c r="GK132" s="1371">
        <v>0</v>
      </c>
      <c r="GL132" s="1987">
        <v>0</v>
      </c>
      <c r="GM132" s="1371">
        <v>0</v>
      </c>
      <c r="GN132" s="1943">
        <v>0</v>
      </c>
      <c r="GO132" s="1985">
        <v>0</v>
      </c>
      <c r="GP132" s="1943">
        <v>0</v>
      </c>
      <c r="GQ132" s="1943">
        <v>0</v>
      </c>
      <c r="GR132" s="1943">
        <v>0</v>
      </c>
      <c r="GS132" s="1943">
        <v>0</v>
      </c>
      <c r="GT132" s="1943">
        <v>0</v>
      </c>
      <c r="GU132" s="1943">
        <v>0</v>
      </c>
      <c r="GV132" s="1943">
        <v>0</v>
      </c>
      <c r="GW132" s="1943">
        <v>0</v>
      </c>
      <c r="GX132" s="1936">
        <v>0</v>
      </c>
      <c r="GY132" s="1985">
        <v>0</v>
      </c>
      <c r="GZ132" s="1936">
        <v>0</v>
      </c>
      <c r="HA132" s="1936">
        <v>0</v>
      </c>
      <c r="HB132" s="1936">
        <v>0</v>
      </c>
      <c r="HC132" s="1936">
        <v>0</v>
      </c>
      <c r="HD132" s="1936">
        <v>0</v>
      </c>
      <c r="HE132" s="1936">
        <v>0</v>
      </c>
      <c r="HF132" s="1936">
        <v>0</v>
      </c>
      <c r="HG132" s="1936">
        <v>36</v>
      </c>
      <c r="HH132" s="1988">
        <v>220</v>
      </c>
      <c r="HI132" s="1936">
        <v>36000</v>
      </c>
      <c r="HJ132" s="1936">
        <v>1890826</v>
      </c>
      <c r="HK132" s="1936">
        <v>244612</v>
      </c>
      <c r="HL132" s="1936">
        <v>1122816</v>
      </c>
      <c r="HM132" s="1936">
        <v>355026</v>
      </c>
      <c r="HN132" s="1936">
        <v>138385</v>
      </c>
      <c r="HO132" s="1936">
        <v>170681</v>
      </c>
      <c r="HP132" s="1936">
        <v>3922346</v>
      </c>
      <c r="HQ132" s="1936">
        <v>108954.05555555556</v>
      </c>
      <c r="HR132" s="1988">
        <v>17828.845454545455</v>
      </c>
      <c r="HS132" s="1366">
        <v>0.4820650702411261</v>
      </c>
      <c r="HT132" s="1366">
        <v>6.2363697644215989E-2</v>
      </c>
      <c r="HU132" s="1366">
        <v>0.2862613344156788</v>
      </c>
      <c r="HV132" s="1366">
        <v>9.0513687471732482E-2</v>
      </c>
      <c r="HW132" s="1366">
        <v>3.5281181211448458E-2</v>
      </c>
      <c r="HX132" s="1366">
        <v>4.35150290157982E-2</v>
      </c>
      <c r="HY132" s="1366">
        <v>1</v>
      </c>
      <c r="HZ132" s="51"/>
      <c r="IA132" s="59">
        <f t="shared" si="1136"/>
        <v>0</v>
      </c>
      <c r="IB132" s="59"/>
      <c r="IC132" s="815">
        <f t="shared" si="1137"/>
        <v>1</v>
      </c>
      <c r="ID132" s="815"/>
      <c r="IE132" s="284">
        <f t="shared" si="1138"/>
        <v>0</v>
      </c>
      <c r="IF132" s="284"/>
      <c r="IG132" s="284">
        <f t="shared" si="1139"/>
        <v>30998.960332210972</v>
      </c>
      <c r="IH132" s="284"/>
      <c r="II132" s="1288">
        <f t="shared" si="1140"/>
        <v>0</v>
      </c>
      <c r="IJ132" s="1288">
        <f t="shared" si="1141"/>
        <v>0.80339892691605963</v>
      </c>
      <c r="IK132" s="284">
        <f t="shared" si="1142"/>
        <v>1</v>
      </c>
      <c r="IL132" s="284">
        <f t="shared" si="1143"/>
        <v>0</v>
      </c>
      <c r="IM132" s="284">
        <f t="shared" si="1144"/>
        <v>0</v>
      </c>
      <c r="IN132" s="284">
        <f t="shared" si="1145"/>
        <v>0</v>
      </c>
      <c r="IO132" s="753">
        <f t="shared" si="1146"/>
        <v>-1635.3265957446808</v>
      </c>
      <c r="IP132" s="113">
        <f t="shared" si="1147"/>
        <v>-1787.6462645076413</v>
      </c>
      <c r="IQ132" s="30">
        <f t="shared" si="1148"/>
        <v>-0.14715560293938437</v>
      </c>
      <c r="IR132" s="438">
        <f t="shared" si="1149"/>
        <v>1218383</v>
      </c>
      <c r="IS132" s="438">
        <f t="shared" si="1150"/>
        <v>497472</v>
      </c>
      <c r="IT132" s="438">
        <f t="shared" si="1151"/>
        <v>1358346</v>
      </c>
      <c r="IU132" s="438">
        <f t="shared" si="1152"/>
        <v>450708</v>
      </c>
      <c r="IV132" s="438">
        <f t="shared" si="1153"/>
        <v>849741</v>
      </c>
      <c r="IW132" s="438">
        <f t="shared" si="1154"/>
        <v>594267</v>
      </c>
      <c r="IX132" s="285">
        <f t="shared" si="1155"/>
        <v>0.71007340363841931</v>
      </c>
      <c r="IY132" s="285">
        <f t="shared" si="1156"/>
        <v>0.28992659636158069</v>
      </c>
      <c r="IZ132" s="285">
        <f t="shared" si="1157"/>
        <v>0.79164381605671807</v>
      </c>
      <c r="JA132" s="285">
        <f t="shared" si="1158"/>
        <v>0.26267254517427174</v>
      </c>
      <c r="JB132" s="285">
        <f t="shared" si="1159"/>
        <v>0.49522890920270068</v>
      </c>
      <c r="JC132" s="285">
        <f t="shared" si="1160"/>
        <v>0.34633870577642051</v>
      </c>
      <c r="JD132" s="60">
        <f t="shared" si="1161"/>
        <v>10446133</v>
      </c>
      <c r="JE132" s="60">
        <f t="shared" si="1162"/>
        <v>2470013</v>
      </c>
      <c r="JF132" s="60">
        <f t="shared" si="1163"/>
        <v>0</v>
      </c>
      <c r="JG132" s="60">
        <f t="shared" si="1164"/>
        <v>686217</v>
      </c>
      <c r="JH132" s="284">
        <f t="shared" si="1165"/>
        <v>0</v>
      </c>
      <c r="JI132" s="284">
        <f t="shared" si="1166"/>
        <v>1</v>
      </c>
      <c r="JJ132" s="560">
        <f t="shared" si="1167"/>
        <v>0.65275035549508442</v>
      </c>
      <c r="JK132" s="561">
        <f t="shared" si="1168"/>
        <v>0.44732266303336016</v>
      </c>
      <c r="JL132" s="561">
        <f t="shared" si="1169"/>
        <v>5.5294849445773481E-2</v>
      </c>
      <c r="JM132" s="561">
        <f t="shared" si="1170"/>
        <v>2.4912521287685084E-2</v>
      </c>
      <c r="JN132" s="561">
        <f t="shared" si="1171"/>
        <v>0.46123075827855142</v>
      </c>
      <c r="JO132" s="561">
        <f t="shared" si="1172"/>
        <v>1.4978409239318969E-2</v>
      </c>
      <c r="JP132" s="561">
        <f t="shared" si="1173"/>
        <v>2.967550966318231E-2</v>
      </c>
      <c r="JQ132" s="561">
        <f t="shared" si="1174"/>
        <v>1.0334147109478713</v>
      </c>
      <c r="JR132" s="61">
        <f t="shared" si="1175"/>
        <v>0</v>
      </c>
      <c r="JS132" s="61">
        <f t="shared" si="1176"/>
        <v>0</v>
      </c>
      <c r="JT132" s="61">
        <f t="shared" si="1177"/>
        <v>0</v>
      </c>
      <c r="JU132" s="61">
        <f t="shared" si="1178"/>
        <v>0</v>
      </c>
      <c r="JV132" s="61">
        <f t="shared" si="1179"/>
        <v>0</v>
      </c>
      <c r="JW132" s="61">
        <f t="shared" si="1180"/>
        <v>0</v>
      </c>
      <c r="JX132" s="61">
        <f t="shared" si="1181"/>
        <v>0</v>
      </c>
      <c r="JY132" s="394">
        <f t="shared" si="1182"/>
        <v>0</v>
      </c>
      <c r="JZ132" s="61">
        <f t="shared" si="1183"/>
        <v>52522.944444444445</v>
      </c>
      <c r="KA132" s="61">
        <f t="shared" si="1184"/>
        <v>6794.7777777777774</v>
      </c>
      <c r="KB132" s="61">
        <f t="shared" si="1185"/>
        <v>31189.333333333332</v>
      </c>
      <c r="KC132" s="61">
        <f t="shared" si="1186"/>
        <v>9861.8333333333339</v>
      </c>
      <c r="KD132" s="61">
        <f t="shared" si="1187"/>
        <v>3844.0277777777778</v>
      </c>
      <c r="KE132" s="61">
        <f t="shared" si="1188"/>
        <v>4741.1388888888887</v>
      </c>
      <c r="KF132" s="61">
        <f t="shared" si="1189"/>
        <v>18000</v>
      </c>
      <c r="KG132" s="61">
        <f t="shared" si="1190"/>
        <v>220</v>
      </c>
      <c r="KH132" s="61">
        <f t="shared" si="1191"/>
        <v>108.95405555555556</v>
      </c>
      <c r="KI132" s="394">
        <f t="shared" si="1192"/>
        <v>0.2469843117717376</v>
      </c>
      <c r="KJ132" s="438">
        <f t="shared" si="1193"/>
        <v>36</v>
      </c>
      <c r="KK132" s="438">
        <f t="shared" si="1194"/>
        <v>36000</v>
      </c>
      <c r="KL132" s="438">
        <f t="shared" si="1195"/>
        <v>220</v>
      </c>
      <c r="KM132" s="438">
        <f t="shared" si="1196"/>
        <v>108954.05555555556</v>
      </c>
      <c r="KN132" s="438">
        <f t="shared" si="1197"/>
        <v>108.95405555555556</v>
      </c>
      <c r="KO132" s="438">
        <f t="shared" si="1198"/>
        <v>17828.845454545455</v>
      </c>
      <c r="KP132" s="438">
        <f t="shared" si="1199"/>
        <v>1890826</v>
      </c>
      <c r="KQ132" s="438">
        <f t="shared" si="1200"/>
        <v>244612</v>
      </c>
      <c r="KR132" s="438">
        <f t="shared" si="1201"/>
        <v>1122816</v>
      </c>
      <c r="KS132" s="438">
        <f t="shared" si="1202"/>
        <v>355026</v>
      </c>
      <c r="KT132" s="438">
        <f t="shared" si="1203"/>
        <v>138385</v>
      </c>
      <c r="KU132" s="438">
        <f t="shared" si="1204"/>
        <v>170681</v>
      </c>
      <c r="KV132" s="420">
        <f t="shared" si="1205"/>
        <v>0.2469843117717376</v>
      </c>
      <c r="KW132" s="420">
        <f t="shared" si="1206"/>
        <v>-0.3591439052135369</v>
      </c>
      <c r="KX132" s="108"/>
      <c r="KY132" s="282">
        <f t="shared" si="1207"/>
        <v>0</v>
      </c>
      <c r="KZ132" s="282"/>
      <c r="LA132" s="282">
        <f t="shared" si="1208"/>
        <v>0</v>
      </c>
      <c r="LB132" s="282"/>
      <c r="LC132" s="286">
        <f t="shared" si="951"/>
        <v>0</v>
      </c>
      <c r="LD132" s="286"/>
      <c r="LE132" s="282">
        <f t="shared" si="1209"/>
        <v>0</v>
      </c>
      <c r="LF132" s="282"/>
      <c r="LG132" s="282">
        <f t="shared" si="1210"/>
        <v>0</v>
      </c>
      <c r="LH132" s="282">
        <f t="shared" si="1211"/>
        <v>0</v>
      </c>
      <c r="LI132" s="282">
        <f t="shared" si="1212"/>
        <v>0</v>
      </c>
      <c r="LJ132" s="282">
        <f t="shared" si="1213"/>
        <v>0</v>
      </c>
      <c r="LK132" s="282"/>
      <c r="LL132" s="282">
        <f t="shared" si="1214"/>
        <v>0</v>
      </c>
      <c r="LM132" s="282">
        <f t="shared" si="1215"/>
        <v>0</v>
      </c>
      <c r="LN132" s="282">
        <f t="shared" si="1216"/>
        <v>0</v>
      </c>
      <c r="LO132" s="282">
        <f t="shared" si="1217"/>
        <v>0</v>
      </c>
      <c r="LP132" s="286">
        <f t="shared" si="1218"/>
        <v>0</v>
      </c>
      <c r="LQ132" s="282">
        <f t="shared" si="1219"/>
        <v>0</v>
      </c>
      <c r="LR132" s="282">
        <f t="shared" si="1220"/>
        <v>0</v>
      </c>
      <c r="LS132" s="282">
        <f t="shared" si="1221"/>
        <v>0</v>
      </c>
      <c r="LT132" s="286">
        <f t="shared" si="1222"/>
        <v>0</v>
      </c>
      <c r="LU132" s="286">
        <f t="shared" si="1223"/>
        <v>0</v>
      </c>
      <c r="LV132" s="286">
        <f t="shared" si="1224"/>
        <v>0</v>
      </c>
      <c r="LW132" s="286">
        <f t="shared" si="1225"/>
        <v>0</v>
      </c>
      <c r="LX132" s="286">
        <f t="shared" si="1226"/>
        <v>0</v>
      </c>
      <c r="LY132" s="286">
        <f t="shared" si="1227"/>
        <v>0</v>
      </c>
      <c r="LZ132" s="286">
        <f t="shared" si="1228"/>
        <v>0</v>
      </c>
      <c r="MA132" s="286">
        <f t="shared" si="1229"/>
        <v>0</v>
      </c>
      <c r="MB132" s="286">
        <f t="shared" si="1230"/>
        <v>0</v>
      </c>
      <c r="MC132" s="286">
        <f t="shared" si="1231"/>
        <v>0</v>
      </c>
      <c r="MD132" s="286">
        <f t="shared" si="1232"/>
        <v>0</v>
      </c>
      <c r="ME132" s="286">
        <f t="shared" si="1233"/>
        <v>0</v>
      </c>
      <c r="MF132" s="286">
        <f t="shared" si="1234"/>
        <v>0</v>
      </c>
      <c r="MG132" s="286">
        <f t="shared" si="1235"/>
        <v>0</v>
      </c>
      <c r="MH132" s="286">
        <f t="shared" si="1236"/>
        <v>0</v>
      </c>
      <c r="MI132" s="286">
        <f t="shared" si="1237"/>
        <v>0</v>
      </c>
      <c r="MJ132" s="286">
        <f t="shared" si="1238"/>
        <v>0</v>
      </c>
      <c r="MK132" s="286">
        <f t="shared" si="1239"/>
        <v>0</v>
      </c>
      <c r="ML132" s="282">
        <f t="shared" si="1240"/>
        <v>0</v>
      </c>
      <c r="MM132" s="1232">
        <f t="shared" si="1241"/>
        <v>0</v>
      </c>
      <c r="MN132" s="1232">
        <f t="shared" si="1242"/>
        <v>0</v>
      </c>
      <c r="MO132" s="1232">
        <f t="shared" si="1243"/>
        <v>0</v>
      </c>
      <c r="MP132" s="1232">
        <f t="shared" si="1244"/>
        <v>0</v>
      </c>
      <c r="MQ132" s="282">
        <f t="shared" si="1245"/>
        <v>0</v>
      </c>
      <c r="MR132" s="282">
        <f t="shared" si="1246"/>
        <v>0</v>
      </c>
      <c r="MS132" s="282">
        <f t="shared" si="1247"/>
        <v>0</v>
      </c>
      <c r="MT132" s="282">
        <f t="shared" si="1248"/>
        <v>0</v>
      </c>
      <c r="MU132" s="282">
        <f t="shared" si="1249"/>
        <v>0</v>
      </c>
      <c r="MV132" s="282">
        <f t="shared" si="1250"/>
        <v>0</v>
      </c>
      <c r="MW132" s="282">
        <f t="shared" si="1251"/>
        <v>0</v>
      </c>
      <c r="MX132" s="282">
        <f t="shared" si="1252"/>
        <v>0</v>
      </c>
      <c r="MY132" s="282">
        <f t="shared" si="1253"/>
        <v>0</v>
      </c>
      <c r="MZ132" s="282">
        <f t="shared" si="1254"/>
        <v>0</v>
      </c>
      <c r="NA132" s="282">
        <f t="shared" si="1255"/>
        <v>0</v>
      </c>
      <c r="NB132" s="282">
        <f t="shared" si="1256"/>
        <v>0</v>
      </c>
      <c r="NC132" s="282">
        <f t="shared" si="1257"/>
        <v>0</v>
      </c>
      <c r="ND132" s="282">
        <f t="shared" si="1258"/>
        <v>0</v>
      </c>
      <c r="NE132" s="282">
        <f t="shared" si="1259"/>
        <v>0</v>
      </c>
      <c r="NF132" s="282">
        <f t="shared" si="1260"/>
        <v>0</v>
      </c>
      <c r="NG132" s="282">
        <f t="shared" si="1261"/>
        <v>0</v>
      </c>
      <c r="NH132" s="282">
        <f t="shared" si="1262"/>
        <v>0</v>
      </c>
      <c r="NI132" s="282">
        <f t="shared" si="1263"/>
        <v>0</v>
      </c>
      <c r="NJ132" s="282">
        <f t="shared" si="1264"/>
        <v>0</v>
      </c>
      <c r="NK132" s="282">
        <f t="shared" si="1265"/>
        <v>0</v>
      </c>
      <c r="NL132" s="282">
        <f t="shared" si="1266"/>
        <v>0</v>
      </c>
      <c r="NM132" s="1205">
        <f t="shared" si="1267"/>
        <v>0</v>
      </c>
      <c r="NN132" s="282">
        <f t="shared" si="1268"/>
        <v>0</v>
      </c>
      <c r="NO132" s="282">
        <f t="shared" si="1269"/>
        <v>0</v>
      </c>
      <c r="NP132" s="282">
        <f t="shared" si="1270"/>
        <v>0</v>
      </c>
      <c r="NQ132" s="282">
        <f t="shared" si="1271"/>
        <v>0</v>
      </c>
      <c r="NR132" s="282">
        <f t="shared" si="1272"/>
        <v>0</v>
      </c>
      <c r="NS132" s="282">
        <f t="shared" si="1273"/>
        <v>0</v>
      </c>
      <c r="NT132" s="282">
        <f t="shared" si="1274"/>
        <v>0</v>
      </c>
      <c r="NU132" s="282">
        <f t="shared" si="1275"/>
        <v>0</v>
      </c>
      <c r="NV132" s="286">
        <f t="shared" si="1276"/>
        <v>0</v>
      </c>
      <c r="NW132" s="286">
        <f t="shared" si="1277"/>
        <v>0</v>
      </c>
      <c r="NX132" s="286">
        <f t="shared" si="1278"/>
        <v>0</v>
      </c>
      <c r="NY132" s="286">
        <f t="shared" si="1279"/>
        <v>0</v>
      </c>
      <c r="NZ132" s="286">
        <f t="shared" si="1280"/>
        <v>0</v>
      </c>
      <c r="OA132" s="286">
        <f t="shared" si="1281"/>
        <v>0</v>
      </c>
      <c r="OB132" s="286">
        <f t="shared" si="1282"/>
        <v>0</v>
      </c>
      <c r="OC132" s="286">
        <f t="shared" si="1283"/>
        <v>0</v>
      </c>
      <c r="OD132" s="286">
        <f t="shared" si="1284"/>
        <v>0</v>
      </c>
      <c r="OE132" s="282">
        <f t="shared" si="1285"/>
        <v>0</v>
      </c>
      <c r="OF132" s="282">
        <f t="shared" si="1286"/>
        <v>0</v>
      </c>
      <c r="OG132" s="286">
        <f t="shared" si="1287"/>
        <v>0</v>
      </c>
      <c r="OH132" s="286">
        <f t="shared" si="1288"/>
        <v>0</v>
      </c>
      <c r="OI132" s="286">
        <f t="shared" si="1289"/>
        <v>0</v>
      </c>
      <c r="OJ132" s="286">
        <f t="shared" si="1290"/>
        <v>0</v>
      </c>
      <c r="OK132" s="286">
        <f t="shared" si="1291"/>
        <v>0</v>
      </c>
      <c r="OL132" s="286">
        <f t="shared" si="1292"/>
        <v>0</v>
      </c>
      <c r="OM132" s="286">
        <f t="shared" si="1293"/>
        <v>0</v>
      </c>
      <c r="ON132" s="286">
        <f t="shared" si="1294"/>
        <v>0</v>
      </c>
      <c r="OO132" s="286">
        <f t="shared" si="1295"/>
        <v>0</v>
      </c>
      <c r="OP132" s="434">
        <f t="shared" si="1296"/>
        <v>0</v>
      </c>
      <c r="OQ132" s="434">
        <f t="shared" si="1297"/>
        <v>0</v>
      </c>
      <c r="OR132" s="282">
        <f t="shared" si="1298"/>
        <v>0</v>
      </c>
      <c r="OS132" s="282">
        <f t="shared" si="1299"/>
        <v>0</v>
      </c>
      <c r="OT132" s="282">
        <f t="shared" si="1300"/>
        <v>0</v>
      </c>
      <c r="OU132" s="282">
        <f t="shared" si="1301"/>
        <v>0</v>
      </c>
      <c r="OV132" s="282">
        <f t="shared" si="1302"/>
        <v>0</v>
      </c>
      <c r="OW132" s="286">
        <f t="shared" si="1303"/>
        <v>0</v>
      </c>
      <c r="OX132" s="286">
        <f t="shared" si="1304"/>
        <v>0</v>
      </c>
      <c r="OY132" s="286">
        <f t="shared" si="1305"/>
        <v>0</v>
      </c>
      <c r="OZ132" s="286">
        <f t="shared" si="1306"/>
        <v>0</v>
      </c>
      <c r="PA132" s="286">
        <f t="shared" si="1307"/>
        <v>0</v>
      </c>
      <c r="PB132" s="286">
        <f t="shared" si="1308"/>
        <v>0</v>
      </c>
      <c r="PC132" s="286">
        <f t="shared" si="1309"/>
        <v>0</v>
      </c>
      <c r="PD132" s="282">
        <f t="shared" si="1310"/>
        <v>0</v>
      </c>
      <c r="PE132" s="282">
        <f t="shared" si="1311"/>
        <v>0</v>
      </c>
      <c r="PF132" s="286">
        <f t="shared" si="1312"/>
        <v>0</v>
      </c>
      <c r="PG132" s="286">
        <f t="shared" si="1313"/>
        <v>0</v>
      </c>
      <c r="PH132" s="286">
        <f t="shared" si="1314"/>
        <v>0</v>
      </c>
      <c r="PI132" s="286">
        <f t="shared" si="1315"/>
        <v>0</v>
      </c>
      <c r="PJ132" s="286">
        <f t="shared" si="1316"/>
        <v>0</v>
      </c>
      <c r="PK132" s="286">
        <f t="shared" si="1317"/>
        <v>0</v>
      </c>
      <c r="PL132" s="286">
        <f t="shared" si="1318"/>
        <v>0</v>
      </c>
      <c r="PM132" s="562">
        <v>76</v>
      </c>
    </row>
    <row r="133" spans="1:429" s="289" customFormat="1" ht="15.75" customHeight="1">
      <c r="A133" s="1935" t="s">
        <v>1161</v>
      </c>
      <c r="B133" s="1040" t="str">
        <f>VLOOKUP(A133,'Area (&amp;golfacre for lookup)'!$A$2:$B$162,2,FALSE)</f>
        <v>SE exc BOCA</v>
      </c>
      <c r="C133" s="1936" t="s">
        <v>2367</v>
      </c>
      <c r="D133" s="1937">
        <v>44926</v>
      </c>
      <c r="E133" s="402"/>
      <c r="F133" s="1936">
        <v>1</v>
      </c>
      <c r="G133" s="1936">
        <v>1</v>
      </c>
      <c r="H133" s="1936">
        <v>314</v>
      </c>
      <c r="I133" s="1936">
        <v>0</v>
      </c>
      <c r="J133" s="1936">
        <v>314</v>
      </c>
      <c r="K133" s="1938">
        <v>315.17559999999997</v>
      </c>
      <c r="L133" s="1939" t="s">
        <v>1208</v>
      </c>
      <c r="M133" s="1939" t="s">
        <v>1208</v>
      </c>
      <c r="N133" s="1939" t="s">
        <v>1208</v>
      </c>
      <c r="O133" s="1939" t="s">
        <v>1208</v>
      </c>
      <c r="P133" s="1939" t="s">
        <v>1208</v>
      </c>
      <c r="Q133" s="1936">
        <v>85500</v>
      </c>
      <c r="R133" s="1936">
        <v>199500</v>
      </c>
      <c r="S133" s="1936">
        <v>285000</v>
      </c>
      <c r="T133" s="1939" t="s">
        <v>1208</v>
      </c>
      <c r="U133" s="1939" t="s">
        <v>1208</v>
      </c>
      <c r="V133" s="1939" t="s">
        <v>1208</v>
      </c>
      <c r="W133" s="1936">
        <v>29400</v>
      </c>
      <c r="X133" s="1936">
        <v>25000</v>
      </c>
      <c r="Y133" s="1939" t="s">
        <v>1208</v>
      </c>
      <c r="Z133" s="1939" t="s">
        <v>1208</v>
      </c>
      <c r="AA133" s="1936">
        <v>4400</v>
      </c>
      <c r="AB133" s="1362">
        <v>0.17599999999999999</v>
      </c>
      <c r="AC133" s="1939" t="s">
        <v>1208</v>
      </c>
      <c r="AD133" s="1363" t="s">
        <v>1208</v>
      </c>
      <c r="AE133" s="1936">
        <v>0</v>
      </c>
      <c r="AF133" s="1936">
        <v>0</v>
      </c>
      <c r="AG133" s="1939" t="s">
        <v>1208</v>
      </c>
      <c r="AH133" s="1936">
        <v>0</v>
      </c>
      <c r="AI133" s="1936">
        <v>0</v>
      </c>
      <c r="AJ133" s="1939" t="s">
        <v>1208</v>
      </c>
      <c r="AK133" s="1938">
        <v>0</v>
      </c>
      <c r="AL133" s="1938">
        <v>0</v>
      </c>
      <c r="AM133" s="1936">
        <v>25000</v>
      </c>
      <c r="AN133" s="1939" t="s">
        <v>1208</v>
      </c>
      <c r="AO133" s="1936">
        <v>0</v>
      </c>
      <c r="AP133" s="1936">
        <v>1600</v>
      </c>
      <c r="AQ133" s="1936">
        <v>26600</v>
      </c>
      <c r="AR133" s="1939" t="s">
        <v>1208</v>
      </c>
      <c r="AS133" s="1363" t="s">
        <v>1208</v>
      </c>
      <c r="AT133" s="1363" t="s">
        <v>1208</v>
      </c>
      <c r="AU133" s="1363" t="s">
        <v>1208</v>
      </c>
      <c r="AV133" s="1363" t="s">
        <v>1208</v>
      </c>
      <c r="AW133" s="1363" t="s">
        <v>1291</v>
      </c>
      <c r="AX133" s="1938">
        <v>1</v>
      </c>
      <c r="AY133" s="1938">
        <v>1</v>
      </c>
      <c r="AZ133" s="1938">
        <v>0</v>
      </c>
      <c r="BA133" s="1938">
        <v>1</v>
      </c>
      <c r="BB133" s="1938">
        <v>0</v>
      </c>
      <c r="BC133" s="1938">
        <v>0</v>
      </c>
      <c r="BD133" s="1938">
        <v>0</v>
      </c>
      <c r="BE133" s="1936">
        <v>0</v>
      </c>
      <c r="BF133" s="1936">
        <v>0</v>
      </c>
      <c r="BG133" s="1936">
        <v>0</v>
      </c>
      <c r="BH133" s="1936">
        <v>0</v>
      </c>
      <c r="BI133" s="1938">
        <v>50406820</v>
      </c>
      <c r="BJ133" s="1936">
        <v>13514717</v>
      </c>
      <c r="BK133" s="1936">
        <v>1989644</v>
      </c>
      <c r="BL133" s="1362">
        <v>6.7925302214868593</v>
      </c>
      <c r="BM133" s="1936">
        <v>1</v>
      </c>
      <c r="BN133" s="1936">
        <v>10763364</v>
      </c>
      <c r="BO133" s="1363" t="s">
        <v>1208</v>
      </c>
      <c r="BP133" s="1938">
        <v>8149613</v>
      </c>
      <c r="BQ133" s="1938">
        <v>11937765</v>
      </c>
      <c r="BR133" s="1940">
        <v>0.68267493957202208</v>
      </c>
      <c r="BS133" s="1409">
        <v>0</v>
      </c>
      <c r="BT133" s="1938">
        <v>36405000</v>
      </c>
      <c r="BU133" s="1938">
        <v>24826915</v>
      </c>
      <c r="BV133" s="1940">
        <v>1.4663521424228503</v>
      </c>
      <c r="BW133" s="1936">
        <v>34150.372046567056</v>
      </c>
      <c r="BX133" s="1936">
        <v>42879.959616163185</v>
      </c>
      <c r="BY133" s="1936">
        <v>0</v>
      </c>
      <c r="BZ133" s="1936">
        <v>1402596</v>
      </c>
      <c r="CA133" s="1936">
        <v>0</v>
      </c>
      <c r="CB133" s="1936">
        <v>957274</v>
      </c>
      <c r="CC133" s="1936">
        <v>291860</v>
      </c>
      <c r="CD133" s="1936">
        <v>7879390</v>
      </c>
      <c r="CE133" s="1936">
        <v>0</v>
      </c>
      <c r="CF133" s="1936">
        <v>0</v>
      </c>
      <c r="CG133" s="1936">
        <v>1977436</v>
      </c>
      <c r="CH133" s="1936">
        <v>1041086</v>
      </c>
      <c r="CI133" s="1936">
        <v>903541</v>
      </c>
      <c r="CJ133" s="1936">
        <v>14453183</v>
      </c>
      <c r="CK133" s="1366">
        <v>9.704409056468738E-2</v>
      </c>
      <c r="CL133" s="1366">
        <v>0</v>
      </c>
      <c r="CM133" s="1366">
        <v>6.623274610167186E-2</v>
      </c>
      <c r="CN133" s="1366">
        <v>2.0193475720884459E-2</v>
      </c>
      <c r="CO133" s="1366">
        <v>0.54516641766730556</v>
      </c>
      <c r="CP133" s="1366">
        <v>0</v>
      </c>
      <c r="CQ133" s="1366">
        <v>0</v>
      </c>
      <c r="CR133" s="1366">
        <v>0.136816644472017</v>
      </c>
      <c r="CS133" s="1366">
        <v>7.2031607155323502E-2</v>
      </c>
      <c r="CT133" s="1366">
        <v>6.251501831811028E-2</v>
      </c>
      <c r="CU133" s="1366">
        <v>1</v>
      </c>
      <c r="CV133" s="1936">
        <v>7564697</v>
      </c>
      <c r="CW133" s="1936">
        <v>1520661</v>
      </c>
      <c r="CX133" s="1936">
        <v>618134</v>
      </c>
      <c r="CY133" s="1936">
        <v>5351276</v>
      </c>
      <c r="CZ133" s="1936">
        <v>476087</v>
      </c>
      <c r="DA133" s="1936">
        <v>365579</v>
      </c>
      <c r="DB133" s="1936">
        <v>15896434</v>
      </c>
      <c r="DC133" s="1366">
        <v>0.47587383434548908</v>
      </c>
      <c r="DD133" s="1366">
        <v>9.5660511030335488E-2</v>
      </c>
      <c r="DE133" s="1366">
        <v>3.8885073218307954E-2</v>
      </c>
      <c r="DF133" s="1366">
        <v>0.33663373810755293</v>
      </c>
      <c r="DG133" s="1366">
        <v>2.994929554640997E-2</v>
      </c>
      <c r="DH133" s="1366">
        <v>2.2997547751904608E-2</v>
      </c>
      <c r="DI133" s="1366">
        <v>1</v>
      </c>
      <c r="DJ133" s="1936">
        <v>-1443251</v>
      </c>
      <c r="DK133" s="1936">
        <v>4450.204901648478</v>
      </c>
      <c r="DL133" s="1936">
        <v>0</v>
      </c>
      <c r="DM133" s="1936">
        <v>3037.2719207958994</v>
      </c>
      <c r="DN133" s="1936">
        <v>926.02346120702248</v>
      </c>
      <c r="DO133" s="1936">
        <v>25000.000000000004</v>
      </c>
      <c r="DP133" s="1936">
        <v>0</v>
      </c>
      <c r="DQ133" s="1936">
        <v>0</v>
      </c>
      <c r="DR133" s="1936">
        <v>6274.0770541882057</v>
      </c>
      <c r="DS133" s="1936">
        <v>3303.1935213258898</v>
      </c>
      <c r="DT133" s="1936">
        <v>2866.7860075462695</v>
      </c>
      <c r="DU133" s="1936">
        <v>45857.55686671177</v>
      </c>
      <c r="DV133" s="1936">
        <v>24001.531209903307</v>
      </c>
      <c r="DW133" s="1936">
        <v>4824.8056004335367</v>
      </c>
      <c r="DX133" s="1936">
        <v>1961.2368470148072</v>
      </c>
      <c r="DY133" s="1936">
        <v>16978.712819139553</v>
      </c>
      <c r="DZ133" s="1936">
        <v>1510.5452325624192</v>
      </c>
      <c r="EA133" s="1936">
        <v>1159.9216436805389</v>
      </c>
      <c r="EB133" s="1936">
        <v>50436.753352734166</v>
      </c>
      <c r="EC133" s="1936">
        <v>-4579.1964860223952</v>
      </c>
      <c r="ED133" s="1941">
        <v>125</v>
      </c>
      <c r="EE133" s="1936">
        <v>1</v>
      </c>
      <c r="EF133" s="1936">
        <v>15</v>
      </c>
      <c r="EG133" s="1938">
        <v>29000</v>
      </c>
      <c r="EH133" s="1938">
        <v>1</v>
      </c>
      <c r="EI133" s="1368">
        <v>0.09</v>
      </c>
      <c r="EJ133" s="1936">
        <v>2.5214048</v>
      </c>
      <c r="EK133" s="1936">
        <v>0</v>
      </c>
      <c r="EL133" s="1936">
        <v>0</v>
      </c>
      <c r="EM133" s="1936">
        <v>0</v>
      </c>
      <c r="EN133" s="1362">
        <v>0</v>
      </c>
      <c r="EO133" s="1936">
        <v>1</v>
      </c>
      <c r="EP133" s="1936">
        <v>133.33333333333334</v>
      </c>
      <c r="EQ133" s="1936">
        <v>0</v>
      </c>
      <c r="ER133" s="1938">
        <v>0</v>
      </c>
      <c r="ES133" s="1936">
        <v>9577.270575514096</v>
      </c>
      <c r="ET133" s="1936">
        <v>-6495.9501941140115</v>
      </c>
      <c r="EU133" s="1938">
        <v>2</v>
      </c>
      <c r="EV133" s="1936">
        <v>58000</v>
      </c>
      <c r="EW133" s="1936">
        <v>8000</v>
      </c>
      <c r="EX133" s="1938">
        <v>1</v>
      </c>
      <c r="EY133" s="1936">
        <v>1977436</v>
      </c>
      <c r="EZ133" s="1936">
        <v>1006162</v>
      </c>
      <c r="FA133" s="1936">
        <v>971274</v>
      </c>
      <c r="FB133" s="1936">
        <v>1041086</v>
      </c>
      <c r="FC133" s="1936">
        <v>514499</v>
      </c>
      <c r="FD133" s="1936">
        <v>526587</v>
      </c>
      <c r="FE133" s="1936">
        <v>3018522</v>
      </c>
      <c r="FF133" s="1936">
        <v>1520661</v>
      </c>
      <c r="FG133" s="1936">
        <v>1497861</v>
      </c>
      <c r="FH133" s="1366">
        <v>1</v>
      </c>
      <c r="FI133" s="1366">
        <v>0.50882152443871764</v>
      </c>
      <c r="FJ133" s="1366">
        <v>0.49117847556128241</v>
      </c>
      <c r="FK133" s="1366">
        <v>1</v>
      </c>
      <c r="FL133" s="1366">
        <v>0.49419452379534445</v>
      </c>
      <c r="FM133" s="1366">
        <v>0.50580547620465555</v>
      </c>
      <c r="FN133" s="1366">
        <v>1</v>
      </c>
      <c r="FO133" s="1366">
        <v>0.50377668276063581</v>
      </c>
      <c r="FP133" s="1366">
        <v>0.49622331723936419</v>
      </c>
      <c r="FQ133" s="1936">
        <v>2152790</v>
      </c>
      <c r="FR133" s="1936">
        <v>0</v>
      </c>
      <c r="FS133" s="1936">
        <v>418750</v>
      </c>
      <c r="FT133" s="1936">
        <v>0</v>
      </c>
      <c r="FU133" s="1936">
        <v>0</v>
      </c>
      <c r="FV133" s="1936">
        <v>26407</v>
      </c>
      <c r="FW133" s="1936">
        <v>947279</v>
      </c>
      <c r="FX133" s="1936">
        <v>3545226</v>
      </c>
      <c r="FY133" s="1936">
        <v>-2047365</v>
      </c>
      <c r="FZ133" s="1366">
        <v>0.71319341054993135</v>
      </c>
      <c r="GA133" s="1366">
        <v>0</v>
      </c>
      <c r="GB133" s="1366">
        <v>0.13872683386107507</v>
      </c>
      <c r="GC133" s="1366">
        <v>0</v>
      </c>
      <c r="GD133" s="1366">
        <v>0</v>
      </c>
      <c r="GE133" s="1366">
        <v>8.7483211982553044E-3</v>
      </c>
      <c r="GF133" s="1366">
        <v>0.31382212884318883</v>
      </c>
      <c r="GG133" s="1366">
        <v>1.1744906944524505</v>
      </c>
      <c r="GH133" s="1366">
        <v>-0.67826737721308639</v>
      </c>
      <c r="GI133" s="1942">
        <v>1.8993973600643943</v>
      </c>
      <c r="GJ133" s="1943">
        <v>1</v>
      </c>
      <c r="GK133" s="1371">
        <v>0.05</v>
      </c>
      <c r="GL133" s="1943">
        <v>0</v>
      </c>
      <c r="GM133" s="1371">
        <v>0</v>
      </c>
      <c r="GN133" s="1943">
        <v>0</v>
      </c>
      <c r="GO133" s="1985">
        <f>IF(GN133=0,0,VLOOKUP(A133,'Area (&amp;golfacre for lookup)'!$G$2:$H$133,2,FALSE))</f>
        <v>0</v>
      </c>
      <c r="GP133" s="1943">
        <v>0</v>
      </c>
      <c r="GQ133" s="1943">
        <v>0</v>
      </c>
      <c r="GR133" s="1943">
        <v>0</v>
      </c>
      <c r="GS133" s="1943">
        <v>0</v>
      </c>
      <c r="GT133" s="1943">
        <v>0</v>
      </c>
      <c r="GU133" s="1943">
        <v>0</v>
      </c>
      <c r="GV133" s="1943">
        <v>0</v>
      </c>
      <c r="GW133" s="1943">
        <v>0</v>
      </c>
      <c r="GX133" s="1936">
        <v>0</v>
      </c>
      <c r="GY133" s="1985">
        <f t="shared" si="1319"/>
        <v>0</v>
      </c>
      <c r="GZ133" s="1936">
        <v>0</v>
      </c>
      <c r="HA133" s="1936">
        <v>0</v>
      </c>
      <c r="HB133" s="1936">
        <v>0</v>
      </c>
      <c r="HC133" s="1936">
        <v>0</v>
      </c>
      <c r="HD133" s="1936">
        <v>0</v>
      </c>
      <c r="HE133" s="1936">
        <v>0</v>
      </c>
      <c r="HF133" s="1936">
        <v>0</v>
      </c>
      <c r="HG133" s="1936">
        <v>22</v>
      </c>
      <c r="HH133" s="1988">
        <f>IF(HG133=0,0,VLOOKUP(A133,'Area (&amp;golfacre for lookup)'!$G$2:$H$134,2,FALSE))</f>
        <v>180</v>
      </c>
      <c r="HI133" s="1936">
        <v>17000</v>
      </c>
      <c r="HJ133" s="1936">
        <v>1674980</v>
      </c>
      <c r="HK133" s="1936">
        <v>212301</v>
      </c>
      <c r="HL133" s="1936">
        <v>594159</v>
      </c>
      <c r="HM133" s="1936">
        <v>155819</v>
      </c>
      <c r="HN133" s="1936">
        <v>124833</v>
      </c>
      <c r="HO133" s="1936">
        <v>463448</v>
      </c>
      <c r="HP133" s="1936">
        <v>3225540</v>
      </c>
      <c r="HQ133" s="1936">
        <v>146615.45454545456</v>
      </c>
      <c r="HR133" s="1988">
        <f t="shared" si="1320"/>
        <v>17919.666666666668</v>
      </c>
      <c r="HS133" s="1366">
        <v>0.51928669308084852</v>
      </c>
      <c r="HT133" s="1366">
        <v>6.5818746628471508E-2</v>
      </c>
      <c r="HU133" s="1366">
        <v>0.18420450529213714</v>
      </c>
      <c r="HV133" s="1366">
        <v>4.8307880230907076E-2</v>
      </c>
      <c r="HW133" s="1366">
        <v>3.8701426737848543E-2</v>
      </c>
      <c r="HX133" s="1366">
        <v>0.14368074802978725</v>
      </c>
      <c r="HY133" s="1366">
        <v>1</v>
      </c>
      <c r="HZ133" s="51"/>
      <c r="IA133" s="59">
        <f t="shared" si="1136"/>
        <v>0.3</v>
      </c>
      <c r="IB133" s="59"/>
      <c r="IC133" s="815">
        <f t="shared" si="1137"/>
        <v>1</v>
      </c>
      <c r="ID133" s="815"/>
      <c r="IE133" s="284">
        <f t="shared" si="1138"/>
        <v>0</v>
      </c>
      <c r="IF133" s="284"/>
      <c r="IG133" s="284">
        <f t="shared" si="1139"/>
        <v>159932.49477434167</v>
      </c>
      <c r="IH133" s="284"/>
      <c r="II133" s="1288">
        <f t="shared" si="1140"/>
        <v>0</v>
      </c>
      <c r="IJ133" s="1288">
        <f t="shared" si="1141"/>
        <v>0.68267493957202208</v>
      </c>
      <c r="IK133" s="284">
        <f t="shared" si="1142"/>
        <v>0</v>
      </c>
      <c r="IL133" s="284">
        <f t="shared" si="1143"/>
        <v>0</v>
      </c>
      <c r="IM133" s="284">
        <f t="shared" si="1144"/>
        <v>0</v>
      </c>
      <c r="IN133" s="284">
        <f t="shared" si="1145"/>
        <v>0</v>
      </c>
      <c r="IO133" s="753">
        <f t="shared" si="1146"/>
        <v>-6520.2707006369428</v>
      </c>
      <c r="IP133" s="113">
        <f t="shared" si="1147"/>
        <v>-6495.9501941140115</v>
      </c>
      <c r="IQ133" s="30">
        <f t="shared" si="1148"/>
        <v>-0.25983800776456045</v>
      </c>
      <c r="IR133" s="438">
        <f t="shared" si="1149"/>
        <v>1977436</v>
      </c>
      <c r="IS133" s="438">
        <f t="shared" si="1150"/>
        <v>1041086</v>
      </c>
      <c r="IT133" s="438">
        <f t="shared" si="1151"/>
        <v>2152790</v>
      </c>
      <c r="IU133" s="438">
        <f t="shared" si="1152"/>
        <v>418750</v>
      </c>
      <c r="IV133" s="438">
        <f t="shared" si="1153"/>
        <v>1520661</v>
      </c>
      <c r="IW133" s="438">
        <f t="shared" si="1154"/>
        <v>973686</v>
      </c>
      <c r="IX133" s="285">
        <f t="shared" si="1155"/>
        <v>0.65510074135620011</v>
      </c>
      <c r="IY133" s="285">
        <f t="shared" si="1156"/>
        <v>0.34489925864379983</v>
      </c>
      <c r="IZ133" s="285">
        <f t="shared" si="1157"/>
        <v>0.71319341054993135</v>
      </c>
      <c r="JA133" s="285">
        <f t="shared" si="1158"/>
        <v>0.13872683386107507</v>
      </c>
      <c r="JB133" s="285">
        <f t="shared" si="1159"/>
        <v>0.50377668276063581</v>
      </c>
      <c r="JC133" s="285">
        <f t="shared" si="1160"/>
        <v>0.32257045004144413</v>
      </c>
      <c r="JD133" s="60">
        <f t="shared" si="1161"/>
        <v>7879390</v>
      </c>
      <c r="JE133" s="60">
        <f t="shared" si="1162"/>
        <v>2651730</v>
      </c>
      <c r="JF133" s="60">
        <f t="shared" si="1163"/>
        <v>0</v>
      </c>
      <c r="JG133" s="60">
        <f t="shared" si="1164"/>
        <v>841666</v>
      </c>
      <c r="JH133" s="284">
        <f t="shared" si="1165"/>
        <v>0</v>
      </c>
      <c r="JI133" s="284">
        <f t="shared" si="1166"/>
        <v>1</v>
      </c>
      <c r="JJ133" s="560">
        <f t="shared" si="1167"/>
        <v>0.6457231680793587</v>
      </c>
      <c r="JK133" s="561">
        <f t="shared" si="1168"/>
        <v>0.52339315152932053</v>
      </c>
      <c r="JL133" s="561">
        <f t="shared" si="1169"/>
        <v>0.10521287940518016</v>
      </c>
      <c r="JM133" s="561">
        <f t="shared" si="1170"/>
        <v>4.2768018643367343E-2</v>
      </c>
      <c r="JN133" s="561">
        <f t="shared" si="1171"/>
        <v>0.3702489617684907</v>
      </c>
      <c r="JO133" s="561">
        <f t="shared" si="1172"/>
        <v>3.2939941326419239E-2</v>
      </c>
      <c r="JP133" s="561">
        <f t="shared" si="1173"/>
        <v>2.5294013090403685E-2</v>
      </c>
      <c r="JQ133" s="561">
        <f t="shared" si="1174"/>
        <v>1.0998569657631816</v>
      </c>
      <c r="JR133" s="61">
        <f t="shared" si="1175"/>
        <v>0</v>
      </c>
      <c r="JS133" s="61">
        <f t="shared" si="1176"/>
        <v>0</v>
      </c>
      <c r="JT133" s="61">
        <f t="shared" si="1177"/>
        <v>0</v>
      </c>
      <c r="JU133" s="61">
        <f t="shared" si="1178"/>
        <v>0</v>
      </c>
      <c r="JV133" s="61">
        <f t="shared" si="1179"/>
        <v>0</v>
      </c>
      <c r="JW133" s="61">
        <f t="shared" si="1180"/>
        <v>0</v>
      </c>
      <c r="JX133" s="61">
        <f t="shared" si="1181"/>
        <v>0</v>
      </c>
      <c r="JY133" s="394">
        <f t="shared" si="1182"/>
        <v>0</v>
      </c>
      <c r="JZ133" s="61">
        <f t="shared" si="1183"/>
        <v>76135.454545454544</v>
      </c>
      <c r="KA133" s="61">
        <f t="shared" si="1184"/>
        <v>9650.045454545454</v>
      </c>
      <c r="KB133" s="61">
        <f t="shared" si="1185"/>
        <v>27007.227272727272</v>
      </c>
      <c r="KC133" s="61">
        <f t="shared" si="1186"/>
        <v>7082.681818181818</v>
      </c>
      <c r="KD133" s="61">
        <f t="shared" si="1187"/>
        <v>5674.227272727273</v>
      </c>
      <c r="KE133" s="61">
        <f t="shared" si="1188"/>
        <v>21065.81818181818</v>
      </c>
      <c r="KF133" s="61">
        <f t="shared" si="1189"/>
        <v>13900</v>
      </c>
      <c r="KG133" s="61">
        <f t="shared" si="1190"/>
        <v>294.54545454545456</v>
      </c>
      <c r="KH133" s="61">
        <f t="shared" si="1191"/>
        <v>189.73764705882354</v>
      </c>
      <c r="KI133" s="394">
        <f t="shared" si="1192"/>
        <v>0.20290965885808099</v>
      </c>
      <c r="KJ133" s="438">
        <f t="shared" si="1193"/>
        <v>22</v>
      </c>
      <c r="KK133" s="438">
        <f t="shared" si="1194"/>
        <v>17000</v>
      </c>
      <c r="KL133" s="438">
        <f t="shared" si="1195"/>
        <v>180</v>
      </c>
      <c r="KM133" s="438">
        <f t="shared" si="1196"/>
        <v>146615.45454545456</v>
      </c>
      <c r="KN133" s="438">
        <f t="shared" si="1197"/>
        <v>189.73764705882354</v>
      </c>
      <c r="KO133" s="438">
        <f t="shared" si="1198"/>
        <v>17919.666666666668</v>
      </c>
      <c r="KP133" s="438">
        <f t="shared" si="1199"/>
        <v>1674980</v>
      </c>
      <c r="KQ133" s="438">
        <f t="shared" si="1200"/>
        <v>212301</v>
      </c>
      <c r="KR133" s="438">
        <f t="shared" si="1201"/>
        <v>594159</v>
      </c>
      <c r="KS133" s="438">
        <f t="shared" si="1202"/>
        <v>155819</v>
      </c>
      <c r="KT133" s="438">
        <f t="shared" si="1203"/>
        <v>124833</v>
      </c>
      <c r="KU133" s="438">
        <f t="shared" si="1204"/>
        <v>463448</v>
      </c>
      <c r="KV133" s="420">
        <f t="shared" si="1205"/>
        <v>0.20290965885808099</v>
      </c>
      <c r="KW133" s="420">
        <f t="shared" si="1206"/>
        <v>-0.35054642554817061</v>
      </c>
      <c r="KX133" s="108"/>
      <c r="KY133" s="282">
        <f t="shared" si="1207"/>
        <v>0</v>
      </c>
      <c r="KZ133" s="282"/>
      <c r="LA133" s="282">
        <f t="shared" si="1208"/>
        <v>0</v>
      </c>
      <c r="LB133" s="282"/>
      <c r="LC133" s="286">
        <f t="shared" si="951"/>
        <v>0</v>
      </c>
      <c r="LD133" s="286"/>
      <c r="LE133" s="282">
        <f t="shared" si="1209"/>
        <v>0</v>
      </c>
      <c r="LF133" s="282"/>
      <c r="LG133" s="282">
        <f t="shared" si="1210"/>
        <v>0</v>
      </c>
      <c r="LH133" s="282">
        <f t="shared" si="1211"/>
        <v>0</v>
      </c>
      <c r="LI133" s="282">
        <f t="shared" si="1212"/>
        <v>0</v>
      </c>
      <c r="LJ133" s="282">
        <f t="shared" si="1213"/>
        <v>0</v>
      </c>
      <c r="LK133" s="282"/>
      <c r="LL133" s="282">
        <f t="shared" si="1214"/>
        <v>0</v>
      </c>
      <c r="LM133" s="282">
        <f t="shared" si="1215"/>
        <v>0</v>
      </c>
      <c r="LN133" s="282">
        <f t="shared" si="1216"/>
        <v>0</v>
      </c>
      <c r="LO133" s="282">
        <f t="shared" si="1217"/>
        <v>0</v>
      </c>
      <c r="LP133" s="286">
        <f t="shared" si="1218"/>
        <v>0</v>
      </c>
      <c r="LQ133" s="282">
        <f t="shared" si="1219"/>
        <v>0</v>
      </c>
      <c r="LR133" s="282">
        <f t="shared" si="1220"/>
        <v>0</v>
      </c>
      <c r="LS133" s="282">
        <f t="shared" si="1221"/>
        <v>0</v>
      </c>
      <c r="LT133" s="286">
        <f t="shared" si="1222"/>
        <v>0</v>
      </c>
      <c r="LU133" s="286">
        <f t="shared" si="1223"/>
        <v>0</v>
      </c>
      <c r="LV133" s="286">
        <f t="shared" si="1224"/>
        <v>0</v>
      </c>
      <c r="LW133" s="286">
        <f t="shared" si="1225"/>
        <v>0</v>
      </c>
      <c r="LX133" s="286">
        <f t="shared" si="1226"/>
        <v>0</v>
      </c>
      <c r="LY133" s="286">
        <f t="shared" si="1227"/>
        <v>0</v>
      </c>
      <c r="LZ133" s="286">
        <f t="shared" si="1228"/>
        <v>0</v>
      </c>
      <c r="MA133" s="286">
        <f t="shared" si="1229"/>
        <v>0</v>
      </c>
      <c r="MB133" s="286">
        <f t="shared" si="1230"/>
        <v>0</v>
      </c>
      <c r="MC133" s="286">
        <f t="shared" si="1231"/>
        <v>0</v>
      </c>
      <c r="MD133" s="286">
        <f t="shared" si="1232"/>
        <v>0</v>
      </c>
      <c r="ME133" s="286">
        <f t="shared" si="1233"/>
        <v>0</v>
      </c>
      <c r="MF133" s="286">
        <f t="shared" si="1234"/>
        <v>0</v>
      </c>
      <c r="MG133" s="286">
        <f t="shared" si="1235"/>
        <v>0</v>
      </c>
      <c r="MH133" s="286">
        <f t="shared" si="1236"/>
        <v>0</v>
      </c>
      <c r="MI133" s="286">
        <f t="shared" si="1237"/>
        <v>0</v>
      </c>
      <c r="MJ133" s="286">
        <f t="shared" si="1238"/>
        <v>0</v>
      </c>
      <c r="MK133" s="286">
        <f t="shared" si="1239"/>
        <v>0</v>
      </c>
      <c r="ML133" s="282">
        <f t="shared" si="1240"/>
        <v>0</v>
      </c>
      <c r="MM133" s="1232">
        <f t="shared" si="1241"/>
        <v>0</v>
      </c>
      <c r="MN133" s="1232">
        <f t="shared" si="1242"/>
        <v>0</v>
      </c>
      <c r="MO133" s="1232">
        <f t="shared" si="1243"/>
        <v>0</v>
      </c>
      <c r="MP133" s="1232">
        <f t="shared" si="1244"/>
        <v>0</v>
      </c>
      <c r="MQ133" s="282">
        <f t="shared" si="1245"/>
        <v>0</v>
      </c>
      <c r="MR133" s="282">
        <f t="shared" si="1246"/>
        <v>0</v>
      </c>
      <c r="MS133" s="282">
        <f t="shared" si="1247"/>
        <v>0</v>
      </c>
      <c r="MT133" s="282">
        <f t="shared" si="1248"/>
        <v>0</v>
      </c>
      <c r="MU133" s="282">
        <f t="shared" si="1249"/>
        <v>0</v>
      </c>
      <c r="MV133" s="282">
        <f t="shared" si="1250"/>
        <v>0</v>
      </c>
      <c r="MW133" s="282">
        <f t="shared" si="1251"/>
        <v>0</v>
      </c>
      <c r="MX133" s="282">
        <f t="shared" si="1252"/>
        <v>0</v>
      </c>
      <c r="MY133" s="282">
        <f t="shared" si="1253"/>
        <v>0</v>
      </c>
      <c r="MZ133" s="282">
        <f t="shared" si="1254"/>
        <v>0</v>
      </c>
      <c r="NA133" s="282">
        <f t="shared" si="1255"/>
        <v>0</v>
      </c>
      <c r="NB133" s="282">
        <f t="shared" si="1256"/>
        <v>0</v>
      </c>
      <c r="NC133" s="282">
        <f t="shared" si="1257"/>
        <v>0</v>
      </c>
      <c r="ND133" s="282">
        <f t="shared" si="1258"/>
        <v>0</v>
      </c>
      <c r="NE133" s="282">
        <f t="shared" si="1259"/>
        <v>0</v>
      </c>
      <c r="NF133" s="282">
        <f t="shared" si="1260"/>
        <v>0</v>
      </c>
      <c r="NG133" s="282">
        <f t="shared" si="1261"/>
        <v>0</v>
      </c>
      <c r="NH133" s="282">
        <f t="shared" si="1262"/>
        <v>0</v>
      </c>
      <c r="NI133" s="282">
        <f t="shared" si="1263"/>
        <v>0</v>
      </c>
      <c r="NJ133" s="282">
        <f t="shared" si="1264"/>
        <v>0</v>
      </c>
      <c r="NK133" s="282">
        <f t="shared" si="1265"/>
        <v>0</v>
      </c>
      <c r="NL133" s="282">
        <f t="shared" si="1266"/>
        <v>0</v>
      </c>
      <c r="NM133" s="1205">
        <f t="shared" si="1267"/>
        <v>0</v>
      </c>
      <c r="NN133" s="282">
        <f t="shared" si="1268"/>
        <v>0</v>
      </c>
      <c r="NO133" s="282">
        <f t="shared" si="1269"/>
        <v>0</v>
      </c>
      <c r="NP133" s="282">
        <f t="shared" si="1270"/>
        <v>0</v>
      </c>
      <c r="NQ133" s="282">
        <f t="shared" si="1271"/>
        <v>0</v>
      </c>
      <c r="NR133" s="282">
        <f t="shared" si="1272"/>
        <v>0</v>
      </c>
      <c r="NS133" s="282">
        <f t="shared" si="1273"/>
        <v>0</v>
      </c>
      <c r="NT133" s="282">
        <f t="shared" si="1274"/>
        <v>0</v>
      </c>
      <c r="NU133" s="282">
        <f t="shared" si="1275"/>
        <v>0</v>
      </c>
      <c r="NV133" s="286">
        <f t="shared" si="1276"/>
        <v>0</v>
      </c>
      <c r="NW133" s="286">
        <f t="shared" si="1277"/>
        <v>0</v>
      </c>
      <c r="NX133" s="286">
        <f t="shared" si="1278"/>
        <v>0</v>
      </c>
      <c r="NY133" s="286">
        <f t="shared" si="1279"/>
        <v>0</v>
      </c>
      <c r="NZ133" s="286">
        <f t="shared" si="1280"/>
        <v>0</v>
      </c>
      <c r="OA133" s="286">
        <f t="shared" si="1281"/>
        <v>0</v>
      </c>
      <c r="OB133" s="286">
        <f t="shared" si="1282"/>
        <v>0</v>
      </c>
      <c r="OC133" s="286">
        <f t="shared" si="1283"/>
        <v>0</v>
      </c>
      <c r="OD133" s="286">
        <f t="shared" si="1284"/>
        <v>0</v>
      </c>
      <c r="OE133" s="282">
        <f t="shared" si="1285"/>
        <v>0</v>
      </c>
      <c r="OF133" s="282">
        <f t="shared" si="1286"/>
        <v>0</v>
      </c>
      <c r="OG133" s="286">
        <f t="shared" si="1287"/>
        <v>0</v>
      </c>
      <c r="OH133" s="286">
        <f t="shared" si="1288"/>
        <v>0</v>
      </c>
      <c r="OI133" s="286">
        <f t="shared" si="1289"/>
        <v>0</v>
      </c>
      <c r="OJ133" s="286">
        <f t="shared" si="1290"/>
        <v>0</v>
      </c>
      <c r="OK133" s="286">
        <f t="shared" si="1291"/>
        <v>0</v>
      </c>
      <c r="OL133" s="286">
        <f t="shared" si="1292"/>
        <v>0</v>
      </c>
      <c r="OM133" s="286">
        <f t="shared" si="1293"/>
        <v>0</v>
      </c>
      <c r="ON133" s="286">
        <f t="shared" si="1294"/>
        <v>0</v>
      </c>
      <c r="OO133" s="286">
        <f t="shared" si="1295"/>
        <v>0</v>
      </c>
      <c r="OP133" s="434">
        <f t="shared" si="1296"/>
        <v>0</v>
      </c>
      <c r="OQ133" s="434">
        <f t="shared" si="1297"/>
        <v>0</v>
      </c>
      <c r="OR133" s="282" t="str">
        <f t="shared" si="1298"/>
        <v>fix</v>
      </c>
      <c r="OS133" s="282">
        <f t="shared" si="1299"/>
        <v>0</v>
      </c>
      <c r="OT133" s="282">
        <f t="shared" si="1300"/>
        <v>0</v>
      </c>
      <c r="OU133" s="282">
        <f t="shared" si="1301"/>
        <v>0</v>
      </c>
      <c r="OV133" s="282">
        <f t="shared" si="1302"/>
        <v>0</v>
      </c>
      <c r="OW133" s="286">
        <f t="shared" si="1303"/>
        <v>0</v>
      </c>
      <c r="OX133" s="286">
        <f t="shared" si="1304"/>
        <v>0</v>
      </c>
      <c r="OY133" s="286">
        <f t="shared" si="1305"/>
        <v>0</v>
      </c>
      <c r="OZ133" s="286">
        <f t="shared" si="1306"/>
        <v>0</v>
      </c>
      <c r="PA133" s="286">
        <f t="shared" si="1307"/>
        <v>0</v>
      </c>
      <c r="PB133" s="286">
        <f t="shared" si="1308"/>
        <v>0</v>
      </c>
      <c r="PC133" s="286">
        <f t="shared" si="1309"/>
        <v>0</v>
      </c>
      <c r="PD133" s="282">
        <f t="shared" si="1310"/>
        <v>0</v>
      </c>
      <c r="PE133" s="282">
        <f t="shared" si="1311"/>
        <v>0</v>
      </c>
      <c r="PF133" s="286">
        <f t="shared" si="1312"/>
        <v>0</v>
      </c>
      <c r="PG133" s="286">
        <f t="shared" si="1313"/>
        <v>0</v>
      </c>
      <c r="PH133" s="286">
        <f t="shared" si="1314"/>
        <v>0</v>
      </c>
      <c r="PI133" s="286">
        <f t="shared" si="1315"/>
        <v>0</v>
      </c>
      <c r="PJ133" s="286">
        <f t="shared" si="1316"/>
        <v>0</v>
      </c>
      <c r="PK133" s="286">
        <f t="shared" si="1317"/>
        <v>0</v>
      </c>
      <c r="PL133" s="286">
        <f t="shared" si="1318"/>
        <v>0</v>
      </c>
      <c r="PM133" s="562">
        <v>77</v>
      </c>
    </row>
    <row r="134" spans="1:429" s="289" customFormat="1" ht="15.75" customHeight="1">
      <c r="A134" s="1935" t="s">
        <v>1200</v>
      </c>
      <c r="B134" s="1040" t="str">
        <f>VLOOKUP(A134,'Area (&amp;golfacre for lookup)'!$A$2:$B$162,2,FALSE)</f>
        <v>SW CIRA</v>
      </c>
      <c r="C134" s="1936"/>
      <c r="D134" s="1937">
        <v>44742</v>
      </c>
      <c r="E134" s="402"/>
      <c r="F134" s="1936">
        <v>0</v>
      </c>
      <c r="G134" s="1936">
        <v>1</v>
      </c>
      <c r="H134" s="1936">
        <v>561</v>
      </c>
      <c r="I134" s="1936">
        <v>0</v>
      </c>
      <c r="J134" s="1936">
        <v>561</v>
      </c>
      <c r="K134" s="1938">
        <v>561.03128387796187</v>
      </c>
      <c r="L134" s="1939" t="s">
        <v>1208</v>
      </c>
      <c r="M134" s="1939" t="s">
        <v>1208</v>
      </c>
      <c r="N134" s="1939" t="s">
        <v>1208</v>
      </c>
      <c r="O134" s="1939" t="s">
        <v>1208</v>
      </c>
      <c r="P134" s="1939" t="s">
        <v>1208</v>
      </c>
      <c r="Q134" s="1936">
        <v>0</v>
      </c>
      <c r="R134" s="1936">
        <v>5337</v>
      </c>
      <c r="S134" s="1936">
        <v>5337</v>
      </c>
      <c r="T134" s="1939" t="s">
        <v>1208</v>
      </c>
      <c r="U134" s="1939" t="s">
        <v>1208</v>
      </c>
      <c r="V134" s="1939" t="s">
        <v>1208</v>
      </c>
      <c r="W134" s="1936">
        <v>6586.51</v>
      </c>
      <c r="X134" s="1936">
        <v>6457</v>
      </c>
      <c r="Y134" s="1939" t="s">
        <v>1208</v>
      </c>
      <c r="Z134" s="1939" t="s">
        <v>1208</v>
      </c>
      <c r="AA134" s="1936">
        <v>129.51000000000022</v>
      </c>
      <c r="AB134" s="1362">
        <v>2.0057302152702527E-2</v>
      </c>
      <c r="AC134" s="1939" t="s">
        <v>1208</v>
      </c>
      <c r="AD134" s="1363" t="s">
        <v>1208</v>
      </c>
      <c r="AE134" s="1936">
        <v>1</v>
      </c>
      <c r="AF134" s="1936">
        <v>1418.73</v>
      </c>
      <c r="AG134" s="1939" t="s">
        <v>1208</v>
      </c>
      <c r="AH134" s="1936">
        <v>0</v>
      </c>
      <c r="AI134" s="1936">
        <v>0</v>
      </c>
      <c r="AJ134" s="1939" t="s">
        <v>1208</v>
      </c>
      <c r="AK134" s="1938">
        <v>1</v>
      </c>
      <c r="AL134" s="1938">
        <v>1020</v>
      </c>
      <c r="AM134" s="1936">
        <v>8895.73</v>
      </c>
      <c r="AN134" s="1939" t="s">
        <v>1208</v>
      </c>
      <c r="AO134" s="1936">
        <v>800</v>
      </c>
      <c r="AP134" s="1936">
        <v>0</v>
      </c>
      <c r="AQ134" s="1936">
        <v>9695.73</v>
      </c>
      <c r="AR134" s="1939" t="s">
        <v>1208</v>
      </c>
      <c r="AS134" s="1363" t="s">
        <v>1208</v>
      </c>
      <c r="AT134" s="1363" t="s">
        <v>1208</v>
      </c>
      <c r="AU134" s="1363" t="s">
        <v>1208</v>
      </c>
      <c r="AV134" s="1363" t="s">
        <v>1208</v>
      </c>
      <c r="AW134" s="1363" t="s">
        <v>1291</v>
      </c>
      <c r="AX134" s="1938">
        <v>0</v>
      </c>
      <c r="AY134" s="1938">
        <v>0</v>
      </c>
      <c r="AZ134" s="1938">
        <v>0</v>
      </c>
      <c r="BA134" s="1938">
        <v>0</v>
      </c>
      <c r="BB134" s="1938">
        <v>0</v>
      </c>
      <c r="BC134" s="1938">
        <v>0</v>
      </c>
      <c r="BD134" s="1938">
        <v>0</v>
      </c>
      <c r="BE134" s="1936">
        <v>0</v>
      </c>
      <c r="BF134" s="1936">
        <v>0</v>
      </c>
      <c r="BG134" s="1936">
        <v>1043082</v>
      </c>
      <c r="BH134" s="1936">
        <v>1043082</v>
      </c>
      <c r="BI134" s="1938">
        <v>9134072</v>
      </c>
      <c r="BJ134" s="1936">
        <v>888925</v>
      </c>
      <c r="BK134" s="1936">
        <v>1166335</v>
      </c>
      <c r="BL134" s="1362">
        <v>0.76215238332040114</v>
      </c>
      <c r="BM134" s="1936">
        <v>1</v>
      </c>
      <c r="BN134" s="1936">
        <v>3011730</v>
      </c>
      <c r="BO134" s="1363" t="s">
        <v>1208</v>
      </c>
      <c r="BP134" s="1938">
        <v>1940879</v>
      </c>
      <c r="BQ134" s="1938">
        <v>1541089</v>
      </c>
      <c r="BR134" s="1940">
        <v>1.2594204487865399</v>
      </c>
      <c r="BS134" s="1409">
        <v>1</v>
      </c>
      <c r="BT134" s="1938">
        <v>4290058</v>
      </c>
      <c r="BU134" s="1938">
        <v>8251828</v>
      </c>
      <c r="BV134" s="1940">
        <v>0.51989183487586021</v>
      </c>
      <c r="BW134" s="1936">
        <v>5368.2033186853896</v>
      </c>
      <c r="BX134" s="1936">
        <v>1584.4481859470836</v>
      </c>
      <c r="BY134" s="1936">
        <v>1859.2225246157504</v>
      </c>
      <c r="BZ134" s="1936">
        <v>1274116</v>
      </c>
      <c r="CA134" s="1936">
        <v>0</v>
      </c>
      <c r="CB134" s="1936">
        <v>227106</v>
      </c>
      <c r="CC134" s="1936">
        <v>0</v>
      </c>
      <c r="CD134" s="1936">
        <v>3622579</v>
      </c>
      <c r="CE134" s="1936">
        <v>0</v>
      </c>
      <c r="CF134" s="1936">
        <v>0</v>
      </c>
      <c r="CG134" s="1936">
        <v>889223</v>
      </c>
      <c r="CH134" s="1936">
        <v>526643</v>
      </c>
      <c r="CI134" s="1936">
        <v>100030</v>
      </c>
      <c r="CJ134" s="1936">
        <v>6639697</v>
      </c>
      <c r="CK134" s="1366">
        <v>0.19189369635391496</v>
      </c>
      <c r="CL134" s="1366">
        <v>0</v>
      </c>
      <c r="CM134" s="1366">
        <v>3.420427167083076E-2</v>
      </c>
      <c r="CN134" s="1366">
        <v>0</v>
      </c>
      <c r="CO134" s="1366">
        <v>0.5455940233417278</v>
      </c>
      <c r="CP134" s="1366">
        <v>0</v>
      </c>
      <c r="CQ134" s="1366">
        <v>0</v>
      </c>
      <c r="CR134" s="1366">
        <v>0.13392523785347435</v>
      </c>
      <c r="CS134" s="1366">
        <v>7.9317324269465916E-2</v>
      </c>
      <c r="CT134" s="1366">
        <v>1.5065446510586252E-2</v>
      </c>
      <c r="CU134" s="1366">
        <v>1</v>
      </c>
      <c r="CV134" s="1936">
        <v>3372179</v>
      </c>
      <c r="CW134" s="1936">
        <v>569744</v>
      </c>
      <c r="CX134" s="1936">
        <v>178326</v>
      </c>
      <c r="CY134" s="1936">
        <v>1960262</v>
      </c>
      <c r="CZ134" s="1936">
        <v>5964</v>
      </c>
      <c r="DA134" s="1936">
        <v>241672</v>
      </c>
      <c r="DB134" s="1936">
        <v>6328147</v>
      </c>
      <c r="DC134" s="1366">
        <v>0.53288569307887446</v>
      </c>
      <c r="DD134" s="1366">
        <v>9.0033306748405179E-2</v>
      </c>
      <c r="DE134" s="1366">
        <v>2.8179813142773073E-2</v>
      </c>
      <c r="DF134" s="1366">
        <v>0.30976872060652194</v>
      </c>
      <c r="DG134" s="1366">
        <v>9.4245598277031177E-4</v>
      </c>
      <c r="DH134" s="1366">
        <v>3.8190010440655058E-2</v>
      </c>
      <c r="DI134" s="1366">
        <v>1</v>
      </c>
      <c r="DJ134" s="1936">
        <v>311550</v>
      </c>
      <c r="DK134" s="1936">
        <v>2271.0248726114737</v>
      </c>
      <c r="DL134" s="1936">
        <v>0</v>
      </c>
      <c r="DM134" s="1936">
        <v>404.80095589357751</v>
      </c>
      <c r="DN134" s="1936">
        <v>0</v>
      </c>
      <c r="DO134" s="1936">
        <v>6457</v>
      </c>
      <c r="DP134" s="1936">
        <v>0</v>
      </c>
      <c r="DQ134" s="1936">
        <v>0</v>
      </c>
      <c r="DR134" s="1936">
        <v>1584.9793506228575</v>
      </c>
      <c r="DS134" s="1936">
        <v>938.70522934075427</v>
      </c>
      <c r="DT134" s="1936">
        <v>178.29665274380491</v>
      </c>
      <c r="DU134" s="1936">
        <v>11834.807061212468</v>
      </c>
      <c r="DV134" s="1936">
        <v>6010.6790778061713</v>
      </c>
      <c r="DW134" s="1936">
        <v>1015.5298222619853</v>
      </c>
      <c r="DX134" s="1936">
        <v>317.85393279207989</v>
      </c>
      <c r="DY134" s="1936">
        <v>3494.0333210124613</v>
      </c>
      <c r="DZ134" s="1936">
        <v>10.630423242667725</v>
      </c>
      <c r="EA134" s="1936">
        <v>430.76385746176965</v>
      </c>
      <c r="EB134" s="1936">
        <v>11279.490434577136</v>
      </c>
      <c r="EC134" s="1936">
        <v>555.31662663533359</v>
      </c>
      <c r="ED134" s="1941">
        <v>68</v>
      </c>
      <c r="EE134" s="1936">
        <v>1</v>
      </c>
      <c r="EF134" s="1936">
        <v>6</v>
      </c>
      <c r="EG134" s="1938">
        <v>7000</v>
      </c>
      <c r="EH134" s="1938">
        <v>1</v>
      </c>
      <c r="EI134" s="1368">
        <v>0.06</v>
      </c>
      <c r="EJ134" s="1936">
        <v>8.2504600570288513</v>
      </c>
      <c r="EK134" s="1936">
        <v>1</v>
      </c>
      <c r="EL134" s="1936">
        <v>800</v>
      </c>
      <c r="EM134" s="1936">
        <v>1</v>
      </c>
      <c r="EN134" s="1362">
        <v>0.2</v>
      </c>
      <c r="EO134" s="1936">
        <v>0</v>
      </c>
      <c r="EP134" s="1936">
        <v>0</v>
      </c>
      <c r="EQ134" s="1936">
        <v>0</v>
      </c>
      <c r="ER134" s="1938">
        <v>0</v>
      </c>
      <c r="ES134" s="1936">
        <v>2523.6845799636117</v>
      </c>
      <c r="ET134" s="1936">
        <v>-692.99165870502759</v>
      </c>
      <c r="EU134" s="1938">
        <v>1</v>
      </c>
      <c r="EV134" s="1936">
        <v>47773</v>
      </c>
      <c r="EW134" s="1936">
        <v>3274</v>
      </c>
      <c r="EX134" s="1938">
        <v>1</v>
      </c>
      <c r="EY134" s="1936">
        <v>889223</v>
      </c>
      <c r="EZ134" s="1936">
        <v>387738</v>
      </c>
      <c r="FA134" s="1936">
        <v>501485</v>
      </c>
      <c r="FB134" s="1936">
        <v>526643</v>
      </c>
      <c r="FC134" s="1936">
        <v>182006</v>
      </c>
      <c r="FD134" s="1936">
        <v>344637</v>
      </c>
      <c r="FE134" s="1936">
        <v>1415866</v>
      </c>
      <c r="FF134" s="1936">
        <v>569744</v>
      </c>
      <c r="FG134" s="1936">
        <v>846122</v>
      </c>
      <c r="FH134" s="1366">
        <v>1</v>
      </c>
      <c r="FI134" s="1366">
        <v>0.43604135295645752</v>
      </c>
      <c r="FJ134" s="1366">
        <v>0.56395864704354248</v>
      </c>
      <c r="FK134" s="1366">
        <v>1</v>
      </c>
      <c r="FL134" s="1366">
        <v>0.34559654262944728</v>
      </c>
      <c r="FM134" s="1366">
        <v>0.65440345737055272</v>
      </c>
      <c r="FN134" s="1366">
        <v>1</v>
      </c>
      <c r="FO134" s="1366">
        <v>0.40239966211491768</v>
      </c>
      <c r="FP134" s="1366">
        <v>0.59760033788508238</v>
      </c>
      <c r="FQ134" s="1936">
        <v>823811</v>
      </c>
      <c r="FR134" s="1936">
        <v>0</v>
      </c>
      <c r="FS134" s="1936">
        <v>190314</v>
      </c>
      <c r="FT134" s="1936">
        <v>21298</v>
      </c>
      <c r="FU134" s="1936">
        <v>17410</v>
      </c>
      <c r="FV134" s="1936">
        <v>0</v>
      </c>
      <c r="FW134" s="1936">
        <v>182079</v>
      </c>
      <c r="FX134" s="1936">
        <v>1234912</v>
      </c>
      <c r="FY134" s="1936">
        <v>-388790</v>
      </c>
      <c r="FZ134" s="1366">
        <v>0.5818424907441806</v>
      </c>
      <c r="GA134" s="1366">
        <v>0</v>
      </c>
      <c r="GB134" s="1366">
        <v>0.13441526246127811</v>
      </c>
      <c r="GC134" s="1366">
        <v>1.5042383954413764E-2</v>
      </c>
      <c r="GD134" s="1366">
        <v>1.2296361378831047E-2</v>
      </c>
      <c r="GE134" s="1366">
        <v>0</v>
      </c>
      <c r="GF134" s="1366">
        <v>0.12859903408938417</v>
      </c>
      <c r="GG134" s="1366">
        <v>0.87219553262808769</v>
      </c>
      <c r="GH134" s="1366">
        <v>-0.27459519474300537</v>
      </c>
      <c r="GI134" s="1942">
        <v>1.688473975729289</v>
      </c>
      <c r="GJ134" s="1943">
        <v>1</v>
      </c>
      <c r="GK134" s="1371">
        <v>0.04</v>
      </c>
      <c r="GL134" s="1943">
        <v>0</v>
      </c>
      <c r="GM134" s="1371">
        <v>0</v>
      </c>
      <c r="GN134" s="1943">
        <v>18</v>
      </c>
      <c r="GO134" s="1985">
        <f>IF(GN134=0,0,VLOOKUP(A134,'Area (&amp;golfacre for lookup)'!$G$2:$H$133,2,FALSE))</f>
        <v>120</v>
      </c>
      <c r="GP134" s="1943">
        <v>40118</v>
      </c>
      <c r="GQ134" s="1943">
        <v>721727</v>
      </c>
      <c r="GR134" s="1943">
        <v>166102</v>
      </c>
      <c r="GS134" s="1943">
        <v>721157</v>
      </c>
      <c r="GT134" s="1943">
        <v>153093</v>
      </c>
      <c r="GU134" s="1943">
        <v>0</v>
      </c>
      <c r="GV134" s="1943">
        <v>147889</v>
      </c>
      <c r="GW134" s="1943">
        <v>1909968</v>
      </c>
      <c r="GX134" s="1943">
        <v>106109.33333333333</v>
      </c>
      <c r="GY134" s="1985">
        <f t="shared" si="1319"/>
        <v>15916.4</v>
      </c>
      <c r="GZ134" s="1366">
        <v>0.37787387013813845</v>
      </c>
      <c r="HA134" s="1366">
        <v>8.6965854925318123E-2</v>
      </c>
      <c r="HB134" s="1366">
        <v>0.37757543581882003</v>
      </c>
      <c r="HC134" s="1366">
        <v>8.0154746048101327E-2</v>
      </c>
      <c r="HD134" s="1366">
        <v>0</v>
      </c>
      <c r="HE134" s="1366">
        <v>7.7430093069622105E-2</v>
      </c>
      <c r="HF134" s="1366">
        <v>1</v>
      </c>
      <c r="HG134" s="1936">
        <v>0</v>
      </c>
      <c r="HH134" s="1988">
        <f>IF(HG134=0,0,VLOOKUP(A134,'Area (&amp;golfacre for lookup)'!$G$2:$H$134,2,FALSE))</f>
        <v>0</v>
      </c>
      <c r="HI134" s="1936">
        <v>0</v>
      </c>
      <c r="HJ134" s="1936">
        <v>0</v>
      </c>
      <c r="HK134" s="1936">
        <v>0</v>
      </c>
      <c r="HL134" s="1936">
        <v>0</v>
      </c>
      <c r="HM134" s="1936">
        <v>0</v>
      </c>
      <c r="HN134" s="1936">
        <v>0</v>
      </c>
      <c r="HO134" s="1936">
        <v>0</v>
      </c>
      <c r="HP134" s="1936">
        <v>0</v>
      </c>
      <c r="HQ134" s="1936">
        <v>0</v>
      </c>
      <c r="HR134" s="1988">
        <f t="shared" si="1320"/>
        <v>0</v>
      </c>
      <c r="HS134" s="1936">
        <v>0</v>
      </c>
      <c r="HT134" s="1936">
        <v>0</v>
      </c>
      <c r="HU134" s="1936">
        <v>0</v>
      </c>
      <c r="HV134" s="1936">
        <v>0</v>
      </c>
      <c r="HW134" s="1936">
        <v>0</v>
      </c>
      <c r="HX134" s="1936">
        <v>0</v>
      </c>
      <c r="HY134" s="1936">
        <v>0</v>
      </c>
      <c r="HZ134" s="51"/>
      <c r="IA134" s="59">
        <f t="shared" si="1136"/>
        <v>0</v>
      </c>
      <c r="IB134" s="59"/>
      <c r="IC134" s="815">
        <f t="shared" si="1137"/>
        <v>1</v>
      </c>
      <c r="ID134" s="815"/>
      <c r="IE134" s="284">
        <f t="shared" si="1138"/>
        <v>0</v>
      </c>
      <c r="IF134" s="284"/>
      <c r="IG134" s="284">
        <f t="shared" si="1139"/>
        <v>16280.860377095987</v>
      </c>
      <c r="IH134" s="284"/>
      <c r="II134" s="1288">
        <f t="shared" si="1140"/>
        <v>1.2594204487865399</v>
      </c>
      <c r="IJ134" s="1288">
        <f t="shared" si="1141"/>
        <v>0</v>
      </c>
      <c r="IK134" s="284">
        <f t="shared" si="1142"/>
        <v>0</v>
      </c>
      <c r="IL134" s="284">
        <f t="shared" si="1143"/>
        <v>0</v>
      </c>
      <c r="IM134" s="284">
        <f t="shared" si="1144"/>
        <v>1</v>
      </c>
      <c r="IN134" s="284">
        <f t="shared" si="1145"/>
        <v>0</v>
      </c>
      <c r="IO134" s="753">
        <f t="shared" si="1146"/>
        <v>-693.030303030303</v>
      </c>
      <c r="IP134" s="113">
        <f t="shared" si="1147"/>
        <v>-692.99165870502759</v>
      </c>
      <c r="IQ134" s="30">
        <f t="shared" si="1148"/>
        <v>-0.10732409148289106</v>
      </c>
      <c r="IR134" s="438">
        <f t="shared" si="1149"/>
        <v>889223</v>
      </c>
      <c r="IS134" s="438">
        <f t="shared" si="1150"/>
        <v>526643</v>
      </c>
      <c r="IT134" s="438">
        <f t="shared" si="1151"/>
        <v>823811</v>
      </c>
      <c r="IU134" s="438">
        <f t="shared" si="1152"/>
        <v>211612</v>
      </c>
      <c r="IV134" s="438">
        <f t="shared" si="1153"/>
        <v>569744</v>
      </c>
      <c r="IW134" s="438">
        <f t="shared" si="1154"/>
        <v>199489</v>
      </c>
      <c r="IX134" s="285">
        <f t="shared" si="1155"/>
        <v>0.62804177796486393</v>
      </c>
      <c r="IY134" s="285">
        <f t="shared" si="1156"/>
        <v>0.37195822203513607</v>
      </c>
      <c r="IZ134" s="285">
        <f t="shared" si="1157"/>
        <v>0.5818424907441806</v>
      </c>
      <c r="JA134" s="285">
        <f t="shared" si="1158"/>
        <v>0.14945764641569187</v>
      </c>
      <c r="JB134" s="285">
        <f t="shared" si="1159"/>
        <v>0.40239966211491768</v>
      </c>
      <c r="JC134" s="285">
        <f t="shared" si="1160"/>
        <v>0.14089539546821522</v>
      </c>
      <c r="JD134" s="60">
        <f t="shared" si="1161"/>
        <v>3622579</v>
      </c>
      <c r="JE134" s="60">
        <f t="shared" si="1162"/>
        <v>1501222</v>
      </c>
      <c r="JF134" s="60">
        <f t="shared" si="1163"/>
        <v>0</v>
      </c>
      <c r="JG134" s="60">
        <f t="shared" si="1164"/>
        <v>247636</v>
      </c>
      <c r="JH134" s="284">
        <f t="shared" si="1165"/>
        <v>1</v>
      </c>
      <c r="JI134" s="284">
        <f t="shared" si="1166"/>
        <v>1</v>
      </c>
      <c r="JJ134" s="560">
        <f t="shared" si="1167"/>
        <v>0.78521043037172067</v>
      </c>
      <c r="JK134" s="561">
        <f t="shared" si="1168"/>
        <v>0.50788145904850779</v>
      </c>
      <c r="JL134" s="561">
        <f t="shared" si="1169"/>
        <v>8.5808734946790491E-2</v>
      </c>
      <c r="JM134" s="561">
        <f t="shared" si="1170"/>
        <v>2.6857550879204276E-2</v>
      </c>
      <c r="JN134" s="561">
        <f t="shared" si="1171"/>
        <v>0.29523365298145382</v>
      </c>
      <c r="JO134" s="561">
        <f t="shared" si="1172"/>
        <v>8.9823375976343502E-4</v>
      </c>
      <c r="JP134" s="561">
        <f t="shared" si="1173"/>
        <v>3.6398046477120867E-2</v>
      </c>
      <c r="JQ134" s="561">
        <f t="shared" si="1174"/>
        <v>0.95307767809284061</v>
      </c>
      <c r="JR134" s="61">
        <f t="shared" si="1175"/>
        <v>40095.944444444445</v>
      </c>
      <c r="JS134" s="61">
        <f t="shared" si="1176"/>
        <v>9227.8888888888887</v>
      </c>
      <c r="JT134" s="61">
        <f t="shared" si="1177"/>
        <v>40064.277777777781</v>
      </c>
      <c r="JU134" s="61">
        <f t="shared" si="1178"/>
        <v>8505.1666666666661</v>
      </c>
      <c r="JV134" s="61">
        <f t="shared" si="1179"/>
        <v>0</v>
      </c>
      <c r="JW134" s="61">
        <f t="shared" si="1180"/>
        <v>8216.0555555555547</v>
      </c>
      <c r="JX134" s="61">
        <f t="shared" si="1181"/>
        <v>47.608754175183208</v>
      </c>
      <c r="JY134" s="394">
        <f t="shared" si="1182"/>
        <v>0.30182105440976642</v>
      </c>
      <c r="JZ134" s="61">
        <f t="shared" si="1183"/>
        <v>0</v>
      </c>
      <c r="KA134" s="61">
        <f t="shared" si="1184"/>
        <v>0</v>
      </c>
      <c r="KB134" s="61">
        <f t="shared" si="1185"/>
        <v>0</v>
      </c>
      <c r="KC134" s="61">
        <f t="shared" si="1186"/>
        <v>0</v>
      </c>
      <c r="KD134" s="61">
        <f t="shared" si="1187"/>
        <v>0</v>
      </c>
      <c r="KE134" s="61">
        <f t="shared" si="1188"/>
        <v>0</v>
      </c>
      <c r="KF134" s="61">
        <f t="shared" si="1189"/>
        <v>0</v>
      </c>
      <c r="KG134" s="61">
        <f t="shared" si="1190"/>
        <v>0</v>
      </c>
      <c r="KH134" s="61">
        <f t="shared" si="1191"/>
        <v>0</v>
      </c>
      <c r="KI134" s="394">
        <f t="shared" si="1192"/>
        <v>0</v>
      </c>
      <c r="KJ134" s="438">
        <f t="shared" si="1193"/>
        <v>18</v>
      </c>
      <c r="KK134" s="438">
        <f t="shared" si="1194"/>
        <v>40118</v>
      </c>
      <c r="KL134" s="438">
        <f t="shared" si="1195"/>
        <v>120</v>
      </c>
      <c r="KM134" s="438">
        <f t="shared" si="1196"/>
        <v>106109.33333333333</v>
      </c>
      <c r="KN134" s="438">
        <f t="shared" si="1197"/>
        <v>47.608754175183208</v>
      </c>
      <c r="KO134" s="438">
        <f t="shared" si="1198"/>
        <v>15916.4</v>
      </c>
      <c r="KP134" s="438">
        <f t="shared" si="1199"/>
        <v>721727</v>
      </c>
      <c r="KQ134" s="438">
        <f t="shared" si="1200"/>
        <v>166102</v>
      </c>
      <c r="KR134" s="438">
        <f t="shared" si="1201"/>
        <v>721157</v>
      </c>
      <c r="KS134" s="438">
        <f t="shared" si="1202"/>
        <v>153093</v>
      </c>
      <c r="KT134" s="438">
        <f t="shared" si="1203"/>
        <v>0</v>
      </c>
      <c r="KU134" s="438">
        <f t="shared" si="1204"/>
        <v>147889</v>
      </c>
      <c r="KV134" s="420">
        <f t="shared" si="1205"/>
        <v>0.30182105440976642</v>
      </c>
      <c r="KW134" s="420">
        <f t="shared" si="1206"/>
        <v>-0.48641561716114401</v>
      </c>
      <c r="KX134" s="108"/>
      <c r="KY134" s="282">
        <f t="shared" si="1207"/>
        <v>0</v>
      </c>
      <c r="KZ134" s="282"/>
      <c r="LA134" s="282">
        <f t="shared" si="1208"/>
        <v>0</v>
      </c>
      <c r="LB134" s="282"/>
      <c r="LC134" s="286">
        <f t="shared" si="951"/>
        <v>0</v>
      </c>
      <c r="LD134" s="286"/>
      <c r="LE134" s="282">
        <f t="shared" si="1209"/>
        <v>0</v>
      </c>
      <c r="LF134" s="282"/>
      <c r="LG134" s="282">
        <f t="shared" si="1210"/>
        <v>0</v>
      </c>
      <c r="LH134" s="282">
        <f t="shared" si="1211"/>
        <v>0</v>
      </c>
      <c r="LI134" s="282">
        <f t="shared" si="1212"/>
        <v>0</v>
      </c>
      <c r="LJ134" s="282">
        <f t="shared" si="1213"/>
        <v>0</v>
      </c>
      <c r="LK134" s="282"/>
      <c r="LL134" s="282">
        <f t="shared" si="1214"/>
        <v>0</v>
      </c>
      <c r="LM134" s="282">
        <f t="shared" si="1215"/>
        <v>0</v>
      </c>
      <c r="LN134" s="282">
        <f t="shared" si="1216"/>
        <v>0</v>
      </c>
      <c r="LO134" s="282">
        <f t="shared" si="1217"/>
        <v>0</v>
      </c>
      <c r="LP134" s="286">
        <f t="shared" si="1218"/>
        <v>0</v>
      </c>
      <c r="LQ134" s="282">
        <f t="shared" si="1219"/>
        <v>0</v>
      </c>
      <c r="LR134" s="282">
        <f t="shared" si="1220"/>
        <v>0</v>
      </c>
      <c r="LS134" s="282">
        <f t="shared" si="1221"/>
        <v>0</v>
      </c>
      <c r="LT134" s="286">
        <f t="shared" si="1222"/>
        <v>0</v>
      </c>
      <c r="LU134" s="286">
        <f t="shared" si="1223"/>
        <v>0</v>
      </c>
      <c r="LV134" s="286">
        <f t="shared" si="1224"/>
        <v>0</v>
      </c>
      <c r="LW134" s="286">
        <f t="shared" si="1225"/>
        <v>0</v>
      </c>
      <c r="LX134" s="286">
        <f t="shared" si="1226"/>
        <v>0</v>
      </c>
      <c r="LY134" s="286">
        <f t="shared" si="1227"/>
        <v>0</v>
      </c>
      <c r="LZ134" s="286">
        <f t="shared" si="1228"/>
        <v>0</v>
      </c>
      <c r="MA134" s="286">
        <f t="shared" si="1229"/>
        <v>0</v>
      </c>
      <c r="MB134" s="286">
        <f t="shared" si="1230"/>
        <v>0</v>
      </c>
      <c r="MC134" s="286">
        <f t="shared" si="1231"/>
        <v>0</v>
      </c>
      <c r="MD134" s="286">
        <f t="shared" si="1232"/>
        <v>0</v>
      </c>
      <c r="ME134" s="286">
        <f t="shared" si="1233"/>
        <v>0</v>
      </c>
      <c r="MF134" s="286">
        <f t="shared" si="1234"/>
        <v>0</v>
      </c>
      <c r="MG134" s="286">
        <f t="shared" si="1235"/>
        <v>0</v>
      </c>
      <c r="MH134" s="286">
        <f t="shared" si="1236"/>
        <v>0</v>
      </c>
      <c r="MI134" s="286">
        <f t="shared" si="1237"/>
        <v>0</v>
      </c>
      <c r="MJ134" s="286">
        <f t="shared" si="1238"/>
        <v>0</v>
      </c>
      <c r="MK134" s="286">
        <f t="shared" si="1239"/>
        <v>0</v>
      </c>
      <c r="ML134" s="282">
        <f t="shared" si="1240"/>
        <v>0</v>
      </c>
      <c r="MM134" s="1232">
        <f t="shared" si="1241"/>
        <v>0</v>
      </c>
      <c r="MN134" s="1232">
        <f t="shared" si="1242"/>
        <v>0</v>
      </c>
      <c r="MO134" s="1232">
        <f t="shared" si="1243"/>
        <v>0</v>
      </c>
      <c r="MP134" s="1232">
        <f t="shared" si="1244"/>
        <v>0</v>
      </c>
      <c r="MQ134" s="282">
        <f t="shared" si="1245"/>
        <v>0</v>
      </c>
      <c r="MR134" s="282">
        <f t="shared" si="1246"/>
        <v>0</v>
      </c>
      <c r="MS134" s="282">
        <f t="shared" si="1247"/>
        <v>0</v>
      </c>
      <c r="MT134" s="282">
        <f t="shared" si="1248"/>
        <v>0</v>
      </c>
      <c r="MU134" s="282">
        <f t="shared" si="1249"/>
        <v>0</v>
      </c>
      <c r="MV134" s="282">
        <f t="shared" si="1250"/>
        <v>0</v>
      </c>
      <c r="MW134" s="282">
        <f t="shared" si="1251"/>
        <v>0</v>
      </c>
      <c r="MX134" s="282">
        <f t="shared" si="1252"/>
        <v>0</v>
      </c>
      <c r="MY134" s="282">
        <f t="shared" si="1253"/>
        <v>0</v>
      </c>
      <c r="MZ134" s="282">
        <f t="shared" si="1254"/>
        <v>0</v>
      </c>
      <c r="NA134" s="282">
        <f t="shared" si="1255"/>
        <v>0</v>
      </c>
      <c r="NB134" s="282">
        <f t="shared" si="1256"/>
        <v>0</v>
      </c>
      <c r="NC134" s="282">
        <f t="shared" si="1257"/>
        <v>0</v>
      </c>
      <c r="ND134" s="282">
        <f t="shared" si="1258"/>
        <v>0</v>
      </c>
      <c r="NE134" s="282">
        <f t="shared" si="1259"/>
        <v>0</v>
      </c>
      <c r="NF134" s="282">
        <f t="shared" si="1260"/>
        <v>0</v>
      </c>
      <c r="NG134" s="282">
        <f t="shared" si="1261"/>
        <v>0</v>
      </c>
      <c r="NH134" s="282">
        <f t="shared" si="1262"/>
        <v>0</v>
      </c>
      <c r="NI134" s="282">
        <f t="shared" si="1263"/>
        <v>0</v>
      </c>
      <c r="NJ134" s="282">
        <f t="shared" si="1264"/>
        <v>0</v>
      </c>
      <c r="NK134" s="282">
        <f t="shared" si="1265"/>
        <v>0</v>
      </c>
      <c r="NL134" s="282">
        <f t="shared" si="1266"/>
        <v>0</v>
      </c>
      <c r="NM134" s="1205">
        <f t="shared" si="1267"/>
        <v>0</v>
      </c>
      <c r="NN134" s="282">
        <f t="shared" si="1268"/>
        <v>0</v>
      </c>
      <c r="NO134" s="282">
        <f t="shared" si="1269"/>
        <v>0</v>
      </c>
      <c r="NP134" s="282">
        <f t="shared" si="1270"/>
        <v>0</v>
      </c>
      <c r="NQ134" s="282">
        <f t="shared" si="1271"/>
        <v>0</v>
      </c>
      <c r="NR134" s="282">
        <f t="shared" si="1272"/>
        <v>0</v>
      </c>
      <c r="NS134" s="282">
        <f t="shared" si="1273"/>
        <v>0</v>
      </c>
      <c r="NT134" s="282">
        <f t="shared" si="1274"/>
        <v>0</v>
      </c>
      <c r="NU134" s="282">
        <f t="shared" si="1275"/>
        <v>0</v>
      </c>
      <c r="NV134" s="286">
        <f t="shared" si="1276"/>
        <v>0</v>
      </c>
      <c r="NW134" s="286">
        <f t="shared" si="1277"/>
        <v>0</v>
      </c>
      <c r="NX134" s="286">
        <f t="shared" si="1278"/>
        <v>0</v>
      </c>
      <c r="NY134" s="286">
        <f t="shared" si="1279"/>
        <v>0</v>
      </c>
      <c r="NZ134" s="286">
        <f t="shared" si="1280"/>
        <v>0</v>
      </c>
      <c r="OA134" s="286">
        <f t="shared" si="1281"/>
        <v>0</v>
      </c>
      <c r="OB134" s="286">
        <f t="shared" si="1282"/>
        <v>0</v>
      </c>
      <c r="OC134" s="286">
        <f t="shared" si="1283"/>
        <v>0</v>
      </c>
      <c r="OD134" s="286">
        <f t="shared" si="1284"/>
        <v>0</v>
      </c>
      <c r="OE134" s="282">
        <f t="shared" si="1285"/>
        <v>0</v>
      </c>
      <c r="OF134" s="282">
        <f t="shared" si="1286"/>
        <v>0</v>
      </c>
      <c r="OG134" s="286">
        <f t="shared" si="1287"/>
        <v>0</v>
      </c>
      <c r="OH134" s="286">
        <f t="shared" si="1288"/>
        <v>0</v>
      </c>
      <c r="OI134" s="286">
        <f t="shared" si="1289"/>
        <v>0</v>
      </c>
      <c r="OJ134" s="286">
        <f t="shared" si="1290"/>
        <v>0</v>
      </c>
      <c r="OK134" s="286">
        <f t="shared" si="1291"/>
        <v>0</v>
      </c>
      <c r="OL134" s="286">
        <f t="shared" si="1292"/>
        <v>0</v>
      </c>
      <c r="OM134" s="286">
        <f t="shared" si="1293"/>
        <v>0</v>
      </c>
      <c r="ON134" s="286">
        <f t="shared" si="1294"/>
        <v>0</v>
      </c>
      <c r="OO134" s="286">
        <f t="shared" si="1295"/>
        <v>0</v>
      </c>
      <c r="OP134" s="434">
        <f t="shared" si="1296"/>
        <v>0</v>
      </c>
      <c r="OQ134" s="434">
        <f t="shared" si="1297"/>
        <v>0</v>
      </c>
      <c r="OR134" s="282">
        <f t="shared" si="1298"/>
        <v>0</v>
      </c>
      <c r="OS134" s="282">
        <f t="shared" si="1299"/>
        <v>0</v>
      </c>
      <c r="OT134" s="282">
        <f t="shared" si="1300"/>
        <v>0</v>
      </c>
      <c r="OU134" s="282">
        <f t="shared" si="1301"/>
        <v>0</v>
      </c>
      <c r="OV134" s="282">
        <f t="shared" si="1302"/>
        <v>0</v>
      </c>
      <c r="OW134" s="286">
        <f t="shared" si="1303"/>
        <v>0</v>
      </c>
      <c r="OX134" s="286">
        <f t="shared" si="1304"/>
        <v>0</v>
      </c>
      <c r="OY134" s="286">
        <f t="shared" si="1305"/>
        <v>0</v>
      </c>
      <c r="OZ134" s="286">
        <f t="shared" si="1306"/>
        <v>0</v>
      </c>
      <c r="PA134" s="286">
        <f t="shared" si="1307"/>
        <v>0</v>
      </c>
      <c r="PB134" s="286">
        <f t="shared" si="1308"/>
        <v>0</v>
      </c>
      <c r="PC134" s="286">
        <f t="shared" si="1309"/>
        <v>0</v>
      </c>
      <c r="PD134" s="282">
        <f t="shared" si="1310"/>
        <v>0</v>
      </c>
      <c r="PE134" s="282">
        <f t="shared" si="1311"/>
        <v>0</v>
      </c>
      <c r="PF134" s="286">
        <f t="shared" si="1312"/>
        <v>0</v>
      </c>
      <c r="PG134" s="286">
        <f t="shared" si="1313"/>
        <v>0</v>
      </c>
      <c r="PH134" s="286">
        <f t="shared" si="1314"/>
        <v>0</v>
      </c>
      <c r="PI134" s="286">
        <f t="shared" si="1315"/>
        <v>0</v>
      </c>
      <c r="PJ134" s="286">
        <f t="shared" si="1316"/>
        <v>0</v>
      </c>
      <c r="PK134" s="286">
        <f t="shared" si="1317"/>
        <v>0</v>
      </c>
      <c r="PL134" s="286">
        <f t="shared" si="1318"/>
        <v>0</v>
      </c>
      <c r="PM134" s="562">
        <v>78</v>
      </c>
    </row>
    <row r="135" spans="1:429" s="289" customFormat="1" ht="15.75" customHeight="1">
      <c r="A135" s="1040" t="s">
        <v>1626</v>
      </c>
      <c r="B135" s="1040" t="str">
        <f>VLOOKUP(A135,'Area (&amp;golfacre for lookup)'!$A$2:$B$162,2,FALSE)</f>
        <v>North&amp;Central</v>
      </c>
      <c r="C135" s="1936"/>
      <c r="D135" s="1937">
        <v>44865</v>
      </c>
      <c r="E135" s="402"/>
      <c r="F135" s="1936">
        <v>1</v>
      </c>
      <c r="G135" s="1936">
        <v>1</v>
      </c>
      <c r="H135" s="1936">
        <v>341</v>
      </c>
      <c r="I135" s="1936">
        <v>76</v>
      </c>
      <c r="J135" s="1936">
        <v>417</v>
      </c>
      <c r="K135" s="1938">
        <v>396.359914140059</v>
      </c>
      <c r="L135" s="1939" t="s">
        <v>1208</v>
      </c>
      <c r="M135" s="1939" t="s">
        <v>1208</v>
      </c>
      <c r="N135" s="1939" t="s">
        <v>1208</v>
      </c>
      <c r="O135" s="1939" t="s">
        <v>1208</v>
      </c>
      <c r="P135" s="1939" t="s">
        <v>1208</v>
      </c>
      <c r="Q135" s="1979">
        <v>0</v>
      </c>
      <c r="R135" s="1979">
        <v>200000</v>
      </c>
      <c r="S135" s="1979">
        <v>200000</v>
      </c>
      <c r="T135" s="1939" t="s">
        <v>1208</v>
      </c>
      <c r="U135" s="1939" t="s">
        <v>1208</v>
      </c>
      <c r="V135" s="1939" t="s">
        <v>1208</v>
      </c>
      <c r="W135" s="1936">
        <v>20595</v>
      </c>
      <c r="X135" s="1936">
        <v>18635</v>
      </c>
      <c r="Y135" s="1939" t="s">
        <v>1208</v>
      </c>
      <c r="Z135" s="1939" t="s">
        <v>1208</v>
      </c>
      <c r="AA135" s="1936">
        <v>1960</v>
      </c>
      <c r="AB135" s="1362">
        <v>0.10517842768983096</v>
      </c>
      <c r="AC135" s="1939" t="s">
        <v>1208</v>
      </c>
      <c r="AD135" s="1363" t="s">
        <v>1208</v>
      </c>
      <c r="AE135" s="1936">
        <v>1</v>
      </c>
      <c r="AF135" s="1936">
        <v>2200</v>
      </c>
      <c r="AG135" s="1939" t="s">
        <v>1208</v>
      </c>
      <c r="AH135" s="1936">
        <v>0</v>
      </c>
      <c r="AI135" s="1936">
        <v>0</v>
      </c>
      <c r="AJ135" s="1939" t="s">
        <v>1208</v>
      </c>
      <c r="AK135" s="1938">
        <v>1</v>
      </c>
      <c r="AL135" s="1938">
        <v>6600</v>
      </c>
      <c r="AM135" s="1936">
        <v>27435</v>
      </c>
      <c r="AN135" s="1939" t="s">
        <v>1208</v>
      </c>
      <c r="AO135" s="1936">
        <v>0</v>
      </c>
      <c r="AP135" s="1936">
        <v>0</v>
      </c>
      <c r="AQ135" s="1936">
        <v>27435</v>
      </c>
      <c r="AR135" s="1939" t="s">
        <v>1208</v>
      </c>
      <c r="AS135" s="1363" t="s">
        <v>1208</v>
      </c>
      <c r="AT135" s="1363" t="s">
        <v>1208</v>
      </c>
      <c r="AU135" s="1363" t="s">
        <v>1208</v>
      </c>
      <c r="AV135" s="1363" t="s">
        <v>1208</v>
      </c>
      <c r="AW135" s="1363" t="s">
        <v>1291</v>
      </c>
      <c r="AX135" s="1938">
        <v>1</v>
      </c>
      <c r="AY135" s="1938">
        <v>0</v>
      </c>
      <c r="AZ135" s="1938">
        <v>1</v>
      </c>
      <c r="BA135" s="1938">
        <v>0</v>
      </c>
      <c r="BB135" s="1938">
        <v>0</v>
      </c>
      <c r="BC135" s="1938">
        <v>0</v>
      </c>
      <c r="BD135" s="1938">
        <v>0</v>
      </c>
      <c r="BE135" s="1936">
        <v>0</v>
      </c>
      <c r="BF135" s="1936">
        <v>0</v>
      </c>
      <c r="BG135" s="1936">
        <v>1600000</v>
      </c>
      <c r="BH135" s="1936">
        <v>1600000</v>
      </c>
      <c r="BI135" s="1938">
        <v>16860399</v>
      </c>
      <c r="BJ135" s="1936">
        <v>1551402</v>
      </c>
      <c r="BK135" s="1936">
        <v>1321717</v>
      </c>
      <c r="BL135" s="1362">
        <v>1.1737777451602727</v>
      </c>
      <c r="BM135" s="1936">
        <v>1</v>
      </c>
      <c r="BN135" s="1936">
        <v>125000</v>
      </c>
      <c r="BO135" s="1363" t="s">
        <v>1208</v>
      </c>
      <c r="BP135" s="1938">
        <v>9694106</v>
      </c>
      <c r="BQ135" s="1938">
        <v>8600704</v>
      </c>
      <c r="BR135" s="1940">
        <v>1.127129360573274</v>
      </c>
      <c r="BS135" s="1409">
        <v>1</v>
      </c>
      <c r="BT135" s="1938">
        <v>10468664</v>
      </c>
      <c r="BU135" s="1938">
        <v>25172935</v>
      </c>
      <c r="BV135" s="1940">
        <v>0.41586982209265627</v>
      </c>
      <c r="BW135" s="1936">
        <v>315.3699340943686</v>
      </c>
      <c r="BX135" s="1936">
        <v>3914.124371950973</v>
      </c>
      <c r="BY135" s="1936">
        <v>4036.7351564079181</v>
      </c>
      <c r="BZ135" s="1936">
        <v>987814</v>
      </c>
      <c r="CA135" s="1936">
        <v>119601</v>
      </c>
      <c r="CB135" s="1936">
        <v>0</v>
      </c>
      <c r="CC135" s="1936">
        <v>503599</v>
      </c>
      <c r="CD135" s="1936">
        <v>7386167</v>
      </c>
      <c r="CE135" s="1936">
        <v>0</v>
      </c>
      <c r="CF135" s="1936">
        <v>0</v>
      </c>
      <c r="CG135" s="1936">
        <v>1695685</v>
      </c>
      <c r="CH135" s="1936">
        <v>796301</v>
      </c>
      <c r="CI135" s="1936">
        <v>176528</v>
      </c>
      <c r="CJ135" s="1936">
        <v>11665695</v>
      </c>
      <c r="CK135" s="1366">
        <v>8.4676823798324918E-2</v>
      </c>
      <c r="CL135" s="1366">
        <v>1.0252368161519738E-2</v>
      </c>
      <c r="CM135" s="1366">
        <v>0</v>
      </c>
      <c r="CN135" s="1366">
        <v>4.3169223951080499E-2</v>
      </c>
      <c r="CO135" s="1366">
        <v>0.63315276115139307</v>
      </c>
      <c r="CP135" s="1366">
        <v>0</v>
      </c>
      <c r="CQ135" s="1366">
        <v>0</v>
      </c>
      <c r="CR135" s="1366">
        <v>0.14535653469424667</v>
      </c>
      <c r="CS135" s="1366">
        <v>6.8260056516135564E-2</v>
      </c>
      <c r="CT135" s="1366">
        <v>1.5132231727299574E-2</v>
      </c>
      <c r="CU135" s="1366">
        <v>1</v>
      </c>
      <c r="CV135" s="1936">
        <v>5959662</v>
      </c>
      <c r="CW135" s="1936">
        <v>1071153</v>
      </c>
      <c r="CX135" s="1936">
        <v>0</v>
      </c>
      <c r="CY135" s="1936">
        <v>3932323</v>
      </c>
      <c r="CZ135" s="1936">
        <v>269765</v>
      </c>
      <c r="DA135" s="1936">
        <v>417065</v>
      </c>
      <c r="DB135" s="1936">
        <v>11649968</v>
      </c>
      <c r="DC135" s="1366">
        <v>0.51156037510145946</v>
      </c>
      <c r="DD135" s="1366">
        <v>9.194471607132311E-2</v>
      </c>
      <c r="DE135" s="1366">
        <v>0</v>
      </c>
      <c r="DF135" s="1366">
        <v>0.3375393820824229</v>
      </c>
      <c r="DG135" s="1366">
        <v>2.3155857595488674E-2</v>
      </c>
      <c r="DH135" s="1366">
        <v>3.5799669149305817E-2</v>
      </c>
      <c r="DI135" s="1366">
        <v>1</v>
      </c>
      <c r="DJ135" s="1936">
        <v>15727</v>
      </c>
      <c r="DK135" s="1936">
        <v>2492.2146886199571</v>
      </c>
      <c r="DL135" s="1936">
        <v>301.74847590096459</v>
      </c>
      <c r="DM135" s="1936">
        <v>0</v>
      </c>
      <c r="DN135" s="1936">
        <v>1270.5598675199194</v>
      </c>
      <c r="DO135" s="1936">
        <v>18635</v>
      </c>
      <c r="DP135" s="1936">
        <v>0</v>
      </c>
      <c r="DQ135" s="1936">
        <v>0</v>
      </c>
      <c r="DR135" s="1936">
        <v>4278.1445335584749</v>
      </c>
      <c r="DS135" s="1936">
        <v>2009.0351511142385</v>
      </c>
      <c r="DT135" s="1936">
        <v>445.37298980648558</v>
      </c>
      <c r="DU135" s="1936">
        <v>29432.075706520041</v>
      </c>
      <c r="DV135" s="1936">
        <v>15035.985697317703</v>
      </c>
      <c r="DW135" s="1936">
        <v>2702.4756081198816</v>
      </c>
      <c r="DX135" s="1936">
        <v>0</v>
      </c>
      <c r="DY135" s="1936">
        <v>9921.0915627821578</v>
      </c>
      <c r="DZ135" s="1936">
        <v>680.60616216773872</v>
      </c>
      <c r="EA135" s="1936">
        <v>1052.2380925045427</v>
      </c>
      <c r="EB135" s="1936">
        <v>29392.397122892024</v>
      </c>
      <c r="EC135" s="1936">
        <v>39.67858362801708</v>
      </c>
      <c r="ED135" s="1941">
        <v>165</v>
      </c>
      <c r="EE135" s="1936">
        <v>0</v>
      </c>
      <c r="EF135" s="1936">
        <v>0</v>
      </c>
      <c r="EG135" s="1938">
        <v>0</v>
      </c>
      <c r="EH135" s="1938">
        <v>1</v>
      </c>
      <c r="EI135" s="1368">
        <v>0.04</v>
      </c>
      <c r="EJ135" s="1936">
        <v>2.4021812978185393</v>
      </c>
      <c r="EK135" s="1936">
        <v>0</v>
      </c>
      <c r="EL135" s="1936">
        <v>0</v>
      </c>
      <c r="EM135" s="1936">
        <v>0</v>
      </c>
      <c r="EN135" s="1362">
        <v>0</v>
      </c>
      <c r="EO135" s="1936">
        <v>0</v>
      </c>
      <c r="EP135" s="1936">
        <v>0</v>
      </c>
      <c r="EQ135" s="1936">
        <v>0</v>
      </c>
      <c r="ER135" s="1938">
        <v>1</v>
      </c>
      <c r="ES135" s="1936">
        <v>6287.1796846727138</v>
      </c>
      <c r="ET135" s="1936">
        <v>-1434.3882408832619</v>
      </c>
      <c r="EU135" s="1938">
        <v>3</v>
      </c>
      <c r="EV135" s="1936">
        <v>64000</v>
      </c>
      <c r="EW135" s="1936">
        <v>10066</v>
      </c>
      <c r="EX135" s="1938">
        <v>1</v>
      </c>
      <c r="EY135" s="1936">
        <v>1695685</v>
      </c>
      <c r="EZ135" s="1936">
        <v>788374</v>
      </c>
      <c r="FA135" s="1936">
        <v>907311</v>
      </c>
      <c r="FB135" s="1936">
        <v>796301</v>
      </c>
      <c r="FC135" s="1936">
        <v>282779</v>
      </c>
      <c r="FD135" s="1936">
        <v>513522</v>
      </c>
      <c r="FE135" s="1936">
        <v>2491986</v>
      </c>
      <c r="FF135" s="1936">
        <v>1071153</v>
      </c>
      <c r="FG135" s="1936">
        <v>1420833</v>
      </c>
      <c r="FH135" s="1366">
        <v>1</v>
      </c>
      <c r="FI135" s="1366">
        <v>0.46492951226200618</v>
      </c>
      <c r="FJ135" s="1366">
        <v>0.53507048773799382</v>
      </c>
      <c r="FK135" s="1366">
        <v>1</v>
      </c>
      <c r="FL135" s="1366">
        <v>0.35511571629321076</v>
      </c>
      <c r="FM135" s="1366">
        <v>0.6448842837067893</v>
      </c>
      <c r="FN135" s="1366">
        <v>1</v>
      </c>
      <c r="FO135" s="1366">
        <v>0.4298390921939369</v>
      </c>
      <c r="FP135" s="1366">
        <v>0.5701609078060631</v>
      </c>
      <c r="FQ135" s="1936">
        <v>1212973</v>
      </c>
      <c r="FR135" s="1936">
        <v>0</v>
      </c>
      <c r="FS135" s="1936">
        <v>310015</v>
      </c>
      <c r="FT135" s="1936">
        <v>0</v>
      </c>
      <c r="FU135" s="1936">
        <v>0</v>
      </c>
      <c r="FV135" s="1936">
        <v>0</v>
      </c>
      <c r="FW135" s="1936">
        <v>466379</v>
      </c>
      <c r="FX135" s="1936">
        <v>1989367</v>
      </c>
      <c r="FY135" s="1936">
        <v>-568534</v>
      </c>
      <c r="FZ135" s="1366">
        <v>0.486749524275016</v>
      </c>
      <c r="GA135" s="1366">
        <v>0</v>
      </c>
      <c r="GB135" s="1366">
        <v>0.12440479200123918</v>
      </c>
      <c r="GC135" s="1366">
        <v>0</v>
      </c>
      <c r="GD135" s="1366">
        <v>0</v>
      </c>
      <c r="GE135" s="1366">
        <v>0</v>
      </c>
      <c r="GF135" s="1366">
        <v>0.18715153295403747</v>
      </c>
      <c r="GG135" s="1366">
        <v>0.79830584923029257</v>
      </c>
      <c r="GH135" s="1366">
        <v>-0.2281449414242295</v>
      </c>
      <c r="GI135" s="1942">
        <v>2.1294523050956862</v>
      </c>
      <c r="GJ135" s="1943">
        <v>1</v>
      </c>
      <c r="GK135" s="1371">
        <v>0.04</v>
      </c>
      <c r="GL135" s="1943">
        <v>1</v>
      </c>
      <c r="GM135" s="1371">
        <v>0.1</v>
      </c>
      <c r="GN135" s="1943">
        <v>18</v>
      </c>
      <c r="GO135" s="1985">
        <f>IF(GN135=0,0,VLOOKUP(A135,'Area (&amp;golfacre for lookup)'!$G$2:$H$133,2,FALSE))</f>
        <v>110</v>
      </c>
      <c r="GP135" s="1943">
        <v>22991</v>
      </c>
      <c r="GQ135" s="1943">
        <v>887522</v>
      </c>
      <c r="GR135" s="1943">
        <v>137837</v>
      </c>
      <c r="GS135" s="1943">
        <v>505165</v>
      </c>
      <c r="GT135" s="1943">
        <v>147713</v>
      </c>
      <c r="GU135" s="1943">
        <v>0</v>
      </c>
      <c r="GV135" s="1943">
        <v>116838</v>
      </c>
      <c r="GW135" s="1943">
        <v>1795075</v>
      </c>
      <c r="GX135" s="1943">
        <v>99726.388888888891</v>
      </c>
      <c r="GY135" s="1985">
        <f t="shared" si="1319"/>
        <v>16318.863636363636</v>
      </c>
      <c r="GZ135" s="1366">
        <v>0.49442056738576384</v>
      </c>
      <c r="HA135" s="1366">
        <v>7.678620670445524E-2</v>
      </c>
      <c r="HB135" s="1366">
        <v>0.28141721098004263</v>
      </c>
      <c r="HC135" s="1366">
        <v>8.2287926688299928E-2</v>
      </c>
      <c r="HD135" s="1366">
        <v>0</v>
      </c>
      <c r="HE135" s="1366">
        <v>6.5088088241438385E-2</v>
      </c>
      <c r="HF135" s="1366">
        <v>1</v>
      </c>
      <c r="HG135" s="1936">
        <v>0</v>
      </c>
      <c r="HH135" s="1988">
        <f>IF(HG135=0,0,VLOOKUP(A135,'Area (&amp;golfacre for lookup)'!$G$2:$H$134,2,FALSE))</f>
        <v>0</v>
      </c>
      <c r="HI135" s="1936">
        <v>0</v>
      </c>
      <c r="HJ135" s="1936">
        <v>0</v>
      </c>
      <c r="HK135" s="1936">
        <v>0</v>
      </c>
      <c r="HL135" s="1936">
        <v>0</v>
      </c>
      <c r="HM135" s="1936">
        <v>0</v>
      </c>
      <c r="HN135" s="1936">
        <v>0</v>
      </c>
      <c r="HO135" s="1936">
        <v>0</v>
      </c>
      <c r="HP135" s="1936">
        <v>0</v>
      </c>
      <c r="HQ135" s="1936">
        <v>0</v>
      </c>
      <c r="HR135" s="1988">
        <f t="shared" si="1320"/>
        <v>0</v>
      </c>
      <c r="HS135" s="1936">
        <v>0</v>
      </c>
      <c r="HT135" s="1936">
        <v>0</v>
      </c>
      <c r="HU135" s="1936">
        <v>0</v>
      </c>
      <c r="HV135" s="1936">
        <v>0</v>
      </c>
      <c r="HW135" s="1936">
        <v>0</v>
      </c>
      <c r="HX135" s="1936">
        <v>0</v>
      </c>
      <c r="HY135" s="1936">
        <v>0</v>
      </c>
      <c r="HZ135" s="51"/>
      <c r="IA135" s="59">
        <f t="shared" si="1136"/>
        <v>0</v>
      </c>
      <c r="IB135" s="59"/>
      <c r="IC135" s="815">
        <f t="shared" si="1137"/>
        <v>1</v>
      </c>
      <c r="ID135" s="815"/>
      <c r="IE135" s="284">
        <f t="shared" si="1138"/>
        <v>0</v>
      </c>
      <c r="IF135" s="284"/>
      <c r="IG135" s="284">
        <f t="shared" si="1139"/>
        <v>42538.103371478064</v>
      </c>
      <c r="IH135" s="284"/>
      <c r="II135" s="1288">
        <f t="shared" si="1140"/>
        <v>1.127129360573274</v>
      </c>
      <c r="IJ135" s="1288">
        <f t="shared" si="1141"/>
        <v>0</v>
      </c>
      <c r="IK135" s="284">
        <f t="shared" si="1142"/>
        <v>1</v>
      </c>
      <c r="IL135" s="284">
        <f t="shared" si="1143"/>
        <v>0</v>
      </c>
      <c r="IM135" s="284">
        <f t="shared" si="1144"/>
        <v>0</v>
      </c>
      <c r="IN135" s="284">
        <f t="shared" si="1145"/>
        <v>0</v>
      </c>
      <c r="IO135" s="753">
        <f t="shared" si="1146"/>
        <v>-1363.3908872901679</v>
      </c>
      <c r="IP135" s="113">
        <f t="shared" si="1147"/>
        <v>-1434.3882408832619</v>
      </c>
      <c r="IQ135" s="30">
        <f t="shared" si="1148"/>
        <v>-7.6972806057593879E-2</v>
      </c>
      <c r="IR135" s="438">
        <f t="shared" si="1149"/>
        <v>1695685</v>
      </c>
      <c r="IS135" s="438">
        <f t="shared" si="1150"/>
        <v>796301</v>
      </c>
      <c r="IT135" s="438">
        <f t="shared" si="1151"/>
        <v>1212973</v>
      </c>
      <c r="IU135" s="438">
        <f t="shared" si="1152"/>
        <v>310015</v>
      </c>
      <c r="IV135" s="438">
        <f t="shared" si="1153"/>
        <v>1071153</v>
      </c>
      <c r="IW135" s="438">
        <f t="shared" si="1154"/>
        <v>466379</v>
      </c>
      <c r="IX135" s="285">
        <f t="shared" si="1155"/>
        <v>0.68045526740519413</v>
      </c>
      <c r="IY135" s="285">
        <f t="shared" si="1156"/>
        <v>0.31954473259480592</v>
      </c>
      <c r="IZ135" s="285">
        <f t="shared" si="1157"/>
        <v>0.486749524275016</v>
      </c>
      <c r="JA135" s="285">
        <f t="shared" si="1158"/>
        <v>0.12440479200123918</v>
      </c>
      <c r="JB135" s="285">
        <f t="shared" si="1159"/>
        <v>0.4298390921939369</v>
      </c>
      <c r="JC135" s="285">
        <f t="shared" si="1160"/>
        <v>0.18715153295403747</v>
      </c>
      <c r="JD135" s="60">
        <f t="shared" si="1161"/>
        <v>7386167</v>
      </c>
      <c r="JE135" s="60">
        <f t="shared" si="1162"/>
        <v>1611014</v>
      </c>
      <c r="JF135" s="60">
        <f t="shared" si="1163"/>
        <v>0</v>
      </c>
      <c r="JG135" s="60">
        <f t="shared" si="1164"/>
        <v>686830</v>
      </c>
      <c r="JH135" s="284">
        <f t="shared" si="1165"/>
        <v>1</v>
      </c>
      <c r="JI135" s="284">
        <f t="shared" si="1166"/>
        <v>0</v>
      </c>
      <c r="JJ135" s="560">
        <f t="shared" si="1167"/>
        <v>0</v>
      </c>
      <c r="JK135" s="561">
        <f t="shared" si="1168"/>
        <v>0.5108707196613661</v>
      </c>
      <c r="JL135" s="561">
        <f t="shared" si="1169"/>
        <v>9.1820761643434015E-2</v>
      </c>
      <c r="JM135" s="561">
        <f t="shared" si="1170"/>
        <v>0</v>
      </c>
      <c r="JN135" s="561">
        <f t="shared" si="1171"/>
        <v>0.33708433145217664</v>
      </c>
      <c r="JO135" s="561">
        <f t="shared" si="1172"/>
        <v>2.3124640237894099E-2</v>
      </c>
      <c r="JP135" s="561">
        <f t="shared" si="1173"/>
        <v>3.575140615282673E-2</v>
      </c>
      <c r="JQ135" s="561">
        <f t="shared" si="1174"/>
        <v>0.9986518591476975</v>
      </c>
      <c r="JR135" s="61">
        <f t="shared" si="1175"/>
        <v>49306.777777777781</v>
      </c>
      <c r="JS135" s="61">
        <f t="shared" si="1176"/>
        <v>7657.6111111111113</v>
      </c>
      <c r="JT135" s="61">
        <f t="shared" si="1177"/>
        <v>28064.722222222223</v>
      </c>
      <c r="JU135" s="61">
        <f t="shared" si="1178"/>
        <v>8206.2777777777774</v>
      </c>
      <c r="JV135" s="61">
        <f t="shared" si="1179"/>
        <v>0</v>
      </c>
      <c r="JW135" s="61">
        <f t="shared" si="1180"/>
        <v>6491</v>
      </c>
      <c r="JX135" s="61">
        <f t="shared" si="1181"/>
        <v>78.077291113914143</v>
      </c>
      <c r="JY135" s="394">
        <f t="shared" si="1182"/>
        <v>0.15408411422245966</v>
      </c>
      <c r="JZ135" s="61">
        <f t="shared" si="1183"/>
        <v>0</v>
      </c>
      <c r="KA135" s="61">
        <f t="shared" si="1184"/>
        <v>0</v>
      </c>
      <c r="KB135" s="61">
        <f t="shared" si="1185"/>
        <v>0</v>
      </c>
      <c r="KC135" s="61">
        <f t="shared" si="1186"/>
        <v>0</v>
      </c>
      <c r="KD135" s="61">
        <f t="shared" si="1187"/>
        <v>0</v>
      </c>
      <c r="KE135" s="61">
        <f t="shared" si="1188"/>
        <v>0</v>
      </c>
      <c r="KF135" s="61">
        <f t="shared" si="1189"/>
        <v>0</v>
      </c>
      <c r="KG135" s="61">
        <f t="shared" si="1190"/>
        <v>0</v>
      </c>
      <c r="KH135" s="61">
        <f t="shared" si="1191"/>
        <v>0</v>
      </c>
      <c r="KI135" s="394">
        <f t="shared" si="1192"/>
        <v>0</v>
      </c>
      <c r="KJ135" s="438">
        <f t="shared" si="1193"/>
        <v>18</v>
      </c>
      <c r="KK135" s="438">
        <f t="shared" si="1194"/>
        <v>22991</v>
      </c>
      <c r="KL135" s="438">
        <f t="shared" si="1195"/>
        <v>110</v>
      </c>
      <c r="KM135" s="438">
        <f t="shared" si="1196"/>
        <v>99726.388888888891</v>
      </c>
      <c r="KN135" s="438">
        <f t="shared" si="1197"/>
        <v>78.077291113914143</v>
      </c>
      <c r="KO135" s="438">
        <f t="shared" si="1198"/>
        <v>16318.863636363636</v>
      </c>
      <c r="KP135" s="438">
        <f t="shared" si="1199"/>
        <v>887522</v>
      </c>
      <c r="KQ135" s="438">
        <f t="shared" si="1200"/>
        <v>137837</v>
      </c>
      <c r="KR135" s="438">
        <f t="shared" si="1201"/>
        <v>505165</v>
      </c>
      <c r="KS135" s="438">
        <f t="shared" si="1202"/>
        <v>147713</v>
      </c>
      <c r="KT135" s="438">
        <f t="shared" si="1203"/>
        <v>0</v>
      </c>
      <c r="KU135" s="438">
        <f t="shared" si="1204"/>
        <v>116838</v>
      </c>
      <c r="KV135" s="420">
        <f t="shared" si="1205"/>
        <v>0.15408411422245966</v>
      </c>
      <c r="KW135" s="420">
        <f t="shared" si="1206"/>
        <v>-0.22721351954268026</v>
      </c>
      <c r="KX135" s="108"/>
      <c r="KY135" s="282">
        <f t="shared" si="1207"/>
        <v>0</v>
      </c>
      <c r="KZ135" s="282"/>
      <c r="LA135" s="282">
        <f t="shared" si="1208"/>
        <v>0</v>
      </c>
      <c r="LB135" s="282"/>
      <c r="LC135" s="286">
        <f t="shared" si="951"/>
        <v>0</v>
      </c>
      <c r="LD135" s="286"/>
      <c r="LE135" s="282">
        <f t="shared" si="1209"/>
        <v>0</v>
      </c>
      <c r="LF135" s="282"/>
      <c r="LG135" s="282">
        <f t="shared" si="1210"/>
        <v>0</v>
      </c>
      <c r="LH135" s="282">
        <f t="shared" si="1211"/>
        <v>0</v>
      </c>
      <c r="LI135" s="282">
        <f t="shared" si="1212"/>
        <v>0</v>
      </c>
      <c r="LJ135" s="282">
        <f t="shared" si="1213"/>
        <v>0</v>
      </c>
      <c r="LK135" s="282"/>
      <c r="LL135" s="282">
        <f t="shared" si="1214"/>
        <v>0</v>
      </c>
      <c r="LM135" s="282">
        <f t="shared" si="1215"/>
        <v>0</v>
      </c>
      <c r="LN135" s="282">
        <f t="shared" si="1216"/>
        <v>0</v>
      </c>
      <c r="LO135" s="282">
        <f t="shared" si="1217"/>
        <v>0</v>
      </c>
      <c r="LP135" s="286">
        <f t="shared" si="1218"/>
        <v>0</v>
      </c>
      <c r="LQ135" s="282">
        <f t="shared" si="1219"/>
        <v>0</v>
      </c>
      <c r="LR135" s="282">
        <f t="shared" si="1220"/>
        <v>0</v>
      </c>
      <c r="LS135" s="282">
        <f t="shared" si="1221"/>
        <v>0</v>
      </c>
      <c r="LT135" s="286">
        <f t="shared" si="1222"/>
        <v>0</v>
      </c>
      <c r="LU135" s="286">
        <f t="shared" si="1223"/>
        <v>0</v>
      </c>
      <c r="LV135" s="286">
        <f t="shared" si="1224"/>
        <v>0</v>
      </c>
      <c r="LW135" s="286">
        <f t="shared" si="1225"/>
        <v>0</v>
      </c>
      <c r="LX135" s="286">
        <f t="shared" si="1226"/>
        <v>0</v>
      </c>
      <c r="LY135" s="286">
        <f t="shared" si="1227"/>
        <v>0</v>
      </c>
      <c r="LZ135" s="286">
        <f t="shared" si="1228"/>
        <v>0</v>
      </c>
      <c r="MA135" s="286">
        <f t="shared" si="1229"/>
        <v>0</v>
      </c>
      <c r="MB135" s="286">
        <f t="shared" si="1230"/>
        <v>0</v>
      </c>
      <c r="MC135" s="286">
        <f t="shared" si="1231"/>
        <v>0</v>
      </c>
      <c r="MD135" s="286">
        <f t="shared" si="1232"/>
        <v>0</v>
      </c>
      <c r="ME135" s="286">
        <f t="shared" si="1233"/>
        <v>0</v>
      </c>
      <c r="MF135" s="286">
        <f t="shared" si="1234"/>
        <v>0</v>
      </c>
      <c r="MG135" s="286">
        <f t="shared" si="1235"/>
        <v>0</v>
      </c>
      <c r="MH135" s="286">
        <f t="shared" si="1236"/>
        <v>0</v>
      </c>
      <c r="MI135" s="286">
        <f t="shared" si="1237"/>
        <v>0</v>
      </c>
      <c r="MJ135" s="286">
        <f t="shared" si="1238"/>
        <v>0</v>
      </c>
      <c r="MK135" s="286">
        <f t="shared" si="1239"/>
        <v>0</v>
      </c>
      <c r="ML135" s="282">
        <f t="shared" si="1240"/>
        <v>0</v>
      </c>
      <c r="MM135" s="1232">
        <f t="shared" si="1241"/>
        <v>0</v>
      </c>
      <c r="MN135" s="1232">
        <f t="shared" si="1242"/>
        <v>0</v>
      </c>
      <c r="MO135" s="1232">
        <f t="shared" si="1243"/>
        <v>0</v>
      </c>
      <c r="MP135" s="1232">
        <f t="shared" si="1244"/>
        <v>0</v>
      </c>
      <c r="MQ135" s="282">
        <f t="shared" si="1245"/>
        <v>0</v>
      </c>
      <c r="MR135" s="282">
        <f t="shared" si="1246"/>
        <v>0</v>
      </c>
      <c r="MS135" s="282">
        <f t="shared" si="1247"/>
        <v>0</v>
      </c>
      <c r="MT135" s="282">
        <f t="shared" si="1248"/>
        <v>0</v>
      </c>
      <c r="MU135" s="282">
        <f t="shared" si="1249"/>
        <v>0</v>
      </c>
      <c r="MV135" s="282">
        <f t="shared" si="1250"/>
        <v>0</v>
      </c>
      <c r="MW135" s="282">
        <f t="shared" si="1251"/>
        <v>0</v>
      </c>
      <c r="MX135" s="282">
        <f t="shared" si="1252"/>
        <v>0</v>
      </c>
      <c r="MY135" s="282">
        <f t="shared" si="1253"/>
        <v>0</v>
      </c>
      <c r="MZ135" s="282">
        <f t="shared" si="1254"/>
        <v>0</v>
      </c>
      <c r="NA135" s="282">
        <f t="shared" si="1255"/>
        <v>0</v>
      </c>
      <c r="NB135" s="282">
        <f t="shared" si="1256"/>
        <v>0</v>
      </c>
      <c r="NC135" s="282">
        <f t="shared" si="1257"/>
        <v>0</v>
      </c>
      <c r="ND135" s="282">
        <f t="shared" si="1258"/>
        <v>0</v>
      </c>
      <c r="NE135" s="282">
        <f t="shared" si="1259"/>
        <v>0</v>
      </c>
      <c r="NF135" s="282">
        <f t="shared" si="1260"/>
        <v>0</v>
      </c>
      <c r="NG135" s="282">
        <f t="shared" si="1261"/>
        <v>0</v>
      </c>
      <c r="NH135" s="282">
        <f t="shared" si="1262"/>
        <v>0</v>
      </c>
      <c r="NI135" s="282">
        <f t="shared" si="1263"/>
        <v>0</v>
      </c>
      <c r="NJ135" s="282">
        <f t="shared" si="1264"/>
        <v>0</v>
      </c>
      <c r="NK135" s="282">
        <f t="shared" si="1265"/>
        <v>0</v>
      </c>
      <c r="NL135" s="282">
        <f t="shared" si="1266"/>
        <v>0</v>
      </c>
      <c r="NM135" s="1205">
        <f t="shared" si="1267"/>
        <v>0</v>
      </c>
      <c r="NN135" s="282">
        <f t="shared" si="1268"/>
        <v>0</v>
      </c>
      <c r="NO135" s="282">
        <f t="shared" si="1269"/>
        <v>0</v>
      </c>
      <c r="NP135" s="282">
        <f t="shared" si="1270"/>
        <v>0</v>
      </c>
      <c r="NQ135" s="282">
        <f t="shared" si="1271"/>
        <v>0</v>
      </c>
      <c r="NR135" s="282">
        <f t="shared" si="1272"/>
        <v>0</v>
      </c>
      <c r="NS135" s="282">
        <f t="shared" si="1273"/>
        <v>0</v>
      </c>
      <c r="NT135" s="282">
        <f t="shared" si="1274"/>
        <v>0</v>
      </c>
      <c r="NU135" s="282">
        <f t="shared" si="1275"/>
        <v>0</v>
      </c>
      <c r="NV135" s="286">
        <f t="shared" si="1276"/>
        <v>0</v>
      </c>
      <c r="NW135" s="286">
        <f t="shared" si="1277"/>
        <v>0</v>
      </c>
      <c r="NX135" s="286">
        <f t="shared" si="1278"/>
        <v>0</v>
      </c>
      <c r="NY135" s="286">
        <f t="shared" si="1279"/>
        <v>0</v>
      </c>
      <c r="NZ135" s="286">
        <f t="shared" si="1280"/>
        <v>0</v>
      </c>
      <c r="OA135" s="286">
        <f t="shared" si="1281"/>
        <v>0</v>
      </c>
      <c r="OB135" s="286">
        <f t="shared" si="1282"/>
        <v>0</v>
      </c>
      <c r="OC135" s="286">
        <f t="shared" si="1283"/>
        <v>0</v>
      </c>
      <c r="OD135" s="286">
        <f t="shared" si="1284"/>
        <v>0</v>
      </c>
      <c r="OE135" s="282">
        <f t="shared" si="1285"/>
        <v>0</v>
      </c>
      <c r="OF135" s="282">
        <f t="shared" si="1286"/>
        <v>0</v>
      </c>
      <c r="OG135" s="286">
        <f t="shared" si="1287"/>
        <v>0</v>
      </c>
      <c r="OH135" s="286">
        <f t="shared" si="1288"/>
        <v>0</v>
      </c>
      <c r="OI135" s="286">
        <f t="shared" si="1289"/>
        <v>0</v>
      </c>
      <c r="OJ135" s="286">
        <f t="shared" si="1290"/>
        <v>0</v>
      </c>
      <c r="OK135" s="286">
        <f t="shared" si="1291"/>
        <v>0</v>
      </c>
      <c r="OL135" s="286">
        <f t="shared" si="1292"/>
        <v>0</v>
      </c>
      <c r="OM135" s="286">
        <f t="shared" si="1293"/>
        <v>0</v>
      </c>
      <c r="ON135" s="286">
        <f t="shared" si="1294"/>
        <v>0</v>
      </c>
      <c r="OO135" s="286">
        <f t="shared" si="1295"/>
        <v>0</v>
      </c>
      <c r="OP135" s="434">
        <f t="shared" si="1296"/>
        <v>0</v>
      </c>
      <c r="OQ135" s="434">
        <f t="shared" si="1297"/>
        <v>0</v>
      </c>
      <c r="OR135" s="282">
        <f t="shared" si="1298"/>
        <v>0</v>
      </c>
      <c r="OS135" s="282">
        <f t="shared" si="1299"/>
        <v>0</v>
      </c>
      <c r="OT135" s="282">
        <f t="shared" si="1300"/>
        <v>0</v>
      </c>
      <c r="OU135" s="282">
        <f t="shared" si="1301"/>
        <v>0</v>
      </c>
      <c r="OV135" s="282">
        <f t="shared" si="1302"/>
        <v>0</v>
      </c>
      <c r="OW135" s="286">
        <f t="shared" si="1303"/>
        <v>0</v>
      </c>
      <c r="OX135" s="286">
        <f t="shared" si="1304"/>
        <v>0</v>
      </c>
      <c r="OY135" s="286">
        <f t="shared" si="1305"/>
        <v>0</v>
      </c>
      <c r="OZ135" s="286">
        <f t="shared" si="1306"/>
        <v>0</v>
      </c>
      <c r="PA135" s="286">
        <f t="shared" si="1307"/>
        <v>0</v>
      </c>
      <c r="PB135" s="286">
        <f t="shared" si="1308"/>
        <v>0</v>
      </c>
      <c r="PC135" s="286">
        <f t="shared" si="1309"/>
        <v>0</v>
      </c>
      <c r="PD135" s="282">
        <f t="shared" si="1310"/>
        <v>0</v>
      </c>
      <c r="PE135" s="282">
        <f t="shared" si="1311"/>
        <v>0</v>
      </c>
      <c r="PF135" s="286">
        <f t="shared" si="1312"/>
        <v>0</v>
      </c>
      <c r="PG135" s="286">
        <f t="shared" si="1313"/>
        <v>0</v>
      </c>
      <c r="PH135" s="286">
        <f t="shared" si="1314"/>
        <v>0</v>
      </c>
      <c r="PI135" s="286">
        <f t="shared" si="1315"/>
        <v>0</v>
      </c>
      <c r="PJ135" s="286">
        <f t="shared" si="1316"/>
        <v>0</v>
      </c>
      <c r="PK135" s="286">
        <f t="shared" si="1317"/>
        <v>0</v>
      </c>
      <c r="PL135" s="286">
        <f t="shared" si="1318"/>
        <v>0</v>
      </c>
      <c r="PM135" s="562">
        <v>79</v>
      </c>
    </row>
    <row r="136" spans="1:429" s="289" customFormat="1" ht="15.75" customHeight="1">
      <c r="A136" s="1640" t="s">
        <v>1307</v>
      </c>
      <c r="B136" s="1040" t="str">
        <f>VLOOKUP(A136,'Area (&amp;golfacre for lookup)'!$A$2:$B$162,2,FALSE)</f>
        <v>North&amp;Central</v>
      </c>
      <c r="C136" s="1936"/>
      <c r="D136" s="1937">
        <v>44834</v>
      </c>
      <c r="E136" s="402"/>
      <c r="F136" s="1936">
        <v>1</v>
      </c>
      <c r="G136" s="1936">
        <v>0</v>
      </c>
      <c r="H136" s="1936">
        <v>595</v>
      </c>
      <c r="I136" s="1936">
        <v>1045</v>
      </c>
      <c r="J136" s="1936">
        <v>1640</v>
      </c>
      <c r="K136" s="1938">
        <v>1255.3806818181818</v>
      </c>
      <c r="L136" s="1939" t="s">
        <v>1208</v>
      </c>
      <c r="M136" s="1939" t="s">
        <v>1208</v>
      </c>
      <c r="N136" s="1939" t="s">
        <v>1208</v>
      </c>
      <c r="O136" s="1939" t="s">
        <v>1208</v>
      </c>
      <c r="P136" s="1939" t="s">
        <v>1208</v>
      </c>
      <c r="Q136" s="1936">
        <v>0</v>
      </c>
      <c r="R136" s="1936">
        <v>65000</v>
      </c>
      <c r="S136" s="1936">
        <v>65000</v>
      </c>
      <c r="T136" s="1939" t="s">
        <v>1208</v>
      </c>
      <c r="U136" s="1939" t="s">
        <v>1208</v>
      </c>
      <c r="V136" s="1939" t="s">
        <v>1208</v>
      </c>
      <c r="W136" s="1936">
        <v>6096</v>
      </c>
      <c r="X136" s="1936">
        <v>5808</v>
      </c>
      <c r="Y136" s="1939" t="s">
        <v>1208</v>
      </c>
      <c r="Z136" s="1939" t="s">
        <v>1208</v>
      </c>
      <c r="AA136" s="1936">
        <v>288</v>
      </c>
      <c r="AB136" s="1362">
        <v>4.9586776859504134E-2</v>
      </c>
      <c r="AC136" s="1939" t="s">
        <v>1208</v>
      </c>
      <c r="AD136" s="1363" t="s">
        <v>1208</v>
      </c>
      <c r="AE136" s="1936">
        <v>1</v>
      </c>
      <c r="AF136" s="1936">
        <v>540</v>
      </c>
      <c r="AG136" s="1939" t="s">
        <v>1208</v>
      </c>
      <c r="AH136" s="1936">
        <v>0</v>
      </c>
      <c r="AI136" s="1936">
        <v>0</v>
      </c>
      <c r="AJ136" s="1939" t="s">
        <v>1208</v>
      </c>
      <c r="AK136" s="1938">
        <v>0</v>
      </c>
      <c r="AL136" s="1938">
        <v>0</v>
      </c>
      <c r="AM136" s="1936">
        <v>6348</v>
      </c>
      <c r="AN136" s="1939" t="s">
        <v>1208</v>
      </c>
      <c r="AO136" s="1936">
        <v>0</v>
      </c>
      <c r="AP136" s="1936">
        <v>480</v>
      </c>
      <c r="AQ136" s="1936">
        <v>6828</v>
      </c>
      <c r="AR136" s="1939" t="s">
        <v>1208</v>
      </c>
      <c r="AS136" s="1363" t="s">
        <v>1208</v>
      </c>
      <c r="AT136" s="1363" t="s">
        <v>1208</v>
      </c>
      <c r="AU136" s="1363" t="s">
        <v>1208</v>
      </c>
      <c r="AV136" s="1363" t="s">
        <v>1208</v>
      </c>
      <c r="AW136" s="1363" t="s">
        <v>1291</v>
      </c>
      <c r="AX136" s="1938">
        <v>1</v>
      </c>
      <c r="AY136" s="1938">
        <v>0</v>
      </c>
      <c r="AZ136" s="1938">
        <v>0</v>
      </c>
      <c r="BA136" s="1938">
        <v>0</v>
      </c>
      <c r="BB136" s="1938">
        <v>0</v>
      </c>
      <c r="BC136" s="1938">
        <v>0</v>
      </c>
      <c r="BD136" s="1938">
        <v>1</v>
      </c>
      <c r="BE136" s="1936">
        <v>1</v>
      </c>
      <c r="BF136" s="1936">
        <v>1800000</v>
      </c>
      <c r="BG136" s="1936">
        <v>902000</v>
      </c>
      <c r="BH136" s="1936">
        <v>2702000</v>
      </c>
      <c r="BI136" s="1938">
        <v>15452205</v>
      </c>
      <c r="BJ136" s="1936">
        <v>698138</v>
      </c>
      <c r="BK136" s="1936">
        <v>1613530</v>
      </c>
      <c r="BL136" s="1362">
        <v>0.43267742155398414</v>
      </c>
      <c r="BM136" s="1936">
        <v>1</v>
      </c>
      <c r="BN136" s="1936">
        <v>6774</v>
      </c>
      <c r="BO136" s="1363" t="s">
        <v>1208</v>
      </c>
      <c r="BP136" s="1938">
        <v>2338851</v>
      </c>
      <c r="BQ136" s="1938">
        <v>603247</v>
      </c>
      <c r="BR136" s="1940">
        <v>3.8771034087198113</v>
      </c>
      <c r="BS136" s="1409">
        <v>1</v>
      </c>
      <c r="BT136" s="1938">
        <v>1281210</v>
      </c>
      <c r="BU136" s="1938">
        <v>25692931</v>
      </c>
      <c r="BV136" s="1940">
        <v>4.9866245310821095E-2</v>
      </c>
      <c r="BW136" s="1936">
        <v>5.3959727898545804</v>
      </c>
      <c r="BX136" s="1936">
        <v>556.11657094235272</v>
      </c>
      <c r="BY136" s="1936">
        <v>2152.3351754040564</v>
      </c>
      <c r="BZ136" s="1936">
        <v>1369693</v>
      </c>
      <c r="CA136" s="1936">
        <v>77658</v>
      </c>
      <c r="CB136" s="1936">
        <v>952292</v>
      </c>
      <c r="CC136" s="1936">
        <v>282249</v>
      </c>
      <c r="CD136" s="1936">
        <v>7291251</v>
      </c>
      <c r="CE136" s="1936">
        <v>0</v>
      </c>
      <c r="CF136" s="1936">
        <v>0</v>
      </c>
      <c r="CG136" s="1936">
        <v>3659532</v>
      </c>
      <c r="CH136" s="1936">
        <v>2338692</v>
      </c>
      <c r="CI136" s="1936">
        <v>1551344</v>
      </c>
      <c r="CJ136" s="1936">
        <v>17522711</v>
      </c>
      <c r="CK136" s="1366">
        <v>7.8166728881164563E-2</v>
      </c>
      <c r="CL136" s="1366">
        <v>4.4318484736751065E-3</v>
      </c>
      <c r="CM136" s="1366">
        <v>5.4346156824705949E-2</v>
      </c>
      <c r="CN136" s="1366">
        <v>1.6107610289298271E-2</v>
      </c>
      <c r="CO136" s="1366">
        <v>0.41610290782059922</v>
      </c>
      <c r="CP136" s="1366">
        <v>0</v>
      </c>
      <c r="CQ136" s="1366">
        <v>0</v>
      </c>
      <c r="CR136" s="1366">
        <v>0.20884508110645664</v>
      </c>
      <c r="CS136" s="1366">
        <v>0.13346633406212086</v>
      </c>
      <c r="CT136" s="1366">
        <v>8.8533332541979384E-2</v>
      </c>
      <c r="CU136" s="1366">
        <v>1</v>
      </c>
      <c r="CV136" s="1936">
        <v>8850797</v>
      </c>
      <c r="CW136" s="1936">
        <v>2482517</v>
      </c>
      <c r="CX136" s="1936">
        <v>696532</v>
      </c>
      <c r="CY136" s="1936">
        <v>4913238</v>
      </c>
      <c r="CZ136" s="1936">
        <v>165964</v>
      </c>
      <c r="DA136" s="1936">
        <v>393935</v>
      </c>
      <c r="DB136" s="1936">
        <v>17502983</v>
      </c>
      <c r="DC136" s="1366">
        <v>0.50567363288874811</v>
      </c>
      <c r="DD136" s="1366">
        <v>0.14183393767793753</v>
      </c>
      <c r="DE136" s="1366">
        <v>3.9795045221720206E-2</v>
      </c>
      <c r="DF136" s="1366">
        <v>0.28070860835550143</v>
      </c>
      <c r="DG136" s="1366">
        <v>9.4820408612634778E-3</v>
      </c>
      <c r="DH136" s="1366">
        <v>2.2506734994829167E-2</v>
      </c>
      <c r="DI136" s="1366">
        <v>1</v>
      </c>
      <c r="DJ136" s="1936">
        <v>19728</v>
      </c>
      <c r="DK136" s="1936">
        <v>1091.057891711587</v>
      </c>
      <c r="DL136" s="1936">
        <v>61.860120300343524</v>
      </c>
      <c r="DM136" s="1936">
        <v>758.56830823681696</v>
      </c>
      <c r="DN136" s="1936">
        <v>224.83140300615079</v>
      </c>
      <c r="DO136" s="1936">
        <v>5808</v>
      </c>
      <c r="DP136" s="1936">
        <v>0</v>
      </c>
      <c r="DQ136" s="1936">
        <v>0</v>
      </c>
      <c r="DR136" s="1936">
        <v>2915.0775163274452</v>
      </c>
      <c r="DS136" s="1936">
        <v>1862.9345137069072</v>
      </c>
      <c r="DT136" s="1936">
        <v>1235.7558328467915</v>
      </c>
      <c r="DU136" s="1936">
        <v>13958.085586136041</v>
      </c>
      <c r="DV136" s="1936">
        <v>7050.2893092008499</v>
      </c>
      <c r="DW136" s="1936">
        <v>1977.5013555287017</v>
      </c>
      <c r="DX136" s="1936">
        <v>554.83727771818587</v>
      </c>
      <c r="DY136" s="1936">
        <v>3913.7435131502125</v>
      </c>
      <c r="DZ136" s="1936">
        <v>132.20212992256063</v>
      </c>
      <c r="EA136" s="1936">
        <v>313.79724549326312</v>
      </c>
      <c r="EB136" s="1936">
        <v>13942.370831013774</v>
      </c>
      <c r="EC136" s="1936">
        <v>15.714755122269143</v>
      </c>
      <c r="ED136" s="1941">
        <v>142</v>
      </c>
      <c r="EE136" s="1936">
        <v>0</v>
      </c>
      <c r="EF136" s="1936">
        <v>0</v>
      </c>
      <c r="EG136" s="1938">
        <v>0</v>
      </c>
      <c r="EH136" s="1938">
        <v>1</v>
      </c>
      <c r="EI136" s="1368">
        <v>0.22</v>
      </c>
      <c r="EJ136" s="1936">
        <v>8.8407090268886037</v>
      </c>
      <c r="EK136" s="1936">
        <v>0</v>
      </c>
      <c r="EL136" s="1936">
        <v>0</v>
      </c>
      <c r="EM136" s="1936">
        <v>0</v>
      </c>
      <c r="EN136" s="1362">
        <v>0</v>
      </c>
      <c r="EO136" s="1936">
        <v>1</v>
      </c>
      <c r="EP136" s="1936">
        <v>40</v>
      </c>
      <c r="EQ136" s="1936">
        <v>0</v>
      </c>
      <c r="ER136" s="1938">
        <v>0</v>
      </c>
      <c r="ES136" s="1936">
        <v>4778.0120300343524</v>
      </c>
      <c r="ET136" s="1936">
        <v>-1543.6689667657856</v>
      </c>
      <c r="EU136" s="1938">
        <v>3</v>
      </c>
      <c r="EV136" s="1936">
        <v>160863</v>
      </c>
      <c r="EW136" s="1936">
        <v>0</v>
      </c>
      <c r="EX136" s="1938">
        <v>2</v>
      </c>
      <c r="EY136" s="1936">
        <v>3659532</v>
      </c>
      <c r="EZ136" s="1936">
        <v>1734319</v>
      </c>
      <c r="FA136" s="1936">
        <v>1925213</v>
      </c>
      <c r="FB136" s="1936">
        <v>2338692</v>
      </c>
      <c r="FC136" s="1936">
        <v>748198</v>
      </c>
      <c r="FD136" s="1936">
        <v>1590494</v>
      </c>
      <c r="FE136" s="1936">
        <v>5998224</v>
      </c>
      <c r="FF136" s="1936">
        <v>2482517</v>
      </c>
      <c r="FG136" s="1936">
        <v>3515707</v>
      </c>
      <c r="FH136" s="1366">
        <v>1</v>
      </c>
      <c r="FI136" s="1366">
        <v>0.47391824965596696</v>
      </c>
      <c r="FJ136" s="1366">
        <v>0.52608175034403304</v>
      </c>
      <c r="FK136" s="1366">
        <v>1</v>
      </c>
      <c r="FL136" s="1366">
        <v>0.3199215629933313</v>
      </c>
      <c r="FM136" s="1366">
        <v>0.6800784370066687</v>
      </c>
      <c r="FN136" s="1366">
        <v>1</v>
      </c>
      <c r="FO136" s="1366">
        <v>0.41387534043410185</v>
      </c>
      <c r="FP136" s="1366">
        <v>0.58612465956589821</v>
      </c>
      <c r="FQ136" s="1936">
        <v>5160502</v>
      </c>
      <c r="FR136" s="1936">
        <v>-1199644.8</v>
      </c>
      <c r="FS136" s="1936">
        <v>678595</v>
      </c>
      <c r="FT136" s="1936">
        <v>80872</v>
      </c>
      <c r="FU136" s="1936">
        <v>0</v>
      </c>
      <c r="FV136" s="1936">
        <v>22966</v>
      </c>
      <c r="FW136" s="1936">
        <v>710309</v>
      </c>
      <c r="FX136" s="1936">
        <v>5453599.2000000002</v>
      </c>
      <c r="FY136" s="1936">
        <v>-1937892.2000000002</v>
      </c>
      <c r="FZ136" s="1366">
        <v>0.86033832681140288</v>
      </c>
      <c r="GA136" s="1366">
        <v>-0.2</v>
      </c>
      <c r="GB136" s="1366">
        <v>0.11313265393223061</v>
      </c>
      <c r="GC136" s="1366">
        <v>1.3482657533296522E-2</v>
      </c>
      <c r="GD136" s="1366">
        <v>0</v>
      </c>
      <c r="GE136" s="1366">
        <v>3.8287999914641399E-3</v>
      </c>
      <c r="GF136" s="1366">
        <v>0.11841988561947669</v>
      </c>
      <c r="GG136" s="1366">
        <v>0.90920232388787081</v>
      </c>
      <c r="GH136" s="1366">
        <v>-0.32307766432197266</v>
      </c>
      <c r="GI136" s="1942">
        <v>1.5647772344541309</v>
      </c>
      <c r="GJ136" s="1943">
        <v>1</v>
      </c>
      <c r="GK136" s="1371">
        <v>0.03</v>
      </c>
      <c r="GL136" s="1943">
        <v>1</v>
      </c>
      <c r="GM136" s="1371">
        <v>0.02</v>
      </c>
      <c r="GN136" s="1943">
        <v>18</v>
      </c>
      <c r="GO136" s="1985">
        <f>IF(GN136=0,0,VLOOKUP(A136,'Area (&amp;golfacre for lookup)'!$G$2:$H$133,2,FALSE))</f>
        <v>92</v>
      </c>
      <c r="GP136" s="1943">
        <v>38277</v>
      </c>
      <c r="GQ136" s="1943">
        <v>969425</v>
      </c>
      <c r="GR136" s="1943">
        <v>215324</v>
      </c>
      <c r="GS136" s="1943">
        <v>713855</v>
      </c>
      <c r="GT136" s="1943">
        <v>117539</v>
      </c>
      <c r="GU136" s="1943">
        <v>242726</v>
      </c>
      <c r="GV136" s="1943">
        <v>139034</v>
      </c>
      <c r="GW136" s="1943">
        <v>2397903</v>
      </c>
      <c r="GX136" s="1943">
        <v>133216.83333333334</v>
      </c>
      <c r="GY136" s="1985">
        <f t="shared" si="1319"/>
        <v>26064.16304347826</v>
      </c>
      <c r="GZ136" s="1366">
        <v>0.40428032326578683</v>
      </c>
      <c r="HA136" s="1366">
        <v>8.9796793281463005E-2</v>
      </c>
      <c r="HB136" s="1366">
        <v>0.2976996984448495</v>
      </c>
      <c r="HC136" s="1366">
        <v>4.9017412297328124E-2</v>
      </c>
      <c r="HD136" s="1366">
        <v>0.10122427804627626</v>
      </c>
      <c r="HE136" s="1366">
        <v>5.7981494664296265E-2</v>
      </c>
      <c r="HF136" s="1366">
        <v>1</v>
      </c>
      <c r="HG136" s="1936">
        <v>0</v>
      </c>
      <c r="HH136" s="1988">
        <f>IF(HG136=0,0,VLOOKUP(A136,'Area (&amp;golfacre for lookup)'!$G$2:$H$134,2,FALSE))</f>
        <v>0</v>
      </c>
      <c r="HI136" s="1936">
        <v>0</v>
      </c>
      <c r="HJ136" s="1936">
        <v>0</v>
      </c>
      <c r="HK136" s="1936">
        <v>0</v>
      </c>
      <c r="HL136" s="1936">
        <v>0</v>
      </c>
      <c r="HM136" s="1936">
        <v>0</v>
      </c>
      <c r="HN136" s="1936">
        <v>0</v>
      </c>
      <c r="HO136" s="1936">
        <v>0</v>
      </c>
      <c r="HP136" s="1936">
        <v>0</v>
      </c>
      <c r="HQ136" s="1936">
        <v>0</v>
      </c>
      <c r="HR136" s="1988">
        <f t="shared" si="1320"/>
        <v>0</v>
      </c>
      <c r="HS136" s="1936">
        <v>0</v>
      </c>
      <c r="HT136" s="1936">
        <v>0</v>
      </c>
      <c r="HU136" s="1936">
        <v>0</v>
      </c>
      <c r="HV136" s="1936">
        <v>0</v>
      </c>
      <c r="HW136" s="1936">
        <v>0</v>
      </c>
      <c r="HX136" s="1936">
        <v>0</v>
      </c>
      <c r="HY136" s="1936">
        <v>0</v>
      </c>
      <c r="HZ136" s="51"/>
      <c r="IA136" s="59">
        <f t="shared" si="1136"/>
        <v>0</v>
      </c>
      <c r="IB136" s="59"/>
      <c r="IC136" s="815">
        <f t="shared" si="1137"/>
        <v>1</v>
      </c>
      <c r="ID136" s="815"/>
      <c r="IE136" s="284">
        <f t="shared" si="1138"/>
        <v>0</v>
      </c>
      <c r="IF136" s="284"/>
      <c r="IG136" s="284">
        <f t="shared" si="1139"/>
        <v>12308.780295727031</v>
      </c>
      <c r="IH136" s="284"/>
      <c r="II136" s="1288">
        <f t="shared" si="1140"/>
        <v>3.8771034087198113</v>
      </c>
      <c r="IJ136" s="1288">
        <f t="shared" si="1141"/>
        <v>0</v>
      </c>
      <c r="IK136" s="284">
        <f t="shared" si="1142"/>
        <v>0</v>
      </c>
      <c r="IL136" s="284">
        <f t="shared" si="1143"/>
        <v>0</v>
      </c>
      <c r="IM136" s="284">
        <f t="shared" si="1144"/>
        <v>0</v>
      </c>
      <c r="IN136" s="284">
        <f t="shared" si="1145"/>
        <v>0</v>
      </c>
      <c r="IO136" s="753">
        <f t="shared" si="1146"/>
        <v>-1181.6415853658539</v>
      </c>
      <c r="IP136" s="113">
        <f t="shared" si="1147"/>
        <v>-1543.6689667657856</v>
      </c>
      <c r="IQ136" s="30">
        <f t="shared" si="1148"/>
        <v>-0.26578322430540385</v>
      </c>
      <c r="IR136" s="438">
        <f t="shared" si="1149"/>
        <v>3659532</v>
      </c>
      <c r="IS136" s="438">
        <f t="shared" si="1150"/>
        <v>2338692</v>
      </c>
      <c r="IT136" s="438">
        <f t="shared" si="1151"/>
        <v>5160502</v>
      </c>
      <c r="IU136" s="438">
        <f t="shared" si="1152"/>
        <v>759467</v>
      </c>
      <c r="IV136" s="438">
        <f t="shared" si="1153"/>
        <v>2482517</v>
      </c>
      <c r="IW136" s="438">
        <f t="shared" si="1154"/>
        <v>-466369.80000000005</v>
      </c>
      <c r="IX136" s="285">
        <f t="shared" si="1155"/>
        <v>0.61010259036674852</v>
      </c>
      <c r="IY136" s="285">
        <f t="shared" si="1156"/>
        <v>0.38989740963325142</v>
      </c>
      <c r="IZ136" s="285">
        <f t="shared" si="1157"/>
        <v>0.86033832681140288</v>
      </c>
      <c r="JA136" s="285">
        <f t="shared" si="1158"/>
        <v>0.12661531146552713</v>
      </c>
      <c r="JB136" s="285">
        <f t="shared" si="1159"/>
        <v>0.41387534043410185</v>
      </c>
      <c r="JC136" s="285">
        <f t="shared" si="1160"/>
        <v>-7.7751314389059176E-2</v>
      </c>
      <c r="JD136" s="60">
        <f t="shared" si="1161"/>
        <v>7291251</v>
      </c>
      <c r="JE136" s="60">
        <f t="shared" si="1162"/>
        <v>2681892</v>
      </c>
      <c r="JF136" s="60">
        <f t="shared" si="1163"/>
        <v>0</v>
      </c>
      <c r="JG136" s="60">
        <f t="shared" si="1164"/>
        <v>559899</v>
      </c>
      <c r="JH136" s="284">
        <f t="shared" si="1165"/>
        <v>1</v>
      </c>
      <c r="JI136" s="284">
        <f t="shared" si="1166"/>
        <v>1</v>
      </c>
      <c r="JJ136" s="560">
        <f t="shared" si="1167"/>
        <v>0.73142691527388659</v>
      </c>
      <c r="JK136" s="561">
        <f t="shared" si="1168"/>
        <v>0.50510431861827776</v>
      </c>
      <c r="JL136" s="561">
        <f t="shared" si="1169"/>
        <v>0.1416742534873742</v>
      </c>
      <c r="JM136" s="561">
        <f t="shared" si="1170"/>
        <v>3.9750241843285551E-2</v>
      </c>
      <c r="JN136" s="561">
        <f t="shared" si="1171"/>
        <v>0.28039257167455423</v>
      </c>
      <c r="JO136" s="561">
        <f t="shared" si="1172"/>
        <v>9.4713654753536703E-3</v>
      </c>
      <c r="JP136" s="561">
        <f t="shared" si="1173"/>
        <v>2.2481395715537394E-2</v>
      </c>
      <c r="JQ136" s="561">
        <f t="shared" si="1174"/>
        <v>0.9988741468143828</v>
      </c>
      <c r="JR136" s="61">
        <f t="shared" si="1175"/>
        <v>53856.944444444445</v>
      </c>
      <c r="JS136" s="61">
        <f t="shared" si="1176"/>
        <v>11962.444444444445</v>
      </c>
      <c r="JT136" s="61">
        <f t="shared" si="1177"/>
        <v>39658.611111111109</v>
      </c>
      <c r="JU136" s="61">
        <f t="shared" si="1178"/>
        <v>6529.9444444444443</v>
      </c>
      <c r="JV136" s="61">
        <f t="shared" si="1179"/>
        <v>13484.777777777777</v>
      </c>
      <c r="JW136" s="61">
        <f t="shared" si="1180"/>
        <v>7724.1111111111113</v>
      </c>
      <c r="JX136" s="61">
        <f t="shared" si="1181"/>
        <v>62.646053765969121</v>
      </c>
      <c r="JY136" s="394">
        <f t="shared" si="1182"/>
        <v>0.13699967599808557</v>
      </c>
      <c r="JZ136" s="61">
        <f t="shared" si="1183"/>
        <v>0</v>
      </c>
      <c r="KA136" s="61">
        <f t="shared" si="1184"/>
        <v>0</v>
      </c>
      <c r="KB136" s="61">
        <f t="shared" si="1185"/>
        <v>0</v>
      </c>
      <c r="KC136" s="61">
        <f t="shared" si="1186"/>
        <v>0</v>
      </c>
      <c r="KD136" s="61">
        <f t="shared" si="1187"/>
        <v>0</v>
      </c>
      <c r="KE136" s="61">
        <f t="shared" si="1188"/>
        <v>0</v>
      </c>
      <c r="KF136" s="61">
        <f t="shared" si="1189"/>
        <v>0</v>
      </c>
      <c r="KG136" s="61">
        <f t="shared" si="1190"/>
        <v>0</v>
      </c>
      <c r="KH136" s="61">
        <f t="shared" si="1191"/>
        <v>0</v>
      </c>
      <c r="KI136" s="394">
        <f t="shared" si="1192"/>
        <v>0</v>
      </c>
      <c r="KJ136" s="438">
        <f t="shared" si="1193"/>
        <v>18</v>
      </c>
      <c r="KK136" s="438">
        <f t="shared" si="1194"/>
        <v>38277</v>
      </c>
      <c r="KL136" s="438">
        <f t="shared" si="1195"/>
        <v>92</v>
      </c>
      <c r="KM136" s="438">
        <f t="shared" si="1196"/>
        <v>133216.83333333334</v>
      </c>
      <c r="KN136" s="438">
        <f t="shared" si="1197"/>
        <v>62.646053765969121</v>
      </c>
      <c r="KO136" s="438">
        <f t="shared" si="1198"/>
        <v>26064.16304347826</v>
      </c>
      <c r="KP136" s="438">
        <f t="shared" si="1199"/>
        <v>969425</v>
      </c>
      <c r="KQ136" s="438">
        <f t="shared" si="1200"/>
        <v>215324</v>
      </c>
      <c r="KR136" s="438">
        <f t="shared" si="1201"/>
        <v>713855</v>
      </c>
      <c r="KS136" s="438">
        <f t="shared" si="1202"/>
        <v>117539</v>
      </c>
      <c r="KT136" s="438">
        <f t="shared" si="1203"/>
        <v>242726</v>
      </c>
      <c r="KU136" s="438">
        <f t="shared" si="1204"/>
        <v>139034</v>
      </c>
      <c r="KV136" s="420">
        <f t="shared" si="1205"/>
        <v>0.13699967599808557</v>
      </c>
      <c r="KW136" s="420">
        <f t="shared" si="1206"/>
        <v>-0.30980540925007244</v>
      </c>
      <c r="KX136" s="108"/>
      <c r="KY136" s="282">
        <f t="shared" si="1207"/>
        <v>0</v>
      </c>
      <c r="KZ136" s="282"/>
      <c r="LA136" s="282">
        <f t="shared" si="1208"/>
        <v>0</v>
      </c>
      <c r="LB136" s="282"/>
      <c r="LC136" s="286">
        <f t="shared" si="951"/>
        <v>0</v>
      </c>
      <c r="LD136" s="286"/>
      <c r="LE136" s="282">
        <f t="shared" si="1209"/>
        <v>0</v>
      </c>
      <c r="LF136" s="282"/>
      <c r="LG136" s="282">
        <f t="shared" si="1210"/>
        <v>0</v>
      </c>
      <c r="LH136" s="282">
        <f t="shared" si="1211"/>
        <v>0</v>
      </c>
      <c r="LI136" s="282">
        <f t="shared" si="1212"/>
        <v>0</v>
      </c>
      <c r="LJ136" s="282">
        <f t="shared" si="1213"/>
        <v>0</v>
      </c>
      <c r="LK136" s="282"/>
      <c r="LL136" s="282">
        <f t="shared" si="1214"/>
        <v>0</v>
      </c>
      <c r="LM136" s="282">
        <f t="shared" si="1215"/>
        <v>0</v>
      </c>
      <c r="LN136" s="282">
        <f t="shared" si="1216"/>
        <v>0</v>
      </c>
      <c r="LO136" s="282">
        <f t="shared" si="1217"/>
        <v>0</v>
      </c>
      <c r="LP136" s="286">
        <f t="shared" si="1218"/>
        <v>0</v>
      </c>
      <c r="LQ136" s="282">
        <f t="shared" si="1219"/>
        <v>0</v>
      </c>
      <c r="LR136" s="282">
        <f t="shared" si="1220"/>
        <v>0</v>
      </c>
      <c r="LS136" s="282">
        <f t="shared" si="1221"/>
        <v>0</v>
      </c>
      <c r="LT136" s="286">
        <f t="shared" si="1222"/>
        <v>0</v>
      </c>
      <c r="LU136" s="286">
        <f t="shared" si="1223"/>
        <v>0</v>
      </c>
      <c r="LV136" s="286">
        <f t="shared" si="1224"/>
        <v>0</v>
      </c>
      <c r="LW136" s="286">
        <f t="shared" si="1225"/>
        <v>0</v>
      </c>
      <c r="LX136" s="286">
        <f t="shared" si="1226"/>
        <v>0</v>
      </c>
      <c r="LY136" s="286">
        <f t="shared" si="1227"/>
        <v>0</v>
      </c>
      <c r="LZ136" s="286">
        <f t="shared" si="1228"/>
        <v>0</v>
      </c>
      <c r="MA136" s="286">
        <f t="shared" si="1229"/>
        <v>0</v>
      </c>
      <c r="MB136" s="286">
        <f t="shared" si="1230"/>
        <v>0</v>
      </c>
      <c r="MC136" s="286">
        <f t="shared" si="1231"/>
        <v>0</v>
      </c>
      <c r="MD136" s="286">
        <f t="shared" si="1232"/>
        <v>0</v>
      </c>
      <c r="ME136" s="286">
        <f t="shared" si="1233"/>
        <v>0</v>
      </c>
      <c r="MF136" s="286">
        <f t="shared" si="1234"/>
        <v>0</v>
      </c>
      <c r="MG136" s="286">
        <f t="shared" si="1235"/>
        <v>0</v>
      </c>
      <c r="MH136" s="286">
        <f t="shared" si="1236"/>
        <v>0</v>
      </c>
      <c r="MI136" s="286">
        <f t="shared" si="1237"/>
        <v>0</v>
      </c>
      <c r="MJ136" s="286">
        <f t="shared" si="1238"/>
        <v>0</v>
      </c>
      <c r="MK136" s="286">
        <f t="shared" si="1239"/>
        <v>0</v>
      </c>
      <c r="ML136" s="282">
        <f t="shared" si="1240"/>
        <v>0</v>
      </c>
      <c r="MM136" s="1232">
        <f t="shared" si="1241"/>
        <v>0</v>
      </c>
      <c r="MN136" s="1232">
        <f t="shared" si="1242"/>
        <v>0</v>
      </c>
      <c r="MO136" s="1232">
        <f t="shared" si="1243"/>
        <v>0</v>
      </c>
      <c r="MP136" s="1232">
        <f t="shared" si="1244"/>
        <v>0</v>
      </c>
      <c r="MQ136" s="282">
        <f t="shared" si="1245"/>
        <v>0</v>
      </c>
      <c r="MR136" s="282">
        <f t="shared" si="1246"/>
        <v>0</v>
      </c>
      <c r="MS136" s="282">
        <f t="shared" si="1247"/>
        <v>0</v>
      </c>
      <c r="MT136" s="282">
        <f t="shared" si="1248"/>
        <v>0</v>
      </c>
      <c r="MU136" s="282">
        <f t="shared" si="1249"/>
        <v>0</v>
      </c>
      <c r="MV136" s="282">
        <f t="shared" si="1250"/>
        <v>0</v>
      </c>
      <c r="MW136" s="282">
        <f t="shared" si="1251"/>
        <v>0</v>
      </c>
      <c r="MX136" s="282">
        <f t="shared" si="1252"/>
        <v>0</v>
      </c>
      <c r="MY136" s="282">
        <f t="shared" si="1253"/>
        <v>0</v>
      </c>
      <c r="MZ136" s="282">
        <f t="shared" si="1254"/>
        <v>0</v>
      </c>
      <c r="NA136" s="282">
        <f t="shared" si="1255"/>
        <v>0</v>
      </c>
      <c r="NB136" s="282">
        <f t="shared" si="1256"/>
        <v>0</v>
      </c>
      <c r="NC136" s="282">
        <f t="shared" si="1257"/>
        <v>0</v>
      </c>
      <c r="ND136" s="282">
        <f t="shared" si="1258"/>
        <v>0</v>
      </c>
      <c r="NE136" s="282">
        <f t="shared" si="1259"/>
        <v>0</v>
      </c>
      <c r="NF136" s="282">
        <f t="shared" si="1260"/>
        <v>0</v>
      </c>
      <c r="NG136" s="282">
        <f t="shared" si="1261"/>
        <v>0</v>
      </c>
      <c r="NH136" s="282">
        <f t="shared" si="1262"/>
        <v>0</v>
      </c>
      <c r="NI136" s="282">
        <f t="shared" si="1263"/>
        <v>0</v>
      </c>
      <c r="NJ136" s="282">
        <f t="shared" si="1264"/>
        <v>0</v>
      </c>
      <c r="NK136" s="282">
        <f t="shared" si="1265"/>
        <v>0</v>
      </c>
      <c r="NL136" s="282">
        <f t="shared" si="1266"/>
        <v>0</v>
      </c>
      <c r="NM136" s="1205">
        <f t="shared" si="1267"/>
        <v>0</v>
      </c>
      <c r="NN136" s="282">
        <f t="shared" si="1268"/>
        <v>0</v>
      </c>
      <c r="NO136" s="282">
        <f t="shared" si="1269"/>
        <v>0</v>
      </c>
      <c r="NP136" s="282">
        <f t="shared" si="1270"/>
        <v>0</v>
      </c>
      <c r="NQ136" s="282">
        <f t="shared" si="1271"/>
        <v>0</v>
      </c>
      <c r="NR136" s="282">
        <f t="shared" si="1272"/>
        <v>0</v>
      </c>
      <c r="NS136" s="282">
        <f t="shared" si="1273"/>
        <v>0</v>
      </c>
      <c r="NT136" s="282">
        <f t="shared" si="1274"/>
        <v>0</v>
      </c>
      <c r="NU136" s="282">
        <f t="shared" si="1275"/>
        <v>0</v>
      </c>
      <c r="NV136" s="286">
        <f t="shared" si="1276"/>
        <v>0</v>
      </c>
      <c r="NW136" s="286">
        <f t="shared" si="1277"/>
        <v>0</v>
      </c>
      <c r="NX136" s="286">
        <f t="shared" si="1278"/>
        <v>0</v>
      </c>
      <c r="NY136" s="286">
        <f t="shared" si="1279"/>
        <v>0</v>
      </c>
      <c r="NZ136" s="286">
        <f t="shared" si="1280"/>
        <v>0</v>
      </c>
      <c r="OA136" s="286">
        <f t="shared" si="1281"/>
        <v>0</v>
      </c>
      <c r="OB136" s="286">
        <f t="shared" si="1282"/>
        <v>0</v>
      </c>
      <c r="OC136" s="286">
        <f t="shared" si="1283"/>
        <v>0</v>
      </c>
      <c r="OD136" s="286">
        <f t="shared" si="1284"/>
        <v>0</v>
      </c>
      <c r="OE136" s="282">
        <f t="shared" si="1285"/>
        <v>0</v>
      </c>
      <c r="OF136" s="282">
        <f t="shared" si="1286"/>
        <v>0</v>
      </c>
      <c r="OG136" s="286">
        <f t="shared" si="1287"/>
        <v>0</v>
      </c>
      <c r="OH136" s="286">
        <f t="shared" si="1288"/>
        <v>0</v>
      </c>
      <c r="OI136" s="286">
        <f t="shared" si="1289"/>
        <v>0</v>
      </c>
      <c r="OJ136" s="286">
        <f t="shared" si="1290"/>
        <v>0</v>
      </c>
      <c r="OK136" s="286">
        <f t="shared" si="1291"/>
        <v>0</v>
      </c>
      <c r="OL136" s="286">
        <f t="shared" si="1292"/>
        <v>0</v>
      </c>
      <c r="OM136" s="286">
        <f t="shared" si="1293"/>
        <v>0</v>
      </c>
      <c r="ON136" s="286">
        <f t="shared" si="1294"/>
        <v>0</v>
      </c>
      <c r="OO136" s="286">
        <f t="shared" si="1295"/>
        <v>0</v>
      </c>
      <c r="OP136" s="434">
        <f t="shared" si="1296"/>
        <v>0</v>
      </c>
      <c r="OQ136" s="434">
        <f t="shared" si="1297"/>
        <v>0</v>
      </c>
      <c r="OR136" s="282">
        <f t="shared" si="1298"/>
        <v>0</v>
      </c>
      <c r="OS136" s="282">
        <f t="shared" si="1299"/>
        <v>0</v>
      </c>
      <c r="OT136" s="282">
        <f t="shared" si="1300"/>
        <v>0</v>
      </c>
      <c r="OU136" s="282">
        <f t="shared" si="1301"/>
        <v>0</v>
      </c>
      <c r="OV136" s="282">
        <f t="shared" si="1302"/>
        <v>0</v>
      </c>
      <c r="OW136" s="286">
        <f t="shared" si="1303"/>
        <v>0</v>
      </c>
      <c r="OX136" s="286">
        <f t="shared" si="1304"/>
        <v>0</v>
      </c>
      <c r="OY136" s="286">
        <f t="shared" si="1305"/>
        <v>0</v>
      </c>
      <c r="OZ136" s="286">
        <f t="shared" si="1306"/>
        <v>0</v>
      </c>
      <c r="PA136" s="286">
        <f t="shared" si="1307"/>
        <v>0</v>
      </c>
      <c r="PB136" s="286">
        <f t="shared" si="1308"/>
        <v>0</v>
      </c>
      <c r="PC136" s="286">
        <f t="shared" si="1309"/>
        <v>0</v>
      </c>
      <c r="PD136" s="282">
        <f t="shared" si="1310"/>
        <v>0</v>
      </c>
      <c r="PE136" s="282">
        <f t="shared" si="1311"/>
        <v>0</v>
      </c>
      <c r="PF136" s="286">
        <f t="shared" si="1312"/>
        <v>0</v>
      </c>
      <c r="PG136" s="286">
        <f t="shared" si="1313"/>
        <v>0</v>
      </c>
      <c r="PH136" s="286">
        <f t="shared" si="1314"/>
        <v>0</v>
      </c>
      <c r="PI136" s="286">
        <f t="shared" si="1315"/>
        <v>0</v>
      </c>
      <c r="PJ136" s="286">
        <f t="shared" si="1316"/>
        <v>0</v>
      </c>
      <c r="PK136" s="286">
        <f t="shared" si="1317"/>
        <v>0</v>
      </c>
      <c r="PL136" s="286">
        <f t="shared" si="1318"/>
        <v>0</v>
      </c>
      <c r="PM136" s="562">
        <v>80</v>
      </c>
    </row>
    <row r="137" spans="1:429" s="289" customFormat="1" ht="15.75" customHeight="1">
      <c r="A137" s="1935" t="s">
        <v>2150</v>
      </c>
      <c r="B137" s="1040" t="str">
        <f>VLOOKUP(A137,'Area (&amp;golfacre for lookup)'!$A$2:$B$162,2,FALSE)</f>
        <v>North&amp;Central</v>
      </c>
      <c r="C137" s="1409" t="s">
        <v>2247</v>
      </c>
      <c r="D137" s="1937">
        <v>44926</v>
      </c>
      <c r="E137" s="402"/>
      <c r="F137" s="1936">
        <v>1</v>
      </c>
      <c r="G137" s="1936">
        <v>0</v>
      </c>
      <c r="H137" s="1936">
        <v>252</v>
      </c>
      <c r="I137" s="1936">
        <v>317</v>
      </c>
      <c r="J137" s="1936">
        <v>569</v>
      </c>
      <c r="K137" s="1938">
        <v>332.82823350694446</v>
      </c>
      <c r="L137" s="1939" t="s">
        <v>1208</v>
      </c>
      <c r="M137" s="1939" t="s">
        <v>1208</v>
      </c>
      <c r="N137" s="1939" t="s">
        <v>1208</v>
      </c>
      <c r="O137" s="1939" t="s">
        <v>1208</v>
      </c>
      <c r="P137" s="1939" t="s">
        <v>1208</v>
      </c>
      <c r="Q137" s="1936">
        <v>0</v>
      </c>
      <c r="R137" s="1936">
        <v>0</v>
      </c>
      <c r="S137" s="1936">
        <v>0</v>
      </c>
      <c r="T137" s="1936">
        <v>0</v>
      </c>
      <c r="U137" s="1936">
        <v>0</v>
      </c>
      <c r="V137" s="1936">
        <v>0</v>
      </c>
      <c r="W137" s="1936">
        <v>0</v>
      </c>
      <c r="X137" s="1936">
        <v>0</v>
      </c>
      <c r="Y137" s="1936">
        <v>0</v>
      </c>
      <c r="Z137" s="1936">
        <v>0</v>
      </c>
      <c r="AA137" s="1936">
        <v>0</v>
      </c>
      <c r="AB137" s="1936">
        <v>0</v>
      </c>
      <c r="AC137" s="1936">
        <v>0</v>
      </c>
      <c r="AD137" s="1936">
        <v>0</v>
      </c>
      <c r="AE137" s="1936">
        <v>0</v>
      </c>
      <c r="AF137" s="1936">
        <v>0</v>
      </c>
      <c r="AG137" s="1936">
        <v>0</v>
      </c>
      <c r="AH137" s="1936">
        <v>0</v>
      </c>
      <c r="AI137" s="1936">
        <v>0</v>
      </c>
      <c r="AJ137" s="1936">
        <v>0</v>
      </c>
      <c r="AK137" s="1936">
        <v>0</v>
      </c>
      <c r="AL137" s="1936">
        <v>0</v>
      </c>
      <c r="AM137" s="1936">
        <v>0</v>
      </c>
      <c r="AN137" s="1936">
        <v>0</v>
      </c>
      <c r="AO137" s="1936">
        <v>0</v>
      </c>
      <c r="AP137" s="1936">
        <v>0</v>
      </c>
      <c r="AQ137" s="1936">
        <v>0</v>
      </c>
      <c r="AR137" s="1936">
        <v>0</v>
      </c>
      <c r="AS137" s="1363" t="s">
        <v>1208</v>
      </c>
      <c r="AT137" s="1363" t="s">
        <v>1208</v>
      </c>
      <c r="AU137" s="1363" t="s">
        <v>1208</v>
      </c>
      <c r="AV137" s="1363" t="s">
        <v>1208</v>
      </c>
      <c r="AW137" s="1363" t="s">
        <v>1291</v>
      </c>
      <c r="AX137" s="1938">
        <v>1</v>
      </c>
      <c r="AY137" s="1938">
        <v>1</v>
      </c>
      <c r="AZ137" s="1938">
        <v>0</v>
      </c>
      <c r="BA137" s="1938">
        <v>0</v>
      </c>
      <c r="BB137" s="1938">
        <v>0</v>
      </c>
      <c r="BC137" s="1938">
        <v>0</v>
      </c>
      <c r="BD137" s="1938">
        <v>0</v>
      </c>
      <c r="BE137" s="1936">
        <v>1</v>
      </c>
      <c r="BF137" s="1936">
        <v>92000</v>
      </c>
      <c r="BG137" s="1936">
        <v>76000</v>
      </c>
      <c r="BH137" s="1936">
        <v>168000</v>
      </c>
      <c r="BI137" s="1938">
        <v>8016308</v>
      </c>
      <c r="BJ137" s="1936">
        <v>287900</v>
      </c>
      <c r="BK137" s="1936">
        <v>731233</v>
      </c>
      <c r="BL137" s="1362">
        <v>0.39371855482452239</v>
      </c>
      <c r="BM137" s="1936">
        <v>1</v>
      </c>
      <c r="BN137" s="1936">
        <v>2822548</v>
      </c>
      <c r="BO137" s="1363" t="s">
        <v>1208</v>
      </c>
      <c r="BP137" s="1938">
        <v>2199902</v>
      </c>
      <c r="BQ137" s="1938">
        <v>1507052</v>
      </c>
      <c r="BR137" s="1940">
        <v>1.4597386155222249</v>
      </c>
      <c r="BS137" s="1409">
        <v>1</v>
      </c>
      <c r="BT137" s="1938">
        <v>3715908</v>
      </c>
      <c r="BU137" s="1938">
        <v>4993250</v>
      </c>
      <c r="BV137" s="1940">
        <v>0.74418625143944328</v>
      </c>
      <c r="BW137" s="1936">
        <v>8480.4944888820792</v>
      </c>
      <c r="BX137" s="1936">
        <v>865.0107503394629</v>
      </c>
      <c r="BY137" s="1936">
        <v>504.76486994452853</v>
      </c>
      <c r="BZ137" s="1936">
        <v>1722502</v>
      </c>
      <c r="CA137" s="1936">
        <v>17419</v>
      </c>
      <c r="CB137" s="1936">
        <v>334710</v>
      </c>
      <c r="CC137" s="1936">
        <v>0</v>
      </c>
      <c r="CD137" s="1936">
        <v>3067345</v>
      </c>
      <c r="CE137" s="1936">
        <v>163178</v>
      </c>
      <c r="CF137" s="1936">
        <v>0</v>
      </c>
      <c r="CG137" s="1936">
        <v>1453752</v>
      </c>
      <c r="CH137" s="1936">
        <v>476769</v>
      </c>
      <c r="CI137" s="1936">
        <v>25075</v>
      </c>
      <c r="CJ137" s="1936">
        <v>7260750</v>
      </c>
      <c r="CK137" s="1366">
        <v>0.23723472093103329</v>
      </c>
      <c r="CL137" s="1366">
        <v>2.3990634576317874E-3</v>
      </c>
      <c r="CM137" s="1366">
        <v>4.6098543538890611E-2</v>
      </c>
      <c r="CN137" s="1366">
        <v>0</v>
      </c>
      <c r="CO137" s="1366">
        <v>0.42245566918018113</v>
      </c>
      <c r="CP137" s="1366">
        <v>2.24739868470888E-2</v>
      </c>
      <c r="CQ137" s="1366">
        <v>0</v>
      </c>
      <c r="CR137" s="1366">
        <v>0.20022063836380538</v>
      </c>
      <c r="CS137" s="1366">
        <v>6.5663877698584852E-2</v>
      </c>
      <c r="CT137" s="1366">
        <v>3.4534999827841475E-3</v>
      </c>
      <c r="CU137" s="1366">
        <v>1</v>
      </c>
      <c r="CV137" s="1936">
        <v>3701657</v>
      </c>
      <c r="CW137" s="1936">
        <v>547776</v>
      </c>
      <c r="CX137" s="1936">
        <v>283956</v>
      </c>
      <c r="CY137" s="1936">
        <v>2419605</v>
      </c>
      <c r="CZ137" s="1936">
        <v>117884</v>
      </c>
      <c r="DA137" s="1936">
        <v>149987</v>
      </c>
      <c r="DB137" s="1936">
        <v>7220865</v>
      </c>
      <c r="DC137" s="1366">
        <v>0.51263345873382204</v>
      </c>
      <c r="DD137" s="1366">
        <v>7.5860163567661218E-2</v>
      </c>
      <c r="DE137" s="1366">
        <v>3.932437457285242E-2</v>
      </c>
      <c r="DF137" s="1366">
        <v>0.33508520101123618</v>
      </c>
      <c r="DG137" s="1366">
        <v>1.6325467932166021E-2</v>
      </c>
      <c r="DH137" s="1366">
        <v>2.0771334182262097E-2</v>
      </c>
      <c r="DI137" s="1366">
        <v>1</v>
      </c>
      <c r="DJ137" s="1936">
        <v>39885</v>
      </c>
      <c r="DK137" s="1936">
        <v>5175.3482024356563</v>
      </c>
      <c r="DL137" s="1936">
        <v>52.336305175974658</v>
      </c>
      <c r="DM137" s="1936">
        <v>1005.6538667805545</v>
      </c>
      <c r="DN137" s="1936">
        <v>0</v>
      </c>
      <c r="DO137" s="1936">
        <v>9216</v>
      </c>
      <c r="DP137" s="1936">
        <v>490.27691635600166</v>
      </c>
      <c r="DQ137" s="1936">
        <v>0</v>
      </c>
      <c r="DR137" s="1936">
        <v>4367.8746381642759</v>
      </c>
      <c r="DS137" s="1936">
        <v>1432.4776326106128</v>
      </c>
      <c r="DT137" s="1936">
        <v>75.33916139201817</v>
      </c>
      <c r="DU137" s="1936">
        <v>21815.306722915095</v>
      </c>
      <c r="DV137" s="1936">
        <v>11121.823893953891</v>
      </c>
      <c r="DW137" s="1936">
        <v>1645.8219130877028</v>
      </c>
      <c r="DX137" s="1936">
        <v>853.16079410695568</v>
      </c>
      <c r="DY137" s="1936">
        <v>7269.8309710841131</v>
      </c>
      <c r="DZ137" s="1936">
        <v>354.18870195560004</v>
      </c>
      <c r="EA137" s="1936">
        <v>450.64386040696434</v>
      </c>
      <c r="EB137" s="1936">
        <v>21695.470134595227</v>
      </c>
      <c r="EC137" s="1936">
        <v>119.83658831986619</v>
      </c>
      <c r="ED137" s="1941">
        <v>66</v>
      </c>
      <c r="EE137" s="1936">
        <v>0</v>
      </c>
      <c r="EF137" s="1936">
        <v>0</v>
      </c>
      <c r="EG137" s="1938">
        <v>0</v>
      </c>
      <c r="EH137" s="1938">
        <v>1</v>
      </c>
      <c r="EI137" s="1368">
        <v>0.06</v>
      </c>
      <c r="EJ137" s="1936">
        <v>5.0428520228324913</v>
      </c>
      <c r="EK137" s="1936">
        <v>1</v>
      </c>
      <c r="EL137" s="1936">
        <v>450</v>
      </c>
      <c r="EM137" s="1936">
        <v>1</v>
      </c>
      <c r="EN137" s="1362">
        <v>0.2</v>
      </c>
      <c r="EO137" s="1936">
        <v>0</v>
      </c>
      <c r="EP137" s="1936">
        <v>0</v>
      </c>
      <c r="EQ137" s="1936">
        <v>0</v>
      </c>
      <c r="ER137" s="1938">
        <v>0</v>
      </c>
      <c r="ES137" s="1936">
        <v>5800.352270774888</v>
      </c>
      <c r="ET137" s="1936">
        <v>-162.22782373681474</v>
      </c>
      <c r="EU137" s="1938">
        <v>1</v>
      </c>
      <c r="EV137" s="1936">
        <v>0</v>
      </c>
      <c r="EW137" s="1936">
        <v>0</v>
      </c>
      <c r="EX137" s="1938">
        <v>0</v>
      </c>
      <c r="EY137" s="1936">
        <v>1453752</v>
      </c>
      <c r="EZ137" s="1936">
        <v>417905</v>
      </c>
      <c r="FA137" s="1936">
        <v>1035847</v>
      </c>
      <c r="FB137" s="1936">
        <v>476769</v>
      </c>
      <c r="FC137" s="1936">
        <v>129871</v>
      </c>
      <c r="FD137" s="1936">
        <v>346898</v>
      </c>
      <c r="FE137" s="1936">
        <v>1930521</v>
      </c>
      <c r="FF137" s="1936">
        <v>547776</v>
      </c>
      <c r="FG137" s="1936">
        <v>1382745</v>
      </c>
      <c r="FH137" s="1366">
        <v>1</v>
      </c>
      <c r="FI137" s="1366">
        <v>0.28746650047600969</v>
      </c>
      <c r="FJ137" s="1366">
        <v>0.71253349952399037</v>
      </c>
      <c r="FK137" s="1366">
        <v>1</v>
      </c>
      <c r="FL137" s="1366">
        <v>0.27239816347119883</v>
      </c>
      <c r="FM137" s="1366">
        <v>0.72760183652880117</v>
      </c>
      <c r="FN137" s="1366">
        <v>1</v>
      </c>
      <c r="FO137" s="1366">
        <v>0.28374516516525849</v>
      </c>
      <c r="FP137" s="1366">
        <v>0.71625483483474151</v>
      </c>
      <c r="FQ137" s="1936">
        <v>1034076</v>
      </c>
      <c r="FR137" s="1936">
        <v>0</v>
      </c>
      <c r="FS137" s="1936">
        <v>168090</v>
      </c>
      <c r="FT137" s="1936">
        <v>14673</v>
      </c>
      <c r="FU137" s="1936">
        <v>0</v>
      </c>
      <c r="FV137" s="1936">
        <v>5448</v>
      </c>
      <c r="FW137" s="1936">
        <v>214452</v>
      </c>
      <c r="FX137" s="1936">
        <v>1436739</v>
      </c>
      <c r="FY137" s="1936">
        <v>-53994</v>
      </c>
      <c r="FZ137" s="1366">
        <v>0.53564607688805255</v>
      </c>
      <c r="GA137" s="1366">
        <v>0</v>
      </c>
      <c r="GB137" s="1366">
        <v>8.7069759924911463E-2</v>
      </c>
      <c r="GC137" s="1366">
        <v>7.6005389218765295E-3</v>
      </c>
      <c r="GD137" s="1366">
        <v>0</v>
      </c>
      <c r="GE137" s="1366">
        <v>2.822036123927168E-3</v>
      </c>
      <c r="GF137" s="1366">
        <v>0.1110850387019877</v>
      </c>
      <c r="GG137" s="1366">
        <v>0.74422345056075534</v>
      </c>
      <c r="GH137" s="1366">
        <v>-2.7968615726013859E-2</v>
      </c>
      <c r="GI137" s="1942">
        <v>3.0491747575870076</v>
      </c>
      <c r="GJ137" s="1943">
        <v>1</v>
      </c>
      <c r="GK137" s="1371">
        <v>0.05</v>
      </c>
      <c r="GL137" s="1943">
        <v>1</v>
      </c>
      <c r="GM137" s="1371">
        <v>0.05</v>
      </c>
      <c r="GN137" s="1943">
        <v>0</v>
      </c>
      <c r="GO137" s="1985">
        <f>IF(GN137=0,0,VLOOKUP(A137,'Area (&amp;golfacre for lookup)'!$G$2:$H$133,2,FALSE))</f>
        <v>0</v>
      </c>
      <c r="GP137" s="1943">
        <v>0</v>
      </c>
      <c r="GQ137" s="1943">
        <v>0</v>
      </c>
      <c r="GR137" s="1943">
        <v>0</v>
      </c>
      <c r="GS137" s="1943">
        <v>0</v>
      </c>
      <c r="GT137" s="1943">
        <v>0</v>
      </c>
      <c r="GU137" s="1943">
        <v>0</v>
      </c>
      <c r="GV137" s="1943">
        <v>0</v>
      </c>
      <c r="GW137" s="1943">
        <v>0</v>
      </c>
      <c r="GX137" s="1936">
        <v>0</v>
      </c>
      <c r="GY137" s="1985">
        <f t="shared" si="1319"/>
        <v>0</v>
      </c>
      <c r="GZ137" s="1936">
        <v>0</v>
      </c>
      <c r="HA137" s="1936">
        <v>0</v>
      </c>
      <c r="HB137" s="1936">
        <v>0</v>
      </c>
      <c r="HC137" s="1936">
        <v>0</v>
      </c>
      <c r="HD137" s="1936">
        <v>0</v>
      </c>
      <c r="HE137" s="1936">
        <v>0</v>
      </c>
      <c r="HF137" s="1936">
        <v>0</v>
      </c>
      <c r="HG137" s="1936">
        <v>36</v>
      </c>
      <c r="HH137" s="1936">
        <v>220</v>
      </c>
      <c r="HI137" s="1936">
        <v>51453</v>
      </c>
      <c r="HJ137" s="1936">
        <v>908117</v>
      </c>
      <c r="HK137" s="1936">
        <v>134304</v>
      </c>
      <c r="HL137" s="1936">
        <v>623447</v>
      </c>
      <c r="HM137" s="1936">
        <v>225485</v>
      </c>
      <c r="HN137" s="1936">
        <v>0</v>
      </c>
      <c r="HO137" s="1936">
        <v>465819</v>
      </c>
      <c r="HP137" s="1936">
        <v>2357172</v>
      </c>
      <c r="HQ137" s="1936">
        <v>65477</v>
      </c>
      <c r="HR137" s="1988">
        <f t="shared" si="1320"/>
        <v>10714.418181818182</v>
      </c>
      <c r="HS137" s="1366">
        <v>0.3852569943983723</v>
      </c>
      <c r="HT137" s="1366">
        <v>5.6976750105635056E-2</v>
      </c>
      <c r="HU137" s="1366">
        <v>0.26448939661594489</v>
      </c>
      <c r="HV137" s="1366">
        <v>9.5659120335724337E-2</v>
      </c>
      <c r="HW137" s="1366">
        <v>0</v>
      </c>
      <c r="HX137" s="1366">
        <v>0.19761773854432346</v>
      </c>
      <c r="HY137" s="1366">
        <v>1</v>
      </c>
      <c r="HZ137" s="51"/>
      <c r="IA137" s="59">
        <f t="shared" si="1136"/>
        <v>0</v>
      </c>
      <c r="IB137" s="59"/>
      <c r="IC137" s="815">
        <f t="shared" si="1137"/>
        <v>0</v>
      </c>
      <c r="ID137" s="815"/>
      <c r="IE137" s="284">
        <f t="shared" si="1138"/>
        <v>0</v>
      </c>
      <c r="IF137" s="284"/>
      <c r="IG137" s="284">
        <f t="shared" si="1139"/>
        <v>24085.420625329069</v>
      </c>
      <c r="IH137" s="284"/>
      <c r="II137" s="1288">
        <f t="shared" si="1140"/>
        <v>1.4597386155222249</v>
      </c>
      <c r="IJ137" s="1288">
        <f t="shared" si="1141"/>
        <v>0</v>
      </c>
      <c r="IK137" s="284">
        <f t="shared" si="1142"/>
        <v>0</v>
      </c>
      <c r="IL137" s="284">
        <f t="shared" si="1143"/>
        <v>0</v>
      </c>
      <c r="IM137" s="284">
        <f t="shared" si="1144"/>
        <v>1</v>
      </c>
      <c r="IN137" s="284">
        <f t="shared" si="1145"/>
        <v>0</v>
      </c>
      <c r="IO137" s="753">
        <f t="shared" si="1146"/>
        <v>-94.892794376098422</v>
      </c>
      <c r="IP137" s="113">
        <f t="shared" si="1147"/>
        <v>-162.22782373681474</v>
      </c>
      <c r="IQ137" s="30">
        <f t="shared" si="1148"/>
        <v>-1.7602845457553681E-2</v>
      </c>
      <c r="IR137" s="438">
        <f t="shared" si="1149"/>
        <v>1453752</v>
      </c>
      <c r="IS137" s="438">
        <f t="shared" si="1150"/>
        <v>476769</v>
      </c>
      <c r="IT137" s="438">
        <f t="shared" si="1151"/>
        <v>1034076</v>
      </c>
      <c r="IU137" s="438">
        <f t="shared" si="1152"/>
        <v>182763</v>
      </c>
      <c r="IV137" s="438">
        <f t="shared" si="1153"/>
        <v>547776</v>
      </c>
      <c r="IW137" s="438">
        <f t="shared" si="1154"/>
        <v>219900</v>
      </c>
      <c r="IX137" s="285">
        <f t="shared" si="1155"/>
        <v>0.75303609750942879</v>
      </c>
      <c r="IY137" s="285">
        <f t="shared" si="1156"/>
        <v>0.24696390249057121</v>
      </c>
      <c r="IZ137" s="285">
        <f t="shared" si="1157"/>
        <v>0.53564607688805255</v>
      </c>
      <c r="JA137" s="285">
        <f t="shared" si="1158"/>
        <v>9.4670298846787987E-2</v>
      </c>
      <c r="JB137" s="285">
        <f t="shared" si="1159"/>
        <v>0.28374516516525849</v>
      </c>
      <c r="JC137" s="285">
        <f t="shared" si="1160"/>
        <v>0.11390707482591488</v>
      </c>
      <c r="JD137" s="60">
        <f t="shared" si="1161"/>
        <v>3230523</v>
      </c>
      <c r="JE137" s="60">
        <f t="shared" si="1162"/>
        <v>2074631</v>
      </c>
      <c r="JF137" s="60">
        <f t="shared" si="1163"/>
        <v>0</v>
      </c>
      <c r="JG137" s="60">
        <f t="shared" si="1164"/>
        <v>267871</v>
      </c>
      <c r="JH137" s="284">
        <f t="shared" si="1165"/>
        <v>1</v>
      </c>
      <c r="JI137" s="284">
        <f t="shared" si="1166"/>
        <v>1</v>
      </c>
      <c r="JJ137" s="560">
        <f t="shared" si="1167"/>
        <v>0.84836425562427176</v>
      </c>
      <c r="JK137" s="561">
        <f t="shared" si="1168"/>
        <v>0.50981744310160793</v>
      </c>
      <c r="JL137" s="561">
        <f t="shared" si="1169"/>
        <v>7.5443445925007749E-2</v>
      </c>
      <c r="JM137" s="561">
        <f t="shared" si="1170"/>
        <v>3.9108356574734014E-2</v>
      </c>
      <c r="JN137" s="561">
        <f t="shared" si="1171"/>
        <v>0.33324449953517199</v>
      </c>
      <c r="JO137" s="561">
        <f t="shared" si="1172"/>
        <v>1.623578831387942E-2</v>
      </c>
      <c r="JP137" s="561">
        <f t="shared" si="1173"/>
        <v>2.0657232379575112E-2</v>
      </c>
      <c r="JQ137" s="561">
        <f t="shared" si="1174"/>
        <v>0.9945067658299761</v>
      </c>
      <c r="JR137" s="61">
        <f t="shared" si="1175"/>
        <v>0</v>
      </c>
      <c r="JS137" s="61">
        <f t="shared" si="1176"/>
        <v>0</v>
      </c>
      <c r="JT137" s="61">
        <f t="shared" si="1177"/>
        <v>0</v>
      </c>
      <c r="JU137" s="61">
        <f t="shared" si="1178"/>
        <v>0</v>
      </c>
      <c r="JV137" s="61">
        <f t="shared" si="1179"/>
        <v>0</v>
      </c>
      <c r="JW137" s="61">
        <f t="shared" si="1180"/>
        <v>0</v>
      </c>
      <c r="JX137" s="61">
        <f t="shared" si="1181"/>
        <v>0</v>
      </c>
      <c r="JY137" s="394">
        <f t="shared" si="1182"/>
        <v>0</v>
      </c>
      <c r="JZ137" s="61">
        <f t="shared" si="1183"/>
        <v>25225.472222222223</v>
      </c>
      <c r="KA137" s="61">
        <f t="shared" si="1184"/>
        <v>3730.6666666666665</v>
      </c>
      <c r="KB137" s="61">
        <f t="shared" si="1185"/>
        <v>17317.972222222223</v>
      </c>
      <c r="KC137" s="61">
        <f t="shared" si="1186"/>
        <v>6263.4722222222226</v>
      </c>
      <c r="KD137" s="61">
        <f t="shared" si="1187"/>
        <v>0</v>
      </c>
      <c r="KE137" s="61">
        <f t="shared" si="1188"/>
        <v>12939.416666666666</v>
      </c>
      <c r="KF137" s="61">
        <f t="shared" si="1189"/>
        <v>25700</v>
      </c>
      <c r="KG137" s="61">
        <f t="shared" si="1190"/>
        <v>220</v>
      </c>
      <c r="KH137" s="61">
        <f t="shared" si="1191"/>
        <v>45.812139233863917</v>
      </c>
      <c r="KI137" s="394">
        <f t="shared" si="1192"/>
        <v>0.32643900696107736</v>
      </c>
      <c r="KJ137" s="438">
        <f t="shared" si="1193"/>
        <v>36</v>
      </c>
      <c r="KK137" s="438">
        <f t="shared" si="1194"/>
        <v>51453</v>
      </c>
      <c r="KL137" s="438">
        <f t="shared" si="1195"/>
        <v>220</v>
      </c>
      <c r="KM137" s="438">
        <f t="shared" si="1196"/>
        <v>65477</v>
      </c>
      <c r="KN137" s="438">
        <f t="shared" si="1197"/>
        <v>45.812139233863917</v>
      </c>
      <c r="KO137" s="438">
        <f t="shared" si="1198"/>
        <v>10714.418181818182</v>
      </c>
      <c r="KP137" s="438">
        <f t="shared" si="1199"/>
        <v>908117</v>
      </c>
      <c r="KQ137" s="438">
        <f t="shared" si="1200"/>
        <v>134304</v>
      </c>
      <c r="KR137" s="438">
        <f t="shared" si="1201"/>
        <v>623447</v>
      </c>
      <c r="KS137" s="438">
        <f t="shared" si="1202"/>
        <v>225485</v>
      </c>
      <c r="KT137" s="438">
        <f t="shared" si="1203"/>
        <v>0</v>
      </c>
      <c r="KU137" s="438">
        <f t="shared" si="1204"/>
        <v>465819</v>
      </c>
      <c r="KV137" s="420">
        <f t="shared" si="1205"/>
        <v>0.32643900696107736</v>
      </c>
      <c r="KW137" s="420">
        <f t="shared" si="1206"/>
        <v>-0.61660915221470036</v>
      </c>
      <c r="KX137" s="108"/>
      <c r="KY137" s="282">
        <f t="shared" si="1207"/>
        <v>0</v>
      </c>
      <c r="KZ137" s="282"/>
      <c r="LA137" s="282">
        <f t="shared" si="1208"/>
        <v>0</v>
      </c>
      <c r="LB137" s="282"/>
      <c r="LC137" s="286" t="e">
        <f t="shared" si="951"/>
        <v>#DIV/0!</v>
      </c>
      <c r="LD137" s="286"/>
      <c r="LE137" s="282">
        <f t="shared" si="1209"/>
        <v>0</v>
      </c>
      <c r="LF137" s="282"/>
      <c r="LG137" s="282">
        <f t="shared" si="1210"/>
        <v>450</v>
      </c>
      <c r="LH137" s="282">
        <f t="shared" si="1211"/>
        <v>0</v>
      </c>
      <c r="LI137" s="282">
        <f t="shared" si="1212"/>
        <v>0</v>
      </c>
      <c r="LJ137" s="282">
        <f t="shared" si="1213"/>
        <v>0</v>
      </c>
      <c r="LK137" s="282"/>
      <c r="LL137" s="282" t="str">
        <f t="shared" si="1214"/>
        <v>Same/chk</v>
      </c>
      <c r="LM137" s="282">
        <f t="shared" si="1215"/>
        <v>0</v>
      </c>
      <c r="LN137" s="282">
        <f t="shared" si="1216"/>
        <v>0</v>
      </c>
      <c r="LO137" s="282">
        <f t="shared" si="1217"/>
        <v>0</v>
      </c>
      <c r="LP137" s="286">
        <f t="shared" si="1218"/>
        <v>0</v>
      </c>
      <c r="LQ137" s="282">
        <f t="shared" si="1219"/>
        <v>0</v>
      </c>
      <c r="LR137" s="282">
        <f t="shared" si="1220"/>
        <v>0</v>
      </c>
      <c r="LS137" s="282">
        <f t="shared" si="1221"/>
        <v>0</v>
      </c>
      <c r="LT137" s="286">
        <f t="shared" si="1222"/>
        <v>0</v>
      </c>
      <c r="LU137" s="286">
        <f t="shared" si="1223"/>
        <v>0</v>
      </c>
      <c r="LV137" s="286">
        <f t="shared" si="1224"/>
        <v>0</v>
      </c>
      <c r="LW137" s="286">
        <f t="shared" si="1225"/>
        <v>0</v>
      </c>
      <c r="LX137" s="286">
        <f t="shared" si="1226"/>
        <v>0</v>
      </c>
      <c r="LY137" s="286">
        <f t="shared" si="1227"/>
        <v>0</v>
      </c>
      <c r="LZ137" s="286">
        <f t="shared" si="1228"/>
        <v>0</v>
      </c>
      <c r="MA137" s="286">
        <f t="shared" si="1229"/>
        <v>0</v>
      </c>
      <c r="MB137" s="286">
        <f t="shared" si="1230"/>
        <v>0</v>
      </c>
      <c r="MC137" s="286">
        <f t="shared" si="1231"/>
        <v>0</v>
      </c>
      <c r="MD137" s="286">
        <f t="shared" si="1232"/>
        <v>0</v>
      </c>
      <c r="ME137" s="286">
        <f t="shared" si="1233"/>
        <v>0</v>
      </c>
      <c r="MF137" s="286">
        <f t="shared" si="1234"/>
        <v>0</v>
      </c>
      <c r="MG137" s="286">
        <f t="shared" si="1235"/>
        <v>0</v>
      </c>
      <c r="MH137" s="286">
        <f t="shared" si="1236"/>
        <v>0</v>
      </c>
      <c r="MI137" s="286">
        <f t="shared" si="1237"/>
        <v>0</v>
      </c>
      <c r="MJ137" s="286">
        <f t="shared" si="1238"/>
        <v>0</v>
      </c>
      <c r="MK137" s="286">
        <f t="shared" si="1239"/>
        <v>0</v>
      </c>
      <c r="ML137" s="282">
        <f t="shared" si="1240"/>
        <v>0</v>
      </c>
      <c r="MM137" s="1232">
        <f t="shared" si="1241"/>
        <v>0</v>
      </c>
      <c r="MN137" s="1232" t="str">
        <f t="shared" si="1242"/>
        <v>fix</v>
      </c>
      <c r="MO137" s="1232">
        <f t="shared" si="1243"/>
        <v>0</v>
      </c>
      <c r="MP137" s="1232">
        <f t="shared" si="1244"/>
        <v>0</v>
      </c>
      <c r="MQ137" s="282">
        <f t="shared" si="1245"/>
        <v>-332.82823350694446</v>
      </c>
      <c r="MR137" s="282">
        <f t="shared" si="1246"/>
        <v>0</v>
      </c>
      <c r="MS137" s="282">
        <f t="shared" si="1247"/>
        <v>0</v>
      </c>
      <c r="MT137" s="282">
        <f t="shared" si="1248"/>
        <v>0</v>
      </c>
      <c r="MU137" s="282">
        <f t="shared" si="1249"/>
        <v>0</v>
      </c>
      <c r="MV137" s="282">
        <f t="shared" si="1250"/>
        <v>0</v>
      </c>
      <c r="MW137" s="282">
        <f t="shared" si="1251"/>
        <v>0</v>
      </c>
      <c r="MX137" s="282">
        <f t="shared" si="1252"/>
        <v>0</v>
      </c>
      <c r="MY137" s="282">
        <f t="shared" si="1253"/>
        <v>0</v>
      </c>
      <c r="MZ137" s="282">
        <f t="shared" si="1254"/>
        <v>0</v>
      </c>
      <c r="NA137" s="282">
        <f t="shared" si="1255"/>
        <v>0</v>
      </c>
      <c r="NB137" s="282">
        <f t="shared" si="1256"/>
        <v>0</v>
      </c>
      <c r="NC137" s="282">
        <f t="shared" si="1257"/>
        <v>0</v>
      </c>
      <c r="ND137" s="282">
        <f t="shared" si="1258"/>
        <v>0</v>
      </c>
      <c r="NE137" s="282">
        <f t="shared" si="1259"/>
        <v>0</v>
      </c>
      <c r="NF137" s="282">
        <f t="shared" si="1260"/>
        <v>0</v>
      </c>
      <c r="NG137" s="282">
        <f t="shared" si="1261"/>
        <v>0</v>
      </c>
      <c r="NH137" s="282">
        <f t="shared" si="1262"/>
        <v>0</v>
      </c>
      <c r="NI137" s="282">
        <f t="shared" si="1263"/>
        <v>0</v>
      </c>
      <c r="NJ137" s="282">
        <f t="shared" si="1264"/>
        <v>0</v>
      </c>
      <c r="NK137" s="282">
        <f t="shared" si="1265"/>
        <v>0</v>
      </c>
      <c r="NL137" s="282">
        <f t="shared" si="1266"/>
        <v>0</v>
      </c>
      <c r="NM137" s="1205">
        <f t="shared" si="1267"/>
        <v>0</v>
      </c>
      <c r="NN137" s="282">
        <f t="shared" si="1268"/>
        <v>0</v>
      </c>
      <c r="NO137" s="282">
        <f t="shared" si="1269"/>
        <v>0</v>
      </c>
      <c r="NP137" s="282">
        <f t="shared" si="1270"/>
        <v>0</v>
      </c>
      <c r="NQ137" s="282">
        <f t="shared" si="1271"/>
        <v>0</v>
      </c>
      <c r="NR137" s="282">
        <f t="shared" si="1272"/>
        <v>0</v>
      </c>
      <c r="NS137" s="282">
        <f t="shared" si="1273"/>
        <v>0</v>
      </c>
      <c r="NT137" s="282">
        <f t="shared" si="1274"/>
        <v>0</v>
      </c>
      <c r="NU137" s="282">
        <f t="shared" si="1275"/>
        <v>0</v>
      </c>
      <c r="NV137" s="286">
        <f t="shared" si="1276"/>
        <v>0</v>
      </c>
      <c r="NW137" s="286">
        <f t="shared" si="1277"/>
        <v>0</v>
      </c>
      <c r="NX137" s="286">
        <f t="shared" si="1278"/>
        <v>0</v>
      </c>
      <c r="NY137" s="286">
        <f t="shared" si="1279"/>
        <v>0</v>
      </c>
      <c r="NZ137" s="286">
        <f t="shared" si="1280"/>
        <v>0</v>
      </c>
      <c r="OA137" s="286">
        <f t="shared" si="1281"/>
        <v>0</v>
      </c>
      <c r="OB137" s="286">
        <f t="shared" si="1282"/>
        <v>0</v>
      </c>
      <c r="OC137" s="286">
        <f t="shared" si="1283"/>
        <v>0</v>
      </c>
      <c r="OD137" s="286">
        <f t="shared" si="1284"/>
        <v>0</v>
      </c>
      <c r="OE137" s="282">
        <f t="shared" si="1285"/>
        <v>0</v>
      </c>
      <c r="OF137" s="282">
        <f t="shared" si="1286"/>
        <v>0</v>
      </c>
      <c r="OG137" s="286">
        <f t="shared" si="1287"/>
        <v>0</v>
      </c>
      <c r="OH137" s="286">
        <f t="shared" si="1288"/>
        <v>0</v>
      </c>
      <c r="OI137" s="286">
        <f t="shared" si="1289"/>
        <v>0</v>
      </c>
      <c r="OJ137" s="286">
        <f t="shared" si="1290"/>
        <v>0</v>
      </c>
      <c r="OK137" s="286">
        <f t="shared" si="1291"/>
        <v>0</v>
      </c>
      <c r="OL137" s="286">
        <f t="shared" si="1292"/>
        <v>0</v>
      </c>
      <c r="OM137" s="286">
        <f t="shared" si="1293"/>
        <v>0</v>
      </c>
      <c r="ON137" s="286">
        <f t="shared" si="1294"/>
        <v>0</v>
      </c>
      <c r="OO137" s="286">
        <f t="shared" si="1295"/>
        <v>0</v>
      </c>
      <c r="OP137" s="434">
        <f t="shared" si="1296"/>
        <v>0</v>
      </c>
      <c r="OQ137" s="434">
        <f t="shared" si="1297"/>
        <v>0</v>
      </c>
      <c r="OR137" s="282">
        <f t="shared" si="1298"/>
        <v>0</v>
      </c>
      <c r="OS137" s="282">
        <f t="shared" si="1299"/>
        <v>0</v>
      </c>
      <c r="OT137" s="282">
        <f t="shared" si="1300"/>
        <v>0</v>
      </c>
      <c r="OU137" s="282">
        <f t="shared" si="1301"/>
        <v>0</v>
      </c>
      <c r="OV137" s="282">
        <f t="shared" si="1302"/>
        <v>0</v>
      </c>
      <c r="OW137" s="286">
        <f t="shared" si="1303"/>
        <v>0</v>
      </c>
      <c r="OX137" s="286">
        <f t="shared" si="1304"/>
        <v>0</v>
      </c>
      <c r="OY137" s="286">
        <f t="shared" si="1305"/>
        <v>0</v>
      </c>
      <c r="OZ137" s="286">
        <f t="shared" si="1306"/>
        <v>0</v>
      </c>
      <c r="PA137" s="286">
        <f t="shared" si="1307"/>
        <v>0</v>
      </c>
      <c r="PB137" s="286">
        <f t="shared" si="1308"/>
        <v>0</v>
      </c>
      <c r="PC137" s="286">
        <f t="shared" si="1309"/>
        <v>0</v>
      </c>
      <c r="PD137" s="282">
        <f t="shared" si="1310"/>
        <v>0</v>
      </c>
      <c r="PE137" s="282">
        <f t="shared" si="1311"/>
        <v>0</v>
      </c>
      <c r="PF137" s="286">
        <f t="shared" si="1312"/>
        <v>0</v>
      </c>
      <c r="PG137" s="286">
        <f t="shared" si="1313"/>
        <v>0</v>
      </c>
      <c r="PH137" s="286">
        <f t="shared" si="1314"/>
        <v>0</v>
      </c>
      <c r="PI137" s="286">
        <f t="shared" si="1315"/>
        <v>0</v>
      </c>
      <c r="PJ137" s="286">
        <f t="shared" si="1316"/>
        <v>0</v>
      </c>
      <c r="PK137" s="286">
        <f t="shared" si="1317"/>
        <v>0</v>
      </c>
      <c r="PL137" s="286">
        <f t="shared" si="1318"/>
        <v>0</v>
      </c>
      <c r="PM137" s="562">
        <v>81</v>
      </c>
    </row>
    <row r="138" spans="1:429" s="289" customFormat="1" ht="15.75" customHeight="1">
      <c r="A138" s="1935" t="s">
        <v>1010</v>
      </c>
      <c r="B138" s="1040" t="str">
        <f>VLOOKUP(A138,'Area (&amp;golfacre for lookup)'!$A$2:$B$162,2,FALSE)</f>
        <v>SW exc CIRA</v>
      </c>
      <c r="C138" s="1936"/>
      <c r="D138" s="1937">
        <v>44926</v>
      </c>
      <c r="E138" s="402"/>
      <c r="F138" s="1936">
        <v>1</v>
      </c>
      <c r="G138" s="1936">
        <v>0</v>
      </c>
      <c r="H138" s="1936">
        <v>325</v>
      </c>
      <c r="I138" s="1936">
        <v>222</v>
      </c>
      <c r="J138" s="1936">
        <v>547</v>
      </c>
      <c r="K138" s="1938">
        <v>355.0409836065574</v>
      </c>
      <c r="L138" s="1939" t="s">
        <v>1208</v>
      </c>
      <c r="M138" s="1939" t="s">
        <v>1208</v>
      </c>
      <c r="N138" s="1939" t="s">
        <v>1208</v>
      </c>
      <c r="O138" s="1939" t="s">
        <v>1208</v>
      </c>
      <c r="P138" s="1939" t="s">
        <v>1208</v>
      </c>
      <c r="Q138" s="1936">
        <v>0</v>
      </c>
      <c r="R138" s="1936">
        <v>80000</v>
      </c>
      <c r="S138" s="1936">
        <v>80000</v>
      </c>
      <c r="T138" s="1939" t="s">
        <v>1208</v>
      </c>
      <c r="U138" s="1939" t="s">
        <v>1208</v>
      </c>
      <c r="V138" s="1939" t="s">
        <v>1208</v>
      </c>
      <c r="W138" s="1936">
        <v>16622</v>
      </c>
      <c r="X138" s="1936">
        <v>15250</v>
      </c>
      <c r="Y138" s="1939" t="s">
        <v>1208</v>
      </c>
      <c r="Z138" s="1939" t="s">
        <v>1208</v>
      </c>
      <c r="AA138" s="1936">
        <v>1372</v>
      </c>
      <c r="AB138" s="1362">
        <v>8.9967213114754099E-2</v>
      </c>
      <c r="AC138" s="1939" t="s">
        <v>1208</v>
      </c>
      <c r="AD138" s="1363" t="s">
        <v>1208</v>
      </c>
      <c r="AE138" s="1936">
        <v>0</v>
      </c>
      <c r="AF138" s="1936">
        <v>0</v>
      </c>
      <c r="AG138" s="1939" t="s">
        <v>1208</v>
      </c>
      <c r="AH138" s="1936">
        <v>0</v>
      </c>
      <c r="AI138" s="1936">
        <v>0</v>
      </c>
      <c r="AJ138" s="1939" t="s">
        <v>1208</v>
      </c>
      <c r="AK138" s="1938">
        <v>0</v>
      </c>
      <c r="AL138" s="1938">
        <v>0</v>
      </c>
      <c r="AM138" s="1936">
        <v>15250</v>
      </c>
      <c r="AN138" s="1939" t="s">
        <v>1208</v>
      </c>
      <c r="AO138" s="1936">
        <v>1200</v>
      </c>
      <c r="AP138" s="1936">
        <v>0</v>
      </c>
      <c r="AQ138" s="1936">
        <v>16450</v>
      </c>
      <c r="AR138" s="1939" t="s">
        <v>1208</v>
      </c>
      <c r="AS138" s="1363" t="s">
        <v>1208</v>
      </c>
      <c r="AT138" s="1363" t="s">
        <v>1208</v>
      </c>
      <c r="AU138" s="1363" t="s">
        <v>1208</v>
      </c>
      <c r="AV138" s="1363" t="s">
        <v>1208</v>
      </c>
      <c r="AW138" s="1363" t="s">
        <v>1291</v>
      </c>
      <c r="AX138" s="1938">
        <v>0</v>
      </c>
      <c r="AY138" s="1938">
        <v>0</v>
      </c>
      <c r="AZ138" s="1938">
        <v>0</v>
      </c>
      <c r="BA138" s="1938">
        <v>0</v>
      </c>
      <c r="BB138" s="1938">
        <v>0</v>
      </c>
      <c r="BC138" s="1938">
        <v>0</v>
      </c>
      <c r="BD138" s="1938">
        <v>0</v>
      </c>
      <c r="BE138" s="1936">
        <v>1</v>
      </c>
      <c r="BF138" s="1936">
        <v>975000</v>
      </c>
      <c r="BG138" s="1936">
        <v>503500</v>
      </c>
      <c r="BH138" s="1936">
        <v>1478500</v>
      </c>
      <c r="BI138" s="1938">
        <v>19016352</v>
      </c>
      <c r="BJ138" s="1936">
        <v>592103</v>
      </c>
      <c r="BK138" s="1936">
        <v>1263392</v>
      </c>
      <c r="BL138" s="1362">
        <v>0.46866134976317725</v>
      </c>
      <c r="BM138" s="1936">
        <v>0</v>
      </c>
      <c r="BN138" s="1936">
        <v>0</v>
      </c>
      <c r="BO138" s="1363" t="s">
        <v>1208</v>
      </c>
      <c r="BP138" s="1938">
        <v>9146105</v>
      </c>
      <c r="BQ138" s="1938">
        <v>5845849</v>
      </c>
      <c r="BR138" s="1940">
        <v>1.5645469118343631</v>
      </c>
      <c r="BS138" s="1409">
        <v>1</v>
      </c>
      <c r="BT138" s="1938">
        <v>5981849</v>
      </c>
      <c r="BU138" s="1938">
        <v>22201758</v>
      </c>
      <c r="BV138" s="1940">
        <v>0.26943132160975719</v>
      </c>
      <c r="BW138" s="1936">
        <v>0</v>
      </c>
      <c r="BX138" s="1936">
        <v>1667.7032436800184</v>
      </c>
      <c r="BY138" s="1936">
        <v>4164.3079764515751</v>
      </c>
      <c r="BZ138" s="1936">
        <v>1322868</v>
      </c>
      <c r="CA138" s="1936">
        <v>0</v>
      </c>
      <c r="CB138" s="1936">
        <v>389736</v>
      </c>
      <c r="CC138" s="1936">
        <v>0</v>
      </c>
      <c r="CD138" s="1936">
        <v>5414375</v>
      </c>
      <c r="CE138" s="1936">
        <v>0</v>
      </c>
      <c r="CF138" s="1936">
        <v>0</v>
      </c>
      <c r="CG138" s="1936">
        <v>978463</v>
      </c>
      <c r="CH138" s="1936">
        <v>340563</v>
      </c>
      <c r="CI138" s="1936">
        <v>139960</v>
      </c>
      <c r="CJ138" s="1936">
        <v>8585965</v>
      </c>
      <c r="CK138" s="1366">
        <v>0.15407330451498463</v>
      </c>
      <c r="CL138" s="1366">
        <v>0</v>
      </c>
      <c r="CM138" s="1366">
        <v>4.5392218579973248E-2</v>
      </c>
      <c r="CN138" s="1366">
        <v>0</v>
      </c>
      <c r="CO138" s="1366">
        <v>0.63060762535137282</v>
      </c>
      <c r="CP138" s="1366">
        <v>0</v>
      </c>
      <c r="CQ138" s="1366">
        <v>0</v>
      </c>
      <c r="CR138" s="1366">
        <v>0.11396074873354364</v>
      </c>
      <c r="CS138" s="1366">
        <v>3.9665081327492017E-2</v>
      </c>
      <c r="CT138" s="1366">
        <v>1.6301021492633617E-2</v>
      </c>
      <c r="CU138" s="1366">
        <v>1</v>
      </c>
      <c r="CV138" s="1936">
        <v>3856569</v>
      </c>
      <c r="CW138" s="1936">
        <v>586851</v>
      </c>
      <c r="CX138" s="1936">
        <v>293267</v>
      </c>
      <c r="CY138" s="1936">
        <v>2419064</v>
      </c>
      <c r="CZ138" s="1936">
        <v>176639</v>
      </c>
      <c r="DA138" s="1936">
        <v>183524</v>
      </c>
      <c r="DB138" s="1936">
        <v>7515914</v>
      </c>
      <c r="DC138" s="1366">
        <v>0.51312042687023829</v>
      </c>
      <c r="DD138" s="1366">
        <v>7.8081122269360717E-2</v>
      </c>
      <c r="DE138" s="1366">
        <v>3.9019472548515059E-2</v>
      </c>
      <c r="DF138" s="1366">
        <v>0.3218589249424621</v>
      </c>
      <c r="DG138" s="1366">
        <v>2.3501998559323591E-2</v>
      </c>
      <c r="DH138" s="1366">
        <v>2.4418054810100277E-2</v>
      </c>
      <c r="DI138" s="1366">
        <v>1</v>
      </c>
      <c r="DJ138" s="1936">
        <v>1070051</v>
      </c>
      <c r="DK138" s="1936">
        <v>3725.9585824772016</v>
      </c>
      <c r="DL138" s="1936">
        <v>0</v>
      </c>
      <c r="DM138" s="1936">
        <v>1097.7211589518643</v>
      </c>
      <c r="DN138" s="1936">
        <v>0</v>
      </c>
      <c r="DO138" s="1936">
        <v>15249.999999999998</v>
      </c>
      <c r="DP138" s="1936">
        <v>0</v>
      </c>
      <c r="DQ138" s="1936">
        <v>0</v>
      </c>
      <c r="DR138" s="1936">
        <v>2755.9156412328289</v>
      </c>
      <c r="DS138" s="1936">
        <v>959.22165531571045</v>
      </c>
      <c r="DT138" s="1936">
        <v>394.2080110816114</v>
      </c>
      <c r="DU138" s="1936">
        <v>24183.025049059215</v>
      </c>
      <c r="DV138" s="1936">
        <v>10862.320627957981</v>
      </c>
      <c r="DW138" s="1936">
        <v>1652.9105852476046</v>
      </c>
      <c r="DX138" s="1936">
        <v>826.00886528916078</v>
      </c>
      <c r="DY138" s="1936">
        <v>6813.4781946208004</v>
      </c>
      <c r="DZ138" s="1936">
        <v>497.51721112778478</v>
      </c>
      <c r="EA138" s="1936">
        <v>516.90933856631648</v>
      </c>
      <c r="EB138" s="1936">
        <v>21169.144822809649</v>
      </c>
      <c r="EC138" s="1936">
        <v>3013.8802262495669</v>
      </c>
      <c r="ED138" s="1941">
        <v>72</v>
      </c>
      <c r="EE138" s="1936">
        <v>0</v>
      </c>
      <c r="EF138" s="1936">
        <v>0</v>
      </c>
      <c r="EG138" s="1938">
        <v>0</v>
      </c>
      <c r="EH138" s="1938">
        <v>1</v>
      </c>
      <c r="EI138" s="1368">
        <v>0.03</v>
      </c>
      <c r="EJ138" s="1936">
        <v>4.9311247723132974</v>
      </c>
      <c r="EK138" s="1936">
        <v>1</v>
      </c>
      <c r="EL138" s="1936">
        <v>1200</v>
      </c>
      <c r="EM138" s="1936">
        <v>1</v>
      </c>
      <c r="EN138" s="1362">
        <v>0.2</v>
      </c>
      <c r="EO138" s="1936">
        <v>0</v>
      </c>
      <c r="EP138" s="1936">
        <v>0</v>
      </c>
      <c r="EQ138" s="1936">
        <v>0</v>
      </c>
      <c r="ER138" s="1938">
        <v>0</v>
      </c>
      <c r="ES138" s="1936">
        <v>3715.1372965485393</v>
      </c>
      <c r="ET138" s="1936">
        <v>-1428.7561814613873</v>
      </c>
      <c r="EU138" s="1938">
        <v>1</v>
      </c>
      <c r="EV138" s="1936">
        <v>35000</v>
      </c>
      <c r="EW138" s="1936">
        <v>6300</v>
      </c>
      <c r="EX138" s="1938">
        <v>1</v>
      </c>
      <c r="EY138" s="1936">
        <v>978463</v>
      </c>
      <c r="EZ138" s="1936">
        <v>451764</v>
      </c>
      <c r="FA138" s="1936">
        <v>526699</v>
      </c>
      <c r="FB138" s="1936">
        <v>340563</v>
      </c>
      <c r="FC138" s="1936">
        <v>135087</v>
      </c>
      <c r="FD138" s="1936">
        <v>205476</v>
      </c>
      <c r="FE138" s="1936">
        <v>1319026</v>
      </c>
      <c r="FF138" s="1936">
        <v>586851</v>
      </c>
      <c r="FG138" s="1936">
        <v>732175</v>
      </c>
      <c r="FH138" s="1366">
        <v>1</v>
      </c>
      <c r="FI138" s="1366">
        <v>0.46170780090815899</v>
      </c>
      <c r="FJ138" s="1366">
        <v>0.53829219909184101</v>
      </c>
      <c r="FK138" s="1366">
        <v>1</v>
      </c>
      <c r="FL138" s="1366">
        <v>0.3966578870869707</v>
      </c>
      <c r="FM138" s="1366">
        <v>0.6033421129130293</v>
      </c>
      <c r="FN138" s="1366">
        <v>1</v>
      </c>
      <c r="FO138" s="1366">
        <v>0.4449123823184683</v>
      </c>
      <c r="FP138" s="1366">
        <v>0.5550876176815317</v>
      </c>
      <c r="FQ138" s="1936">
        <v>859452</v>
      </c>
      <c r="FR138" s="1936">
        <v>0</v>
      </c>
      <c r="FS138" s="1936">
        <v>219670</v>
      </c>
      <c r="FT138" s="1936">
        <v>37725</v>
      </c>
      <c r="FU138" s="1936">
        <v>19197</v>
      </c>
      <c r="FV138" s="1936">
        <v>16745</v>
      </c>
      <c r="FW138" s="1936">
        <v>86653</v>
      </c>
      <c r="FX138" s="1936">
        <v>1239442</v>
      </c>
      <c r="FY138" s="1936">
        <v>-507267</v>
      </c>
      <c r="FZ138" s="1366">
        <v>0.65158078764179028</v>
      </c>
      <c r="GA138" s="1366">
        <v>0</v>
      </c>
      <c r="GB138" s="1366">
        <v>0.16653955266992462</v>
      </c>
      <c r="GC138" s="1366">
        <v>2.8600649266959103E-2</v>
      </c>
      <c r="GD138" s="1366">
        <v>1.455392084765577E-2</v>
      </c>
      <c r="GE138" s="1366">
        <v>1.2694973412199608E-2</v>
      </c>
      <c r="GF138" s="1366">
        <v>6.5694686837105568E-2</v>
      </c>
      <c r="GG138" s="1366">
        <v>0.93966457067563491</v>
      </c>
      <c r="GH138" s="1366">
        <v>-0.38457695299410322</v>
      </c>
      <c r="GI138" s="1942">
        <v>2.8730748789504439</v>
      </c>
      <c r="GJ138" s="1943">
        <v>1</v>
      </c>
      <c r="GK138" s="1371">
        <v>0.1</v>
      </c>
      <c r="GL138" s="1943">
        <v>1</v>
      </c>
      <c r="GM138" s="1371">
        <v>0.05</v>
      </c>
      <c r="GN138" s="1943">
        <v>18</v>
      </c>
      <c r="GO138" s="1985">
        <f>IF(GN138=0,0,VLOOKUP(A138,'Area (&amp;golfacre for lookup)'!$G$2:$H$133,2,FALSE))</f>
        <v>131</v>
      </c>
      <c r="GP138" s="1943">
        <v>33000</v>
      </c>
      <c r="GQ138" s="1943">
        <v>868618</v>
      </c>
      <c r="GR138" s="1943">
        <v>225219</v>
      </c>
      <c r="GS138" s="1943">
        <v>663752</v>
      </c>
      <c r="GT138" s="1943">
        <v>161614</v>
      </c>
      <c r="GU138" s="1943">
        <v>65116</v>
      </c>
      <c r="GV138" s="1943">
        <v>295204</v>
      </c>
      <c r="GW138" s="1943">
        <v>2279523</v>
      </c>
      <c r="GX138" s="1943">
        <v>126640.16666666667</v>
      </c>
      <c r="GY138" s="1985">
        <f t="shared" si="1319"/>
        <v>17400.938931297711</v>
      </c>
      <c r="GZ138" s="1366">
        <v>0.38105252721731697</v>
      </c>
      <c r="HA138" s="1366">
        <v>9.8800933353162049E-2</v>
      </c>
      <c r="HB138" s="1366">
        <v>0.29118021621190049</v>
      </c>
      <c r="HC138" s="1366">
        <v>7.0898165975951985E-2</v>
      </c>
      <c r="HD138" s="1366">
        <v>2.8565625352321516E-2</v>
      </c>
      <c r="HE138" s="1366">
        <v>0.12950253188934702</v>
      </c>
      <c r="HF138" s="1366">
        <v>1</v>
      </c>
      <c r="HG138" s="1936">
        <v>0</v>
      </c>
      <c r="HH138" s="1988">
        <f>IF(HG138=0,0,VLOOKUP(A138,'Area (&amp;golfacre for lookup)'!$G$2:$H$134,2,FALSE))</f>
        <v>0</v>
      </c>
      <c r="HI138" s="1936">
        <v>0</v>
      </c>
      <c r="HJ138" s="1936">
        <v>0</v>
      </c>
      <c r="HK138" s="1936">
        <v>0</v>
      </c>
      <c r="HL138" s="1936">
        <v>0</v>
      </c>
      <c r="HM138" s="1936">
        <v>0</v>
      </c>
      <c r="HN138" s="1936">
        <v>0</v>
      </c>
      <c r="HO138" s="1936">
        <v>0</v>
      </c>
      <c r="HP138" s="1936">
        <v>0</v>
      </c>
      <c r="HQ138" s="1936">
        <v>0</v>
      </c>
      <c r="HR138" s="1988">
        <f t="shared" si="1320"/>
        <v>0</v>
      </c>
      <c r="HS138" s="1936">
        <v>0</v>
      </c>
      <c r="HT138" s="1936">
        <v>0</v>
      </c>
      <c r="HU138" s="1936">
        <v>0</v>
      </c>
      <c r="HV138" s="1936">
        <v>0</v>
      </c>
      <c r="HW138" s="1936">
        <v>0</v>
      </c>
      <c r="HX138" s="1936">
        <v>0</v>
      </c>
      <c r="HY138" s="1936">
        <v>0</v>
      </c>
      <c r="HZ138" s="51"/>
      <c r="IA138" s="59">
        <f t="shared" si="1136"/>
        <v>0</v>
      </c>
      <c r="IB138" s="59"/>
      <c r="IC138" s="815">
        <f t="shared" si="1137"/>
        <v>1</v>
      </c>
      <c r="ID138" s="815"/>
      <c r="IE138" s="284">
        <f t="shared" si="1138"/>
        <v>0</v>
      </c>
      <c r="IF138" s="284"/>
      <c r="IG138" s="284">
        <f t="shared" si="1139"/>
        <v>53561.005286852123</v>
      </c>
      <c r="IH138" s="284"/>
      <c r="II138" s="1288">
        <f t="shared" si="1140"/>
        <v>1.5645469118343631</v>
      </c>
      <c r="IJ138" s="1288">
        <f t="shared" si="1141"/>
        <v>0</v>
      </c>
      <c r="IK138" s="284">
        <f t="shared" si="1142"/>
        <v>0</v>
      </c>
      <c r="IL138" s="284">
        <f t="shared" si="1143"/>
        <v>0</v>
      </c>
      <c r="IM138" s="284">
        <f t="shared" si="1144"/>
        <v>1</v>
      </c>
      <c r="IN138" s="284">
        <f t="shared" si="1145"/>
        <v>0</v>
      </c>
      <c r="IO138" s="753">
        <f t="shared" si="1146"/>
        <v>-927.36197440585011</v>
      </c>
      <c r="IP138" s="113">
        <f t="shared" si="1147"/>
        <v>-1428.7561814613873</v>
      </c>
      <c r="IQ138" s="30">
        <f t="shared" si="1148"/>
        <v>-9.368892993189426E-2</v>
      </c>
      <c r="IR138" s="438">
        <f t="shared" si="1149"/>
        <v>978463</v>
      </c>
      <c r="IS138" s="438">
        <f t="shared" si="1150"/>
        <v>340563</v>
      </c>
      <c r="IT138" s="438">
        <f t="shared" si="1151"/>
        <v>859452</v>
      </c>
      <c r="IU138" s="438">
        <f t="shared" si="1152"/>
        <v>257395</v>
      </c>
      <c r="IV138" s="438">
        <f t="shared" si="1153"/>
        <v>586851</v>
      </c>
      <c r="IW138" s="438">
        <f t="shared" si="1154"/>
        <v>122595</v>
      </c>
      <c r="IX138" s="285">
        <f t="shared" si="1155"/>
        <v>0.74180721229149382</v>
      </c>
      <c r="IY138" s="285">
        <f t="shared" si="1156"/>
        <v>0.25819278770850612</v>
      </c>
      <c r="IZ138" s="285">
        <f t="shared" si="1157"/>
        <v>0.65158078764179028</v>
      </c>
      <c r="JA138" s="285">
        <f t="shared" si="1158"/>
        <v>0.19514020193688372</v>
      </c>
      <c r="JB138" s="285">
        <f t="shared" si="1159"/>
        <v>0.4449123823184683</v>
      </c>
      <c r="JC138" s="285">
        <f t="shared" si="1160"/>
        <v>9.2943581096960937E-2</v>
      </c>
      <c r="JD138" s="60">
        <f t="shared" si="1161"/>
        <v>5414375</v>
      </c>
      <c r="JE138" s="60">
        <f t="shared" si="1162"/>
        <v>1712604</v>
      </c>
      <c r="JF138" s="60">
        <f t="shared" si="1163"/>
        <v>0</v>
      </c>
      <c r="JG138" s="60">
        <f t="shared" si="1164"/>
        <v>360163</v>
      </c>
      <c r="JH138" s="284">
        <f t="shared" si="1165"/>
        <v>1</v>
      </c>
      <c r="JI138" s="284">
        <f t="shared" si="1166"/>
        <v>1</v>
      </c>
      <c r="JJ138" s="560">
        <f t="shared" si="1167"/>
        <v>0.75247603505963012</v>
      </c>
      <c r="JK138" s="561">
        <f t="shared" si="1168"/>
        <v>0.44917129291815189</v>
      </c>
      <c r="JL138" s="561">
        <f t="shared" si="1169"/>
        <v>6.8350034038107535E-2</v>
      </c>
      <c r="JM138" s="561">
        <f t="shared" si="1170"/>
        <v>3.4156556659618344E-2</v>
      </c>
      <c r="JN138" s="561">
        <f t="shared" si="1171"/>
        <v>0.28174631506184805</v>
      </c>
      <c r="JO138" s="561">
        <f t="shared" si="1172"/>
        <v>2.0572993251195409E-2</v>
      </c>
      <c r="JP138" s="561">
        <f t="shared" si="1173"/>
        <v>2.137488331247565E-2</v>
      </c>
      <c r="JQ138" s="561">
        <f t="shared" si="1174"/>
        <v>0.87537207524139682</v>
      </c>
      <c r="JR138" s="61">
        <f t="shared" si="1175"/>
        <v>48256.555555555555</v>
      </c>
      <c r="JS138" s="61">
        <f t="shared" si="1176"/>
        <v>12512.166666666666</v>
      </c>
      <c r="JT138" s="61">
        <f t="shared" si="1177"/>
        <v>36875.111111111109</v>
      </c>
      <c r="JU138" s="61">
        <f t="shared" si="1178"/>
        <v>8978.5555555555547</v>
      </c>
      <c r="JV138" s="61">
        <f t="shared" si="1179"/>
        <v>3617.5555555555557</v>
      </c>
      <c r="JW138" s="61">
        <f t="shared" si="1180"/>
        <v>16400.222222222223</v>
      </c>
      <c r="JX138" s="61">
        <f t="shared" si="1181"/>
        <v>69.076454545454538</v>
      </c>
      <c r="JY138" s="394">
        <f t="shared" si="1182"/>
        <v>0.3032928530049705</v>
      </c>
      <c r="JZ138" s="61">
        <f t="shared" si="1183"/>
        <v>0</v>
      </c>
      <c r="KA138" s="61">
        <f t="shared" si="1184"/>
        <v>0</v>
      </c>
      <c r="KB138" s="61">
        <f t="shared" si="1185"/>
        <v>0</v>
      </c>
      <c r="KC138" s="61">
        <f t="shared" si="1186"/>
        <v>0</v>
      </c>
      <c r="KD138" s="61">
        <f t="shared" si="1187"/>
        <v>0</v>
      </c>
      <c r="KE138" s="61">
        <f t="shared" si="1188"/>
        <v>0</v>
      </c>
      <c r="KF138" s="61">
        <f t="shared" si="1189"/>
        <v>0</v>
      </c>
      <c r="KG138" s="61">
        <f t="shared" si="1190"/>
        <v>0</v>
      </c>
      <c r="KH138" s="61">
        <f t="shared" si="1191"/>
        <v>0</v>
      </c>
      <c r="KI138" s="394">
        <f t="shared" si="1192"/>
        <v>0</v>
      </c>
      <c r="KJ138" s="438">
        <f t="shared" si="1193"/>
        <v>18</v>
      </c>
      <c r="KK138" s="438">
        <f t="shared" si="1194"/>
        <v>33000</v>
      </c>
      <c r="KL138" s="438">
        <f t="shared" si="1195"/>
        <v>131</v>
      </c>
      <c r="KM138" s="438">
        <f t="shared" si="1196"/>
        <v>126640.16666666667</v>
      </c>
      <c r="KN138" s="438">
        <f t="shared" si="1197"/>
        <v>69.076454545454538</v>
      </c>
      <c r="KO138" s="438">
        <f t="shared" si="1198"/>
        <v>17400.938931297711</v>
      </c>
      <c r="KP138" s="438">
        <f t="shared" si="1199"/>
        <v>868618</v>
      </c>
      <c r="KQ138" s="438">
        <f t="shared" si="1200"/>
        <v>225219</v>
      </c>
      <c r="KR138" s="438">
        <f t="shared" si="1201"/>
        <v>663752</v>
      </c>
      <c r="KS138" s="438">
        <f t="shared" si="1202"/>
        <v>161614</v>
      </c>
      <c r="KT138" s="438">
        <f t="shared" si="1203"/>
        <v>65116</v>
      </c>
      <c r="KU138" s="438">
        <f t="shared" si="1204"/>
        <v>295204</v>
      </c>
      <c r="KV138" s="420">
        <f t="shared" si="1205"/>
        <v>0.3032928530049705</v>
      </c>
      <c r="KW138" s="420">
        <f t="shared" si="1206"/>
        <v>-0.36649086921389817</v>
      </c>
      <c r="KX138" s="108"/>
      <c r="KY138" s="282">
        <f t="shared" si="1207"/>
        <v>0</v>
      </c>
      <c r="KZ138" s="282"/>
      <c r="LA138" s="282">
        <f t="shared" si="1208"/>
        <v>0</v>
      </c>
      <c r="LB138" s="282"/>
      <c r="LC138" s="286">
        <f t="shared" si="951"/>
        <v>0</v>
      </c>
      <c r="LD138" s="286"/>
      <c r="LE138" s="282">
        <f t="shared" si="1209"/>
        <v>0</v>
      </c>
      <c r="LF138" s="282"/>
      <c r="LG138" s="282">
        <f t="shared" si="1210"/>
        <v>0</v>
      </c>
      <c r="LH138" s="282">
        <f t="shared" si="1211"/>
        <v>0</v>
      </c>
      <c r="LI138" s="282">
        <f t="shared" si="1212"/>
        <v>0</v>
      </c>
      <c r="LJ138" s="282">
        <f t="shared" si="1213"/>
        <v>0</v>
      </c>
      <c r="LK138" s="282"/>
      <c r="LL138" s="282">
        <f t="shared" si="1214"/>
        <v>0</v>
      </c>
      <c r="LM138" s="282">
        <f t="shared" si="1215"/>
        <v>0</v>
      </c>
      <c r="LN138" s="282">
        <f t="shared" si="1216"/>
        <v>0</v>
      </c>
      <c r="LO138" s="282">
        <f t="shared" si="1217"/>
        <v>0</v>
      </c>
      <c r="LP138" s="286">
        <f t="shared" si="1218"/>
        <v>0</v>
      </c>
      <c r="LQ138" s="282">
        <f t="shared" si="1219"/>
        <v>0</v>
      </c>
      <c r="LR138" s="282">
        <f t="shared" si="1220"/>
        <v>0</v>
      </c>
      <c r="LS138" s="282">
        <f t="shared" si="1221"/>
        <v>0</v>
      </c>
      <c r="LT138" s="286">
        <f t="shared" si="1222"/>
        <v>0</v>
      </c>
      <c r="LU138" s="286">
        <f t="shared" si="1223"/>
        <v>0</v>
      </c>
      <c r="LV138" s="286">
        <f t="shared" si="1224"/>
        <v>0</v>
      </c>
      <c r="LW138" s="286">
        <f t="shared" si="1225"/>
        <v>0</v>
      </c>
      <c r="LX138" s="286">
        <f t="shared" si="1226"/>
        <v>0</v>
      </c>
      <c r="LY138" s="286">
        <f t="shared" si="1227"/>
        <v>0</v>
      </c>
      <c r="LZ138" s="286">
        <f t="shared" si="1228"/>
        <v>0</v>
      </c>
      <c r="MA138" s="286">
        <f t="shared" si="1229"/>
        <v>0</v>
      </c>
      <c r="MB138" s="286">
        <f t="shared" si="1230"/>
        <v>0</v>
      </c>
      <c r="MC138" s="286">
        <f t="shared" si="1231"/>
        <v>0</v>
      </c>
      <c r="MD138" s="286">
        <f t="shared" si="1232"/>
        <v>0</v>
      </c>
      <c r="ME138" s="286">
        <f t="shared" si="1233"/>
        <v>0</v>
      </c>
      <c r="MF138" s="286">
        <f t="shared" si="1234"/>
        <v>0</v>
      </c>
      <c r="MG138" s="286">
        <f t="shared" si="1235"/>
        <v>0</v>
      </c>
      <c r="MH138" s="286">
        <f t="shared" si="1236"/>
        <v>0</v>
      </c>
      <c r="MI138" s="286">
        <f t="shared" si="1237"/>
        <v>0</v>
      </c>
      <c r="MJ138" s="286">
        <f t="shared" si="1238"/>
        <v>0</v>
      </c>
      <c r="MK138" s="286">
        <f t="shared" si="1239"/>
        <v>0</v>
      </c>
      <c r="ML138" s="282">
        <f t="shared" si="1240"/>
        <v>0</v>
      </c>
      <c r="MM138" s="1232">
        <f t="shared" si="1241"/>
        <v>0</v>
      </c>
      <c r="MN138" s="1232">
        <f t="shared" si="1242"/>
        <v>0</v>
      </c>
      <c r="MO138" s="1232">
        <f t="shared" si="1243"/>
        <v>0</v>
      </c>
      <c r="MP138" s="1232">
        <f t="shared" si="1244"/>
        <v>0</v>
      </c>
      <c r="MQ138" s="282">
        <f t="shared" si="1245"/>
        <v>0</v>
      </c>
      <c r="MR138" s="282">
        <f t="shared" si="1246"/>
        <v>0</v>
      </c>
      <c r="MS138" s="282">
        <f t="shared" si="1247"/>
        <v>0</v>
      </c>
      <c r="MT138" s="282">
        <f t="shared" si="1248"/>
        <v>0</v>
      </c>
      <c r="MU138" s="282">
        <f t="shared" si="1249"/>
        <v>0</v>
      </c>
      <c r="MV138" s="282">
        <f t="shared" si="1250"/>
        <v>0</v>
      </c>
      <c r="MW138" s="282">
        <f t="shared" si="1251"/>
        <v>0</v>
      </c>
      <c r="MX138" s="282">
        <f t="shared" si="1252"/>
        <v>0</v>
      </c>
      <c r="MY138" s="282">
        <f t="shared" si="1253"/>
        <v>0</v>
      </c>
      <c r="MZ138" s="282">
        <f t="shared" si="1254"/>
        <v>0</v>
      </c>
      <c r="NA138" s="282">
        <f t="shared" si="1255"/>
        <v>0</v>
      </c>
      <c r="NB138" s="282">
        <f t="shared" si="1256"/>
        <v>0</v>
      </c>
      <c r="NC138" s="282">
        <f t="shared" si="1257"/>
        <v>0</v>
      </c>
      <c r="ND138" s="282">
        <f t="shared" si="1258"/>
        <v>0</v>
      </c>
      <c r="NE138" s="282">
        <f t="shared" si="1259"/>
        <v>0</v>
      </c>
      <c r="NF138" s="282">
        <f t="shared" si="1260"/>
        <v>0</v>
      </c>
      <c r="NG138" s="282">
        <f t="shared" si="1261"/>
        <v>0</v>
      </c>
      <c r="NH138" s="282">
        <f t="shared" si="1262"/>
        <v>0</v>
      </c>
      <c r="NI138" s="282">
        <f t="shared" si="1263"/>
        <v>0</v>
      </c>
      <c r="NJ138" s="282">
        <f t="shared" si="1264"/>
        <v>0</v>
      </c>
      <c r="NK138" s="282">
        <f t="shared" si="1265"/>
        <v>0</v>
      </c>
      <c r="NL138" s="282">
        <f t="shared" si="1266"/>
        <v>0</v>
      </c>
      <c r="NM138" s="1205">
        <f t="shared" si="1267"/>
        <v>0</v>
      </c>
      <c r="NN138" s="282">
        <f t="shared" si="1268"/>
        <v>0</v>
      </c>
      <c r="NO138" s="282">
        <f t="shared" si="1269"/>
        <v>0</v>
      </c>
      <c r="NP138" s="282">
        <f t="shared" si="1270"/>
        <v>0</v>
      </c>
      <c r="NQ138" s="282">
        <f t="shared" si="1271"/>
        <v>0</v>
      </c>
      <c r="NR138" s="282">
        <f t="shared" si="1272"/>
        <v>0</v>
      </c>
      <c r="NS138" s="282">
        <f t="shared" si="1273"/>
        <v>0</v>
      </c>
      <c r="NT138" s="282">
        <f t="shared" si="1274"/>
        <v>0</v>
      </c>
      <c r="NU138" s="282">
        <f t="shared" si="1275"/>
        <v>0</v>
      </c>
      <c r="NV138" s="286">
        <f t="shared" si="1276"/>
        <v>0</v>
      </c>
      <c r="NW138" s="286">
        <f t="shared" si="1277"/>
        <v>0</v>
      </c>
      <c r="NX138" s="286">
        <f t="shared" si="1278"/>
        <v>0</v>
      </c>
      <c r="NY138" s="286">
        <f t="shared" si="1279"/>
        <v>0</v>
      </c>
      <c r="NZ138" s="286">
        <f t="shared" si="1280"/>
        <v>0</v>
      </c>
      <c r="OA138" s="286">
        <f t="shared" si="1281"/>
        <v>0</v>
      </c>
      <c r="OB138" s="286">
        <f t="shared" si="1282"/>
        <v>0</v>
      </c>
      <c r="OC138" s="286">
        <f t="shared" si="1283"/>
        <v>0</v>
      </c>
      <c r="OD138" s="286">
        <f t="shared" si="1284"/>
        <v>0</v>
      </c>
      <c r="OE138" s="282">
        <f t="shared" si="1285"/>
        <v>0</v>
      </c>
      <c r="OF138" s="282">
        <f t="shared" si="1286"/>
        <v>0</v>
      </c>
      <c r="OG138" s="286">
        <f t="shared" si="1287"/>
        <v>0</v>
      </c>
      <c r="OH138" s="286">
        <f t="shared" si="1288"/>
        <v>0</v>
      </c>
      <c r="OI138" s="286">
        <f t="shared" si="1289"/>
        <v>0</v>
      </c>
      <c r="OJ138" s="286">
        <f t="shared" si="1290"/>
        <v>0</v>
      </c>
      <c r="OK138" s="286">
        <f t="shared" si="1291"/>
        <v>0</v>
      </c>
      <c r="OL138" s="286">
        <f t="shared" si="1292"/>
        <v>0</v>
      </c>
      <c r="OM138" s="286">
        <f t="shared" si="1293"/>
        <v>0</v>
      </c>
      <c r="ON138" s="286">
        <f t="shared" si="1294"/>
        <v>0</v>
      </c>
      <c r="OO138" s="286">
        <f t="shared" si="1295"/>
        <v>0</v>
      </c>
      <c r="OP138" s="434">
        <f t="shared" si="1296"/>
        <v>0</v>
      </c>
      <c r="OQ138" s="434">
        <f t="shared" si="1297"/>
        <v>0</v>
      </c>
      <c r="OR138" s="282">
        <f t="shared" si="1298"/>
        <v>0</v>
      </c>
      <c r="OS138" s="282">
        <f t="shared" si="1299"/>
        <v>0</v>
      </c>
      <c r="OT138" s="282">
        <f t="shared" si="1300"/>
        <v>0</v>
      </c>
      <c r="OU138" s="282">
        <f t="shared" si="1301"/>
        <v>0</v>
      </c>
      <c r="OV138" s="282">
        <f t="shared" si="1302"/>
        <v>0</v>
      </c>
      <c r="OW138" s="286">
        <f t="shared" si="1303"/>
        <v>0</v>
      </c>
      <c r="OX138" s="286">
        <f t="shared" si="1304"/>
        <v>0</v>
      </c>
      <c r="OY138" s="286">
        <f t="shared" si="1305"/>
        <v>0</v>
      </c>
      <c r="OZ138" s="286">
        <f t="shared" si="1306"/>
        <v>0</v>
      </c>
      <c r="PA138" s="286">
        <f t="shared" si="1307"/>
        <v>0</v>
      </c>
      <c r="PB138" s="286">
        <f t="shared" si="1308"/>
        <v>0</v>
      </c>
      <c r="PC138" s="286">
        <f t="shared" si="1309"/>
        <v>0</v>
      </c>
      <c r="PD138" s="282">
        <f t="shared" si="1310"/>
        <v>0</v>
      </c>
      <c r="PE138" s="282">
        <f t="shared" si="1311"/>
        <v>0</v>
      </c>
      <c r="PF138" s="286">
        <f t="shared" si="1312"/>
        <v>0</v>
      </c>
      <c r="PG138" s="286">
        <f t="shared" si="1313"/>
        <v>0</v>
      </c>
      <c r="PH138" s="286">
        <f t="shared" si="1314"/>
        <v>0</v>
      </c>
      <c r="PI138" s="286">
        <f t="shared" si="1315"/>
        <v>0</v>
      </c>
      <c r="PJ138" s="286">
        <f t="shared" si="1316"/>
        <v>0</v>
      </c>
      <c r="PK138" s="286">
        <f t="shared" si="1317"/>
        <v>0</v>
      </c>
      <c r="PL138" s="286">
        <f t="shared" si="1318"/>
        <v>0</v>
      </c>
      <c r="PM138" s="562">
        <v>82</v>
      </c>
    </row>
    <row r="139" spans="1:429" s="289" customFormat="1" ht="15.75" customHeight="1">
      <c r="A139" s="1935" t="s">
        <v>680</v>
      </c>
      <c r="B139" s="1040" t="str">
        <f>VLOOKUP(A139,'Area (&amp;golfacre for lookup)'!$A$2:$B$162,2,FALSE)</f>
        <v>SW exc CIRA</v>
      </c>
      <c r="C139" s="1936"/>
      <c r="D139" s="1937">
        <v>44651</v>
      </c>
      <c r="E139" s="402"/>
      <c r="F139" s="1936">
        <v>1</v>
      </c>
      <c r="G139" s="1936">
        <v>0</v>
      </c>
      <c r="H139" s="1936">
        <v>466</v>
      </c>
      <c r="I139" s="1936">
        <v>305</v>
      </c>
      <c r="J139" s="1936">
        <v>771</v>
      </c>
      <c r="K139" s="1938">
        <v>464.58027767888927</v>
      </c>
      <c r="L139" s="1939" t="s">
        <v>1208</v>
      </c>
      <c r="M139" s="1939" t="s">
        <v>1208</v>
      </c>
      <c r="N139" s="1939" t="s">
        <v>1208</v>
      </c>
      <c r="O139" s="1939" t="s">
        <v>1208</v>
      </c>
      <c r="P139" s="1939" t="s">
        <v>1208</v>
      </c>
      <c r="Q139" s="1936">
        <v>0</v>
      </c>
      <c r="R139" s="1936">
        <v>85000</v>
      </c>
      <c r="S139" s="1936">
        <v>85000</v>
      </c>
      <c r="T139" s="1939" t="s">
        <v>1208</v>
      </c>
      <c r="U139" s="1939" t="s">
        <v>1208</v>
      </c>
      <c r="V139" s="1939" t="s">
        <v>1208</v>
      </c>
      <c r="W139" s="1936">
        <v>14508.75</v>
      </c>
      <c r="X139" s="1936">
        <v>14045</v>
      </c>
      <c r="Y139" s="1939" t="s">
        <v>1208</v>
      </c>
      <c r="Z139" s="1939" t="s">
        <v>1208</v>
      </c>
      <c r="AA139" s="1936">
        <v>463.75</v>
      </c>
      <c r="AB139" s="1362">
        <v>3.3018867924528301E-2</v>
      </c>
      <c r="AC139" s="1939" t="s">
        <v>1208</v>
      </c>
      <c r="AD139" s="1363" t="s">
        <v>1208</v>
      </c>
      <c r="AE139" s="1936">
        <v>1</v>
      </c>
      <c r="AF139" s="1936">
        <v>1700</v>
      </c>
      <c r="AG139" s="1939" t="s">
        <v>1208</v>
      </c>
      <c r="AH139" s="1936">
        <v>0</v>
      </c>
      <c r="AI139" s="1936">
        <v>0</v>
      </c>
      <c r="AJ139" s="1939" t="s">
        <v>1208</v>
      </c>
      <c r="AK139" s="1938">
        <v>0</v>
      </c>
      <c r="AL139" s="1938">
        <v>0</v>
      </c>
      <c r="AM139" s="1936">
        <v>15745</v>
      </c>
      <c r="AN139" s="1939" t="s">
        <v>1208</v>
      </c>
      <c r="AO139" s="1936">
        <v>1700</v>
      </c>
      <c r="AP139" s="1936">
        <v>0</v>
      </c>
      <c r="AQ139" s="1936">
        <v>17445</v>
      </c>
      <c r="AR139" s="1939" t="s">
        <v>1208</v>
      </c>
      <c r="AS139" s="1363" t="s">
        <v>1208</v>
      </c>
      <c r="AT139" s="1363" t="s">
        <v>1208</v>
      </c>
      <c r="AU139" s="1363" t="s">
        <v>1208</v>
      </c>
      <c r="AV139" s="1363" t="s">
        <v>1208</v>
      </c>
      <c r="AW139" s="1363" t="s">
        <v>1291</v>
      </c>
      <c r="AX139" s="1938">
        <v>0</v>
      </c>
      <c r="AY139" s="1938">
        <v>0</v>
      </c>
      <c r="AZ139" s="1938">
        <v>0</v>
      </c>
      <c r="BA139" s="1938">
        <v>0</v>
      </c>
      <c r="BB139" s="1938">
        <v>0</v>
      </c>
      <c r="BC139" s="1938">
        <v>0</v>
      </c>
      <c r="BD139" s="1938">
        <v>0</v>
      </c>
      <c r="BE139" s="1936">
        <v>1</v>
      </c>
      <c r="BF139" s="1936">
        <v>2000000</v>
      </c>
      <c r="BG139" s="1936">
        <v>1036672</v>
      </c>
      <c r="BH139" s="1936">
        <v>3036672</v>
      </c>
      <c r="BI139" s="1938">
        <v>24391271</v>
      </c>
      <c r="BJ139" s="1936">
        <v>1871574</v>
      </c>
      <c r="BK139" s="1936">
        <v>1403284</v>
      </c>
      <c r="BL139" s="1362">
        <v>1.3337100686674972</v>
      </c>
      <c r="BM139" s="1936">
        <v>1</v>
      </c>
      <c r="BN139" s="1936">
        <v>6514086</v>
      </c>
      <c r="BO139" s="1363" t="s">
        <v>1208</v>
      </c>
      <c r="BP139" s="1938">
        <v>3914656</v>
      </c>
      <c r="BQ139" s="1938">
        <v>2215953</v>
      </c>
      <c r="BR139" s="1940">
        <v>1.7665789843015625</v>
      </c>
      <c r="BS139" s="1409">
        <v>1</v>
      </c>
      <c r="BT139" s="1938">
        <v>7575139</v>
      </c>
      <c r="BU139" s="1938">
        <v>26444406</v>
      </c>
      <c r="BV139" s="1940">
        <v>0.28645525257780419</v>
      </c>
      <c r="BW139" s="1936">
        <v>14021.443253134468</v>
      </c>
      <c r="BX139" s="1936">
        <v>4028.5265860846616</v>
      </c>
      <c r="BY139" s="1936">
        <v>6536.3773407938352</v>
      </c>
      <c r="BZ139" s="1936">
        <v>2243166</v>
      </c>
      <c r="CA139" s="1936">
        <v>0</v>
      </c>
      <c r="CB139" s="1936">
        <v>389986</v>
      </c>
      <c r="CC139" s="1936">
        <v>0</v>
      </c>
      <c r="CD139" s="1936">
        <v>6525030</v>
      </c>
      <c r="CE139" s="1936">
        <v>0</v>
      </c>
      <c r="CF139" s="1936">
        <v>0</v>
      </c>
      <c r="CG139" s="1936">
        <v>1369023</v>
      </c>
      <c r="CH139" s="1936">
        <v>688350</v>
      </c>
      <c r="CI139" s="1936">
        <v>43855</v>
      </c>
      <c r="CJ139" s="1936">
        <v>11259410</v>
      </c>
      <c r="CK139" s="1366">
        <v>0.19922589194282828</v>
      </c>
      <c r="CL139" s="1366">
        <v>0</v>
      </c>
      <c r="CM139" s="1366">
        <v>3.4636450755412586E-2</v>
      </c>
      <c r="CN139" s="1366">
        <v>0</v>
      </c>
      <c r="CO139" s="1366">
        <v>0.57951793211189573</v>
      </c>
      <c r="CP139" s="1366">
        <v>0</v>
      </c>
      <c r="CQ139" s="1366">
        <v>0</v>
      </c>
      <c r="CR139" s="1366">
        <v>0.12158923069681271</v>
      </c>
      <c r="CS139" s="1366">
        <v>6.1135530192079339E-2</v>
      </c>
      <c r="CT139" s="1366">
        <v>3.8949643009713653E-3</v>
      </c>
      <c r="CU139" s="1366">
        <v>1</v>
      </c>
      <c r="CV139" s="1936">
        <v>5094041</v>
      </c>
      <c r="CW139" s="1936">
        <v>851989</v>
      </c>
      <c r="CX139" s="1936">
        <v>287581</v>
      </c>
      <c r="CY139" s="1936">
        <v>3797477</v>
      </c>
      <c r="CZ139" s="1936">
        <v>355323</v>
      </c>
      <c r="DA139" s="1936">
        <v>393365</v>
      </c>
      <c r="DB139" s="1936">
        <v>10779776</v>
      </c>
      <c r="DC139" s="1366">
        <v>0.47255536664212688</v>
      </c>
      <c r="DD139" s="1366">
        <v>7.9035872359499867E-2</v>
      </c>
      <c r="DE139" s="1366">
        <v>2.6677827071731362E-2</v>
      </c>
      <c r="DF139" s="1366">
        <v>0.35227791375256778</v>
      </c>
      <c r="DG139" s="1366">
        <v>3.2962002178895E-2</v>
      </c>
      <c r="DH139" s="1366">
        <v>3.649101799517912E-2</v>
      </c>
      <c r="DI139" s="1366">
        <v>1</v>
      </c>
      <c r="DJ139" s="1936">
        <v>479634</v>
      </c>
      <c r="DK139" s="1936">
        <v>4828.3711293281413</v>
      </c>
      <c r="DL139" s="1936">
        <v>0</v>
      </c>
      <c r="DM139" s="1936">
        <v>839.43727002021444</v>
      </c>
      <c r="DN139" s="1936">
        <v>0</v>
      </c>
      <c r="DO139" s="1936">
        <v>14045</v>
      </c>
      <c r="DP139" s="1936">
        <v>0</v>
      </c>
      <c r="DQ139" s="1936">
        <v>0</v>
      </c>
      <c r="DR139" s="1936">
        <v>2946.7953457685253</v>
      </c>
      <c r="DS139" s="1936">
        <v>1481.6599693794512</v>
      </c>
      <c r="DT139" s="1936">
        <v>94.397033423601115</v>
      </c>
      <c r="DU139" s="1936">
        <v>24235.660747919934</v>
      </c>
      <c r="DV139" s="1936">
        <v>10964.824046019712</v>
      </c>
      <c r="DW139" s="1936">
        <v>1833.8897300089043</v>
      </c>
      <c r="DX139" s="1936">
        <v>619.01250185822903</v>
      </c>
      <c r="DY139" s="1936">
        <v>8173.9952866117092</v>
      </c>
      <c r="DZ139" s="1936">
        <v>764.82583758235592</v>
      </c>
      <c r="EA139" s="1936">
        <v>846.71050171416834</v>
      </c>
      <c r="EB139" s="1936">
        <v>23203.257903795078</v>
      </c>
      <c r="EC139" s="1936">
        <v>1032.4028441248547</v>
      </c>
      <c r="ED139" s="1941">
        <v>115</v>
      </c>
      <c r="EE139" s="1936">
        <v>1</v>
      </c>
      <c r="EF139" s="1936">
        <v>28</v>
      </c>
      <c r="EG139" s="1938">
        <v>150000</v>
      </c>
      <c r="EH139" s="1938">
        <v>1</v>
      </c>
      <c r="EI139" s="1368">
        <v>0.112</v>
      </c>
      <c r="EJ139" s="1936">
        <v>4.0398285015555588</v>
      </c>
      <c r="EK139" s="1936">
        <v>1</v>
      </c>
      <c r="EL139" s="1936">
        <v>1700</v>
      </c>
      <c r="EM139" s="1936">
        <v>1</v>
      </c>
      <c r="EN139" s="1362">
        <v>0.2</v>
      </c>
      <c r="EO139" s="1936">
        <v>0</v>
      </c>
      <c r="EP139" s="1936">
        <v>0</v>
      </c>
      <c r="EQ139" s="1936">
        <v>0</v>
      </c>
      <c r="ER139" s="1938">
        <v>0</v>
      </c>
      <c r="ES139" s="1936">
        <v>4428.4553151479768</v>
      </c>
      <c r="ET139" s="1936">
        <v>-1546.0277469988644</v>
      </c>
      <c r="EU139" s="1938">
        <v>1</v>
      </c>
      <c r="EV139" s="1936">
        <v>71500</v>
      </c>
      <c r="EW139" s="1936">
        <v>50</v>
      </c>
      <c r="EX139" s="1938">
        <v>2</v>
      </c>
      <c r="EY139" s="1936">
        <v>1369023</v>
      </c>
      <c r="EZ139" s="1936">
        <v>631186</v>
      </c>
      <c r="FA139" s="1936">
        <v>737837</v>
      </c>
      <c r="FB139" s="1936">
        <v>688350</v>
      </c>
      <c r="FC139" s="1936">
        <v>220803</v>
      </c>
      <c r="FD139" s="1936">
        <v>467547</v>
      </c>
      <c r="FE139" s="1936">
        <v>2057373</v>
      </c>
      <c r="FF139" s="1936">
        <v>851989</v>
      </c>
      <c r="FG139" s="1936">
        <v>1205384</v>
      </c>
      <c r="FH139" s="1366">
        <v>1</v>
      </c>
      <c r="FI139" s="1366">
        <v>0.46104849955040933</v>
      </c>
      <c r="FJ139" s="1366">
        <v>0.53895150044959073</v>
      </c>
      <c r="FK139" s="1366">
        <v>1</v>
      </c>
      <c r="FL139" s="1366">
        <v>0.32077140989322295</v>
      </c>
      <c r="FM139" s="1366">
        <v>0.67922859010677705</v>
      </c>
      <c r="FN139" s="1366">
        <v>1</v>
      </c>
      <c r="FO139" s="1366">
        <v>0.41411499032990129</v>
      </c>
      <c r="FP139" s="1366">
        <v>0.58588500967009871</v>
      </c>
      <c r="FQ139" s="1936">
        <v>1276760</v>
      </c>
      <c r="FR139" s="1936">
        <v>0</v>
      </c>
      <c r="FS139" s="1936">
        <v>284221</v>
      </c>
      <c r="FT139" s="1936">
        <v>27624</v>
      </c>
      <c r="FU139" s="1936">
        <v>25687</v>
      </c>
      <c r="FV139" s="1936">
        <v>38051</v>
      </c>
      <c r="FW139" s="1936">
        <v>271295</v>
      </c>
      <c r="FX139" s="1936">
        <v>1923638</v>
      </c>
      <c r="FY139" s="1936">
        <v>-718254</v>
      </c>
      <c r="FZ139" s="1366">
        <v>0.62057779508139754</v>
      </c>
      <c r="GA139" s="1366">
        <v>0</v>
      </c>
      <c r="GB139" s="1366">
        <v>0.13814753085609657</v>
      </c>
      <c r="GC139" s="1366">
        <v>1.3426831206592096E-2</v>
      </c>
      <c r="GD139" s="1366">
        <v>1.2485339313775382E-2</v>
      </c>
      <c r="GE139" s="1366">
        <v>1.8494944766943088E-2</v>
      </c>
      <c r="GF139" s="1366">
        <v>0.13186476151869397</v>
      </c>
      <c r="GG139" s="1366">
        <v>0.93499720274349862</v>
      </c>
      <c r="GH139" s="1366">
        <v>-0.34911219307339991</v>
      </c>
      <c r="GI139" s="1942">
        <v>1.9888472434081499</v>
      </c>
      <c r="GJ139" s="1943">
        <v>1</v>
      </c>
      <c r="GK139" s="1371">
        <v>0.08</v>
      </c>
      <c r="GL139" s="1943">
        <v>0</v>
      </c>
      <c r="GM139" s="1371">
        <v>0</v>
      </c>
      <c r="GN139" s="1943">
        <v>0</v>
      </c>
      <c r="GO139" s="1985">
        <f>IF(GN139=0,0,VLOOKUP(A139,'Area (&amp;golfacre for lookup)'!$G$2:$H$133,2,FALSE))</f>
        <v>0</v>
      </c>
      <c r="GP139" s="1943">
        <v>0</v>
      </c>
      <c r="GQ139" s="1943">
        <v>0</v>
      </c>
      <c r="GR139" s="1943">
        <v>0</v>
      </c>
      <c r="GS139" s="1943">
        <v>0</v>
      </c>
      <c r="GT139" s="1943">
        <v>0</v>
      </c>
      <c r="GU139" s="1943">
        <v>0</v>
      </c>
      <c r="GV139" s="1943">
        <v>0</v>
      </c>
      <c r="GW139" s="1943">
        <v>0</v>
      </c>
      <c r="GX139" s="1936">
        <v>0</v>
      </c>
      <c r="GY139" s="1985">
        <f t="shared" si="1319"/>
        <v>0</v>
      </c>
      <c r="GZ139" s="1936">
        <v>0</v>
      </c>
      <c r="HA139" s="1936">
        <v>0</v>
      </c>
      <c r="HB139" s="1936">
        <v>0</v>
      </c>
      <c r="HC139" s="1936">
        <v>0</v>
      </c>
      <c r="HD139" s="1936">
        <v>0</v>
      </c>
      <c r="HE139" s="1936">
        <v>0</v>
      </c>
      <c r="HF139" s="1936">
        <v>0</v>
      </c>
      <c r="HG139" s="1936">
        <v>36</v>
      </c>
      <c r="HH139" s="1988">
        <f>IF(HG139=0,0,VLOOKUP(A139,'Area (&amp;golfacre for lookup)'!$G$2:$H$134,2,FALSE))</f>
        <v>105</v>
      </c>
      <c r="HI139" s="1936">
        <v>60000</v>
      </c>
      <c r="HJ139" s="1936">
        <v>1539298</v>
      </c>
      <c r="HK139" s="1936">
        <v>273235</v>
      </c>
      <c r="HL139" s="1936">
        <v>791548</v>
      </c>
      <c r="HM139" s="1936">
        <v>279415</v>
      </c>
      <c r="HN139" s="1936">
        <v>387215</v>
      </c>
      <c r="HO139" s="1936">
        <v>346382</v>
      </c>
      <c r="HP139" s="1936">
        <v>3617093</v>
      </c>
      <c r="HQ139" s="1936">
        <v>100474.80555555556</v>
      </c>
      <c r="HR139" s="1988">
        <f t="shared" si="1320"/>
        <v>34448.504761904762</v>
      </c>
      <c r="HS139" s="1366">
        <v>0.42556218488161623</v>
      </c>
      <c r="HT139" s="1366">
        <v>7.5539943263830928E-2</v>
      </c>
      <c r="HU139" s="1366">
        <v>0.21883540179917962</v>
      </c>
      <c r="HV139" s="1366">
        <v>7.7248497619497203E-2</v>
      </c>
      <c r="HW139" s="1366">
        <v>0.10705143605652384</v>
      </c>
      <c r="HX139" s="1366">
        <v>9.5762536379352142E-2</v>
      </c>
      <c r="HY139" s="1366">
        <v>1</v>
      </c>
      <c r="HZ139" s="51"/>
      <c r="IA139" s="59">
        <f t="shared" si="1136"/>
        <v>0</v>
      </c>
      <c r="IB139" s="59"/>
      <c r="IC139" s="815">
        <f t="shared" si="1137"/>
        <v>1</v>
      </c>
      <c r="ID139" s="815"/>
      <c r="IE139" s="284">
        <f t="shared" si="1138"/>
        <v>0</v>
      </c>
      <c r="IF139" s="284"/>
      <c r="IG139" s="284">
        <f t="shared" si="1139"/>
        <v>52501.73580734495</v>
      </c>
      <c r="IH139" s="284"/>
      <c r="II139" s="1288">
        <f t="shared" si="1140"/>
        <v>1.7665789843015625</v>
      </c>
      <c r="IJ139" s="1288">
        <f t="shared" si="1141"/>
        <v>0</v>
      </c>
      <c r="IK139" s="284">
        <f t="shared" si="1142"/>
        <v>0</v>
      </c>
      <c r="IL139" s="284">
        <f t="shared" si="1143"/>
        <v>0</v>
      </c>
      <c r="IM139" s="284">
        <f t="shared" si="1144"/>
        <v>1</v>
      </c>
      <c r="IN139" s="284">
        <f t="shared" si="1145"/>
        <v>0</v>
      </c>
      <c r="IO139" s="753">
        <f t="shared" si="1146"/>
        <v>-931.58754863813226</v>
      </c>
      <c r="IP139" s="113">
        <f t="shared" si="1147"/>
        <v>-1546.0277469988644</v>
      </c>
      <c r="IQ139" s="30">
        <f t="shared" si="1148"/>
        <v>-0.11007673527937803</v>
      </c>
      <c r="IR139" s="438">
        <f t="shared" si="1149"/>
        <v>1369023</v>
      </c>
      <c r="IS139" s="438">
        <f t="shared" si="1150"/>
        <v>688350</v>
      </c>
      <c r="IT139" s="438">
        <f t="shared" si="1151"/>
        <v>1276760</v>
      </c>
      <c r="IU139" s="438">
        <f t="shared" si="1152"/>
        <v>311845</v>
      </c>
      <c r="IV139" s="438">
        <f t="shared" si="1153"/>
        <v>851989</v>
      </c>
      <c r="IW139" s="438">
        <f t="shared" si="1154"/>
        <v>335033</v>
      </c>
      <c r="IX139" s="285">
        <f t="shared" si="1155"/>
        <v>0.66542284748560421</v>
      </c>
      <c r="IY139" s="285">
        <f t="shared" si="1156"/>
        <v>0.33457715251439579</v>
      </c>
      <c r="IZ139" s="285">
        <f t="shared" si="1157"/>
        <v>0.62057779508139754</v>
      </c>
      <c r="JA139" s="285">
        <f t="shared" si="1158"/>
        <v>0.15157436206268868</v>
      </c>
      <c r="JB139" s="285">
        <f t="shared" si="1159"/>
        <v>0.41411499032990129</v>
      </c>
      <c r="JC139" s="285">
        <f t="shared" si="1160"/>
        <v>0.16284504559941246</v>
      </c>
      <c r="JD139" s="60">
        <f t="shared" si="1161"/>
        <v>6525030</v>
      </c>
      <c r="JE139" s="60">
        <f t="shared" si="1162"/>
        <v>2633152</v>
      </c>
      <c r="JF139" s="60">
        <f t="shared" si="1163"/>
        <v>0</v>
      </c>
      <c r="JG139" s="60">
        <f t="shared" si="1164"/>
        <v>748688</v>
      </c>
      <c r="JH139" s="284">
        <f t="shared" si="1165"/>
        <v>1</v>
      </c>
      <c r="JI139" s="284">
        <f t="shared" si="1166"/>
        <v>1</v>
      </c>
      <c r="JJ139" s="560">
        <f t="shared" si="1167"/>
        <v>0.73741365074643705</v>
      </c>
      <c r="JK139" s="561">
        <f t="shared" si="1168"/>
        <v>0.45242521588608997</v>
      </c>
      <c r="JL139" s="561">
        <f t="shared" si="1169"/>
        <v>7.5669062588537062E-2</v>
      </c>
      <c r="JM139" s="561">
        <f t="shared" si="1170"/>
        <v>2.554139160044798E-2</v>
      </c>
      <c r="JN139" s="561">
        <f t="shared" si="1171"/>
        <v>0.33727140232037023</v>
      </c>
      <c r="JO139" s="561">
        <f t="shared" si="1172"/>
        <v>3.1557870261408015E-2</v>
      </c>
      <c r="JP139" s="561">
        <f t="shared" si="1173"/>
        <v>3.4936555290197263E-2</v>
      </c>
      <c r="JQ139" s="561">
        <f t="shared" si="1174"/>
        <v>0.95740149794705043</v>
      </c>
      <c r="JR139" s="61">
        <f t="shared" si="1175"/>
        <v>0</v>
      </c>
      <c r="JS139" s="61">
        <f t="shared" si="1176"/>
        <v>0</v>
      </c>
      <c r="JT139" s="61">
        <f t="shared" si="1177"/>
        <v>0</v>
      </c>
      <c r="JU139" s="61">
        <f t="shared" si="1178"/>
        <v>0</v>
      </c>
      <c r="JV139" s="61">
        <f t="shared" si="1179"/>
        <v>0</v>
      </c>
      <c r="JW139" s="61">
        <f t="shared" si="1180"/>
        <v>0</v>
      </c>
      <c r="JX139" s="61">
        <f t="shared" si="1181"/>
        <v>0</v>
      </c>
      <c r="JY139" s="394">
        <f t="shared" si="1182"/>
        <v>0</v>
      </c>
      <c r="JZ139" s="61">
        <f t="shared" si="1183"/>
        <v>42758.277777777781</v>
      </c>
      <c r="KA139" s="61">
        <f t="shared" si="1184"/>
        <v>7589.8611111111113</v>
      </c>
      <c r="KB139" s="61">
        <f t="shared" si="1185"/>
        <v>21987.444444444445</v>
      </c>
      <c r="KC139" s="61">
        <f t="shared" si="1186"/>
        <v>7761.5277777777774</v>
      </c>
      <c r="KD139" s="61">
        <f t="shared" si="1187"/>
        <v>10755.972222222223</v>
      </c>
      <c r="KE139" s="61">
        <f t="shared" si="1188"/>
        <v>9621.7222222222226</v>
      </c>
      <c r="KF139" s="61">
        <f t="shared" si="1189"/>
        <v>30000</v>
      </c>
      <c r="KG139" s="61">
        <f t="shared" si="1190"/>
        <v>105</v>
      </c>
      <c r="KH139" s="61">
        <f t="shared" si="1191"/>
        <v>60.284883333333333</v>
      </c>
      <c r="KI139" s="394">
        <f t="shared" si="1192"/>
        <v>0.33554435639478963</v>
      </c>
      <c r="KJ139" s="438">
        <f t="shared" si="1193"/>
        <v>36</v>
      </c>
      <c r="KK139" s="438">
        <f t="shared" si="1194"/>
        <v>60000</v>
      </c>
      <c r="KL139" s="438">
        <f t="shared" si="1195"/>
        <v>105</v>
      </c>
      <c r="KM139" s="438">
        <f t="shared" si="1196"/>
        <v>100474.80555555556</v>
      </c>
      <c r="KN139" s="438">
        <f t="shared" si="1197"/>
        <v>60.284883333333333</v>
      </c>
      <c r="KO139" s="438">
        <f t="shared" si="1198"/>
        <v>34448.504761904762</v>
      </c>
      <c r="KP139" s="438">
        <f t="shared" si="1199"/>
        <v>1539298</v>
      </c>
      <c r="KQ139" s="438">
        <f t="shared" si="1200"/>
        <v>273235</v>
      </c>
      <c r="KR139" s="438">
        <f t="shared" si="1201"/>
        <v>791548</v>
      </c>
      <c r="KS139" s="438">
        <f t="shared" si="1202"/>
        <v>279415</v>
      </c>
      <c r="KT139" s="438">
        <f t="shared" si="1203"/>
        <v>387215</v>
      </c>
      <c r="KU139" s="438">
        <f t="shared" si="1204"/>
        <v>346382</v>
      </c>
      <c r="KV139" s="420">
        <f t="shared" si="1205"/>
        <v>0.33554435639478963</v>
      </c>
      <c r="KW139" s="420">
        <f t="shared" si="1206"/>
        <v>-0.50125608617891415</v>
      </c>
      <c r="KX139" s="108"/>
      <c r="KY139" s="282">
        <f t="shared" si="1207"/>
        <v>0</v>
      </c>
      <c r="KZ139" s="282"/>
      <c r="LA139" s="282">
        <f t="shared" si="1208"/>
        <v>0</v>
      </c>
      <c r="LB139" s="282"/>
      <c r="LC139" s="286">
        <f t="shared" si="951"/>
        <v>0</v>
      </c>
      <c r="LD139" s="286"/>
      <c r="LE139" s="282">
        <f t="shared" si="1209"/>
        <v>0</v>
      </c>
      <c r="LF139" s="282"/>
      <c r="LG139" s="282">
        <f t="shared" si="1210"/>
        <v>0</v>
      </c>
      <c r="LH139" s="282">
        <f t="shared" si="1211"/>
        <v>0</v>
      </c>
      <c r="LI139" s="282">
        <f t="shared" si="1212"/>
        <v>0</v>
      </c>
      <c r="LJ139" s="282">
        <f t="shared" si="1213"/>
        <v>0</v>
      </c>
      <c r="LK139" s="282"/>
      <c r="LL139" s="282">
        <f t="shared" si="1214"/>
        <v>0</v>
      </c>
      <c r="LM139" s="282">
        <f t="shared" si="1215"/>
        <v>0</v>
      </c>
      <c r="LN139" s="282">
        <f t="shared" si="1216"/>
        <v>0</v>
      </c>
      <c r="LO139" s="282">
        <f t="shared" si="1217"/>
        <v>0</v>
      </c>
      <c r="LP139" s="286">
        <f t="shared" si="1218"/>
        <v>0</v>
      </c>
      <c r="LQ139" s="282">
        <f t="shared" si="1219"/>
        <v>0</v>
      </c>
      <c r="LR139" s="282">
        <f t="shared" si="1220"/>
        <v>0</v>
      </c>
      <c r="LS139" s="282">
        <f t="shared" si="1221"/>
        <v>0</v>
      </c>
      <c r="LT139" s="286">
        <f t="shared" si="1222"/>
        <v>0</v>
      </c>
      <c r="LU139" s="286">
        <f t="shared" si="1223"/>
        <v>0</v>
      </c>
      <c r="LV139" s="286">
        <f t="shared" si="1224"/>
        <v>0</v>
      </c>
      <c r="LW139" s="286">
        <f t="shared" si="1225"/>
        <v>0</v>
      </c>
      <c r="LX139" s="286">
        <f t="shared" si="1226"/>
        <v>0</v>
      </c>
      <c r="LY139" s="286">
        <f t="shared" si="1227"/>
        <v>0</v>
      </c>
      <c r="LZ139" s="286">
        <f t="shared" si="1228"/>
        <v>0</v>
      </c>
      <c r="MA139" s="286">
        <f t="shared" si="1229"/>
        <v>0</v>
      </c>
      <c r="MB139" s="286">
        <f t="shared" si="1230"/>
        <v>0</v>
      </c>
      <c r="MC139" s="286">
        <f t="shared" si="1231"/>
        <v>0</v>
      </c>
      <c r="MD139" s="286">
        <f t="shared" si="1232"/>
        <v>0</v>
      </c>
      <c r="ME139" s="286">
        <f t="shared" si="1233"/>
        <v>0</v>
      </c>
      <c r="MF139" s="286">
        <f t="shared" si="1234"/>
        <v>0</v>
      </c>
      <c r="MG139" s="286">
        <f t="shared" si="1235"/>
        <v>0</v>
      </c>
      <c r="MH139" s="286">
        <f t="shared" si="1236"/>
        <v>0</v>
      </c>
      <c r="MI139" s="286">
        <f t="shared" si="1237"/>
        <v>0</v>
      </c>
      <c r="MJ139" s="286">
        <f t="shared" si="1238"/>
        <v>0</v>
      </c>
      <c r="MK139" s="286">
        <f t="shared" si="1239"/>
        <v>0</v>
      </c>
      <c r="ML139" s="282">
        <f t="shared" si="1240"/>
        <v>0</v>
      </c>
      <c r="MM139" s="1232">
        <f t="shared" si="1241"/>
        <v>0</v>
      </c>
      <c r="MN139" s="1232">
        <f t="shared" si="1242"/>
        <v>0</v>
      </c>
      <c r="MO139" s="1232">
        <f t="shared" si="1243"/>
        <v>0</v>
      </c>
      <c r="MP139" s="1232">
        <f t="shared" si="1244"/>
        <v>0</v>
      </c>
      <c r="MQ139" s="282">
        <f t="shared" si="1245"/>
        <v>0</v>
      </c>
      <c r="MR139" s="282">
        <f t="shared" si="1246"/>
        <v>0</v>
      </c>
      <c r="MS139" s="282">
        <f t="shared" si="1247"/>
        <v>0</v>
      </c>
      <c r="MT139" s="282">
        <f t="shared" si="1248"/>
        <v>0</v>
      </c>
      <c r="MU139" s="282">
        <f t="shared" si="1249"/>
        <v>0</v>
      </c>
      <c r="MV139" s="282">
        <f t="shared" si="1250"/>
        <v>0</v>
      </c>
      <c r="MW139" s="282">
        <f t="shared" si="1251"/>
        <v>0</v>
      </c>
      <c r="MX139" s="282">
        <f t="shared" si="1252"/>
        <v>0</v>
      </c>
      <c r="MY139" s="282">
        <f t="shared" si="1253"/>
        <v>0</v>
      </c>
      <c r="MZ139" s="282">
        <f t="shared" si="1254"/>
        <v>0</v>
      </c>
      <c r="NA139" s="282">
        <f t="shared" si="1255"/>
        <v>0</v>
      </c>
      <c r="NB139" s="282">
        <f t="shared" si="1256"/>
        <v>0</v>
      </c>
      <c r="NC139" s="282">
        <f t="shared" si="1257"/>
        <v>0</v>
      </c>
      <c r="ND139" s="282">
        <f t="shared" si="1258"/>
        <v>0</v>
      </c>
      <c r="NE139" s="282">
        <f t="shared" si="1259"/>
        <v>0</v>
      </c>
      <c r="NF139" s="282">
        <f t="shared" si="1260"/>
        <v>0</v>
      </c>
      <c r="NG139" s="282">
        <f t="shared" si="1261"/>
        <v>0</v>
      </c>
      <c r="NH139" s="282">
        <f t="shared" si="1262"/>
        <v>0</v>
      </c>
      <c r="NI139" s="282">
        <f t="shared" si="1263"/>
        <v>0</v>
      </c>
      <c r="NJ139" s="282">
        <f t="shared" si="1264"/>
        <v>0</v>
      </c>
      <c r="NK139" s="282">
        <f t="shared" si="1265"/>
        <v>0</v>
      </c>
      <c r="NL139" s="282">
        <f t="shared" si="1266"/>
        <v>0</v>
      </c>
      <c r="NM139" s="1205">
        <f t="shared" si="1267"/>
        <v>0</v>
      </c>
      <c r="NN139" s="282">
        <f t="shared" si="1268"/>
        <v>0</v>
      </c>
      <c r="NO139" s="282">
        <f t="shared" si="1269"/>
        <v>0</v>
      </c>
      <c r="NP139" s="282">
        <f t="shared" si="1270"/>
        <v>0</v>
      </c>
      <c r="NQ139" s="282">
        <f t="shared" si="1271"/>
        <v>0</v>
      </c>
      <c r="NR139" s="282">
        <f t="shared" si="1272"/>
        <v>0</v>
      </c>
      <c r="NS139" s="282">
        <f t="shared" si="1273"/>
        <v>0</v>
      </c>
      <c r="NT139" s="282">
        <f t="shared" si="1274"/>
        <v>0</v>
      </c>
      <c r="NU139" s="282">
        <f t="shared" si="1275"/>
        <v>0</v>
      </c>
      <c r="NV139" s="286">
        <f t="shared" si="1276"/>
        <v>0</v>
      </c>
      <c r="NW139" s="286">
        <f t="shared" si="1277"/>
        <v>0</v>
      </c>
      <c r="NX139" s="286">
        <f t="shared" si="1278"/>
        <v>0</v>
      </c>
      <c r="NY139" s="286">
        <f t="shared" si="1279"/>
        <v>0</v>
      </c>
      <c r="NZ139" s="286">
        <f t="shared" si="1280"/>
        <v>0</v>
      </c>
      <c r="OA139" s="286">
        <f t="shared" si="1281"/>
        <v>0</v>
      </c>
      <c r="OB139" s="286">
        <f t="shared" si="1282"/>
        <v>0</v>
      </c>
      <c r="OC139" s="286">
        <f t="shared" si="1283"/>
        <v>0</v>
      </c>
      <c r="OD139" s="286">
        <f t="shared" si="1284"/>
        <v>0</v>
      </c>
      <c r="OE139" s="282">
        <f t="shared" si="1285"/>
        <v>0</v>
      </c>
      <c r="OF139" s="282">
        <f t="shared" si="1286"/>
        <v>0</v>
      </c>
      <c r="OG139" s="286">
        <f t="shared" si="1287"/>
        <v>0</v>
      </c>
      <c r="OH139" s="286">
        <f t="shared" si="1288"/>
        <v>0</v>
      </c>
      <c r="OI139" s="286">
        <f t="shared" si="1289"/>
        <v>0</v>
      </c>
      <c r="OJ139" s="286">
        <f t="shared" si="1290"/>
        <v>0</v>
      </c>
      <c r="OK139" s="286">
        <f t="shared" si="1291"/>
        <v>0</v>
      </c>
      <c r="OL139" s="286">
        <f t="shared" si="1292"/>
        <v>0</v>
      </c>
      <c r="OM139" s="286">
        <f t="shared" si="1293"/>
        <v>0</v>
      </c>
      <c r="ON139" s="286">
        <f t="shared" si="1294"/>
        <v>0</v>
      </c>
      <c r="OO139" s="286">
        <f t="shared" si="1295"/>
        <v>0</v>
      </c>
      <c r="OP139" s="434">
        <f t="shared" si="1296"/>
        <v>0</v>
      </c>
      <c r="OQ139" s="434">
        <f t="shared" si="1297"/>
        <v>0</v>
      </c>
      <c r="OR139" s="282">
        <f t="shared" si="1298"/>
        <v>0</v>
      </c>
      <c r="OS139" s="282">
        <f t="shared" si="1299"/>
        <v>0</v>
      </c>
      <c r="OT139" s="282">
        <f t="shared" si="1300"/>
        <v>0</v>
      </c>
      <c r="OU139" s="282">
        <f t="shared" si="1301"/>
        <v>0</v>
      </c>
      <c r="OV139" s="282">
        <f t="shared" si="1302"/>
        <v>0</v>
      </c>
      <c r="OW139" s="286">
        <f t="shared" si="1303"/>
        <v>0</v>
      </c>
      <c r="OX139" s="286">
        <f t="shared" si="1304"/>
        <v>0</v>
      </c>
      <c r="OY139" s="286">
        <f t="shared" si="1305"/>
        <v>0</v>
      </c>
      <c r="OZ139" s="286">
        <f t="shared" si="1306"/>
        <v>0</v>
      </c>
      <c r="PA139" s="286">
        <f t="shared" si="1307"/>
        <v>0</v>
      </c>
      <c r="PB139" s="286">
        <f t="shared" si="1308"/>
        <v>0</v>
      </c>
      <c r="PC139" s="286">
        <f t="shared" si="1309"/>
        <v>0</v>
      </c>
      <c r="PD139" s="282">
        <f t="shared" si="1310"/>
        <v>0</v>
      </c>
      <c r="PE139" s="282">
        <f t="shared" si="1311"/>
        <v>0</v>
      </c>
      <c r="PF139" s="286">
        <f t="shared" si="1312"/>
        <v>0</v>
      </c>
      <c r="PG139" s="286">
        <f t="shared" si="1313"/>
        <v>0</v>
      </c>
      <c r="PH139" s="286">
        <f t="shared" si="1314"/>
        <v>0</v>
      </c>
      <c r="PI139" s="286">
        <f t="shared" si="1315"/>
        <v>0</v>
      </c>
      <c r="PJ139" s="286">
        <f t="shared" si="1316"/>
        <v>0</v>
      </c>
      <c r="PK139" s="286">
        <f t="shared" si="1317"/>
        <v>0</v>
      </c>
      <c r="PL139" s="286">
        <f t="shared" si="1318"/>
        <v>0</v>
      </c>
      <c r="PM139" s="562">
        <v>83</v>
      </c>
    </row>
    <row r="140" spans="1:429" s="289" customFormat="1" ht="15.75" customHeight="1">
      <c r="A140" s="1935" t="s">
        <v>1201</v>
      </c>
      <c r="B140" s="1040" t="str">
        <f>VLOOKUP(A140,'Area (&amp;golfacre for lookup)'!$A$2:$B$162,2,FALSE)</f>
        <v>SE exc BOCA</v>
      </c>
      <c r="C140" s="1936"/>
      <c r="D140" s="1937">
        <v>44834</v>
      </c>
      <c r="E140" s="402"/>
      <c r="F140" s="1936">
        <v>1</v>
      </c>
      <c r="G140" s="1936">
        <v>0</v>
      </c>
      <c r="H140" s="1936">
        <v>283</v>
      </c>
      <c r="I140" s="1936">
        <v>90</v>
      </c>
      <c r="J140" s="1936">
        <v>373</v>
      </c>
      <c r="K140" s="1938">
        <v>323.96434729064038</v>
      </c>
      <c r="L140" s="1939" t="s">
        <v>1208</v>
      </c>
      <c r="M140" s="1939" t="s">
        <v>1208</v>
      </c>
      <c r="N140" s="1939" t="s">
        <v>1208</v>
      </c>
      <c r="O140" s="1939" t="s">
        <v>1208</v>
      </c>
      <c r="P140" s="1939" t="s">
        <v>1208</v>
      </c>
      <c r="Q140" s="1936">
        <v>11000</v>
      </c>
      <c r="R140" s="1936">
        <v>200000</v>
      </c>
      <c r="S140" s="1936">
        <v>211000</v>
      </c>
      <c r="T140" s="1939" t="s">
        <v>1208</v>
      </c>
      <c r="U140" s="1939" t="s">
        <v>1208</v>
      </c>
      <c r="V140" s="1939" t="s">
        <v>1208</v>
      </c>
      <c r="W140" s="1936">
        <v>17539</v>
      </c>
      <c r="X140" s="1936">
        <v>16240</v>
      </c>
      <c r="Y140" s="1939" t="s">
        <v>1208</v>
      </c>
      <c r="Z140" s="1939" t="s">
        <v>1208</v>
      </c>
      <c r="AA140" s="1936">
        <v>1299</v>
      </c>
      <c r="AB140" s="1362">
        <v>7.9987684729064035E-2</v>
      </c>
      <c r="AC140" s="1939" t="s">
        <v>1208</v>
      </c>
      <c r="AD140" s="1363" t="s">
        <v>1208</v>
      </c>
      <c r="AE140" s="1936">
        <v>0</v>
      </c>
      <c r="AF140" s="1936">
        <v>0</v>
      </c>
      <c r="AG140" s="1939" t="s">
        <v>1208</v>
      </c>
      <c r="AH140" s="1936">
        <v>0</v>
      </c>
      <c r="AI140" s="1936">
        <v>0</v>
      </c>
      <c r="AJ140" s="1939" t="s">
        <v>1208</v>
      </c>
      <c r="AK140" s="1938">
        <v>0</v>
      </c>
      <c r="AL140" s="1938">
        <v>0</v>
      </c>
      <c r="AM140" s="1936">
        <v>16240</v>
      </c>
      <c r="AN140" s="1939" t="s">
        <v>1208</v>
      </c>
      <c r="AO140" s="1936">
        <v>0</v>
      </c>
      <c r="AP140" s="1936">
        <v>0</v>
      </c>
      <c r="AQ140" s="1936">
        <v>16240</v>
      </c>
      <c r="AR140" s="1939" t="s">
        <v>1208</v>
      </c>
      <c r="AS140" s="1363" t="s">
        <v>1208</v>
      </c>
      <c r="AT140" s="1363" t="s">
        <v>1208</v>
      </c>
      <c r="AU140" s="1363" t="s">
        <v>1208</v>
      </c>
      <c r="AV140" s="1363" t="s">
        <v>1208</v>
      </c>
      <c r="AW140" s="1363" t="s">
        <v>1291</v>
      </c>
      <c r="AX140" s="1938">
        <v>1</v>
      </c>
      <c r="AY140" s="1938">
        <v>1</v>
      </c>
      <c r="AZ140" s="1938">
        <v>0</v>
      </c>
      <c r="BA140" s="1938">
        <v>0</v>
      </c>
      <c r="BB140" s="1938">
        <v>0</v>
      </c>
      <c r="BC140" s="1938">
        <v>0</v>
      </c>
      <c r="BD140" s="1938">
        <v>0</v>
      </c>
      <c r="BE140" s="1936">
        <v>1</v>
      </c>
      <c r="BF140" s="1936">
        <v>1000000</v>
      </c>
      <c r="BG140" s="1936">
        <v>1200000</v>
      </c>
      <c r="BH140" s="1936">
        <v>2200000</v>
      </c>
      <c r="BI140" s="1938">
        <v>12772224</v>
      </c>
      <c r="BJ140" s="1936">
        <v>3554593</v>
      </c>
      <c r="BK140" s="1936">
        <v>1214708</v>
      </c>
      <c r="BL140" s="1362">
        <v>2.9262942205040225</v>
      </c>
      <c r="BM140" s="1936">
        <v>0</v>
      </c>
      <c r="BN140" s="1936">
        <v>0</v>
      </c>
      <c r="BO140" s="1363" t="s">
        <v>1208</v>
      </c>
      <c r="BP140" s="1938">
        <v>6901088</v>
      </c>
      <c r="BQ140" s="1938">
        <v>6625405</v>
      </c>
      <c r="BR140" s="1940">
        <v>1.041609984597168</v>
      </c>
      <c r="BS140" s="1409">
        <v>1</v>
      </c>
      <c r="BT140" s="1938">
        <v>6625405</v>
      </c>
      <c r="BU140" s="1938">
        <v>13783800</v>
      </c>
      <c r="BV140" s="1940">
        <v>0.48066607176540577</v>
      </c>
      <c r="BW140" s="1936">
        <v>0</v>
      </c>
      <c r="BX140" s="1936">
        <v>10972.173418857858</v>
      </c>
      <c r="BY140" s="1936">
        <v>6790.8707189507459</v>
      </c>
      <c r="BZ140" s="1936">
        <v>1326275</v>
      </c>
      <c r="CA140" s="1936">
        <v>0</v>
      </c>
      <c r="CB140" s="1936">
        <v>0</v>
      </c>
      <c r="CC140" s="1936">
        <v>74267</v>
      </c>
      <c r="CD140" s="1936">
        <v>5261181</v>
      </c>
      <c r="CE140" s="1936">
        <v>0</v>
      </c>
      <c r="CF140" s="1936">
        <v>0</v>
      </c>
      <c r="CG140" s="1936">
        <v>913652</v>
      </c>
      <c r="CH140" s="1936">
        <v>426055</v>
      </c>
      <c r="CI140" s="1936">
        <v>32217</v>
      </c>
      <c r="CJ140" s="1936">
        <v>8033647</v>
      </c>
      <c r="CK140" s="1366">
        <v>0.16509002698276387</v>
      </c>
      <c r="CL140" s="1366">
        <v>0</v>
      </c>
      <c r="CM140" s="1366">
        <v>0</v>
      </c>
      <c r="CN140" s="1366">
        <v>9.2444938145776132E-3</v>
      </c>
      <c r="CO140" s="1366">
        <v>0.65489322595329369</v>
      </c>
      <c r="CP140" s="1366">
        <v>0</v>
      </c>
      <c r="CQ140" s="1366">
        <v>0</v>
      </c>
      <c r="CR140" s="1366">
        <v>0.11372817351820412</v>
      </c>
      <c r="CS140" s="1366">
        <v>5.3033821376518034E-2</v>
      </c>
      <c r="CT140" s="1366">
        <v>4.0102583546426668E-3</v>
      </c>
      <c r="CU140" s="1366">
        <v>1</v>
      </c>
      <c r="CV140" s="1936">
        <v>4191544</v>
      </c>
      <c r="CW140" s="1936">
        <v>586065</v>
      </c>
      <c r="CX140" s="1936">
        <v>0</v>
      </c>
      <c r="CY140" s="1936">
        <v>2855286</v>
      </c>
      <c r="CZ140" s="1936">
        <v>167336</v>
      </c>
      <c r="DA140" s="1936">
        <v>283548</v>
      </c>
      <c r="DB140" s="1936">
        <v>8083779</v>
      </c>
      <c r="DC140" s="1366">
        <v>0.51851293807017729</v>
      </c>
      <c r="DD140" s="1366">
        <v>7.2498889442672784E-2</v>
      </c>
      <c r="DE140" s="1366">
        <v>0</v>
      </c>
      <c r="DF140" s="1366">
        <v>0.353211783746191</v>
      </c>
      <c r="DG140" s="1366">
        <v>2.0700219538411429E-2</v>
      </c>
      <c r="DH140" s="1366">
        <v>3.5076169202547469E-2</v>
      </c>
      <c r="DI140" s="1366">
        <v>1</v>
      </c>
      <c r="DJ140" s="1936">
        <v>-50132</v>
      </c>
      <c r="DK140" s="1936">
        <v>4093.8918467165454</v>
      </c>
      <c r="DL140" s="1936">
        <v>0</v>
      </c>
      <c r="DM140" s="1936">
        <v>0</v>
      </c>
      <c r="DN140" s="1936">
        <v>229.24436167468863</v>
      </c>
      <c r="DO140" s="1936">
        <v>16240.000000000002</v>
      </c>
      <c r="DP140" s="1936">
        <v>0</v>
      </c>
      <c r="DQ140" s="1936">
        <v>0</v>
      </c>
      <c r="DR140" s="1936">
        <v>2820.2239155049028</v>
      </c>
      <c r="DS140" s="1936">
        <v>1315.1292837102544</v>
      </c>
      <c r="DT140" s="1936">
        <v>99.446128160198256</v>
      </c>
      <c r="DU140" s="1936">
        <v>24797.935535766592</v>
      </c>
      <c r="DV140" s="1936">
        <v>12938.287916724401</v>
      </c>
      <c r="DW140" s="1936">
        <v>1809.0416581372131</v>
      </c>
      <c r="DX140" s="1936">
        <v>0</v>
      </c>
      <c r="DY140" s="1936">
        <v>8813.5809507409085</v>
      </c>
      <c r="DZ140" s="1936">
        <v>516.52597392106452</v>
      </c>
      <c r="EA140" s="1936">
        <v>875.24445937138455</v>
      </c>
      <c r="EB140" s="1936">
        <v>24952.680958894973</v>
      </c>
      <c r="EC140" s="1936">
        <v>-154.74542312838125</v>
      </c>
      <c r="ED140" s="1941">
        <v>68</v>
      </c>
      <c r="EE140" s="1936">
        <v>1</v>
      </c>
      <c r="EF140" s="1936">
        <v>18</v>
      </c>
      <c r="EG140" s="1938">
        <v>100000</v>
      </c>
      <c r="EH140" s="1938">
        <v>1</v>
      </c>
      <c r="EI140" s="1368">
        <v>0.02</v>
      </c>
      <c r="EJ140" s="1936">
        <v>4.7641815778035346</v>
      </c>
      <c r="EK140" s="1936">
        <v>0</v>
      </c>
      <c r="EL140" s="1936">
        <v>0</v>
      </c>
      <c r="EM140" s="1936">
        <v>0</v>
      </c>
      <c r="EN140" s="1362">
        <v>0</v>
      </c>
      <c r="EO140" s="1936">
        <v>0</v>
      </c>
      <c r="EP140" s="1936">
        <v>0</v>
      </c>
      <c r="EQ140" s="1936">
        <v>0</v>
      </c>
      <c r="ER140" s="1938">
        <v>1</v>
      </c>
      <c r="ES140" s="1936">
        <v>4135.3531992151575</v>
      </c>
      <c r="ET140" s="1936">
        <v>-485.92692781335597</v>
      </c>
      <c r="EU140" s="1938">
        <v>1</v>
      </c>
      <c r="EV140" s="1936">
        <v>27965</v>
      </c>
      <c r="EW140" s="1936">
        <v>0</v>
      </c>
      <c r="EX140" s="1938">
        <v>0</v>
      </c>
      <c r="EY140" s="1936">
        <v>913652</v>
      </c>
      <c r="EZ140" s="1936">
        <v>449625</v>
      </c>
      <c r="FA140" s="1936">
        <v>464027</v>
      </c>
      <c r="FB140" s="1936">
        <v>426055</v>
      </c>
      <c r="FC140" s="1936">
        <v>136440</v>
      </c>
      <c r="FD140" s="1936">
        <v>289615</v>
      </c>
      <c r="FE140" s="1936">
        <v>1339707</v>
      </c>
      <c r="FF140" s="1936">
        <v>586065</v>
      </c>
      <c r="FG140" s="1936">
        <v>753642</v>
      </c>
      <c r="FH140" s="1366">
        <v>1</v>
      </c>
      <c r="FI140" s="1366">
        <v>0.49211844334604421</v>
      </c>
      <c r="FJ140" s="1366">
        <v>0.50788155665395573</v>
      </c>
      <c r="FK140" s="1366">
        <v>1</v>
      </c>
      <c r="FL140" s="1366">
        <v>0.320240344556454</v>
      </c>
      <c r="FM140" s="1366">
        <v>0.679759655443546</v>
      </c>
      <c r="FN140" s="1366">
        <v>1</v>
      </c>
      <c r="FO140" s="1366">
        <v>0.43745759333943912</v>
      </c>
      <c r="FP140" s="1366">
        <v>0.56254240666056088</v>
      </c>
      <c r="FQ140" s="1936">
        <v>470517</v>
      </c>
      <c r="FR140" s="1936">
        <v>0</v>
      </c>
      <c r="FS140" s="1936">
        <v>121381</v>
      </c>
      <c r="FT140" s="1936">
        <v>34684</v>
      </c>
      <c r="FU140" s="1936">
        <v>0</v>
      </c>
      <c r="FV140" s="1936">
        <v>13281</v>
      </c>
      <c r="FW140" s="1936">
        <v>271202</v>
      </c>
      <c r="FX140" s="1936">
        <v>911065</v>
      </c>
      <c r="FY140" s="1936">
        <v>-157423</v>
      </c>
      <c r="FZ140" s="1366">
        <v>0.35120888373353276</v>
      </c>
      <c r="GA140" s="1366">
        <v>0</v>
      </c>
      <c r="GB140" s="1366">
        <v>9.0602646698121306E-2</v>
      </c>
      <c r="GC140" s="1366">
        <v>2.5889242946405447E-2</v>
      </c>
      <c r="GD140" s="1366">
        <v>0</v>
      </c>
      <c r="GE140" s="1366">
        <v>9.913361652958445E-3</v>
      </c>
      <c r="GF140" s="1366">
        <v>0.20243381575225031</v>
      </c>
      <c r="GG140" s="1366">
        <v>0.6800479507832683</v>
      </c>
      <c r="GH140" s="1366">
        <v>-0.11750554412270743</v>
      </c>
      <c r="GI140" s="1942">
        <v>2.1444461395829175</v>
      </c>
      <c r="GJ140" s="1943">
        <v>1</v>
      </c>
      <c r="GK140" s="1371">
        <v>0.1</v>
      </c>
      <c r="GL140" s="1943">
        <v>1</v>
      </c>
      <c r="GM140" s="1371">
        <v>0.1</v>
      </c>
      <c r="GN140" s="1943">
        <v>18</v>
      </c>
      <c r="GO140" s="1985">
        <f>IF(GN140=0,0,VLOOKUP(A140,'Area (&amp;golfacre for lookup)'!$G$2:$H$133,2,FALSE))</f>
        <v>186</v>
      </c>
      <c r="GP140" s="1943">
        <v>26657</v>
      </c>
      <c r="GQ140" s="1943">
        <v>1365593</v>
      </c>
      <c r="GR140" s="1943">
        <v>223485</v>
      </c>
      <c r="GS140" s="1943">
        <v>691945</v>
      </c>
      <c r="GT140" s="1943">
        <v>262964</v>
      </c>
      <c r="GU140" s="1943">
        <v>207749</v>
      </c>
      <c r="GV140" s="1943">
        <v>191735</v>
      </c>
      <c r="GW140" s="1943">
        <v>2943471</v>
      </c>
      <c r="GX140" s="1943">
        <v>163526.16666666666</v>
      </c>
      <c r="GY140" s="1985">
        <f t="shared" si="1319"/>
        <v>15825.112903225807</v>
      </c>
      <c r="GZ140" s="1366">
        <v>0.46393968209640929</v>
      </c>
      <c r="HA140" s="1366">
        <v>7.5925667349873674E-2</v>
      </c>
      <c r="HB140" s="1366">
        <v>0.23507790632216183</v>
      </c>
      <c r="HC140" s="1366">
        <v>8.9338063802904807E-2</v>
      </c>
      <c r="HD140" s="1366">
        <v>7.0579598032391014E-2</v>
      </c>
      <c r="HE140" s="1366">
        <v>6.5139082396259387E-2</v>
      </c>
      <c r="HF140" s="1366">
        <v>1</v>
      </c>
      <c r="HG140" s="1936">
        <v>0</v>
      </c>
      <c r="HH140" s="1988">
        <f>IF(HG140=0,0,VLOOKUP(A140,'Area (&amp;golfacre for lookup)'!$G$2:$H$134,2,FALSE))</f>
        <v>0</v>
      </c>
      <c r="HI140" s="1936">
        <v>0</v>
      </c>
      <c r="HJ140" s="1936">
        <v>0</v>
      </c>
      <c r="HK140" s="1936">
        <v>0</v>
      </c>
      <c r="HL140" s="1936">
        <v>0</v>
      </c>
      <c r="HM140" s="1936">
        <v>0</v>
      </c>
      <c r="HN140" s="1936">
        <v>0</v>
      </c>
      <c r="HO140" s="1936">
        <v>0</v>
      </c>
      <c r="HP140" s="1936">
        <v>0</v>
      </c>
      <c r="HQ140" s="1936">
        <v>0</v>
      </c>
      <c r="HR140" s="1988">
        <f t="shared" si="1320"/>
        <v>0</v>
      </c>
      <c r="HS140" s="1936">
        <v>0</v>
      </c>
      <c r="HT140" s="1936">
        <v>0</v>
      </c>
      <c r="HU140" s="1936">
        <v>0</v>
      </c>
      <c r="HV140" s="1936">
        <v>0</v>
      </c>
      <c r="HW140" s="1936">
        <v>0</v>
      </c>
      <c r="HX140" s="1936">
        <v>0</v>
      </c>
      <c r="HY140" s="1936">
        <v>0</v>
      </c>
      <c r="HZ140" s="51"/>
      <c r="IA140" s="59">
        <f t="shared" si="1136"/>
        <v>0.05</v>
      </c>
      <c r="IB140" s="59"/>
      <c r="IC140" s="815">
        <f t="shared" si="1137"/>
        <v>1</v>
      </c>
      <c r="ID140" s="815"/>
      <c r="IE140" s="284">
        <f t="shared" si="1138"/>
        <v>0</v>
      </c>
      <c r="IF140" s="284"/>
      <c r="IG140" s="284">
        <f t="shared" si="1139"/>
        <v>39424.782717036345</v>
      </c>
      <c r="IH140" s="284"/>
      <c r="II140" s="1288">
        <f t="shared" si="1140"/>
        <v>1.041609984597168</v>
      </c>
      <c r="IJ140" s="1288">
        <f t="shared" si="1141"/>
        <v>0</v>
      </c>
      <c r="IK140" s="284">
        <f t="shared" si="1142"/>
        <v>1</v>
      </c>
      <c r="IL140" s="284">
        <f t="shared" si="1143"/>
        <v>0</v>
      </c>
      <c r="IM140" s="284">
        <f t="shared" si="1144"/>
        <v>0</v>
      </c>
      <c r="IN140" s="284">
        <f t="shared" si="1145"/>
        <v>0</v>
      </c>
      <c r="IO140" s="753">
        <f t="shared" si="1146"/>
        <v>-422.0455764075067</v>
      </c>
      <c r="IP140" s="113">
        <f t="shared" si="1147"/>
        <v>-485.92692781335597</v>
      </c>
      <c r="IQ140" s="30">
        <f t="shared" si="1148"/>
        <v>-2.9921608855502217E-2</v>
      </c>
      <c r="IR140" s="438">
        <f t="shared" si="1149"/>
        <v>913652</v>
      </c>
      <c r="IS140" s="438">
        <f t="shared" si="1150"/>
        <v>426055</v>
      </c>
      <c r="IT140" s="438">
        <f t="shared" si="1151"/>
        <v>470517</v>
      </c>
      <c r="IU140" s="438">
        <f t="shared" si="1152"/>
        <v>156065</v>
      </c>
      <c r="IV140" s="438">
        <f t="shared" si="1153"/>
        <v>586065</v>
      </c>
      <c r="IW140" s="438">
        <f t="shared" si="1154"/>
        <v>284483</v>
      </c>
      <c r="IX140" s="285">
        <f t="shared" si="1155"/>
        <v>0.68197897002852115</v>
      </c>
      <c r="IY140" s="285">
        <f t="shared" si="1156"/>
        <v>0.31802102997147885</v>
      </c>
      <c r="IZ140" s="285">
        <f t="shared" si="1157"/>
        <v>0.35120888373353276</v>
      </c>
      <c r="JA140" s="285">
        <f t="shared" si="1158"/>
        <v>0.11649188964452675</v>
      </c>
      <c r="JB140" s="285">
        <f t="shared" si="1159"/>
        <v>0.43745759333943912</v>
      </c>
      <c r="JC140" s="285">
        <f t="shared" si="1160"/>
        <v>0.21234717740520875</v>
      </c>
      <c r="JD140" s="60">
        <f t="shared" si="1161"/>
        <v>5261181</v>
      </c>
      <c r="JE140" s="60">
        <f t="shared" si="1162"/>
        <v>1400542</v>
      </c>
      <c r="JF140" s="60">
        <f t="shared" si="1163"/>
        <v>0</v>
      </c>
      <c r="JG140" s="60">
        <f t="shared" si="1164"/>
        <v>450884</v>
      </c>
      <c r="JH140" s="284">
        <f t="shared" si="1165"/>
        <v>0</v>
      </c>
      <c r="JI140" s="284">
        <f t="shared" si="1166"/>
        <v>0</v>
      </c>
      <c r="JJ140" s="560">
        <f t="shared" si="1167"/>
        <v>0</v>
      </c>
      <c r="JK140" s="561">
        <f t="shared" si="1168"/>
        <v>0.5217485906463154</v>
      </c>
      <c r="JL140" s="561">
        <f t="shared" si="1169"/>
        <v>7.2951300947128997E-2</v>
      </c>
      <c r="JM140" s="561">
        <f t="shared" si="1170"/>
        <v>0</v>
      </c>
      <c r="JN140" s="561">
        <f t="shared" si="1171"/>
        <v>0.3554159150881287</v>
      </c>
      <c r="JO140" s="561">
        <f t="shared" si="1172"/>
        <v>2.0829394171787731E-2</v>
      </c>
      <c r="JP140" s="561">
        <f t="shared" si="1173"/>
        <v>3.5295053417208899E-2</v>
      </c>
      <c r="JQ140" s="561">
        <f t="shared" si="1174"/>
        <v>1.0062402542705697</v>
      </c>
      <c r="JR140" s="61">
        <f t="shared" si="1175"/>
        <v>75866.277777777781</v>
      </c>
      <c r="JS140" s="61">
        <f t="shared" si="1176"/>
        <v>12415.833333333334</v>
      </c>
      <c r="JT140" s="61">
        <f t="shared" si="1177"/>
        <v>38441.388888888891</v>
      </c>
      <c r="JU140" s="61">
        <f t="shared" si="1178"/>
        <v>14609.111111111111</v>
      </c>
      <c r="JV140" s="61">
        <f t="shared" si="1179"/>
        <v>11541.611111111111</v>
      </c>
      <c r="JW140" s="61">
        <f t="shared" si="1180"/>
        <v>10651.944444444445</v>
      </c>
      <c r="JX140" s="61">
        <f t="shared" si="1181"/>
        <v>110.42018981880932</v>
      </c>
      <c r="JY140" s="394">
        <f t="shared" si="1182"/>
        <v>0.36412066683168848</v>
      </c>
      <c r="JZ140" s="61">
        <f t="shared" si="1183"/>
        <v>0</v>
      </c>
      <c r="KA140" s="61">
        <f t="shared" si="1184"/>
        <v>0</v>
      </c>
      <c r="KB140" s="61">
        <f t="shared" si="1185"/>
        <v>0</v>
      </c>
      <c r="KC140" s="61">
        <f t="shared" si="1186"/>
        <v>0</v>
      </c>
      <c r="KD140" s="61">
        <f t="shared" si="1187"/>
        <v>0</v>
      </c>
      <c r="KE140" s="61">
        <f t="shared" si="1188"/>
        <v>0</v>
      </c>
      <c r="KF140" s="61">
        <f t="shared" si="1189"/>
        <v>0</v>
      </c>
      <c r="KG140" s="61">
        <f t="shared" si="1190"/>
        <v>0</v>
      </c>
      <c r="KH140" s="61">
        <f t="shared" si="1191"/>
        <v>0</v>
      </c>
      <c r="KI140" s="394">
        <f t="shared" si="1192"/>
        <v>0</v>
      </c>
      <c r="KJ140" s="438">
        <f t="shared" si="1193"/>
        <v>18</v>
      </c>
      <c r="KK140" s="438">
        <f t="shared" si="1194"/>
        <v>26657</v>
      </c>
      <c r="KL140" s="438">
        <f t="shared" si="1195"/>
        <v>186</v>
      </c>
      <c r="KM140" s="438">
        <f t="shared" si="1196"/>
        <v>163526.16666666666</v>
      </c>
      <c r="KN140" s="438">
        <f t="shared" si="1197"/>
        <v>110.42018981880932</v>
      </c>
      <c r="KO140" s="438">
        <f t="shared" si="1198"/>
        <v>15825.112903225807</v>
      </c>
      <c r="KP140" s="438">
        <f t="shared" si="1199"/>
        <v>1365593</v>
      </c>
      <c r="KQ140" s="438">
        <f t="shared" si="1200"/>
        <v>223485</v>
      </c>
      <c r="KR140" s="438">
        <f t="shared" si="1201"/>
        <v>691945</v>
      </c>
      <c r="KS140" s="438">
        <f t="shared" si="1202"/>
        <v>262964</v>
      </c>
      <c r="KT140" s="438">
        <f t="shared" si="1203"/>
        <v>207749</v>
      </c>
      <c r="KU140" s="438">
        <f t="shared" si="1204"/>
        <v>191735</v>
      </c>
      <c r="KV140" s="420">
        <f t="shared" si="1205"/>
        <v>0.36412066683168848</v>
      </c>
      <c r="KW140" s="420">
        <f t="shared" si="1206"/>
        <v>-0.5230262939062541</v>
      </c>
      <c r="KX140" s="108"/>
      <c r="KY140" s="282">
        <f t="shared" si="1207"/>
        <v>0</v>
      </c>
      <c r="KZ140" s="282"/>
      <c r="LA140" s="282">
        <f t="shared" si="1208"/>
        <v>0</v>
      </c>
      <c r="LB140" s="282"/>
      <c r="LC140" s="286">
        <f t="shared" ref="LC140:LC175" si="1321">(AA140/X140)-AB140</f>
        <v>0</v>
      </c>
      <c r="LD140" s="286"/>
      <c r="LE140" s="282">
        <f t="shared" si="1209"/>
        <v>0</v>
      </c>
      <c r="LF140" s="282"/>
      <c r="LG140" s="282">
        <f t="shared" si="1210"/>
        <v>0</v>
      </c>
      <c r="LH140" s="282">
        <f t="shared" si="1211"/>
        <v>0</v>
      </c>
      <c r="LI140" s="282">
        <f t="shared" si="1212"/>
        <v>0</v>
      </c>
      <c r="LJ140" s="282">
        <f t="shared" si="1213"/>
        <v>0</v>
      </c>
      <c r="LK140" s="282"/>
      <c r="LL140" s="282">
        <f t="shared" si="1214"/>
        <v>0</v>
      </c>
      <c r="LM140" s="282">
        <f t="shared" si="1215"/>
        <v>0</v>
      </c>
      <c r="LN140" s="282">
        <f t="shared" si="1216"/>
        <v>0</v>
      </c>
      <c r="LO140" s="282">
        <f t="shared" si="1217"/>
        <v>0</v>
      </c>
      <c r="LP140" s="286">
        <f t="shared" si="1218"/>
        <v>0</v>
      </c>
      <c r="LQ140" s="282">
        <f t="shared" si="1219"/>
        <v>0</v>
      </c>
      <c r="LR140" s="282">
        <f t="shared" si="1220"/>
        <v>0</v>
      </c>
      <c r="LS140" s="282">
        <f t="shared" si="1221"/>
        <v>0</v>
      </c>
      <c r="LT140" s="286">
        <f t="shared" si="1222"/>
        <v>0</v>
      </c>
      <c r="LU140" s="286">
        <f t="shared" si="1223"/>
        <v>0</v>
      </c>
      <c r="LV140" s="286">
        <f t="shared" si="1224"/>
        <v>0</v>
      </c>
      <c r="LW140" s="286">
        <f t="shared" si="1225"/>
        <v>0</v>
      </c>
      <c r="LX140" s="286">
        <f t="shared" si="1226"/>
        <v>0</v>
      </c>
      <c r="LY140" s="286">
        <f t="shared" si="1227"/>
        <v>0</v>
      </c>
      <c r="LZ140" s="286">
        <f t="shared" si="1228"/>
        <v>0</v>
      </c>
      <c r="MA140" s="286">
        <f t="shared" si="1229"/>
        <v>0</v>
      </c>
      <c r="MB140" s="286">
        <f t="shared" si="1230"/>
        <v>0</v>
      </c>
      <c r="MC140" s="286">
        <f t="shared" si="1231"/>
        <v>0</v>
      </c>
      <c r="MD140" s="286">
        <f t="shared" si="1232"/>
        <v>0</v>
      </c>
      <c r="ME140" s="286">
        <f t="shared" si="1233"/>
        <v>0</v>
      </c>
      <c r="MF140" s="286">
        <f t="shared" si="1234"/>
        <v>0</v>
      </c>
      <c r="MG140" s="286">
        <f t="shared" si="1235"/>
        <v>0</v>
      </c>
      <c r="MH140" s="286">
        <f t="shared" si="1236"/>
        <v>0</v>
      </c>
      <c r="MI140" s="286">
        <f t="shared" si="1237"/>
        <v>0</v>
      </c>
      <c r="MJ140" s="286">
        <f t="shared" si="1238"/>
        <v>0</v>
      </c>
      <c r="MK140" s="286">
        <f t="shared" si="1239"/>
        <v>0</v>
      </c>
      <c r="ML140" s="282">
        <f t="shared" si="1240"/>
        <v>0</v>
      </c>
      <c r="MM140" s="1232">
        <f t="shared" si="1241"/>
        <v>0</v>
      </c>
      <c r="MN140" s="1232">
        <f t="shared" si="1242"/>
        <v>0</v>
      </c>
      <c r="MO140" s="1232">
        <f t="shared" si="1243"/>
        <v>0</v>
      </c>
      <c r="MP140" s="1232">
        <f t="shared" si="1244"/>
        <v>0</v>
      </c>
      <c r="MQ140" s="282">
        <f t="shared" si="1245"/>
        <v>0</v>
      </c>
      <c r="MR140" s="282">
        <f t="shared" si="1246"/>
        <v>0</v>
      </c>
      <c r="MS140" s="282">
        <f t="shared" si="1247"/>
        <v>0</v>
      </c>
      <c r="MT140" s="282">
        <f t="shared" si="1248"/>
        <v>0</v>
      </c>
      <c r="MU140" s="282">
        <f t="shared" si="1249"/>
        <v>0</v>
      </c>
      <c r="MV140" s="282">
        <f t="shared" si="1250"/>
        <v>0</v>
      </c>
      <c r="MW140" s="282">
        <f t="shared" si="1251"/>
        <v>0</v>
      </c>
      <c r="MX140" s="282">
        <f t="shared" si="1252"/>
        <v>0</v>
      </c>
      <c r="MY140" s="282">
        <f t="shared" si="1253"/>
        <v>0</v>
      </c>
      <c r="MZ140" s="282">
        <f t="shared" si="1254"/>
        <v>0</v>
      </c>
      <c r="NA140" s="282">
        <f t="shared" si="1255"/>
        <v>0</v>
      </c>
      <c r="NB140" s="282">
        <f t="shared" si="1256"/>
        <v>0</v>
      </c>
      <c r="NC140" s="282">
        <f t="shared" si="1257"/>
        <v>0</v>
      </c>
      <c r="ND140" s="282">
        <f t="shared" si="1258"/>
        <v>0</v>
      </c>
      <c r="NE140" s="282">
        <f t="shared" si="1259"/>
        <v>0</v>
      </c>
      <c r="NF140" s="282">
        <f t="shared" si="1260"/>
        <v>0</v>
      </c>
      <c r="NG140" s="282">
        <f t="shared" si="1261"/>
        <v>0</v>
      </c>
      <c r="NH140" s="282">
        <f t="shared" si="1262"/>
        <v>0</v>
      </c>
      <c r="NI140" s="282">
        <f t="shared" si="1263"/>
        <v>0</v>
      </c>
      <c r="NJ140" s="282">
        <f t="shared" si="1264"/>
        <v>0</v>
      </c>
      <c r="NK140" s="282">
        <f t="shared" si="1265"/>
        <v>0</v>
      </c>
      <c r="NL140" s="282">
        <f t="shared" si="1266"/>
        <v>0</v>
      </c>
      <c r="NM140" s="1205">
        <f t="shared" si="1267"/>
        <v>0</v>
      </c>
      <c r="NN140" s="282">
        <f t="shared" si="1268"/>
        <v>0</v>
      </c>
      <c r="NO140" s="282">
        <f t="shared" si="1269"/>
        <v>0</v>
      </c>
      <c r="NP140" s="282">
        <f t="shared" si="1270"/>
        <v>0</v>
      </c>
      <c r="NQ140" s="282">
        <f t="shared" si="1271"/>
        <v>0</v>
      </c>
      <c r="NR140" s="282">
        <f t="shared" si="1272"/>
        <v>0</v>
      </c>
      <c r="NS140" s="282">
        <f t="shared" si="1273"/>
        <v>0</v>
      </c>
      <c r="NT140" s="282">
        <f t="shared" si="1274"/>
        <v>0</v>
      </c>
      <c r="NU140" s="282">
        <f t="shared" si="1275"/>
        <v>0</v>
      </c>
      <c r="NV140" s="286">
        <f t="shared" si="1276"/>
        <v>0</v>
      </c>
      <c r="NW140" s="286">
        <f t="shared" si="1277"/>
        <v>0</v>
      </c>
      <c r="NX140" s="286">
        <f t="shared" si="1278"/>
        <v>0</v>
      </c>
      <c r="NY140" s="286">
        <f t="shared" si="1279"/>
        <v>0</v>
      </c>
      <c r="NZ140" s="286">
        <f t="shared" si="1280"/>
        <v>0</v>
      </c>
      <c r="OA140" s="286">
        <f t="shared" si="1281"/>
        <v>0</v>
      </c>
      <c r="OB140" s="286">
        <f t="shared" si="1282"/>
        <v>0</v>
      </c>
      <c r="OC140" s="286">
        <f t="shared" si="1283"/>
        <v>0</v>
      </c>
      <c r="OD140" s="286">
        <f t="shared" si="1284"/>
        <v>0</v>
      </c>
      <c r="OE140" s="282">
        <f t="shared" si="1285"/>
        <v>0</v>
      </c>
      <c r="OF140" s="282">
        <f t="shared" si="1286"/>
        <v>0</v>
      </c>
      <c r="OG140" s="286">
        <f t="shared" si="1287"/>
        <v>0</v>
      </c>
      <c r="OH140" s="286">
        <f t="shared" si="1288"/>
        <v>0</v>
      </c>
      <c r="OI140" s="286">
        <f t="shared" si="1289"/>
        <v>0</v>
      </c>
      <c r="OJ140" s="286">
        <f t="shared" si="1290"/>
        <v>0</v>
      </c>
      <c r="OK140" s="286">
        <f t="shared" si="1291"/>
        <v>0</v>
      </c>
      <c r="OL140" s="286">
        <f t="shared" si="1292"/>
        <v>0</v>
      </c>
      <c r="OM140" s="286">
        <f t="shared" si="1293"/>
        <v>0</v>
      </c>
      <c r="ON140" s="286">
        <f t="shared" si="1294"/>
        <v>0</v>
      </c>
      <c r="OO140" s="286">
        <f t="shared" si="1295"/>
        <v>0</v>
      </c>
      <c r="OP140" s="434">
        <f t="shared" si="1296"/>
        <v>0</v>
      </c>
      <c r="OQ140" s="434">
        <f t="shared" si="1297"/>
        <v>0</v>
      </c>
      <c r="OR140" s="282">
        <f t="shared" si="1298"/>
        <v>0</v>
      </c>
      <c r="OS140" s="282">
        <f t="shared" si="1299"/>
        <v>0</v>
      </c>
      <c r="OT140" s="282">
        <f t="shared" si="1300"/>
        <v>0</v>
      </c>
      <c r="OU140" s="282">
        <f t="shared" si="1301"/>
        <v>0</v>
      </c>
      <c r="OV140" s="282">
        <f t="shared" si="1302"/>
        <v>0</v>
      </c>
      <c r="OW140" s="286">
        <f t="shared" si="1303"/>
        <v>0</v>
      </c>
      <c r="OX140" s="286">
        <f t="shared" si="1304"/>
        <v>0</v>
      </c>
      <c r="OY140" s="286">
        <f t="shared" si="1305"/>
        <v>0</v>
      </c>
      <c r="OZ140" s="286">
        <f t="shared" si="1306"/>
        <v>0</v>
      </c>
      <c r="PA140" s="286">
        <f t="shared" si="1307"/>
        <v>0</v>
      </c>
      <c r="PB140" s="286">
        <f t="shared" si="1308"/>
        <v>0</v>
      </c>
      <c r="PC140" s="286">
        <f t="shared" si="1309"/>
        <v>0</v>
      </c>
      <c r="PD140" s="282">
        <f t="shared" si="1310"/>
        <v>0</v>
      </c>
      <c r="PE140" s="282">
        <f t="shared" si="1311"/>
        <v>0</v>
      </c>
      <c r="PF140" s="286">
        <f t="shared" si="1312"/>
        <v>0</v>
      </c>
      <c r="PG140" s="286">
        <f t="shared" si="1313"/>
        <v>0</v>
      </c>
      <c r="PH140" s="286">
        <f t="shared" si="1314"/>
        <v>0</v>
      </c>
      <c r="PI140" s="286">
        <f t="shared" si="1315"/>
        <v>0</v>
      </c>
      <c r="PJ140" s="286">
        <f t="shared" si="1316"/>
        <v>0</v>
      </c>
      <c r="PK140" s="286">
        <f t="shared" si="1317"/>
        <v>0</v>
      </c>
      <c r="PL140" s="286">
        <f t="shared" si="1318"/>
        <v>0</v>
      </c>
      <c r="PM140" s="562">
        <v>84</v>
      </c>
    </row>
    <row r="141" spans="1:429" s="289" customFormat="1" ht="15.75" customHeight="1">
      <c r="A141" s="1040" t="s">
        <v>1627</v>
      </c>
      <c r="B141" s="1040" t="str">
        <f>VLOOKUP(A141,'Area (&amp;golfacre for lookup)'!$A$2:$B$162,2,FALSE)</f>
        <v>North&amp;Central</v>
      </c>
      <c r="C141" s="1936"/>
      <c r="D141" s="1937">
        <v>44865</v>
      </c>
      <c r="E141" s="402"/>
      <c r="F141" s="1936">
        <v>0</v>
      </c>
      <c r="G141" s="1936">
        <v>1</v>
      </c>
      <c r="H141" s="1936">
        <v>302</v>
      </c>
      <c r="I141" s="1936">
        <v>0</v>
      </c>
      <c r="J141" s="1936">
        <v>302</v>
      </c>
      <c r="K141" s="1938">
        <v>289.9415126179336</v>
      </c>
      <c r="L141" s="1939" t="s">
        <v>1208</v>
      </c>
      <c r="M141" s="1939" t="s">
        <v>1208</v>
      </c>
      <c r="N141" s="1939" t="s">
        <v>1208</v>
      </c>
      <c r="O141" s="1939" t="s">
        <v>1208</v>
      </c>
      <c r="P141" s="1939" t="s">
        <v>1208</v>
      </c>
      <c r="Q141" s="1936">
        <v>65000</v>
      </c>
      <c r="R141" s="1936">
        <v>10000</v>
      </c>
      <c r="S141" s="1936">
        <v>75000</v>
      </c>
      <c r="T141" s="1939" t="s">
        <v>1208</v>
      </c>
      <c r="U141" s="1939" t="s">
        <v>1208</v>
      </c>
      <c r="V141" s="1939" t="s">
        <v>1208</v>
      </c>
      <c r="W141" s="1936">
        <v>26074</v>
      </c>
      <c r="X141" s="1936">
        <v>26074</v>
      </c>
      <c r="Y141" s="1939" t="s">
        <v>1208</v>
      </c>
      <c r="Z141" s="1939" t="s">
        <v>1208</v>
      </c>
      <c r="AA141" s="1936">
        <v>0</v>
      </c>
      <c r="AB141" s="1362">
        <v>0</v>
      </c>
      <c r="AC141" s="1939" t="s">
        <v>1208</v>
      </c>
      <c r="AD141" s="1363" t="s">
        <v>1208</v>
      </c>
      <c r="AE141" s="1936">
        <v>1</v>
      </c>
      <c r="AF141" s="1936">
        <v>1968</v>
      </c>
      <c r="AG141" s="1939" t="s">
        <v>1208</v>
      </c>
      <c r="AH141" s="1936">
        <v>0</v>
      </c>
      <c r="AI141" s="1936">
        <v>0</v>
      </c>
      <c r="AJ141" s="1939" t="s">
        <v>1208</v>
      </c>
      <c r="AK141" s="1938">
        <v>1</v>
      </c>
      <c r="AL141" s="1938">
        <v>2440</v>
      </c>
      <c r="AM141" s="1936">
        <v>30482</v>
      </c>
      <c r="AN141" s="1939" t="s">
        <v>1208</v>
      </c>
      <c r="AO141" s="1936">
        <v>1</v>
      </c>
      <c r="AP141" s="1936">
        <v>1200</v>
      </c>
      <c r="AQ141" s="1936">
        <v>31683</v>
      </c>
      <c r="AR141" s="1939" t="s">
        <v>1208</v>
      </c>
      <c r="AS141" s="1363" t="s">
        <v>1208</v>
      </c>
      <c r="AT141" s="1363" t="s">
        <v>1208</v>
      </c>
      <c r="AU141" s="1363" t="s">
        <v>1208</v>
      </c>
      <c r="AV141" s="1363" t="s">
        <v>1208</v>
      </c>
      <c r="AW141" s="1363" t="s">
        <v>1291</v>
      </c>
      <c r="AX141" s="1938">
        <v>0</v>
      </c>
      <c r="AY141" s="1938">
        <v>0</v>
      </c>
      <c r="AZ141" s="1938">
        <v>0</v>
      </c>
      <c r="BA141" s="1938">
        <v>0</v>
      </c>
      <c r="BB141" s="1938">
        <v>0</v>
      </c>
      <c r="BC141" s="1938">
        <v>0</v>
      </c>
      <c r="BD141" s="1938">
        <v>0</v>
      </c>
      <c r="BE141" s="1936">
        <v>1</v>
      </c>
      <c r="BF141" s="1936">
        <v>75000</v>
      </c>
      <c r="BG141" s="1936">
        <v>1158274</v>
      </c>
      <c r="BH141" s="1936">
        <v>1233274</v>
      </c>
      <c r="BI141" s="1938">
        <v>13238491</v>
      </c>
      <c r="BJ141" s="1936">
        <v>684229</v>
      </c>
      <c r="BK141" s="1936">
        <v>961981</v>
      </c>
      <c r="BL141" s="1362">
        <v>0.71127080472483339</v>
      </c>
      <c r="BM141" s="1936">
        <v>0</v>
      </c>
      <c r="BN141" s="1936">
        <v>0</v>
      </c>
      <c r="BO141" s="1363" t="s">
        <v>1208</v>
      </c>
      <c r="BP141" s="1938">
        <v>2284795</v>
      </c>
      <c r="BQ141" s="1938">
        <v>3002164</v>
      </c>
      <c r="BR141" s="1940">
        <v>0.76104936305944648</v>
      </c>
      <c r="BS141" s="1409">
        <v>0</v>
      </c>
      <c r="BT141" s="1938">
        <v>3235554</v>
      </c>
      <c r="BU141" s="1938">
        <v>12521122</v>
      </c>
      <c r="BV141" s="1940">
        <v>0.25840767305038637</v>
      </c>
      <c r="BW141" s="1936">
        <v>0</v>
      </c>
      <c r="BX141" s="1936">
        <v>2359.8862881757577</v>
      </c>
      <c r="BY141" s="1936">
        <v>4253.5268194766222</v>
      </c>
      <c r="BZ141" s="1936">
        <v>106280</v>
      </c>
      <c r="CA141" s="1936">
        <v>0</v>
      </c>
      <c r="CB141" s="1936">
        <v>301205</v>
      </c>
      <c r="CC141" s="1936">
        <v>9607</v>
      </c>
      <c r="CD141" s="1936">
        <v>7559935</v>
      </c>
      <c r="CE141" s="1936">
        <v>0</v>
      </c>
      <c r="CF141" s="1936">
        <v>0</v>
      </c>
      <c r="CG141" s="1936">
        <v>938962</v>
      </c>
      <c r="CH141" s="1936">
        <v>405185</v>
      </c>
      <c r="CI141" s="1936">
        <v>85556</v>
      </c>
      <c r="CJ141" s="1936">
        <v>9406730</v>
      </c>
      <c r="CK141" s="1366">
        <v>1.1298293881083011E-2</v>
      </c>
      <c r="CL141" s="1366">
        <v>0</v>
      </c>
      <c r="CM141" s="1366">
        <v>3.2020160034358376E-2</v>
      </c>
      <c r="CN141" s="1366">
        <v>1.0212900763602231E-3</v>
      </c>
      <c r="CO141" s="1366">
        <v>0.80367300858002733</v>
      </c>
      <c r="CP141" s="1366">
        <v>0</v>
      </c>
      <c r="CQ141" s="1366">
        <v>0</v>
      </c>
      <c r="CR141" s="1366">
        <v>9.9818108949656259E-2</v>
      </c>
      <c r="CS141" s="1366">
        <v>4.307394812012251E-2</v>
      </c>
      <c r="CT141" s="1366">
        <v>9.0951903583923431E-3</v>
      </c>
      <c r="CU141" s="1366">
        <v>1</v>
      </c>
      <c r="CV141" s="1936">
        <v>4418716</v>
      </c>
      <c r="CW141" s="1936">
        <v>614943</v>
      </c>
      <c r="CX141" s="1936">
        <v>247453</v>
      </c>
      <c r="CY141" s="1936">
        <v>4587067</v>
      </c>
      <c r="CZ141" s="1936">
        <v>0</v>
      </c>
      <c r="DA141" s="1936">
        <v>362981</v>
      </c>
      <c r="DB141" s="1936">
        <v>10231160</v>
      </c>
      <c r="DC141" s="1366">
        <v>0.43188807525246403</v>
      </c>
      <c r="DD141" s="1366">
        <v>6.0104914789720812E-2</v>
      </c>
      <c r="DE141" s="1366">
        <v>2.4186211534175987E-2</v>
      </c>
      <c r="DF141" s="1366">
        <v>0.44834280765817364</v>
      </c>
      <c r="DG141" s="1366">
        <v>0</v>
      </c>
      <c r="DH141" s="1366">
        <v>3.5477990765465497E-2</v>
      </c>
      <c r="DI141" s="1366">
        <v>1</v>
      </c>
      <c r="DJ141" s="1936">
        <v>-824430</v>
      </c>
      <c r="DK141" s="1936">
        <v>366.55668600325265</v>
      </c>
      <c r="DL141" s="1936">
        <v>0</v>
      </c>
      <c r="DM141" s="1936">
        <v>1038.847446439685</v>
      </c>
      <c r="DN141" s="1936">
        <v>33.134268747019647</v>
      </c>
      <c r="DO141" s="1936">
        <v>26073.999999999996</v>
      </c>
      <c r="DP141" s="1936">
        <v>0</v>
      </c>
      <c r="DQ141" s="1936">
        <v>0</v>
      </c>
      <c r="DR141" s="1936">
        <v>3238.4531332610663</v>
      </c>
      <c r="DS141" s="1936">
        <v>1397.4714981015047</v>
      </c>
      <c r="DT141" s="1936">
        <v>295.08020161549007</v>
      </c>
      <c r="DU141" s="1936">
        <v>32443.543234168017</v>
      </c>
      <c r="DV141" s="1936">
        <v>15240.025342016828</v>
      </c>
      <c r="DW141" s="1936">
        <v>2120.9208520972729</v>
      </c>
      <c r="DX141" s="1936">
        <v>853.45833290894689</v>
      </c>
      <c r="DY141" s="1936">
        <v>15820.663135066636</v>
      </c>
      <c r="DZ141" s="1936">
        <v>0</v>
      </c>
      <c r="EA141" s="1936">
        <v>1251.911106907665</v>
      </c>
      <c r="EB141" s="1936">
        <v>35286.978768997353</v>
      </c>
      <c r="EC141" s="1936">
        <v>-2843.4355348293338</v>
      </c>
      <c r="ED141" s="1941">
        <v>75</v>
      </c>
      <c r="EE141" s="1936">
        <v>1</v>
      </c>
      <c r="EF141" s="1936">
        <v>8</v>
      </c>
      <c r="EG141" s="1938">
        <v>71394</v>
      </c>
      <c r="EH141" s="1938">
        <v>1</v>
      </c>
      <c r="EI141" s="1368">
        <v>0.08</v>
      </c>
      <c r="EJ141" s="1936">
        <v>3.8658868349057811</v>
      </c>
      <c r="EK141" s="1936">
        <v>1</v>
      </c>
      <c r="EL141" s="1936">
        <v>1</v>
      </c>
      <c r="EM141" s="1936">
        <v>0</v>
      </c>
      <c r="EN141" s="1362">
        <v>0</v>
      </c>
      <c r="EO141" s="1936">
        <v>1</v>
      </c>
      <c r="EP141" s="1936">
        <v>100</v>
      </c>
      <c r="EQ141" s="1936">
        <v>1</v>
      </c>
      <c r="ER141" s="1938">
        <v>0</v>
      </c>
      <c r="ES141" s="1936">
        <v>4635.9246313625708</v>
      </c>
      <c r="ET141" s="1936">
        <v>-2712.6629536365062</v>
      </c>
      <c r="EU141" s="1938">
        <v>1</v>
      </c>
      <c r="EV141" s="1936">
        <v>37227</v>
      </c>
      <c r="EW141" s="1936">
        <v>64</v>
      </c>
      <c r="EX141" s="1938">
        <v>0</v>
      </c>
      <c r="EY141" s="1936">
        <v>938962</v>
      </c>
      <c r="EZ141" s="1936">
        <v>490074</v>
      </c>
      <c r="FA141" s="1936">
        <v>448888</v>
      </c>
      <c r="FB141" s="1936">
        <v>405185</v>
      </c>
      <c r="FC141" s="1936">
        <v>124869</v>
      </c>
      <c r="FD141" s="1936">
        <v>280316</v>
      </c>
      <c r="FE141" s="1936">
        <v>1344147</v>
      </c>
      <c r="FF141" s="1936">
        <v>614943</v>
      </c>
      <c r="FG141" s="1936">
        <v>729204</v>
      </c>
      <c r="FH141" s="1366">
        <v>1</v>
      </c>
      <c r="FI141" s="1366">
        <v>0.52193166496620735</v>
      </c>
      <c r="FJ141" s="1366">
        <v>0.47806833503379265</v>
      </c>
      <c r="FK141" s="1366">
        <v>1</v>
      </c>
      <c r="FL141" s="1366">
        <v>0.30817774596789121</v>
      </c>
      <c r="FM141" s="1366">
        <v>0.69182225403210884</v>
      </c>
      <c r="FN141" s="1366">
        <v>1</v>
      </c>
      <c r="FO141" s="1366">
        <v>0.45749683628353149</v>
      </c>
      <c r="FP141" s="1366">
        <v>0.54250316371646856</v>
      </c>
      <c r="FQ141" s="1936">
        <v>1252666</v>
      </c>
      <c r="FR141" s="1936">
        <v>-268829.40000000002</v>
      </c>
      <c r="FS141" s="1936">
        <v>223212</v>
      </c>
      <c r="FT141" s="1936">
        <v>17371</v>
      </c>
      <c r="FU141" s="1936">
        <v>0</v>
      </c>
      <c r="FV141" s="1936">
        <v>73884</v>
      </c>
      <c r="FW141" s="1936">
        <v>217414</v>
      </c>
      <c r="FX141" s="1936">
        <v>1515717.6</v>
      </c>
      <c r="FY141" s="1936">
        <v>-786513.60000000009</v>
      </c>
      <c r="FZ141" s="1366">
        <v>0.93194122369056365</v>
      </c>
      <c r="GA141" s="1366">
        <v>-0.2</v>
      </c>
      <c r="GB141" s="1366">
        <v>0.16606219409037851</v>
      </c>
      <c r="GC141" s="1366">
        <v>1.2923437689478904E-2</v>
      </c>
      <c r="GD141" s="1366">
        <v>0</v>
      </c>
      <c r="GE141" s="1366">
        <v>5.4967202247968416E-2</v>
      </c>
      <c r="GF141" s="1366">
        <v>0.1617486777859862</v>
      </c>
      <c r="GG141" s="1366">
        <v>1.1276427355043757</v>
      </c>
      <c r="GH141" s="1366">
        <v>-0.58513957178790721</v>
      </c>
      <c r="GI141" s="1942">
        <v>2.3173661413922035</v>
      </c>
      <c r="GJ141" s="1943">
        <v>1</v>
      </c>
      <c r="GK141" s="1371">
        <v>0.1</v>
      </c>
      <c r="GL141" s="1943">
        <v>1</v>
      </c>
      <c r="GM141" s="1371">
        <v>0.1</v>
      </c>
      <c r="GN141" s="1943">
        <v>18</v>
      </c>
      <c r="GO141" s="1985">
        <f>IF(GN141=0,0,VLOOKUP(A141,'Area (&amp;golfacre for lookup)'!$G$2:$H$133,2,FALSE))</f>
        <v>95</v>
      </c>
      <c r="GP141" s="1943">
        <v>26801</v>
      </c>
      <c r="GQ141" s="1943">
        <v>846219</v>
      </c>
      <c r="GR141" s="1943">
        <v>98788</v>
      </c>
      <c r="GS141" s="1943">
        <v>562119</v>
      </c>
      <c r="GT141" s="1943">
        <v>99923</v>
      </c>
      <c r="GU141" s="1943">
        <v>0</v>
      </c>
      <c r="GV141" s="1943">
        <v>65723</v>
      </c>
      <c r="GW141" s="1943">
        <v>1672772</v>
      </c>
      <c r="GX141" s="1943">
        <v>92931.777777777781</v>
      </c>
      <c r="GY141" s="1985">
        <f t="shared" si="1319"/>
        <v>17608.126315789475</v>
      </c>
      <c r="GZ141" s="1366">
        <v>0.50587826673330261</v>
      </c>
      <c r="HA141" s="1366">
        <v>5.9056464359757338E-2</v>
      </c>
      <c r="HB141" s="1366">
        <v>0.33604041674537832</v>
      </c>
      <c r="HC141" s="1366">
        <v>5.9734978825566186E-2</v>
      </c>
      <c r="HD141" s="1366">
        <v>0</v>
      </c>
      <c r="HE141" s="1366">
        <v>3.9289873335995582E-2</v>
      </c>
      <c r="HF141" s="1366">
        <v>1</v>
      </c>
      <c r="HG141" s="1936">
        <v>0</v>
      </c>
      <c r="HH141" s="1988">
        <f>IF(HG141=0,0,VLOOKUP(A141,'Area (&amp;golfacre for lookup)'!$G$2:$H$134,2,FALSE))</f>
        <v>0</v>
      </c>
      <c r="HI141" s="1936">
        <v>0</v>
      </c>
      <c r="HJ141" s="1936">
        <v>0</v>
      </c>
      <c r="HK141" s="1936">
        <v>0</v>
      </c>
      <c r="HL141" s="1936">
        <v>0</v>
      </c>
      <c r="HM141" s="1936">
        <v>0</v>
      </c>
      <c r="HN141" s="1936">
        <v>0</v>
      </c>
      <c r="HO141" s="1936">
        <v>0</v>
      </c>
      <c r="HP141" s="1936">
        <v>0</v>
      </c>
      <c r="HQ141" s="1936">
        <v>0</v>
      </c>
      <c r="HR141" s="1988">
        <f t="shared" si="1320"/>
        <v>0</v>
      </c>
      <c r="HS141" s="1936">
        <v>0</v>
      </c>
      <c r="HT141" s="1936">
        <v>0</v>
      </c>
      <c r="HU141" s="1936">
        <v>0</v>
      </c>
      <c r="HV141" s="1936">
        <v>0</v>
      </c>
      <c r="HW141" s="1936">
        <v>0</v>
      </c>
      <c r="HX141" s="1936">
        <v>0</v>
      </c>
      <c r="HY141" s="1936">
        <v>0</v>
      </c>
      <c r="HZ141" s="51"/>
      <c r="IA141" s="59">
        <f t="shared" si="1136"/>
        <v>0.87</v>
      </c>
      <c r="IB141" s="59"/>
      <c r="IC141" s="815">
        <f t="shared" si="1137"/>
        <v>0</v>
      </c>
      <c r="ID141" s="815"/>
      <c r="IE141" s="284">
        <f t="shared" si="1138"/>
        <v>0</v>
      </c>
      <c r="IF141" s="284"/>
      <c r="IG141" s="284">
        <f t="shared" si="1139"/>
        <v>45659.177537108451</v>
      </c>
      <c r="IH141" s="284"/>
      <c r="II141" s="1288">
        <f t="shared" si="1140"/>
        <v>0</v>
      </c>
      <c r="IJ141" s="1288">
        <f t="shared" si="1141"/>
        <v>0.76104936305944648</v>
      </c>
      <c r="IK141" s="284">
        <f t="shared" si="1142"/>
        <v>0</v>
      </c>
      <c r="IL141" s="284">
        <f t="shared" si="1143"/>
        <v>1</v>
      </c>
      <c r="IM141" s="284">
        <f t="shared" si="1144"/>
        <v>0</v>
      </c>
      <c r="IN141" s="284">
        <f t="shared" si="1145"/>
        <v>0</v>
      </c>
      <c r="IO141" s="753">
        <f t="shared" si="1146"/>
        <v>-2604.3496688741725</v>
      </c>
      <c r="IP141" s="113">
        <f t="shared" si="1147"/>
        <v>-2712.6629536365062</v>
      </c>
      <c r="IQ141" s="30">
        <f t="shared" si="1148"/>
        <v>-0.10403708497493697</v>
      </c>
      <c r="IR141" s="438">
        <f t="shared" si="1149"/>
        <v>938962</v>
      </c>
      <c r="IS141" s="438">
        <f t="shared" si="1150"/>
        <v>405185</v>
      </c>
      <c r="IT141" s="438">
        <f t="shared" si="1151"/>
        <v>1252666</v>
      </c>
      <c r="IU141" s="438">
        <f t="shared" si="1152"/>
        <v>240583</v>
      </c>
      <c r="IV141" s="438">
        <f t="shared" si="1153"/>
        <v>614943</v>
      </c>
      <c r="IW141" s="438">
        <f t="shared" si="1154"/>
        <v>22468.599999999977</v>
      </c>
      <c r="IX141" s="285">
        <f t="shared" si="1155"/>
        <v>0.6985560359097629</v>
      </c>
      <c r="IY141" s="285">
        <f t="shared" si="1156"/>
        <v>0.30144396409023716</v>
      </c>
      <c r="IZ141" s="285">
        <f t="shared" si="1157"/>
        <v>0.93194122369056365</v>
      </c>
      <c r="JA141" s="285">
        <f t="shared" si="1158"/>
        <v>0.17898563177985741</v>
      </c>
      <c r="JB141" s="285">
        <f t="shared" si="1159"/>
        <v>0.45749683628353149</v>
      </c>
      <c r="JC141" s="285">
        <f t="shared" si="1160"/>
        <v>1.6715880033954602E-2</v>
      </c>
      <c r="JD141" s="60">
        <f t="shared" si="1161"/>
        <v>7559935</v>
      </c>
      <c r="JE141" s="60">
        <f t="shared" si="1162"/>
        <v>417092</v>
      </c>
      <c r="JF141" s="60">
        <f t="shared" si="1163"/>
        <v>0</v>
      </c>
      <c r="JG141" s="60">
        <f t="shared" si="1164"/>
        <v>362981</v>
      </c>
      <c r="JH141" s="284">
        <f t="shared" si="1165"/>
        <v>0</v>
      </c>
      <c r="JI141" s="284">
        <f t="shared" si="1166"/>
        <v>1</v>
      </c>
      <c r="JJ141" s="560">
        <f t="shared" si="1167"/>
        <v>0.82154346707391979</v>
      </c>
      <c r="JK141" s="561">
        <f t="shared" si="1168"/>
        <v>0.46973985646446748</v>
      </c>
      <c r="JL141" s="561">
        <f t="shared" si="1169"/>
        <v>6.5372664039469619E-2</v>
      </c>
      <c r="JM141" s="561">
        <f t="shared" si="1170"/>
        <v>2.6305953290888546E-2</v>
      </c>
      <c r="JN141" s="561">
        <f t="shared" si="1171"/>
        <v>0.48763672392000196</v>
      </c>
      <c r="JO141" s="561">
        <f t="shared" si="1172"/>
        <v>0</v>
      </c>
      <c r="JP141" s="561">
        <f t="shared" si="1173"/>
        <v>3.8587373082888531E-2</v>
      </c>
      <c r="JQ141" s="561">
        <f t="shared" si="1174"/>
        <v>1.0876425707977162</v>
      </c>
      <c r="JR141" s="61">
        <f t="shared" si="1175"/>
        <v>47012.166666666664</v>
      </c>
      <c r="JS141" s="61">
        <f t="shared" si="1176"/>
        <v>5488.2222222222226</v>
      </c>
      <c r="JT141" s="61">
        <f t="shared" si="1177"/>
        <v>31228.833333333332</v>
      </c>
      <c r="JU141" s="61">
        <f t="shared" si="1178"/>
        <v>5551.2777777777774</v>
      </c>
      <c r="JV141" s="61">
        <f t="shared" si="1179"/>
        <v>0</v>
      </c>
      <c r="JW141" s="61">
        <f t="shared" si="1180"/>
        <v>3651.2777777777778</v>
      </c>
      <c r="JX141" s="61">
        <f t="shared" si="1181"/>
        <v>62.41453677101601</v>
      </c>
      <c r="JY141" s="394">
        <f t="shared" si="1182"/>
        <v>0.16349778519737743</v>
      </c>
      <c r="JZ141" s="61">
        <f t="shared" si="1183"/>
        <v>0</v>
      </c>
      <c r="KA141" s="61">
        <f t="shared" si="1184"/>
        <v>0</v>
      </c>
      <c r="KB141" s="61">
        <f t="shared" si="1185"/>
        <v>0</v>
      </c>
      <c r="KC141" s="61">
        <f t="shared" si="1186"/>
        <v>0</v>
      </c>
      <c r="KD141" s="61">
        <f t="shared" si="1187"/>
        <v>0</v>
      </c>
      <c r="KE141" s="61">
        <f t="shared" si="1188"/>
        <v>0</v>
      </c>
      <c r="KF141" s="61">
        <f t="shared" si="1189"/>
        <v>0</v>
      </c>
      <c r="KG141" s="61">
        <f t="shared" si="1190"/>
        <v>0</v>
      </c>
      <c r="KH141" s="61">
        <f t="shared" si="1191"/>
        <v>0</v>
      </c>
      <c r="KI141" s="394">
        <f t="shared" si="1192"/>
        <v>0</v>
      </c>
      <c r="KJ141" s="438">
        <f t="shared" si="1193"/>
        <v>18</v>
      </c>
      <c r="KK141" s="438">
        <f t="shared" si="1194"/>
        <v>26801</v>
      </c>
      <c r="KL141" s="438">
        <f t="shared" si="1195"/>
        <v>95</v>
      </c>
      <c r="KM141" s="438">
        <f t="shared" si="1196"/>
        <v>92931.777777777781</v>
      </c>
      <c r="KN141" s="438">
        <f t="shared" si="1197"/>
        <v>62.41453677101601</v>
      </c>
      <c r="KO141" s="438">
        <f t="shared" si="1198"/>
        <v>17608.126315789475</v>
      </c>
      <c r="KP141" s="438">
        <f t="shared" si="1199"/>
        <v>846219</v>
      </c>
      <c r="KQ141" s="438">
        <f t="shared" si="1200"/>
        <v>98788</v>
      </c>
      <c r="KR141" s="438">
        <f t="shared" si="1201"/>
        <v>562119</v>
      </c>
      <c r="KS141" s="438">
        <f t="shared" si="1202"/>
        <v>99923</v>
      </c>
      <c r="KT141" s="438">
        <f t="shared" si="1203"/>
        <v>0</v>
      </c>
      <c r="KU141" s="438">
        <f t="shared" si="1204"/>
        <v>65723</v>
      </c>
      <c r="KV141" s="420">
        <f t="shared" si="1205"/>
        <v>0.16349778519737743</v>
      </c>
      <c r="KW141" s="420">
        <f t="shared" si="1206"/>
        <v>-0.21257444673796799</v>
      </c>
      <c r="KX141" s="108"/>
      <c r="KY141" s="282">
        <f t="shared" si="1207"/>
        <v>0</v>
      </c>
      <c r="KZ141" s="282"/>
      <c r="LA141" s="282">
        <f t="shared" si="1208"/>
        <v>0</v>
      </c>
      <c r="LB141" s="282"/>
      <c r="LC141" s="286">
        <f t="shared" si="1321"/>
        <v>0</v>
      </c>
      <c r="LD141" s="286"/>
      <c r="LE141" s="282">
        <f t="shared" si="1209"/>
        <v>0</v>
      </c>
      <c r="LF141" s="282"/>
      <c r="LG141" s="282">
        <f t="shared" si="1210"/>
        <v>0</v>
      </c>
      <c r="LH141" s="282">
        <f t="shared" si="1211"/>
        <v>0</v>
      </c>
      <c r="LI141" s="282">
        <f t="shared" si="1212"/>
        <v>0</v>
      </c>
      <c r="LJ141" s="282">
        <f t="shared" si="1213"/>
        <v>0</v>
      </c>
      <c r="LK141" s="282"/>
      <c r="LL141" s="282">
        <f t="shared" si="1214"/>
        <v>0</v>
      </c>
      <c r="LM141" s="282">
        <f t="shared" si="1215"/>
        <v>0</v>
      </c>
      <c r="LN141" s="282">
        <f t="shared" si="1216"/>
        <v>0</v>
      </c>
      <c r="LO141" s="282">
        <f t="shared" si="1217"/>
        <v>0</v>
      </c>
      <c r="LP141" s="286">
        <f t="shared" si="1218"/>
        <v>0</v>
      </c>
      <c r="LQ141" s="282">
        <f t="shared" si="1219"/>
        <v>0</v>
      </c>
      <c r="LR141" s="282">
        <f t="shared" si="1220"/>
        <v>0</v>
      </c>
      <c r="LS141" s="282">
        <f t="shared" si="1221"/>
        <v>0</v>
      </c>
      <c r="LT141" s="286">
        <f t="shared" si="1222"/>
        <v>0</v>
      </c>
      <c r="LU141" s="286">
        <f t="shared" si="1223"/>
        <v>0</v>
      </c>
      <c r="LV141" s="286">
        <f t="shared" si="1224"/>
        <v>0</v>
      </c>
      <c r="LW141" s="286">
        <f t="shared" si="1225"/>
        <v>0</v>
      </c>
      <c r="LX141" s="286">
        <f t="shared" si="1226"/>
        <v>0</v>
      </c>
      <c r="LY141" s="286">
        <f t="shared" si="1227"/>
        <v>0</v>
      </c>
      <c r="LZ141" s="286">
        <f t="shared" si="1228"/>
        <v>0</v>
      </c>
      <c r="MA141" s="286">
        <f t="shared" si="1229"/>
        <v>0</v>
      </c>
      <c r="MB141" s="286">
        <f t="shared" si="1230"/>
        <v>0</v>
      </c>
      <c r="MC141" s="286">
        <f t="shared" si="1231"/>
        <v>0</v>
      </c>
      <c r="MD141" s="286">
        <f t="shared" si="1232"/>
        <v>0</v>
      </c>
      <c r="ME141" s="286">
        <f t="shared" si="1233"/>
        <v>0</v>
      </c>
      <c r="MF141" s="286">
        <f t="shared" si="1234"/>
        <v>0</v>
      </c>
      <c r="MG141" s="286">
        <f t="shared" si="1235"/>
        <v>0</v>
      </c>
      <c r="MH141" s="286">
        <f t="shared" si="1236"/>
        <v>0</v>
      </c>
      <c r="MI141" s="286">
        <f t="shared" si="1237"/>
        <v>0</v>
      </c>
      <c r="MJ141" s="286">
        <f t="shared" si="1238"/>
        <v>0</v>
      </c>
      <c r="MK141" s="286">
        <f t="shared" si="1239"/>
        <v>0</v>
      </c>
      <c r="ML141" s="282">
        <f t="shared" si="1240"/>
        <v>0</v>
      </c>
      <c r="MM141" s="1232">
        <f t="shared" si="1241"/>
        <v>0</v>
      </c>
      <c r="MN141" s="1232">
        <f t="shared" si="1242"/>
        <v>0</v>
      </c>
      <c r="MO141" s="1232">
        <f t="shared" si="1243"/>
        <v>0</v>
      </c>
      <c r="MP141" s="1232">
        <f t="shared" si="1244"/>
        <v>0</v>
      </c>
      <c r="MQ141" s="282">
        <f t="shared" si="1245"/>
        <v>0</v>
      </c>
      <c r="MR141" s="282">
        <f t="shared" si="1246"/>
        <v>0</v>
      </c>
      <c r="MS141" s="282">
        <f t="shared" si="1247"/>
        <v>0</v>
      </c>
      <c r="MT141" s="282">
        <f t="shared" si="1248"/>
        <v>0</v>
      </c>
      <c r="MU141" s="282">
        <f t="shared" si="1249"/>
        <v>0</v>
      </c>
      <c r="MV141" s="282">
        <f t="shared" si="1250"/>
        <v>0</v>
      </c>
      <c r="MW141" s="282">
        <f t="shared" si="1251"/>
        <v>0</v>
      </c>
      <c r="MX141" s="282">
        <f t="shared" si="1252"/>
        <v>0</v>
      </c>
      <c r="MY141" s="282">
        <f t="shared" si="1253"/>
        <v>0</v>
      </c>
      <c r="MZ141" s="282">
        <f t="shared" si="1254"/>
        <v>0</v>
      </c>
      <c r="NA141" s="282">
        <f t="shared" si="1255"/>
        <v>0</v>
      </c>
      <c r="NB141" s="282">
        <f t="shared" si="1256"/>
        <v>0</v>
      </c>
      <c r="NC141" s="282">
        <f t="shared" si="1257"/>
        <v>0</v>
      </c>
      <c r="ND141" s="282">
        <f t="shared" si="1258"/>
        <v>0</v>
      </c>
      <c r="NE141" s="282">
        <f t="shared" si="1259"/>
        <v>0</v>
      </c>
      <c r="NF141" s="282">
        <f t="shared" si="1260"/>
        <v>0</v>
      </c>
      <c r="NG141" s="282">
        <f t="shared" si="1261"/>
        <v>0</v>
      </c>
      <c r="NH141" s="282">
        <f t="shared" si="1262"/>
        <v>0</v>
      </c>
      <c r="NI141" s="282">
        <f t="shared" si="1263"/>
        <v>0</v>
      </c>
      <c r="NJ141" s="282">
        <f t="shared" si="1264"/>
        <v>0</v>
      </c>
      <c r="NK141" s="282">
        <f t="shared" si="1265"/>
        <v>0</v>
      </c>
      <c r="NL141" s="282">
        <f t="shared" si="1266"/>
        <v>0</v>
      </c>
      <c r="NM141" s="1205">
        <f t="shared" si="1267"/>
        <v>0</v>
      </c>
      <c r="NN141" s="282">
        <f t="shared" si="1268"/>
        <v>0</v>
      </c>
      <c r="NO141" s="282">
        <f t="shared" si="1269"/>
        <v>0</v>
      </c>
      <c r="NP141" s="282">
        <f t="shared" si="1270"/>
        <v>0</v>
      </c>
      <c r="NQ141" s="282">
        <f t="shared" si="1271"/>
        <v>0</v>
      </c>
      <c r="NR141" s="282">
        <f t="shared" si="1272"/>
        <v>0</v>
      </c>
      <c r="NS141" s="282">
        <f t="shared" si="1273"/>
        <v>0</v>
      </c>
      <c r="NT141" s="282">
        <f t="shared" si="1274"/>
        <v>0</v>
      </c>
      <c r="NU141" s="282">
        <f t="shared" si="1275"/>
        <v>0</v>
      </c>
      <c r="NV141" s="286">
        <f t="shared" si="1276"/>
        <v>0</v>
      </c>
      <c r="NW141" s="286">
        <f t="shared" si="1277"/>
        <v>0</v>
      </c>
      <c r="NX141" s="286">
        <f t="shared" si="1278"/>
        <v>0</v>
      </c>
      <c r="NY141" s="286">
        <f t="shared" si="1279"/>
        <v>0</v>
      </c>
      <c r="NZ141" s="286">
        <f t="shared" si="1280"/>
        <v>0</v>
      </c>
      <c r="OA141" s="286">
        <f t="shared" si="1281"/>
        <v>0</v>
      </c>
      <c r="OB141" s="286">
        <f t="shared" si="1282"/>
        <v>0</v>
      </c>
      <c r="OC141" s="286">
        <f t="shared" si="1283"/>
        <v>0</v>
      </c>
      <c r="OD141" s="286">
        <f t="shared" si="1284"/>
        <v>0</v>
      </c>
      <c r="OE141" s="282">
        <f t="shared" si="1285"/>
        <v>0</v>
      </c>
      <c r="OF141" s="282">
        <f t="shared" si="1286"/>
        <v>0</v>
      </c>
      <c r="OG141" s="286">
        <f t="shared" si="1287"/>
        <v>0</v>
      </c>
      <c r="OH141" s="286">
        <f t="shared" si="1288"/>
        <v>0</v>
      </c>
      <c r="OI141" s="286">
        <f t="shared" si="1289"/>
        <v>0</v>
      </c>
      <c r="OJ141" s="286">
        <f t="shared" si="1290"/>
        <v>0</v>
      </c>
      <c r="OK141" s="286">
        <f t="shared" si="1291"/>
        <v>0</v>
      </c>
      <c r="OL141" s="286">
        <f t="shared" si="1292"/>
        <v>0</v>
      </c>
      <c r="OM141" s="286">
        <f t="shared" si="1293"/>
        <v>0</v>
      </c>
      <c r="ON141" s="286">
        <f t="shared" si="1294"/>
        <v>0</v>
      </c>
      <c r="OO141" s="286">
        <f t="shared" si="1295"/>
        <v>0</v>
      </c>
      <c r="OP141" s="434">
        <f t="shared" si="1296"/>
        <v>0</v>
      </c>
      <c r="OQ141" s="434">
        <f t="shared" si="1297"/>
        <v>0</v>
      </c>
      <c r="OR141" s="282">
        <f t="shared" si="1298"/>
        <v>0</v>
      </c>
      <c r="OS141" s="282">
        <f t="shared" si="1299"/>
        <v>0</v>
      </c>
      <c r="OT141" s="282">
        <f t="shared" si="1300"/>
        <v>0</v>
      </c>
      <c r="OU141" s="282">
        <f t="shared" si="1301"/>
        <v>0</v>
      </c>
      <c r="OV141" s="282">
        <f t="shared" si="1302"/>
        <v>0</v>
      </c>
      <c r="OW141" s="286">
        <f t="shared" si="1303"/>
        <v>0</v>
      </c>
      <c r="OX141" s="286">
        <f t="shared" si="1304"/>
        <v>0</v>
      </c>
      <c r="OY141" s="286">
        <f t="shared" si="1305"/>
        <v>0</v>
      </c>
      <c r="OZ141" s="286">
        <f t="shared" si="1306"/>
        <v>0</v>
      </c>
      <c r="PA141" s="286">
        <f t="shared" si="1307"/>
        <v>0</v>
      </c>
      <c r="PB141" s="286">
        <f t="shared" si="1308"/>
        <v>0</v>
      </c>
      <c r="PC141" s="286">
        <f t="shared" si="1309"/>
        <v>0</v>
      </c>
      <c r="PD141" s="282">
        <f t="shared" si="1310"/>
        <v>0</v>
      </c>
      <c r="PE141" s="282">
        <f t="shared" si="1311"/>
        <v>0</v>
      </c>
      <c r="PF141" s="286">
        <f t="shared" si="1312"/>
        <v>0</v>
      </c>
      <c r="PG141" s="286">
        <f t="shared" si="1313"/>
        <v>0</v>
      </c>
      <c r="PH141" s="286">
        <f t="shared" si="1314"/>
        <v>0</v>
      </c>
      <c r="PI141" s="286">
        <f t="shared" si="1315"/>
        <v>0</v>
      </c>
      <c r="PJ141" s="286">
        <f t="shared" si="1316"/>
        <v>0</v>
      </c>
      <c r="PK141" s="286">
        <f t="shared" si="1317"/>
        <v>0</v>
      </c>
      <c r="PL141" s="286">
        <f t="shared" si="1318"/>
        <v>0</v>
      </c>
      <c r="PM141" s="562">
        <v>85</v>
      </c>
    </row>
    <row r="142" spans="1:429" s="289" customFormat="1" ht="18.75" customHeight="1">
      <c r="A142" s="1935" t="s">
        <v>696</v>
      </c>
      <c r="B142" s="1040" t="str">
        <f>VLOOKUP(A142,'Area (&amp;golfacre for lookup)'!$A$2:$B$162,2,FALSE)</f>
        <v>SW exc CIRA</v>
      </c>
      <c r="C142" s="1936"/>
      <c r="D142" s="1937">
        <v>44804</v>
      </c>
      <c r="E142" s="402"/>
      <c r="F142" s="1936">
        <v>1</v>
      </c>
      <c r="G142" s="1936">
        <v>0</v>
      </c>
      <c r="H142" s="1936">
        <v>461</v>
      </c>
      <c r="I142" s="1936">
        <v>326</v>
      </c>
      <c r="J142" s="1936">
        <v>787</v>
      </c>
      <c r="K142" s="1938">
        <v>593.74162371134025</v>
      </c>
      <c r="L142" s="1939" t="s">
        <v>1208</v>
      </c>
      <c r="M142" s="1939" t="s">
        <v>1208</v>
      </c>
      <c r="N142" s="1939" t="s">
        <v>1208</v>
      </c>
      <c r="O142" s="1939" t="s">
        <v>1208</v>
      </c>
      <c r="P142" s="1939" t="s">
        <v>1208</v>
      </c>
      <c r="Q142" s="1936">
        <v>0</v>
      </c>
      <c r="R142" s="1936">
        <v>85000</v>
      </c>
      <c r="S142" s="1936">
        <v>85000</v>
      </c>
      <c r="T142" s="1939" t="s">
        <v>1208</v>
      </c>
      <c r="U142" s="1939" t="s">
        <v>1208</v>
      </c>
      <c r="V142" s="1939" t="s">
        <v>1208</v>
      </c>
      <c r="W142" s="1936">
        <v>14940</v>
      </c>
      <c r="X142" s="1936">
        <v>13968</v>
      </c>
      <c r="Y142" s="1939" t="s">
        <v>1208</v>
      </c>
      <c r="Z142" s="1939" t="s">
        <v>1208</v>
      </c>
      <c r="AA142" s="1936">
        <v>972</v>
      </c>
      <c r="AB142" s="1362">
        <v>6.9587628865979384E-2</v>
      </c>
      <c r="AC142" s="1939" t="s">
        <v>1208</v>
      </c>
      <c r="AD142" s="1363" t="s">
        <v>1208</v>
      </c>
      <c r="AE142" s="1936">
        <v>1</v>
      </c>
      <c r="AF142" s="1936">
        <v>3840</v>
      </c>
      <c r="AG142" s="1939" t="s">
        <v>1208</v>
      </c>
      <c r="AH142" s="1936">
        <v>0</v>
      </c>
      <c r="AI142" s="1936">
        <v>0</v>
      </c>
      <c r="AJ142" s="1939" t="s">
        <v>1208</v>
      </c>
      <c r="AK142" s="1938">
        <v>0</v>
      </c>
      <c r="AL142" s="1938">
        <v>0</v>
      </c>
      <c r="AM142" s="1936">
        <v>17808</v>
      </c>
      <c r="AN142" s="1939" t="s">
        <v>1208</v>
      </c>
      <c r="AO142" s="1936">
        <v>0</v>
      </c>
      <c r="AP142" s="1936">
        <v>920</v>
      </c>
      <c r="AQ142" s="1936">
        <v>18728</v>
      </c>
      <c r="AR142" s="1939" t="s">
        <v>1208</v>
      </c>
      <c r="AS142" s="1363" t="s">
        <v>1208</v>
      </c>
      <c r="AT142" s="1363" t="s">
        <v>1208</v>
      </c>
      <c r="AU142" s="1363" t="s">
        <v>1208</v>
      </c>
      <c r="AV142" s="1363" t="s">
        <v>1208</v>
      </c>
      <c r="AW142" s="1363" t="s">
        <v>1291</v>
      </c>
      <c r="AX142" s="1938">
        <v>0</v>
      </c>
      <c r="AY142" s="1938">
        <v>0</v>
      </c>
      <c r="AZ142" s="1938">
        <v>0</v>
      </c>
      <c r="BA142" s="1938">
        <v>0</v>
      </c>
      <c r="BB142" s="1938">
        <v>0</v>
      </c>
      <c r="BC142" s="1938">
        <v>0</v>
      </c>
      <c r="BD142" s="1938">
        <v>0</v>
      </c>
      <c r="BE142" s="1936">
        <v>0</v>
      </c>
      <c r="BF142" s="1936">
        <v>0</v>
      </c>
      <c r="BG142" s="1936">
        <v>423300</v>
      </c>
      <c r="BH142" s="1936">
        <v>423300</v>
      </c>
      <c r="BI142" s="1938">
        <v>34954350</v>
      </c>
      <c r="BJ142" s="1936">
        <v>1975909</v>
      </c>
      <c r="BK142" s="1936">
        <v>3445247</v>
      </c>
      <c r="BL142" s="1362">
        <v>0.57351737045268447</v>
      </c>
      <c r="BM142" s="1936">
        <v>1</v>
      </c>
      <c r="BN142" s="1936">
        <v>20670067</v>
      </c>
      <c r="BO142" s="1363" t="s">
        <v>1208</v>
      </c>
      <c r="BP142" s="1938">
        <v>3919218</v>
      </c>
      <c r="BQ142" s="1938">
        <v>4863837</v>
      </c>
      <c r="BR142" s="1940">
        <v>0.80578728275639167</v>
      </c>
      <c r="BS142" s="1409">
        <v>0</v>
      </c>
      <c r="BT142" s="1938">
        <v>29711526</v>
      </c>
      <c r="BU142" s="1938">
        <v>14478044</v>
      </c>
      <c r="BV142" s="1940">
        <v>2.0521781809752753</v>
      </c>
      <c r="BW142" s="1936">
        <v>34813.235546459146</v>
      </c>
      <c r="BX142" s="1936">
        <v>3327.8936848810667</v>
      </c>
      <c r="BY142" s="1936">
        <v>712.93637349197536</v>
      </c>
      <c r="BZ142" s="1936">
        <v>1993647</v>
      </c>
      <c r="CA142" s="1936">
        <v>0</v>
      </c>
      <c r="CB142" s="1936">
        <v>668795</v>
      </c>
      <c r="CC142" s="1936">
        <v>352337</v>
      </c>
      <c r="CD142" s="1936">
        <v>8293383</v>
      </c>
      <c r="CE142" s="1936">
        <v>0</v>
      </c>
      <c r="CF142" s="1936">
        <v>0</v>
      </c>
      <c r="CG142" s="1936">
        <v>2034896</v>
      </c>
      <c r="CH142" s="1936">
        <v>1426360</v>
      </c>
      <c r="CI142" s="1936">
        <v>70027</v>
      </c>
      <c r="CJ142" s="1936">
        <v>14839445</v>
      </c>
      <c r="CK142" s="1366">
        <v>0.13434781422081485</v>
      </c>
      <c r="CL142" s="1366">
        <v>0</v>
      </c>
      <c r="CM142" s="1366">
        <v>4.506873403958167E-2</v>
      </c>
      <c r="CN142" s="1366">
        <v>2.3743273417570536E-2</v>
      </c>
      <c r="CO142" s="1366">
        <v>0.55887420317943159</v>
      </c>
      <c r="CP142" s="1366">
        <v>0</v>
      </c>
      <c r="CQ142" s="1366">
        <v>0</v>
      </c>
      <c r="CR142" s="1366">
        <v>0.13712750038832314</v>
      </c>
      <c r="CS142" s="1366">
        <v>9.6119497730541806E-2</v>
      </c>
      <c r="CT142" s="1366">
        <v>4.7189770237364001E-3</v>
      </c>
      <c r="CU142" s="1366">
        <v>1</v>
      </c>
      <c r="CV142" s="1936">
        <v>8147157</v>
      </c>
      <c r="CW142" s="1936">
        <v>1567858</v>
      </c>
      <c r="CX142" s="1936">
        <v>507669</v>
      </c>
      <c r="CY142" s="1936">
        <v>4081440</v>
      </c>
      <c r="CZ142" s="1936">
        <v>223023</v>
      </c>
      <c r="DA142" s="1936">
        <v>310268</v>
      </c>
      <c r="DB142" s="1936">
        <v>14837415</v>
      </c>
      <c r="DC142" s="1366">
        <v>0.54909544553414458</v>
      </c>
      <c r="DD142" s="1366">
        <v>0.10566921529120807</v>
      </c>
      <c r="DE142" s="1366">
        <v>3.4215461385962445E-2</v>
      </c>
      <c r="DF142" s="1366">
        <v>0.27507756573500169</v>
      </c>
      <c r="DG142" s="1366">
        <v>1.5031122334988945E-2</v>
      </c>
      <c r="DH142" s="1366">
        <v>2.0911189718694261E-2</v>
      </c>
      <c r="DI142" s="1366">
        <v>1</v>
      </c>
      <c r="DJ142" s="1936">
        <v>2030</v>
      </c>
      <c r="DK142" s="1936">
        <v>3357.7686326556964</v>
      </c>
      <c r="DL142" s="1936">
        <v>0</v>
      </c>
      <c r="DM142" s="1936">
        <v>1126.407469665877</v>
      </c>
      <c r="DN142" s="1936">
        <v>593.41805581630558</v>
      </c>
      <c r="DO142" s="1936">
        <v>13967.999999999998</v>
      </c>
      <c r="DP142" s="1936">
        <v>0</v>
      </c>
      <c r="DQ142" s="1936">
        <v>0</v>
      </c>
      <c r="DR142" s="1936">
        <v>3427.2416127411452</v>
      </c>
      <c r="DS142" s="1936">
        <v>2402.3244169478244</v>
      </c>
      <c r="DT142" s="1936">
        <v>117.94187438346931</v>
      </c>
      <c r="DU142" s="1936">
        <v>24993.102062210317</v>
      </c>
      <c r="DV142" s="1936">
        <v>13721.721157216542</v>
      </c>
      <c r="DW142" s="1936">
        <v>2640.6402000245253</v>
      </c>
      <c r="DX142" s="1936">
        <v>855.03353601298761</v>
      </c>
      <c r="DY142" s="1936">
        <v>6874.1011864518969</v>
      </c>
      <c r="DZ142" s="1936">
        <v>375.62298328679623</v>
      </c>
      <c r="EA142" s="1936">
        <v>522.56400361589465</v>
      </c>
      <c r="EB142" s="1936">
        <v>24989.683066608643</v>
      </c>
      <c r="EC142" s="1936">
        <v>3.4189956016742502</v>
      </c>
      <c r="ED142" s="1941">
        <v>155</v>
      </c>
      <c r="EE142" s="1936">
        <v>1</v>
      </c>
      <c r="EF142" s="1936">
        <v>18</v>
      </c>
      <c r="EG142" s="1938">
        <v>0</v>
      </c>
      <c r="EH142" s="1938">
        <v>1</v>
      </c>
      <c r="EI142" s="1368">
        <v>0.1</v>
      </c>
      <c r="EJ142" s="1936">
        <v>3.8305911207183243</v>
      </c>
      <c r="EK142" s="1936">
        <v>0</v>
      </c>
      <c r="EL142" s="1936">
        <v>0</v>
      </c>
      <c r="EM142" s="1936">
        <v>0</v>
      </c>
      <c r="EN142" s="1362">
        <v>0</v>
      </c>
      <c r="EO142" s="1936">
        <v>1</v>
      </c>
      <c r="EP142" s="1936">
        <v>76.666666666666671</v>
      </c>
      <c r="EQ142" s="1936">
        <v>0</v>
      </c>
      <c r="ER142" s="1938">
        <v>0</v>
      </c>
      <c r="ES142" s="1936">
        <v>5829.56602968897</v>
      </c>
      <c r="ET142" s="1936">
        <v>-1944.5424640825097</v>
      </c>
      <c r="EU142" s="1938">
        <v>2</v>
      </c>
      <c r="EV142" s="1936">
        <v>90800</v>
      </c>
      <c r="EW142" s="1936">
        <v>12500</v>
      </c>
      <c r="EX142" s="1938">
        <v>2</v>
      </c>
      <c r="EY142" s="1936">
        <v>2034896</v>
      </c>
      <c r="EZ142" s="1936">
        <v>996431</v>
      </c>
      <c r="FA142" s="1936">
        <v>1038465</v>
      </c>
      <c r="FB142" s="1936">
        <v>1426360</v>
      </c>
      <c r="FC142" s="1936">
        <v>571427</v>
      </c>
      <c r="FD142" s="1936">
        <v>854933</v>
      </c>
      <c r="FE142" s="1936">
        <v>3461256</v>
      </c>
      <c r="FF142" s="1936">
        <v>1567858</v>
      </c>
      <c r="FG142" s="1936">
        <v>1893398</v>
      </c>
      <c r="FH142" s="1366">
        <v>1</v>
      </c>
      <c r="FI142" s="1366">
        <v>0.48967170803815036</v>
      </c>
      <c r="FJ142" s="1366">
        <v>0.5103282919618497</v>
      </c>
      <c r="FK142" s="1366">
        <v>1</v>
      </c>
      <c r="FL142" s="1366">
        <v>0.40061905830225186</v>
      </c>
      <c r="FM142" s="1366">
        <v>0.59938094169774814</v>
      </c>
      <c r="FN142" s="1366">
        <v>1</v>
      </c>
      <c r="FO142" s="1366">
        <v>0.45297371821096155</v>
      </c>
      <c r="FP142" s="1366">
        <v>0.54702628178903845</v>
      </c>
      <c r="FQ142" s="1936">
        <v>2788310</v>
      </c>
      <c r="FR142" s="1936">
        <v>-692251.20000000007</v>
      </c>
      <c r="FS142" s="1936">
        <v>463772</v>
      </c>
      <c r="FT142" s="1936">
        <v>32038</v>
      </c>
      <c r="FU142" s="1936">
        <v>83818</v>
      </c>
      <c r="FV142" s="1936">
        <v>8139</v>
      </c>
      <c r="FW142" s="1936">
        <v>364128</v>
      </c>
      <c r="FX142" s="1936">
        <v>3047953.8</v>
      </c>
      <c r="FY142" s="1936">
        <v>-1154555.7999999998</v>
      </c>
      <c r="FZ142" s="1366">
        <v>0.80557751290283064</v>
      </c>
      <c r="GA142" s="1366">
        <v>-0.2</v>
      </c>
      <c r="GB142" s="1366">
        <v>0.13398951132190165</v>
      </c>
      <c r="GC142" s="1366">
        <v>9.2561775263083693E-3</v>
      </c>
      <c r="GD142" s="1366">
        <v>2.4216064919786343E-2</v>
      </c>
      <c r="GE142" s="1366">
        <v>2.3514585456839944E-3</v>
      </c>
      <c r="GF142" s="1366">
        <v>0.10520111774454129</v>
      </c>
      <c r="GG142" s="1366">
        <v>0.8805918429610522</v>
      </c>
      <c r="GH142" s="1366">
        <v>-0.3335655611720138</v>
      </c>
      <c r="GI142" s="1942">
        <v>1.4266356319582714</v>
      </c>
      <c r="GJ142" s="1943">
        <v>0</v>
      </c>
      <c r="GK142" s="1371">
        <v>0</v>
      </c>
      <c r="GL142" s="1943">
        <v>0</v>
      </c>
      <c r="GM142" s="1371">
        <v>0</v>
      </c>
      <c r="GN142" s="1943">
        <v>0</v>
      </c>
      <c r="GO142" s="1985">
        <f>IF(GN142=0,0,VLOOKUP(A142,'Area (&amp;golfacre for lookup)'!$G$2:$H$133,2,FALSE))</f>
        <v>0</v>
      </c>
      <c r="GP142" s="1943">
        <v>0</v>
      </c>
      <c r="GQ142" s="1943">
        <v>0</v>
      </c>
      <c r="GR142" s="1943">
        <v>0</v>
      </c>
      <c r="GS142" s="1943">
        <v>0</v>
      </c>
      <c r="GT142" s="1943">
        <v>0</v>
      </c>
      <c r="GU142" s="1943">
        <v>0</v>
      </c>
      <c r="GV142" s="1943">
        <v>0</v>
      </c>
      <c r="GW142" s="1943">
        <v>0</v>
      </c>
      <c r="GX142" s="1936">
        <v>0</v>
      </c>
      <c r="GY142" s="1985">
        <f t="shared" si="1319"/>
        <v>0</v>
      </c>
      <c r="GZ142" s="1936">
        <v>0</v>
      </c>
      <c r="HA142" s="1936">
        <v>0</v>
      </c>
      <c r="HB142" s="1936">
        <v>0</v>
      </c>
      <c r="HC142" s="1936">
        <v>0</v>
      </c>
      <c r="HD142" s="1936">
        <v>0</v>
      </c>
      <c r="HE142" s="1936">
        <v>0</v>
      </c>
      <c r="HF142" s="1936">
        <v>0</v>
      </c>
      <c r="HG142" s="1936">
        <v>36</v>
      </c>
      <c r="HH142" s="1988">
        <f>IF(HG142=0,0,VLOOKUP(A142,'Area (&amp;golfacre for lookup)'!$G$2:$H$134,2,FALSE))</f>
        <v>375</v>
      </c>
      <c r="HI142" s="1936">
        <v>54200</v>
      </c>
      <c r="HJ142" s="1936">
        <v>1993432</v>
      </c>
      <c r="HK142" s="1936">
        <v>387877</v>
      </c>
      <c r="HL142" s="1936">
        <v>1123502</v>
      </c>
      <c r="HM142" s="1936">
        <v>161044</v>
      </c>
      <c r="HN142" s="1936">
        <v>3977</v>
      </c>
      <c r="HO142" s="1936">
        <v>108790</v>
      </c>
      <c r="HP142" s="1936">
        <v>3778622</v>
      </c>
      <c r="HQ142" s="1936">
        <v>104961.72222222222</v>
      </c>
      <c r="HR142" s="1988">
        <f t="shared" si="1320"/>
        <v>10076.325333333334</v>
      </c>
      <c r="HS142" s="1366">
        <v>0.52755528338108437</v>
      </c>
      <c r="HT142" s="1366">
        <v>0.10265038418767476</v>
      </c>
      <c r="HU142" s="1366">
        <v>0.29733114346976225</v>
      </c>
      <c r="HV142" s="1366">
        <v>4.2619769852607646E-2</v>
      </c>
      <c r="HW142" s="1366">
        <v>1.0525000913031259E-3</v>
      </c>
      <c r="HX142" s="1366">
        <v>2.8790919017567779E-2</v>
      </c>
      <c r="HY142" s="1366">
        <v>1</v>
      </c>
      <c r="HZ142" s="51"/>
      <c r="IA142" s="59">
        <f t="shared" si="1136"/>
        <v>0</v>
      </c>
      <c r="IB142" s="59"/>
      <c r="IC142" s="815">
        <f t="shared" si="1137"/>
        <v>1</v>
      </c>
      <c r="ID142" s="815"/>
      <c r="IE142" s="284">
        <f t="shared" si="1138"/>
        <v>0</v>
      </c>
      <c r="IF142" s="284"/>
      <c r="IG142" s="284">
        <f t="shared" si="1139"/>
        <v>58871.314733685875</v>
      </c>
      <c r="IH142" s="284"/>
      <c r="II142" s="1288">
        <f t="shared" si="1140"/>
        <v>0</v>
      </c>
      <c r="IJ142" s="1288">
        <f t="shared" si="1141"/>
        <v>0.80578728275639167</v>
      </c>
      <c r="IK142" s="284">
        <f t="shared" si="1142"/>
        <v>0</v>
      </c>
      <c r="IL142" s="284">
        <f t="shared" si="1143"/>
        <v>0</v>
      </c>
      <c r="IM142" s="284">
        <f t="shared" si="1144"/>
        <v>0</v>
      </c>
      <c r="IN142" s="284">
        <f t="shared" si="1145"/>
        <v>0</v>
      </c>
      <c r="IO142" s="753">
        <f t="shared" si="1146"/>
        <v>-1467.034053367217</v>
      </c>
      <c r="IP142" s="113">
        <f t="shared" si="1147"/>
        <v>-1944.5424640825097</v>
      </c>
      <c r="IQ142" s="30">
        <f t="shared" si="1148"/>
        <v>-0.13921409393488759</v>
      </c>
      <c r="IR142" s="438">
        <f t="shared" si="1149"/>
        <v>2034896</v>
      </c>
      <c r="IS142" s="438">
        <f t="shared" si="1150"/>
        <v>1426360</v>
      </c>
      <c r="IT142" s="438">
        <f t="shared" si="1151"/>
        <v>2788310</v>
      </c>
      <c r="IU142" s="438">
        <f t="shared" si="1152"/>
        <v>495810</v>
      </c>
      <c r="IV142" s="438">
        <f t="shared" si="1153"/>
        <v>1567858</v>
      </c>
      <c r="IW142" s="438">
        <f t="shared" si="1154"/>
        <v>-236166.20000000007</v>
      </c>
      <c r="IX142" s="285">
        <f t="shared" si="1155"/>
        <v>0.58790681764076391</v>
      </c>
      <c r="IY142" s="285">
        <f t="shared" si="1156"/>
        <v>0.41209318235923609</v>
      </c>
      <c r="IZ142" s="285">
        <f t="shared" si="1157"/>
        <v>0.80557751290283064</v>
      </c>
      <c r="JA142" s="285">
        <f t="shared" si="1158"/>
        <v>0.14324568884821001</v>
      </c>
      <c r="JB142" s="285">
        <f t="shared" si="1159"/>
        <v>0.45297371821096155</v>
      </c>
      <c r="JC142" s="285">
        <f t="shared" si="1160"/>
        <v>-6.82313587899884E-2</v>
      </c>
      <c r="JD142" s="60">
        <f t="shared" si="1161"/>
        <v>8293383</v>
      </c>
      <c r="JE142" s="60">
        <f t="shared" si="1162"/>
        <v>3014779</v>
      </c>
      <c r="JF142" s="60">
        <f t="shared" si="1163"/>
        <v>0</v>
      </c>
      <c r="JG142" s="60">
        <f t="shared" si="1164"/>
        <v>533291</v>
      </c>
      <c r="JH142" s="284">
        <f t="shared" si="1165"/>
        <v>1</v>
      </c>
      <c r="JI142" s="284">
        <f t="shared" si="1166"/>
        <v>1</v>
      </c>
      <c r="JJ142" s="560">
        <f t="shared" si="1167"/>
        <v>0.75908013666370111</v>
      </c>
      <c r="JK142" s="561">
        <f t="shared" si="1168"/>
        <v>0.54902033061209499</v>
      </c>
      <c r="JL142" s="561">
        <f t="shared" si="1169"/>
        <v>0.10565475999944741</v>
      </c>
      <c r="JM142" s="561">
        <f t="shared" si="1170"/>
        <v>3.4210780794025654E-2</v>
      </c>
      <c r="JN142" s="561">
        <f t="shared" si="1171"/>
        <v>0.27503993579274699</v>
      </c>
      <c r="JO142" s="561">
        <f t="shared" si="1172"/>
        <v>1.5029066113995503E-2</v>
      </c>
      <c r="JP142" s="561">
        <f t="shared" si="1173"/>
        <v>2.0908329118777689E-2</v>
      </c>
      <c r="JQ142" s="561">
        <f t="shared" si="1174"/>
        <v>0.99986320243108817</v>
      </c>
      <c r="JR142" s="61">
        <f t="shared" si="1175"/>
        <v>0</v>
      </c>
      <c r="JS142" s="61">
        <f t="shared" si="1176"/>
        <v>0</v>
      </c>
      <c r="JT142" s="61">
        <f t="shared" si="1177"/>
        <v>0</v>
      </c>
      <c r="JU142" s="61">
        <f t="shared" si="1178"/>
        <v>0</v>
      </c>
      <c r="JV142" s="61">
        <f t="shared" si="1179"/>
        <v>0</v>
      </c>
      <c r="JW142" s="61">
        <f t="shared" si="1180"/>
        <v>0</v>
      </c>
      <c r="JX142" s="61">
        <f t="shared" si="1181"/>
        <v>0</v>
      </c>
      <c r="JY142" s="394">
        <f t="shared" si="1182"/>
        <v>0</v>
      </c>
      <c r="JZ142" s="61">
        <f t="shared" si="1183"/>
        <v>55373.111111111109</v>
      </c>
      <c r="KA142" s="61">
        <f t="shared" si="1184"/>
        <v>10774.361111111111</v>
      </c>
      <c r="KB142" s="61">
        <f t="shared" si="1185"/>
        <v>31208.388888888891</v>
      </c>
      <c r="KC142" s="61">
        <f t="shared" si="1186"/>
        <v>4473.4444444444443</v>
      </c>
      <c r="KD142" s="61">
        <f t="shared" si="1187"/>
        <v>110.47222222222223</v>
      </c>
      <c r="KE142" s="61">
        <f t="shared" si="1188"/>
        <v>3021.9444444444443</v>
      </c>
      <c r="KF142" s="61">
        <f t="shared" si="1189"/>
        <v>27100</v>
      </c>
      <c r="KG142" s="61">
        <f t="shared" si="1190"/>
        <v>375</v>
      </c>
      <c r="KH142" s="61">
        <f t="shared" si="1191"/>
        <v>69.716273062730622</v>
      </c>
      <c r="KI142" s="394">
        <f t="shared" si="1192"/>
        <v>0.25466848504271128</v>
      </c>
      <c r="KJ142" s="438">
        <f t="shared" si="1193"/>
        <v>36</v>
      </c>
      <c r="KK142" s="438">
        <f t="shared" si="1194"/>
        <v>54200</v>
      </c>
      <c r="KL142" s="438">
        <f t="shared" si="1195"/>
        <v>375</v>
      </c>
      <c r="KM142" s="438">
        <f t="shared" si="1196"/>
        <v>104961.72222222222</v>
      </c>
      <c r="KN142" s="438">
        <f t="shared" si="1197"/>
        <v>69.716273062730622</v>
      </c>
      <c r="KO142" s="438">
        <f t="shared" si="1198"/>
        <v>10076.325333333334</v>
      </c>
      <c r="KP142" s="438">
        <f t="shared" si="1199"/>
        <v>1993432</v>
      </c>
      <c r="KQ142" s="438">
        <f t="shared" si="1200"/>
        <v>387877</v>
      </c>
      <c r="KR142" s="438">
        <f t="shared" si="1201"/>
        <v>1123502</v>
      </c>
      <c r="KS142" s="438">
        <f t="shared" si="1202"/>
        <v>161044</v>
      </c>
      <c r="KT142" s="438">
        <f t="shared" si="1203"/>
        <v>3977</v>
      </c>
      <c r="KU142" s="438">
        <f t="shared" si="1204"/>
        <v>108790</v>
      </c>
      <c r="KV142" s="420">
        <f t="shared" si="1205"/>
        <v>0.25466848504271128</v>
      </c>
      <c r="KW142" s="420">
        <f t="shared" si="1206"/>
        <v>-0.4425012084935665</v>
      </c>
      <c r="KX142" s="108"/>
      <c r="KY142" s="282">
        <f t="shared" si="1207"/>
        <v>0</v>
      </c>
      <c r="KZ142" s="282"/>
      <c r="LA142" s="282">
        <f t="shared" si="1208"/>
        <v>0</v>
      </c>
      <c r="LB142" s="282"/>
      <c r="LC142" s="286">
        <f t="shared" si="1321"/>
        <v>0</v>
      </c>
      <c r="LD142" s="286"/>
      <c r="LE142" s="282">
        <f t="shared" si="1209"/>
        <v>0</v>
      </c>
      <c r="LF142" s="282"/>
      <c r="LG142" s="282">
        <f t="shared" si="1210"/>
        <v>0</v>
      </c>
      <c r="LH142" s="282">
        <f t="shared" si="1211"/>
        <v>0</v>
      </c>
      <c r="LI142" s="282">
        <f t="shared" si="1212"/>
        <v>0</v>
      </c>
      <c r="LJ142" s="282">
        <f t="shared" si="1213"/>
        <v>0</v>
      </c>
      <c r="LK142" s="282"/>
      <c r="LL142" s="282">
        <f t="shared" si="1214"/>
        <v>0</v>
      </c>
      <c r="LM142" s="282">
        <f t="shared" si="1215"/>
        <v>0</v>
      </c>
      <c r="LN142" s="282">
        <f t="shared" si="1216"/>
        <v>0</v>
      </c>
      <c r="LO142" s="282">
        <f t="shared" si="1217"/>
        <v>0</v>
      </c>
      <c r="LP142" s="286">
        <f t="shared" si="1218"/>
        <v>0</v>
      </c>
      <c r="LQ142" s="282">
        <f t="shared" si="1219"/>
        <v>0</v>
      </c>
      <c r="LR142" s="282">
        <f t="shared" si="1220"/>
        <v>0</v>
      </c>
      <c r="LS142" s="282">
        <f t="shared" si="1221"/>
        <v>0</v>
      </c>
      <c r="LT142" s="286">
        <f t="shared" si="1222"/>
        <v>0</v>
      </c>
      <c r="LU142" s="286">
        <f t="shared" si="1223"/>
        <v>0</v>
      </c>
      <c r="LV142" s="286">
        <f t="shared" si="1224"/>
        <v>0</v>
      </c>
      <c r="LW142" s="286">
        <f t="shared" si="1225"/>
        <v>0</v>
      </c>
      <c r="LX142" s="286">
        <f t="shared" si="1226"/>
        <v>0</v>
      </c>
      <c r="LY142" s="286">
        <f t="shared" si="1227"/>
        <v>0</v>
      </c>
      <c r="LZ142" s="286">
        <f t="shared" si="1228"/>
        <v>0</v>
      </c>
      <c r="MA142" s="286">
        <f t="shared" si="1229"/>
        <v>0</v>
      </c>
      <c r="MB142" s="286">
        <f t="shared" si="1230"/>
        <v>0</v>
      </c>
      <c r="MC142" s="286">
        <f t="shared" si="1231"/>
        <v>0</v>
      </c>
      <c r="MD142" s="286">
        <f t="shared" si="1232"/>
        <v>0</v>
      </c>
      <c r="ME142" s="286">
        <f t="shared" si="1233"/>
        <v>0</v>
      </c>
      <c r="MF142" s="286">
        <f t="shared" si="1234"/>
        <v>0</v>
      </c>
      <c r="MG142" s="286">
        <f t="shared" si="1235"/>
        <v>0</v>
      </c>
      <c r="MH142" s="286">
        <f t="shared" si="1236"/>
        <v>0</v>
      </c>
      <c r="MI142" s="286">
        <f t="shared" si="1237"/>
        <v>0</v>
      </c>
      <c r="MJ142" s="286">
        <f t="shared" si="1238"/>
        <v>0</v>
      </c>
      <c r="MK142" s="286">
        <f t="shared" si="1239"/>
        <v>0</v>
      </c>
      <c r="ML142" s="282">
        <f t="shared" si="1240"/>
        <v>0</v>
      </c>
      <c r="MM142" s="1232">
        <f t="shared" si="1241"/>
        <v>0</v>
      </c>
      <c r="MN142" s="1232">
        <f t="shared" si="1242"/>
        <v>0</v>
      </c>
      <c r="MO142" s="1232">
        <f t="shared" si="1243"/>
        <v>0</v>
      </c>
      <c r="MP142" s="1232">
        <f t="shared" si="1244"/>
        <v>0</v>
      </c>
      <c r="MQ142" s="282">
        <f t="shared" si="1245"/>
        <v>0</v>
      </c>
      <c r="MR142" s="282">
        <f t="shared" si="1246"/>
        <v>0</v>
      </c>
      <c r="MS142" s="282">
        <f t="shared" si="1247"/>
        <v>0</v>
      </c>
      <c r="MT142" s="282">
        <f t="shared" si="1248"/>
        <v>0</v>
      </c>
      <c r="MU142" s="282">
        <f t="shared" si="1249"/>
        <v>0</v>
      </c>
      <c r="MV142" s="282">
        <f t="shared" si="1250"/>
        <v>0</v>
      </c>
      <c r="MW142" s="282">
        <f t="shared" si="1251"/>
        <v>0</v>
      </c>
      <c r="MX142" s="282">
        <f t="shared" si="1252"/>
        <v>0</v>
      </c>
      <c r="MY142" s="282">
        <f t="shared" si="1253"/>
        <v>0</v>
      </c>
      <c r="MZ142" s="282">
        <f t="shared" si="1254"/>
        <v>0</v>
      </c>
      <c r="NA142" s="282">
        <f t="shared" si="1255"/>
        <v>0</v>
      </c>
      <c r="NB142" s="282">
        <f t="shared" si="1256"/>
        <v>0</v>
      </c>
      <c r="NC142" s="282">
        <f t="shared" si="1257"/>
        <v>0</v>
      </c>
      <c r="ND142" s="282">
        <f t="shared" si="1258"/>
        <v>0</v>
      </c>
      <c r="NE142" s="282">
        <f t="shared" si="1259"/>
        <v>0</v>
      </c>
      <c r="NF142" s="282">
        <f t="shared" si="1260"/>
        <v>0</v>
      </c>
      <c r="NG142" s="282">
        <f t="shared" si="1261"/>
        <v>0</v>
      </c>
      <c r="NH142" s="282">
        <f t="shared" si="1262"/>
        <v>0</v>
      </c>
      <c r="NI142" s="282">
        <f t="shared" si="1263"/>
        <v>0</v>
      </c>
      <c r="NJ142" s="282">
        <f t="shared" si="1264"/>
        <v>0</v>
      </c>
      <c r="NK142" s="282">
        <f t="shared" si="1265"/>
        <v>0</v>
      </c>
      <c r="NL142" s="282">
        <f t="shared" si="1266"/>
        <v>0</v>
      </c>
      <c r="NM142" s="1205">
        <f t="shared" si="1267"/>
        <v>0</v>
      </c>
      <c r="NN142" s="282">
        <f t="shared" si="1268"/>
        <v>0</v>
      </c>
      <c r="NO142" s="282">
        <f t="shared" si="1269"/>
        <v>0</v>
      </c>
      <c r="NP142" s="282">
        <f t="shared" si="1270"/>
        <v>0</v>
      </c>
      <c r="NQ142" s="282">
        <f t="shared" si="1271"/>
        <v>0</v>
      </c>
      <c r="NR142" s="282">
        <f t="shared" si="1272"/>
        <v>0</v>
      </c>
      <c r="NS142" s="282">
        <f t="shared" si="1273"/>
        <v>0</v>
      </c>
      <c r="NT142" s="282">
        <f t="shared" si="1274"/>
        <v>0</v>
      </c>
      <c r="NU142" s="282">
        <f t="shared" si="1275"/>
        <v>0</v>
      </c>
      <c r="NV142" s="286">
        <f t="shared" si="1276"/>
        <v>0</v>
      </c>
      <c r="NW142" s="286">
        <f t="shared" si="1277"/>
        <v>0</v>
      </c>
      <c r="NX142" s="286">
        <f t="shared" si="1278"/>
        <v>0</v>
      </c>
      <c r="NY142" s="286">
        <f t="shared" si="1279"/>
        <v>0</v>
      </c>
      <c r="NZ142" s="286">
        <f t="shared" si="1280"/>
        <v>0</v>
      </c>
      <c r="OA142" s="286">
        <f t="shared" si="1281"/>
        <v>0</v>
      </c>
      <c r="OB142" s="286">
        <f t="shared" si="1282"/>
        <v>0</v>
      </c>
      <c r="OC142" s="286">
        <f t="shared" si="1283"/>
        <v>0</v>
      </c>
      <c r="OD142" s="286">
        <f t="shared" si="1284"/>
        <v>0</v>
      </c>
      <c r="OE142" s="282">
        <f t="shared" si="1285"/>
        <v>0</v>
      </c>
      <c r="OF142" s="282">
        <f t="shared" si="1286"/>
        <v>0</v>
      </c>
      <c r="OG142" s="286">
        <f t="shared" si="1287"/>
        <v>0</v>
      </c>
      <c r="OH142" s="286">
        <f t="shared" si="1288"/>
        <v>0</v>
      </c>
      <c r="OI142" s="286">
        <f t="shared" si="1289"/>
        <v>0</v>
      </c>
      <c r="OJ142" s="286">
        <f t="shared" si="1290"/>
        <v>0</v>
      </c>
      <c r="OK142" s="286">
        <f t="shared" si="1291"/>
        <v>0</v>
      </c>
      <c r="OL142" s="286">
        <f t="shared" si="1292"/>
        <v>0</v>
      </c>
      <c r="OM142" s="286">
        <f t="shared" si="1293"/>
        <v>0</v>
      </c>
      <c r="ON142" s="286">
        <f t="shared" si="1294"/>
        <v>0</v>
      </c>
      <c r="OO142" s="286">
        <f t="shared" si="1295"/>
        <v>0</v>
      </c>
      <c r="OP142" s="434">
        <f t="shared" si="1296"/>
        <v>0</v>
      </c>
      <c r="OQ142" s="434">
        <f t="shared" si="1297"/>
        <v>0</v>
      </c>
      <c r="OR142" s="282">
        <f t="shared" si="1298"/>
        <v>0</v>
      </c>
      <c r="OS142" s="282">
        <f t="shared" si="1299"/>
        <v>0</v>
      </c>
      <c r="OT142" s="282">
        <f t="shared" si="1300"/>
        <v>0</v>
      </c>
      <c r="OU142" s="282">
        <f t="shared" si="1301"/>
        <v>0</v>
      </c>
      <c r="OV142" s="282">
        <f t="shared" si="1302"/>
        <v>0</v>
      </c>
      <c r="OW142" s="286">
        <f t="shared" si="1303"/>
        <v>0</v>
      </c>
      <c r="OX142" s="286">
        <f t="shared" si="1304"/>
        <v>0</v>
      </c>
      <c r="OY142" s="286">
        <f t="shared" si="1305"/>
        <v>0</v>
      </c>
      <c r="OZ142" s="286">
        <f t="shared" si="1306"/>
        <v>0</v>
      </c>
      <c r="PA142" s="286">
        <f t="shared" si="1307"/>
        <v>0</v>
      </c>
      <c r="PB142" s="286">
        <f t="shared" si="1308"/>
        <v>0</v>
      </c>
      <c r="PC142" s="286">
        <f t="shared" si="1309"/>
        <v>0</v>
      </c>
      <c r="PD142" s="282">
        <f t="shared" si="1310"/>
        <v>0</v>
      </c>
      <c r="PE142" s="282">
        <f t="shared" si="1311"/>
        <v>0</v>
      </c>
      <c r="PF142" s="286">
        <f t="shared" si="1312"/>
        <v>0</v>
      </c>
      <c r="PG142" s="286">
        <f t="shared" si="1313"/>
        <v>0</v>
      </c>
      <c r="PH142" s="286">
        <f t="shared" si="1314"/>
        <v>0</v>
      </c>
      <c r="PI142" s="286">
        <f t="shared" si="1315"/>
        <v>0</v>
      </c>
      <c r="PJ142" s="286">
        <f t="shared" si="1316"/>
        <v>0</v>
      </c>
      <c r="PK142" s="286">
        <f t="shared" si="1317"/>
        <v>0</v>
      </c>
      <c r="PL142" s="286">
        <f t="shared" si="1318"/>
        <v>0</v>
      </c>
      <c r="PM142" s="562">
        <v>86</v>
      </c>
    </row>
    <row r="143" spans="1:429" s="289" customFormat="1" ht="15.75" customHeight="1">
      <c r="A143" s="1640" t="s">
        <v>1015</v>
      </c>
      <c r="B143" s="1040" t="str">
        <f>VLOOKUP(A143,'Area (&amp;golfacre for lookup)'!$A$2:$B$162,2,FALSE)</f>
        <v>SW exc CIRA</v>
      </c>
      <c r="C143" s="1936"/>
      <c r="D143" s="1937">
        <v>44834</v>
      </c>
      <c r="E143" s="402"/>
      <c r="F143" s="1936">
        <v>1</v>
      </c>
      <c r="G143" s="1936">
        <v>1</v>
      </c>
      <c r="H143" s="1936">
        <v>512</v>
      </c>
      <c r="I143" s="1936">
        <v>160</v>
      </c>
      <c r="J143" s="1936">
        <v>672</v>
      </c>
      <c r="K143" s="1938">
        <v>548.86165531691984</v>
      </c>
      <c r="L143" s="1939" t="s">
        <v>1208</v>
      </c>
      <c r="M143" s="1939" t="s">
        <v>1208</v>
      </c>
      <c r="N143" s="1939" t="s">
        <v>1208</v>
      </c>
      <c r="O143" s="1939" t="s">
        <v>1208</v>
      </c>
      <c r="P143" s="1939" t="s">
        <v>1208</v>
      </c>
      <c r="Q143" s="1936">
        <v>0</v>
      </c>
      <c r="R143" s="1936">
        <v>200000</v>
      </c>
      <c r="S143" s="1936">
        <v>200000</v>
      </c>
      <c r="T143" s="1939" t="s">
        <v>1208</v>
      </c>
      <c r="U143" s="1939" t="s">
        <v>1208</v>
      </c>
      <c r="V143" s="1939" t="s">
        <v>1208</v>
      </c>
      <c r="W143" s="1936">
        <v>20245</v>
      </c>
      <c r="X143" s="1936">
        <v>19090</v>
      </c>
      <c r="Y143" s="1939" t="s">
        <v>1208</v>
      </c>
      <c r="Z143" s="1939" t="s">
        <v>1208</v>
      </c>
      <c r="AA143" s="1936">
        <v>1155</v>
      </c>
      <c r="AB143" s="1362">
        <v>6.0502881089575695E-2</v>
      </c>
      <c r="AC143" s="1939" t="s">
        <v>1208</v>
      </c>
      <c r="AD143" s="1363" t="s">
        <v>1208</v>
      </c>
      <c r="AE143" s="1936">
        <v>1</v>
      </c>
      <c r="AF143" s="1936">
        <v>4000</v>
      </c>
      <c r="AG143" s="1939" t="s">
        <v>1208</v>
      </c>
      <c r="AH143" s="1936">
        <v>0</v>
      </c>
      <c r="AI143" s="1936">
        <v>0</v>
      </c>
      <c r="AJ143" s="1939" t="s">
        <v>1208</v>
      </c>
      <c r="AK143" s="1938">
        <v>0</v>
      </c>
      <c r="AL143" s="1938">
        <v>0</v>
      </c>
      <c r="AM143" s="1936">
        <v>23090</v>
      </c>
      <c r="AN143" s="1939" t="s">
        <v>1208</v>
      </c>
      <c r="AO143" s="1936">
        <v>1200</v>
      </c>
      <c r="AP143" s="1936">
        <v>0</v>
      </c>
      <c r="AQ143" s="1936">
        <v>24290</v>
      </c>
      <c r="AR143" s="1939" t="s">
        <v>1208</v>
      </c>
      <c r="AS143" s="1363" t="s">
        <v>1208</v>
      </c>
      <c r="AT143" s="1363" t="s">
        <v>1208</v>
      </c>
      <c r="AU143" s="1363" t="s">
        <v>1208</v>
      </c>
      <c r="AV143" s="1363" t="s">
        <v>1208</v>
      </c>
      <c r="AW143" s="1363" t="s">
        <v>1291</v>
      </c>
      <c r="AX143" s="1938">
        <v>0</v>
      </c>
      <c r="AY143" s="1938">
        <v>0</v>
      </c>
      <c r="AZ143" s="1938">
        <v>0</v>
      </c>
      <c r="BA143" s="1938">
        <v>0</v>
      </c>
      <c r="BB143" s="1938">
        <v>0</v>
      </c>
      <c r="BC143" s="1938">
        <v>0</v>
      </c>
      <c r="BD143" s="1938">
        <v>0</v>
      </c>
      <c r="BE143" s="1936">
        <v>0</v>
      </c>
      <c r="BF143" s="1936">
        <v>0</v>
      </c>
      <c r="BG143" s="1936">
        <v>2156570</v>
      </c>
      <c r="BH143" s="1936">
        <v>2156570</v>
      </c>
      <c r="BI143" s="1938">
        <v>45974981</v>
      </c>
      <c r="BJ143" s="1936">
        <v>3178498</v>
      </c>
      <c r="BK143" s="1936">
        <v>4821812</v>
      </c>
      <c r="BL143" s="1362">
        <v>0.65919160680673572</v>
      </c>
      <c r="BM143" s="1936">
        <v>0</v>
      </c>
      <c r="BN143" s="1936">
        <v>0</v>
      </c>
      <c r="BO143" s="1363" t="s">
        <v>1208</v>
      </c>
      <c r="BP143" s="1938">
        <v>26148056</v>
      </c>
      <c r="BQ143" s="1938">
        <v>14553925</v>
      </c>
      <c r="BR143" s="1940">
        <v>1.7966325922388633</v>
      </c>
      <c r="BS143" s="1409">
        <v>1</v>
      </c>
      <c r="BT143" s="1938">
        <v>14553925</v>
      </c>
      <c r="BU143" s="1938">
        <v>60529679</v>
      </c>
      <c r="BV143" s="1940">
        <v>0.24044279170884089</v>
      </c>
      <c r="BW143" s="1936">
        <v>0</v>
      </c>
      <c r="BX143" s="1936">
        <v>5791.0731587993587</v>
      </c>
      <c r="BY143" s="1936">
        <v>3929.1686331317287</v>
      </c>
      <c r="BZ143" s="1936">
        <v>2248722</v>
      </c>
      <c r="CA143" s="1936">
        <v>151088</v>
      </c>
      <c r="CB143" s="1936">
        <v>1066281</v>
      </c>
      <c r="CC143" s="1936">
        <v>304258</v>
      </c>
      <c r="CD143" s="1936">
        <v>10477769</v>
      </c>
      <c r="CE143" s="1936">
        <v>0</v>
      </c>
      <c r="CF143" s="1936">
        <v>0</v>
      </c>
      <c r="CG143" s="1936">
        <v>2220716</v>
      </c>
      <c r="CH143" s="1936">
        <v>1604968</v>
      </c>
      <c r="CI143" s="1936">
        <v>1248108</v>
      </c>
      <c r="CJ143" s="1936">
        <v>19321910</v>
      </c>
      <c r="CK143" s="1366">
        <v>0.11638197258966634</v>
      </c>
      <c r="CL143" s="1366">
        <v>7.819516807603389E-3</v>
      </c>
      <c r="CM143" s="1366">
        <v>5.5185072283226659E-2</v>
      </c>
      <c r="CN143" s="1366">
        <v>1.5746786937730278E-2</v>
      </c>
      <c r="CO143" s="1366">
        <v>0.54227397809015776</v>
      </c>
      <c r="CP143" s="1366">
        <v>0</v>
      </c>
      <c r="CQ143" s="1366">
        <v>0</v>
      </c>
      <c r="CR143" s="1366">
        <v>0.11493252996210002</v>
      </c>
      <c r="CS143" s="1366">
        <v>8.3064665967287912E-2</v>
      </c>
      <c r="CT143" s="1366">
        <v>6.4595477362227649E-2</v>
      </c>
      <c r="CU143" s="1366">
        <v>1</v>
      </c>
      <c r="CV143" s="1936">
        <v>11236349</v>
      </c>
      <c r="CW143" s="1936">
        <v>2000680</v>
      </c>
      <c r="CX143" s="1936">
        <v>762168</v>
      </c>
      <c r="CY143" s="1936">
        <v>4565951</v>
      </c>
      <c r="CZ143" s="1936">
        <v>258773</v>
      </c>
      <c r="DA143" s="1936">
        <v>379902</v>
      </c>
      <c r="DB143" s="1936">
        <v>19203823</v>
      </c>
      <c r="DC143" s="1366">
        <v>0.58511000648152189</v>
      </c>
      <c r="DD143" s="1366">
        <v>0.10418133930936564</v>
      </c>
      <c r="DE143" s="1366">
        <v>3.9688347471230075E-2</v>
      </c>
      <c r="DF143" s="1366">
        <v>0.23776260591445778</v>
      </c>
      <c r="DG143" s="1366">
        <v>1.347507733225827E-2</v>
      </c>
      <c r="DH143" s="1366">
        <v>1.9782623491166315E-2</v>
      </c>
      <c r="DI143" s="1366">
        <v>1</v>
      </c>
      <c r="DJ143" s="1936">
        <v>118087</v>
      </c>
      <c r="DK143" s="1936">
        <v>4097.0652225678959</v>
      </c>
      <c r="DL143" s="1936">
        <v>275.27519646596522</v>
      </c>
      <c r="DM143" s="1936">
        <v>1942.7135958046031</v>
      </c>
      <c r="DN143" s="1936">
        <v>554.34369854880367</v>
      </c>
      <c r="DO143" s="1936">
        <v>19090</v>
      </c>
      <c r="DP143" s="1936">
        <v>0</v>
      </c>
      <c r="DQ143" s="1936">
        <v>0</v>
      </c>
      <c r="DR143" s="1936">
        <v>4046.039613967439</v>
      </c>
      <c r="DS143" s="1936">
        <v>2924.1758546117976</v>
      </c>
      <c r="DT143" s="1936">
        <v>2273.9937977254508</v>
      </c>
      <c r="DU143" s="1936">
        <v>35203.606979691955</v>
      </c>
      <c r="DV143" s="1936">
        <v>20472.096913951817</v>
      </c>
      <c r="DW143" s="1936">
        <v>3645.144419580161</v>
      </c>
      <c r="DX143" s="1936">
        <v>1388.6340804039487</v>
      </c>
      <c r="DY143" s="1936">
        <v>8318.946961896183</v>
      </c>
      <c r="DZ143" s="1936">
        <v>471.47217790352124</v>
      </c>
      <c r="EA143" s="1936">
        <v>692.16349205637198</v>
      </c>
      <c r="EB143" s="1936">
        <v>34988.458045792002</v>
      </c>
      <c r="EC143" s="1936">
        <v>215.14893389995524</v>
      </c>
      <c r="ED143" s="1941">
        <v>225</v>
      </c>
      <c r="EE143" s="1936">
        <v>1</v>
      </c>
      <c r="EF143" s="1936">
        <v>42</v>
      </c>
      <c r="EG143" s="1938">
        <v>160000</v>
      </c>
      <c r="EH143" s="1938">
        <v>1</v>
      </c>
      <c r="EI143" s="1368">
        <v>0.11</v>
      </c>
      <c r="EJ143" s="1936">
        <v>2.4393851347418658</v>
      </c>
      <c r="EK143" s="1936">
        <v>1</v>
      </c>
      <c r="EL143" s="1936">
        <v>1200</v>
      </c>
      <c r="EM143" s="1936">
        <v>1</v>
      </c>
      <c r="EN143" s="1362">
        <v>0.2</v>
      </c>
      <c r="EO143" s="1936">
        <v>0</v>
      </c>
      <c r="EP143" s="1936">
        <v>0</v>
      </c>
      <c r="EQ143" s="1936">
        <v>0</v>
      </c>
      <c r="ER143" s="1938">
        <v>0</v>
      </c>
      <c r="ES143" s="1936">
        <v>6970.2154685792366</v>
      </c>
      <c r="ET143" s="1936">
        <v>-3353.3623312367358</v>
      </c>
      <c r="EU143" s="1938">
        <v>2</v>
      </c>
      <c r="EV143" s="1936">
        <v>97100</v>
      </c>
      <c r="EW143" s="1936">
        <v>4500</v>
      </c>
      <c r="EX143" s="1938">
        <v>1</v>
      </c>
      <c r="EY143" s="1936">
        <v>2220716</v>
      </c>
      <c r="EZ143" s="1936">
        <v>1141653</v>
      </c>
      <c r="FA143" s="1936">
        <v>1079063</v>
      </c>
      <c r="FB143" s="1936">
        <v>1604968</v>
      </c>
      <c r="FC143" s="1936">
        <v>859027</v>
      </c>
      <c r="FD143" s="1936">
        <v>745941</v>
      </c>
      <c r="FE143" s="1936">
        <v>3825684</v>
      </c>
      <c r="FF143" s="1936">
        <v>2000680</v>
      </c>
      <c r="FG143" s="1936">
        <v>1825004</v>
      </c>
      <c r="FH143" s="1366">
        <v>1</v>
      </c>
      <c r="FI143" s="1366">
        <v>0.51409230176213438</v>
      </c>
      <c r="FJ143" s="1366">
        <v>0.48590769823786562</v>
      </c>
      <c r="FK143" s="1366">
        <v>1</v>
      </c>
      <c r="FL143" s="1366">
        <v>0.53522998589379978</v>
      </c>
      <c r="FM143" s="1366">
        <v>0.46477001410620022</v>
      </c>
      <c r="FN143" s="1366">
        <v>1</v>
      </c>
      <c r="FO143" s="1366">
        <v>0.52296007720449467</v>
      </c>
      <c r="FP143" s="1366">
        <v>0.47703992279550533</v>
      </c>
      <c r="FQ143" s="1936">
        <v>2690175</v>
      </c>
      <c r="FR143" s="1936">
        <v>0</v>
      </c>
      <c r="FS143" s="1936">
        <v>484322</v>
      </c>
      <c r="FT143" s="1936">
        <v>83796</v>
      </c>
      <c r="FU143" s="1936">
        <v>3152</v>
      </c>
      <c r="FV143" s="1936">
        <v>0</v>
      </c>
      <c r="FW143" s="1936">
        <v>404091</v>
      </c>
      <c r="FX143" s="1936">
        <v>3665536</v>
      </c>
      <c r="FY143" s="1936">
        <v>-1840532</v>
      </c>
      <c r="FZ143" s="1366">
        <v>0.70318797893396323</v>
      </c>
      <c r="GA143" s="1366">
        <v>0</v>
      </c>
      <c r="GB143" s="1366">
        <v>0.12659749210860072</v>
      </c>
      <c r="GC143" s="1366">
        <v>2.190353411311546E-2</v>
      </c>
      <c r="GD143" s="1366">
        <v>8.2390495398992707E-4</v>
      </c>
      <c r="GE143" s="1366">
        <v>0</v>
      </c>
      <c r="GF143" s="1366">
        <v>0.10562581750087044</v>
      </c>
      <c r="GG143" s="1366">
        <v>0.95813872761053975</v>
      </c>
      <c r="GH143" s="1366">
        <v>-0.48109880481503436</v>
      </c>
      <c r="GI143" s="1942">
        <v>1.3836512628289162</v>
      </c>
      <c r="GJ143" s="1943">
        <v>1</v>
      </c>
      <c r="GK143" s="1371">
        <v>0.05</v>
      </c>
      <c r="GL143" s="1943">
        <v>1</v>
      </c>
      <c r="GM143" s="1371">
        <v>0.03</v>
      </c>
      <c r="GN143" s="1943">
        <v>0</v>
      </c>
      <c r="GO143" s="1985">
        <f>IF(GN143=0,0,VLOOKUP(A143,'Area (&amp;golfacre for lookup)'!$G$2:$H$133,2,FALSE))</f>
        <v>0</v>
      </c>
      <c r="GP143" s="1943">
        <v>0</v>
      </c>
      <c r="GQ143" s="1943">
        <v>0</v>
      </c>
      <c r="GR143" s="1943">
        <v>0</v>
      </c>
      <c r="GS143" s="1943">
        <v>0</v>
      </c>
      <c r="GT143" s="1943">
        <v>0</v>
      </c>
      <c r="GU143" s="1943">
        <v>0</v>
      </c>
      <c r="GV143" s="1943">
        <v>0</v>
      </c>
      <c r="GW143" s="1943">
        <v>0</v>
      </c>
      <c r="GX143" s="1936">
        <v>0</v>
      </c>
      <c r="GY143" s="1985">
        <f t="shared" si="1319"/>
        <v>0</v>
      </c>
      <c r="GZ143" s="1936">
        <v>0</v>
      </c>
      <c r="HA143" s="1936">
        <v>0</v>
      </c>
      <c r="HB143" s="1936">
        <v>0</v>
      </c>
      <c r="HC143" s="1936">
        <v>0</v>
      </c>
      <c r="HD143" s="1936">
        <v>0</v>
      </c>
      <c r="HE143" s="1936">
        <v>0</v>
      </c>
      <c r="HF143" s="1936">
        <v>0</v>
      </c>
      <c r="HG143" s="1936">
        <v>36</v>
      </c>
      <c r="HH143" s="1988">
        <f>IF(HG143=0,0,VLOOKUP(A143,'Area (&amp;golfacre for lookup)'!$G$2:$H$134,2,FALSE))</f>
        <v>323</v>
      </c>
      <c r="HI143" s="1936">
        <v>52148</v>
      </c>
      <c r="HJ143" s="1936">
        <v>1629363</v>
      </c>
      <c r="HK143" s="1936">
        <v>360380</v>
      </c>
      <c r="HL143" s="1936">
        <v>1391596</v>
      </c>
      <c r="HM143" s="1936">
        <v>345814</v>
      </c>
      <c r="HN143" s="1936">
        <v>0</v>
      </c>
      <c r="HO143" s="1936">
        <v>598690</v>
      </c>
      <c r="HP143" s="1936">
        <v>4325843</v>
      </c>
      <c r="HQ143" s="1936">
        <v>120162.30555555556</v>
      </c>
      <c r="HR143" s="1988">
        <f t="shared" si="1320"/>
        <v>13392.702786377709</v>
      </c>
      <c r="HS143" s="1366">
        <v>0.37665791384476965</v>
      </c>
      <c r="HT143" s="1366">
        <v>8.3308617534200852E-2</v>
      </c>
      <c r="HU143" s="1366">
        <v>0.32169359821889054</v>
      </c>
      <c r="HV143" s="1366">
        <v>7.9941412575537302E-2</v>
      </c>
      <c r="HW143" s="1366">
        <v>0</v>
      </c>
      <c r="HX143" s="1366">
        <v>0.13839845782660165</v>
      </c>
      <c r="HY143" s="1366">
        <v>1</v>
      </c>
      <c r="HZ143" s="51"/>
      <c r="IA143" s="59">
        <f t="shared" si="1136"/>
        <v>0</v>
      </c>
      <c r="IB143" s="59"/>
      <c r="IC143" s="815">
        <f t="shared" si="1137"/>
        <v>1</v>
      </c>
      <c r="ID143" s="815"/>
      <c r="IE143" s="284">
        <f t="shared" si="1138"/>
        <v>0</v>
      </c>
      <c r="IF143" s="284"/>
      <c r="IG143" s="284">
        <f t="shared" si="1139"/>
        <v>83764.242873649913</v>
      </c>
      <c r="IH143" s="284"/>
      <c r="II143" s="1288">
        <f t="shared" si="1140"/>
        <v>1.7966325922388633</v>
      </c>
      <c r="IJ143" s="1288">
        <f t="shared" si="1141"/>
        <v>0</v>
      </c>
      <c r="IK143" s="284">
        <f t="shared" si="1142"/>
        <v>0</v>
      </c>
      <c r="IL143" s="284">
        <f t="shared" si="1143"/>
        <v>0</v>
      </c>
      <c r="IM143" s="284">
        <f t="shared" si="1144"/>
        <v>1</v>
      </c>
      <c r="IN143" s="284">
        <f t="shared" si="1145"/>
        <v>0</v>
      </c>
      <c r="IO143" s="753">
        <f t="shared" si="1146"/>
        <v>-2738.8869047619046</v>
      </c>
      <c r="IP143" s="113">
        <f t="shared" si="1147"/>
        <v>-3353.3623312367358</v>
      </c>
      <c r="IQ143" s="30">
        <f t="shared" si="1148"/>
        <v>-0.17566067738275198</v>
      </c>
      <c r="IR143" s="438">
        <f t="shared" si="1149"/>
        <v>2220716</v>
      </c>
      <c r="IS143" s="438">
        <f t="shared" si="1150"/>
        <v>1604968</v>
      </c>
      <c r="IT143" s="438">
        <f t="shared" si="1151"/>
        <v>2690175</v>
      </c>
      <c r="IU143" s="438">
        <f t="shared" si="1152"/>
        <v>568118</v>
      </c>
      <c r="IV143" s="438">
        <f t="shared" si="1153"/>
        <v>2000680</v>
      </c>
      <c r="IW143" s="438">
        <f t="shared" si="1154"/>
        <v>407243</v>
      </c>
      <c r="IX143" s="285">
        <f t="shared" si="1155"/>
        <v>0.58047554371976362</v>
      </c>
      <c r="IY143" s="285">
        <f t="shared" si="1156"/>
        <v>0.41952445628023644</v>
      </c>
      <c r="IZ143" s="285">
        <f t="shared" si="1157"/>
        <v>0.70318797893396323</v>
      </c>
      <c r="JA143" s="285">
        <f t="shared" si="1158"/>
        <v>0.14850102622171618</v>
      </c>
      <c r="JB143" s="285">
        <f t="shared" si="1159"/>
        <v>0.52296007720449467</v>
      </c>
      <c r="JC143" s="285">
        <f t="shared" si="1160"/>
        <v>0.10644972245486035</v>
      </c>
      <c r="JD143" s="60">
        <f t="shared" si="1161"/>
        <v>10477769</v>
      </c>
      <c r="JE143" s="60">
        <f t="shared" si="1162"/>
        <v>3770349</v>
      </c>
      <c r="JF143" s="60">
        <f t="shared" si="1163"/>
        <v>0</v>
      </c>
      <c r="JG143" s="60">
        <f t="shared" si="1164"/>
        <v>638675</v>
      </c>
      <c r="JH143" s="284">
        <f t="shared" si="1165"/>
        <v>1</v>
      </c>
      <c r="JI143" s="284">
        <f t="shared" si="1166"/>
        <v>1</v>
      </c>
      <c r="JJ143" s="560">
        <f t="shared" si="1167"/>
        <v>0.71479094159982215</v>
      </c>
      <c r="JK143" s="561">
        <f t="shared" si="1168"/>
        <v>0.58153407194216311</v>
      </c>
      <c r="JL143" s="561">
        <f t="shared" si="1169"/>
        <v>0.10354462886950618</v>
      </c>
      <c r="JM143" s="561">
        <f t="shared" si="1170"/>
        <v>3.9445789779581832E-2</v>
      </c>
      <c r="JN143" s="561">
        <f t="shared" si="1171"/>
        <v>0.2363095056337598</v>
      </c>
      <c r="JO143" s="561">
        <f t="shared" si="1172"/>
        <v>1.3392723597201311E-2</v>
      </c>
      <c r="JP143" s="561">
        <f t="shared" si="1173"/>
        <v>1.9661720813315041E-2</v>
      </c>
      <c r="JQ143" s="561">
        <f t="shared" si="1174"/>
        <v>0.99388844063552739</v>
      </c>
      <c r="JR143" s="61">
        <f t="shared" si="1175"/>
        <v>0</v>
      </c>
      <c r="JS143" s="61">
        <f t="shared" si="1176"/>
        <v>0</v>
      </c>
      <c r="JT143" s="61">
        <f t="shared" si="1177"/>
        <v>0</v>
      </c>
      <c r="JU143" s="61">
        <f t="shared" si="1178"/>
        <v>0</v>
      </c>
      <c r="JV143" s="61">
        <f t="shared" si="1179"/>
        <v>0</v>
      </c>
      <c r="JW143" s="61">
        <f t="shared" si="1180"/>
        <v>0</v>
      </c>
      <c r="JX143" s="61">
        <f t="shared" si="1181"/>
        <v>0</v>
      </c>
      <c r="JY143" s="394">
        <f t="shared" si="1182"/>
        <v>0</v>
      </c>
      <c r="JZ143" s="61">
        <f t="shared" si="1183"/>
        <v>45260.083333333336</v>
      </c>
      <c r="KA143" s="61">
        <f t="shared" si="1184"/>
        <v>10010.555555555555</v>
      </c>
      <c r="KB143" s="61">
        <f t="shared" si="1185"/>
        <v>38655.444444444445</v>
      </c>
      <c r="KC143" s="61">
        <f t="shared" si="1186"/>
        <v>9605.9444444444453</v>
      </c>
      <c r="KD143" s="61">
        <f t="shared" si="1187"/>
        <v>0</v>
      </c>
      <c r="KE143" s="61">
        <f t="shared" si="1188"/>
        <v>16630.277777777777</v>
      </c>
      <c r="KF143" s="61">
        <f t="shared" si="1189"/>
        <v>26100</v>
      </c>
      <c r="KG143" s="61">
        <f t="shared" si="1190"/>
        <v>323</v>
      </c>
      <c r="KH143" s="61">
        <f t="shared" si="1191"/>
        <v>82.953190918156011</v>
      </c>
      <c r="KI143" s="394">
        <f t="shared" si="1192"/>
        <v>0.22525947047106193</v>
      </c>
      <c r="KJ143" s="438">
        <f t="shared" si="1193"/>
        <v>36</v>
      </c>
      <c r="KK143" s="438">
        <f t="shared" si="1194"/>
        <v>52148</v>
      </c>
      <c r="KL143" s="438">
        <f t="shared" si="1195"/>
        <v>323</v>
      </c>
      <c r="KM143" s="438">
        <f t="shared" si="1196"/>
        <v>120162.30555555556</v>
      </c>
      <c r="KN143" s="438">
        <f t="shared" si="1197"/>
        <v>82.953190918156011</v>
      </c>
      <c r="KO143" s="438">
        <f t="shared" si="1198"/>
        <v>13392.702786377709</v>
      </c>
      <c r="KP143" s="438">
        <f t="shared" si="1199"/>
        <v>1629363</v>
      </c>
      <c r="KQ143" s="438">
        <f t="shared" si="1200"/>
        <v>360380</v>
      </c>
      <c r="KR143" s="438">
        <f t="shared" si="1201"/>
        <v>1391596</v>
      </c>
      <c r="KS143" s="438">
        <f t="shared" si="1202"/>
        <v>345814</v>
      </c>
      <c r="KT143" s="438">
        <f t="shared" si="1203"/>
        <v>0</v>
      </c>
      <c r="KU143" s="438">
        <f t="shared" si="1204"/>
        <v>598690</v>
      </c>
      <c r="KV143" s="420">
        <f t="shared" si="1205"/>
        <v>0.22525947047106193</v>
      </c>
      <c r="KW143" s="420">
        <f t="shared" si="1206"/>
        <v>-0.35572009652054748</v>
      </c>
      <c r="KX143" s="108"/>
      <c r="KY143" s="282">
        <f t="shared" si="1207"/>
        <v>0</v>
      </c>
      <c r="KZ143" s="282"/>
      <c r="LA143" s="282">
        <f t="shared" si="1208"/>
        <v>0</v>
      </c>
      <c r="LB143" s="282"/>
      <c r="LC143" s="286">
        <f t="shared" si="1321"/>
        <v>0</v>
      </c>
      <c r="LD143" s="286"/>
      <c r="LE143" s="282">
        <f t="shared" si="1209"/>
        <v>0</v>
      </c>
      <c r="LF143" s="282"/>
      <c r="LG143" s="282">
        <f t="shared" si="1210"/>
        <v>0</v>
      </c>
      <c r="LH143" s="282">
        <f t="shared" si="1211"/>
        <v>0</v>
      </c>
      <c r="LI143" s="282">
        <f t="shared" si="1212"/>
        <v>0</v>
      </c>
      <c r="LJ143" s="282">
        <f t="shared" si="1213"/>
        <v>0</v>
      </c>
      <c r="LK143" s="282"/>
      <c r="LL143" s="282">
        <f t="shared" si="1214"/>
        <v>0</v>
      </c>
      <c r="LM143" s="282">
        <f t="shared" si="1215"/>
        <v>0</v>
      </c>
      <c r="LN143" s="282">
        <f t="shared" si="1216"/>
        <v>0</v>
      </c>
      <c r="LO143" s="282">
        <f t="shared" si="1217"/>
        <v>0</v>
      </c>
      <c r="LP143" s="286">
        <f t="shared" si="1218"/>
        <v>0</v>
      </c>
      <c r="LQ143" s="282">
        <f t="shared" si="1219"/>
        <v>0</v>
      </c>
      <c r="LR143" s="282">
        <f t="shared" si="1220"/>
        <v>0</v>
      </c>
      <c r="LS143" s="282">
        <f t="shared" si="1221"/>
        <v>0</v>
      </c>
      <c r="LT143" s="286">
        <f t="shared" si="1222"/>
        <v>0</v>
      </c>
      <c r="LU143" s="286">
        <f t="shared" si="1223"/>
        <v>0</v>
      </c>
      <c r="LV143" s="286">
        <f t="shared" si="1224"/>
        <v>0</v>
      </c>
      <c r="LW143" s="286">
        <f t="shared" si="1225"/>
        <v>0</v>
      </c>
      <c r="LX143" s="286">
        <f t="shared" si="1226"/>
        <v>0</v>
      </c>
      <c r="LY143" s="286">
        <f t="shared" si="1227"/>
        <v>0</v>
      </c>
      <c r="LZ143" s="286">
        <f t="shared" si="1228"/>
        <v>0</v>
      </c>
      <c r="MA143" s="286">
        <f t="shared" si="1229"/>
        <v>0</v>
      </c>
      <c r="MB143" s="286">
        <f t="shared" si="1230"/>
        <v>0</v>
      </c>
      <c r="MC143" s="286">
        <f t="shared" si="1231"/>
        <v>0</v>
      </c>
      <c r="MD143" s="286">
        <f t="shared" si="1232"/>
        <v>0</v>
      </c>
      <c r="ME143" s="286">
        <f t="shared" si="1233"/>
        <v>0</v>
      </c>
      <c r="MF143" s="286">
        <f t="shared" si="1234"/>
        <v>0</v>
      </c>
      <c r="MG143" s="286">
        <f t="shared" si="1235"/>
        <v>0</v>
      </c>
      <c r="MH143" s="286">
        <f t="shared" si="1236"/>
        <v>0</v>
      </c>
      <c r="MI143" s="286">
        <f t="shared" si="1237"/>
        <v>0</v>
      </c>
      <c r="MJ143" s="286">
        <f t="shared" si="1238"/>
        <v>0</v>
      </c>
      <c r="MK143" s="286">
        <f t="shared" si="1239"/>
        <v>0</v>
      </c>
      <c r="ML143" s="282">
        <f t="shared" si="1240"/>
        <v>0</v>
      </c>
      <c r="MM143" s="1232">
        <f t="shared" si="1241"/>
        <v>0</v>
      </c>
      <c r="MN143" s="1232">
        <f t="shared" si="1242"/>
        <v>0</v>
      </c>
      <c r="MO143" s="1232">
        <f t="shared" si="1243"/>
        <v>0</v>
      </c>
      <c r="MP143" s="1232">
        <f t="shared" si="1244"/>
        <v>0</v>
      </c>
      <c r="MQ143" s="282">
        <f t="shared" si="1245"/>
        <v>0</v>
      </c>
      <c r="MR143" s="282">
        <f t="shared" si="1246"/>
        <v>0</v>
      </c>
      <c r="MS143" s="282">
        <f t="shared" si="1247"/>
        <v>0</v>
      </c>
      <c r="MT143" s="282">
        <f t="shared" si="1248"/>
        <v>0</v>
      </c>
      <c r="MU143" s="282">
        <f t="shared" si="1249"/>
        <v>0</v>
      </c>
      <c r="MV143" s="282">
        <f t="shared" si="1250"/>
        <v>0</v>
      </c>
      <c r="MW143" s="282">
        <f t="shared" si="1251"/>
        <v>0</v>
      </c>
      <c r="MX143" s="282">
        <f t="shared" si="1252"/>
        <v>0</v>
      </c>
      <c r="MY143" s="282">
        <f t="shared" si="1253"/>
        <v>0</v>
      </c>
      <c r="MZ143" s="282">
        <f t="shared" si="1254"/>
        <v>0</v>
      </c>
      <c r="NA143" s="282">
        <f t="shared" si="1255"/>
        <v>0</v>
      </c>
      <c r="NB143" s="282">
        <f t="shared" si="1256"/>
        <v>0</v>
      </c>
      <c r="NC143" s="282">
        <f t="shared" si="1257"/>
        <v>0</v>
      </c>
      <c r="ND143" s="282">
        <f t="shared" si="1258"/>
        <v>0</v>
      </c>
      <c r="NE143" s="282">
        <f t="shared" si="1259"/>
        <v>0</v>
      </c>
      <c r="NF143" s="282">
        <f t="shared" si="1260"/>
        <v>0</v>
      </c>
      <c r="NG143" s="282">
        <f t="shared" si="1261"/>
        <v>0</v>
      </c>
      <c r="NH143" s="282">
        <f t="shared" si="1262"/>
        <v>0</v>
      </c>
      <c r="NI143" s="282">
        <f t="shared" si="1263"/>
        <v>0</v>
      </c>
      <c r="NJ143" s="282">
        <f t="shared" si="1264"/>
        <v>0</v>
      </c>
      <c r="NK143" s="282">
        <f t="shared" si="1265"/>
        <v>0</v>
      </c>
      <c r="NL143" s="282">
        <f t="shared" si="1266"/>
        <v>0</v>
      </c>
      <c r="NM143" s="1205">
        <f t="shared" si="1267"/>
        <v>0</v>
      </c>
      <c r="NN143" s="282">
        <f t="shared" si="1268"/>
        <v>0</v>
      </c>
      <c r="NO143" s="282">
        <f t="shared" si="1269"/>
        <v>0</v>
      </c>
      <c r="NP143" s="282">
        <f t="shared" si="1270"/>
        <v>0</v>
      </c>
      <c r="NQ143" s="282">
        <f t="shared" si="1271"/>
        <v>0</v>
      </c>
      <c r="NR143" s="282">
        <f t="shared" si="1272"/>
        <v>0</v>
      </c>
      <c r="NS143" s="282">
        <f t="shared" si="1273"/>
        <v>0</v>
      </c>
      <c r="NT143" s="282">
        <f t="shared" si="1274"/>
        <v>0</v>
      </c>
      <c r="NU143" s="282">
        <f t="shared" si="1275"/>
        <v>0</v>
      </c>
      <c r="NV143" s="286">
        <f t="shared" si="1276"/>
        <v>0</v>
      </c>
      <c r="NW143" s="286">
        <f t="shared" si="1277"/>
        <v>0</v>
      </c>
      <c r="NX143" s="286">
        <f t="shared" si="1278"/>
        <v>0</v>
      </c>
      <c r="NY143" s="286">
        <f t="shared" si="1279"/>
        <v>0</v>
      </c>
      <c r="NZ143" s="286">
        <f t="shared" si="1280"/>
        <v>0</v>
      </c>
      <c r="OA143" s="286">
        <f t="shared" si="1281"/>
        <v>0</v>
      </c>
      <c r="OB143" s="286">
        <f t="shared" si="1282"/>
        <v>0</v>
      </c>
      <c r="OC143" s="286">
        <f t="shared" si="1283"/>
        <v>0</v>
      </c>
      <c r="OD143" s="286">
        <f t="shared" si="1284"/>
        <v>0</v>
      </c>
      <c r="OE143" s="282">
        <f t="shared" si="1285"/>
        <v>0</v>
      </c>
      <c r="OF143" s="282">
        <f t="shared" si="1286"/>
        <v>0</v>
      </c>
      <c r="OG143" s="286">
        <f t="shared" si="1287"/>
        <v>0</v>
      </c>
      <c r="OH143" s="286">
        <f t="shared" si="1288"/>
        <v>0</v>
      </c>
      <c r="OI143" s="286">
        <f t="shared" si="1289"/>
        <v>0</v>
      </c>
      <c r="OJ143" s="286">
        <f t="shared" si="1290"/>
        <v>0</v>
      </c>
      <c r="OK143" s="286">
        <f t="shared" si="1291"/>
        <v>0</v>
      </c>
      <c r="OL143" s="286">
        <f t="shared" si="1292"/>
        <v>0</v>
      </c>
      <c r="OM143" s="286">
        <f t="shared" si="1293"/>
        <v>0</v>
      </c>
      <c r="ON143" s="286">
        <f t="shared" si="1294"/>
        <v>0</v>
      </c>
      <c r="OO143" s="286">
        <f t="shared" si="1295"/>
        <v>0</v>
      </c>
      <c r="OP143" s="434">
        <f t="shared" si="1296"/>
        <v>0</v>
      </c>
      <c r="OQ143" s="434">
        <f t="shared" si="1297"/>
        <v>0</v>
      </c>
      <c r="OR143" s="282">
        <f t="shared" si="1298"/>
        <v>0</v>
      </c>
      <c r="OS143" s="282">
        <f t="shared" si="1299"/>
        <v>0</v>
      </c>
      <c r="OT143" s="282">
        <f t="shared" si="1300"/>
        <v>0</v>
      </c>
      <c r="OU143" s="282">
        <f t="shared" si="1301"/>
        <v>0</v>
      </c>
      <c r="OV143" s="282">
        <f t="shared" si="1302"/>
        <v>0</v>
      </c>
      <c r="OW143" s="286">
        <f t="shared" si="1303"/>
        <v>0</v>
      </c>
      <c r="OX143" s="286">
        <f t="shared" si="1304"/>
        <v>0</v>
      </c>
      <c r="OY143" s="286">
        <f t="shared" si="1305"/>
        <v>0</v>
      </c>
      <c r="OZ143" s="286">
        <f t="shared" si="1306"/>
        <v>0</v>
      </c>
      <c r="PA143" s="286">
        <f t="shared" si="1307"/>
        <v>0</v>
      </c>
      <c r="PB143" s="286">
        <f t="shared" si="1308"/>
        <v>0</v>
      </c>
      <c r="PC143" s="286">
        <f t="shared" si="1309"/>
        <v>0</v>
      </c>
      <c r="PD143" s="282">
        <f t="shared" si="1310"/>
        <v>0</v>
      </c>
      <c r="PE143" s="282">
        <f t="shared" si="1311"/>
        <v>0</v>
      </c>
      <c r="PF143" s="286">
        <f t="shared" si="1312"/>
        <v>0</v>
      </c>
      <c r="PG143" s="286">
        <f t="shared" si="1313"/>
        <v>0</v>
      </c>
      <c r="PH143" s="286">
        <f t="shared" si="1314"/>
        <v>0</v>
      </c>
      <c r="PI143" s="286">
        <f t="shared" si="1315"/>
        <v>0</v>
      </c>
      <c r="PJ143" s="286">
        <f t="shared" si="1316"/>
        <v>0</v>
      </c>
      <c r="PK143" s="286">
        <f t="shared" si="1317"/>
        <v>0</v>
      </c>
      <c r="PL143" s="286">
        <f t="shared" si="1318"/>
        <v>0</v>
      </c>
      <c r="PM143" s="562">
        <v>87</v>
      </c>
    </row>
    <row r="144" spans="1:429" s="289" customFormat="1" ht="15.75" customHeight="1">
      <c r="A144" s="1935" t="s">
        <v>2152</v>
      </c>
      <c r="B144" s="1040" t="str">
        <f>VLOOKUP(A144,'Area (&amp;golfacre for lookup)'!$A$2:$B$162,2,FALSE)</f>
        <v>SW exc CIRA</v>
      </c>
      <c r="C144" s="1936"/>
      <c r="D144" s="1937">
        <v>44926</v>
      </c>
      <c r="E144" s="402"/>
      <c r="F144" s="1936">
        <v>1</v>
      </c>
      <c r="G144" s="1936">
        <v>0</v>
      </c>
      <c r="H144" s="1936">
        <v>374</v>
      </c>
      <c r="I144" s="1936">
        <v>103</v>
      </c>
      <c r="J144" s="1936">
        <v>477</v>
      </c>
      <c r="K144" s="1938">
        <v>383.30927038626612</v>
      </c>
      <c r="L144" s="1939" t="s">
        <v>1208</v>
      </c>
      <c r="M144" s="1939" t="s">
        <v>1208</v>
      </c>
      <c r="N144" s="1939" t="s">
        <v>1208</v>
      </c>
      <c r="O144" s="1939" t="s">
        <v>1208</v>
      </c>
      <c r="P144" s="1939" t="s">
        <v>1208</v>
      </c>
      <c r="Q144" s="1936">
        <v>0</v>
      </c>
      <c r="R144" s="1936">
        <v>70000</v>
      </c>
      <c r="S144" s="1936">
        <v>70000</v>
      </c>
      <c r="T144" s="1939" t="s">
        <v>1208</v>
      </c>
      <c r="U144" s="1939" t="s">
        <v>1208</v>
      </c>
      <c r="V144" s="1939" t="s">
        <v>1208</v>
      </c>
      <c r="W144" s="1936">
        <v>13200</v>
      </c>
      <c r="X144" s="1936">
        <v>11650</v>
      </c>
      <c r="Y144" s="1939" t="s">
        <v>1208</v>
      </c>
      <c r="Z144" s="1939" t="s">
        <v>1208</v>
      </c>
      <c r="AA144" s="1936">
        <v>1550</v>
      </c>
      <c r="AB144" s="1362">
        <v>0.13304721030042918</v>
      </c>
      <c r="AC144" s="1939" t="s">
        <v>1208</v>
      </c>
      <c r="AD144" s="1363" t="s">
        <v>1208</v>
      </c>
      <c r="AE144" s="1936">
        <v>0</v>
      </c>
      <c r="AF144" s="1936">
        <v>0</v>
      </c>
      <c r="AG144" s="1939" t="s">
        <v>1208</v>
      </c>
      <c r="AH144" s="1936">
        <v>0</v>
      </c>
      <c r="AI144" s="1936">
        <v>0</v>
      </c>
      <c r="AJ144" s="1939" t="s">
        <v>1208</v>
      </c>
      <c r="AK144" s="1938">
        <v>1</v>
      </c>
      <c r="AL144" s="1938">
        <v>1500</v>
      </c>
      <c r="AM144" s="1936">
        <v>13150</v>
      </c>
      <c r="AN144" s="1939" t="s">
        <v>1208</v>
      </c>
      <c r="AO144" s="1936">
        <v>1200</v>
      </c>
      <c r="AP144" s="1936">
        <v>0</v>
      </c>
      <c r="AQ144" s="1936">
        <v>14350</v>
      </c>
      <c r="AR144" s="1939" t="s">
        <v>1208</v>
      </c>
      <c r="AS144" s="1363" t="s">
        <v>1208</v>
      </c>
      <c r="AT144" s="1363" t="s">
        <v>1208</v>
      </c>
      <c r="AU144" s="1363" t="s">
        <v>1208</v>
      </c>
      <c r="AV144" s="1363" t="s">
        <v>1208</v>
      </c>
      <c r="AW144" s="1363" t="s">
        <v>1291</v>
      </c>
      <c r="AX144" s="1938">
        <v>0</v>
      </c>
      <c r="AY144" s="1938">
        <v>0</v>
      </c>
      <c r="AZ144" s="1938">
        <v>0</v>
      </c>
      <c r="BA144" s="1938">
        <v>0</v>
      </c>
      <c r="BB144" s="1938">
        <v>0</v>
      </c>
      <c r="BC144" s="1938">
        <v>0</v>
      </c>
      <c r="BD144" s="1938">
        <v>0</v>
      </c>
      <c r="BE144" s="1936">
        <v>0</v>
      </c>
      <c r="BF144" s="1936">
        <v>0</v>
      </c>
      <c r="BG144" s="1936">
        <v>165469</v>
      </c>
      <c r="BH144" s="1936">
        <v>165469</v>
      </c>
      <c r="BI144" s="1938">
        <v>13159503</v>
      </c>
      <c r="BJ144" s="1936">
        <v>697190</v>
      </c>
      <c r="BK144" s="1936">
        <v>1160518</v>
      </c>
      <c r="BL144" s="1362">
        <v>0.60075759273014295</v>
      </c>
      <c r="BM144" s="1936">
        <v>1</v>
      </c>
      <c r="BN144" s="1936">
        <v>7685233</v>
      </c>
      <c r="BO144" s="1363" t="s">
        <v>1208</v>
      </c>
      <c r="BP144" s="1938">
        <v>6324648</v>
      </c>
      <c r="BQ144" s="1938">
        <v>6509025</v>
      </c>
      <c r="BR144" s="1940">
        <v>0.97167363775680693</v>
      </c>
      <c r="BS144" s="1409">
        <v>0</v>
      </c>
      <c r="BT144" s="1938">
        <v>13542491</v>
      </c>
      <c r="BU144" s="1938">
        <v>8957165</v>
      </c>
      <c r="BV144" s="1940">
        <v>1.5119171077009299</v>
      </c>
      <c r="BW144" s="1936">
        <v>20049.692490493337</v>
      </c>
      <c r="BX144" s="1936">
        <v>1818.8706975373486</v>
      </c>
      <c r="BY144" s="1936">
        <v>431.685359013766</v>
      </c>
      <c r="BZ144" s="1936">
        <v>1258571</v>
      </c>
      <c r="CA144" s="1936">
        <v>0</v>
      </c>
      <c r="CB144" s="1936">
        <v>458177</v>
      </c>
      <c r="CC144" s="1936">
        <v>0</v>
      </c>
      <c r="CD144" s="1936">
        <v>4465553</v>
      </c>
      <c r="CE144" s="1936">
        <v>0</v>
      </c>
      <c r="CF144" s="1936">
        <v>53500</v>
      </c>
      <c r="CG144" s="1936">
        <v>888846</v>
      </c>
      <c r="CH144" s="1936">
        <v>522748</v>
      </c>
      <c r="CI144" s="1936">
        <v>44869</v>
      </c>
      <c r="CJ144" s="1936">
        <v>7692264</v>
      </c>
      <c r="CK144" s="1366">
        <v>0.16361515933410503</v>
      </c>
      <c r="CL144" s="1366">
        <v>0</v>
      </c>
      <c r="CM144" s="1366">
        <v>5.9563348319818459E-2</v>
      </c>
      <c r="CN144" s="1366">
        <v>0</v>
      </c>
      <c r="CO144" s="1366">
        <v>0.58052518738306436</v>
      </c>
      <c r="CP144" s="1366">
        <v>0</v>
      </c>
      <c r="CQ144" s="1366">
        <v>6.9550395046243862E-3</v>
      </c>
      <c r="CR144" s="1366">
        <v>0.11555063632761434</v>
      </c>
      <c r="CS144" s="1366">
        <v>6.7957625999315679E-2</v>
      </c>
      <c r="CT144" s="1366">
        <v>5.8330031314577863E-3</v>
      </c>
      <c r="CU144" s="1366">
        <v>1</v>
      </c>
      <c r="CV144" s="1936">
        <v>3644855</v>
      </c>
      <c r="CW144" s="1936">
        <v>692588</v>
      </c>
      <c r="CX144" s="1936">
        <v>314042</v>
      </c>
      <c r="CY144" s="1936">
        <v>3120670</v>
      </c>
      <c r="CZ144" s="1936">
        <v>126566</v>
      </c>
      <c r="DA144" s="1936">
        <v>199024</v>
      </c>
      <c r="DB144" s="1936">
        <v>8097745</v>
      </c>
      <c r="DC144" s="1366">
        <v>0.45010740644463365</v>
      </c>
      <c r="DD144" s="1366">
        <v>8.5528502070638182E-2</v>
      </c>
      <c r="DE144" s="1366">
        <v>3.8781413838049977E-2</v>
      </c>
      <c r="DF144" s="1366">
        <v>0.38537518778375957</v>
      </c>
      <c r="DG144" s="1366">
        <v>1.5629783353266865E-2</v>
      </c>
      <c r="DH144" s="1366">
        <v>2.457770650965176E-2</v>
      </c>
      <c r="DI144" s="1366">
        <v>1</v>
      </c>
      <c r="DJ144" s="1936">
        <v>-405481</v>
      </c>
      <c r="DK144" s="1936">
        <v>3283.4348063946391</v>
      </c>
      <c r="DL144" s="1936">
        <v>0</v>
      </c>
      <c r="DM144" s="1936">
        <v>1195.3193814965357</v>
      </c>
      <c r="DN144" s="1936">
        <v>0</v>
      </c>
      <c r="DO144" s="1936">
        <v>11650</v>
      </c>
      <c r="DP144" s="1936">
        <v>0</v>
      </c>
      <c r="DQ144" s="1936">
        <v>139.57397885547434</v>
      </c>
      <c r="DR144" s="1936">
        <v>2318.8742581265969</v>
      </c>
      <c r="DS144" s="1936">
        <v>1363.7760429671307</v>
      </c>
      <c r="DT144" s="1936">
        <v>117.05691321993042</v>
      </c>
      <c r="DU144" s="1936">
        <v>20068.035381060305</v>
      </c>
      <c r="DV144" s="1936">
        <v>9508.9142934816809</v>
      </c>
      <c r="DW144" s="1936">
        <v>1806.8647264963599</v>
      </c>
      <c r="DX144" s="1936">
        <v>819.29142930338071</v>
      </c>
      <c r="DY144" s="1936">
        <v>8141.3893195310857</v>
      </c>
      <c r="DZ144" s="1936">
        <v>330.1929010807844</v>
      </c>
      <c r="EA144" s="1936">
        <v>519.22563678003598</v>
      </c>
      <c r="EB144" s="1936">
        <v>21125.878306673327</v>
      </c>
      <c r="EC144" s="1936">
        <v>-1057.8429256130203</v>
      </c>
      <c r="ED144" s="1941">
        <v>85</v>
      </c>
      <c r="EE144" s="1936">
        <v>1</v>
      </c>
      <c r="EF144" s="1936">
        <v>12</v>
      </c>
      <c r="EG144" s="1938">
        <v>58277</v>
      </c>
      <c r="EH144" s="1938">
        <v>1</v>
      </c>
      <c r="EI144" s="1368">
        <v>7.0000000000000007E-2</v>
      </c>
      <c r="EJ144" s="1936">
        <v>4.5095208280737191</v>
      </c>
      <c r="EK144" s="1936">
        <v>1</v>
      </c>
      <c r="EL144" s="1936">
        <v>1200</v>
      </c>
      <c r="EM144" s="1936">
        <v>1</v>
      </c>
      <c r="EN144" s="1362">
        <v>0.2</v>
      </c>
      <c r="EO144" s="1936">
        <v>0</v>
      </c>
      <c r="EP144" s="1936">
        <v>0</v>
      </c>
      <c r="EQ144" s="1936">
        <v>0</v>
      </c>
      <c r="ER144" s="1938">
        <v>0</v>
      </c>
      <c r="ES144" s="1936">
        <v>3682.6503010937276</v>
      </c>
      <c r="ET144" s="1936">
        <v>-2706.1542209889794</v>
      </c>
      <c r="EU144" s="1938">
        <v>2</v>
      </c>
      <c r="EV144" s="1936">
        <v>28843</v>
      </c>
      <c r="EW144" s="1936">
        <v>8534</v>
      </c>
      <c r="EX144" s="1938">
        <v>1</v>
      </c>
      <c r="EY144" s="1936">
        <v>888846</v>
      </c>
      <c r="EZ144" s="1936">
        <v>499991</v>
      </c>
      <c r="FA144" s="1936">
        <v>388855</v>
      </c>
      <c r="FB144" s="1936">
        <v>522748</v>
      </c>
      <c r="FC144" s="1936">
        <v>192597</v>
      </c>
      <c r="FD144" s="1936">
        <v>330151</v>
      </c>
      <c r="FE144" s="1936">
        <v>1411594</v>
      </c>
      <c r="FF144" s="1936">
        <v>692588</v>
      </c>
      <c r="FG144" s="1936">
        <v>719006</v>
      </c>
      <c r="FH144" s="1366">
        <v>1</v>
      </c>
      <c r="FI144" s="1366">
        <v>0.56251701644604357</v>
      </c>
      <c r="FJ144" s="1366">
        <v>0.43748298355395648</v>
      </c>
      <c r="FK144" s="1366">
        <v>1</v>
      </c>
      <c r="FL144" s="1366">
        <v>0.36843182565978255</v>
      </c>
      <c r="FM144" s="1366">
        <v>0.6315681743402175</v>
      </c>
      <c r="FN144" s="1366">
        <v>1</v>
      </c>
      <c r="FO144" s="1366">
        <v>0.49064249352150829</v>
      </c>
      <c r="FP144" s="1366">
        <v>0.50935750647849165</v>
      </c>
      <c r="FQ144" s="1936">
        <v>1066695</v>
      </c>
      <c r="FR144" s="1936">
        <v>0</v>
      </c>
      <c r="FS144" s="1936">
        <v>185618</v>
      </c>
      <c r="FT144" s="1936">
        <v>20161</v>
      </c>
      <c r="FU144" s="1936">
        <v>25529</v>
      </c>
      <c r="FV144" s="1936">
        <v>3897</v>
      </c>
      <c r="FW144" s="1936">
        <v>454400</v>
      </c>
      <c r="FX144" s="1936">
        <v>1756300</v>
      </c>
      <c r="FY144" s="1936">
        <v>-1037294</v>
      </c>
      <c r="FZ144" s="1366">
        <v>0.7556669977344761</v>
      </c>
      <c r="GA144" s="1366">
        <v>0</v>
      </c>
      <c r="GB144" s="1366">
        <v>0.13149531664203731</v>
      </c>
      <c r="GC144" s="1366">
        <v>1.4282435317803845E-2</v>
      </c>
      <c r="GD144" s="1366">
        <v>1.808522847220943E-2</v>
      </c>
      <c r="GE144" s="1366">
        <v>2.7607088157076327E-3</v>
      </c>
      <c r="GF144" s="1366">
        <v>0.32190559041764133</v>
      </c>
      <c r="GG144" s="1366">
        <v>1.2441962773998756</v>
      </c>
      <c r="GH144" s="1366">
        <v>-0.73483877092138394</v>
      </c>
      <c r="GI144" s="1942">
        <v>1.7003336215537888</v>
      </c>
      <c r="GJ144" s="1943">
        <v>1</v>
      </c>
      <c r="GK144" s="1371">
        <v>7.0000000000000007E-2</v>
      </c>
      <c r="GL144" s="1943">
        <v>1</v>
      </c>
      <c r="GM144" s="1371">
        <v>7.0000000000000007E-2</v>
      </c>
      <c r="GN144" s="1943">
        <v>18</v>
      </c>
      <c r="GO144" s="1985">
        <f>IF(GN144=0,0,VLOOKUP(A144,'Area (&amp;golfacre for lookup)'!$G$2:$H$133,2,FALSE))</f>
        <v>110</v>
      </c>
      <c r="GP144" s="1943">
        <v>45069</v>
      </c>
      <c r="GQ144" s="1943">
        <v>863161</v>
      </c>
      <c r="GR144" s="1943">
        <v>182953</v>
      </c>
      <c r="GS144" s="1943">
        <v>589841</v>
      </c>
      <c r="GT144" s="1943">
        <v>164129</v>
      </c>
      <c r="GU144" s="1943">
        <v>301699</v>
      </c>
      <c r="GV144" s="1943">
        <v>162927</v>
      </c>
      <c r="GW144" s="1943">
        <v>2264710</v>
      </c>
      <c r="GX144" s="1943">
        <v>125817.22222222222</v>
      </c>
      <c r="GY144" s="1985">
        <f t="shared" si="1319"/>
        <v>20588.272727272728</v>
      </c>
      <c r="GZ144" s="1366">
        <v>0.38113533300069324</v>
      </c>
      <c r="HA144" s="1366">
        <v>8.078429467790578E-2</v>
      </c>
      <c r="HB144" s="1366">
        <v>0.26044879918400149</v>
      </c>
      <c r="HC144" s="1366">
        <v>7.2472413686520576E-2</v>
      </c>
      <c r="HD144" s="1366">
        <v>0.13321749804610744</v>
      </c>
      <c r="HE144" s="1366">
        <v>7.194166140477147E-2</v>
      </c>
      <c r="HF144" s="1366">
        <v>1</v>
      </c>
      <c r="HG144" s="1936">
        <v>0</v>
      </c>
      <c r="HH144" s="1988">
        <f>IF(HG144=0,0,VLOOKUP(A144,'Area (&amp;golfacre for lookup)'!$G$2:$H$134,2,FALSE))</f>
        <v>0</v>
      </c>
      <c r="HI144" s="1936">
        <v>0</v>
      </c>
      <c r="HJ144" s="1936">
        <v>0</v>
      </c>
      <c r="HK144" s="1936">
        <v>0</v>
      </c>
      <c r="HL144" s="1936">
        <v>0</v>
      </c>
      <c r="HM144" s="1936">
        <v>0</v>
      </c>
      <c r="HN144" s="1936">
        <v>0</v>
      </c>
      <c r="HO144" s="1936">
        <v>0</v>
      </c>
      <c r="HP144" s="1936">
        <v>0</v>
      </c>
      <c r="HQ144" s="1936">
        <v>0</v>
      </c>
      <c r="HR144" s="1988">
        <f t="shared" si="1320"/>
        <v>0</v>
      </c>
      <c r="HS144" s="1936">
        <v>0</v>
      </c>
      <c r="HT144" s="1936">
        <v>0</v>
      </c>
      <c r="HU144" s="1936">
        <v>0</v>
      </c>
      <c r="HV144" s="1936">
        <v>0</v>
      </c>
      <c r="HW144" s="1936">
        <v>0</v>
      </c>
      <c r="HX144" s="1936">
        <v>0</v>
      </c>
      <c r="HY144" s="1936">
        <v>0</v>
      </c>
      <c r="HZ144" s="51"/>
      <c r="IA144" s="59">
        <f t="shared" si="1136"/>
        <v>0</v>
      </c>
      <c r="IB144" s="59"/>
      <c r="IC144" s="815">
        <f t="shared" si="1137"/>
        <v>1</v>
      </c>
      <c r="ID144" s="815"/>
      <c r="IE144" s="284">
        <f t="shared" si="1138"/>
        <v>0</v>
      </c>
      <c r="IF144" s="284"/>
      <c r="IG144" s="284">
        <f t="shared" si="1139"/>
        <v>34331.293335898146</v>
      </c>
      <c r="IH144" s="284"/>
      <c r="II144" s="1288">
        <f t="shared" si="1140"/>
        <v>0</v>
      </c>
      <c r="IJ144" s="1288">
        <f t="shared" si="1141"/>
        <v>0.97167363775680693</v>
      </c>
      <c r="IK144" s="284">
        <f t="shared" si="1142"/>
        <v>0</v>
      </c>
      <c r="IL144" s="284">
        <f t="shared" si="1143"/>
        <v>0</v>
      </c>
      <c r="IM144" s="284">
        <f t="shared" si="1144"/>
        <v>1</v>
      </c>
      <c r="IN144" s="284">
        <f t="shared" si="1145"/>
        <v>0</v>
      </c>
      <c r="IO144" s="753">
        <f t="shared" si="1146"/>
        <v>-2174.6205450733751</v>
      </c>
      <c r="IP144" s="113">
        <f t="shared" si="1147"/>
        <v>-2706.1542209889794</v>
      </c>
      <c r="IQ144" s="30">
        <f t="shared" si="1148"/>
        <v>-0.23228791596471926</v>
      </c>
      <c r="IR144" s="438">
        <f t="shared" si="1149"/>
        <v>888846</v>
      </c>
      <c r="IS144" s="438">
        <f t="shared" si="1150"/>
        <v>522748</v>
      </c>
      <c r="IT144" s="438">
        <f t="shared" si="1151"/>
        <v>1066695</v>
      </c>
      <c r="IU144" s="438">
        <f t="shared" si="1152"/>
        <v>205779</v>
      </c>
      <c r="IV144" s="438">
        <f t="shared" si="1153"/>
        <v>692588</v>
      </c>
      <c r="IW144" s="438">
        <f t="shared" si="1154"/>
        <v>483826</v>
      </c>
      <c r="IX144" s="285">
        <f t="shared" si="1155"/>
        <v>0.62967538824902913</v>
      </c>
      <c r="IY144" s="285">
        <f t="shared" si="1156"/>
        <v>0.37032461175097087</v>
      </c>
      <c r="IZ144" s="285">
        <f t="shared" si="1157"/>
        <v>0.7556669977344761</v>
      </c>
      <c r="JA144" s="285">
        <f t="shared" si="1158"/>
        <v>0.14577775195984113</v>
      </c>
      <c r="JB144" s="285">
        <f t="shared" si="1159"/>
        <v>0.49064249352150829</v>
      </c>
      <c r="JC144" s="285">
        <f t="shared" si="1160"/>
        <v>0.34275152770555839</v>
      </c>
      <c r="JD144" s="60">
        <f t="shared" si="1161"/>
        <v>4519053</v>
      </c>
      <c r="JE144" s="60">
        <f t="shared" si="1162"/>
        <v>1716748</v>
      </c>
      <c r="JF144" s="60">
        <f t="shared" si="1163"/>
        <v>0</v>
      </c>
      <c r="JG144" s="60">
        <f t="shared" si="1164"/>
        <v>325590</v>
      </c>
      <c r="JH144" s="284">
        <f t="shared" si="1165"/>
        <v>0</v>
      </c>
      <c r="JI144" s="284">
        <f t="shared" si="1166"/>
        <v>1</v>
      </c>
      <c r="JJ144" s="560">
        <f t="shared" si="1167"/>
        <v>0.68541633473526609</v>
      </c>
      <c r="JK144" s="561">
        <f t="shared" si="1168"/>
        <v>0.47383384137621903</v>
      </c>
      <c r="JL144" s="561">
        <f t="shared" si="1169"/>
        <v>9.0036951409884006E-2</v>
      </c>
      <c r="JM144" s="561">
        <f t="shared" si="1170"/>
        <v>4.0825691889929933E-2</v>
      </c>
      <c r="JN144" s="561">
        <f t="shared" si="1171"/>
        <v>0.40568940431581652</v>
      </c>
      <c r="JO144" s="561">
        <f t="shared" si="1172"/>
        <v>1.6453673456865235E-2</v>
      </c>
      <c r="JP144" s="561">
        <f t="shared" si="1173"/>
        <v>2.5873266960156335E-2</v>
      </c>
      <c r="JQ144" s="561">
        <f t="shared" si="1174"/>
        <v>1.052712829408871</v>
      </c>
      <c r="JR144" s="61">
        <f t="shared" si="1175"/>
        <v>47953.388888888891</v>
      </c>
      <c r="JS144" s="61">
        <f t="shared" si="1176"/>
        <v>10164.055555555555</v>
      </c>
      <c r="JT144" s="61">
        <f t="shared" si="1177"/>
        <v>32768.944444444445</v>
      </c>
      <c r="JU144" s="61">
        <f t="shared" si="1178"/>
        <v>9118.2777777777774</v>
      </c>
      <c r="JV144" s="61">
        <f t="shared" si="1179"/>
        <v>16761.055555555555</v>
      </c>
      <c r="JW144" s="61">
        <f t="shared" si="1180"/>
        <v>9051.5</v>
      </c>
      <c r="JX144" s="61">
        <f t="shared" si="1181"/>
        <v>50.249839135547717</v>
      </c>
      <c r="JY144" s="394">
        <f t="shared" si="1182"/>
        <v>0.27967168637688639</v>
      </c>
      <c r="JZ144" s="61">
        <f t="shared" si="1183"/>
        <v>0</v>
      </c>
      <c r="KA144" s="61">
        <f t="shared" si="1184"/>
        <v>0</v>
      </c>
      <c r="KB144" s="61">
        <f t="shared" si="1185"/>
        <v>0</v>
      </c>
      <c r="KC144" s="61">
        <f t="shared" si="1186"/>
        <v>0</v>
      </c>
      <c r="KD144" s="61">
        <f t="shared" si="1187"/>
        <v>0</v>
      </c>
      <c r="KE144" s="61">
        <f t="shared" si="1188"/>
        <v>0</v>
      </c>
      <c r="KF144" s="61">
        <f t="shared" si="1189"/>
        <v>0</v>
      </c>
      <c r="KG144" s="61">
        <f t="shared" si="1190"/>
        <v>0</v>
      </c>
      <c r="KH144" s="61">
        <f t="shared" si="1191"/>
        <v>0</v>
      </c>
      <c r="KI144" s="394">
        <f t="shared" si="1192"/>
        <v>0</v>
      </c>
      <c r="KJ144" s="438">
        <f t="shared" si="1193"/>
        <v>18</v>
      </c>
      <c r="KK144" s="438">
        <f t="shared" si="1194"/>
        <v>45069</v>
      </c>
      <c r="KL144" s="438">
        <f t="shared" si="1195"/>
        <v>110</v>
      </c>
      <c r="KM144" s="438">
        <f t="shared" si="1196"/>
        <v>125817.22222222222</v>
      </c>
      <c r="KN144" s="438">
        <f t="shared" si="1197"/>
        <v>50.249839135547717</v>
      </c>
      <c r="KO144" s="438">
        <f t="shared" si="1198"/>
        <v>20588.272727272728</v>
      </c>
      <c r="KP144" s="438">
        <f t="shared" si="1199"/>
        <v>863161</v>
      </c>
      <c r="KQ144" s="438">
        <f t="shared" si="1200"/>
        <v>182953</v>
      </c>
      <c r="KR144" s="438">
        <f t="shared" si="1201"/>
        <v>589841</v>
      </c>
      <c r="KS144" s="438">
        <f t="shared" si="1202"/>
        <v>164129</v>
      </c>
      <c r="KT144" s="438">
        <f t="shared" si="1203"/>
        <v>301699</v>
      </c>
      <c r="KU144" s="438">
        <f t="shared" si="1204"/>
        <v>162927</v>
      </c>
      <c r="KV144" s="420">
        <f t="shared" si="1205"/>
        <v>0.27967168637688639</v>
      </c>
      <c r="KW144" s="420">
        <f t="shared" si="1206"/>
        <v>-0.470665783162802</v>
      </c>
      <c r="KX144" s="108"/>
      <c r="KY144" s="282">
        <f t="shared" si="1207"/>
        <v>0</v>
      </c>
      <c r="KZ144" s="282"/>
      <c r="LA144" s="282">
        <f t="shared" si="1208"/>
        <v>0</v>
      </c>
      <c r="LB144" s="282"/>
      <c r="LC144" s="286">
        <f t="shared" si="1321"/>
        <v>0</v>
      </c>
      <c r="LD144" s="286"/>
      <c r="LE144" s="282">
        <f t="shared" si="1209"/>
        <v>0</v>
      </c>
      <c r="LF144" s="282"/>
      <c r="LG144" s="282">
        <f t="shared" si="1210"/>
        <v>0</v>
      </c>
      <c r="LH144" s="282">
        <f t="shared" si="1211"/>
        <v>0</v>
      </c>
      <c r="LI144" s="282">
        <f t="shared" si="1212"/>
        <v>0</v>
      </c>
      <c r="LJ144" s="282">
        <f t="shared" si="1213"/>
        <v>0</v>
      </c>
      <c r="LK144" s="282"/>
      <c r="LL144" s="282">
        <f t="shared" si="1214"/>
        <v>0</v>
      </c>
      <c r="LM144" s="282">
        <f t="shared" si="1215"/>
        <v>0</v>
      </c>
      <c r="LN144" s="282">
        <f t="shared" si="1216"/>
        <v>0</v>
      </c>
      <c r="LO144" s="282">
        <f t="shared" si="1217"/>
        <v>0</v>
      </c>
      <c r="LP144" s="286">
        <f t="shared" si="1218"/>
        <v>0</v>
      </c>
      <c r="LQ144" s="282">
        <f t="shared" si="1219"/>
        <v>0</v>
      </c>
      <c r="LR144" s="282">
        <f t="shared" si="1220"/>
        <v>0</v>
      </c>
      <c r="LS144" s="282">
        <f t="shared" si="1221"/>
        <v>0</v>
      </c>
      <c r="LT144" s="286">
        <f t="shared" si="1222"/>
        <v>0</v>
      </c>
      <c r="LU144" s="286">
        <f t="shared" si="1223"/>
        <v>0</v>
      </c>
      <c r="LV144" s="286">
        <f t="shared" si="1224"/>
        <v>0</v>
      </c>
      <c r="LW144" s="286">
        <f t="shared" si="1225"/>
        <v>0</v>
      </c>
      <c r="LX144" s="286">
        <f t="shared" si="1226"/>
        <v>0</v>
      </c>
      <c r="LY144" s="286">
        <f t="shared" si="1227"/>
        <v>0</v>
      </c>
      <c r="LZ144" s="286">
        <f t="shared" si="1228"/>
        <v>0</v>
      </c>
      <c r="MA144" s="286">
        <f t="shared" si="1229"/>
        <v>0</v>
      </c>
      <c r="MB144" s="286">
        <f t="shared" si="1230"/>
        <v>0</v>
      </c>
      <c r="MC144" s="286">
        <f t="shared" si="1231"/>
        <v>0</v>
      </c>
      <c r="MD144" s="286">
        <f t="shared" si="1232"/>
        <v>0</v>
      </c>
      <c r="ME144" s="286">
        <f t="shared" si="1233"/>
        <v>0</v>
      </c>
      <c r="MF144" s="286">
        <f t="shared" si="1234"/>
        <v>0</v>
      </c>
      <c r="MG144" s="286">
        <f t="shared" si="1235"/>
        <v>0</v>
      </c>
      <c r="MH144" s="286">
        <f t="shared" si="1236"/>
        <v>0</v>
      </c>
      <c r="MI144" s="286">
        <f t="shared" si="1237"/>
        <v>0</v>
      </c>
      <c r="MJ144" s="286">
        <f t="shared" si="1238"/>
        <v>0</v>
      </c>
      <c r="MK144" s="286">
        <f t="shared" si="1239"/>
        <v>0</v>
      </c>
      <c r="ML144" s="282">
        <f t="shared" si="1240"/>
        <v>0</v>
      </c>
      <c r="MM144" s="1232">
        <f t="shared" si="1241"/>
        <v>0</v>
      </c>
      <c r="MN144" s="1232">
        <f t="shared" si="1242"/>
        <v>0</v>
      </c>
      <c r="MO144" s="1232">
        <f t="shared" si="1243"/>
        <v>0</v>
      </c>
      <c r="MP144" s="1232">
        <f t="shared" si="1244"/>
        <v>0</v>
      </c>
      <c r="MQ144" s="282">
        <f t="shared" si="1245"/>
        <v>0</v>
      </c>
      <c r="MR144" s="282">
        <f t="shared" si="1246"/>
        <v>0</v>
      </c>
      <c r="MS144" s="282">
        <f t="shared" si="1247"/>
        <v>0</v>
      </c>
      <c r="MT144" s="282">
        <f t="shared" si="1248"/>
        <v>0</v>
      </c>
      <c r="MU144" s="282">
        <f t="shared" si="1249"/>
        <v>0</v>
      </c>
      <c r="MV144" s="282">
        <f t="shared" si="1250"/>
        <v>0</v>
      </c>
      <c r="MW144" s="282">
        <f t="shared" si="1251"/>
        <v>0</v>
      </c>
      <c r="MX144" s="282">
        <f t="shared" si="1252"/>
        <v>0</v>
      </c>
      <c r="MY144" s="282">
        <f t="shared" si="1253"/>
        <v>0</v>
      </c>
      <c r="MZ144" s="282">
        <f t="shared" si="1254"/>
        <v>0</v>
      </c>
      <c r="NA144" s="282">
        <f t="shared" si="1255"/>
        <v>0</v>
      </c>
      <c r="NB144" s="282">
        <f t="shared" si="1256"/>
        <v>0</v>
      </c>
      <c r="NC144" s="282">
        <f t="shared" si="1257"/>
        <v>0</v>
      </c>
      <c r="ND144" s="282">
        <f t="shared" si="1258"/>
        <v>0</v>
      </c>
      <c r="NE144" s="282">
        <f t="shared" si="1259"/>
        <v>0</v>
      </c>
      <c r="NF144" s="282">
        <f t="shared" si="1260"/>
        <v>0</v>
      </c>
      <c r="NG144" s="282">
        <f t="shared" si="1261"/>
        <v>0</v>
      </c>
      <c r="NH144" s="282">
        <f t="shared" si="1262"/>
        <v>0</v>
      </c>
      <c r="NI144" s="282">
        <f t="shared" si="1263"/>
        <v>0</v>
      </c>
      <c r="NJ144" s="282">
        <f t="shared" si="1264"/>
        <v>0</v>
      </c>
      <c r="NK144" s="282">
        <f t="shared" si="1265"/>
        <v>0</v>
      </c>
      <c r="NL144" s="282">
        <f t="shared" si="1266"/>
        <v>0</v>
      </c>
      <c r="NM144" s="1205">
        <f t="shared" si="1267"/>
        <v>0</v>
      </c>
      <c r="NN144" s="282">
        <f t="shared" si="1268"/>
        <v>0</v>
      </c>
      <c r="NO144" s="282">
        <f t="shared" si="1269"/>
        <v>0</v>
      </c>
      <c r="NP144" s="282">
        <f t="shared" si="1270"/>
        <v>0</v>
      </c>
      <c r="NQ144" s="282">
        <f t="shared" si="1271"/>
        <v>0</v>
      </c>
      <c r="NR144" s="282">
        <f t="shared" si="1272"/>
        <v>0</v>
      </c>
      <c r="NS144" s="282">
        <f t="shared" si="1273"/>
        <v>0</v>
      </c>
      <c r="NT144" s="282">
        <f t="shared" si="1274"/>
        <v>0</v>
      </c>
      <c r="NU144" s="282">
        <f t="shared" si="1275"/>
        <v>0</v>
      </c>
      <c r="NV144" s="286">
        <f t="shared" si="1276"/>
        <v>0</v>
      </c>
      <c r="NW144" s="286">
        <f t="shared" si="1277"/>
        <v>0</v>
      </c>
      <c r="NX144" s="286">
        <f t="shared" si="1278"/>
        <v>0</v>
      </c>
      <c r="NY144" s="286">
        <f t="shared" si="1279"/>
        <v>0</v>
      </c>
      <c r="NZ144" s="286">
        <f t="shared" si="1280"/>
        <v>0</v>
      </c>
      <c r="OA144" s="286">
        <f t="shared" si="1281"/>
        <v>0</v>
      </c>
      <c r="OB144" s="286">
        <f t="shared" si="1282"/>
        <v>0</v>
      </c>
      <c r="OC144" s="286">
        <f t="shared" si="1283"/>
        <v>0</v>
      </c>
      <c r="OD144" s="286">
        <f t="shared" si="1284"/>
        <v>0</v>
      </c>
      <c r="OE144" s="282">
        <f t="shared" si="1285"/>
        <v>0</v>
      </c>
      <c r="OF144" s="282">
        <f t="shared" si="1286"/>
        <v>0</v>
      </c>
      <c r="OG144" s="286">
        <f t="shared" si="1287"/>
        <v>0</v>
      </c>
      <c r="OH144" s="286">
        <f t="shared" si="1288"/>
        <v>0</v>
      </c>
      <c r="OI144" s="286">
        <f t="shared" si="1289"/>
        <v>0</v>
      </c>
      <c r="OJ144" s="286">
        <f t="shared" si="1290"/>
        <v>0</v>
      </c>
      <c r="OK144" s="286">
        <f t="shared" si="1291"/>
        <v>0</v>
      </c>
      <c r="OL144" s="286">
        <f t="shared" si="1292"/>
        <v>0</v>
      </c>
      <c r="OM144" s="286">
        <f t="shared" si="1293"/>
        <v>0</v>
      </c>
      <c r="ON144" s="286">
        <f t="shared" si="1294"/>
        <v>0</v>
      </c>
      <c r="OO144" s="286">
        <f t="shared" si="1295"/>
        <v>0</v>
      </c>
      <c r="OP144" s="434">
        <f t="shared" si="1296"/>
        <v>0</v>
      </c>
      <c r="OQ144" s="434">
        <f t="shared" si="1297"/>
        <v>0</v>
      </c>
      <c r="OR144" s="282">
        <f t="shared" si="1298"/>
        <v>0</v>
      </c>
      <c r="OS144" s="282">
        <f t="shared" si="1299"/>
        <v>0</v>
      </c>
      <c r="OT144" s="282">
        <f t="shared" si="1300"/>
        <v>0</v>
      </c>
      <c r="OU144" s="282">
        <f t="shared" si="1301"/>
        <v>0</v>
      </c>
      <c r="OV144" s="282">
        <f t="shared" si="1302"/>
        <v>0</v>
      </c>
      <c r="OW144" s="286">
        <f t="shared" si="1303"/>
        <v>0</v>
      </c>
      <c r="OX144" s="286">
        <f t="shared" si="1304"/>
        <v>0</v>
      </c>
      <c r="OY144" s="286">
        <f t="shared" si="1305"/>
        <v>0</v>
      </c>
      <c r="OZ144" s="286">
        <f t="shared" si="1306"/>
        <v>0</v>
      </c>
      <c r="PA144" s="286">
        <f t="shared" si="1307"/>
        <v>0</v>
      </c>
      <c r="PB144" s="286">
        <f t="shared" si="1308"/>
        <v>0</v>
      </c>
      <c r="PC144" s="286">
        <f t="shared" si="1309"/>
        <v>0</v>
      </c>
      <c r="PD144" s="282">
        <f t="shared" si="1310"/>
        <v>0</v>
      </c>
      <c r="PE144" s="282">
        <f t="shared" si="1311"/>
        <v>0</v>
      </c>
      <c r="PF144" s="286">
        <f t="shared" si="1312"/>
        <v>0</v>
      </c>
      <c r="PG144" s="286">
        <f t="shared" si="1313"/>
        <v>0</v>
      </c>
      <c r="PH144" s="286">
        <f t="shared" si="1314"/>
        <v>0</v>
      </c>
      <c r="PI144" s="286">
        <f t="shared" si="1315"/>
        <v>0</v>
      </c>
      <c r="PJ144" s="286">
        <f t="shared" si="1316"/>
        <v>0</v>
      </c>
      <c r="PK144" s="286">
        <f t="shared" si="1317"/>
        <v>0</v>
      </c>
      <c r="PL144" s="286">
        <f t="shared" si="1318"/>
        <v>0</v>
      </c>
      <c r="PM144" s="562">
        <v>88</v>
      </c>
    </row>
    <row r="145" spans="1:429" s="289" customFormat="1" ht="15.75" customHeight="1">
      <c r="A145" s="1935" t="s">
        <v>1628</v>
      </c>
      <c r="B145" s="1040" t="str">
        <f>VLOOKUP(A145,'Area (&amp;golfacre for lookup)'!$A$2:$B$162,2,FALSE)</f>
        <v>BOCA</v>
      </c>
      <c r="C145" s="1936"/>
      <c r="D145" s="1937">
        <v>44926</v>
      </c>
      <c r="E145" s="402"/>
      <c r="F145" s="1936">
        <v>1</v>
      </c>
      <c r="G145" s="1936">
        <v>0</v>
      </c>
      <c r="H145" s="1936">
        <v>397</v>
      </c>
      <c r="I145" s="1936">
        <v>142</v>
      </c>
      <c r="J145" s="1936">
        <v>539</v>
      </c>
      <c r="K145" s="1938">
        <v>465.48300750442138</v>
      </c>
      <c r="L145" s="1939" t="s">
        <v>1208</v>
      </c>
      <c r="M145" s="1939" t="s">
        <v>1208</v>
      </c>
      <c r="N145" s="1939" t="s">
        <v>1208</v>
      </c>
      <c r="O145" s="1939" t="s">
        <v>1208</v>
      </c>
      <c r="P145" s="1939" t="s">
        <v>1208</v>
      </c>
      <c r="Q145" s="1936">
        <v>0</v>
      </c>
      <c r="R145" s="1936">
        <v>210000</v>
      </c>
      <c r="S145" s="1936">
        <v>210000</v>
      </c>
      <c r="T145" s="1939" t="s">
        <v>1208</v>
      </c>
      <c r="U145" s="1939" t="s">
        <v>1208</v>
      </c>
      <c r="V145" s="1939" t="s">
        <v>1208</v>
      </c>
      <c r="W145" s="1936">
        <v>26388</v>
      </c>
      <c r="X145" s="1936">
        <v>20921</v>
      </c>
      <c r="Y145" s="1939" t="s">
        <v>1208</v>
      </c>
      <c r="Z145" s="1939" t="s">
        <v>1208</v>
      </c>
      <c r="AA145" s="1936">
        <v>5467</v>
      </c>
      <c r="AB145" s="1362">
        <v>0.26131638067014007</v>
      </c>
      <c r="AC145" s="1939" t="s">
        <v>1208</v>
      </c>
      <c r="AD145" s="1363" t="s">
        <v>1208</v>
      </c>
      <c r="AE145" s="1936">
        <v>1</v>
      </c>
      <c r="AF145" s="1936">
        <v>3600</v>
      </c>
      <c r="AG145" s="1939" t="s">
        <v>1208</v>
      </c>
      <c r="AH145" s="1936">
        <v>0</v>
      </c>
      <c r="AI145" s="1936">
        <v>0</v>
      </c>
      <c r="AJ145" s="1939" t="s">
        <v>1208</v>
      </c>
      <c r="AK145" s="1938">
        <v>1</v>
      </c>
      <c r="AL145" s="1938">
        <v>2100</v>
      </c>
      <c r="AM145" s="1936">
        <v>26621</v>
      </c>
      <c r="AN145" s="1939" t="s">
        <v>1208</v>
      </c>
      <c r="AO145" s="1936">
        <v>0</v>
      </c>
      <c r="AP145" s="1936">
        <v>2640</v>
      </c>
      <c r="AQ145" s="1936">
        <v>29261</v>
      </c>
      <c r="AR145" s="1939" t="s">
        <v>1208</v>
      </c>
      <c r="AS145" s="1363" t="s">
        <v>1208</v>
      </c>
      <c r="AT145" s="1363" t="s">
        <v>1208</v>
      </c>
      <c r="AU145" s="1363" t="s">
        <v>1208</v>
      </c>
      <c r="AV145" s="1363" t="s">
        <v>1208</v>
      </c>
      <c r="AW145" s="1363" t="s">
        <v>1291</v>
      </c>
      <c r="AX145" s="1938">
        <v>0</v>
      </c>
      <c r="AY145" s="1938">
        <v>0</v>
      </c>
      <c r="AZ145" s="1938">
        <v>0</v>
      </c>
      <c r="BA145" s="1938">
        <v>0</v>
      </c>
      <c r="BB145" s="1938">
        <v>0</v>
      </c>
      <c r="BC145" s="1938">
        <v>0</v>
      </c>
      <c r="BD145" s="1938">
        <v>0</v>
      </c>
      <c r="BE145" s="1936">
        <v>1</v>
      </c>
      <c r="BF145" s="1936">
        <v>12000000</v>
      </c>
      <c r="BG145" s="1936">
        <v>500000</v>
      </c>
      <c r="BH145" s="1936">
        <v>12500000</v>
      </c>
      <c r="BI145" s="1938">
        <v>33984609</v>
      </c>
      <c r="BJ145" s="1936">
        <v>1201672</v>
      </c>
      <c r="BK145" s="1936">
        <v>2444446</v>
      </c>
      <c r="BL145" s="1362">
        <v>0.49159277807732304</v>
      </c>
      <c r="BM145" s="1936">
        <v>1</v>
      </c>
      <c r="BN145" s="1936">
        <v>1011648</v>
      </c>
      <c r="BO145" s="1363" t="s">
        <v>1208</v>
      </c>
      <c r="BP145" s="1938">
        <v>9516910</v>
      </c>
      <c r="BQ145" s="1938">
        <v>13247792</v>
      </c>
      <c r="BR145" s="1940">
        <v>0.71837706992984185</v>
      </c>
      <c r="BS145" s="1409">
        <v>0</v>
      </c>
      <c r="BT145" s="1938">
        <v>14183500</v>
      </c>
      <c r="BU145" s="1938">
        <v>29406086</v>
      </c>
      <c r="BV145" s="1940">
        <v>0.48233212675770587</v>
      </c>
      <c r="BW145" s="1936">
        <v>2173.3296032087505</v>
      </c>
      <c r="BX145" s="1936">
        <v>2581.5593278957363</v>
      </c>
      <c r="BY145" s="1936">
        <v>26853.826667091107</v>
      </c>
      <c r="BZ145" s="1936">
        <v>1511808</v>
      </c>
      <c r="CA145" s="1936">
        <v>57097</v>
      </c>
      <c r="CB145" s="1936">
        <v>599764</v>
      </c>
      <c r="CC145" s="1936">
        <v>1674335</v>
      </c>
      <c r="CD145" s="1936">
        <v>9738370</v>
      </c>
      <c r="CE145" s="1936">
        <v>0</v>
      </c>
      <c r="CF145" s="1936">
        <v>0</v>
      </c>
      <c r="CG145" s="1936">
        <v>3296035</v>
      </c>
      <c r="CH145" s="1936">
        <v>1405244</v>
      </c>
      <c r="CI145" s="1936">
        <v>428685</v>
      </c>
      <c r="CJ145" s="1936">
        <v>18711338</v>
      </c>
      <c r="CK145" s="1366">
        <v>8.0796359939625917E-2</v>
      </c>
      <c r="CL145" s="1366">
        <v>3.0514653735612064E-3</v>
      </c>
      <c r="CM145" s="1366">
        <v>3.2053506809614579E-2</v>
      </c>
      <c r="CN145" s="1366">
        <v>8.9482376941723785E-2</v>
      </c>
      <c r="CO145" s="1366">
        <v>0.52045289332061662</v>
      </c>
      <c r="CP145" s="1366">
        <v>0</v>
      </c>
      <c r="CQ145" s="1366">
        <v>0</v>
      </c>
      <c r="CR145" s="1366">
        <v>0.17615175355177701</v>
      </c>
      <c r="CS145" s="1366">
        <v>7.5101203345265849E-2</v>
      </c>
      <c r="CT145" s="1366">
        <v>2.2910440717815048E-2</v>
      </c>
      <c r="CU145" s="1366">
        <v>1</v>
      </c>
      <c r="CV145" s="1936">
        <v>9023122</v>
      </c>
      <c r="CW145" s="1936">
        <v>2344143</v>
      </c>
      <c r="CX145" s="1936">
        <v>407788</v>
      </c>
      <c r="CY145" s="1936">
        <v>6377015</v>
      </c>
      <c r="CZ145" s="1936">
        <v>310798</v>
      </c>
      <c r="DA145" s="1936">
        <v>652433</v>
      </c>
      <c r="DB145" s="1936">
        <v>19115299</v>
      </c>
      <c r="DC145" s="1366">
        <v>0.47203666550023621</v>
      </c>
      <c r="DD145" s="1366">
        <v>0.12263177259220481</v>
      </c>
      <c r="DE145" s="1366">
        <v>2.1333069391171963E-2</v>
      </c>
      <c r="DF145" s="1366">
        <v>0.33360791269861906</v>
      </c>
      <c r="DG145" s="1366">
        <v>1.6259123124362323E-2</v>
      </c>
      <c r="DH145" s="1366">
        <v>3.4131456693405636E-2</v>
      </c>
      <c r="DI145" s="1366">
        <v>1</v>
      </c>
      <c r="DJ145" s="1936">
        <v>-403961</v>
      </c>
      <c r="DK145" s="1936">
        <v>3247.8263988737335</v>
      </c>
      <c r="DL145" s="1936">
        <v>122.66183529687207</v>
      </c>
      <c r="DM145" s="1936">
        <v>1288.4766797728985</v>
      </c>
      <c r="DN145" s="1936">
        <v>3596.9841498115188</v>
      </c>
      <c r="DO145" s="1936">
        <v>20921</v>
      </c>
      <c r="DP145" s="1936">
        <v>0</v>
      </c>
      <c r="DQ145" s="1936">
        <v>0</v>
      </c>
      <c r="DR145" s="1936">
        <v>7080.8922062932506</v>
      </c>
      <c r="DS145" s="1936">
        <v>3018.8943040775821</v>
      </c>
      <c r="DT145" s="1936">
        <v>920.94661478255603</v>
      </c>
      <c r="DU145" s="1936">
        <v>40197.682188908409</v>
      </c>
      <c r="DV145" s="1936">
        <v>19384.428334721313</v>
      </c>
      <c r="DW145" s="1936">
        <v>5035.9367843899954</v>
      </c>
      <c r="DX145" s="1936">
        <v>876.0534615135798</v>
      </c>
      <c r="DY145" s="1936">
        <v>13699.780437075198</v>
      </c>
      <c r="DZ145" s="1936">
        <v>667.68924963828647</v>
      </c>
      <c r="EA145" s="1936">
        <v>1401.62581551122</v>
      </c>
      <c r="EB145" s="1936">
        <v>41065.514082849593</v>
      </c>
      <c r="EC145" s="1936">
        <v>-867.83189394118324</v>
      </c>
      <c r="ED145" s="1941">
        <v>167</v>
      </c>
      <c r="EE145" s="1936">
        <v>1</v>
      </c>
      <c r="EF145" s="1936">
        <v>47</v>
      </c>
      <c r="EG145" s="1938">
        <v>642000</v>
      </c>
      <c r="EH145" s="1938">
        <v>1</v>
      </c>
      <c r="EI145" s="1368">
        <v>0.1</v>
      </c>
      <c r="EJ145" s="1936">
        <v>2.7873233982300682</v>
      </c>
      <c r="EK145" s="1936">
        <v>0</v>
      </c>
      <c r="EL145" s="1936">
        <v>0</v>
      </c>
      <c r="EM145" s="1936">
        <v>0</v>
      </c>
      <c r="EN145" s="1362">
        <v>0</v>
      </c>
      <c r="EO145" s="1936">
        <v>1</v>
      </c>
      <c r="EP145" s="1936">
        <v>220</v>
      </c>
      <c r="EQ145" s="1936">
        <v>0</v>
      </c>
      <c r="ER145" s="1938">
        <v>0</v>
      </c>
      <c r="ES145" s="1936">
        <v>10099.786510370832</v>
      </c>
      <c r="ET145" s="1936">
        <v>-5604.9075002490154</v>
      </c>
      <c r="EU145" s="1938">
        <v>2</v>
      </c>
      <c r="EV145" s="1936">
        <v>82022</v>
      </c>
      <c r="EW145" s="1936">
        <v>13534</v>
      </c>
      <c r="EX145" s="1938">
        <v>1</v>
      </c>
      <c r="EY145" s="1936">
        <v>3296035</v>
      </c>
      <c r="EZ145" s="1936">
        <v>1738128</v>
      </c>
      <c r="FA145" s="1936">
        <v>1557907</v>
      </c>
      <c r="FB145" s="1936">
        <v>1405244</v>
      </c>
      <c r="FC145" s="1936">
        <v>606015</v>
      </c>
      <c r="FD145" s="1936">
        <v>799229</v>
      </c>
      <c r="FE145" s="1936">
        <v>4701279</v>
      </c>
      <c r="FF145" s="1936">
        <v>2344143</v>
      </c>
      <c r="FG145" s="1936">
        <v>2357136</v>
      </c>
      <c r="FH145" s="1366">
        <v>1</v>
      </c>
      <c r="FI145" s="1366">
        <v>0.52733906041653078</v>
      </c>
      <c r="FJ145" s="1366">
        <v>0.47266093958346922</v>
      </c>
      <c r="FK145" s="1366">
        <v>1</v>
      </c>
      <c r="FL145" s="1366">
        <v>0.43125250846116403</v>
      </c>
      <c r="FM145" s="1366">
        <v>0.56874749153883597</v>
      </c>
      <c r="FN145" s="1366">
        <v>1</v>
      </c>
      <c r="FO145" s="1366">
        <v>0.49861814199923044</v>
      </c>
      <c r="FP145" s="1366">
        <v>0.50138185800076962</v>
      </c>
      <c r="FQ145" s="1936">
        <v>4459625</v>
      </c>
      <c r="FR145" s="1936">
        <v>-940255.8</v>
      </c>
      <c r="FS145" s="1936">
        <v>583510</v>
      </c>
      <c r="FT145" s="1936">
        <v>144012</v>
      </c>
      <c r="FU145" s="1936">
        <v>37967</v>
      </c>
      <c r="FV145" s="1936">
        <v>95374</v>
      </c>
      <c r="FW145" s="1936">
        <v>585893</v>
      </c>
      <c r="FX145" s="1936">
        <v>4966125.2</v>
      </c>
      <c r="FY145" s="1936">
        <v>-2608989.2000000002</v>
      </c>
      <c r="FZ145" s="1366">
        <v>0.94859824315893615</v>
      </c>
      <c r="GA145" s="1366">
        <v>-0.2</v>
      </c>
      <c r="GB145" s="1366">
        <v>0.12411728808266857</v>
      </c>
      <c r="GC145" s="1366">
        <v>3.0632515109186246E-2</v>
      </c>
      <c r="GD145" s="1366">
        <v>8.0758874340365674E-3</v>
      </c>
      <c r="GE145" s="1366">
        <v>2.0286819820733888E-2</v>
      </c>
      <c r="GF145" s="1366">
        <v>0.12462417142228742</v>
      </c>
      <c r="GG145" s="1366">
        <v>1.0563349250278489</v>
      </c>
      <c r="GH145" s="1366">
        <v>-0.55495306702707925</v>
      </c>
      <c r="GI145" s="1942">
        <v>2.3455250476073908</v>
      </c>
      <c r="GJ145" s="1943">
        <v>1</v>
      </c>
      <c r="GK145" s="1371">
        <v>0.01</v>
      </c>
      <c r="GL145" s="1943">
        <v>0</v>
      </c>
      <c r="GM145" s="1371">
        <v>0</v>
      </c>
      <c r="GN145" s="1943">
        <v>18</v>
      </c>
      <c r="GO145" s="1985">
        <f>IF(GN145=0,0,VLOOKUP(A145,'Area (&amp;golfacre for lookup)'!$G$2:$H$133,2,FALSE))</f>
        <v>124</v>
      </c>
      <c r="GP145" s="1943">
        <v>25258</v>
      </c>
      <c r="GQ145" s="1943">
        <v>1484049</v>
      </c>
      <c r="GR145" s="1943">
        <v>201352</v>
      </c>
      <c r="GS145" s="1943">
        <v>530963</v>
      </c>
      <c r="GT145" s="1943">
        <v>95854</v>
      </c>
      <c r="GU145" s="1943">
        <v>0</v>
      </c>
      <c r="GV145" s="1943">
        <v>277303</v>
      </c>
      <c r="GW145" s="1943">
        <v>2589521</v>
      </c>
      <c r="GX145" s="1943">
        <v>143862.27777777778</v>
      </c>
      <c r="GY145" s="1985">
        <f t="shared" si="1319"/>
        <v>20883.233870967742</v>
      </c>
      <c r="GZ145" s="1366">
        <v>0.57309788180902954</v>
      </c>
      <c r="HA145" s="1366">
        <v>7.7756465384910961E-2</v>
      </c>
      <c r="HB145" s="1366">
        <v>0.20504294037391471</v>
      </c>
      <c r="HC145" s="1366">
        <v>3.7016112246241677E-2</v>
      </c>
      <c r="HD145" s="1366">
        <v>0</v>
      </c>
      <c r="HE145" s="1366">
        <v>0.1070866001859031</v>
      </c>
      <c r="HF145" s="1366">
        <v>1</v>
      </c>
      <c r="HG145" s="1936">
        <v>0</v>
      </c>
      <c r="HH145" s="1988">
        <f>IF(HG145=0,0,VLOOKUP(A145,'Area (&amp;golfacre for lookup)'!$G$2:$H$134,2,FALSE))</f>
        <v>0</v>
      </c>
      <c r="HI145" s="1936">
        <v>0</v>
      </c>
      <c r="HJ145" s="1936">
        <v>0</v>
      </c>
      <c r="HK145" s="1936">
        <v>0</v>
      </c>
      <c r="HL145" s="1936">
        <v>0</v>
      </c>
      <c r="HM145" s="1936">
        <v>0</v>
      </c>
      <c r="HN145" s="1936">
        <v>0</v>
      </c>
      <c r="HO145" s="1936">
        <v>0</v>
      </c>
      <c r="HP145" s="1936">
        <v>0</v>
      </c>
      <c r="HQ145" s="1936">
        <v>0</v>
      </c>
      <c r="HR145" s="1988">
        <f t="shared" si="1320"/>
        <v>0</v>
      </c>
      <c r="HS145" s="1936">
        <v>0</v>
      </c>
      <c r="HT145" s="1936">
        <v>0</v>
      </c>
      <c r="HU145" s="1936">
        <v>0</v>
      </c>
      <c r="HV145" s="1936">
        <v>0</v>
      </c>
      <c r="HW145" s="1936">
        <v>0</v>
      </c>
      <c r="HX145" s="1936">
        <v>0</v>
      </c>
      <c r="HY145" s="1936">
        <v>0</v>
      </c>
      <c r="HZ145" s="51"/>
      <c r="IA145" s="59">
        <f t="shared" si="1136"/>
        <v>0</v>
      </c>
      <c r="IB145" s="59"/>
      <c r="IC145" s="815">
        <f t="shared" si="1137"/>
        <v>1</v>
      </c>
      <c r="ID145" s="815"/>
      <c r="IE145" s="284">
        <f t="shared" si="1138"/>
        <v>0</v>
      </c>
      <c r="IF145" s="284"/>
      <c r="IG145" s="284">
        <f t="shared" si="1139"/>
        <v>73009.343954789147</v>
      </c>
      <c r="IH145" s="284"/>
      <c r="II145" s="1288">
        <f t="shared" si="1140"/>
        <v>0</v>
      </c>
      <c r="IJ145" s="1288">
        <f t="shared" si="1141"/>
        <v>0.71837706992984185</v>
      </c>
      <c r="IK145" s="284">
        <f t="shared" si="1142"/>
        <v>0</v>
      </c>
      <c r="IL145" s="284">
        <f t="shared" si="1143"/>
        <v>0</v>
      </c>
      <c r="IM145" s="284">
        <f t="shared" si="1144"/>
        <v>0</v>
      </c>
      <c r="IN145" s="284">
        <f t="shared" si="1145"/>
        <v>0</v>
      </c>
      <c r="IO145" s="753">
        <f t="shared" si="1146"/>
        <v>-4840.4252319109464</v>
      </c>
      <c r="IP145" s="113">
        <f t="shared" si="1147"/>
        <v>-5604.9075002490154</v>
      </c>
      <c r="IQ145" s="30">
        <f t="shared" si="1148"/>
        <v>-0.26790820229668827</v>
      </c>
      <c r="IR145" s="438">
        <f t="shared" si="1149"/>
        <v>3296035</v>
      </c>
      <c r="IS145" s="438">
        <f t="shared" si="1150"/>
        <v>1405244</v>
      </c>
      <c r="IT145" s="438">
        <f t="shared" si="1151"/>
        <v>4459625</v>
      </c>
      <c r="IU145" s="438">
        <f t="shared" si="1152"/>
        <v>727522</v>
      </c>
      <c r="IV145" s="438">
        <f t="shared" si="1153"/>
        <v>2344143</v>
      </c>
      <c r="IW145" s="438">
        <f t="shared" si="1154"/>
        <v>-221021.80000000005</v>
      </c>
      <c r="IX145" s="285">
        <f t="shared" si="1155"/>
        <v>0.70109325568637815</v>
      </c>
      <c r="IY145" s="285">
        <f t="shared" si="1156"/>
        <v>0.29890674431362191</v>
      </c>
      <c r="IZ145" s="285">
        <f t="shared" si="1157"/>
        <v>0.94859824315893615</v>
      </c>
      <c r="JA145" s="285">
        <f t="shared" si="1158"/>
        <v>0.1547498031918548</v>
      </c>
      <c r="JB145" s="285">
        <f t="shared" si="1159"/>
        <v>0.49861814199923044</v>
      </c>
      <c r="JC145" s="285">
        <f t="shared" si="1160"/>
        <v>-4.7013121322942129E-2</v>
      </c>
      <c r="JD145" s="60">
        <f t="shared" si="1161"/>
        <v>9738370</v>
      </c>
      <c r="JE145" s="60">
        <f t="shared" si="1162"/>
        <v>3843004</v>
      </c>
      <c r="JF145" s="60">
        <f t="shared" si="1163"/>
        <v>0</v>
      </c>
      <c r="JG145" s="60">
        <f t="shared" si="1164"/>
        <v>963231</v>
      </c>
      <c r="JH145" s="284">
        <f t="shared" si="1165"/>
        <v>0</v>
      </c>
      <c r="JI145" s="284">
        <f t="shared" si="1166"/>
        <v>1</v>
      </c>
      <c r="JJ145" s="560">
        <f t="shared" si="1167"/>
        <v>0.67991409954582138</v>
      </c>
      <c r="JK145" s="561">
        <f t="shared" si="1168"/>
        <v>0.48222751360699057</v>
      </c>
      <c r="JL145" s="561">
        <f t="shared" si="1169"/>
        <v>0.12527928253981624</v>
      </c>
      <c r="JM145" s="561">
        <f t="shared" si="1170"/>
        <v>2.1793631219744949E-2</v>
      </c>
      <c r="JN145" s="561">
        <f t="shared" si="1171"/>
        <v>0.34081020822776009</v>
      </c>
      <c r="JO145" s="561">
        <f t="shared" si="1172"/>
        <v>1.6610143005273061E-2</v>
      </c>
      <c r="JP145" s="561">
        <f t="shared" si="1173"/>
        <v>3.4868324221389191E-2</v>
      </c>
      <c r="JQ145" s="561">
        <f t="shared" si="1174"/>
        <v>1.021589102820974</v>
      </c>
      <c r="JR145" s="61">
        <f t="shared" si="1175"/>
        <v>82447.166666666672</v>
      </c>
      <c r="JS145" s="61">
        <f t="shared" si="1176"/>
        <v>11186.222222222223</v>
      </c>
      <c r="JT145" s="61">
        <f t="shared" si="1177"/>
        <v>29497.944444444445</v>
      </c>
      <c r="JU145" s="61">
        <f t="shared" si="1178"/>
        <v>5325.2222222222226</v>
      </c>
      <c r="JV145" s="61">
        <f t="shared" si="1179"/>
        <v>0</v>
      </c>
      <c r="JW145" s="61">
        <f t="shared" si="1180"/>
        <v>15405.722222222223</v>
      </c>
      <c r="JX145" s="61">
        <f t="shared" si="1181"/>
        <v>102.52280465595059</v>
      </c>
      <c r="JY145" s="394">
        <f t="shared" si="1182"/>
        <v>0.13546850614264522</v>
      </c>
      <c r="JZ145" s="61">
        <f t="shared" si="1183"/>
        <v>0</v>
      </c>
      <c r="KA145" s="61">
        <f t="shared" si="1184"/>
        <v>0</v>
      </c>
      <c r="KB145" s="61">
        <f t="shared" si="1185"/>
        <v>0</v>
      </c>
      <c r="KC145" s="61">
        <f t="shared" si="1186"/>
        <v>0</v>
      </c>
      <c r="KD145" s="61">
        <f t="shared" si="1187"/>
        <v>0</v>
      </c>
      <c r="KE145" s="61">
        <f t="shared" si="1188"/>
        <v>0</v>
      </c>
      <c r="KF145" s="61">
        <f t="shared" si="1189"/>
        <v>0</v>
      </c>
      <c r="KG145" s="61">
        <f t="shared" si="1190"/>
        <v>0</v>
      </c>
      <c r="KH145" s="61">
        <f t="shared" si="1191"/>
        <v>0</v>
      </c>
      <c r="KI145" s="394">
        <f t="shared" si="1192"/>
        <v>0</v>
      </c>
      <c r="KJ145" s="438">
        <f t="shared" si="1193"/>
        <v>18</v>
      </c>
      <c r="KK145" s="438">
        <f t="shared" si="1194"/>
        <v>25258</v>
      </c>
      <c r="KL145" s="438">
        <f t="shared" si="1195"/>
        <v>124</v>
      </c>
      <c r="KM145" s="438">
        <f t="shared" si="1196"/>
        <v>143862.27777777778</v>
      </c>
      <c r="KN145" s="438">
        <f t="shared" si="1197"/>
        <v>102.52280465595059</v>
      </c>
      <c r="KO145" s="438">
        <f t="shared" si="1198"/>
        <v>20883.233870967742</v>
      </c>
      <c r="KP145" s="438">
        <f t="shared" si="1199"/>
        <v>1484049</v>
      </c>
      <c r="KQ145" s="438">
        <f t="shared" si="1200"/>
        <v>201352</v>
      </c>
      <c r="KR145" s="438">
        <f t="shared" si="1201"/>
        <v>530963</v>
      </c>
      <c r="KS145" s="438">
        <f t="shared" si="1202"/>
        <v>95854</v>
      </c>
      <c r="KT145" s="438">
        <f t="shared" si="1203"/>
        <v>0</v>
      </c>
      <c r="KU145" s="438">
        <f t="shared" si="1204"/>
        <v>277303</v>
      </c>
      <c r="KV145" s="420">
        <f t="shared" si="1205"/>
        <v>0.13546850614264522</v>
      </c>
      <c r="KW145" s="420">
        <f t="shared" si="1206"/>
        <v>-0.23743377998576765</v>
      </c>
      <c r="KX145" s="108"/>
      <c r="KY145" s="282">
        <f t="shared" si="1207"/>
        <v>0</v>
      </c>
      <c r="KZ145" s="282"/>
      <c r="LA145" s="282">
        <f t="shared" si="1208"/>
        <v>0</v>
      </c>
      <c r="LB145" s="282"/>
      <c r="LC145" s="286">
        <f t="shared" si="1321"/>
        <v>0</v>
      </c>
      <c r="LD145" s="286"/>
      <c r="LE145" s="282">
        <f t="shared" si="1209"/>
        <v>0</v>
      </c>
      <c r="LF145" s="282"/>
      <c r="LG145" s="282">
        <f t="shared" si="1210"/>
        <v>0</v>
      </c>
      <c r="LH145" s="282">
        <f t="shared" si="1211"/>
        <v>0</v>
      </c>
      <c r="LI145" s="282">
        <f t="shared" si="1212"/>
        <v>0</v>
      </c>
      <c r="LJ145" s="282">
        <f t="shared" si="1213"/>
        <v>0</v>
      </c>
      <c r="LK145" s="282"/>
      <c r="LL145" s="282">
        <f t="shared" si="1214"/>
        <v>0</v>
      </c>
      <c r="LM145" s="282">
        <f t="shared" si="1215"/>
        <v>0</v>
      </c>
      <c r="LN145" s="282">
        <f t="shared" si="1216"/>
        <v>0</v>
      </c>
      <c r="LO145" s="282">
        <f t="shared" si="1217"/>
        <v>0</v>
      </c>
      <c r="LP145" s="286">
        <f t="shared" si="1218"/>
        <v>0</v>
      </c>
      <c r="LQ145" s="282">
        <f t="shared" si="1219"/>
        <v>0</v>
      </c>
      <c r="LR145" s="282">
        <f t="shared" si="1220"/>
        <v>0</v>
      </c>
      <c r="LS145" s="282">
        <f t="shared" si="1221"/>
        <v>0</v>
      </c>
      <c r="LT145" s="286">
        <f t="shared" si="1222"/>
        <v>0</v>
      </c>
      <c r="LU145" s="286">
        <f t="shared" si="1223"/>
        <v>0</v>
      </c>
      <c r="LV145" s="286">
        <f t="shared" si="1224"/>
        <v>0</v>
      </c>
      <c r="LW145" s="286">
        <f t="shared" si="1225"/>
        <v>0</v>
      </c>
      <c r="LX145" s="286">
        <f t="shared" si="1226"/>
        <v>0</v>
      </c>
      <c r="LY145" s="286">
        <f t="shared" si="1227"/>
        <v>0</v>
      </c>
      <c r="LZ145" s="286">
        <f t="shared" si="1228"/>
        <v>0</v>
      </c>
      <c r="MA145" s="286">
        <f t="shared" si="1229"/>
        <v>0</v>
      </c>
      <c r="MB145" s="286">
        <f t="shared" si="1230"/>
        <v>0</v>
      </c>
      <c r="MC145" s="286">
        <f t="shared" si="1231"/>
        <v>0</v>
      </c>
      <c r="MD145" s="286">
        <f t="shared" si="1232"/>
        <v>0</v>
      </c>
      <c r="ME145" s="286">
        <f t="shared" si="1233"/>
        <v>0</v>
      </c>
      <c r="MF145" s="286">
        <f t="shared" si="1234"/>
        <v>0</v>
      </c>
      <c r="MG145" s="286">
        <f t="shared" si="1235"/>
        <v>0</v>
      </c>
      <c r="MH145" s="286">
        <f t="shared" si="1236"/>
        <v>0</v>
      </c>
      <c r="MI145" s="286">
        <f t="shared" si="1237"/>
        <v>0</v>
      </c>
      <c r="MJ145" s="286">
        <f t="shared" si="1238"/>
        <v>0</v>
      </c>
      <c r="MK145" s="286">
        <f t="shared" si="1239"/>
        <v>0</v>
      </c>
      <c r="ML145" s="282">
        <f t="shared" si="1240"/>
        <v>0</v>
      </c>
      <c r="MM145" s="1232">
        <f t="shared" si="1241"/>
        <v>0</v>
      </c>
      <c r="MN145" s="1232">
        <f t="shared" si="1242"/>
        <v>0</v>
      </c>
      <c r="MO145" s="1232">
        <f t="shared" si="1243"/>
        <v>0</v>
      </c>
      <c r="MP145" s="1232">
        <f t="shared" si="1244"/>
        <v>0</v>
      </c>
      <c r="MQ145" s="282">
        <f t="shared" si="1245"/>
        <v>0</v>
      </c>
      <c r="MR145" s="282">
        <f t="shared" si="1246"/>
        <v>0</v>
      </c>
      <c r="MS145" s="282">
        <f t="shared" si="1247"/>
        <v>0</v>
      </c>
      <c r="MT145" s="282">
        <f t="shared" si="1248"/>
        <v>0</v>
      </c>
      <c r="MU145" s="282">
        <f t="shared" si="1249"/>
        <v>0</v>
      </c>
      <c r="MV145" s="282">
        <f t="shared" si="1250"/>
        <v>0</v>
      </c>
      <c r="MW145" s="282">
        <f t="shared" si="1251"/>
        <v>0</v>
      </c>
      <c r="MX145" s="282">
        <f t="shared" si="1252"/>
        <v>0</v>
      </c>
      <c r="MY145" s="282">
        <f t="shared" si="1253"/>
        <v>0</v>
      </c>
      <c r="MZ145" s="282">
        <f t="shared" si="1254"/>
        <v>0</v>
      </c>
      <c r="NA145" s="282">
        <f t="shared" si="1255"/>
        <v>0</v>
      </c>
      <c r="NB145" s="282">
        <f t="shared" si="1256"/>
        <v>0</v>
      </c>
      <c r="NC145" s="282">
        <f t="shared" si="1257"/>
        <v>0</v>
      </c>
      <c r="ND145" s="282">
        <f t="shared" si="1258"/>
        <v>0</v>
      </c>
      <c r="NE145" s="282">
        <f t="shared" si="1259"/>
        <v>0</v>
      </c>
      <c r="NF145" s="282">
        <f t="shared" si="1260"/>
        <v>0</v>
      </c>
      <c r="NG145" s="282">
        <f t="shared" si="1261"/>
        <v>0</v>
      </c>
      <c r="NH145" s="282">
        <f t="shared" si="1262"/>
        <v>0</v>
      </c>
      <c r="NI145" s="282">
        <f t="shared" si="1263"/>
        <v>0</v>
      </c>
      <c r="NJ145" s="282">
        <f t="shared" si="1264"/>
        <v>0</v>
      </c>
      <c r="NK145" s="282">
        <f t="shared" si="1265"/>
        <v>0</v>
      </c>
      <c r="NL145" s="282">
        <f t="shared" si="1266"/>
        <v>0</v>
      </c>
      <c r="NM145" s="1205">
        <f t="shared" si="1267"/>
        <v>0</v>
      </c>
      <c r="NN145" s="282">
        <f t="shared" si="1268"/>
        <v>0</v>
      </c>
      <c r="NO145" s="282">
        <f t="shared" si="1269"/>
        <v>0</v>
      </c>
      <c r="NP145" s="282">
        <f t="shared" si="1270"/>
        <v>0</v>
      </c>
      <c r="NQ145" s="282">
        <f t="shared" si="1271"/>
        <v>0</v>
      </c>
      <c r="NR145" s="282">
        <f t="shared" si="1272"/>
        <v>0</v>
      </c>
      <c r="NS145" s="282">
        <f t="shared" si="1273"/>
        <v>0</v>
      </c>
      <c r="NT145" s="282">
        <f t="shared" si="1274"/>
        <v>0</v>
      </c>
      <c r="NU145" s="282">
        <f t="shared" si="1275"/>
        <v>0</v>
      </c>
      <c r="NV145" s="286">
        <f t="shared" si="1276"/>
        <v>0</v>
      </c>
      <c r="NW145" s="286">
        <f t="shared" si="1277"/>
        <v>0</v>
      </c>
      <c r="NX145" s="286">
        <f t="shared" si="1278"/>
        <v>0</v>
      </c>
      <c r="NY145" s="286">
        <f t="shared" si="1279"/>
        <v>0</v>
      </c>
      <c r="NZ145" s="286">
        <f t="shared" si="1280"/>
        <v>0</v>
      </c>
      <c r="OA145" s="286">
        <f t="shared" si="1281"/>
        <v>0</v>
      </c>
      <c r="OB145" s="286">
        <f t="shared" si="1282"/>
        <v>0</v>
      </c>
      <c r="OC145" s="286">
        <f t="shared" si="1283"/>
        <v>0</v>
      </c>
      <c r="OD145" s="286">
        <f t="shared" si="1284"/>
        <v>0</v>
      </c>
      <c r="OE145" s="282">
        <f t="shared" si="1285"/>
        <v>0</v>
      </c>
      <c r="OF145" s="282">
        <f t="shared" si="1286"/>
        <v>0</v>
      </c>
      <c r="OG145" s="286">
        <f t="shared" si="1287"/>
        <v>0</v>
      </c>
      <c r="OH145" s="286">
        <f t="shared" si="1288"/>
        <v>0</v>
      </c>
      <c r="OI145" s="286">
        <f t="shared" si="1289"/>
        <v>0</v>
      </c>
      <c r="OJ145" s="286">
        <f t="shared" si="1290"/>
        <v>0</v>
      </c>
      <c r="OK145" s="286">
        <f t="shared" si="1291"/>
        <v>0</v>
      </c>
      <c r="OL145" s="286">
        <f t="shared" si="1292"/>
        <v>0</v>
      </c>
      <c r="OM145" s="286">
        <f t="shared" si="1293"/>
        <v>0</v>
      </c>
      <c r="ON145" s="286">
        <f t="shared" si="1294"/>
        <v>0</v>
      </c>
      <c r="OO145" s="286">
        <f t="shared" si="1295"/>
        <v>0</v>
      </c>
      <c r="OP145" s="434">
        <f t="shared" si="1296"/>
        <v>0</v>
      </c>
      <c r="OQ145" s="434">
        <f t="shared" si="1297"/>
        <v>0</v>
      </c>
      <c r="OR145" s="282">
        <f t="shared" si="1298"/>
        <v>0</v>
      </c>
      <c r="OS145" s="282">
        <f t="shared" si="1299"/>
        <v>0</v>
      </c>
      <c r="OT145" s="282">
        <f t="shared" si="1300"/>
        <v>0</v>
      </c>
      <c r="OU145" s="282">
        <f t="shared" si="1301"/>
        <v>0</v>
      </c>
      <c r="OV145" s="282">
        <f t="shared" si="1302"/>
        <v>0</v>
      </c>
      <c r="OW145" s="286">
        <f t="shared" si="1303"/>
        <v>0</v>
      </c>
      <c r="OX145" s="286">
        <f t="shared" si="1304"/>
        <v>0</v>
      </c>
      <c r="OY145" s="286">
        <f t="shared" si="1305"/>
        <v>0</v>
      </c>
      <c r="OZ145" s="286">
        <f t="shared" si="1306"/>
        <v>0</v>
      </c>
      <c r="PA145" s="286">
        <f t="shared" si="1307"/>
        <v>0</v>
      </c>
      <c r="PB145" s="286">
        <f t="shared" si="1308"/>
        <v>0</v>
      </c>
      <c r="PC145" s="286">
        <f t="shared" si="1309"/>
        <v>0</v>
      </c>
      <c r="PD145" s="282">
        <f t="shared" si="1310"/>
        <v>0</v>
      </c>
      <c r="PE145" s="282">
        <f t="shared" si="1311"/>
        <v>0</v>
      </c>
      <c r="PF145" s="286">
        <f t="shared" si="1312"/>
        <v>0</v>
      </c>
      <c r="PG145" s="286">
        <f t="shared" si="1313"/>
        <v>0</v>
      </c>
      <c r="PH145" s="286">
        <f t="shared" si="1314"/>
        <v>0</v>
      </c>
      <c r="PI145" s="286">
        <f t="shared" si="1315"/>
        <v>0</v>
      </c>
      <c r="PJ145" s="286">
        <f t="shared" si="1316"/>
        <v>0</v>
      </c>
      <c r="PK145" s="286">
        <f t="shared" si="1317"/>
        <v>0</v>
      </c>
      <c r="PL145" s="286">
        <f t="shared" si="1318"/>
        <v>0</v>
      </c>
      <c r="PM145" s="562">
        <v>89</v>
      </c>
    </row>
    <row r="146" spans="1:429" s="1964" customFormat="1" ht="15.75" customHeight="1">
      <c r="A146" s="1949" t="s">
        <v>1628</v>
      </c>
      <c r="B146" s="1929" t="s">
        <v>412</v>
      </c>
      <c r="C146" s="1950"/>
      <c r="D146" s="1951">
        <v>44926</v>
      </c>
      <c r="E146" s="1952"/>
      <c r="F146" s="1950">
        <v>1</v>
      </c>
      <c r="G146" s="1950">
        <v>0</v>
      </c>
      <c r="H146" s="1950">
        <v>397</v>
      </c>
      <c r="I146" s="1950">
        <v>142</v>
      </c>
      <c r="J146" s="1950">
        <v>539</v>
      </c>
      <c r="K146" s="1950">
        <v>465.48300750442138</v>
      </c>
      <c r="L146" s="1953" t="s">
        <v>1208</v>
      </c>
      <c r="M146" s="1953" t="s">
        <v>1208</v>
      </c>
      <c r="N146" s="1953" t="s">
        <v>1208</v>
      </c>
      <c r="O146" s="1953" t="s">
        <v>1208</v>
      </c>
      <c r="P146" s="1953" t="s">
        <v>1208</v>
      </c>
      <c r="Q146" s="1950">
        <v>0</v>
      </c>
      <c r="R146" s="1950">
        <v>210000</v>
      </c>
      <c r="S146" s="1950">
        <v>210000</v>
      </c>
      <c r="T146" s="1953" t="s">
        <v>1208</v>
      </c>
      <c r="U146" s="1953" t="s">
        <v>1208</v>
      </c>
      <c r="V146" s="1953" t="s">
        <v>1208</v>
      </c>
      <c r="W146" s="1950">
        <v>26388</v>
      </c>
      <c r="X146" s="1950">
        <v>20921</v>
      </c>
      <c r="Y146" s="1953" t="s">
        <v>1208</v>
      </c>
      <c r="Z146" s="1953" t="s">
        <v>1208</v>
      </c>
      <c r="AA146" s="1950">
        <v>5467</v>
      </c>
      <c r="AB146" s="1954">
        <v>0.26131638067014007</v>
      </c>
      <c r="AC146" s="1953" t="s">
        <v>1208</v>
      </c>
      <c r="AD146" s="1955" t="s">
        <v>1208</v>
      </c>
      <c r="AE146" s="1950">
        <v>1</v>
      </c>
      <c r="AF146" s="1950">
        <v>3600</v>
      </c>
      <c r="AG146" s="1953" t="s">
        <v>1208</v>
      </c>
      <c r="AH146" s="1950">
        <v>0</v>
      </c>
      <c r="AI146" s="1950">
        <v>0</v>
      </c>
      <c r="AJ146" s="1953" t="s">
        <v>1208</v>
      </c>
      <c r="AK146" s="1950">
        <v>1</v>
      </c>
      <c r="AL146" s="1950">
        <v>2100</v>
      </c>
      <c r="AM146" s="1950">
        <v>26621</v>
      </c>
      <c r="AN146" s="1953" t="s">
        <v>1208</v>
      </c>
      <c r="AO146" s="1950">
        <v>0</v>
      </c>
      <c r="AP146" s="1950">
        <v>2640</v>
      </c>
      <c r="AQ146" s="1950">
        <v>29261</v>
      </c>
      <c r="AR146" s="1953" t="s">
        <v>1208</v>
      </c>
      <c r="AS146" s="1955" t="s">
        <v>1208</v>
      </c>
      <c r="AT146" s="1955" t="s">
        <v>1208</v>
      </c>
      <c r="AU146" s="1955" t="s">
        <v>1208</v>
      </c>
      <c r="AV146" s="1955" t="s">
        <v>1208</v>
      </c>
      <c r="AW146" s="1955" t="s">
        <v>1291</v>
      </c>
      <c r="AX146" s="1950">
        <v>0</v>
      </c>
      <c r="AY146" s="1950">
        <v>0</v>
      </c>
      <c r="AZ146" s="1950">
        <v>0</v>
      </c>
      <c r="BA146" s="1950">
        <v>0</v>
      </c>
      <c r="BB146" s="1950">
        <v>0</v>
      </c>
      <c r="BC146" s="1950">
        <v>0</v>
      </c>
      <c r="BD146" s="1950">
        <v>0</v>
      </c>
      <c r="BE146" s="1950">
        <v>1</v>
      </c>
      <c r="BF146" s="1950">
        <v>12000000</v>
      </c>
      <c r="BG146" s="1950">
        <v>500000</v>
      </c>
      <c r="BH146" s="1950">
        <v>12500000</v>
      </c>
      <c r="BI146" s="1950">
        <v>33984609</v>
      </c>
      <c r="BJ146" s="1950">
        <v>1201672</v>
      </c>
      <c r="BK146" s="1950">
        <v>2444446</v>
      </c>
      <c r="BL146" s="1954">
        <v>0.49159277807732304</v>
      </c>
      <c r="BM146" s="1950">
        <v>1</v>
      </c>
      <c r="BN146" s="1950">
        <v>1011648</v>
      </c>
      <c r="BO146" s="1955" t="s">
        <v>1208</v>
      </c>
      <c r="BP146" s="1950">
        <v>9516910</v>
      </c>
      <c r="BQ146" s="1950">
        <v>13247792</v>
      </c>
      <c r="BR146" s="1956">
        <v>0.71837706992984185</v>
      </c>
      <c r="BS146" s="1980">
        <v>0</v>
      </c>
      <c r="BT146" s="1950">
        <v>14183500</v>
      </c>
      <c r="BU146" s="1950">
        <v>29406086</v>
      </c>
      <c r="BV146" s="1956">
        <v>0.48233212675770587</v>
      </c>
      <c r="BW146" s="1950">
        <v>2173.3296032087505</v>
      </c>
      <c r="BX146" s="1950">
        <v>2581.5593278957363</v>
      </c>
      <c r="BY146" s="1950">
        <v>26853.826667091107</v>
      </c>
      <c r="BZ146" s="1950">
        <v>1511808</v>
      </c>
      <c r="CA146" s="1950">
        <v>57097</v>
      </c>
      <c r="CB146" s="1950">
        <v>599764</v>
      </c>
      <c r="CC146" s="1950">
        <v>1674335</v>
      </c>
      <c r="CD146" s="1950">
        <v>9738370</v>
      </c>
      <c r="CE146" s="1950">
        <v>0</v>
      </c>
      <c r="CF146" s="1950">
        <v>0</v>
      </c>
      <c r="CG146" s="1950">
        <v>3296035</v>
      </c>
      <c r="CH146" s="1950">
        <v>1405244</v>
      </c>
      <c r="CI146" s="1950">
        <v>428685</v>
      </c>
      <c r="CJ146" s="1950">
        <v>18711338</v>
      </c>
      <c r="CK146" s="1957">
        <v>8.0796359939625917E-2</v>
      </c>
      <c r="CL146" s="1957">
        <v>3.0514653735612064E-3</v>
      </c>
      <c r="CM146" s="1957">
        <v>3.2053506809614579E-2</v>
      </c>
      <c r="CN146" s="1957">
        <v>8.9482376941723785E-2</v>
      </c>
      <c r="CO146" s="1957">
        <v>0.52045289332061662</v>
      </c>
      <c r="CP146" s="1957">
        <v>0</v>
      </c>
      <c r="CQ146" s="1957">
        <v>0</v>
      </c>
      <c r="CR146" s="1957">
        <v>0.17615175355177701</v>
      </c>
      <c r="CS146" s="1957">
        <v>7.5101203345265849E-2</v>
      </c>
      <c r="CT146" s="1957">
        <v>2.2910440717815048E-2</v>
      </c>
      <c r="CU146" s="1957">
        <v>1</v>
      </c>
      <c r="CV146" s="1950">
        <v>9023122</v>
      </c>
      <c r="CW146" s="1950">
        <v>2344143</v>
      </c>
      <c r="CX146" s="1950">
        <v>407788</v>
      </c>
      <c r="CY146" s="1950">
        <v>6377015</v>
      </c>
      <c r="CZ146" s="1950">
        <v>310798</v>
      </c>
      <c r="DA146" s="1950">
        <v>652433</v>
      </c>
      <c r="DB146" s="1950">
        <v>19115299</v>
      </c>
      <c r="DC146" s="1957">
        <v>0.47203666550023621</v>
      </c>
      <c r="DD146" s="1957">
        <v>0.12263177259220481</v>
      </c>
      <c r="DE146" s="1957">
        <v>2.1333069391171963E-2</v>
      </c>
      <c r="DF146" s="1957">
        <v>0.33360791269861906</v>
      </c>
      <c r="DG146" s="1957">
        <v>1.6259123124362323E-2</v>
      </c>
      <c r="DH146" s="1957">
        <v>3.4131456693405636E-2</v>
      </c>
      <c r="DI146" s="1957">
        <v>1</v>
      </c>
      <c r="DJ146" s="1950">
        <v>-403961</v>
      </c>
      <c r="DK146" s="1950">
        <v>3247.8263988737335</v>
      </c>
      <c r="DL146" s="1950">
        <v>122.66183529687207</v>
      </c>
      <c r="DM146" s="1950">
        <v>1288.4766797728985</v>
      </c>
      <c r="DN146" s="1950">
        <v>3596.9841498115188</v>
      </c>
      <c r="DO146" s="1950">
        <v>20921</v>
      </c>
      <c r="DP146" s="1950">
        <v>0</v>
      </c>
      <c r="DQ146" s="1950">
        <v>0</v>
      </c>
      <c r="DR146" s="1950">
        <v>7080.8922062932506</v>
      </c>
      <c r="DS146" s="1950">
        <v>3018.8943040775821</v>
      </c>
      <c r="DT146" s="1950">
        <v>920.94661478255603</v>
      </c>
      <c r="DU146" s="1950">
        <v>40197.682188908409</v>
      </c>
      <c r="DV146" s="1950">
        <v>19384.428334721313</v>
      </c>
      <c r="DW146" s="1950">
        <v>5035.9367843899954</v>
      </c>
      <c r="DX146" s="1950">
        <v>876.0534615135798</v>
      </c>
      <c r="DY146" s="1950">
        <v>13699.780437075198</v>
      </c>
      <c r="DZ146" s="1950">
        <v>667.68924963828647</v>
      </c>
      <c r="EA146" s="1950">
        <v>1401.62581551122</v>
      </c>
      <c r="EB146" s="1950">
        <v>41065.514082849593</v>
      </c>
      <c r="EC146" s="1950">
        <v>-867.83189394118324</v>
      </c>
      <c r="ED146" s="1956">
        <v>167</v>
      </c>
      <c r="EE146" s="1950">
        <v>1</v>
      </c>
      <c r="EF146" s="1950">
        <v>47</v>
      </c>
      <c r="EG146" s="1950">
        <v>642000</v>
      </c>
      <c r="EH146" s="1950">
        <v>1</v>
      </c>
      <c r="EI146" s="1954">
        <v>0.1</v>
      </c>
      <c r="EJ146" s="1950">
        <v>2.7873233982300682</v>
      </c>
      <c r="EK146" s="1950">
        <v>0</v>
      </c>
      <c r="EL146" s="1950">
        <v>0</v>
      </c>
      <c r="EM146" s="1950">
        <v>0</v>
      </c>
      <c r="EN146" s="1954">
        <v>0</v>
      </c>
      <c r="EO146" s="1950">
        <v>1</v>
      </c>
      <c r="EP146" s="1950">
        <v>220</v>
      </c>
      <c r="EQ146" s="1950">
        <v>0</v>
      </c>
      <c r="ER146" s="1950">
        <v>0</v>
      </c>
      <c r="ES146" s="1950">
        <v>10099.786510370832</v>
      </c>
      <c r="ET146" s="1950">
        <v>-5604.9075002490154</v>
      </c>
      <c r="EU146" s="1950">
        <v>2</v>
      </c>
      <c r="EV146" s="1950">
        <v>82022</v>
      </c>
      <c r="EW146" s="1950">
        <v>13534</v>
      </c>
      <c r="EX146" s="1950">
        <v>1</v>
      </c>
      <c r="EY146" s="1950">
        <v>3296035</v>
      </c>
      <c r="EZ146" s="1950">
        <v>1738128</v>
      </c>
      <c r="FA146" s="1950">
        <v>1557907</v>
      </c>
      <c r="FB146" s="1950">
        <v>1405244</v>
      </c>
      <c r="FC146" s="1950">
        <v>606015</v>
      </c>
      <c r="FD146" s="1950">
        <v>799229</v>
      </c>
      <c r="FE146" s="1950">
        <v>4701279</v>
      </c>
      <c r="FF146" s="1950">
        <v>2344143</v>
      </c>
      <c r="FG146" s="1950">
        <v>2357136</v>
      </c>
      <c r="FH146" s="1957">
        <v>1</v>
      </c>
      <c r="FI146" s="1957">
        <v>0.52733906041653078</v>
      </c>
      <c r="FJ146" s="1957">
        <v>0.47266093958346922</v>
      </c>
      <c r="FK146" s="1957">
        <v>1</v>
      </c>
      <c r="FL146" s="1957">
        <v>0.43125250846116403</v>
      </c>
      <c r="FM146" s="1957">
        <v>0.56874749153883597</v>
      </c>
      <c r="FN146" s="1957">
        <v>1</v>
      </c>
      <c r="FO146" s="1957">
        <v>0.49861814199923044</v>
      </c>
      <c r="FP146" s="1957">
        <v>0.50138185800076962</v>
      </c>
      <c r="FQ146" s="1950">
        <v>4459625</v>
      </c>
      <c r="FR146" s="1950">
        <v>-940255.8</v>
      </c>
      <c r="FS146" s="1950">
        <v>583510</v>
      </c>
      <c r="FT146" s="1950">
        <v>144012</v>
      </c>
      <c r="FU146" s="1950">
        <v>37967</v>
      </c>
      <c r="FV146" s="1950">
        <v>95374</v>
      </c>
      <c r="FW146" s="1950">
        <v>585893</v>
      </c>
      <c r="FX146" s="1950">
        <v>4966125.2</v>
      </c>
      <c r="FY146" s="1950">
        <v>-2608989.2000000002</v>
      </c>
      <c r="FZ146" s="1957">
        <v>0.94859824315893615</v>
      </c>
      <c r="GA146" s="1957">
        <v>-0.2</v>
      </c>
      <c r="GB146" s="1957">
        <v>0.12411728808266857</v>
      </c>
      <c r="GC146" s="1957">
        <v>3.0632515109186246E-2</v>
      </c>
      <c r="GD146" s="1957">
        <v>8.0758874340365674E-3</v>
      </c>
      <c r="GE146" s="1957">
        <v>2.0286819820733888E-2</v>
      </c>
      <c r="GF146" s="1957">
        <v>0.12462417142228742</v>
      </c>
      <c r="GG146" s="1957">
        <v>1.0563349250278489</v>
      </c>
      <c r="GH146" s="1957">
        <v>-0.55495306702707925</v>
      </c>
      <c r="GI146" s="1958">
        <v>2.3455250476073908</v>
      </c>
      <c r="GJ146" s="1959">
        <v>1</v>
      </c>
      <c r="GK146" s="1960">
        <v>0.01</v>
      </c>
      <c r="GL146" s="1959">
        <v>0</v>
      </c>
      <c r="GM146" s="1960">
        <v>0</v>
      </c>
      <c r="GN146" s="1950">
        <v>0</v>
      </c>
      <c r="GO146" s="1985">
        <f>IF(GN146=0,0,VLOOKUP(A146,'Area (&amp;golfacre for lookup)'!$G$2:$H$133,2,FALSE))</f>
        <v>0</v>
      </c>
      <c r="GP146" s="1950">
        <v>0</v>
      </c>
      <c r="GQ146" s="1950">
        <v>0</v>
      </c>
      <c r="GR146" s="1950">
        <v>0</v>
      </c>
      <c r="GS146" s="1950">
        <v>0</v>
      </c>
      <c r="GT146" s="1950">
        <v>0</v>
      </c>
      <c r="GU146" s="1950">
        <v>0</v>
      </c>
      <c r="GV146" s="1950">
        <v>0</v>
      </c>
      <c r="GW146" s="1950">
        <v>0</v>
      </c>
      <c r="GX146" s="1950">
        <v>0</v>
      </c>
      <c r="GY146" s="1985">
        <f t="shared" si="1319"/>
        <v>0</v>
      </c>
      <c r="GZ146" s="1950">
        <v>0</v>
      </c>
      <c r="HA146" s="1950">
        <v>0</v>
      </c>
      <c r="HB146" s="1950">
        <v>0</v>
      </c>
      <c r="HC146" s="1950">
        <v>0</v>
      </c>
      <c r="HD146" s="1950">
        <v>0</v>
      </c>
      <c r="HE146" s="1950">
        <v>0</v>
      </c>
      <c r="HF146" s="1950">
        <v>0</v>
      </c>
      <c r="HG146" s="1950">
        <v>0</v>
      </c>
      <c r="HH146" s="1988">
        <f>IF(HG146=0,0,VLOOKUP(A146,'Area (&amp;golfacre for lookup)'!$G$2:$H$134,2,FALSE))</f>
        <v>0</v>
      </c>
      <c r="HI146" s="1950">
        <v>0</v>
      </c>
      <c r="HJ146" s="1950">
        <v>0</v>
      </c>
      <c r="HK146" s="1950">
        <v>0</v>
      </c>
      <c r="HL146" s="1950">
        <v>0</v>
      </c>
      <c r="HM146" s="1950">
        <v>0</v>
      </c>
      <c r="HN146" s="1950">
        <v>0</v>
      </c>
      <c r="HO146" s="1950">
        <v>0</v>
      </c>
      <c r="HP146" s="1950">
        <v>0</v>
      </c>
      <c r="HQ146" s="1950">
        <v>0</v>
      </c>
      <c r="HR146" s="1988">
        <f t="shared" si="1320"/>
        <v>0</v>
      </c>
      <c r="HS146" s="1950">
        <v>0</v>
      </c>
      <c r="HT146" s="1950">
        <v>0</v>
      </c>
      <c r="HU146" s="1950">
        <v>0</v>
      </c>
      <c r="HV146" s="1950">
        <v>0</v>
      </c>
      <c r="HW146" s="1950">
        <v>0</v>
      </c>
      <c r="HX146" s="1950">
        <v>0</v>
      </c>
      <c r="HY146" s="1950">
        <v>0</v>
      </c>
      <c r="HZ146" s="1961"/>
      <c r="IA146" s="1962">
        <f t="shared" si="1136"/>
        <v>0</v>
      </c>
      <c r="IB146" s="1962"/>
      <c r="IC146" s="1963">
        <f t="shared" si="1137"/>
        <v>1</v>
      </c>
      <c r="ID146" s="1963"/>
      <c r="IE146" s="1964">
        <f t="shared" si="1138"/>
        <v>0</v>
      </c>
      <c r="IG146" s="1964">
        <f t="shared" si="1139"/>
        <v>73009.343954789147</v>
      </c>
      <c r="II146" s="1965">
        <f t="shared" si="1140"/>
        <v>0</v>
      </c>
      <c r="IJ146" s="1965">
        <f t="shared" si="1141"/>
        <v>0.71837706992984185</v>
      </c>
      <c r="IK146" s="1964">
        <f t="shared" si="1142"/>
        <v>0</v>
      </c>
      <c r="IL146" s="1964">
        <f t="shared" si="1143"/>
        <v>0</v>
      </c>
      <c r="IM146" s="1964">
        <f t="shared" si="1144"/>
        <v>0</v>
      </c>
      <c r="IN146" s="1964">
        <f t="shared" si="1145"/>
        <v>0</v>
      </c>
      <c r="IO146" s="1966">
        <f t="shared" si="1146"/>
        <v>-4840.4252319109464</v>
      </c>
      <c r="IP146" s="1966">
        <f t="shared" si="1147"/>
        <v>-5604.9075002490154</v>
      </c>
      <c r="IQ146" s="1967">
        <f t="shared" si="1148"/>
        <v>-0.26790820229668827</v>
      </c>
      <c r="IR146" s="1968">
        <f t="shared" si="1149"/>
        <v>3296035</v>
      </c>
      <c r="IS146" s="1968">
        <f t="shared" si="1150"/>
        <v>1405244</v>
      </c>
      <c r="IT146" s="1968">
        <f t="shared" si="1151"/>
        <v>4459625</v>
      </c>
      <c r="IU146" s="1968">
        <f t="shared" si="1152"/>
        <v>727522</v>
      </c>
      <c r="IV146" s="1968">
        <f t="shared" si="1153"/>
        <v>2344143</v>
      </c>
      <c r="IW146" s="1968">
        <f t="shared" si="1154"/>
        <v>-221021.80000000005</v>
      </c>
      <c r="IX146" s="1969">
        <f t="shared" si="1155"/>
        <v>0.70109325568637815</v>
      </c>
      <c r="IY146" s="1969">
        <f t="shared" si="1156"/>
        <v>0.29890674431362191</v>
      </c>
      <c r="IZ146" s="1969">
        <f t="shared" si="1157"/>
        <v>0.94859824315893615</v>
      </c>
      <c r="JA146" s="1969">
        <f t="shared" si="1158"/>
        <v>0.1547498031918548</v>
      </c>
      <c r="JB146" s="1969">
        <f t="shared" si="1159"/>
        <v>0.49861814199923044</v>
      </c>
      <c r="JC146" s="1969">
        <f t="shared" si="1160"/>
        <v>-4.7013121322942129E-2</v>
      </c>
      <c r="JD146" s="1970">
        <f t="shared" si="1161"/>
        <v>9738370</v>
      </c>
      <c r="JE146" s="1970">
        <f t="shared" si="1162"/>
        <v>3843004</v>
      </c>
      <c r="JF146" s="1970">
        <f t="shared" si="1163"/>
        <v>0</v>
      </c>
      <c r="JG146" s="1970">
        <f t="shared" si="1164"/>
        <v>963231</v>
      </c>
      <c r="JH146" s="1964">
        <f t="shared" si="1165"/>
        <v>0</v>
      </c>
      <c r="JI146" s="1964" t="str">
        <f t="shared" si="1166"/>
        <v/>
      </c>
      <c r="JJ146" s="1971">
        <f t="shared" si="1167"/>
        <v>0</v>
      </c>
      <c r="JK146" s="1972">
        <f t="shared" si="1168"/>
        <v>0.48222751360699057</v>
      </c>
      <c r="JL146" s="1972">
        <f t="shared" si="1169"/>
        <v>0.12527928253981624</v>
      </c>
      <c r="JM146" s="1972">
        <f t="shared" si="1170"/>
        <v>2.1793631219744949E-2</v>
      </c>
      <c r="JN146" s="1972">
        <f t="shared" si="1171"/>
        <v>0.34081020822776009</v>
      </c>
      <c r="JO146" s="1972">
        <f t="shared" si="1172"/>
        <v>1.6610143005273061E-2</v>
      </c>
      <c r="JP146" s="1972">
        <f t="shared" si="1173"/>
        <v>3.4868324221389191E-2</v>
      </c>
      <c r="JQ146" s="1972">
        <f t="shared" si="1174"/>
        <v>1.021589102820974</v>
      </c>
      <c r="JR146" s="1973">
        <f t="shared" si="1175"/>
        <v>0</v>
      </c>
      <c r="JS146" s="1973">
        <f t="shared" si="1176"/>
        <v>0</v>
      </c>
      <c r="JT146" s="1973">
        <f t="shared" si="1177"/>
        <v>0</v>
      </c>
      <c r="JU146" s="1973">
        <f t="shared" si="1178"/>
        <v>0</v>
      </c>
      <c r="JV146" s="1973">
        <f t="shared" si="1179"/>
        <v>0</v>
      </c>
      <c r="JW146" s="1973">
        <f t="shared" si="1180"/>
        <v>0</v>
      </c>
      <c r="JX146" s="1973">
        <f t="shared" si="1181"/>
        <v>0</v>
      </c>
      <c r="JY146" s="1969">
        <f t="shared" si="1182"/>
        <v>0</v>
      </c>
      <c r="JZ146" s="1973">
        <f t="shared" si="1183"/>
        <v>0</v>
      </c>
      <c r="KA146" s="1973">
        <f t="shared" si="1184"/>
        <v>0</v>
      </c>
      <c r="KB146" s="1973">
        <f t="shared" si="1185"/>
        <v>0</v>
      </c>
      <c r="KC146" s="1973">
        <f t="shared" si="1186"/>
        <v>0</v>
      </c>
      <c r="KD146" s="1973">
        <f t="shared" si="1187"/>
        <v>0</v>
      </c>
      <c r="KE146" s="1973">
        <f t="shared" si="1188"/>
        <v>0</v>
      </c>
      <c r="KF146" s="1973">
        <f t="shared" si="1189"/>
        <v>0</v>
      </c>
      <c r="KG146" s="1973">
        <f t="shared" si="1190"/>
        <v>0</v>
      </c>
      <c r="KH146" s="1973">
        <f t="shared" si="1191"/>
        <v>0</v>
      </c>
      <c r="KI146" s="1969">
        <f t="shared" si="1192"/>
        <v>0</v>
      </c>
      <c r="KJ146" s="1968">
        <f t="shared" si="1193"/>
        <v>0</v>
      </c>
      <c r="KK146" s="1968">
        <f t="shared" si="1194"/>
        <v>0</v>
      </c>
      <c r="KL146" s="1968">
        <f t="shared" si="1195"/>
        <v>0</v>
      </c>
      <c r="KM146" s="1968">
        <f t="shared" si="1196"/>
        <v>0</v>
      </c>
      <c r="KN146" s="1968">
        <f t="shared" si="1197"/>
        <v>0</v>
      </c>
      <c r="KO146" s="1968">
        <f t="shared" si="1198"/>
        <v>0</v>
      </c>
      <c r="KP146" s="1968">
        <f t="shared" si="1199"/>
        <v>0</v>
      </c>
      <c r="KQ146" s="1968">
        <f t="shared" si="1200"/>
        <v>0</v>
      </c>
      <c r="KR146" s="1968">
        <f t="shared" si="1201"/>
        <v>0</v>
      </c>
      <c r="KS146" s="1968">
        <f t="shared" si="1202"/>
        <v>0</v>
      </c>
      <c r="KT146" s="1968">
        <f t="shared" si="1203"/>
        <v>0</v>
      </c>
      <c r="KU146" s="1968">
        <f t="shared" si="1204"/>
        <v>0</v>
      </c>
      <c r="KV146" s="1974">
        <f t="shared" si="1205"/>
        <v>0</v>
      </c>
      <c r="KW146" s="1974">
        <f t="shared" si="1206"/>
        <v>0</v>
      </c>
      <c r="KX146" s="1975"/>
      <c r="KY146" s="1976">
        <f t="shared" si="1207"/>
        <v>0</v>
      </c>
      <c r="KZ146" s="1976"/>
      <c r="LA146" s="1976">
        <f t="shared" si="1208"/>
        <v>0</v>
      </c>
      <c r="LB146" s="1976"/>
      <c r="LC146" s="1974">
        <f t="shared" si="1321"/>
        <v>0</v>
      </c>
      <c r="LD146" s="1974"/>
      <c r="LE146" s="1976">
        <f t="shared" si="1209"/>
        <v>0</v>
      </c>
      <c r="LF146" s="1976"/>
      <c r="LG146" s="1976">
        <f t="shared" si="1210"/>
        <v>0</v>
      </c>
      <c r="LH146" s="1976">
        <f t="shared" si="1211"/>
        <v>0</v>
      </c>
      <c r="LI146" s="1976">
        <f t="shared" si="1212"/>
        <v>0</v>
      </c>
      <c r="LJ146" s="1976">
        <f t="shared" si="1213"/>
        <v>0</v>
      </c>
      <c r="LK146" s="1976"/>
      <c r="LL146" s="1976">
        <f t="shared" si="1214"/>
        <v>0</v>
      </c>
      <c r="LM146" s="1976">
        <f t="shared" si="1215"/>
        <v>0</v>
      </c>
      <c r="LN146" s="1976">
        <f t="shared" si="1216"/>
        <v>0</v>
      </c>
      <c r="LO146" s="1976">
        <f t="shared" si="1217"/>
        <v>0</v>
      </c>
      <c r="LP146" s="1974">
        <f t="shared" si="1218"/>
        <v>0</v>
      </c>
      <c r="LQ146" s="1976">
        <f t="shared" si="1219"/>
        <v>0</v>
      </c>
      <c r="LR146" s="1976">
        <f t="shared" si="1220"/>
        <v>0</v>
      </c>
      <c r="LS146" s="1976">
        <f t="shared" si="1221"/>
        <v>0</v>
      </c>
      <c r="LT146" s="1974">
        <f t="shared" si="1222"/>
        <v>0</v>
      </c>
      <c r="LU146" s="1974">
        <f t="shared" si="1223"/>
        <v>0</v>
      </c>
      <c r="LV146" s="1974">
        <f t="shared" si="1224"/>
        <v>0</v>
      </c>
      <c r="LW146" s="1974">
        <f t="shared" si="1225"/>
        <v>0</v>
      </c>
      <c r="LX146" s="1974">
        <f t="shared" si="1226"/>
        <v>0</v>
      </c>
      <c r="LY146" s="1974">
        <f t="shared" si="1227"/>
        <v>0</v>
      </c>
      <c r="LZ146" s="1974">
        <f t="shared" si="1228"/>
        <v>0</v>
      </c>
      <c r="MA146" s="1974">
        <f t="shared" si="1229"/>
        <v>0</v>
      </c>
      <c r="MB146" s="1974">
        <f t="shared" si="1230"/>
        <v>0</v>
      </c>
      <c r="MC146" s="1974">
        <f t="shared" si="1231"/>
        <v>0</v>
      </c>
      <c r="MD146" s="1974">
        <f t="shared" si="1232"/>
        <v>0</v>
      </c>
      <c r="ME146" s="1974">
        <f t="shared" si="1233"/>
        <v>0</v>
      </c>
      <c r="MF146" s="1974">
        <f t="shared" si="1234"/>
        <v>0</v>
      </c>
      <c r="MG146" s="1974">
        <f t="shared" si="1235"/>
        <v>0</v>
      </c>
      <c r="MH146" s="1974">
        <f t="shared" si="1236"/>
        <v>0</v>
      </c>
      <c r="MI146" s="1974">
        <f t="shared" si="1237"/>
        <v>0</v>
      </c>
      <c r="MJ146" s="1974">
        <f t="shared" si="1238"/>
        <v>0</v>
      </c>
      <c r="MK146" s="1974">
        <f t="shared" si="1239"/>
        <v>0</v>
      </c>
      <c r="ML146" s="1976">
        <f t="shared" si="1240"/>
        <v>0</v>
      </c>
      <c r="MM146" s="1733">
        <f t="shared" si="1241"/>
        <v>0</v>
      </c>
      <c r="MN146" s="1733">
        <f t="shared" si="1242"/>
        <v>0</v>
      </c>
      <c r="MO146" s="1733">
        <f t="shared" si="1243"/>
        <v>0</v>
      </c>
      <c r="MP146" s="1733">
        <f t="shared" si="1244"/>
        <v>0</v>
      </c>
      <c r="MQ146" s="1976">
        <f t="shared" si="1245"/>
        <v>0</v>
      </c>
      <c r="MR146" s="1976">
        <f t="shared" si="1246"/>
        <v>0</v>
      </c>
      <c r="MS146" s="1976">
        <f t="shared" si="1247"/>
        <v>0</v>
      </c>
      <c r="MT146" s="1976">
        <f t="shared" si="1248"/>
        <v>0</v>
      </c>
      <c r="MU146" s="1976">
        <f t="shared" si="1249"/>
        <v>0</v>
      </c>
      <c r="MV146" s="1976">
        <f t="shared" si="1250"/>
        <v>0</v>
      </c>
      <c r="MW146" s="1976">
        <f t="shared" si="1251"/>
        <v>0</v>
      </c>
      <c r="MX146" s="1976">
        <f t="shared" si="1252"/>
        <v>0</v>
      </c>
      <c r="MY146" s="1976">
        <f t="shared" si="1253"/>
        <v>0</v>
      </c>
      <c r="MZ146" s="1976">
        <f t="shared" si="1254"/>
        <v>0</v>
      </c>
      <c r="NA146" s="1976">
        <f t="shared" si="1255"/>
        <v>0</v>
      </c>
      <c r="NB146" s="1976">
        <f t="shared" si="1256"/>
        <v>0</v>
      </c>
      <c r="NC146" s="1976">
        <f t="shared" si="1257"/>
        <v>0</v>
      </c>
      <c r="ND146" s="1976">
        <f t="shared" si="1258"/>
        <v>0</v>
      </c>
      <c r="NE146" s="1976">
        <f t="shared" si="1259"/>
        <v>0</v>
      </c>
      <c r="NF146" s="1976">
        <f t="shared" si="1260"/>
        <v>0</v>
      </c>
      <c r="NG146" s="1976">
        <f t="shared" si="1261"/>
        <v>0</v>
      </c>
      <c r="NH146" s="1976">
        <f t="shared" si="1262"/>
        <v>0</v>
      </c>
      <c r="NI146" s="1976">
        <f t="shared" si="1263"/>
        <v>0</v>
      </c>
      <c r="NJ146" s="1976">
        <f t="shared" si="1264"/>
        <v>0</v>
      </c>
      <c r="NK146" s="1976">
        <f t="shared" si="1265"/>
        <v>0</v>
      </c>
      <c r="NL146" s="1976">
        <f t="shared" si="1266"/>
        <v>0</v>
      </c>
      <c r="NM146" s="1977">
        <f t="shared" si="1267"/>
        <v>0</v>
      </c>
      <c r="NN146" s="1976">
        <f t="shared" si="1268"/>
        <v>0</v>
      </c>
      <c r="NO146" s="1976">
        <f t="shared" si="1269"/>
        <v>0</v>
      </c>
      <c r="NP146" s="1976">
        <f t="shared" si="1270"/>
        <v>0</v>
      </c>
      <c r="NQ146" s="1976">
        <f t="shared" si="1271"/>
        <v>0</v>
      </c>
      <c r="NR146" s="1976">
        <f t="shared" si="1272"/>
        <v>0</v>
      </c>
      <c r="NS146" s="1976">
        <f t="shared" si="1273"/>
        <v>0</v>
      </c>
      <c r="NT146" s="1976">
        <f t="shared" si="1274"/>
        <v>0</v>
      </c>
      <c r="NU146" s="1976">
        <f t="shared" si="1275"/>
        <v>0</v>
      </c>
      <c r="NV146" s="1974">
        <f t="shared" si="1276"/>
        <v>0</v>
      </c>
      <c r="NW146" s="1974">
        <f t="shared" si="1277"/>
        <v>0</v>
      </c>
      <c r="NX146" s="1974">
        <f t="shared" si="1278"/>
        <v>0</v>
      </c>
      <c r="NY146" s="1974">
        <f t="shared" si="1279"/>
        <v>0</v>
      </c>
      <c r="NZ146" s="1974">
        <f t="shared" si="1280"/>
        <v>0</v>
      </c>
      <c r="OA146" s="1974">
        <f t="shared" si="1281"/>
        <v>0</v>
      </c>
      <c r="OB146" s="1974">
        <f t="shared" si="1282"/>
        <v>0</v>
      </c>
      <c r="OC146" s="1974">
        <f t="shared" si="1283"/>
        <v>0</v>
      </c>
      <c r="OD146" s="1974">
        <f t="shared" si="1284"/>
        <v>0</v>
      </c>
      <c r="OE146" s="1976">
        <f t="shared" si="1285"/>
        <v>0</v>
      </c>
      <c r="OF146" s="1976">
        <f t="shared" si="1286"/>
        <v>0</v>
      </c>
      <c r="OG146" s="1974">
        <f t="shared" si="1287"/>
        <v>0</v>
      </c>
      <c r="OH146" s="1974">
        <f t="shared" si="1288"/>
        <v>0</v>
      </c>
      <c r="OI146" s="1974">
        <f t="shared" si="1289"/>
        <v>0</v>
      </c>
      <c r="OJ146" s="1974">
        <f t="shared" si="1290"/>
        <v>0</v>
      </c>
      <c r="OK146" s="1974">
        <f t="shared" si="1291"/>
        <v>0</v>
      </c>
      <c r="OL146" s="1974">
        <f t="shared" si="1292"/>
        <v>0</v>
      </c>
      <c r="OM146" s="1974">
        <f t="shared" si="1293"/>
        <v>0</v>
      </c>
      <c r="ON146" s="1974">
        <f t="shared" si="1294"/>
        <v>0</v>
      </c>
      <c r="OO146" s="1974">
        <f t="shared" si="1295"/>
        <v>0</v>
      </c>
      <c r="OP146" s="1978">
        <f t="shared" si="1296"/>
        <v>0</v>
      </c>
      <c r="OQ146" s="1978">
        <f t="shared" si="1297"/>
        <v>0</v>
      </c>
      <c r="OR146" s="1976">
        <f t="shared" si="1298"/>
        <v>0</v>
      </c>
      <c r="OS146" s="1976">
        <f t="shared" si="1299"/>
        <v>0</v>
      </c>
      <c r="OT146" s="1976">
        <f t="shared" si="1300"/>
        <v>0</v>
      </c>
      <c r="OU146" s="1976">
        <f t="shared" si="1301"/>
        <v>0</v>
      </c>
      <c r="OV146" s="1976">
        <f t="shared" si="1302"/>
        <v>0</v>
      </c>
      <c r="OW146" s="1974">
        <f t="shared" si="1303"/>
        <v>0</v>
      </c>
      <c r="OX146" s="1974">
        <f t="shared" si="1304"/>
        <v>0</v>
      </c>
      <c r="OY146" s="1974">
        <f t="shared" si="1305"/>
        <v>0</v>
      </c>
      <c r="OZ146" s="1974">
        <f t="shared" si="1306"/>
        <v>0</v>
      </c>
      <c r="PA146" s="1974">
        <f t="shared" si="1307"/>
        <v>0</v>
      </c>
      <c r="PB146" s="1974">
        <f t="shared" si="1308"/>
        <v>0</v>
      </c>
      <c r="PC146" s="1974">
        <f t="shared" si="1309"/>
        <v>0</v>
      </c>
      <c r="PD146" s="1976">
        <f t="shared" si="1310"/>
        <v>0</v>
      </c>
      <c r="PE146" s="1976">
        <f t="shared" si="1311"/>
        <v>0</v>
      </c>
      <c r="PF146" s="1974">
        <f t="shared" si="1312"/>
        <v>0</v>
      </c>
      <c r="PG146" s="1974">
        <f t="shared" si="1313"/>
        <v>0</v>
      </c>
      <c r="PH146" s="1974">
        <f t="shared" si="1314"/>
        <v>0</v>
      </c>
      <c r="PI146" s="1974">
        <f t="shared" si="1315"/>
        <v>0</v>
      </c>
      <c r="PJ146" s="1974">
        <f t="shared" si="1316"/>
        <v>0</v>
      </c>
      <c r="PK146" s="1974">
        <f t="shared" si="1317"/>
        <v>0</v>
      </c>
      <c r="PL146" s="1974">
        <f t="shared" si="1318"/>
        <v>0</v>
      </c>
      <c r="PM146" s="562">
        <v>90</v>
      </c>
    </row>
    <row r="147" spans="1:429" s="289" customFormat="1" ht="15.75" customHeight="1">
      <c r="A147" s="1935" t="s">
        <v>1309</v>
      </c>
      <c r="B147" s="1040" t="str">
        <f>VLOOKUP(A147,'Area (&amp;golfacre for lookup)'!$A$2:$B$162,2,FALSE)</f>
        <v>SW exc CIRA</v>
      </c>
      <c r="C147" s="1936"/>
      <c r="D147" s="1937">
        <v>44834</v>
      </c>
      <c r="E147" s="402"/>
      <c r="F147" s="1936">
        <v>1</v>
      </c>
      <c r="G147" s="1936">
        <v>0</v>
      </c>
      <c r="H147" s="1936">
        <v>600</v>
      </c>
      <c r="I147" s="1936">
        <v>457</v>
      </c>
      <c r="J147" s="1936">
        <v>1057</v>
      </c>
      <c r="K147" s="1938">
        <v>888.12421580928481</v>
      </c>
      <c r="L147" s="1939" t="s">
        <v>1208</v>
      </c>
      <c r="M147" s="1939" t="s">
        <v>1208</v>
      </c>
      <c r="N147" s="1939" t="s">
        <v>1208</v>
      </c>
      <c r="O147" s="1939" t="s">
        <v>1208</v>
      </c>
      <c r="P147" s="1939" t="s">
        <v>1208</v>
      </c>
      <c r="Q147" s="1936">
        <v>0</v>
      </c>
      <c r="R147" s="1936">
        <v>150000</v>
      </c>
      <c r="S147" s="1936">
        <v>150000</v>
      </c>
      <c r="T147" s="1939" t="s">
        <v>1208</v>
      </c>
      <c r="U147" s="1939" t="s">
        <v>1208</v>
      </c>
      <c r="V147" s="1939" t="s">
        <v>1208</v>
      </c>
      <c r="W147" s="1936">
        <v>17654</v>
      </c>
      <c r="X147" s="1936">
        <v>15940</v>
      </c>
      <c r="Y147" s="1939" t="s">
        <v>1208</v>
      </c>
      <c r="Z147" s="1939" t="s">
        <v>1208</v>
      </c>
      <c r="AA147" s="1936">
        <v>1714</v>
      </c>
      <c r="AB147" s="1362">
        <v>0.10752823086574655</v>
      </c>
      <c r="AC147" s="1939" t="s">
        <v>1208</v>
      </c>
      <c r="AD147" s="1363" t="s">
        <v>1208</v>
      </c>
      <c r="AE147" s="1936">
        <v>1</v>
      </c>
      <c r="AF147" s="1936">
        <v>2500</v>
      </c>
      <c r="AG147" s="1939" t="s">
        <v>1208</v>
      </c>
      <c r="AH147" s="1936">
        <v>0</v>
      </c>
      <c r="AI147" s="1936">
        <v>0</v>
      </c>
      <c r="AJ147" s="1939" t="s">
        <v>1208</v>
      </c>
      <c r="AK147" s="1938">
        <v>0</v>
      </c>
      <c r="AL147" s="1938">
        <v>0</v>
      </c>
      <c r="AM147" s="1936">
        <v>18440</v>
      </c>
      <c r="AN147" s="1939" t="s">
        <v>1208</v>
      </c>
      <c r="AO147" s="1936">
        <v>0</v>
      </c>
      <c r="AP147" s="1936">
        <v>760</v>
      </c>
      <c r="AQ147" s="1936">
        <v>19200</v>
      </c>
      <c r="AR147" s="1939" t="s">
        <v>1208</v>
      </c>
      <c r="AS147" s="1363" t="s">
        <v>1208</v>
      </c>
      <c r="AT147" s="1363" t="s">
        <v>1208</v>
      </c>
      <c r="AU147" s="1363" t="s">
        <v>1208</v>
      </c>
      <c r="AV147" s="1363" t="s">
        <v>1208</v>
      </c>
      <c r="AW147" s="1363" t="s">
        <v>1291</v>
      </c>
      <c r="AX147" s="1938">
        <v>1</v>
      </c>
      <c r="AY147" s="1938">
        <v>1</v>
      </c>
      <c r="AZ147" s="1938">
        <v>0</v>
      </c>
      <c r="BA147" s="1938">
        <v>0</v>
      </c>
      <c r="BB147" s="1938">
        <v>0</v>
      </c>
      <c r="BC147" s="1938">
        <v>0</v>
      </c>
      <c r="BD147" s="1938">
        <v>0</v>
      </c>
      <c r="BE147" s="1936">
        <v>0</v>
      </c>
      <c r="BF147" s="1936">
        <v>0</v>
      </c>
      <c r="BG147" s="1936">
        <v>5709818</v>
      </c>
      <c r="BH147" s="1936">
        <v>5709818</v>
      </c>
      <c r="BI147" s="1938">
        <v>34457112</v>
      </c>
      <c r="BJ147" s="1936">
        <v>4318452</v>
      </c>
      <c r="BK147" s="1936">
        <v>5539439</v>
      </c>
      <c r="BL147" s="1362">
        <v>0.77958291444314132</v>
      </c>
      <c r="BM147" s="1936">
        <v>1</v>
      </c>
      <c r="BN147" s="1936">
        <v>7363</v>
      </c>
      <c r="BO147" s="1363" t="s">
        <v>1208</v>
      </c>
      <c r="BP147" s="1938">
        <v>24790344</v>
      </c>
      <c r="BQ147" s="1938">
        <v>17102548</v>
      </c>
      <c r="BR147" s="1940">
        <v>1.4495117335732663</v>
      </c>
      <c r="BS147" s="1409">
        <v>1</v>
      </c>
      <c r="BT147" s="1938">
        <v>18972948</v>
      </c>
      <c r="BU147" s="1938">
        <v>42393298</v>
      </c>
      <c r="BV147" s="1940">
        <v>0.44754593049118285</v>
      </c>
      <c r="BW147" s="1936">
        <v>8.2905069684319095</v>
      </c>
      <c r="BX147" s="1936">
        <v>4862.4414503380021</v>
      </c>
      <c r="BY147" s="1936">
        <v>6429.0759089335788</v>
      </c>
      <c r="BZ147" s="1936">
        <v>2127119</v>
      </c>
      <c r="CA147" s="1936">
        <v>44682</v>
      </c>
      <c r="CB147" s="1936">
        <v>0</v>
      </c>
      <c r="CC147" s="1936">
        <v>158118</v>
      </c>
      <c r="CD147" s="1936">
        <v>14156700</v>
      </c>
      <c r="CE147" s="1936">
        <v>0</v>
      </c>
      <c r="CF147" s="1936">
        <v>0</v>
      </c>
      <c r="CG147" s="1936">
        <v>4135942</v>
      </c>
      <c r="CH147" s="1936">
        <v>2698381</v>
      </c>
      <c r="CI147" s="1936">
        <v>232448</v>
      </c>
      <c r="CJ147" s="1936">
        <v>23553390</v>
      </c>
      <c r="CK147" s="1366">
        <v>9.0310524302446488E-2</v>
      </c>
      <c r="CL147" s="1366">
        <v>1.8970517619756647E-3</v>
      </c>
      <c r="CM147" s="1366">
        <v>0</v>
      </c>
      <c r="CN147" s="1366">
        <v>6.7131737724378526E-3</v>
      </c>
      <c r="CO147" s="1366">
        <v>0.6010472377861531</v>
      </c>
      <c r="CP147" s="1366">
        <v>0</v>
      </c>
      <c r="CQ147" s="1366">
        <v>0</v>
      </c>
      <c r="CR147" s="1366">
        <v>0.17559858687008537</v>
      </c>
      <c r="CS147" s="1366">
        <v>0.11456444274051421</v>
      </c>
      <c r="CT147" s="1366">
        <v>9.8689827663873443E-3</v>
      </c>
      <c r="CU147" s="1366">
        <v>1</v>
      </c>
      <c r="CV147" s="1936">
        <v>12484211</v>
      </c>
      <c r="CW147" s="1936">
        <v>3267588</v>
      </c>
      <c r="CX147" s="1936">
        <v>0</v>
      </c>
      <c r="CY147" s="1936">
        <v>7111037</v>
      </c>
      <c r="CZ147" s="1936">
        <v>241946</v>
      </c>
      <c r="DA147" s="1936">
        <v>646903</v>
      </c>
      <c r="DB147" s="1936">
        <v>23751685</v>
      </c>
      <c r="DC147" s="1366">
        <v>0.52561369856496498</v>
      </c>
      <c r="DD147" s="1366">
        <v>0.13757289219691152</v>
      </c>
      <c r="DE147" s="1366">
        <v>0</v>
      </c>
      <c r="DF147" s="1366">
        <v>0.29939084321807063</v>
      </c>
      <c r="DG147" s="1366">
        <v>1.0186477296242351E-2</v>
      </c>
      <c r="DH147" s="1366">
        <v>2.7236088723810541E-2</v>
      </c>
      <c r="DI147" s="1366">
        <v>1</v>
      </c>
      <c r="DJ147" s="1936">
        <v>-198295</v>
      </c>
      <c r="DK147" s="1936">
        <v>2395.0692506021883</v>
      </c>
      <c r="DL147" s="1936">
        <v>50.310529996397463</v>
      </c>
      <c r="DM147" s="1936">
        <v>0</v>
      </c>
      <c r="DN147" s="1936">
        <v>178.03590667316536</v>
      </c>
      <c r="DO147" s="1936">
        <v>15940</v>
      </c>
      <c r="DP147" s="1936">
        <v>0</v>
      </c>
      <c r="DQ147" s="1936">
        <v>0</v>
      </c>
      <c r="DR147" s="1936">
        <v>4656.9409170216222</v>
      </c>
      <c r="DS147" s="1936">
        <v>3038.2923379036074</v>
      </c>
      <c r="DT147" s="1936">
        <v>261.72915439332616</v>
      </c>
      <c r="DU147" s="1936">
        <v>26520.378096590306</v>
      </c>
      <c r="DV147" s="1936">
        <v>14056.829864304535</v>
      </c>
      <c r="DW147" s="1936">
        <v>3679.2015596855199</v>
      </c>
      <c r="DX147" s="1936">
        <v>0</v>
      </c>
      <c r="DY147" s="1936">
        <v>8006.8045363679394</v>
      </c>
      <c r="DZ147" s="1936">
        <v>272.42360437107516</v>
      </c>
      <c r="EA147" s="1936">
        <v>728.39247988584907</v>
      </c>
      <c r="EB147" s="1936">
        <v>26743.652044614919</v>
      </c>
      <c r="EC147" s="1936">
        <v>-223.27394802461026</v>
      </c>
      <c r="ED147" s="1941">
        <v>196</v>
      </c>
      <c r="EE147" s="1936">
        <v>1</v>
      </c>
      <c r="EF147" s="1936">
        <v>50</v>
      </c>
      <c r="EG147" s="1938">
        <v>599752</v>
      </c>
      <c r="EH147" s="1938">
        <v>1</v>
      </c>
      <c r="EI147" s="1368">
        <v>0.05</v>
      </c>
      <c r="EJ147" s="1936">
        <v>4.5312459990269636</v>
      </c>
      <c r="EK147" s="1936">
        <v>0</v>
      </c>
      <c r="EL147" s="1936">
        <v>0</v>
      </c>
      <c r="EM147" s="1936">
        <v>0</v>
      </c>
      <c r="EN147" s="1362">
        <v>0</v>
      </c>
      <c r="EO147" s="1936">
        <v>1</v>
      </c>
      <c r="EP147" s="1936">
        <v>63.333333333333336</v>
      </c>
      <c r="EQ147" s="1936">
        <v>0</v>
      </c>
      <c r="ER147" s="1938">
        <v>0</v>
      </c>
      <c r="ES147" s="1936">
        <v>7695.2332549252296</v>
      </c>
      <c r="ET147" s="1936">
        <v>-3617.3232784476613</v>
      </c>
      <c r="EU147" s="1938">
        <v>2</v>
      </c>
      <c r="EV147" s="1936">
        <v>82356</v>
      </c>
      <c r="EW147" s="1936">
        <v>1758</v>
      </c>
      <c r="EX147" s="1938">
        <v>0</v>
      </c>
      <c r="EY147" s="1936">
        <v>4135942</v>
      </c>
      <c r="EZ147" s="1936">
        <v>1688411</v>
      </c>
      <c r="FA147" s="1936">
        <v>2447531</v>
      </c>
      <c r="FB147" s="1936">
        <v>2698381</v>
      </c>
      <c r="FC147" s="1936">
        <v>1579177</v>
      </c>
      <c r="FD147" s="1936">
        <v>1119204</v>
      </c>
      <c r="FE147" s="1936">
        <v>6834323</v>
      </c>
      <c r="FF147" s="1936">
        <v>3267588</v>
      </c>
      <c r="FG147" s="1936">
        <v>3566735</v>
      </c>
      <c r="FH147" s="1366">
        <v>1</v>
      </c>
      <c r="FI147" s="1366">
        <v>0.4082288871555742</v>
      </c>
      <c r="FJ147" s="1366">
        <v>0.59177111284442574</v>
      </c>
      <c r="FK147" s="1366">
        <v>1</v>
      </c>
      <c r="FL147" s="1366">
        <v>0.58523129239347593</v>
      </c>
      <c r="FM147" s="1366">
        <v>0.41476870760652407</v>
      </c>
      <c r="FN147" s="1366">
        <v>1</v>
      </c>
      <c r="FO147" s="1366">
        <v>0.47811436480248298</v>
      </c>
      <c r="FP147" s="1366">
        <v>0.52188563519751696</v>
      </c>
      <c r="FQ147" s="1936">
        <v>5463528</v>
      </c>
      <c r="FR147" s="1936">
        <v>-1366864.6</v>
      </c>
      <c r="FS147" s="1936">
        <v>1166589</v>
      </c>
      <c r="FT147" s="1936">
        <v>98092</v>
      </c>
      <c r="FU147" s="1936">
        <v>138580</v>
      </c>
      <c r="FV147" s="1936">
        <v>139712</v>
      </c>
      <c r="FW147" s="1936">
        <v>1139731</v>
      </c>
      <c r="FX147" s="1936">
        <v>6779367.4000000004</v>
      </c>
      <c r="FY147" s="1936">
        <v>-3212632.4000000004</v>
      </c>
      <c r="FZ147" s="1366">
        <v>0.7994249028031013</v>
      </c>
      <c r="GA147" s="1366">
        <v>-0.2</v>
      </c>
      <c r="GB147" s="1366">
        <v>0.17069561974170669</v>
      </c>
      <c r="GC147" s="1366">
        <v>1.4352848116777624E-2</v>
      </c>
      <c r="GD147" s="1366">
        <v>2.027706328776091E-2</v>
      </c>
      <c r="GE147" s="1366">
        <v>2.0442697835615906E-2</v>
      </c>
      <c r="GF147" s="1366">
        <v>0.16676574987749335</v>
      </c>
      <c r="GG147" s="1366">
        <v>0.99195888166245583</v>
      </c>
      <c r="GH147" s="1366">
        <v>-0.47007324646493887</v>
      </c>
      <c r="GI147" s="1942">
        <v>1.5327494523568022</v>
      </c>
      <c r="GJ147" s="1943">
        <v>1</v>
      </c>
      <c r="GK147" s="1371">
        <v>0.04</v>
      </c>
      <c r="GL147" s="1943">
        <v>0</v>
      </c>
      <c r="GM147" s="1371">
        <v>0</v>
      </c>
      <c r="GN147" s="1943">
        <v>0</v>
      </c>
      <c r="GO147" s="1985">
        <f>IF(GN147=0,0,VLOOKUP(A147,'Area (&amp;golfacre for lookup)'!$G$2:$H$133,2,FALSE))</f>
        <v>0</v>
      </c>
      <c r="GP147" s="1943">
        <v>0</v>
      </c>
      <c r="GQ147" s="1943">
        <v>0</v>
      </c>
      <c r="GR147" s="1943">
        <v>0</v>
      </c>
      <c r="GS147" s="1943">
        <v>0</v>
      </c>
      <c r="GT147" s="1943">
        <v>0</v>
      </c>
      <c r="GU147" s="1943">
        <v>0</v>
      </c>
      <c r="GV147" s="1943">
        <v>0</v>
      </c>
      <c r="GW147" s="1943">
        <v>0</v>
      </c>
      <c r="GX147" s="1936">
        <v>0</v>
      </c>
      <c r="GY147" s="1985">
        <f t="shared" si="1319"/>
        <v>0</v>
      </c>
      <c r="GZ147" s="1936">
        <v>0</v>
      </c>
      <c r="HA147" s="1936">
        <v>0</v>
      </c>
      <c r="HB147" s="1936">
        <v>0</v>
      </c>
      <c r="HC147" s="1936">
        <v>0</v>
      </c>
      <c r="HD147" s="1936">
        <v>0</v>
      </c>
      <c r="HE147" s="1936">
        <v>0</v>
      </c>
      <c r="HF147" s="1936">
        <v>0</v>
      </c>
      <c r="HG147" s="1936">
        <v>36</v>
      </c>
      <c r="HH147" s="1988">
        <f>IF(HG147=0,0,VLOOKUP(A147,'Area (&amp;golfacre for lookup)'!$G$2:$H$134,2,FALSE))</f>
        <v>220</v>
      </c>
      <c r="HI147" s="1936">
        <v>46804</v>
      </c>
      <c r="HJ147" s="1936">
        <v>2435924</v>
      </c>
      <c r="HK147" s="1936">
        <v>616490</v>
      </c>
      <c r="HL147" s="1936">
        <v>1032658</v>
      </c>
      <c r="HM147" s="1936">
        <v>473656</v>
      </c>
      <c r="HN147" s="1936">
        <v>0</v>
      </c>
      <c r="HO147" s="1936">
        <v>358112</v>
      </c>
      <c r="HP147" s="1936">
        <v>4916840</v>
      </c>
      <c r="HQ147" s="1936">
        <v>136578.88888888888</v>
      </c>
      <c r="HR147" s="1988">
        <f t="shared" si="1320"/>
        <v>22349.272727272728</v>
      </c>
      <c r="HS147" s="1366">
        <v>0.4954247036714638</v>
      </c>
      <c r="HT147" s="1366">
        <v>0.1253833763148689</v>
      </c>
      <c r="HU147" s="1366">
        <v>0.21002473133150559</v>
      </c>
      <c r="HV147" s="1366">
        <v>9.6333417398166296E-2</v>
      </c>
      <c r="HW147" s="1366">
        <v>0</v>
      </c>
      <c r="HX147" s="1366">
        <v>7.2833771283995416E-2</v>
      </c>
      <c r="HY147" s="1366">
        <v>1</v>
      </c>
      <c r="HZ147" s="51"/>
      <c r="IA147" s="59">
        <f t="shared" si="1136"/>
        <v>0</v>
      </c>
      <c r="IB147" s="59"/>
      <c r="IC147" s="815">
        <f t="shared" si="1137"/>
        <v>1</v>
      </c>
      <c r="ID147" s="815"/>
      <c r="IE147" s="284">
        <f t="shared" si="1138"/>
        <v>0</v>
      </c>
      <c r="IF147" s="284"/>
      <c r="IG147" s="284">
        <f t="shared" si="1139"/>
        <v>38797.62693848143</v>
      </c>
      <c r="IH147" s="284"/>
      <c r="II147" s="1288">
        <f t="shared" si="1140"/>
        <v>1.4495117335732663</v>
      </c>
      <c r="IJ147" s="1288">
        <f t="shared" si="1141"/>
        <v>0</v>
      </c>
      <c r="IK147" s="284">
        <f t="shared" si="1142"/>
        <v>0</v>
      </c>
      <c r="IL147" s="284">
        <f t="shared" si="1143"/>
        <v>0</v>
      </c>
      <c r="IM147" s="284">
        <f t="shared" si="1144"/>
        <v>0</v>
      </c>
      <c r="IN147" s="284">
        <f t="shared" si="1145"/>
        <v>0</v>
      </c>
      <c r="IO147" s="753">
        <f t="shared" si="1146"/>
        <v>-3039.3873226111641</v>
      </c>
      <c r="IP147" s="113">
        <f t="shared" si="1147"/>
        <v>-3617.3232784476613</v>
      </c>
      <c r="IQ147" s="30">
        <f t="shared" si="1148"/>
        <v>-0.22693370630160986</v>
      </c>
      <c r="IR147" s="438">
        <f t="shared" si="1149"/>
        <v>4135942</v>
      </c>
      <c r="IS147" s="438">
        <f t="shared" si="1150"/>
        <v>2698381</v>
      </c>
      <c r="IT147" s="438">
        <f t="shared" si="1151"/>
        <v>5463528</v>
      </c>
      <c r="IU147" s="438">
        <f t="shared" si="1152"/>
        <v>1264681</v>
      </c>
      <c r="IV147" s="438">
        <f t="shared" si="1153"/>
        <v>3267588</v>
      </c>
      <c r="IW147" s="438">
        <f t="shared" si="1154"/>
        <v>51158.399999999907</v>
      </c>
      <c r="IX147" s="285">
        <f t="shared" si="1155"/>
        <v>0.60517215823718018</v>
      </c>
      <c r="IY147" s="285">
        <f t="shared" si="1156"/>
        <v>0.39482784176281982</v>
      </c>
      <c r="IZ147" s="285">
        <f t="shared" si="1157"/>
        <v>0.7994249028031013</v>
      </c>
      <c r="JA147" s="285">
        <f t="shared" si="1158"/>
        <v>0.18504846785848431</v>
      </c>
      <c r="JB147" s="285">
        <f t="shared" si="1159"/>
        <v>0.47811436480248298</v>
      </c>
      <c r="JC147" s="285">
        <f t="shared" si="1160"/>
        <v>7.4855110008701532E-3</v>
      </c>
      <c r="JD147" s="60">
        <f t="shared" si="1161"/>
        <v>14156700</v>
      </c>
      <c r="JE147" s="60">
        <f t="shared" si="1162"/>
        <v>2329919</v>
      </c>
      <c r="JF147" s="60">
        <f t="shared" si="1163"/>
        <v>0</v>
      </c>
      <c r="JG147" s="60">
        <f t="shared" si="1164"/>
        <v>888849</v>
      </c>
      <c r="JH147" s="284">
        <f t="shared" si="1165"/>
        <v>0</v>
      </c>
      <c r="JI147" s="284">
        <f t="shared" si="1166"/>
        <v>0</v>
      </c>
      <c r="JJ147" s="560">
        <f t="shared" si="1167"/>
        <v>0</v>
      </c>
      <c r="JK147" s="561">
        <f t="shared" si="1168"/>
        <v>0.53003881819135168</v>
      </c>
      <c r="JL147" s="561">
        <f t="shared" si="1169"/>
        <v>0.13873111259143589</v>
      </c>
      <c r="JM147" s="561">
        <f t="shared" si="1170"/>
        <v>0</v>
      </c>
      <c r="JN147" s="561">
        <f t="shared" si="1171"/>
        <v>0.30191140213786638</v>
      </c>
      <c r="JO147" s="561">
        <f t="shared" si="1172"/>
        <v>1.0272236820262392E-2</v>
      </c>
      <c r="JP147" s="561">
        <f t="shared" si="1173"/>
        <v>2.7465388209510392E-2</v>
      </c>
      <c r="JQ147" s="561">
        <f t="shared" si="1174"/>
        <v>1.0084189579504268</v>
      </c>
      <c r="JR147" s="61">
        <f t="shared" si="1175"/>
        <v>0</v>
      </c>
      <c r="JS147" s="61">
        <f t="shared" si="1176"/>
        <v>0</v>
      </c>
      <c r="JT147" s="61">
        <f t="shared" si="1177"/>
        <v>0</v>
      </c>
      <c r="JU147" s="61">
        <f t="shared" si="1178"/>
        <v>0</v>
      </c>
      <c r="JV147" s="61">
        <f t="shared" si="1179"/>
        <v>0</v>
      </c>
      <c r="JW147" s="61">
        <f t="shared" si="1180"/>
        <v>0</v>
      </c>
      <c r="JX147" s="61">
        <f t="shared" si="1181"/>
        <v>0</v>
      </c>
      <c r="JY147" s="394">
        <f t="shared" si="1182"/>
        <v>0</v>
      </c>
      <c r="JZ147" s="61">
        <f t="shared" si="1183"/>
        <v>67664.555555555562</v>
      </c>
      <c r="KA147" s="61">
        <f t="shared" si="1184"/>
        <v>17124.722222222223</v>
      </c>
      <c r="KB147" s="61">
        <f t="shared" si="1185"/>
        <v>28684.944444444445</v>
      </c>
      <c r="KC147" s="61">
        <f t="shared" si="1186"/>
        <v>13157.111111111111</v>
      </c>
      <c r="KD147" s="61">
        <f t="shared" si="1187"/>
        <v>0</v>
      </c>
      <c r="KE147" s="61">
        <f t="shared" si="1188"/>
        <v>9947.5555555555547</v>
      </c>
      <c r="KF147" s="61">
        <f t="shared" si="1189"/>
        <v>23400</v>
      </c>
      <c r="KG147" s="61">
        <f t="shared" si="1190"/>
        <v>220</v>
      </c>
      <c r="KH147" s="61">
        <f t="shared" si="1191"/>
        <v>105.05170498248013</v>
      </c>
      <c r="KI147" s="394">
        <f t="shared" si="1192"/>
        <v>0.20701015527950964</v>
      </c>
      <c r="KJ147" s="438">
        <f t="shared" si="1193"/>
        <v>36</v>
      </c>
      <c r="KK147" s="438">
        <f t="shared" si="1194"/>
        <v>46804</v>
      </c>
      <c r="KL147" s="438">
        <f t="shared" si="1195"/>
        <v>220</v>
      </c>
      <c r="KM147" s="438">
        <f t="shared" si="1196"/>
        <v>136578.88888888888</v>
      </c>
      <c r="KN147" s="438">
        <f t="shared" si="1197"/>
        <v>105.05170498248013</v>
      </c>
      <c r="KO147" s="438">
        <f t="shared" si="1198"/>
        <v>22349.272727272728</v>
      </c>
      <c r="KP147" s="438">
        <f t="shared" si="1199"/>
        <v>2435924</v>
      </c>
      <c r="KQ147" s="438">
        <f t="shared" si="1200"/>
        <v>616490</v>
      </c>
      <c r="KR147" s="438">
        <f t="shared" si="1201"/>
        <v>1032658</v>
      </c>
      <c r="KS147" s="438">
        <f t="shared" si="1202"/>
        <v>473656</v>
      </c>
      <c r="KT147" s="438">
        <f t="shared" si="1203"/>
        <v>0</v>
      </c>
      <c r="KU147" s="438">
        <f t="shared" si="1204"/>
        <v>358112</v>
      </c>
      <c r="KV147" s="420">
        <f t="shared" si="1205"/>
        <v>0.20701015527950964</v>
      </c>
      <c r="KW147" s="420">
        <f t="shared" si="1206"/>
        <v>-0.32201911462417088</v>
      </c>
      <c r="KX147" s="108"/>
      <c r="KY147" s="282">
        <f t="shared" si="1207"/>
        <v>0</v>
      </c>
      <c r="KZ147" s="282"/>
      <c r="LA147" s="282">
        <f t="shared" si="1208"/>
        <v>0</v>
      </c>
      <c r="LB147" s="282"/>
      <c r="LC147" s="286">
        <f t="shared" si="1321"/>
        <v>0</v>
      </c>
      <c r="LD147" s="286"/>
      <c r="LE147" s="282">
        <f t="shared" si="1209"/>
        <v>0</v>
      </c>
      <c r="LF147" s="282"/>
      <c r="LG147" s="282">
        <f t="shared" si="1210"/>
        <v>0</v>
      </c>
      <c r="LH147" s="282">
        <f t="shared" si="1211"/>
        <v>0</v>
      </c>
      <c r="LI147" s="282">
        <f t="shared" si="1212"/>
        <v>0</v>
      </c>
      <c r="LJ147" s="282">
        <f t="shared" si="1213"/>
        <v>0</v>
      </c>
      <c r="LK147" s="282"/>
      <c r="LL147" s="282">
        <f t="shared" si="1214"/>
        <v>0</v>
      </c>
      <c r="LM147" s="282">
        <f t="shared" si="1215"/>
        <v>0</v>
      </c>
      <c r="LN147" s="282">
        <f t="shared" si="1216"/>
        <v>0</v>
      </c>
      <c r="LO147" s="282">
        <f t="shared" si="1217"/>
        <v>0</v>
      </c>
      <c r="LP147" s="286">
        <f t="shared" si="1218"/>
        <v>0</v>
      </c>
      <c r="LQ147" s="282">
        <f t="shared" si="1219"/>
        <v>0</v>
      </c>
      <c r="LR147" s="282">
        <f t="shared" si="1220"/>
        <v>0</v>
      </c>
      <c r="LS147" s="282">
        <f t="shared" si="1221"/>
        <v>0</v>
      </c>
      <c r="LT147" s="286">
        <f t="shared" si="1222"/>
        <v>0</v>
      </c>
      <c r="LU147" s="286">
        <f t="shared" si="1223"/>
        <v>0</v>
      </c>
      <c r="LV147" s="286">
        <f t="shared" si="1224"/>
        <v>0</v>
      </c>
      <c r="LW147" s="286">
        <f t="shared" si="1225"/>
        <v>0</v>
      </c>
      <c r="LX147" s="286">
        <f t="shared" si="1226"/>
        <v>0</v>
      </c>
      <c r="LY147" s="286">
        <f t="shared" si="1227"/>
        <v>0</v>
      </c>
      <c r="LZ147" s="286">
        <f t="shared" si="1228"/>
        <v>0</v>
      </c>
      <c r="MA147" s="286">
        <f t="shared" si="1229"/>
        <v>0</v>
      </c>
      <c r="MB147" s="286">
        <f t="shared" si="1230"/>
        <v>0</v>
      </c>
      <c r="MC147" s="286">
        <f t="shared" si="1231"/>
        <v>0</v>
      </c>
      <c r="MD147" s="286">
        <f t="shared" si="1232"/>
        <v>0</v>
      </c>
      <c r="ME147" s="286">
        <f t="shared" si="1233"/>
        <v>0</v>
      </c>
      <c r="MF147" s="286">
        <f t="shared" si="1234"/>
        <v>0</v>
      </c>
      <c r="MG147" s="286">
        <f t="shared" si="1235"/>
        <v>0</v>
      </c>
      <c r="MH147" s="286">
        <f t="shared" si="1236"/>
        <v>0</v>
      </c>
      <c r="MI147" s="286">
        <f t="shared" si="1237"/>
        <v>0</v>
      </c>
      <c r="MJ147" s="286">
        <f t="shared" si="1238"/>
        <v>0</v>
      </c>
      <c r="MK147" s="286">
        <f t="shared" si="1239"/>
        <v>0</v>
      </c>
      <c r="ML147" s="282">
        <f t="shared" si="1240"/>
        <v>0</v>
      </c>
      <c r="MM147" s="1232">
        <f t="shared" si="1241"/>
        <v>0</v>
      </c>
      <c r="MN147" s="1232">
        <f t="shared" si="1242"/>
        <v>0</v>
      </c>
      <c r="MO147" s="1232">
        <f t="shared" si="1243"/>
        <v>0</v>
      </c>
      <c r="MP147" s="1232">
        <f t="shared" si="1244"/>
        <v>0</v>
      </c>
      <c r="MQ147" s="282">
        <f t="shared" si="1245"/>
        <v>0</v>
      </c>
      <c r="MR147" s="282">
        <f t="shared" si="1246"/>
        <v>0</v>
      </c>
      <c r="MS147" s="282">
        <f t="shared" si="1247"/>
        <v>0</v>
      </c>
      <c r="MT147" s="282">
        <f t="shared" si="1248"/>
        <v>0</v>
      </c>
      <c r="MU147" s="282">
        <f t="shared" si="1249"/>
        <v>0</v>
      </c>
      <c r="MV147" s="282">
        <f t="shared" si="1250"/>
        <v>0</v>
      </c>
      <c r="MW147" s="282">
        <f t="shared" si="1251"/>
        <v>0</v>
      </c>
      <c r="MX147" s="282">
        <f t="shared" si="1252"/>
        <v>0</v>
      </c>
      <c r="MY147" s="282">
        <f t="shared" si="1253"/>
        <v>0</v>
      </c>
      <c r="MZ147" s="282">
        <f t="shared" si="1254"/>
        <v>0</v>
      </c>
      <c r="NA147" s="282">
        <f t="shared" si="1255"/>
        <v>0</v>
      </c>
      <c r="NB147" s="282">
        <f t="shared" si="1256"/>
        <v>0</v>
      </c>
      <c r="NC147" s="282">
        <f t="shared" si="1257"/>
        <v>0</v>
      </c>
      <c r="ND147" s="282">
        <f t="shared" si="1258"/>
        <v>0</v>
      </c>
      <c r="NE147" s="282">
        <f t="shared" si="1259"/>
        <v>0</v>
      </c>
      <c r="NF147" s="282">
        <f t="shared" si="1260"/>
        <v>0</v>
      </c>
      <c r="NG147" s="282">
        <f t="shared" si="1261"/>
        <v>0</v>
      </c>
      <c r="NH147" s="282">
        <f t="shared" si="1262"/>
        <v>0</v>
      </c>
      <c r="NI147" s="282">
        <f t="shared" si="1263"/>
        <v>0</v>
      </c>
      <c r="NJ147" s="282">
        <f t="shared" si="1264"/>
        <v>0</v>
      </c>
      <c r="NK147" s="282">
        <f t="shared" si="1265"/>
        <v>0</v>
      </c>
      <c r="NL147" s="282">
        <f t="shared" si="1266"/>
        <v>0</v>
      </c>
      <c r="NM147" s="1205">
        <f t="shared" si="1267"/>
        <v>0</v>
      </c>
      <c r="NN147" s="282">
        <f t="shared" si="1268"/>
        <v>0</v>
      </c>
      <c r="NO147" s="282">
        <f t="shared" si="1269"/>
        <v>0</v>
      </c>
      <c r="NP147" s="282">
        <f t="shared" si="1270"/>
        <v>0</v>
      </c>
      <c r="NQ147" s="282">
        <f t="shared" si="1271"/>
        <v>0</v>
      </c>
      <c r="NR147" s="282">
        <f t="shared" si="1272"/>
        <v>0</v>
      </c>
      <c r="NS147" s="282">
        <f t="shared" si="1273"/>
        <v>0</v>
      </c>
      <c r="NT147" s="282">
        <f t="shared" si="1274"/>
        <v>0</v>
      </c>
      <c r="NU147" s="282">
        <f t="shared" si="1275"/>
        <v>0</v>
      </c>
      <c r="NV147" s="286">
        <f t="shared" si="1276"/>
        <v>0</v>
      </c>
      <c r="NW147" s="286">
        <f t="shared" si="1277"/>
        <v>0</v>
      </c>
      <c r="NX147" s="286">
        <f t="shared" si="1278"/>
        <v>0</v>
      </c>
      <c r="NY147" s="286">
        <f t="shared" si="1279"/>
        <v>0</v>
      </c>
      <c r="NZ147" s="286">
        <f t="shared" si="1280"/>
        <v>0</v>
      </c>
      <c r="OA147" s="286">
        <f t="shared" si="1281"/>
        <v>0</v>
      </c>
      <c r="OB147" s="286">
        <f t="shared" si="1282"/>
        <v>0</v>
      </c>
      <c r="OC147" s="286">
        <f t="shared" si="1283"/>
        <v>0</v>
      </c>
      <c r="OD147" s="286">
        <f t="shared" si="1284"/>
        <v>0</v>
      </c>
      <c r="OE147" s="282">
        <f t="shared" si="1285"/>
        <v>0</v>
      </c>
      <c r="OF147" s="282">
        <f t="shared" si="1286"/>
        <v>0</v>
      </c>
      <c r="OG147" s="286">
        <f t="shared" si="1287"/>
        <v>0</v>
      </c>
      <c r="OH147" s="286">
        <f t="shared" si="1288"/>
        <v>0</v>
      </c>
      <c r="OI147" s="286">
        <f t="shared" si="1289"/>
        <v>0</v>
      </c>
      <c r="OJ147" s="286">
        <f t="shared" si="1290"/>
        <v>0</v>
      </c>
      <c r="OK147" s="286">
        <f t="shared" si="1291"/>
        <v>0</v>
      </c>
      <c r="OL147" s="286">
        <f t="shared" si="1292"/>
        <v>0</v>
      </c>
      <c r="OM147" s="286">
        <f t="shared" si="1293"/>
        <v>0</v>
      </c>
      <c r="ON147" s="286">
        <f t="shared" si="1294"/>
        <v>0</v>
      </c>
      <c r="OO147" s="286">
        <f t="shared" si="1295"/>
        <v>0</v>
      </c>
      <c r="OP147" s="434">
        <f t="shared" si="1296"/>
        <v>0</v>
      </c>
      <c r="OQ147" s="434">
        <f t="shared" si="1297"/>
        <v>0</v>
      </c>
      <c r="OR147" s="282">
        <f t="shared" si="1298"/>
        <v>0</v>
      </c>
      <c r="OS147" s="282">
        <f t="shared" si="1299"/>
        <v>0</v>
      </c>
      <c r="OT147" s="282">
        <f t="shared" si="1300"/>
        <v>0</v>
      </c>
      <c r="OU147" s="282">
        <f t="shared" si="1301"/>
        <v>0</v>
      </c>
      <c r="OV147" s="282">
        <f t="shared" si="1302"/>
        <v>0</v>
      </c>
      <c r="OW147" s="286">
        <f t="shared" si="1303"/>
        <v>0</v>
      </c>
      <c r="OX147" s="286">
        <f t="shared" si="1304"/>
        <v>0</v>
      </c>
      <c r="OY147" s="286">
        <f t="shared" si="1305"/>
        <v>0</v>
      </c>
      <c r="OZ147" s="286">
        <f t="shared" si="1306"/>
        <v>0</v>
      </c>
      <c r="PA147" s="286">
        <f t="shared" si="1307"/>
        <v>0</v>
      </c>
      <c r="PB147" s="286">
        <f t="shared" si="1308"/>
        <v>0</v>
      </c>
      <c r="PC147" s="286">
        <f t="shared" si="1309"/>
        <v>0</v>
      </c>
      <c r="PD147" s="282">
        <f t="shared" si="1310"/>
        <v>0</v>
      </c>
      <c r="PE147" s="282">
        <f t="shared" si="1311"/>
        <v>0</v>
      </c>
      <c r="PF147" s="286">
        <f t="shared" si="1312"/>
        <v>0</v>
      </c>
      <c r="PG147" s="286">
        <f t="shared" si="1313"/>
        <v>0</v>
      </c>
      <c r="PH147" s="286">
        <f t="shared" si="1314"/>
        <v>0</v>
      </c>
      <c r="PI147" s="286">
        <f t="shared" si="1315"/>
        <v>0</v>
      </c>
      <c r="PJ147" s="286">
        <f t="shared" si="1316"/>
        <v>0</v>
      </c>
      <c r="PK147" s="286">
        <f t="shared" si="1317"/>
        <v>0</v>
      </c>
      <c r="PL147" s="286">
        <f t="shared" si="1318"/>
        <v>0</v>
      </c>
      <c r="PM147" s="562">
        <v>91</v>
      </c>
    </row>
    <row r="148" spans="1:429" s="289" customFormat="1" ht="15.75" customHeight="1">
      <c r="A148" s="1935" t="s">
        <v>1322</v>
      </c>
      <c r="B148" s="1040" t="str">
        <f>VLOOKUP(A148,'Area (&amp;golfacre for lookup)'!$A$2:$B$162,2,FALSE)</f>
        <v>SW CIRA</v>
      </c>
      <c r="C148" s="1983" t="s">
        <v>2180</v>
      </c>
      <c r="D148" s="1937">
        <v>44926</v>
      </c>
      <c r="E148" s="402"/>
      <c r="F148" s="1936">
        <v>0</v>
      </c>
      <c r="G148" s="1936">
        <v>1</v>
      </c>
      <c r="H148" s="1936">
        <v>800</v>
      </c>
      <c r="I148" s="1936">
        <v>0</v>
      </c>
      <c r="J148" s="1936">
        <v>800</v>
      </c>
      <c r="K148" s="1938">
        <v>630.13435700575815</v>
      </c>
      <c r="L148" s="1939" t="s">
        <v>1208</v>
      </c>
      <c r="M148" s="1939" t="s">
        <v>1208</v>
      </c>
      <c r="N148" s="1939" t="s">
        <v>1208</v>
      </c>
      <c r="O148" s="1939" t="s">
        <v>1208</v>
      </c>
      <c r="P148" s="1939" t="s">
        <v>1208</v>
      </c>
      <c r="Q148" s="1936">
        <v>0</v>
      </c>
      <c r="R148" s="1936">
        <v>4500</v>
      </c>
      <c r="S148" s="1936">
        <v>4500</v>
      </c>
      <c r="T148" s="1939" t="s">
        <v>1208</v>
      </c>
      <c r="U148" s="1939" t="s">
        <v>1208</v>
      </c>
      <c r="V148" s="1939" t="s">
        <v>1208</v>
      </c>
      <c r="W148" s="1936">
        <v>5910</v>
      </c>
      <c r="X148" s="1936">
        <v>5210</v>
      </c>
      <c r="Y148" s="1939" t="s">
        <v>1208</v>
      </c>
      <c r="Z148" s="1939" t="s">
        <v>1208</v>
      </c>
      <c r="AA148" s="1936">
        <v>700</v>
      </c>
      <c r="AB148" s="1362">
        <v>0.1343570057581574</v>
      </c>
      <c r="AC148" s="1939" t="s">
        <v>1208</v>
      </c>
      <c r="AD148" s="1363" t="s">
        <v>1208</v>
      </c>
      <c r="AE148" s="1936">
        <v>1</v>
      </c>
      <c r="AF148" s="1936">
        <v>1283</v>
      </c>
      <c r="AG148" s="1939" t="s">
        <v>1208</v>
      </c>
      <c r="AH148" s="1936">
        <v>0</v>
      </c>
      <c r="AI148" s="1936">
        <v>0</v>
      </c>
      <c r="AJ148" s="1939" t="s">
        <v>1208</v>
      </c>
      <c r="AK148" s="1938">
        <v>0</v>
      </c>
      <c r="AL148" s="1938">
        <v>0</v>
      </c>
      <c r="AM148" s="1936">
        <v>6493</v>
      </c>
      <c r="AN148" s="1939" t="s">
        <v>1208</v>
      </c>
      <c r="AO148" s="1936">
        <v>400</v>
      </c>
      <c r="AP148" s="1936">
        <v>0</v>
      </c>
      <c r="AQ148" s="1936">
        <v>6893</v>
      </c>
      <c r="AR148" s="1939" t="s">
        <v>1208</v>
      </c>
      <c r="AS148" s="1363" t="s">
        <v>1208</v>
      </c>
      <c r="AT148" s="1363" t="s">
        <v>1208</v>
      </c>
      <c r="AU148" s="1363" t="s">
        <v>1208</v>
      </c>
      <c r="AV148" s="1363" t="s">
        <v>1208</v>
      </c>
      <c r="AW148" s="1363" t="s">
        <v>1291</v>
      </c>
      <c r="AX148" s="1938">
        <v>0</v>
      </c>
      <c r="AY148" s="1938">
        <v>0</v>
      </c>
      <c r="AZ148" s="1938">
        <v>0</v>
      </c>
      <c r="BA148" s="1938">
        <v>0</v>
      </c>
      <c r="BB148" s="1938">
        <v>0</v>
      </c>
      <c r="BC148" s="1938">
        <v>0</v>
      </c>
      <c r="BD148" s="1938">
        <v>0</v>
      </c>
      <c r="BE148" s="1936">
        <v>0</v>
      </c>
      <c r="BF148" s="1936">
        <v>0</v>
      </c>
      <c r="BG148" s="1936">
        <v>1724290</v>
      </c>
      <c r="BH148" s="1936">
        <v>1724290</v>
      </c>
      <c r="BI148" s="1938">
        <v>7744315</v>
      </c>
      <c r="BJ148" s="1936">
        <v>632541</v>
      </c>
      <c r="BK148" s="1936">
        <v>809806</v>
      </c>
      <c r="BL148" s="1362">
        <v>0.78110189353993431</v>
      </c>
      <c r="BM148" s="1936">
        <v>0</v>
      </c>
      <c r="BN148" s="1936">
        <v>0</v>
      </c>
      <c r="BO148" s="1363" t="s">
        <v>1208</v>
      </c>
      <c r="BP148" s="1938">
        <v>3703172</v>
      </c>
      <c r="BQ148" s="1938">
        <v>2448065</v>
      </c>
      <c r="BR148" s="1940">
        <v>1.5126934946580259</v>
      </c>
      <c r="BS148" s="1409">
        <v>1</v>
      </c>
      <c r="BT148" s="1938">
        <v>2448065</v>
      </c>
      <c r="BU148" s="1938">
        <v>11349992</v>
      </c>
      <c r="BV148" s="1940">
        <v>0.21568869828278292</v>
      </c>
      <c r="BW148" s="1936">
        <v>0</v>
      </c>
      <c r="BX148" s="1936">
        <v>1003.8192537313433</v>
      </c>
      <c r="BY148" s="1936">
        <v>2736.3846786475783</v>
      </c>
      <c r="BZ148" s="1936">
        <v>1206986</v>
      </c>
      <c r="CA148" s="1936">
        <v>0</v>
      </c>
      <c r="CB148" s="1936">
        <v>132668</v>
      </c>
      <c r="CC148" s="1936">
        <v>0</v>
      </c>
      <c r="CD148" s="1936">
        <v>3283000</v>
      </c>
      <c r="CE148" s="1936">
        <v>0</v>
      </c>
      <c r="CF148" s="1936">
        <v>0</v>
      </c>
      <c r="CG148" s="1936">
        <v>515863</v>
      </c>
      <c r="CH148" s="1936">
        <v>279257</v>
      </c>
      <c r="CI148" s="1936">
        <v>124210</v>
      </c>
      <c r="CJ148" s="1936">
        <v>5541984</v>
      </c>
      <c r="CK148" s="1366">
        <v>0.21778951364709823</v>
      </c>
      <c r="CL148" s="1366">
        <v>0</v>
      </c>
      <c r="CM148" s="1366">
        <v>2.3938719418894028E-2</v>
      </c>
      <c r="CN148" s="1366">
        <v>0</v>
      </c>
      <c r="CO148" s="1366">
        <v>0.59238713067378035</v>
      </c>
      <c r="CP148" s="1366">
        <v>0</v>
      </c>
      <c r="CQ148" s="1366">
        <v>0</v>
      </c>
      <c r="CR148" s="1366">
        <v>9.3082729939314157E-2</v>
      </c>
      <c r="CS148" s="1366">
        <v>5.0389355147903714E-2</v>
      </c>
      <c r="CT148" s="1366">
        <v>2.2412551173009523E-2</v>
      </c>
      <c r="CU148" s="1366">
        <v>1</v>
      </c>
      <c r="CV148" s="1936">
        <v>2826491</v>
      </c>
      <c r="CW148" s="1936">
        <v>387757</v>
      </c>
      <c r="CX148" s="1936">
        <v>62522</v>
      </c>
      <c r="CY148" s="1936">
        <v>1804263</v>
      </c>
      <c r="CZ148" s="1936">
        <v>0</v>
      </c>
      <c r="DA148" s="1936">
        <v>174031</v>
      </c>
      <c r="DB148" s="1936">
        <v>5255064</v>
      </c>
      <c r="DC148" s="1366">
        <v>0.53786043328872879</v>
      </c>
      <c r="DD148" s="1366">
        <v>7.3787303066147239E-2</v>
      </c>
      <c r="DE148" s="1366">
        <v>1.1897476415130243E-2</v>
      </c>
      <c r="DF148" s="1366">
        <v>0.34333796886203477</v>
      </c>
      <c r="DG148" s="1366">
        <v>0</v>
      </c>
      <c r="DH148" s="1366">
        <v>3.3116818367958982E-2</v>
      </c>
      <c r="DI148" s="1366">
        <v>1</v>
      </c>
      <c r="DJ148" s="1936">
        <v>286920</v>
      </c>
      <c r="DK148" s="1936">
        <v>1915.4422966798661</v>
      </c>
      <c r="DL148" s="1936">
        <v>0</v>
      </c>
      <c r="DM148" s="1936">
        <v>210.53922631739263</v>
      </c>
      <c r="DN148" s="1936">
        <v>0</v>
      </c>
      <c r="DO148" s="1936">
        <v>5210</v>
      </c>
      <c r="DP148" s="1936">
        <v>0</v>
      </c>
      <c r="DQ148" s="1936">
        <v>0</v>
      </c>
      <c r="DR148" s="1936">
        <v>818.65556807797748</v>
      </c>
      <c r="DS148" s="1936">
        <v>443.17056655498021</v>
      </c>
      <c r="DT148" s="1936">
        <v>197.11669204995431</v>
      </c>
      <c r="DU148" s="1936">
        <v>8794.9243496801701</v>
      </c>
      <c r="DV148" s="1936">
        <v>4485.5370423393242</v>
      </c>
      <c r="DW148" s="1936">
        <v>615.3560676210783</v>
      </c>
      <c r="DX148" s="1936">
        <v>99.220109655802617</v>
      </c>
      <c r="DY148" s="1936">
        <v>2863.2988821200124</v>
      </c>
      <c r="DZ148" s="1936">
        <v>0</v>
      </c>
      <c r="EA148" s="1936">
        <v>276.18078282059093</v>
      </c>
      <c r="EB148" s="1936">
        <v>8339.5928845568087</v>
      </c>
      <c r="EC148" s="1936">
        <v>455.33146512336276</v>
      </c>
      <c r="ED148" s="1941">
        <v>78</v>
      </c>
      <c r="EE148" s="1936">
        <v>0</v>
      </c>
      <c r="EF148" s="1936">
        <v>0</v>
      </c>
      <c r="EG148" s="1938">
        <v>0</v>
      </c>
      <c r="EH148" s="1938">
        <v>1</v>
      </c>
      <c r="EI148" s="1368">
        <v>0.21</v>
      </c>
      <c r="EJ148" s="1936">
        <v>8.0786456026379252</v>
      </c>
      <c r="EK148" s="1936">
        <v>1</v>
      </c>
      <c r="EL148" s="1936">
        <v>400</v>
      </c>
      <c r="EM148" s="1936">
        <v>1</v>
      </c>
      <c r="EN148" s="1362">
        <v>0.18</v>
      </c>
      <c r="EO148" s="1936">
        <v>0</v>
      </c>
      <c r="EP148" s="1936">
        <v>0</v>
      </c>
      <c r="EQ148" s="1936">
        <v>0</v>
      </c>
      <c r="ER148" s="1938">
        <v>0</v>
      </c>
      <c r="ES148" s="1936">
        <v>1261.8261346329577</v>
      </c>
      <c r="ET148" s="1936">
        <v>-867.09444410600065</v>
      </c>
      <c r="EU148" s="1938">
        <v>1</v>
      </c>
      <c r="EV148" s="1936">
        <v>0</v>
      </c>
      <c r="EW148" s="1936">
        <v>0</v>
      </c>
      <c r="EX148" s="1938">
        <v>1</v>
      </c>
      <c r="EY148" s="1936">
        <v>515863</v>
      </c>
      <c r="EZ148" s="1936">
        <v>286989</v>
      </c>
      <c r="FA148" s="1936">
        <v>228874</v>
      </c>
      <c r="FB148" s="1936">
        <v>279257</v>
      </c>
      <c r="FC148" s="1936">
        <v>100768</v>
      </c>
      <c r="FD148" s="1936">
        <v>178489</v>
      </c>
      <c r="FE148" s="1936">
        <v>795120</v>
      </c>
      <c r="FF148" s="1936">
        <v>387757</v>
      </c>
      <c r="FG148" s="1936">
        <v>407363</v>
      </c>
      <c r="FH148" s="1366">
        <v>1</v>
      </c>
      <c r="FI148" s="1366">
        <v>0.55632793978246164</v>
      </c>
      <c r="FJ148" s="1366">
        <v>0.44367206021753836</v>
      </c>
      <c r="FK148" s="1366">
        <v>1</v>
      </c>
      <c r="FL148" s="1366">
        <v>0.36084323759117948</v>
      </c>
      <c r="FM148" s="1366">
        <v>0.63915676240882058</v>
      </c>
      <c r="FN148" s="1366">
        <v>1</v>
      </c>
      <c r="FO148" s="1366">
        <v>0.4876710433645236</v>
      </c>
      <c r="FP148" s="1366">
        <v>0.5123289566354764</v>
      </c>
      <c r="FQ148" s="1936">
        <v>639179</v>
      </c>
      <c r="FR148" s="1936">
        <v>0</v>
      </c>
      <c r="FS148" s="1936">
        <v>130533</v>
      </c>
      <c r="FT148" s="1936">
        <v>0</v>
      </c>
      <c r="FU148" s="1936">
        <v>19397</v>
      </c>
      <c r="FV148" s="1936">
        <v>0</v>
      </c>
      <c r="FW148" s="1936">
        <v>164640</v>
      </c>
      <c r="FX148" s="1936">
        <v>953749</v>
      </c>
      <c r="FY148" s="1936">
        <v>-546386</v>
      </c>
      <c r="FZ148" s="1366">
        <v>0.80387740215313408</v>
      </c>
      <c r="GA148" s="1366">
        <v>0</v>
      </c>
      <c r="GB148" s="1366">
        <v>0.16416767280410505</v>
      </c>
      <c r="GC148" s="1366">
        <v>0</v>
      </c>
      <c r="GD148" s="1366">
        <v>2.4395059865177583E-2</v>
      </c>
      <c r="GE148" s="1366">
        <v>0</v>
      </c>
      <c r="GF148" s="1366">
        <v>0.20706308481738606</v>
      </c>
      <c r="GG148" s="1366">
        <v>1.1995032196398028</v>
      </c>
      <c r="GH148" s="1366">
        <v>-0.68717426300432638</v>
      </c>
      <c r="GI148" s="1942">
        <v>1.8472697192908325</v>
      </c>
      <c r="GJ148" s="1943">
        <v>0</v>
      </c>
      <c r="GK148" s="1371">
        <v>0</v>
      </c>
      <c r="GL148" s="1943">
        <v>0</v>
      </c>
      <c r="GM148" s="1371">
        <v>0</v>
      </c>
      <c r="GN148" s="1943">
        <v>18</v>
      </c>
      <c r="GO148" s="1985">
        <f>IF(GN148=0,0,VLOOKUP(A148,'Area (&amp;golfacre for lookup)'!$G$2:$H$133,2,FALSE))</f>
        <v>97</v>
      </c>
      <c r="GP148" s="1943">
        <v>34630</v>
      </c>
      <c r="GQ148" s="1943">
        <v>721622</v>
      </c>
      <c r="GR148" s="1943">
        <v>193052</v>
      </c>
      <c r="GS148" s="1943">
        <v>597845</v>
      </c>
      <c r="GT148" s="1943">
        <v>100637</v>
      </c>
      <c r="GU148" s="1943">
        <v>0</v>
      </c>
      <c r="GV148" s="1943">
        <v>102093</v>
      </c>
      <c r="GW148" s="1943">
        <v>1715249</v>
      </c>
      <c r="GX148" s="1943">
        <v>95291.611111111109</v>
      </c>
      <c r="GY148" s="1985">
        <f t="shared" si="1319"/>
        <v>17682.9793814433</v>
      </c>
      <c r="GZ148" s="1366">
        <v>0.420709762839098</v>
      </c>
      <c r="HA148" s="1366">
        <v>0.11255042270830649</v>
      </c>
      <c r="HB148" s="1366">
        <v>0.34854706226326321</v>
      </c>
      <c r="HC148" s="1366">
        <v>5.8671947921263908E-2</v>
      </c>
      <c r="HD148" s="1366">
        <v>0</v>
      </c>
      <c r="HE148" s="1366">
        <v>5.952080426806837E-2</v>
      </c>
      <c r="HF148" s="1366">
        <v>1</v>
      </c>
      <c r="HG148" s="1936">
        <v>0</v>
      </c>
      <c r="HH148" s="1988">
        <f>IF(HG148=0,0,VLOOKUP(A148,'Area (&amp;golfacre for lookup)'!$G$2:$H$134,2,FALSE))</f>
        <v>0</v>
      </c>
      <c r="HI148" s="1936">
        <v>0</v>
      </c>
      <c r="HJ148" s="1936">
        <v>0</v>
      </c>
      <c r="HK148" s="1936">
        <v>0</v>
      </c>
      <c r="HL148" s="1936">
        <v>0</v>
      </c>
      <c r="HM148" s="1936">
        <v>0</v>
      </c>
      <c r="HN148" s="1936">
        <v>0</v>
      </c>
      <c r="HO148" s="1936">
        <v>0</v>
      </c>
      <c r="HP148" s="1936">
        <v>0</v>
      </c>
      <c r="HQ148" s="1936">
        <v>0</v>
      </c>
      <c r="HR148" s="1988">
        <f t="shared" si="1320"/>
        <v>0</v>
      </c>
      <c r="HS148" s="1936">
        <v>0</v>
      </c>
      <c r="HT148" s="1936">
        <v>0</v>
      </c>
      <c r="HU148" s="1936">
        <v>0</v>
      </c>
      <c r="HV148" s="1936">
        <v>0</v>
      </c>
      <c r="HW148" s="1936">
        <v>0</v>
      </c>
      <c r="HX148" s="1936">
        <v>0</v>
      </c>
      <c r="HY148" s="1936">
        <v>0</v>
      </c>
      <c r="HZ148" s="51"/>
      <c r="IA148" s="59">
        <f t="shared" si="1136"/>
        <v>0</v>
      </c>
      <c r="IB148" s="59"/>
      <c r="IC148" s="815">
        <f t="shared" si="1137"/>
        <v>1</v>
      </c>
      <c r="ID148" s="815"/>
      <c r="IE148" s="284">
        <f t="shared" si="1138"/>
        <v>0</v>
      </c>
      <c r="IF148" s="284"/>
      <c r="IG148" s="284">
        <f t="shared" si="1139"/>
        <v>12289.942476393542</v>
      </c>
      <c r="IH148" s="284"/>
      <c r="II148" s="1288">
        <f t="shared" si="1140"/>
        <v>1.5126934946580259</v>
      </c>
      <c r="IJ148" s="1288">
        <f t="shared" si="1141"/>
        <v>0</v>
      </c>
      <c r="IK148" s="284">
        <f t="shared" si="1142"/>
        <v>0</v>
      </c>
      <c r="IL148" s="284">
        <f t="shared" si="1143"/>
        <v>0</v>
      </c>
      <c r="IM148" s="284">
        <f t="shared" si="1144"/>
        <v>1</v>
      </c>
      <c r="IN148" s="284">
        <f t="shared" si="1145"/>
        <v>0</v>
      </c>
      <c r="IO148" s="753">
        <f t="shared" si="1146"/>
        <v>-682.98249999999996</v>
      </c>
      <c r="IP148" s="113">
        <f t="shared" si="1147"/>
        <v>-867.09444410600065</v>
      </c>
      <c r="IQ148" s="30">
        <f t="shared" si="1148"/>
        <v>-0.16642887602802314</v>
      </c>
      <c r="IR148" s="438">
        <f t="shared" si="1149"/>
        <v>515863</v>
      </c>
      <c r="IS148" s="438">
        <f t="shared" si="1150"/>
        <v>279257</v>
      </c>
      <c r="IT148" s="438">
        <f t="shared" si="1151"/>
        <v>639179</v>
      </c>
      <c r="IU148" s="438">
        <f t="shared" si="1152"/>
        <v>130533</v>
      </c>
      <c r="IV148" s="438">
        <f t="shared" si="1153"/>
        <v>387757</v>
      </c>
      <c r="IW148" s="438">
        <f t="shared" si="1154"/>
        <v>184037</v>
      </c>
      <c r="IX148" s="285">
        <f t="shared" si="1155"/>
        <v>0.64878634671496127</v>
      </c>
      <c r="IY148" s="285">
        <f t="shared" si="1156"/>
        <v>0.35121365328503873</v>
      </c>
      <c r="IZ148" s="285">
        <f t="shared" si="1157"/>
        <v>0.80387740215313408</v>
      </c>
      <c r="JA148" s="285">
        <f t="shared" si="1158"/>
        <v>0.16416767280410505</v>
      </c>
      <c r="JB148" s="285">
        <f t="shared" si="1159"/>
        <v>0.4876710433645236</v>
      </c>
      <c r="JC148" s="285">
        <f t="shared" si="1160"/>
        <v>0.23145814468256365</v>
      </c>
      <c r="JD148" s="60">
        <f t="shared" si="1161"/>
        <v>3283000</v>
      </c>
      <c r="JE148" s="60">
        <f t="shared" si="1162"/>
        <v>1339654</v>
      </c>
      <c r="JF148" s="60">
        <f t="shared" si="1163"/>
        <v>0</v>
      </c>
      <c r="JG148" s="60">
        <f t="shared" si="1164"/>
        <v>174031</v>
      </c>
      <c r="JH148" s="284">
        <f t="shared" si="1165"/>
        <v>1</v>
      </c>
      <c r="JI148" s="284">
        <f t="shared" si="1166"/>
        <v>1</v>
      </c>
      <c r="JJ148" s="560">
        <f t="shared" si="1167"/>
        <v>0.4712666204359755</v>
      </c>
      <c r="JK148" s="561">
        <f t="shared" si="1168"/>
        <v>0.51001428369334878</v>
      </c>
      <c r="JL148" s="561">
        <f t="shared" si="1169"/>
        <v>6.9967181428167241E-2</v>
      </c>
      <c r="JM148" s="561">
        <f t="shared" si="1170"/>
        <v>1.1281519398107249E-2</v>
      </c>
      <c r="JN148" s="561">
        <f t="shared" si="1171"/>
        <v>0.32556265048762323</v>
      </c>
      <c r="JO148" s="561">
        <f t="shared" si="1172"/>
        <v>0</v>
      </c>
      <c r="JP148" s="561">
        <f t="shared" si="1173"/>
        <v>3.1402292031157075E-2</v>
      </c>
      <c r="JQ148" s="561">
        <f t="shared" si="1174"/>
        <v>0.94822792703840364</v>
      </c>
      <c r="JR148" s="61">
        <f t="shared" si="1175"/>
        <v>40090.111111111109</v>
      </c>
      <c r="JS148" s="61">
        <f t="shared" si="1176"/>
        <v>10725.111111111111</v>
      </c>
      <c r="JT148" s="61">
        <f t="shared" si="1177"/>
        <v>33213.611111111109</v>
      </c>
      <c r="JU148" s="61">
        <f t="shared" si="1178"/>
        <v>5590.9444444444443</v>
      </c>
      <c r="JV148" s="61">
        <f t="shared" si="1179"/>
        <v>0</v>
      </c>
      <c r="JW148" s="61">
        <f t="shared" si="1180"/>
        <v>5671.833333333333</v>
      </c>
      <c r="JX148" s="61">
        <f t="shared" si="1181"/>
        <v>49.530724805082301</v>
      </c>
      <c r="JY148" s="394">
        <f t="shared" si="1182"/>
        <v>0.32639925983774887</v>
      </c>
      <c r="JZ148" s="61">
        <f t="shared" si="1183"/>
        <v>0</v>
      </c>
      <c r="KA148" s="61">
        <f t="shared" si="1184"/>
        <v>0</v>
      </c>
      <c r="KB148" s="61">
        <f t="shared" si="1185"/>
        <v>0</v>
      </c>
      <c r="KC148" s="61">
        <f t="shared" si="1186"/>
        <v>0</v>
      </c>
      <c r="KD148" s="61">
        <f t="shared" si="1187"/>
        <v>0</v>
      </c>
      <c r="KE148" s="61">
        <f t="shared" si="1188"/>
        <v>0</v>
      </c>
      <c r="KF148" s="61">
        <f t="shared" si="1189"/>
        <v>0</v>
      </c>
      <c r="KG148" s="61">
        <f t="shared" si="1190"/>
        <v>0</v>
      </c>
      <c r="KH148" s="61">
        <f t="shared" si="1191"/>
        <v>0</v>
      </c>
      <c r="KI148" s="394">
        <f t="shared" si="1192"/>
        <v>0</v>
      </c>
      <c r="KJ148" s="438">
        <f t="shared" si="1193"/>
        <v>18</v>
      </c>
      <c r="KK148" s="438">
        <f t="shared" si="1194"/>
        <v>34630</v>
      </c>
      <c r="KL148" s="438">
        <f t="shared" si="1195"/>
        <v>97</v>
      </c>
      <c r="KM148" s="438">
        <f t="shared" si="1196"/>
        <v>95291.611111111109</v>
      </c>
      <c r="KN148" s="438">
        <f t="shared" si="1197"/>
        <v>49.530724805082301</v>
      </c>
      <c r="KO148" s="438">
        <f t="shared" si="1198"/>
        <v>17682.9793814433</v>
      </c>
      <c r="KP148" s="438">
        <f t="shared" si="1199"/>
        <v>721622</v>
      </c>
      <c r="KQ148" s="438">
        <f t="shared" si="1200"/>
        <v>193052</v>
      </c>
      <c r="KR148" s="438">
        <f t="shared" si="1201"/>
        <v>597845</v>
      </c>
      <c r="KS148" s="438">
        <f t="shared" si="1202"/>
        <v>100637</v>
      </c>
      <c r="KT148" s="438">
        <f t="shared" si="1203"/>
        <v>0</v>
      </c>
      <c r="KU148" s="438">
        <f t="shared" si="1204"/>
        <v>102093</v>
      </c>
      <c r="KV148" s="420">
        <f t="shared" si="1205"/>
        <v>0.32639925983774887</v>
      </c>
      <c r="KW148" s="420">
        <f t="shared" si="1206"/>
        <v>-0.49136643314042033</v>
      </c>
      <c r="KX148" s="108"/>
      <c r="KY148" s="282">
        <f t="shared" si="1207"/>
        <v>0</v>
      </c>
      <c r="KZ148" s="282"/>
      <c r="LA148" s="282">
        <f t="shared" si="1208"/>
        <v>0</v>
      </c>
      <c r="LB148" s="282"/>
      <c r="LC148" s="286">
        <f t="shared" si="1321"/>
        <v>0</v>
      </c>
      <c r="LD148" s="286"/>
      <c r="LE148" s="282">
        <f t="shared" si="1209"/>
        <v>0</v>
      </c>
      <c r="LF148" s="282"/>
      <c r="LG148" s="282">
        <f t="shared" si="1210"/>
        <v>0</v>
      </c>
      <c r="LH148" s="282">
        <f t="shared" si="1211"/>
        <v>0</v>
      </c>
      <c r="LI148" s="282">
        <f t="shared" si="1212"/>
        <v>0</v>
      </c>
      <c r="LJ148" s="282">
        <f t="shared" si="1213"/>
        <v>0</v>
      </c>
      <c r="LK148" s="282"/>
      <c r="LL148" s="282">
        <f t="shared" si="1214"/>
        <v>0</v>
      </c>
      <c r="LM148" s="282">
        <f t="shared" si="1215"/>
        <v>0</v>
      </c>
      <c r="LN148" s="282">
        <f t="shared" si="1216"/>
        <v>0</v>
      </c>
      <c r="LO148" s="282">
        <f t="shared" si="1217"/>
        <v>0</v>
      </c>
      <c r="LP148" s="286">
        <f t="shared" si="1218"/>
        <v>0</v>
      </c>
      <c r="LQ148" s="282">
        <f t="shared" si="1219"/>
        <v>0</v>
      </c>
      <c r="LR148" s="282">
        <f t="shared" si="1220"/>
        <v>0</v>
      </c>
      <c r="LS148" s="282">
        <f t="shared" si="1221"/>
        <v>0</v>
      </c>
      <c r="LT148" s="286">
        <f t="shared" si="1222"/>
        <v>0</v>
      </c>
      <c r="LU148" s="286">
        <f t="shared" si="1223"/>
        <v>0</v>
      </c>
      <c r="LV148" s="286">
        <f t="shared" si="1224"/>
        <v>0</v>
      </c>
      <c r="LW148" s="286">
        <f t="shared" si="1225"/>
        <v>0</v>
      </c>
      <c r="LX148" s="286">
        <f t="shared" si="1226"/>
        <v>0</v>
      </c>
      <c r="LY148" s="286">
        <f t="shared" si="1227"/>
        <v>0</v>
      </c>
      <c r="LZ148" s="286">
        <f t="shared" si="1228"/>
        <v>0</v>
      </c>
      <c r="MA148" s="286">
        <f t="shared" si="1229"/>
        <v>0</v>
      </c>
      <c r="MB148" s="286">
        <f t="shared" si="1230"/>
        <v>0</v>
      </c>
      <c r="MC148" s="286">
        <f t="shared" si="1231"/>
        <v>0</v>
      </c>
      <c r="MD148" s="286">
        <f t="shared" si="1232"/>
        <v>0</v>
      </c>
      <c r="ME148" s="286">
        <f t="shared" si="1233"/>
        <v>0</v>
      </c>
      <c r="MF148" s="286">
        <f t="shared" si="1234"/>
        <v>0</v>
      </c>
      <c r="MG148" s="286">
        <f t="shared" si="1235"/>
        <v>0</v>
      </c>
      <c r="MH148" s="286">
        <f t="shared" si="1236"/>
        <v>0</v>
      </c>
      <c r="MI148" s="286">
        <f t="shared" si="1237"/>
        <v>0</v>
      </c>
      <c r="MJ148" s="286">
        <f t="shared" si="1238"/>
        <v>0</v>
      </c>
      <c r="MK148" s="286">
        <f t="shared" si="1239"/>
        <v>0</v>
      </c>
      <c r="ML148" s="282">
        <f t="shared" si="1240"/>
        <v>0</v>
      </c>
      <c r="MM148" s="1232">
        <f t="shared" si="1241"/>
        <v>0</v>
      </c>
      <c r="MN148" s="1232">
        <f t="shared" si="1242"/>
        <v>0</v>
      </c>
      <c r="MO148" s="1232">
        <f t="shared" si="1243"/>
        <v>0</v>
      </c>
      <c r="MP148" s="1232">
        <f t="shared" si="1244"/>
        <v>0</v>
      </c>
      <c r="MQ148" s="282">
        <f t="shared" si="1245"/>
        <v>0</v>
      </c>
      <c r="MR148" s="282">
        <f t="shared" si="1246"/>
        <v>0</v>
      </c>
      <c r="MS148" s="282">
        <f t="shared" si="1247"/>
        <v>0</v>
      </c>
      <c r="MT148" s="282">
        <f t="shared" si="1248"/>
        <v>0</v>
      </c>
      <c r="MU148" s="282">
        <f t="shared" si="1249"/>
        <v>0</v>
      </c>
      <c r="MV148" s="282">
        <f t="shared" si="1250"/>
        <v>0</v>
      </c>
      <c r="MW148" s="282">
        <f t="shared" si="1251"/>
        <v>0</v>
      </c>
      <c r="MX148" s="282">
        <f t="shared" si="1252"/>
        <v>0</v>
      </c>
      <c r="MY148" s="282">
        <f t="shared" si="1253"/>
        <v>0</v>
      </c>
      <c r="MZ148" s="282">
        <f t="shared" si="1254"/>
        <v>0</v>
      </c>
      <c r="NA148" s="282">
        <f t="shared" si="1255"/>
        <v>0</v>
      </c>
      <c r="NB148" s="282">
        <f t="shared" si="1256"/>
        <v>0</v>
      </c>
      <c r="NC148" s="282">
        <f t="shared" si="1257"/>
        <v>0</v>
      </c>
      <c r="ND148" s="282">
        <f t="shared" si="1258"/>
        <v>0</v>
      </c>
      <c r="NE148" s="282">
        <f t="shared" si="1259"/>
        <v>0</v>
      </c>
      <c r="NF148" s="282">
        <f t="shared" si="1260"/>
        <v>0</v>
      </c>
      <c r="NG148" s="282">
        <f t="shared" si="1261"/>
        <v>0</v>
      </c>
      <c r="NH148" s="282">
        <f t="shared" si="1262"/>
        <v>0</v>
      </c>
      <c r="NI148" s="282">
        <f t="shared" si="1263"/>
        <v>0</v>
      </c>
      <c r="NJ148" s="282">
        <f t="shared" si="1264"/>
        <v>0</v>
      </c>
      <c r="NK148" s="282">
        <f t="shared" si="1265"/>
        <v>0</v>
      </c>
      <c r="NL148" s="282">
        <f t="shared" si="1266"/>
        <v>0</v>
      </c>
      <c r="NM148" s="1205">
        <f t="shared" si="1267"/>
        <v>0</v>
      </c>
      <c r="NN148" s="282">
        <f t="shared" si="1268"/>
        <v>0</v>
      </c>
      <c r="NO148" s="282">
        <f t="shared" si="1269"/>
        <v>0</v>
      </c>
      <c r="NP148" s="282">
        <f t="shared" si="1270"/>
        <v>0</v>
      </c>
      <c r="NQ148" s="282">
        <f t="shared" si="1271"/>
        <v>0</v>
      </c>
      <c r="NR148" s="282">
        <f t="shared" si="1272"/>
        <v>0</v>
      </c>
      <c r="NS148" s="282">
        <f t="shared" si="1273"/>
        <v>0</v>
      </c>
      <c r="NT148" s="282">
        <f t="shared" si="1274"/>
        <v>0</v>
      </c>
      <c r="NU148" s="282">
        <f t="shared" si="1275"/>
        <v>0</v>
      </c>
      <c r="NV148" s="286">
        <f t="shared" si="1276"/>
        <v>0</v>
      </c>
      <c r="NW148" s="286">
        <f t="shared" si="1277"/>
        <v>0</v>
      </c>
      <c r="NX148" s="286">
        <f t="shared" si="1278"/>
        <v>0</v>
      </c>
      <c r="NY148" s="286">
        <f t="shared" si="1279"/>
        <v>0</v>
      </c>
      <c r="NZ148" s="286">
        <f t="shared" si="1280"/>
        <v>0</v>
      </c>
      <c r="OA148" s="286">
        <f t="shared" si="1281"/>
        <v>0</v>
      </c>
      <c r="OB148" s="286">
        <f t="shared" si="1282"/>
        <v>0</v>
      </c>
      <c r="OC148" s="286">
        <f t="shared" si="1283"/>
        <v>0</v>
      </c>
      <c r="OD148" s="286">
        <f t="shared" si="1284"/>
        <v>0</v>
      </c>
      <c r="OE148" s="282">
        <f t="shared" si="1285"/>
        <v>0</v>
      </c>
      <c r="OF148" s="282">
        <f t="shared" si="1286"/>
        <v>0</v>
      </c>
      <c r="OG148" s="286">
        <f t="shared" si="1287"/>
        <v>0</v>
      </c>
      <c r="OH148" s="286">
        <f t="shared" si="1288"/>
        <v>0</v>
      </c>
      <c r="OI148" s="286">
        <f t="shared" si="1289"/>
        <v>0</v>
      </c>
      <c r="OJ148" s="286">
        <f t="shared" si="1290"/>
        <v>0</v>
      </c>
      <c r="OK148" s="286">
        <f t="shared" si="1291"/>
        <v>0</v>
      </c>
      <c r="OL148" s="286">
        <f t="shared" si="1292"/>
        <v>0</v>
      </c>
      <c r="OM148" s="286">
        <f t="shared" si="1293"/>
        <v>0</v>
      </c>
      <c r="ON148" s="286">
        <f t="shared" si="1294"/>
        <v>0</v>
      </c>
      <c r="OO148" s="286">
        <f t="shared" si="1295"/>
        <v>0</v>
      </c>
      <c r="OP148" s="434">
        <f t="shared" si="1296"/>
        <v>0</v>
      </c>
      <c r="OQ148" s="434">
        <f t="shared" si="1297"/>
        <v>0</v>
      </c>
      <c r="OR148" s="282">
        <f t="shared" si="1298"/>
        <v>0</v>
      </c>
      <c r="OS148" s="282">
        <f t="shared" si="1299"/>
        <v>0</v>
      </c>
      <c r="OT148" s="282">
        <f t="shared" si="1300"/>
        <v>0</v>
      </c>
      <c r="OU148" s="282">
        <f t="shared" si="1301"/>
        <v>0</v>
      </c>
      <c r="OV148" s="282">
        <f t="shared" si="1302"/>
        <v>0</v>
      </c>
      <c r="OW148" s="286">
        <f t="shared" si="1303"/>
        <v>0</v>
      </c>
      <c r="OX148" s="286">
        <f t="shared" si="1304"/>
        <v>0</v>
      </c>
      <c r="OY148" s="286">
        <f t="shared" si="1305"/>
        <v>0</v>
      </c>
      <c r="OZ148" s="286">
        <f t="shared" si="1306"/>
        <v>0</v>
      </c>
      <c r="PA148" s="286">
        <f t="shared" si="1307"/>
        <v>0</v>
      </c>
      <c r="PB148" s="286">
        <f t="shared" si="1308"/>
        <v>0</v>
      </c>
      <c r="PC148" s="286">
        <f t="shared" si="1309"/>
        <v>0</v>
      </c>
      <c r="PD148" s="282">
        <f t="shared" si="1310"/>
        <v>0</v>
      </c>
      <c r="PE148" s="282">
        <f t="shared" si="1311"/>
        <v>0</v>
      </c>
      <c r="PF148" s="286">
        <f t="shared" si="1312"/>
        <v>0</v>
      </c>
      <c r="PG148" s="286">
        <f t="shared" si="1313"/>
        <v>0</v>
      </c>
      <c r="PH148" s="286">
        <f t="shared" si="1314"/>
        <v>0</v>
      </c>
      <c r="PI148" s="286">
        <f t="shared" si="1315"/>
        <v>0</v>
      </c>
      <c r="PJ148" s="286">
        <f t="shared" si="1316"/>
        <v>0</v>
      </c>
      <c r="PK148" s="286">
        <f t="shared" si="1317"/>
        <v>0</v>
      </c>
      <c r="PL148" s="286">
        <f t="shared" si="1318"/>
        <v>0</v>
      </c>
      <c r="PM148" s="562">
        <v>92</v>
      </c>
    </row>
    <row r="149" spans="1:429" s="289" customFormat="1" ht="15.75" customHeight="1">
      <c r="A149" s="1935" t="s">
        <v>961</v>
      </c>
      <c r="B149" s="1040" t="str">
        <f>VLOOKUP(A149,'Area (&amp;golfacre for lookup)'!$A$2:$B$162,2,FALSE)</f>
        <v>North&amp;Central</v>
      </c>
      <c r="C149" s="1409" t="s">
        <v>2162</v>
      </c>
      <c r="D149" s="1937">
        <v>44742</v>
      </c>
      <c r="E149" s="402"/>
      <c r="F149" s="1936">
        <v>1</v>
      </c>
      <c r="G149" s="1936">
        <v>0</v>
      </c>
      <c r="H149" s="1936">
        <v>242</v>
      </c>
      <c r="I149" s="1936">
        <v>35</v>
      </c>
      <c r="J149" s="1936">
        <v>277</v>
      </c>
      <c r="K149" s="1938">
        <v>265.4460966542751</v>
      </c>
      <c r="L149" s="1939" t="s">
        <v>1208</v>
      </c>
      <c r="M149" s="1939" t="s">
        <v>1208</v>
      </c>
      <c r="N149" s="1939" t="s">
        <v>1208</v>
      </c>
      <c r="O149" s="1939" t="s">
        <v>1208</v>
      </c>
      <c r="P149" s="1939" t="s">
        <v>1208</v>
      </c>
      <c r="Q149" s="1936">
        <v>0</v>
      </c>
      <c r="R149" s="1936">
        <v>75000</v>
      </c>
      <c r="S149" s="1936">
        <v>75000</v>
      </c>
      <c r="T149" s="1939" t="s">
        <v>1208</v>
      </c>
      <c r="U149" s="1939" t="s">
        <v>1208</v>
      </c>
      <c r="V149" s="1939" t="s">
        <v>1208</v>
      </c>
      <c r="W149" s="1936">
        <v>12269</v>
      </c>
      <c r="X149" s="1936">
        <v>11567</v>
      </c>
      <c r="Y149" s="1939" t="s">
        <v>1208</v>
      </c>
      <c r="Z149" s="1939" t="s">
        <v>1208</v>
      </c>
      <c r="AA149" s="1936">
        <v>702</v>
      </c>
      <c r="AB149" s="1362">
        <v>6.0689893663006832E-2</v>
      </c>
      <c r="AC149" s="1939" t="s">
        <v>1208</v>
      </c>
      <c r="AD149" s="1363" t="s">
        <v>1208</v>
      </c>
      <c r="AE149" s="1936">
        <v>1</v>
      </c>
      <c r="AF149" s="1936">
        <v>3500</v>
      </c>
      <c r="AG149" s="1939" t="s">
        <v>1208</v>
      </c>
      <c r="AH149" s="1936">
        <v>0</v>
      </c>
      <c r="AI149" s="1936">
        <v>0</v>
      </c>
      <c r="AJ149" s="1939" t="s">
        <v>1208</v>
      </c>
      <c r="AK149" s="1938">
        <v>1</v>
      </c>
      <c r="AL149" s="1938">
        <v>3000</v>
      </c>
      <c r="AM149" s="1936">
        <v>18067</v>
      </c>
      <c r="AN149" s="1939" t="s">
        <v>1208</v>
      </c>
      <c r="AO149" s="1936">
        <v>0</v>
      </c>
      <c r="AP149" s="1936">
        <v>0</v>
      </c>
      <c r="AQ149" s="1936">
        <v>18067</v>
      </c>
      <c r="AR149" s="1939" t="s">
        <v>1208</v>
      </c>
      <c r="AS149" s="1363" t="s">
        <v>1208</v>
      </c>
      <c r="AT149" s="1363" t="s">
        <v>1208</v>
      </c>
      <c r="AU149" s="1363" t="s">
        <v>1208</v>
      </c>
      <c r="AV149" s="1363" t="s">
        <v>1208</v>
      </c>
      <c r="AW149" s="1363" t="s">
        <v>1291</v>
      </c>
      <c r="AX149" s="1938">
        <v>1</v>
      </c>
      <c r="AY149" s="1938">
        <v>0</v>
      </c>
      <c r="AZ149" s="1938">
        <v>1</v>
      </c>
      <c r="BA149" s="1938">
        <v>0</v>
      </c>
      <c r="BB149" s="1938">
        <v>0</v>
      </c>
      <c r="BC149" s="1938">
        <v>1</v>
      </c>
      <c r="BD149" s="1938">
        <v>0</v>
      </c>
      <c r="BE149" s="1936">
        <v>0</v>
      </c>
      <c r="BF149" s="1936">
        <v>0</v>
      </c>
      <c r="BG149" s="1936">
        <v>4000000</v>
      </c>
      <c r="BH149" s="1936">
        <v>4000000</v>
      </c>
      <c r="BI149" s="1938">
        <v>13735075</v>
      </c>
      <c r="BJ149" s="1936">
        <v>4030764</v>
      </c>
      <c r="BK149" s="1936">
        <v>648753</v>
      </c>
      <c r="BL149" s="1362">
        <v>6.213094968346967</v>
      </c>
      <c r="BM149" s="1936">
        <v>1</v>
      </c>
      <c r="BN149" s="1936">
        <v>5125247</v>
      </c>
      <c r="BO149" s="1363" t="s">
        <v>1208</v>
      </c>
      <c r="BP149" s="1938">
        <v>811511</v>
      </c>
      <c r="BQ149" s="1938">
        <v>1119158</v>
      </c>
      <c r="BR149" s="1940">
        <v>0.72510851908309637</v>
      </c>
      <c r="BS149" s="1409">
        <v>0</v>
      </c>
      <c r="BT149" s="1938">
        <v>5953367</v>
      </c>
      <c r="BU149" s="1938">
        <v>10168804</v>
      </c>
      <c r="BV149" s="1940">
        <v>0.58545400226024613</v>
      </c>
      <c r="BW149" s="1936">
        <v>19308.051859113508</v>
      </c>
      <c r="BX149" s="1936">
        <v>15184.868230516071</v>
      </c>
      <c r="BY149" s="1936">
        <v>15068.972761011133</v>
      </c>
      <c r="BZ149" s="1936">
        <v>1364678</v>
      </c>
      <c r="CA149" s="1936">
        <v>0</v>
      </c>
      <c r="CB149" s="1936">
        <v>0</v>
      </c>
      <c r="CC149" s="1936">
        <v>0</v>
      </c>
      <c r="CD149" s="1936">
        <v>3070415</v>
      </c>
      <c r="CE149" s="1936">
        <v>0</v>
      </c>
      <c r="CF149" s="1936">
        <v>0</v>
      </c>
      <c r="CG149" s="1936">
        <v>0</v>
      </c>
      <c r="CH149" s="1936">
        <v>0</v>
      </c>
      <c r="CI149" s="1936">
        <v>41169</v>
      </c>
      <c r="CJ149" s="1936">
        <v>4476262</v>
      </c>
      <c r="CK149" s="1366">
        <v>0.30487000090700678</v>
      </c>
      <c r="CL149" s="1366">
        <v>0</v>
      </c>
      <c r="CM149" s="1366">
        <v>0</v>
      </c>
      <c r="CN149" s="1366">
        <v>0</v>
      </c>
      <c r="CO149" s="1366">
        <v>0.68593281626499969</v>
      </c>
      <c r="CP149" s="1366">
        <v>0</v>
      </c>
      <c r="CQ149" s="1366">
        <v>0</v>
      </c>
      <c r="CR149" s="1366">
        <v>0</v>
      </c>
      <c r="CS149" s="1366">
        <v>0</v>
      </c>
      <c r="CT149" s="1366">
        <v>9.1971828279935365E-3</v>
      </c>
      <c r="CU149" s="1366">
        <v>1</v>
      </c>
      <c r="CV149" s="1936">
        <v>2017954</v>
      </c>
      <c r="CW149" s="1936">
        <v>0</v>
      </c>
      <c r="CX149" s="1979">
        <v>0</v>
      </c>
      <c r="CY149" s="1979">
        <f>2066052+395722</f>
        <v>2461774</v>
      </c>
      <c r="CZ149" s="1936">
        <v>64155</v>
      </c>
      <c r="DA149" s="1936">
        <v>126687</v>
      </c>
      <c r="DB149" s="1936">
        <v>4670570</v>
      </c>
      <c r="DC149" s="1366">
        <v>0.43205732919108375</v>
      </c>
      <c r="DD149" s="1366">
        <v>0</v>
      </c>
      <c r="DE149" s="1982">
        <v>0</v>
      </c>
      <c r="DF149" s="1982">
        <f>44.2355429851174%+8.47267035929234%</f>
        <v>0.52708213344409738</v>
      </c>
      <c r="DG149" s="1366">
        <v>1.3736010808102651E-2</v>
      </c>
      <c r="DH149" s="1366">
        <v>2.7124526556715777E-2</v>
      </c>
      <c r="DI149" s="1366">
        <v>1</v>
      </c>
      <c r="DJ149" s="1936">
        <v>-194308</v>
      </c>
      <c r="DK149" s="1936">
        <v>5141.0739023877877</v>
      </c>
      <c r="DL149" s="1936">
        <v>0</v>
      </c>
      <c r="DM149" s="1936">
        <v>0</v>
      </c>
      <c r="DN149" s="1936">
        <v>0</v>
      </c>
      <c r="DO149" s="1936">
        <v>11567</v>
      </c>
      <c r="DP149" s="1936">
        <v>0</v>
      </c>
      <c r="DQ149" s="1936">
        <v>0</v>
      </c>
      <c r="DR149" s="1936">
        <v>0</v>
      </c>
      <c r="DS149" s="1936">
        <v>0</v>
      </c>
      <c r="DT149" s="1936">
        <v>155.09363489951684</v>
      </c>
      <c r="DU149" s="1936">
        <v>16863.167537287303</v>
      </c>
      <c r="DV149" s="1936">
        <v>7602.1234647433648</v>
      </c>
      <c r="DW149" s="1936">
        <v>0</v>
      </c>
      <c r="DX149" s="1979">
        <v>0</v>
      </c>
      <c r="DY149" s="1979">
        <v>9274.101337441356</v>
      </c>
      <c r="DZ149" s="1936">
        <v>241.68748687066733</v>
      </c>
      <c r="EA149" s="1936">
        <v>477.26073804355434</v>
      </c>
      <c r="EB149" s="1936">
        <v>17595.173027098943</v>
      </c>
      <c r="EC149" s="1936">
        <v>-732.00548981163786</v>
      </c>
      <c r="ED149" s="1941">
        <v>250</v>
      </c>
      <c r="EE149" s="1936">
        <v>1</v>
      </c>
      <c r="EF149" s="1979">
        <v>1</v>
      </c>
      <c r="EG149" s="1938">
        <v>350000</v>
      </c>
      <c r="EH149" s="1938">
        <v>1</v>
      </c>
      <c r="EI149" s="1368">
        <v>0.08</v>
      </c>
      <c r="EJ149" s="1936">
        <v>1.0617843866171004</v>
      </c>
      <c r="EK149" s="1936">
        <v>0</v>
      </c>
      <c r="EL149" s="1936">
        <v>0</v>
      </c>
      <c r="EM149" s="1936">
        <v>0</v>
      </c>
      <c r="EN149" s="1362">
        <v>0</v>
      </c>
      <c r="EO149" s="1936">
        <v>0</v>
      </c>
      <c r="EP149" s="1936">
        <v>0</v>
      </c>
      <c r="EQ149" s="1936">
        <v>0</v>
      </c>
      <c r="ER149" s="1938">
        <v>1</v>
      </c>
      <c r="ES149" s="1936">
        <v>0</v>
      </c>
      <c r="ET149" s="1936">
        <v>0</v>
      </c>
      <c r="EU149" s="1938">
        <v>0</v>
      </c>
      <c r="EV149" s="1936">
        <v>0</v>
      </c>
      <c r="EW149" s="1936">
        <v>0</v>
      </c>
      <c r="EX149" s="1938">
        <v>0</v>
      </c>
      <c r="EY149" s="1936">
        <v>0</v>
      </c>
      <c r="EZ149" s="1936">
        <v>0</v>
      </c>
      <c r="FA149" s="1936">
        <v>0</v>
      </c>
      <c r="FB149" s="1936">
        <v>0</v>
      </c>
      <c r="FC149" s="1936">
        <v>0</v>
      </c>
      <c r="FD149" s="1936">
        <v>0</v>
      </c>
      <c r="FE149" s="1936">
        <v>0</v>
      </c>
      <c r="FF149" s="1936">
        <v>0</v>
      </c>
      <c r="FG149" s="1936">
        <v>0</v>
      </c>
      <c r="FH149" s="1366" t="e">
        <v>#DIV/0!</v>
      </c>
      <c r="FI149" s="1366" t="e">
        <v>#DIV/0!</v>
      </c>
      <c r="FJ149" s="1366" t="e">
        <v>#DIV/0!</v>
      </c>
      <c r="FK149" s="1366" t="e">
        <v>#DIV/0!</v>
      </c>
      <c r="FL149" s="1366" t="e">
        <v>#DIV/0!</v>
      </c>
      <c r="FM149" s="1366" t="e">
        <v>#DIV/0!</v>
      </c>
      <c r="FN149" s="1366" t="e">
        <v>#DIV/0!</v>
      </c>
      <c r="FO149" s="1366" t="e">
        <v>#DIV/0!</v>
      </c>
      <c r="FP149" s="1366" t="e">
        <v>#DIV/0!</v>
      </c>
      <c r="FQ149" s="1936">
        <v>0</v>
      </c>
      <c r="FR149" s="1936">
        <v>0</v>
      </c>
      <c r="FS149" s="1936">
        <v>0</v>
      </c>
      <c r="FT149" s="1936">
        <v>0</v>
      </c>
      <c r="FU149" s="1936">
        <v>0</v>
      </c>
      <c r="FV149" s="1936">
        <v>0</v>
      </c>
      <c r="FW149" s="1936">
        <v>0</v>
      </c>
      <c r="FX149" s="1936">
        <v>0</v>
      </c>
      <c r="FY149" s="1936">
        <v>0</v>
      </c>
      <c r="FZ149" s="1936">
        <v>0</v>
      </c>
      <c r="GA149" s="1936">
        <v>0</v>
      </c>
      <c r="GB149" s="1936">
        <v>0</v>
      </c>
      <c r="GC149" s="1936">
        <v>0</v>
      </c>
      <c r="GD149" s="1936">
        <v>0</v>
      </c>
      <c r="GE149" s="1936">
        <v>0</v>
      </c>
      <c r="GF149" s="1936">
        <v>0</v>
      </c>
      <c r="GG149" s="1936">
        <v>0</v>
      </c>
      <c r="GH149" s="1936">
        <v>0</v>
      </c>
      <c r="GI149" s="1936">
        <v>0</v>
      </c>
      <c r="GJ149" s="1943">
        <v>0</v>
      </c>
      <c r="GK149" s="1371">
        <v>0</v>
      </c>
      <c r="GL149" s="1943">
        <v>0</v>
      </c>
      <c r="GM149" s="1371">
        <v>0</v>
      </c>
      <c r="GN149" s="1943">
        <v>18</v>
      </c>
      <c r="GO149" s="1985">
        <f>IF(GN149=0,0,VLOOKUP(A149,'Area (&amp;golfacre for lookup)'!$G$2:$H$133,2,FALSE))</f>
        <v>90</v>
      </c>
      <c r="GP149" s="1943">
        <v>13800</v>
      </c>
      <c r="GQ149" s="1943">
        <v>1187643</v>
      </c>
      <c r="GR149" s="1943">
        <v>206042</v>
      </c>
      <c r="GS149" s="1943">
        <v>513268</v>
      </c>
      <c r="GT149" s="1943">
        <v>315649</v>
      </c>
      <c r="GU149" s="1943">
        <v>0</v>
      </c>
      <c r="GV149" s="1943">
        <v>390634</v>
      </c>
      <c r="GW149" s="1943">
        <v>2613236</v>
      </c>
      <c r="GX149" s="1943">
        <v>145179.77777777778</v>
      </c>
      <c r="GY149" s="1985">
        <f t="shared" si="1319"/>
        <v>29035.955555555556</v>
      </c>
      <c r="GZ149" s="1366">
        <v>0.45447215636092569</v>
      </c>
      <c r="HA149" s="1366">
        <v>7.8845538634857312E-2</v>
      </c>
      <c r="HB149" s="1366">
        <v>0.19641088673200582</v>
      </c>
      <c r="HC149" s="1366">
        <v>0.12078855487985012</v>
      </c>
      <c r="HD149" s="1366">
        <v>0</v>
      </c>
      <c r="HE149" s="1366">
        <v>0.14948286339236105</v>
      </c>
      <c r="HF149" s="1366">
        <v>1</v>
      </c>
      <c r="HG149" s="1936">
        <v>0</v>
      </c>
      <c r="HH149" s="1988">
        <f>IF(HG149=0,0,VLOOKUP(A149,'Area (&amp;golfacre for lookup)'!$G$2:$H$134,2,FALSE))</f>
        <v>0</v>
      </c>
      <c r="HI149" s="1936">
        <v>0</v>
      </c>
      <c r="HJ149" s="1936">
        <v>0</v>
      </c>
      <c r="HK149" s="1936">
        <v>0</v>
      </c>
      <c r="HL149" s="1936">
        <v>0</v>
      </c>
      <c r="HM149" s="1936">
        <v>0</v>
      </c>
      <c r="HN149" s="1936">
        <v>0</v>
      </c>
      <c r="HO149" s="1936">
        <v>0</v>
      </c>
      <c r="HP149" s="1936">
        <v>0</v>
      </c>
      <c r="HQ149" s="1936">
        <v>0</v>
      </c>
      <c r="HR149" s="1988">
        <f t="shared" si="1320"/>
        <v>0</v>
      </c>
      <c r="HS149" s="1936">
        <v>0</v>
      </c>
      <c r="HT149" s="1936">
        <v>0</v>
      </c>
      <c r="HU149" s="1936">
        <v>0</v>
      </c>
      <c r="HV149" s="1936">
        <v>0</v>
      </c>
      <c r="HW149" s="1936">
        <v>0</v>
      </c>
      <c r="HX149" s="1936">
        <v>0</v>
      </c>
      <c r="HY149" s="1936">
        <v>0</v>
      </c>
      <c r="HZ149" s="51"/>
      <c r="IA149" s="59">
        <f t="shared" si="1136"/>
        <v>0</v>
      </c>
      <c r="IB149" s="59"/>
      <c r="IC149" s="815">
        <f t="shared" si="1137"/>
        <v>1</v>
      </c>
      <c r="ID149" s="815"/>
      <c r="IE149" s="284">
        <f t="shared" si="1138"/>
        <v>0</v>
      </c>
      <c r="IF149" s="284"/>
      <c r="IG149" s="284">
        <f t="shared" si="1139"/>
        <v>51743.367761361245</v>
      </c>
      <c r="IH149" s="284"/>
      <c r="II149" s="1288">
        <f t="shared" si="1140"/>
        <v>0</v>
      </c>
      <c r="IJ149" s="1288">
        <f t="shared" si="1141"/>
        <v>0.72510851908309637</v>
      </c>
      <c r="IK149" s="284">
        <f t="shared" si="1142"/>
        <v>1</v>
      </c>
      <c r="IL149" s="284">
        <f t="shared" si="1143"/>
        <v>0</v>
      </c>
      <c r="IM149" s="284">
        <f t="shared" si="1144"/>
        <v>0</v>
      </c>
      <c r="IN149" s="284">
        <f t="shared" si="1145"/>
        <v>0</v>
      </c>
      <c r="IO149" s="753">
        <f t="shared" si="1146"/>
        <v>0</v>
      </c>
      <c r="IP149" s="113">
        <f t="shared" si="1147"/>
        <v>0</v>
      </c>
      <c r="IQ149" s="30">
        <f t="shared" si="1148"/>
        <v>0</v>
      </c>
      <c r="IR149" s="438">
        <f t="shared" si="1149"/>
        <v>0</v>
      </c>
      <c r="IS149" s="438">
        <f t="shared" si="1150"/>
        <v>0</v>
      </c>
      <c r="IT149" s="438">
        <f t="shared" si="1151"/>
        <v>0</v>
      </c>
      <c r="IU149" s="438">
        <f t="shared" si="1152"/>
        <v>0</v>
      </c>
      <c r="IV149" s="438">
        <f t="shared" si="1153"/>
        <v>0</v>
      </c>
      <c r="IW149" s="438">
        <f t="shared" si="1154"/>
        <v>0</v>
      </c>
      <c r="IX149" s="285">
        <f t="shared" si="1155"/>
        <v>0</v>
      </c>
      <c r="IY149" s="285">
        <f t="shared" si="1156"/>
        <v>0</v>
      </c>
      <c r="IZ149" s="285">
        <f t="shared" si="1157"/>
        <v>0</v>
      </c>
      <c r="JA149" s="285">
        <f t="shared" si="1158"/>
        <v>0</v>
      </c>
      <c r="JB149" s="285">
        <f t="shared" si="1159"/>
        <v>0</v>
      </c>
      <c r="JC149" s="285">
        <f t="shared" si="1160"/>
        <v>0</v>
      </c>
      <c r="JD149" s="60">
        <f t="shared" si="1161"/>
        <v>3070415</v>
      </c>
      <c r="JE149" s="60">
        <f t="shared" si="1162"/>
        <v>1364678</v>
      </c>
      <c r="JF149" s="60">
        <f t="shared" si="1163"/>
        <v>0</v>
      </c>
      <c r="JG149" s="60">
        <f t="shared" si="1164"/>
        <v>190842</v>
      </c>
      <c r="JH149" s="284">
        <f t="shared" si="1165"/>
        <v>0</v>
      </c>
      <c r="JI149" s="284">
        <f t="shared" si="1166"/>
        <v>0</v>
      </c>
      <c r="JJ149" s="560">
        <f t="shared" si="1167"/>
        <v>0</v>
      </c>
      <c r="JK149" s="561">
        <f t="shared" si="1168"/>
        <v>0.45081230723313337</v>
      </c>
      <c r="JL149" s="561">
        <f t="shared" si="1169"/>
        <v>0</v>
      </c>
      <c r="JM149" s="561">
        <f t="shared" si="1170"/>
        <v>0</v>
      </c>
      <c r="JN149" s="561">
        <f t="shared" si="1171"/>
        <v>0.549961999543369</v>
      </c>
      <c r="JO149" s="561">
        <f t="shared" si="1172"/>
        <v>1.4332270988606118E-2</v>
      </c>
      <c r="JP149" s="561">
        <f t="shared" si="1173"/>
        <v>2.8301962664383808E-2</v>
      </c>
      <c r="JQ149" s="561">
        <f t="shared" si="1174"/>
        <v>1.0434085404294922</v>
      </c>
      <c r="JR149" s="61">
        <f t="shared" si="1175"/>
        <v>65980.166666666672</v>
      </c>
      <c r="JS149" s="61">
        <f t="shared" si="1176"/>
        <v>11446.777777777777</v>
      </c>
      <c r="JT149" s="61">
        <f t="shared" si="1177"/>
        <v>28514.888888888891</v>
      </c>
      <c r="JU149" s="61">
        <f t="shared" si="1178"/>
        <v>17536.055555555555</v>
      </c>
      <c r="JV149" s="61">
        <f t="shared" si="1179"/>
        <v>0</v>
      </c>
      <c r="JW149" s="61">
        <f t="shared" si="1180"/>
        <v>21701.888888888891</v>
      </c>
      <c r="JX149" s="61">
        <f t="shared" si="1181"/>
        <v>189.36492753623187</v>
      </c>
      <c r="JY149" s="394">
        <f t="shared" si="1182"/>
        <v>0.5595111517437914</v>
      </c>
      <c r="JZ149" s="61">
        <f t="shared" si="1183"/>
        <v>0</v>
      </c>
      <c r="KA149" s="61">
        <f t="shared" si="1184"/>
        <v>0</v>
      </c>
      <c r="KB149" s="61">
        <f t="shared" si="1185"/>
        <v>0</v>
      </c>
      <c r="KC149" s="61">
        <f t="shared" si="1186"/>
        <v>0</v>
      </c>
      <c r="KD149" s="61">
        <f t="shared" si="1187"/>
        <v>0</v>
      </c>
      <c r="KE149" s="61">
        <f t="shared" si="1188"/>
        <v>0</v>
      </c>
      <c r="KF149" s="61">
        <f t="shared" si="1189"/>
        <v>0</v>
      </c>
      <c r="KG149" s="61">
        <f t="shared" si="1190"/>
        <v>0</v>
      </c>
      <c r="KH149" s="61">
        <f t="shared" si="1191"/>
        <v>0</v>
      </c>
      <c r="KI149" s="394">
        <f t="shared" si="1192"/>
        <v>0</v>
      </c>
      <c r="KJ149" s="438">
        <f t="shared" si="1193"/>
        <v>18</v>
      </c>
      <c r="KK149" s="438">
        <f t="shared" si="1194"/>
        <v>13800</v>
      </c>
      <c r="KL149" s="438">
        <f t="shared" si="1195"/>
        <v>90</v>
      </c>
      <c r="KM149" s="438">
        <f t="shared" si="1196"/>
        <v>145179.77777777778</v>
      </c>
      <c r="KN149" s="438">
        <f t="shared" si="1197"/>
        <v>189.36492753623187</v>
      </c>
      <c r="KO149" s="438">
        <f t="shared" si="1198"/>
        <v>29035.955555555556</v>
      </c>
      <c r="KP149" s="438">
        <f t="shared" si="1199"/>
        <v>1187643</v>
      </c>
      <c r="KQ149" s="438">
        <f t="shared" si="1200"/>
        <v>206042</v>
      </c>
      <c r="KR149" s="438">
        <f t="shared" si="1201"/>
        <v>513268</v>
      </c>
      <c r="KS149" s="438">
        <f t="shared" si="1202"/>
        <v>315649</v>
      </c>
      <c r="KT149" s="438">
        <f t="shared" si="1203"/>
        <v>0</v>
      </c>
      <c r="KU149" s="438">
        <f t="shared" si="1204"/>
        <v>390634</v>
      </c>
      <c r="KV149" s="420">
        <f t="shared" si="1205"/>
        <v>0.5595111517437914</v>
      </c>
      <c r="KW149" s="420">
        <f t="shared" si="1206"/>
        <v>-0.72387673978924671</v>
      </c>
      <c r="KX149" s="108"/>
      <c r="KY149" s="282">
        <f t="shared" si="1207"/>
        <v>0</v>
      </c>
      <c r="KZ149" s="282"/>
      <c r="LA149" s="282">
        <f t="shared" si="1208"/>
        <v>0</v>
      </c>
      <c r="LB149" s="282"/>
      <c r="LC149" s="286">
        <f t="shared" si="1321"/>
        <v>0</v>
      </c>
      <c r="LD149" s="286"/>
      <c r="LE149" s="282">
        <f t="shared" si="1209"/>
        <v>0</v>
      </c>
      <c r="LF149" s="282"/>
      <c r="LG149" s="282">
        <f t="shared" si="1210"/>
        <v>0</v>
      </c>
      <c r="LH149" s="282">
        <f t="shared" si="1211"/>
        <v>0</v>
      </c>
      <c r="LI149" s="282">
        <f t="shared" si="1212"/>
        <v>0</v>
      </c>
      <c r="LJ149" s="282">
        <f t="shared" si="1213"/>
        <v>0</v>
      </c>
      <c r="LK149" s="282"/>
      <c r="LL149" s="282">
        <f t="shared" si="1214"/>
        <v>0</v>
      </c>
      <c r="LM149" s="282">
        <f t="shared" si="1215"/>
        <v>0</v>
      </c>
      <c r="LN149" s="282">
        <f t="shared" si="1216"/>
        <v>0</v>
      </c>
      <c r="LO149" s="282">
        <f t="shared" si="1217"/>
        <v>0</v>
      </c>
      <c r="LP149" s="286">
        <f t="shared" si="1218"/>
        <v>0</v>
      </c>
      <c r="LQ149" s="282">
        <f t="shared" si="1219"/>
        <v>0</v>
      </c>
      <c r="LR149" s="282">
        <f t="shared" si="1220"/>
        <v>0</v>
      </c>
      <c r="LS149" s="282">
        <f t="shared" si="1221"/>
        <v>0</v>
      </c>
      <c r="LT149" s="286">
        <f t="shared" si="1222"/>
        <v>0</v>
      </c>
      <c r="LU149" s="286">
        <f t="shared" si="1223"/>
        <v>0</v>
      </c>
      <c r="LV149" s="286">
        <f t="shared" si="1224"/>
        <v>0</v>
      </c>
      <c r="LW149" s="286">
        <f t="shared" si="1225"/>
        <v>0</v>
      </c>
      <c r="LX149" s="286">
        <f t="shared" si="1226"/>
        <v>0</v>
      </c>
      <c r="LY149" s="286">
        <f t="shared" si="1227"/>
        <v>0</v>
      </c>
      <c r="LZ149" s="286">
        <f t="shared" si="1228"/>
        <v>0</v>
      </c>
      <c r="MA149" s="286">
        <f t="shared" si="1229"/>
        <v>0</v>
      </c>
      <c r="MB149" s="286">
        <f t="shared" si="1230"/>
        <v>0</v>
      </c>
      <c r="MC149" s="286">
        <f t="shared" si="1231"/>
        <v>0</v>
      </c>
      <c r="MD149" s="286">
        <f t="shared" si="1232"/>
        <v>0</v>
      </c>
      <c r="ME149" s="286">
        <f t="shared" si="1233"/>
        <v>0</v>
      </c>
      <c r="MF149" s="286">
        <f t="shared" si="1234"/>
        <v>0</v>
      </c>
      <c r="MG149" s="286">
        <f t="shared" si="1235"/>
        <v>0</v>
      </c>
      <c r="MH149" s="286">
        <f t="shared" si="1236"/>
        <v>0</v>
      </c>
      <c r="MI149" s="286">
        <f t="shared" si="1237"/>
        <v>0</v>
      </c>
      <c r="MJ149" s="286">
        <f t="shared" si="1238"/>
        <v>0</v>
      </c>
      <c r="MK149" s="286">
        <f t="shared" si="1239"/>
        <v>0</v>
      </c>
      <c r="ML149" s="282">
        <f t="shared" si="1240"/>
        <v>0</v>
      </c>
      <c r="MM149" s="1232">
        <f t="shared" si="1241"/>
        <v>0</v>
      </c>
      <c r="MN149" s="1232">
        <f t="shared" si="1242"/>
        <v>0</v>
      </c>
      <c r="MO149" s="1232">
        <f t="shared" si="1243"/>
        <v>0</v>
      </c>
      <c r="MP149" s="1232">
        <f t="shared" si="1244"/>
        <v>0</v>
      </c>
      <c r="MQ149" s="282">
        <f t="shared" si="1245"/>
        <v>0</v>
      </c>
      <c r="MR149" s="282">
        <f t="shared" si="1246"/>
        <v>0</v>
      </c>
      <c r="MS149" s="282">
        <f t="shared" si="1247"/>
        <v>0</v>
      </c>
      <c r="MT149" s="282">
        <f t="shared" si="1248"/>
        <v>0</v>
      </c>
      <c r="MU149" s="282">
        <f t="shared" si="1249"/>
        <v>0</v>
      </c>
      <c r="MV149" s="282">
        <f t="shared" si="1250"/>
        <v>0</v>
      </c>
      <c r="MW149" s="282">
        <f t="shared" si="1251"/>
        <v>0</v>
      </c>
      <c r="MX149" s="282">
        <f t="shared" si="1252"/>
        <v>0</v>
      </c>
      <c r="MY149" s="282">
        <f t="shared" si="1253"/>
        <v>0</v>
      </c>
      <c r="MZ149" s="282">
        <f t="shared" si="1254"/>
        <v>0</v>
      </c>
      <c r="NA149" s="282">
        <f t="shared" si="1255"/>
        <v>0</v>
      </c>
      <c r="NB149" s="282">
        <f t="shared" si="1256"/>
        <v>0</v>
      </c>
      <c r="NC149" s="282">
        <f t="shared" si="1257"/>
        <v>0</v>
      </c>
      <c r="ND149" s="282">
        <f t="shared" si="1258"/>
        <v>0</v>
      </c>
      <c r="NE149" s="282">
        <f t="shared" si="1259"/>
        <v>0</v>
      </c>
      <c r="NF149" s="282">
        <f t="shared" si="1260"/>
        <v>0</v>
      </c>
      <c r="NG149" s="282">
        <f t="shared" si="1261"/>
        <v>0</v>
      </c>
      <c r="NH149" s="282">
        <f t="shared" si="1262"/>
        <v>0</v>
      </c>
      <c r="NI149" s="282">
        <f t="shared" si="1263"/>
        <v>0</v>
      </c>
      <c r="NJ149" s="282">
        <f t="shared" si="1264"/>
        <v>0</v>
      </c>
      <c r="NK149" s="282">
        <f t="shared" si="1265"/>
        <v>0</v>
      </c>
      <c r="NL149" s="282">
        <f t="shared" si="1266"/>
        <v>0</v>
      </c>
      <c r="NM149" s="1205">
        <f t="shared" si="1267"/>
        <v>0</v>
      </c>
      <c r="NN149" s="282">
        <f t="shared" si="1268"/>
        <v>0</v>
      </c>
      <c r="NO149" s="282">
        <f t="shared" si="1269"/>
        <v>0</v>
      </c>
      <c r="NP149" s="282">
        <f t="shared" si="1270"/>
        <v>0</v>
      </c>
      <c r="NQ149" s="282">
        <f t="shared" si="1271"/>
        <v>0</v>
      </c>
      <c r="NR149" s="282">
        <f t="shared" si="1272"/>
        <v>0</v>
      </c>
      <c r="NS149" s="282">
        <f t="shared" si="1273"/>
        <v>0</v>
      </c>
      <c r="NT149" s="282">
        <f t="shared" si="1274"/>
        <v>0</v>
      </c>
      <c r="NU149" s="282">
        <f t="shared" si="1275"/>
        <v>0</v>
      </c>
      <c r="NV149" s="286" t="e">
        <f t="shared" si="1276"/>
        <v>#DIV/0!</v>
      </c>
      <c r="NW149" s="286" t="e">
        <f t="shared" si="1277"/>
        <v>#DIV/0!</v>
      </c>
      <c r="NX149" s="286" t="e">
        <f t="shared" si="1278"/>
        <v>#DIV/0!</v>
      </c>
      <c r="NY149" s="286" t="e">
        <f t="shared" si="1279"/>
        <v>#DIV/0!</v>
      </c>
      <c r="NZ149" s="286" t="e">
        <f t="shared" si="1280"/>
        <v>#DIV/0!</v>
      </c>
      <c r="OA149" s="286" t="e">
        <f t="shared" si="1281"/>
        <v>#DIV/0!</v>
      </c>
      <c r="OB149" s="286" t="e">
        <f t="shared" si="1282"/>
        <v>#DIV/0!</v>
      </c>
      <c r="OC149" s="286" t="e">
        <f t="shared" si="1283"/>
        <v>#DIV/0!</v>
      </c>
      <c r="OD149" s="286" t="e">
        <f t="shared" si="1284"/>
        <v>#DIV/0!</v>
      </c>
      <c r="OE149" s="282">
        <f t="shared" si="1285"/>
        <v>0</v>
      </c>
      <c r="OF149" s="282">
        <f t="shared" si="1286"/>
        <v>0</v>
      </c>
      <c r="OG149" s="286" t="e">
        <f t="shared" si="1287"/>
        <v>#DIV/0!</v>
      </c>
      <c r="OH149" s="286" t="e">
        <f t="shared" si="1288"/>
        <v>#DIV/0!</v>
      </c>
      <c r="OI149" s="286" t="e">
        <f t="shared" si="1289"/>
        <v>#DIV/0!</v>
      </c>
      <c r="OJ149" s="286" t="e">
        <f t="shared" si="1290"/>
        <v>#DIV/0!</v>
      </c>
      <c r="OK149" s="286" t="e">
        <f t="shared" si="1291"/>
        <v>#DIV/0!</v>
      </c>
      <c r="OL149" s="286" t="e">
        <f t="shared" si="1292"/>
        <v>#DIV/0!</v>
      </c>
      <c r="OM149" s="286" t="e">
        <f t="shared" si="1293"/>
        <v>#DIV/0!</v>
      </c>
      <c r="ON149" s="286">
        <f t="shared" si="1294"/>
        <v>0</v>
      </c>
      <c r="OO149" s="286" t="e">
        <f t="shared" si="1295"/>
        <v>#DIV/0!</v>
      </c>
      <c r="OP149" s="434">
        <f t="shared" si="1296"/>
        <v>0</v>
      </c>
      <c r="OQ149" s="434">
        <f t="shared" si="1297"/>
        <v>0</v>
      </c>
      <c r="OR149" s="282">
        <f t="shared" si="1298"/>
        <v>0</v>
      </c>
      <c r="OS149" s="282">
        <f t="shared" si="1299"/>
        <v>0</v>
      </c>
      <c r="OT149" s="282">
        <f t="shared" si="1300"/>
        <v>0</v>
      </c>
      <c r="OU149" s="282">
        <f t="shared" si="1301"/>
        <v>0</v>
      </c>
      <c r="OV149" s="282">
        <f t="shared" si="1302"/>
        <v>0</v>
      </c>
      <c r="OW149" s="286">
        <f t="shared" si="1303"/>
        <v>0</v>
      </c>
      <c r="OX149" s="286">
        <f t="shared" si="1304"/>
        <v>0</v>
      </c>
      <c r="OY149" s="286">
        <f t="shared" si="1305"/>
        <v>0</v>
      </c>
      <c r="OZ149" s="286">
        <f t="shared" si="1306"/>
        <v>0</v>
      </c>
      <c r="PA149" s="286">
        <f t="shared" si="1307"/>
        <v>0</v>
      </c>
      <c r="PB149" s="286">
        <f t="shared" si="1308"/>
        <v>0</v>
      </c>
      <c r="PC149" s="286">
        <f t="shared" si="1309"/>
        <v>0</v>
      </c>
      <c r="PD149" s="282">
        <f t="shared" si="1310"/>
        <v>0</v>
      </c>
      <c r="PE149" s="282">
        <f t="shared" si="1311"/>
        <v>0</v>
      </c>
      <c r="PF149" s="286">
        <f t="shared" si="1312"/>
        <v>0</v>
      </c>
      <c r="PG149" s="286">
        <f t="shared" si="1313"/>
        <v>0</v>
      </c>
      <c r="PH149" s="286">
        <f t="shared" si="1314"/>
        <v>0</v>
      </c>
      <c r="PI149" s="286">
        <f t="shared" si="1315"/>
        <v>0</v>
      </c>
      <c r="PJ149" s="286">
        <f t="shared" si="1316"/>
        <v>0</v>
      </c>
      <c r="PK149" s="286">
        <f t="shared" si="1317"/>
        <v>0</v>
      </c>
      <c r="PL149" s="286">
        <f t="shared" si="1318"/>
        <v>0</v>
      </c>
      <c r="PM149" s="562">
        <v>93</v>
      </c>
    </row>
    <row r="150" spans="1:429" s="289" customFormat="1" ht="15.75" customHeight="1">
      <c r="A150" s="1935" t="s">
        <v>1852</v>
      </c>
      <c r="B150" s="1040" t="str">
        <f>VLOOKUP(A150,'Area (&amp;golfacre for lookup)'!$A$2:$B$162,2,FALSE)</f>
        <v>Yacht &amp; Beach</v>
      </c>
      <c r="C150" s="1936"/>
      <c r="D150" s="1937">
        <v>44834</v>
      </c>
      <c r="E150" s="402"/>
      <c r="F150" s="1936">
        <v>1</v>
      </c>
      <c r="G150" s="1936">
        <v>0</v>
      </c>
      <c r="H150" s="1936">
        <v>645</v>
      </c>
      <c r="I150" s="1936">
        <v>70</v>
      </c>
      <c r="J150" s="1936">
        <v>715</v>
      </c>
      <c r="K150" s="1938">
        <v>712.05342409240927</v>
      </c>
      <c r="L150" s="1939" t="s">
        <v>1208</v>
      </c>
      <c r="M150" s="1939" t="s">
        <v>1208</v>
      </c>
      <c r="N150" s="1939" t="s">
        <v>1208</v>
      </c>
      <c r="O150" s="1939" t="s">
        <v>1208</v>
      </c>
      <c r="P150" s="1939" t="s">
        <v>1208</v>
      </c>
      <c r="Q150" s="1936">
        <v>0</v>
      </c>
      <c r="R150" s="1936">
        <v>25000</v>
      </c>
      <c r="S150" s="1936">
        <v>25000</v>
      </c>
      <c r="T150" s="1939" t="s">
        <v>1208</v>
      </c>
      <c r="U150" s="1939" t="s">
        <v>1208</v>
      </c>
      <c r="V150" s="1939" t="s">
        <v>1208</v>
      </c>
      <c r="W150" s="1936">
        <v>5328</v>
      </c>
      <c r="X150" s="1936">
        <v>4848</v>
      </c>
      <c r="Y150" s="1939" t="s">
        <v>1208</v>
      </c>
      <c r="Z150" s="1939" t="s">
        <v>1208</v>
      </c>
      <c r="AA150" s="1936">
        <v>480</v>
      </c>
      <c r="AB150" s="1362">
        <v>9.9009900990099015E-2</v>
      </c>
      <c r="AC150" s="1939" t="s">
        <v>1208</v>
      </c>
      <c r="AD150" s="1363" t="s">
        <v>1208</v>
      </c>
      <c r="AE150" s="1936">
        <v>1</v>
      </c>
      <c r="AF150" s="1936">
        <v>3000</v>
      </c>
      <c r="AG150" s="1939" t="s">
        <v>1208</v>
      </c>
      <c r="AH150" s="1936">
        <v>0</v>
      </c>
      <c r="AI150" s="1936">
        <v>0</v>
      </c>
      <c r="AJ150" s="1939" t="s">
        <v>1208</v>
      </c>
      <c r="AK150" s="1938">
        <v>0</v>
      </c>
      <c r="AL150" s="1938">
        <v>0</v>
      </c>
      <c r="AM150" s="1936">
        <v>7848</v>
      </c>
      <c r="AN150" s="1939" t="s">
        <v>1208</v>
      </c>
      <c r="AO150" s="1936">
        <v>1500</v>
      </c>
      <c r="AP150" s="1936">
        <v>0</v>
      </c>
      <c r="AQ150" s="1936">
        <v>9348</v>
      </c>
      <c r="AR150" s="1939" t="s">
        <v>1208</v>
      </c>
      <c r="AS150" s="1363" t="s">
        <v>1208</v>
      </c>
      <c r="AT150" s="1363" t="s">
        <v>1208</v>
      </c>
      <c r="AU150" s="1363" t="s">
        <v>1208</v>
      </c>
      <c r="AV150" s="1363" t="s">
        <v>1208</v>
      </c>
      <c r="AW150" s="1363" t="s">
        <v>1291</v>
      </c>
      <c r="AX150" s="1938">
        <v>0</v>
      </c>
      <c r="AY150" s="1938">
        <v>0</v>
      </c>
      <c r="AZ150" s="1938">
        <v>0</v>
      </c>
      <c r="BA150" s="1938">
        <v>0</v>
      </c>
      <c r="BB150" s="1938">
        <v>0</v>
      </c>
      <c r="BC150" s="1938">
        <v>0</v>
      </c>
      <c r="BD150" s="1938">
        <v>0</v>
      </c>
      <c r="BE150" s="1936">
        <v>0</v>
      </c>
      <c r="BF150" s="1936">
        <v>0</v>
      </c>
      <c r="BG150" s="1936">
        <v>759500</v>
      </c>
      <c r="BH150" s="1936">
        <v>759500</v>
      </c>
      <c r="BI150" s="1938">
        <v>11933583</v>
      </c>
      <c r="BJ150" s="1936">
        <v>512951</v>
      </c>
      <c r="BK150" s="1936">
        <v>931230</v>
      </c>
      <c r="BL150" s="1362">
        <v>0.55083169571427038</v>
      </c>
      <c r="BM150" s="1936">
        <v>1</v>
      </c>
      <c r="BN150" s="1936">
        <v>9554898</v>
      </c>
      <c r="BO150" s="1363" t="s">
        <v>1208</v>
      </c>
      <c r="BP150" s="1938">
        <v>7355753</v>
      </c>
      <c r="BQ150" s="1938">
        <v>1850160</v>
      </c>
      <c r="BR150" s="1940">
        <v>3.9757388550179442</v>
      </c>
      <c r="BS150" s="1409">
        <v>1</v>
      </c>
      <c r="BT150" s="1938">
        <v>10930491</v>
      </c>
      <c r="BU150" s="1938">
        <v>8864219</v>
      </c>
      <c r="BV150" s="1940">
        <v>1.2331025440594372</v>
      </c>
      <c r="BW150" s="1936">
        <v>13418.793698209896</v>
      </c>
      <c r="BX150" s="1936">
        <v>720.38274467089695</v>
      </c>
      <c r="BY150" s="1936">
        <v>1066.6334495449785</v>
      </c>
      <c r="BZ150" s="1936">
        <v>0</v>
      </c>
      <c r="CA150" s="1936">
        <v>0</v>
      </c>
      <c r="CB150" s="1936">
        <v>0</v>
      </c>
      <c r="CC150" s="1936">
        <v>1805598</v>
      </c>
      <c r="CD150" s="1936">
        <v>3452035</v>
      </c>
      <c r="CE150" s="1936">
        <v>0</v>
      </c>
      <c r="CF150" s="1936">
        <v>0</v>
      </c>
      <c r="CG150" s="1936">
        <v>2175897</v>
      </c>
      <c r="CH150" s="1936">
        <v>1398606</v>
      </c>
      <c r="CI150" s="1936">
        <v>192279</v>
      </c>
      <c r="CJ150" s="1936">
        <v>9024415</v>
      </c>
      <c r="CK150" s="1366">
        <v>0</v>
      </c>
      <c r="CL150" s="1366">
        <v>0</v>
      </c>
      <c r="CM150" s="1366">
        <v>0</v>
      </c>
      <c r="CN150" s="1366">
        <v>0.20007922951238391</v>
      </c>
      <c r="CO150" s="1366">
        <v>0.38252174794709687</v>
      </c>
      <c r="CP150" s="1366">
        <v>0</v>
      </c>
      <c r="CQ150" s="1366">
        <v>0</v>
      </c>
      <c r="CR150" s="1366">
        <v>0.24111224938126183</v>
      </c>
      <c r="CS150" s="1366">
        <v>0.15498023971636943</v>
      </c>
      <c r="CT150" s="1366">
        <v>2.1306533442887989E-2</v>
      </c>
      <c r="CU150" s="1366">
        <v>1</v>
      </c>
      <c r="CV150" s="1936">
        <v>4233368</v>
      </c>
      <c r="CW150" s="1936">
        <v>1414159</v>
      </c>
      <c r="CX150" s="1936">
        <v>0</v>
      </c>
      <c r="CY150" s="1936">
        <v>2689971</v>
      </c>
      <c r="CZ150" s="1936">
        <v>263852</v>
      </c>
      <c r="DA150" s="1936">
        <v>99387</v>
      </c>
      <c r="DB150" s="1936">
        <v>8700737</v>
      </c>
      <c r="DC150" s="1366">
        <v>0.4865528058140362</v>
      </c>
      <c r="DD150" s="1366">
        <v>0.16253324287356347</v>
      </c>
      <c r="DE150" s="1366">
        <v>0</v>
      </c>
      <c r="DF150" s="1366">
        <v>0.3091658787065969</v>
      </c>
      <c r="DG150" s="1366">
        <v>3.0325247160096897E-2</v>
      </c>
      <c r="DH150" s="1366">
        <v>1.1422825445706495E-2</v>
      </c>
      <c r="DI150" s="1366">
        <v>1</v>
      </c>
      <c r="DJ150" s="1936">
        <v>323678</v>
      </c>
      <c r="DK150" s="1936">
        <v>0</v>
      </c>
      <c r="DL150" s="1936">
        <v>0</v>
      </c>
      <c r="DM150" s="1936">
        <v>0</v>
      </c>
      <c r="DN150" s="1936">
        <v>2535.7619792383334</v>
      </c>
      <c r="DO150" s="1936">
        <v>4848</v>
      </c>
      <c r="DP150" s="1936">
        <v>0</v>
      </c>
      <c r="DQ150" s="1936">
        <v>0</v>
      </c>
      <c r="DR150" s="1936">
        <v>3055.805823521488</v>
      </c>
      <c r="DS150" s="1936">
        <v>1964.1868891827573</v>
      </c>
      <c r="DT150" s="1936">
        <v>270.03451355504797</v>
      </c>
      <c r="DU150" s="1936">
        <v>12673.789205497626</v>
      </c>
      <c r="DV150" s="1936">
        <v>5945.2954746982577</v>
      </c>
      <c r="DW150" s="1936">
        <v>1986.0293513825902</v>
      </c>
      <c r="DX150" s="1936">
        <v>0</v>
      </c>
      <c r="DY150" s="1936">
        <v>3777.7656970453659</v>
      </c>
      <c r="DZ150" s="1936">
        <v>370.55084783323457</v>
      </c>
      <c r="EA150" s="1936">
        <v>139.57801007231964</v>
      </c>
      <c r="EB150" s="1936">
        <v>12219.219381031768</v>
      </c>
      <c r="EC150" s="1936">
        <v>454.56982446585852</v>
      </c>
      <c r="ED150" s="1941">
        <v>80</v>
      </c>
      <c r="EE150" s="1936">
        <v>0</v>
      </c>
      <c r="EF150" s="1936">
        <v>0</v>
      </c>
      <c r="EG150" s="1938">
        <v>0</v>
      </c>
      <c r="EH150" s="1938">
        <v>1</v>
      </c>
      <c r="EI150" s="1368">
        <v>2.8000000000000001E-2</v>
      </c>
      <c r="EJ150" s="1936">
        <v>8.9006678011551159</v>
      </c>
      <c r="EK150" s="1936">
        <v>1</v>
      </c>
      <c r="EL150" s="1936">
        <v>1500</v>
      </c>
      <c r="EM150" s="1936">
        <v>1</v>
      </c>
      <c r="EN150" s="1362">
        <v>0.2</v>
      </c>
      <c r="EO150" s="1936">
        <v>0</v>
      </c>
      <c r="EP150" s="1936">
        <v>0</v>
      </c>
      <c r="EQ150" s="1936">
        <v>0</v>
      </c>
      <c r="ER150" s="1938">
        <v>0</v>
      </c>
      <c r="ES150" s="1936">
        <v>5019.9927127042456</v>
      </c>
      <c r="ET150" s="1936">
        <v>-542.95504651604051</v>
      </c>
      <c r="EU150" s="1938">
        <v>2</v>
      </c>
      <c r="EV150" s="1936">
        <v>73092</v>
      </c>
      <c r="EW150" s="1936">
        <v>19216</v>
      </c>
      <c r="EX150" s="1938">
        <v>1</v>
      </c>
      <c r="EY150" s="1936">
        <v>2175897</v>
      </c>
      <c r="EZ150" s="1936">
        <v>901309</v>
      </c>
      <c r="FA150" s="1936">
        <v>1274588</v>
      </c>
      <c r="FB150" s="1936">
        <v>1398606</v>
      </c>
      <c r="FC150" s="1936">
        <v>512850</v>
      </c>
      <c r="FD150" s="1936">
        <v>885756</v>
      </c>
      <c r="FE150" s="1936">
        <v>3574503</v>
      </c>
      <c r="FF150" s="1936">
        <v>1414159</v>
      </c>
      <c r="FG150" s="1936">
        <v>2160344</v>
      </c>
      <c r="FH150" s="1366">
        <v>1</v>
      </c>
      <c r="FI150" s="1366">
        <v>0.41422411079200899</v>
      </c>
      <c r="FJ150" s="1366">
        <v>0.58577588920799095</v>
      </c>
      <c r="FK150" s="1366">
        <v>1</v>
      </c>
      <c r="FL150" s="1366">
        <v>0.36668654360127156</v>
      </c>
      <c r="FM150" s="1366">
        <v>0.63331345639872849</v>
      </c>
      <c r="FN150" s="1366">
        <v>1</v>
      </c>
      <c r="FO150" s="1366">
        <v>0.39562395107795406</v>
      </c>
      <c r="FP150" s="1366">
        <v>0.60437604892204599</v>
      </c>
      <c r="FQ150" s="1936">
        <v>1584778</v>
      </c>
      <c r="FR150" s="1936">
        <v>0</v>
      </c>
      <c r="FS150" s="1936">
        <v>514803</v>
      </c>
      <c r="FT150" s="1936">
        <v>35868</v>
      </c>
      <c r="FU150" s="1936">
        <v>10856</v>
      </c>
      <c r="FV150" s="1936">
        <v>88473</v>
      </c>
      <c r="FW150" s="1936">
        <v>312179</v>
      </c>
      <c r="FX150" s="1936">
        <v>2546957</v>
      </c>
      <c r="FY150" s="1936">
        <v>-386613</v>
      </c>
      <c r="FZ150" s="1366">
        <v>0.44335618126491988</v>
      </c>
      <c r="GA150" s="1366">
        <v>0</v>
      </c>
      <c r="GB150" s="1366">
        <v>0.14402086108194623</v>
      </c>
      <c r="GC150" s="1366">
        <v>1.0034401985394893E-2</v>
      </c>
      <c r="GD150" s="1366">
        <v>3.0370655724725926E-3</v>
      </c>
      <c r="GE150" s="1366">
        <v>2.4751133234466441E-2</v>
      </c>
      <c r="GF150" s="1366">
        <v>8.7334938591462921E-2</v>
      </c>
      <c r="GG150" s="1366">
        <v>0.71253458173066297</v>
      </c>
      <c r="GH150" s="1366">
        <v>-0.10815853280861704</v>
      </c>
      <c r="GI150" s="1942">
        <v>1.5557612365455318</v>
      </c>
      <c r="GJ150" s="1943">
        <v>1</v>
      </c>
      <c r="GK150" s="1371">
        <v>0.08</v>
      </c>
      <c r="GL150" s="1943">
        <v>0</v>
      </c>
      <c r="GM150" s="1371">
        <v>0</v>
      </c>
      <c r="GN150" s="1943">
        <v>0</v>
      </c>
      <c r="GO150" s="1985">
        <f>IF(GN150=0,0,VLOOKUP(A150,'Area (&amp;golfacre for lookup)'!$G$2:$H$133,2,FALSE))</f>
        <v>0</v>
      </c>
      <c r="GP150" s="1943">
        <v>0</v>
      </c>
      <c r="GQ150" s="1943">
        <v>0</v>
      </c>
      <c r="GR150" s="1943">
        <v>0</v>
      </c>
      <c r="GS150" s="1943">
        <v>0</v>
      </c>
      <c r="GT150" s="1943">
        <v>0</v>
      </c>
      <c r="GU150" s="1943">
        <v>0</v>
      </c>
      <c r="GV150" s="1943">
        <v>0</v>
      </c>
      <c r="GW150" s="1943">
        <v>0</v>
      </c>
      <c r="GX150" s="1936">
        <v>0</v>
      </c>
      <c r="GY150" s="1985">
        <f t="shared" si="1319"/>
        <v>0</v>
      </c>
      <c r="GZ150" s="1936">
        <v>0</v>
      </c>
      <c r="HA150" s="1936">
        <v>0</v>
      </c>
      <c r="HB150" s="1936">
        <v>0</v>
      </c>
      <c r="HC150" s="1936">
        <v>0</v>
      </c>
      <c r="HD150" s="1936">
        <v>0</v>
      </c>
      <c r="HE150" s="1936">
        <v>0</v>
      </c>
      <c r="HF150" s="1936">
        <v>0</v>
      </c>
      <c r="HG150" s="1936">
        <v>0</v>
      </c>
      <c r="HH150" s="1988">
        <f>IF(HG150=0,0,VLOOKUP(A150,'Area (&amp;golfacre for lookup)'!$G$2:$H$134,2,FALSE))</f>
        <v>0</v>
      </c>
      <c r="HI150" s="1936">
        <v>0</v>
      </c>
      <c r="HJ150" s="1936">
        <v>0</v>
      </c>
      <c r="HK150" s="1936">
        <v>0</v>
      </c>
      <c r="HL150" s="1936">
        <v>0</v>
      </c>
      <c r="HM150" s="1936">
        <v>0</v>
      </c>
      <c r="HN150" s="1936">
        <v>0</v>
      </c>
      <c r="HO150" s="1936">
        <v>0</v>
      </c>
      <c r="HP150" s="1936">
        <v>0</v>
      </c>
      <c r="HQ150" s="1936">
        <v>0</v>
      </c>
      <c r="HR150" s="1988">
        <f t="shared" si="1320"/>
        <v>0</v>
      </c>
      <c r="HS150" s="1936">
        <v>0</v>
      </c>
      <c r="HT150" s="1936">
        <v>0</v>
      </c>
      <c r="HU150" s="1936">
        <v>0</v>
      </c>
      <c r="HV150" s="1936">
        <v>0</v>
      </c>
      <c r="HW150" s="1936">
        <v>0</v>
      </c>
      <c r="HX150" s="1936">
        <v>0</v>
      </c>
      <c r="HY150" s="1936">
        <v>0</v>
      </c>
      <c r="HZ150" s="51"/>
      <c r="IA150" s="59">
        <f t="shared" si="1136"/>
        <v>0</v>
      </c>
      <c r="IB150" s="59"/>
      <c r="IC150" s="815">
        <f t="shared" si="1137"/>
        <v>1</v>
      </c>
      <c r="ID150" s="815"/>
      <c r="IE150" s="284">
        <f t="shared" si="1138"/>
        <v>0</v>
      </c>
      <c r="IF150" s="284"/>
      <c r="IG150" s="284">
        <f t="shared" si="1139"/>
        <v>16759.392759343402</v>
      </c>
      <c r="IH150" s="284"/>
      <c r="II150" s="1288">
        <f t="shared" si="1140"/>
        <v>3.9757388550179442</v>
      </c>
      <c r="IJ150" s="1288">
        <f t="shared" si="1141"/>
        <v>0</v>
      </c>
      <c r="IK150" s="284">
        <f t="shared" si="1142"/>
        <v>0</v>
      </c>
      <c r="IL150" s="284">
        <f t="shared" si="1143"/>
        <v>0</v>
      </c>
      <c r="IM150" s="284">
        <f t="shared" si="1144"/>
        <v>1</v>
      </c>
      <c r="IN150" s="284">
        <f t="shared" si="1145"/>
        <v>0</v>
      </c>
      <c r="IO150" s="753">
        <f t="shared" si="1146"/>
        <v>-540.71748251748249</v>
      </c>
      <c r="IP150" s="113">
        <f t="shared" si="1147"/>
        <v>-542.95504651604051</v>
      </c>
      <c r="IQ150" s="30">
        <f t="shared" si="1148"/>
        <v>-0.11199567791172453</v>
      </c>
      <c r="IR150" s="438">
        <f t="shared" si="1149"/>
        <v>2175897</v>
      </c>
      <c r="IS150" s="438">
        <f t="shared" si="1150"/>
        <v>1398606</v>
      </c>
      <c r="IT150" s="438">
        <f t="shared" si="1151"/>
        <v>1584778</v>
      </c>
      <c r="IU150" s="438">
        <f t="shared" si="1152"/>
        <v>550671</v>
      </c>
      <c r="IV150" s="438">
        <f t="shared" si="1153"/>
        <v>1414159</v>
      </c>
      <c r="IW150" s="438">
        <f t="shared" si="1154"/>
        <v>411508</v>
      </c>
      <c r="IX150" s="285">
        <f t="shared" si="1155"/>
        <v>0.60872714332593925</v>
      </c>
      <c r="IY150" s="285">
        <f t="shared" si="1156"/>
        <v>0.3912728566740607</v>
      </c>
      <c r="IZ150" s="285">
        <f t="shared" si="1157"/>
        <v>0.44335618126491988</v>
      </c>
      <c r="JA150" s="285">
        <f t="shared" si="1158"/>
        <v>0.1540552630673411</v>
      </c>
      <c r="JB150" s="285">
        <f t="shared" si="1159"/>
        <v>0.39562395107795406</v>
      </c>
      <c r="JC150" s="285">
        <f t="shared" si="1160"/>
        <v>0.11512313739840196</v>
      </c>
      <c r="JD150" s="60">
        <f t="shared" si="1161"/>
        <v>3452035</v>
      </c>
      <c r="JE150" s="60">
        <f t="shared" si="1162"/>
        <v>1805598</v>
      </c>
      <c r="JF150" s="60">
        <f t="shared" si="1163"/>
        <v>0</v>
      </c>
      <c r="JG150" s="60">
        <f t="shared" si="1164"/>
        <v>363239</v>
      </c>
      <c r="JH150" s="284">
        <f t="shared" si="1165"/>
        <v>1</v>
      </c>
      <c r="JI150" s="284" t="str">
        <f t="shared" si="1166"/>
        <v/>
      </c>
      <c r="JJ150" s="560">
        <f t="shared" si="1167"/>
        <v>0</v>
      </c>
      <c r="JK150" s="561">
        <f t="shared" si="1168"/>
        <v>0.4691016536805987</v>
      </c>
      <c r="JL150" s="561">
        <f t="shared" si="1169"/>
        <v>0.15670367552910633</v>
      </c>
      <c r="JM150" s="561">
        <f t="shared" si="1170"/>
        <v>0</v>
      </c>
      <c r="JN150" s="561">
        <f t="shared" si="1171"/>
        <v>0.29807704986971456</v>
      </c>
      <c r="JO150" s="561">
        <f t="shared" si="1172"/>
        <v>2.9237573848277146E-2</v>
      </c>
      <c r="JP150" s="561">
        <f t="shared" si="1173"/>
        <v>1.1013123842376486E-2</v>
      </c>
      <c r="JQ150" s="561">
        <f t="shared" si="1174"/>
        <v>0.96413307677007321</v>
      </c>
      <c r="JR150" s="61">
        <f t="shared" si="1175"/>
        <v>0</v>
      </c>
      <c r="JS150" s="61">
        <f t="shared" si="1176"/>
        <v>0</v>
      </c>
      <c r="JT150" s="61">
        <f t="shared" si="1177"/>
        <v>0</v>
      </c>
      <c r="JU150" s="61">
        <f t="shared" si="1178"/>
        <v>0</v>
      </c>
      <c r="JV150" s="61">
        <f t="shared" si="1179"/>
        <v>0</v>
      </c>
      <c r="JW150" s="61">
        <f t="shared" si="1180"/>
        <v>0</v>
      </c>
      <c r="JX150" s="61">
        <f t="shared" si="1181"/>
        <v>0</v>
      </c>
      <c r="JY150" s="394">
        <f t="shared" si="1182"/>
        <v>0</v>
      </c>
      <c r="JZ150" s="61">
        <f t="shared" si="1183"/>
        <v>0</v>
      </c>
      <c r="KA150" s="61">
        <f t="shared" si="1184"/>
        <v>0</v>
      </c>
      <c r="KB150" s="61">
        <f t="shared" si="1185"/>
        <v>0</v>
      </c>
      <c r="KC150" s="61">
        <f t="shared" si="1186"/>
        <v>0</v>
      </c>
      <c r="KD150" s="61">
        <f t="shared" si="1187"/>
        <v>0</v>
      </c>
      <c r="KE150" s="61">
        <f t="shared" si="1188"/>
        <v>0</v>
      </c>
      <c r="KF150" s="61">
        <f t="shared" si="1189"/>
        <v>0</v>
      </c>
      <c r="KG150" s="61">
        <f t="shared" si="1190"/>
        <v>0</v>
      </c>
      <c r="KH150" s="61">
        <f t="shared" si="1191"/>
        <v>0</v>
      </c>
      <c r="KI150" s="394">
        <f t="shared" si="1192"/>
        <v>0</v>
      </c>
      <c r="KJ150" s="438">
        <f t="shared" si="1193"/>
        <v>0</v>
      </c>
      <c r="KK150" s="438">
        <f t="shared" si="1194"/>
        <v>0</v>
      </c>
      <c r="KL150" s="438">
        <f t="shared" si="1195"/>
        <v>0</v>
      </c>
      <c r="KM150" s="438">
        <f t="shared" si="1196"/>
        <v>0</v>
      </c>
      <c r="KN150" s="438">
        <f t="shared" si="1197"/>
        <v>0</v>
      </c>
      <c r="KO150" s="438">
        <f t="shared" si="1198"/>
        <v>0</v>
      </c>
      <c r="KP150" s="438">
        <f t="shared" si="1199"/>
        <v>0</v>
      </c>
      <c r="KQ150" s="438">
        <f t="shared" si="1200"/>
        <v>0</v>
      </c>
      <c r="KR150" s="438">
        <f t="shared" si="1201"/>
        <v>0</v>
      </c>
      <c r="KS150" s="438">
        <f t="shared" si="1202"/>
        <v>0</v>
      </c>
      <c r="KT150" s="438">
        <f t="shared" si="1203"/>
        <v>0</v>
      </c>
      <c r="KU150" s="438">
        <f t="shared" si="1204"/>
        <v>0</v>
      </c>
      <c r="KV150" s="420">
        <f t="shared" si="1205"/>
        <v>0</v>
      </c>
      <c r="KW150" s="420">
        <f t="shared" si="1206"/>
        <v>0</v>
      </c>
      <c r="KX150" s="108"/>
      <c r="KY150" s="282">
        <f t="shared" si="1207"/>
        <v>0</v>
      </c>
      <c r="KZ150" s="282"/>
      <c r="LA150" s="282">
        <f t="shared" si="1208"/>
        <v>0</v>
      </c>
      <c r="LB150" s="282"/>
      <c r="LC150" s="286">
        <f t="shared" si="1321"/>
        <v>0</v>
      </c>
      <c r="LD150" s="286"/>
      <c r="LE150" s="282">
        <f t="shared" si="1209"/>
        <v>0</v>
      </c>
      <c r="LF150" s="282"/>
      <c r="LG150" s="282">
        <f t="shared" si="1210"/>
        <v>0</v>
      </c>
      <c r="LH150" s="282">
        <f t="shared" si="1211"/>
        <v>0</v>
      </c>
      <c r="LI150" s="282">
        <f t="shared" si="1212"/>
        <v>0</v>
      </c>
      <c r="LJ150" s="282">
        <f t="shared" si="1213"/>
        <v>0</v>
      </c>
      <c r="LK150" s="282"/>
      <c r="LL150" s="282">
        <f t="shared" si="1214"/>
        <v>0</v>
      </c>
      <c r="LM150" s="282">
        <f t="shared" si="1215"/>
        <v>0</v>
      </c>
      <c r="LN150" s="282">
        <f t="shared" si="1216"/>
        <v>0</v>
      </c>
      <c r="LO150" s="282">
        <f t="shared" si="1217"/>
        <v>0</v>
      </c>
      <c r="LP150" s="286">
        <f t="shared" si="1218"/>
        <v>0</v>
      </c>
      <c r="LQ150" s="282">
        <f t="shared" si="1219"/>
        <v>0</v>
      </c>
      <c r="LR150" s="282">
        <f t="shared" si="1220"/>
        <v>0</v>
      </c>
      <c r="LS150" s="282">
        <f t="shared" si="1221"/>
        <v>0</v>
      </c>
      <c r="LT150" s="286">
        <f t="shared" si="1222"/>
        <v>0</v>
      </c>
      <c r="LU150" s="286">
        <f t="shared" si="1223"/>
        <v>0</v>
      </c>
      <c r="LV150" s="286">
        <f t="shared" si="1224"/>
        <v>0</v>
      </c>
      <c r="LW150" s="286">
        <f t="shared" si="1225"/>
        <v>0</v>
      </c>
      <c r="LX150" s="286">
        <f t="shared" si="1226"/>
        <v>0</v>
      </c>
      <c r="LY150" s="286">
        <f t="shared" si="1227"/>
        <v>0</v>
      </c>
      <c r="LZ150" s="286">
        <f t="shared" si="1228"/>
        <v>0</v>
      </c>
      <c r="MA150" s="286">
        <f t="shared" si="1229"/>
        <v>0</v>
      </c>
      <c r="MB150" s="286">
        <f t="shared" si="1230"/>
        <v>0</v>
      </c>
      <c r="MC150" s="286">
        <f t="shared" si="1231"/>
        <v>0</v>
      </c>
      <c r="MD150" s="286">
        <f t="shared" si="1232"/>
        <v>0</v>
      </c>
      <c r="ME150" s="286">
        <f t="shared" si="1233"/>
        <v>0</v>
      </c>
      <c r="MF150" s="286">
        <f t="shared" si="1234"/>
        <v>0</v>
      </c>
      <c r="MG150" s="286">
        <f t="shared" si="1235"/>
        <v>0</v>
      </c>
      <c r="MH150" s="286">
        <f t="shared" si="1236"/>
        <v>0</v>
      </c>
      <c r="MI150" s="286">
        <f t="shared" si="1237"/>
        <v>0</v>
      </c>
      <c r="MJ150" s="286">
        <f t="shared" si="1238"/>
        <v>0</v>
      </c>
      <c r="MK150" s="286">
        <f t="shared" si="1239"/>
        <v>0</v>
      </c>
      <c r="ML150" s="282">
        <f t="shared" si="1240"/>
        <v>0</v>
      </c>
      <c r="MM150" s="1232">
        <f t="shared" si="1241"/>
        <v>0</v>
      </c>
      <c r="MN150" s="1232">
        <f t="shared" si="1242"/>
        <v>0</v>
      </c>
      <c r="MO150" s="1232">
        <f t="shared" si="1243"/>
        <v>0</v>
      </c>
      <c r="MP150" s="1232">
        <f t="shared" si="1244"/>
        <v>0</v>
      </c>
      <c r="MQ150" s="282">
        <f t="shared" si="1245"/>
        <v>0</v>
      </c>
      <c r="MR150" s="282">
        <f t="shared" si="1246"/>
        <v>0</v>
      </c>
      <c r="MS150" s="282">
        <f t="shared" si="1247"/>
        <v>0</v>
      </c>
      <c r="MT150" s="282">
        <f t="shared" si="1248"/>
        <v>0</v>
      </c>
      <c r="MU150" s="282">
        <f t="shared" si="1249"/>
        <v>0</v>
      </c>
      <c r="MV150" s="282">
        <f t="shared" si="1250"/>
        <v>0</v>
      </c>
      <c r="MW150" s="282">
        <f t="shared" si="1251"/>
        <v>0</v>
      </c>
      <c r="MX150" s="282">
        <f t="shared" si="1252"/>
        <v>0</v>
      </c>
      <c r="MY150" s="282">
        <f t="shared" si="1253"/>
        <v>0</v>
      </c>
      <c r="MZ150" s="282">
        <f t="shared" si="1254"/>
        <v>0</v>
      </c>
      <c r="NA150" s="282">
        <f t="shared" si="1255"/>
        <v>0</v>
      </c>
      <c r="NB150" s="282">
        <f t="shared" si="1256"/>
        <v>0</v>
      </c>
      <c r="NC150" s="282">
        <f t="shared" si="1257"/>
        <v>0</v>
      </c>
      <c r="ND150" s="282">
        <f t="shared" si="1258"/>
        <v>0</v>
      </c>
      <c r="NE150" s="282">
        <f t="shared" si="1259"/>
        <v>0</v>
      </c>
      <c r="NF150" s="282">
        <f t="shared" si="1260"/>
        <v>0</v>
      </c>
      <c r="NG150" s="282">
        <f t="shared" si="1261"/>
        <v>0</v>
      </c>
      <c r="NH150" s="282">
        <f t="shared" si="1262"/>
        <v>0</v>
      </c>
      <c r="NI150" s="282">
        <f t="shared" si="1263"/>
        <v>0</v>
      </c>
      <c r="NJ150" s="282">
        <f t="shared" si="1264"/>
        <v>0</v>
      </c>
      <c r="NK150" s="282">
        <f t="shared" si="1265"/>
        <v>0</v>
      </c>
      <c r="NL150" s="282">
        <f t="shared" si="1266"/>
        <v>0</v>
      </c>
      <c r="NM150" s="1205">
        <f t="shared" si="1267"/>
        <v>0</v>
      </c>
      <c r="NN150" s="282">
        <f t="shared" si="1268"/>
        <v>0</v>
      </c>
      <c r="NO150" s="282">
        <f t="shared" si="1269"/>
        <v>0</v>
      </c>
      <c r="NP150" s="282">
        <f t="shared" si="1270"/>
        <v>0</v>
      </c>
      <c r="NQ150" s="282">
        <f t="shared" si="1271"/>
        <v>0</v>
      </c>
      <c r="NR150" s="282">
        <f t="shared" si="1272"/>
        <v>0</v>
      </c>
      <c r="NS150" s="282">
        <f t="shared" si="1273"/>
        <v>0</v>
      </c>
      <c r="NT150" s="282">
        <f t="shared" si="1274"/>
        <v>0</v>
      </c>
      <c r="NU150" s="282">
        <f t="shared" si="1275"/>
        <v>0</v>
      </c>
      <c r="NV150" s="286">
        <f t="shared" si="1276"/>
        <v>0</v>
      </c>
      <c r="NW150" s="286">
        <f t="shared" si="1277"/>
        <v>0</v>
      </c>
      <c r="NX150" s="286">
        <f t="shared" si="1278"/>
        <v>0</v>
      </c>
      <c r="NY150" s="286">
        <f t="shared" si="1279"/>
        <v>0</v>
      </c>
      <c r="NZ150" s="286">
        <f t="shared" si="1280"/>
        <v>0</v>
      </c>
      <c r="OA150" s="286">
        <f t="shared" si="1281"/>
        <v>0</v>
      </c>
      <c r="OB150" s="286">
        <f t="shared" si="1282"/>
        <v>0</v>
      </c>
      <c r="OC150" s="286">
        <f t="shared" si="1283"/>
        <v>0</v>
      </c>
      <c r="OD150" s="286">
        <f t="shared" si="1284"/>
        <v>0</v>
      </c>
      <c r="OE150" s="282">
        <f t="shared" si="1285"/>
        <v>0</v>
      </c>
      <c r="OF150" s="282">
        <f t="shared" si="1286"/>
        <v>0</v>
      </c>
      <c r="OG150" s="286">
        <f t="shared" si="1287"/>
        <v>0</v>
      </c>
      <c r="OH150" s="286">
        <f t="shared" si="1288"/>
        <v>0</v>
      </c>
      <c r="OI150" s="286">
        <f t="shared" si="1289"/>
        <v>0</v>
      </c>
      <c r="OJ150" s="286">
        <f t="shared" si="1290"/>
        <v>0</v>
      </c>
      <c r="OK150" s="286">
        <f t="shared" si="1291"/>
        <v>0</v>
      </c>
      <c r="OL150" s="286">
        <f t="shared" si="1292"/>
        <v>0</v>
      </c>
      <c r="OM150" s="286">
        <f t="shared" si="1293"/>
        <v>0</v>
      </c>
      <c r="ON150" s="286">
        <f t="shared" si="1294"/>
        <v>0</v>
      </c>
      <c r="OO150" s="286">
        <f t="shared" si="1295"/>
        <v>0</v>
      </c>
      <c r="OP150" s="434">
        <f t="shared" si="1296"/>
        <v>0</v>
      </c>
      <c r="OQ150" s="434">
        <f t="shared" si="1297"/>
        <v>0</v>
      </c>
      <c r="OR150" s="282">
        <f t="shared" si="1298"/>
        <v>0</v>
      </c>
      <c r="OS150" s="282">
        <f t="shared" si="1299"/>
        <v>0</v>
      </c>
      <c r="OT150" s="282">
        <f t="shared" si="1300"/>
        <v>0</v>
      </c>
      <c r="OU150" s="282">
        <f t="shared" si="1301"/>
        <v>0</v>
      </c>
      <c r="OV150" s="282">
        <f t="shared" si="1302"/>
        <v>0</v>
      </c>
      <c r="OW150" s="286">
        <f t="shared" si="1303"/>
        <v>0</v>
      </c>
      <c r="OX150" s="286">
        <f t="shared" si="1304"/>
        <v>0</v>
      </c>
      <c r="OY150" s="286">
        <f t="shared" si="1305"/>
        <v>0</v>
      </c>
      <c r="OZ150" s="286">
        <f t="shared" si="1306"/>
        <v>0</v>
      </c>
      <c r="PA150" s="286">
        <f t="shared" si="1307"/>
        <v>0</v>
      </c>
      <c r="PB150" s="286">
        <f t="shared" si="1308"/>
        <v>0</v>
      </c>
      <c r="PC150" s="286">
        <f t="shared" si="1309"/>
        <v>0</v>
      </c>
      <c r="PD150" s="282">
        <f t="shared" si="1310"/>
        <v>0</v>
      </c>
      <c r="PE150" s="282">
        <f t="shared" si="1311"/>
        <v>0</v>
      </c>
      <c r="PF150" s="286">
        <f t="shared" si="1312"/>
        <v>0</v>
      </c>
      <c r="PG150" s="286">
        <f t="shared" si="1313"/>
        <v>0</v>
      </c>
      <c r="PH150" s="286">
        <f t="shared" si="1314"/>
        <v>0</v>
      </c>
      <c r="PI150" s="286">
        <f t="shared" si="1315"/>
        <v>0</v>
      </c>
      <c r="PJ150" s="286">
        <f t="shared" si="1316"/>
        <v>0</v>
      </c>
      <c r="PK150" s="286">
        <f t="shared" si="1317"/>
        <v>0</v>
      </c>
      <c r="PL150" s="286">
        <f t="shared" si="1318"/>
        <v>0</v>
      </c>
      <c r="PM150" s="562">
        <v>94</v>
      </c>
    </row>
    <row r="151" spans="1:429" s="289" customFormat="1" ht="15.75" customHeight="1">
      <c r="A151" s="1935" t="s">
        <v>553</v>
      </c>
      <c r="B151" s="1040" t="str">
        <f>VLOOKUP(A151,'Area (&amp;golfacre for lookup)'!$A$2:$B$162,2,FALSE)</f>
        <v>North&amp;Central</v>
      </c>
      <c r="C151" s="1936"/>
      <c r="D151" s="1937">
        <v>44926</v>
      </c>
      <c r="E151" s="402"/>
      <c r="F151" s="1936">
        <v>1</v>
      </c>
      <c r="G151" s="1936">
        <v>0</v>
      </c>
      <c r="H151" s="1936">
        <v>636</v>
      </c>
      <c r="I151" s="1936">
        <v>821</v>
      </c>
      <c r="J151" s="1936">
        <v>1457</v>
      </c>
      <c r="K151" s="1938">
        <v>892.97216330858964</v>
      </c>
      <c r="L151" s="1939" t="s">
        <v>1208</v>
      </c>
      <c r="M151" s="1939" t="s">
        <v>1208</v>
      </c>
      <c r="N151" s="1939" t="s">
        <v>1208</v>
      </c>
      <c r="O151" s="1939" t="s">
        <v>1208</v>
      </c>
      <c r="P151" s="1939" t="s">
        <v>1208</v>
      </c>
      <c r="Q151" s="1936">
        <v>0</v>
      </c>
      <c r="R151" s="1936">
        <v>65000</v>
      </c>
      <c r="S151" s="1936">
        <v>65000</v>
      </c>
      <c r="T151" s="1939" t="s">
        <v>1208</v>
      </c>
      <c r="U151" s="1939" t="s">
        <v>1208</v>
      </c>
      <c r="V151" s="1939" t="s">
        <v>1208</v>
      </c>
      <c r="W151" s="1936">
        <v>12696</v>
      </c>
      <c r="X151" s="1936">
        <v>11316</v>
      </c>
      <c r="Y151" s="1939" t="s">
        <v>1208</v>
      </c>
      <c r="Z151" s="1939" t="s">
        <v>1208</v>
      </c>
      <c r="AA151" s="1936">
        <v>1380</v>
      </c>
      <c r="AB151" s="1362">
        <v>0.12195121951219512</v>
      </c>
      <c r="AC151" s="1939" t="s">
        <v>1208</v>
      </c>
      <c r="AD151" s="1363" t="s">
        <v>1208</v>
      </c>
      <c r="AE151" s="1936">
        <v>0</v>
      </c>
      <c r="AF151" s="1936">
        <v>0</v>
      </c>
      <c r="AG151" s="1939" t="s">
        <v>1208</v>
      </c>
      <c r="AH151" s="1936">
        <v>0</v>
      </c>
      <c r="AI151" s="1936">
        <v>0</v>
      </c>
      <c r="AJ151" s="1939" t="s">
        <v>1208</v>
      </c>
      <c r="AK151" s="1938">
        <v>1</v>
      </c>
      <c r="AL151" s="1938">
        <v>1800</v>
      </c>
      <c r="AM151" s="1936">
        <v>13116</v>
      </c>
      <c r="AN151" s="1939" t="s">
        <v>1208</v>
      </c>
      <c r="AO151" s="1936">
        <v>750</v>
      </c>
      <c r="AP151" s="1936">
        <v>0</v>
      </c>
      <c r="AQ151" s="1936">
        <v>13866</v>
      </c>
      <c r="AR151" s="1939" t="s">
        <v>1208</v>
      </c>
      <c r="AS151" s="1363" t="s">
        <v>1208</v>
      </c>
      <c r="AT151" s="1363" t="s">
        <v>1208</v>
      </c>
      <c r="AU151" s="1363" t="s">
        <v>1208</v>
      </c>
      <c r="AV151" s="1363" t="s">
        <v>1208</v>
      </c>
      <c r="AW151" s="1363" t="s">
        <v>1291</v>
      </c>
      <c r="AX151" s="1938">
        <v>0</v>
      </c>
      <c r="AY151" s="1938">
        <v>0</v>
      </c>
      <c r="AZ151" s="1938">
        <v>0</v>
      </c>
      <c r="BA151" s="1938">
        <v>0</v>
      </c>
      <c r="BB151" s="1938">
        <v>0</v>
      </c>
      <c r="BC151" s="1938">
        <v>0</v>
      </c>
      <c r="BD151" s="1938">
        <v>0</v>
      </c>
      <c r="BE151" s="1936">
        <v>0</v>
      </c>
      <c r="BF151" s="1936">
        <v>0</v>
      </c>
      <c r="BG151" s="1936">
        <v>972466</v>
      </c>
      <c r="BH151" s="1936">
        <v>972466</v>
      </c>
      <c r="BI151" s="1938">
        <v>42649391</v>
      </c>
      <c r="BJ151" s="1936">
        <v>1111303</v>
      </c>
      <c r="BK151" s="1936">
        <v>3210822</v>
      </c>
      <c r="BL151" s="1362">
        <v>0.34611168105861989</v>
      </c>
      <c r="BM151" s="1936">
        <v>1</v>
      </c>
      <c r="BN151" s="1936">
        <v>17030432</v>
      </c>
      <c r="BO151" s="1363" t="s">
        <v>1208</v>
      </c>
      <c r="BP151" s="1938">
        <v>2462224</v>
      </c>
      <c r="BQ151" s="1938">
        <v>4620996</v>
      </c>
      <c r="BR151" s="1940">
        <v>0.53283404703228476</v>
      </c>
      <c r="BS151" s="1409">
        <v>0</v>
      </c>
      <c r="BT151" s="1938">
        <v>20551703</v>
      </c>
      <c r="BU151" s="1938">
        <v>52924448</v>
      </c>
      <c r="BV151" s="1940">
        <v>0.38832153714668882</v>
      </c>
      <c r="BW151" s="1936">
        <v>19071.626977597836</v>
      </c>
      <c r="BX151" s="1936">
        <v>1244.4990400176232</v>
      </c>
      <c r="BY151" s="1936">
        <v>1089.0216290694598</v>
      </c>
      <c r="BZ151" s="1936">
        <v>1952264</v>
      </c>
      <c r="CA151" s="1936">
        <v>503263</v>
      </c>
      <c r="CB151" s="1936">
        <v>808840</v>
      </c>
      <c r="CC151" s="1936">
        <v>595721</v>
      </c>
      <c r="CD151" s="1936">
        <v>10104873</v>
      </c>
      <c r="CE151" s="1936">
        <v>0</v>
      </c>
      <c r="CF151" s="1936">
        <v>0</v>
      </c>
      <c r="CG151" s="1936">
        <v>3534081</v>
      </c>
      <c r="CH151" s="1936">
        <v>2589489</v>
      </c>
      <c r="CI151" s="1936">
        <v>168676</v>
      </c>
      <c r="CJ151" s="1936">
        <v>20257207</v>
      </c>
      <c r="CK151" s="1366">
        <v>9.6373799211312797E-2</v>
      </c>
      <c r="CL151" s="1366">
        <v>2.48436519407636E-2</v>
      </c>
      <c r="CM151" s="1366">
        <v>3.9928505445000387E-2</v>
      </c>
      <c r="CN151" s="1366">
        <v>2.940785469586207E-2</v>
      </c>
      <c r="CO151" s="1366">
        <v>0.49882854038071489</v>
      </c>
      <c r="CP151" s="1366">
        <v>0</v>
      </c>
      <c r="CQ151" s="1366">
        <v>0</v>
      </c>
      <c r="CR151" s="1366">
        <v>0.17446042783686813</v>
      </c>
      <c r="CS151" s="1366">
        <v>0.12783050496546736</v>
      </c>
      <c r="CT151" s="1366">
        <v>8.326715524010788E-3</v>
      </c>
      <c r="CU151" s="1366">
        <v>1</v>
      </c>
      <c r="CV151" s="1936">
        <v>10375686</v>
      </c>
      <c r="CW151" s="1936">
        <v>2639719</v>
      </c>
      <c r="CX151" s="1936">
        <v>571107</v>
      </c>
      <c r="CY151" s="1936">
        <v>6682464</v>
      </c>
      <c r="CZ151" s="1936">
        <v>359762</v>
      </c>
      <c r="DA151" s="1936">
        <v>452317</v>
      </c>
      <c r="DB151" s="1936">
        <v>21081055</v>
      </c>
      <c r="DC151" s="1366">
        <v>0.4921805858388017</v>
      </c>
      <c r="DD151" s="1366">
        <v>0.1252175946602293</v>
      </c>
      <c r="DE151" s="1366">
        <v>2.7091006593360722E-2</v>
      </c>
      <c r="DF151" s="1366">
        <v>0.31698906909545088</v>
      </c>
      <c r="DG151" s="1366">
        <v>1.7065654446610949E-2</v>
      </c>
      <c r="DH151" s="1366">
        <v>2.1456089365546459E-2</v>
      </c>
      <c r="DI151" s="1366">
        <v>1</v>
      </c>
      <c r="DJ151" s="1936">
        <v>-823848</v>
      </c>
      <c r="DK151" s="1936">
        <v>2186.2540404020911</v>
      </c>
      <c r="DL151" s="1936">
        <v>563.58195773464934</v>
      </c>
      <c r="DM151" s="1936">
        <v>905.78411425853642</v>
      </c>
      <c r="DN151" s="1936">
        <v>667.12157945973195</v>
      </c>
      <c r="DO151" s="1936">
        <v>11316</v>
      </c>
      <c r="DP151" s="1936">
        <v>0</v>
      </c>
      <c r="DQ151" s="1936">
        <v>0</v>
      </c>
      <c r="DR151" s="1936">
        <v>3957.6608826256402</v>
      </c>
      <c r="DS151" s="1936">
        <v>2899.8541123673695</v>
      </c>
      <c r="DT151" s="1936">
        <v>188.89278628242036</v>
      </c>
      <c r="DU151" s="1936">
        <v>22685.149473130437</v>
      </c>
      <c r="DV151" s="1936">
        <v>11619.271491685249</v>
      </c>
      <c r="DW151" s="1936">
        <v>2956.1044660333682</v>
      </c>
      <c r="DX151" s="1936">
        <v>639.55745035093457</v>
      </c>
      <c r="DY151" s="1936">
        <v>7483.3956472288173</v>
      </c>
      <c r="DZ151" s="1936">
        <v>402.88153962944409</v>
      </c>
      <c r="EA151" s="1936">
        <v>506.52978736100886</v>
      </c>
      <c r="EB151" s="1936">
        <v>23607.740382288823</v>
      </c>
      <c r="EC151" s="1936">
        <v>-922.59090915838328</v>
      </c>
      <c r="ED151" s="1941">
        <v>225</v>
      </c>
      <c r="EE151" s="1936">
        <v>0</v>
      </c>
      <c r="EF151" s="1936">
        <v>0</v>
      </c>
      <c r="EG151" s="1938">
        <v>0</v>
      </c>
      <c r="EH151" s="1938">
        <v>0</v>
      </c>
      <c r="EI151" s="1368">
        <v>0</v>
      </c>
      <c r="EJ151" s="1936">
        <v>3.9687651702603985</v>
      </c>
      <c r="EK151" s="1936">
        <v>1</v>
      </c>
      <c r="EL151" s="1936">
        <v>750</v>
      </c>
      <c r="EM151" s="1936">
        <v>1</v>
      </c>
      <c r="EN151" s="1362">
        <v>0.2</v>
      </c>
      <c r="EO151" s="1936">
        <v>0</v>
      </c>
      <c r="EP151" s="1936">
        <v>0</v>
      </c>
      <c r="EQ151" s="1936">
        <v>0</v>
      </c>
      <c r="ER151" s="1938">
        <v>0</v>
      </c>
      <c r="ES151" s="1936">
        <v>6857.5149949930092</v>
      </c>
      <c r="ET151" s="1936">
        <v>-1681.9930807641026</v>
      </c>
      <c r="EU151" s="1938">
        <v>2</v>
      </c>
      <c r="EV151" s="1936">
        <v>16900</v>
      </c>
      <c r="EW151" s="1936">
        <v>48</v>
      </c>
      <c r="EX151" s="1938">
        <v>1</v>
      </c>
      <c r="EY151" s="1936">
        <v>3534081</v>
      </c>
      <c r="EZ151" s="1936">
        <v>1473991</v>
      </c>
      <c r="FA151" s="1936">
        <v>2060090</v>
      </c>
      <c r="FB151" s="1936">
        <v>2589489</v>
      </c>
      <c r="FC151" s="1936">
        <v>1165728</v>
      </c>
      <c r="FD151" s="1936">
        <v>1423761</v>
      </c>
      <c r="FE151" s="1936">
        <v>6123570</v>
      </c>
      <c r="FF151" s="1936">
        <v>2639719</v>
      </c>
      <c r="FG151" s="1936">
        <v>3483851</v>
      </c>
      <c r="FH151" s="1366">
        <v>1</v>
      </c>
      <c r="FI151" s="1366">
        <v>0.41707900865882813</v>
      </c>
      <c r="FJ151" s="1366">
        <v>0.58292099134117181</v>
      </c>
      <c r="FK151" s="1366">
        <v>1</v>
      </c>
      <c r="FL151" s="1366">
        <v>0.45017684956375564</v>
      </c>
      <c r="FM151" s="1366">
        <v>0.54982315043624441</v>
      </c>
      <c r="FN151" s="1366">
        <v>1</v>
      </c>
      <c r="FO151" s="1366">
        <v>0.43107517346907115</v>
      </c>
      <c r="FP151" s="1366">
        <v>0.56892482653092891</v>
      </c>
      <c r="FQ151" s="1936">
        <v>3275483</v>
      </c>
      <c r="FR151" s="1936">
        <v>0</v>
      </c>
      <c r="FS151" s="1936">
        <v>760163</v>
      </c>
      <c r="FT151" s="1936">
        <v>59389</v>
      </c>
      <c r="FU151" s="1936">
        <v>2829</v>
      </c>
      <c r="FV151" s="1936">
        <v>81071</v>
      </c>
      <c r="FW151" s="1936">
        <v>806889</v>
      </c>
      <c r="FX151" s="1936">
        <v>4985824</v>
      </c>
      <c r="FY151" s="1936">
        <v>-1501973</v>
      </c>
      <c r="FZ151" s="1366">
        <v>0.53489761691300985</v>
      </c>
      <c r="GA151" s="1366">
        <v>0</v>
      </c>
      <c r="GB151" s="1366">
        <v>0.12413722714037727</v>
      </c>
      <c r="GC151" s="1366">
        <v>9.6984275512487002E-3</v>
      </c>
      <c r="GD151" s="1366">
        <v>4.6198541047134272E-4</v>
      </c>
      <c r="GE151" s="1366">
        <v>1.3239172574168337E-2</v>
      </c>
      <c r="GF151" s="1366">
        <v>0.13176774332619698</v>
      </c>
      <c r="GG151" s="1366">
        <v>0.81420217291547248</v>
      </c>
      <c r="GH151" s="1366">
        <v>-0.24527734638454365</v>
      </c>
      <c r="GI151" s="1942">
        <v>1.3647793058784956</v>
      </c>
      <c r="GJ151" s="1943">
        <v>1</v>
      </c>
      <c r="GK151" s="1371">
        <v>0.05</v>
      </c>
      <c r="GL151" s="1943">
        <v>1</v>
      </c>
      <c r="GM151" s="1371">
        <v>0.05</v>
      </c>
      <c r="GN151" s="1943">
        <v>0</v>
      </c>
      <c r="GO151" s="1985">
        <f>IF(GN151=0,0,VLOOKUP(A151,'Area (&amp;golfacre for lookup)'!$G$2:$H$133,2,FALSE))</f>
        <v>0</v>
      </c>
      <c r="GP151" s="1943">
        <v>0</v>
      </c>
      <c r="GQ151" s="1943">
        <v>0</v>
      </c>
      <c r="GR151" s="1943">
        <v>0</v>
      </c>
      <c r="GS151" s="1943">
        <v>0</v>
      </c>
      <c r="GT151" s="1943">
        <v>0</v>
      </c>
      <c r="GU151" s="1943">
        <v>0</v>
      </c>
      <c r="GV151" s="1943">
        <v>0</v>
      </c>
      <c r="GW151" s="1943">
        <v>0</v>
      </c>
      <c r="GX151" s="1936">
        <v>0</v>
      </c>
      <c r="GY151" s="1985">
        <f t="shared" si="1319"/>
        <v>0</v>
      </c>
      <c r="GZ151" s="1936">
        <v>0</v>
      </c>
      <c r="HA151" s="1936">
        <v>0</v>
      </c>
      <c r="HB151" s="1936">
        <v>0</v>
      </c>
      <c r="HC151" s="1936">
        <v>0</v>
      </c>
      <c r="HD151" s="1936">
        <v>0</v>
      </c>
      <c r="HE151" s="1936">
        <v>0</v>
      </c>
      <c r="HF151" s="1936">
        <v>0</v>
      </c>
      <c r="HG151" s="1936">
        <v>27</v>
      </c>
      <c r="HH151" s="1988">
        <f>IF(HG151=0,0,VLOOKUP(A151,'Area (&amp;golfacre for lookup)'!$G$2:$H$134,2,FALSE))</f>
        <v>200</v>
      </c>
      <c r="HI151" s="1936">
        <v>50000</v>
      </c>
      <c r="HJ151" s="1936">
        <v>1354159</v>
      </c>
      <c r="HK151" s="1936">
        <v>259399</v>
      </c>
      <c r="HL151" s="1936">
        <v>723417</v>
      </c>
      <c r="HM151" s="1936">
        <v>107029</v>
      </c>
      <c r="HN151" s="1936">
        <v>393435</v>
      </c>
      <c r="HO151" s="1936">
        <v>152387</v>
      </c>
      <c r="HP151" s="1936">
        <v>2989826</v>
      </c>
      <c r="HQ151" s="1936">
        <v>110734.29629629629</v>
      </c>
      <c r="HR151" s="1988">
        <f t="shared" si="1320"/>
        <v>14949.13</v>
      </c>
      <c r="HS151" s="1366">
        <v>0.45292234397587017</v>
      </c>
      <c r="HT151" s="1366">
        <v>8.676056733736344E-2</v>
      </c>
      <c r="HU151" s="1366">
        <v>0.24195956553993442</v>
      </c>
      <c r="HV151" s="1366">
        <v>3.5797735386607785E-2</v>
      </c>
      <c r="HW151" s="1366">
        <v>0.13159126985985137</v>
      </c>
      <c r="HX151" s="1366">
        <v>5.0968517900372795E-2</v>
      </c>
      <c r="HY151" s="1366">
        <v>1</v>
      </c>
      <c r="HZ151" s="51"/>
      <c r="IA151" s="59">
        <f t="shared" si="1136"/>
        <v>0</v>
      </c>
      <c r="IB151" s="59"/>
      <c r="IC151" s="815">
        <f t="shared" si="1137"/>
        <v>1</v>
      </c>
      <c r="ID151" s="815"/>
      <c r="IE151" s="284">
        <f t="shared" si="1138"/>
        <v>0</v>
      </c>
      <c r="IF151" s="284"/>
      <c r="IG151" s="284">
        <f t="shared" si="1139"/>
        <v>47761.165187924678</v>
      </c>
      <c r="IH151" s="284"/>
      <c r="II151" s="1288">
        <f t="shared" si="1140"/>
        <v>0</v>
      </c>
      <c r="IJ151" s="1288">
        <f t="shared" si="1141"/>
        <v>0.53283404703228476</v>
      </c>
      <c r="IK151" s="284">
        <f t="shared" si="1142"/>
        <v>0</v>
      </c>
      <c r="IL151" s="284">
        <f t="shared" si="1143"/>
        <v>0</v>
      </c>
      <c r="IM151" s="284">
        <f t="shared" si="1144"/>
        <v>1</v>
      </c>
      <c r="IN151" s="284">
        <f t="shared" si="1145"/>
        <v>0</v>
      </c>
      <c r="IO151" s="753">
        <f t="shared" si="1146"/>
        <v>-1030.8668496911462</v>
      </c>
      <c r="IP151" s="113">
        <f t="shared" si="1147"/>
        <v>-1681.9930807641026</v>
      </c>
      <c r="IQ151" s="30">
        <f t="shared" si="1148"/>
        <v>-0.1486384836306206</v>
      </c>
      <c r="IR151" s="438">
        <f t="shared" si="1149"/>
        <v>3534081</v>
      </c>
      <c r="IS151" s="438">
        <f t="shared" si="1150"/>
        <v>2589489</v>
      </c>
      <c r="IT151" s="438">
        <f t="shared" si="1151"/>
        <v>3275483</v>
      </c>
      <c r="IU151" s="438">
        <f t="shared" si="1152"/>
        <v>819552</v>
      </c>
      <c r="IV151" s="438">
        <f t="shared" si="1153"/>
        <v>2639719</v>
      </c>
      <c r="IW151" s="438">
        <f t="shared" si="1154"/>
        <v>890789</v>
      </c>
      <c r="IX151" s="285">
        <f t="shared" si="1155"/>
        <v>0.57712755794414039</v>
      </c>
      <c r="IY151" s="285">
        <f t="shared" si="1156"/>
        <v>0.42287244205585955</v>
      </c>
      <c r="IZ151" s="285">
        <f t="shared" si="1157"/>
        <v>0.53489761691300985</v>
      </c>
      <c r="JA151" s="285">
        <f t="shared" si="1158"/>
        <v>0.13383565469162598</v>
      </c>
      <c r="JB151" s="285">
        <f t="shared" si="1159"/>
        <v>0.43107517346907115</v>
      </c>
      <c r="JC151" s="285">
        <f t="shared" si="1160"/>
        <v>0.14546890131083665</v>
      </c>
      <c r="JD151" s="60">
        <f t="shared" si="1161"/>
        <v>10104873</v>
      </c>
      <c r="JE151" s="60">
        <f t="shared" si="1162"/>
        <v>3860088</v>
      </c>
      <c r="JF151" s="60">
        <f t="shared" si="1163"/>
        <v>0</v>
      </c>
      <c r="JG151" s="60">
        <f t="shared" si="1164"/>
        <v>812079</v>
      </c>
      <c r="JH151" s="284">
        <f t="shared" si="1165"/>
        <v>0</v>
      </c>
      <c r="JI151" s="284">
        <f t="shared" si="1166"/>
        <v>1</v>
      </c>
      <c r="JJ151" s="560">
        <f t="shared" si="1167"/>
        <v>0.70608154888482266</v>
      </c>
      <c r="JK151" s="561">
        <f t="shared" si="1168"/>
        <v>0.51219726391698517</v>
      </c>
      <c r="JL151" s="561">
        <f t="shared" si="1169"/>
        <v>0.13031011629589409</v>
      </c>
      <c r="JM151" s="561">
        <f t="shared" si="1170"/>
        <v>2.8192780969261953E-2</v>
      </c>
      <c r="JN151" s="561">
        <f t="shared" si="1171"/>
        <v>0.32988081723210905</v>
      </c>
      <c r="JO151" s="561">
        <f t="shared" si="1172"/>
        <v>1.7759703990782146E-2</v>
      </c>
      <c r="JP151" s="561">
        <f t="shared" si="1173"/>
        <v>2.232869516513308E-2</v>
      </c>
      <c r="JQ151" s="561">
        <f t="shared" si="1174"/>
        <v>1.0406693775701656</v>
      </c>
      <c r="JR151" s="61">
        <f t="shared" si="1175"/>
        <v>0</v>
      </c>
      <c r="JS151" s="61">
        <f t="shared" si="1176"/>
        <v>0</v>
      </c>
      <c r="JT151" s="61">
        <f t="shared" si="1177"/>
        <v>0</v>
      </c>
      <c r="JU151" s="61">
        <f t="shared" si="1178"/>
        <v>0</v>
      </c>
      <c r="JV151" s="61">
        <f t="shared" si="1179"/>
        <v>0</v>
      </c>
      <c r="JW151" s="61">
        <f t="shared" si="1180"/>
        <v>0</v>
      </c>
      <c r="JX151" s="61">
        <f t="shared" si="1181"/>
        <v>0</v>
      </c>
      <c r="JY151" s="394">
        <f t="shared" si="1182"/>
        <v>0</v>
      </c>
      <c r="JZ151" s="61">
        <f t="shared" si="1183"/>
        <v>50154.037037037036</v>
      </c>
      <c r="KA151" s="61">
        <f t="shared" si="1184"/>
        <v>9607.3703703703704</v>
      </c>
      <c r="KB151" s="61">
        <f t="shared" si="1185"/>
        <v>26793.222222222223</v>
      </c>
      <c r="KC151" s="61">
        <f t="shared" si="1186"/>
        <v>3964.037037037037</v>
      </c>
      <c r="KD151" s="61">
        <f t="shared" si="1187"/>
        <v>14571.666666666666</v>
      </c>
      <c r="KE151" s="61">
        <f t="shared" si="1188"/>
        <v>5643.9629629629626</v>
      </c>
      <c r="KF151" s="61">
        <f t="shared" si="1189"/>
        <v>33300</v>
      </c>
      <c r="KG151" s="61">
        <f t="shared" si="1190"/>
        <v>266.66666666666669</v>
      </c>
      <c r="KH151" s="61">
        <f t="shared" si="1191"/>
        <v>59.796520000000001</v>
      </c>
      <c r="KI151" s="394">
        <f t="shared" si="1192"/>
        <v>0.14182525495047568</v>
      </c>
      <c r="KJ151" s="438">
        <f t="shared" si="1193"/>
        <v>27</v>
      </c>
      <c r="KK151" s="438">
        <f t="shared" si="1194"/>
        <v>50000</v>
      </c>
      <c r="KL151" s="438">
        <f t="shared" si="1195"/>
        <v>200</v>
      </c>
      <c r="KM151" s="438">
        <f t="shared" si="1196"/>
        <v>110734.29629629629</v>
      </c>
      <c r="KN151" s="438">
        <f t="shared" si="1197"/>
        <v>59.796520000000001</v>
      </c>
      <c r="KO151" s="438">
        <f t="shared" si="1198"/>
        <v>14949.13</v>
      </c>
      <c r="KP151" s="438">
        <f t="shared" si="1199"/>
        <v>1354159</v>
      </c>
      <c r="KQ151" s="438">
        <f t="shared" si="1200"/>
        <v>259399</v>
      </c>
      <c r="KR151" s="438">
        <f t="shared" si="1201"/>
        <v>723417</v>
      </c>
      <c r="KS151" s="438">
        <f t="shared" si="1202"/>
        <v>107029</v>
      </c>
      <c r="KT151" s="438">
        <f t="shared" si="1203"/>
        <v>393435</v>
      </c>
      <c r="KU151" s="438">
        <f t="shared" si="1204"/>
        <v>152387</v>
      </c>
      <c r="KV151" s="420">
        <f t="shared" si="1205"/>
        <v>0.14182525495047568</v>
      </c>
      <c r="KW151" s="420">
        <f t="shared" si="1206"/>
        <v>-0.28079907585181924</v>
      </c>
      <c r="KX151" s="108"/>
      <c r="KY151" s="282">
        <f t="shared" si="1207"/>
        <v>0</v>
      </c>
      <c r="KZ151" s="282"/>
      <c r="LA151" s="282">
        <f t="shared" si="1208"/>
        <v>0</v>
      </c>
      <c r="LB151" s="282"/>
      <c r="LC151" s="286">
        <f t="shared" si="1321"/>
        <v>0</v>
      </c>
      <c r="LD151" s="286"/>
      <c r="LE151" s="282">
        <f t="shared" si="1209"/>
        <v>0</v>
      </c>
      <c r="LF151" s="282"/>
      <c r="LG151" s="282">
        <f t="shared" si="1210"/>
        <v>0</v>
      </c>
      <c r="LH151" s="282">
        <f t="shared" si="1211"/>
        <v>0</v>
      </c>
      <c r="LI151" s="282">
        <f t="shared" si="1212"/>
        <v>0</v>
      </c>
      <c r="LJ151" s="282">
        <f t="shared" si="1213"/>
        <v>0</v>
      </c>
      <c r="LK151" s="282"/>
      <c r="LL151" s="282">
        <f t="shared" si="1214"/>
        <v>0</v>
      </c>
      <c r="LM151" s="282">
        <f t="shared" si="1215"/>
        <v>0</v>
      </c>
      <c r="LN151" s="282">
        <f t="shared" si="1216"/>
        <v>0</v>
      </c>
      <c r="LO151" s="282">
        <f t="shared" si="1217"/>
        <v>0</v>
      </c>
      <c r="LP151" s="286">
        <f t="shared" si="1218"/>
        <v>0</v>
      </c>
      <c r="LQ151" s="282">
        <f t="shared" si="1219"/>
        <v>0</v>
      </c>
      <c r="LR151" s="282">
        <f t="shared" si="1220"/>
        <v>0</v>
      </c>
      <c r="LS151" s="282">
        <f t="shared" si="1221"/>
        <v>0</v>
      </c>
      <c r="LT151" s="286">
        <f t="shared" si="1222"/>
        <v>0</v>
      </c>
      <c r="LU151" s="286">
        <f t="shared" si="1223"/>
        <v>0</v>
      </c>
      <c r="LV151" s="286">
        <f t="shared" si="1224"/>
        <v>0</v>
      </c>
      <c r="LW151" s="286">
        <f t="shared" si="1225"/>
        <v>0</v>
      </c>
      <c r="LX151" s="286">
        <f t="shared" si="1226"/>
        <v>0</v>
      </c>
      <c r="LY151" s="286">
        <f t="shared" si="1227"/>
        <v>0</v>
      </c>
      <c r="LZ151" s="286">
        <f t="shared" si="1228"/>
        <v>0</v>
      </c>
      <c r="MA151" s="286">
        <f t="shared" si="1229"/>
        <v>0</v>
      </c>
      <c r="MB151" s="286">
        <f t="shared" si="1230"/>
        <v>0</v>
      </c>
      <c r="MC151" s="286">
        <f t="shared" si="1231"/>
        <v>0</v>
      </c>
      <c r="MD151" s="286">
        <f t="shared" si="1232"/>
        <v>0</v>
      </c>
      <c r="ME151" s="286">
        <f t="shared" si="1233"/>
        <v>0</v>
      </c>
      <c r="MF151" s="286">
        <f t="shared" si="1234"/>
        <v>0</v>
      </c>
      <c r="MG151" s="286">
        <f t="shared" si="1235"/>
        <v>0</v>
      </c>
      <c r="MH151" s="286">
        <f t="shared" si="1236"/>
        <v>0</v>
      </c>
      <c r="MI151" s="286">
        <f t="shared" si="1237"/>
        <v>0</v>
      </c>
      <c r="MJ151" s="286">
        <f t="shared" si="1238"/>
        <v>0</v>
      </c>
      <c r="MK151" s="286">
        <f t="shared" si="1239"/>
        <v>0</v>
      </c>
      <c r="ML151" s="282">
        <f t="shared" si="1240"/>
        <v>0</v>
      </c>
      <c r="MM151" s="1232">
        <f t="shared" si="1241"/>
        <v>0</v>
      </c>
      <c r="MN151" s="1232">
        <f t="shared" si="1242"/>
        <v>0</v>
      </c>
      <c r="MO151" s="1232">
        <f t="shared" si="1243"/>
        <v>0</v>
      </c>
      <c r="MP151" s="1232">
        <f t="shared" si="1244"/>
        <v>0</v>
      </c>
      <c r="MQ151" s="282">
        <f t="shared" si="1245"/>
        <v>0</v>
      </c>
      <c r="MR151" s="282">
        <f t="shared" si="1246"/>
        <v>0</v>
      </c>
      <c r="MS151" s="282">
        <f t="shared" si="1247"/>
        <v>0</v>
      </c>
      <c r="MT151" s="282">
        <f t="shared" si="1248"/>
        <v>0</v>
      </c>
      <c r="MU151" s="282">
        <f t="shared" si="1249"/>
        <v>0</v>
      </c>
      <c r="MV151" s="282">
        <f t="shared" si="1250"/>
        <v>0</v>
      </c>
      <c r="MW151" s="282">
        <f t="shared" si="1251"/>
        <v>0</v>
      </c>
      <c r="MX151" s="282">
        <f t="shared" si="1252"/>
        <v>0</v>
      </c>
      <c r="MY151" s="282">
        <f t="shared" si="1253"/>
        <v>0</v>
      </c>
      <c r="MZ151" s="282">
        <f t="shared" si="1254"/>
        <v>0</v>
      </c>
      <c r="NA151" s="282">
        <f t="shared" si="1255"/>
        <v>0</v>
      </c>
      <c r="NB151" s="282">
        <f t="shared" si="1256"/>
        <v>0</v>
      </c>
      <c r="NC151" s="282">
        <f t="shared" si="1257"/>
        <v>0</v>
      </c>
      <c r="ND151" s="282">
        <f t="shared" si="1258"/>
        <v>0</v>
      </c>
      <c r="NE151" s="282">
        <f t="shared" si="1259"/>
        <v>0</v>
      </c>
      <c r="NF151" s="282">
        <f t="shared" si="1260"/>
        <v>0</v>
      </c>
      <c r="NG151" s="282">
        <f t="shared" si="1261"/>
        <v>0</v>
      </c>
      <c r="NH151" s="282">
        <f t="shared" si="1262"/>
        <v>0</v>
      </c>
      <c r="NI151" s="282">
        <f t="shared" si="1263"/>
        <v>0</v>
      </c>
      <c r="NJ151" s="282">
        <f t="shared" si="1264"/>
        <v>0</v>
      </c>
      <c r="NK151" s="282">
        <f t="shared" si="1265"/>
        <v>0</v>
      </c>
      <c r="NL151" s="282">
        <f t="shared" si="1266"/>
        <v>0</v>
      </c>
      <c r="NM151" s="1205">
        <f t="shared" si="1267"/>
        <v>0</v>
      </c>
      <c r="NN151" s="282">
        <f t="shared" si="1268"/>
        <v>0</v>
      </c>
      <c r="NO151" s="282">
        <f t="shared" si="1269"/>
        <v>0</v>
      </c>
      <c r="NP151" s="282">
        <f t="shared" si="1270"/>
        <v>0</v>
      </c>
      <c r="NQ151" s="282">
        <f t="shared" si="1271"/>
        <v>0</v>
      </c>
      <c r="NR151" s="282">
        <f t="shared" si="1272"/>
        <v>0</v>
      </c>
      <c r="NS151" s="282">
        <f t="shared" si="1273"/>
        <v>0</v>
      </c>
      <c r="NT151" s="282">
        <f t="shared" si="1274"/>
        <v>0</v>
      </c>
      <c r="NU151" s="282">
        <f t="shared" si="1275"/>
        <v>0</v>
      </c>
      <c r="NV151" s="286">
        <f t="shared" si="1276"/>
        <v>0</v>
      </c>
      <c r="NW151" s="286">
        <f t="shared" si="1277"/>
        <v>0</v>
      </c>
      <c r="NX151" s="286">
        <f t="shared" si="1278"/>
        <v>0</v>
      </c>
      <c r="NY151" s="286">
        <f t="shared" si="1279"/>
        <v>0</v>
      </c>
      <c r="NZ151" s="286">
        <f t="shared" si="1280"/>
        <v>0</v>
      </c>
      <c r="OA151" s="286">
        <f t="shared" si="1281"/>
        <v>0</v>
      </c>
      <c r="OB151" s="286">
        <f t="shared" si="1282"/>
        <v>0</v>
      </c>
      <c r="OC151" s="286">
        <f t="shared" si="1283"/>
        <v>0</v>
      </c>
      <c r="OD151" s="286">
        <f t="shared" si="1284"/>
        <v>0</v>
      </c>
      <c r="OE151" s="282">
        <f t="shared" si="1285"/>
        <v>0</v>
      </c>
      <c r="OF151" s="282">
        <f t="shared" si="1286"/>
        <v>0</v>
      </c>
      <c r="OG151" s="286">
        <f t="shared" si="1287"/>
        <v>0</v>
      </c>
      <c r="OH151" s="286">
        <f t="shared" si="1288"/>
        <v>0</v>
      </c>
      <c r="OI151" s="286">
        <f t="shared" si="1289"/>
        <v>0</v>
      </c>
      <c r="OJ151" s="286">
        <f t="shared" si="1290"/>
        <v>0</v>
      </c>
      <c r="OK151" s="286">
        <f t="shared" si="1291"/>
        <v>0</v>
      </c>
      <c r="OL151" s="286">
        <f t="shared" si="1292"/>
        <v>0</v>
      </c>
      <c r="OM151" s="286">
        <f t="shared" si="1293"/>
        <v>0</v>
      </c>
      <c r="ON151" s="286">
        <f t="shared" si="1294"/>
        <v>0</v>
      </c>
      <c r="OO151" s="286">
        <f t="shared" si="1295"/>
        <v>0</v>
      </c>
      <c r="OP151" s="434">
        <f t="shared" si="1296"/>
        <v>0</v>
      </c>
      <c r="OQ151" s="434">
        <f t="shared" si="1297"/>
        <v>0</v>
      </c>
      <c r="OR151" s="282">
        <f t="shared" si="1298"/>
        <v>0</v>
      </c>
      <c r="OS151" s="282">
        <f t="shared" si="1299"/>
        <v>0</v>
      </c>
      <c r="OT151" s="282">
        <f t="shared" si="1300"/>
        <v>0</v>
      </c>
      <c r="OU151" s="282">
        <f t="shared" si="1301"/>
        <v>0</v>
      </c>
      <c r="OV151" s="282">
        <f t="shared" si="1302"/>
        <v>0</v>
      </c>
      <c r="OW151" s="286">
        <f t="shared" si="1303"/>
        <v>0</v>
      </c>
      <c r="OX151" s="286">
        <f t="shared" si="1304"/>
        <v>0</v>
      </c>
      <c r="OY151" s="286">
        <f t="shared" si="1305"/>
        <v>0</v>
      </c>
      <c r="OZ151" s="286">
        <f t="shared" si="1306"/>
        <v>0</v>
      </c>
      <c r="PA151" s="286">
        <f t="shared" si="1307"/>
        <v>0</v>
      </c>
      <c r="PB151" s="286">
        <f t="shared" si="1308"/>
        <v>0</v>
      </c>
      <c r="PC151" s="286">
        <f t="shared" si="1309"/>
        <v>0</v>
      </c>
      <c r="PD151" s="282">
        <f t="shared" si="1310"/>
        <v>0</v>
      </c>
      <c r="PE151" s="282">
        <f t="shared" si="1311"/>
        <v>0</v>
      </c>
      <c r="PF151" s="286">
        <f t="shared" si="1312"/>
        <v>0</v>
      </c>
      <c r="PG151" s="286">
        <f t="shared" si="1313"/>
        <v>0</v>
      </c>
      <c r="PH151" s="286">
        <f t="shared" si="1314"/>
        <v>0</v>
      </c>
      <c r="PI151" s="286">
        <f t="shared" si="1315"/>
        <v>0</v>
      </c>
      <c r="PJ151" s="286">
        <f t="shared" si="1316"/>
        <v>0</v>
      </c>
      <c r="PK151" s="286">
        <f t="shared" si="1317"/>
        <v>0</v>
      </c>
      <c r="PL151" s="286">
        <f t="shared" si="1318"/>
        <v>0</v>
      </c>
      <c r="PM151" s="562">
        <v>95</v>
      </c>
    </row>
    <row r="152" spans="1:429" s="289" customFormat="1" ht="15.75" customHeight="1">
      <c r="A152" s="1935" t="s">
        <v>262</v>
      </c>
      <c r="B152" s="1040" t="str">
        <f>VLOOKUP(A152,'Area (&amp;golfacre for lookup)'!$A$2:$B$162,2,FALSE)</f>
        <v>SE exc BOCA</v>
      </c>
      <c r="C152" s="1936"/>
      <c r="D152" s="1937">
        <v>44712</v>
      </c>
      <c r="E152" s="402"/>
      <c r="F152" s="1936">
        <v>1</v>
      </c>
      <c r="G152" s="1936">
        <v>0</v>
      </c>
      <c r="H152" s="1936">
        <v>345</v>
      </c>
      <c r="I152" s="1936">
        <v>21</v>
      </c>
      <c r="J152" s="1936">
        <v>366</v>
      </c>
      <c r="K152" s="1938">
        <v>330.94242424242424</v>
      </c>
      <c r="L152" s="1939" t="s">
        <v>1208</v>
      </c>
      <c r="M152" s="1939" t="s">
        <v>1208</v>
      </c>
      <c r="N152" s="1939" t="s">
        <v>1208</v>
      </c>
      <c r="O152" s="1939" t="s">
        <v>1208</v>
      </c>
      <c r="P152" s="1939" t="s">
        <v>1208</v>
      </c>
      <c r="Q152" s="1936">
        <v>0</v>
      </c>
      <c r="R152" s="1936">
        <v>200000</v>
      </c>
      <c r="S152" s="1936">
        <v>200000</v>
      </c>
      <c r="T152" s="1939" t="s">
        <v>1208</v>
      </c>
      <c r="U152" s="1939" t="s">
        <v>1208</v>
      </c>
      <c r="V152" s="1939" t="s">
        <v>1208</v>
      </c>
      <c r="W152" s="1936">
        <v>20000</v>
      </c>
      <c r="X152" s="1936">
        <v>16500</v>
      </c>
      <c r="Y152" s="1939" t="s">
        <v>1208</v>
      </c>
      <c r="Z152" s="1939" t="s">
        <v>1208</v>
      </c>
      <c r="AA152" s="1936">
        <v>3500</v>
      </c>
      <c r="AB152" s="1362">
        <v>0.21212121212121213</v>
      </c>
      <c r="AC152" s="1939" t="s">
        <v>1208</v>
      </c>
      <c r="AD152" s="1363" t="s">
        <v>1208</v>
      </c>
      <c r="AE152" s="1936">
        <v>0</v>
      </c>
      <c r="AF152" s="1936">
        <v>0</v>
      </c>
      <c r="AG152" s="1939" t="s">
        <v>1208</v>
      </c>
      <c r="AH152" s="1936">
        <v>0</v>
      </c>
      <c r="AI152" s="1936">
        <v>0</v>
      </c>
      <c r="AJ152" s="1939" t="s">
        <v>1208</v>
      </c>
      <c r="AK152" s="1938">
        <v>0</v>
      </c>
      <c r="AL152" s="1938">
        <v>0</v>
      </c>
      <c r="AM152" s="1936">
        <v>16500</v>
      </c>
      <c r="AN152" s="1939" t="s">
        <v>1208</v>
      </c>
      <c r="AO152" s="1936">
        <v>0</v>
      </c>
      <c r="AP152" s="1936">
        <v>0</v>
      </c>
      <c r="AQ152" s="1936">
        <v>16500</v>
      </c>
      <c r="AR152" s="1939" t="s">
        <v>1208</v>
      </c>
      <c r="AS152" s="1363" t="s">
        <v>1208</v>
      </c>
      <c r="AT152" s="1363" t="s">
        <v>1208</v>
      </c>
      <c r="AU152" s="1363" t="s">
        <v>1208</v>
      </c>
      <c r="AV152" s="1363" t="s">
        <v>1208</v>
      </c>
      <c r="AW152" s="1363" t="s">
        <v>1291</v>
      </c>
      <c r="AX152" s="1938">
        <v>0</v>
      </c>
      <c r="AY152" s="1938">
        <v>0</v>
      </c>
      <c r="AZ152" s="1938">
        <v>0</v>
      </c>
      <c r="BA152" s="1938">
        <v>0</v>
      </c>
      <c r="BB152" s="1938">
        <v>0</v>
      </c>
      <c r="BC152" s="1938">
        <v>0</v>
      </c>
      <c r="BD152" s="1938">
        <v>0</v>
      </c>
      <c r="BE152" s="1936">
        <v>0</v>
      </c>
      <c r="BF152" s="1936">
        <v>0</v>
      </c>
      <c r="BG152" s="1936">
        <v>0</v>
      </c>
      <c r="BH152" s="1936">
        <v>0</v>
      </c>
      <c r="BI152" s="1938">
        <v>16469225</v>
      </c>
      <c r="BJ152" s="1936">
        <v>2592880</v>
      </c>
      <c r="BK152" s="1936">
        <v>1784412</v>
      </c>
      <c r="BL152" s="1362">
        <v>1.453072496710401</v>
      </c>
      <c r="BM152" s="1936">
        <v>0</v>
      </c>
      <c r="BN152" s="1936">
        <v>0</v>
      </c>
      <c r="BO152" s="1363" t="s">
        <v>1208</v>
      </c>
      <c r="BP152" s="1938">
        <v>585315</v>
      </c>
      <c r="BQ152" s="1938">
        <v>936824</v>
      </c>
      <c r="BR152" s="1940">
        <v>0.62478651272811114</v>
      </c>
      <c r="BS152" s="1409">
        <v>0</v>
      </c>
      <c r="BT152" s="1938">
        <v>1875914</v>
      </c>
      <c r="BU152" s="1938">
        <v>17054540</v>
      </c>
      <c r="BV152" s="1940">
        <v>0.10999499253571191</v>
      </c>
      <c r="BW152" s="1936">
        <v>0</v>
      </c>
      <c r="BX152" s="1936">
        <v>7834.8371501039273</v>
      </c>
      <c r="BY152" s="1936">
        <v>0</v>
      </c>
      <c r="BZ152" s="1936">
        <v>834978</v>
      </c>
      <c r="CA152" s="1936">
        <v>0</v>
      </c>
      <c r="CB152" s="1936">
        <v>0</v>
      </c>
      <c r="CC152" s="1936">
        <v>0</v>
      </c>
      <c r="CD152" s="1936">
        <v>5460550</v>
      </c>
      <c r="CE152" s="1936">
        <v>0</v>
      </c>
      <c r="CF152" s="1936">
        <v>0</v>
      </c>
      <c r="CG152" s="1936">
        <v>456556</v>
      </c>
      <c r="CH152" s="1936">
        <v>93753</v>
      </c>
      <c r="CI152" s="1936">
        <v>0</v>
      </c>
      <c r="CJ152" s="1936">
        <v>6845837</v>
      </c>
      <c r="CK152" s="1366">
        <v>0.12196872347384256</v>
      </c>
      <c r="CL152" s="1366">
        <v>0</v>
      </c>
      <c r="CM152" s="1366">
        <v>0</v>
      </c>
      <c r="CN152" s="1366">
        <v>0</v>
      </c>
      <c r="CO152" s="1366">
        <v>0.7976453427097373</v>
      </c>
      <c r="CP152" s="1366">
        <v>0</v>
      </c>
      <c r="CQ152" s="1366">
        <v>0</v>
      </c>
      <c r="CR152" s="1366">
        <v>6.6691041577530988E-2</v>
      </c>
      <c r="CS152" s="1366">
        <v>1.3694892238889124E-2</v>
      </c>
      <c r="CT152" s="1366">
        <v>0</v>
      </c>
      <c r="CU152" s="1366">
        <v>1</v>
      </c>
      <c r="CV152" s="1936">
        <v>3435884</v>
      </c>
      <c r="CW152" s="1936">
        <v>150511</v>
      </c>
      <c r="CX152" s="1936">
        <v>0</v>
      </c>
      <c r="CY152" s="1936">
        <v>2731621</v>
      </c>
      <c r="CZ152" s="1936">
        <v>234386</v>
      </c>
      <c r="DA152" s="1936">
        <v>177384</v>
      </c>
      <c r="DB152" s="1936">
        <v>6729786</v>
      </c>
      <c r="DC152" s="1366">
        <v>0.51054877525080289</v>
      </c>
      <c r="DD152" s="1366">
        <v>2.2364901350503567E-2</v>
      </c>
      <c r="DE152" s="1366">
        <v>0</v>
      </c>
      <c r="DF152" s="1366">
        <v>0.40590012817643828</v>
      </c>
      <c r="DG152" s="1366">
        <v>3.4828150553375695E-2</v>
      </c>
      <c r="DH152" s="1366">
        <v>2.6358044668879515E-2</v>
      </c>
      <c r="DI152" s="1366">
        <v>1</v>
      </c>
      <c r="DJ152" s="1936">
        <v>116051</v>
      </c>
      <c r="DK152" s="1936">
        <v>2523.0310133594603</v>
      </c>
      <c r="DL152" s="1936">
        <v>0</v>
      </c>
      <c r="DM152" s="1936">
        <v>0</v>
      </c>
      <c r="DN152" s="1936">
        <v>0</v>
      </c>
      <c r="DO152" s="1936">
        <v>16500</v>
      </c>
      <c r="DP152" s="1936">
        <v>0</v>
      </c>
      <c r="DQ152" s="1936">
        <v>0</v>
      </c>
      <c r="DR152" s="1936">
        <v>1379.5632308100833</v>
      </c>
      <c r="DS152" s="1936">
        <v>283.29096885844831</v>
      </c>
      <c r="DT152" s="1936">
        <v>0</v>
      </c>
      <c r="DU152" s="1936">
        <v>20685.885213027992</v>
      </c>
      <c r="DV152" s="1936">
        <v>10382.120116105521</v>
      </c>
      <c r="DW152" s="1936">
        <v>454.79512137055792</v>
      </c>
      <c r="DX152" s="1936">
        <v>0</v>
      </c>
      <c r="DY152" s="1936">
        <v>8254.0671727206973</v>
      </c>
      <c r="DZ152" s="1936">
        <v>708.23799800386405</v>
      </c>
      <c r="EA152" s="1936">
        <v>535.99655712336676</v>
      </c>
      <c r="EB152" s="1936">
        <v>20335.216965324005</v>
      </c>
      <c r="EC152" s="1936">
        <v>350.66824770398586</v>
      </c>
      <c r="ED152" s="1941">
        <v>30</v>
      </c>
      <c r="EE152" s="1936">
        <v>0</v>
      </c>
      <c r="EF152" s="1936">
        <v>0</v>
      </c>
      <c r="EG152" s="1938">
        <v>0</v>
      </c>
      <c r="EH152" s="1938">
        <v>1</v>
      </c>
      <c r="EI152" s="1368">
        <v>0</v>
      </c>
      <c r="EJ152" s="1936">
        <v>11.031414141414141</v>
      </c>
      <c r="EK152" s="1936">
        <v>0</v>
      </c>
      <c r="EL152" s="1936">
        <v>0</v>
      </c>
      <c r="EM152" s="1936">
        <v>0</v>
      </c>
      <c r="EN152" s="1362">
        <v>0</v>
      </c>
      <c r="EO152" s="1936">
        <v>0</v>
      </c>
      <c r="EP152" s="1936">
        <v>0</v>
      </c>
      <c r="EQ152" s="1936">
        <v>0</v>
      </c>
      <c r="ER152" s="1938">
        <v>1</v>
      </c>
      <c r="ES152" s="1936">
        <v>1662.8541996685317</v>
      </c>
      <c r="ET152" s="1936">
        <v>-812.04155259085621</v>
      </c>
      <c r="EU152" s="1938">
        <v>1</v>
      </c>
      <c r="EV152" s="1936">
        <v>11142</v>
      </c>
      <c r="EW152" s="1936">
        <v>0</v>
      </c>
      <c r="EX152" s="1938">
        <v>0</v>
      </c>
      <c r="EY152" s="1936">
        <v>456556</v>
      </c>
      <c r="EZ152" s="1936">
        <v>125234</v>
      </c>
      <c r="FA152" s="1936">
        <v>331322</v>
      </c>
      <c r="FB152" s="1936">
        <v>93753</v>
      </c>
      <c r="FC152" s="1936">
        <v>25277</v>
      </c>
      <c r="FD152" s="1936">
        <v>68476</v>
      </c>
      <c r="FE152" s="1936">
        <v>550309</v>
      </c>
      <c r="FF152" s="1936">
        <v>150511</v>
      </c>
      <c r="FG152" s="1936">
        <v>399798</v>
      </c>
      <c r="FH152" s="1366">
        <v>1</v>
      </c>
      <c r="FI152" s="1366">
        <v>0.27430150956290139</v>
      </c>
      <c r="FJ152" s="1366">
        <v>0.72569849043709866</v>
      </c>
      <c r="FK152" s="1366">
        <v>1</v>
      </c>
      <c r="FL152" s="1366">
        <v>0.26961270572675006</v>
      </c>
      <c r="FM152" s="1366">
        <v>0.73038729427324989</v>
      </c>
      <c r="FN152" s="1366">
        <v>1</v>
      </c>
      <c r="FO152" s="1366">
        <v>0.2735027048440058</v>
      </c>
      <c r="FP152" s="1366">
        <v>0.72649729515599415</v>
      </c>
      <c r="FQ152" s="1936">
        <v>498867</v>
      </c>
      <c r="FR152" s="1936">
        <v>0</v>
      </c>
      <c r="FS152" s="1936">
        <v>70990</v>
      </c>
      <c r="FT152" s="1936">
        <v>0</v>
      </c>
      <c r="FU152" s="1936">
        <v>14469</v>
      </c>
      <c r="FV152" s="1936">
        <v>2907</v>
      </c>
      <c r="FW152" s="1936">
        <v>81304</v>
      </c>
      <c r="FX152" s="1936">
        <v>668537</v>
      </c>
      <c r="FY152" s="1936">
        <v>-268739</v>
      </c>
      <c r="FZ152" s="1366">
        <v>0.90652160876889165</v>
      </c>
      <c r="GA152" s="1366">
        <v>0</v>
      </c>
      <c r="GB152" s="1366">
        <v>0.12900025258536568</v>
      </c>
      <c r="GC152" s="1366">
        <v>0</v>
      </c>
      <c r="GD152" s="1366">
        <v>2.629250112209686E-2</v>
      </c>
      <c r="GE152" s="1366">
        <v>5.2824867483541064E-3</v>
      </c>
      <c r="GF152" s="1366">
        <v>0.14774245015073351</v>
      </c>
      <c r="GG152" s="1366">
        <v>1.2148392993754418</v>
      </c>
      <c r="GH152" s="1366">
        <v>-0.48834200421944762</v>
      </c>
      <c r="GI152" s="1942">
        <v>4.8697748338719826</v>
      </c>
      <c r="GJ152" s="1943">
        <v>0</v>
      </c>
      <c r="GK152" s="1371">
        <v>0</v>
      </c>
      <c r="GL152" s="1943">
        <v>0</v>
      </c>
      <c r="GM152" s="1371">
        <v>0</v>
      </c>
      <c r="GN152" s="1943">
        <v>18</v>
      </c>
      <c r="GO152" s="1985">
        <f>IF(GN152=0,0,VLOOKUP(A152,'Area (&amp;golfacre for lookup)'!$G$2:$H$133,2,FALSE))</f>
        <v>105</v>
      </c>
      <c r="GP152" s="1943">
        <v>12000</v>
      </c>
      <c r="GQ152" s="1943">
        <v>1394406</v>
      </c>
      <c r="GR152" s="1943">
        <v>369205</v>
      </c>
      <c r="GS152" s="1943">
        <v>1333876</v>
      </c>
      <c r="GT152" s="1943">
        <v>443280</v>
      </c>
      <c r="GU152" s="1943">
        <v>8899</v>
      </c>
      <c r="GV152" s="1943">
        <v>255525</v>
      </c>
      <c r="GW152" s="1943">
        <v>3805191</v>
      </c>
      <c r="GX152" s="1943">
        <v>211399.5</v>
      </c>
      <c r="GY152" s="1985">
        <f t="shared" si="1319"/>
        <v>36239.914285714287</v>
      </c>
      <c r="GZ152" s="1366">
        <v>0.36644835962242106</v>
      </c>
      <c r="HA152" s="1366">
        <v>9.70266669925373E-2</v>
      </c>
      <c r="HB152" s="1366">
        <v>0.35054114235001604</v>
      </c>
      <c r="HC152" s="1366">
        <v>0.11649349533308578</v>
      </c>
      <c r="HD152" s="1366">
        <v>2.3386473898419293E-3</v>
      </c>
      <c r="HE152" s="1366">
        <v>6.7151688312097862E-2</v>
      </c>
      <c r="HF152" s="1366">
        <v>1</v>
      </c>
      <c r="HG152" s="1936">
        <v>0</v>
      </c>
      <c r="HH152" s="1988">
        <f>IF(HG152=0,0,VLOOKUP(A152,'Area (&amp;golfacre for lookup)'!$G$2:$H$134,2,FALSE))</f>
        <v>0</v>
      </c>
      <c r="HI152" s="1936">
        <v>0</v>
      </c>
      <c r="HJ152" s="1936">
        <v>0</v>
      </c>
      <c r="HK152" s="1936">
        <v>0</v>
      </c>
      <c r="HL152" s="1936">
        <v>0</v>
      </c>
      <c r="HM152" s="1936">
        <v>0</v>
      </c>
      <c r="HN152" s="1936">
        <v>0</v>
      </c>
      <c r="HO152" s="1936">
        <v>0</v>
      </c>
      <c r="HP152" s="1936">
        <v>0</v>
      </c>
      <c r="HQ152" s="1936">
        <v>0</v>
      </c>
      <c r="HR152" s="1988">
        <f t="shared" si="1320"/>
        <v>0</v>
      </c>
      <c r="HS152" s="1936">
        <v>0</v>
      </c>
      <c r="HT152" s="1936">
        <v>0</v>
      </c>
      <c r="HU152" s="1936">
        <v>0</v>
      </c>
      <c r="HV152" s="1936">
        <v>0</v>
      </c>
      <c r="HW152" s="1936">
        <v>0</v>
      </c>
      <c r="HX152" s="1936">
        <v>0</v>
      </c>
      <c r="HY152" s="1936">
        <v>0</v>
      </c>
      <c r="HZ152" s="51"/>
      <c r="IA152" s="59">
        <f t="shared" si="1136"/>
        <v>0</v>
      </c>
      <c r="IB152" s="59"/>
      <c r="IC152" s="815">
        <f t="shared" si="1137"/>
        <v>1</v>
      </c>
      <c r="ID152" s="815"/>
      <c r="IE152" s="284">
        <f t="shared" si="1138"/>
        <v>0</v>
      </c>
      <c r="IF152" s="284"/>
      <c r="IG152" s="284">
        <f t="shared" si="1139"/>
        <v>49764.62306910476</v>
      </c>
      <c r="IH152" s="284"/>
      <c r="II152" s="1288">
        <f t="shared" si="1140"/>
        <v>0</v>
      </c>
      <c r="IJ152" s="1288">
        <f t="shared" si="1141"/>
        <v>0.62478651272811114</v>
      </c>
      <c r="IK152" s="284">
        <f t="shared" si="1142"/>
        <v>1</v>
      </c>
      <c r="IL152" s="284">
        <f t="shared" si="1143"/>
        <v>0</v>
      </c>
      <c r="IM152" s="284">
        <f t="shared" si="1144"/>
        <v>0</v>
      </c>
      <c r="IN152" s="284">
        <f t="shared" si="1145"/>
        <v>0</v>
      </c>
      <c r="IO152" s="753">
        <f t="shared" si="1146"/>
        <v>-734.25956284153006</v>
      </c>
      <c r="IP152" s="113">
        <f t="shared" si="1147"/>
        <v>-812.04155259085621</v>
      </c>
      <c r="IQ152" s="30">
        <f t="shared" si="1148"/>
        <v>-4.9214639550960983E-2</v>
      </c>
      <c r="IR152" s="438">
        <f t="shared" si="1149"/>
        <v>456556</v>
      </c>
      <c r="IS152" s="438">
        <f t="shared" si="1150"/>
        <v>93753</v>
      </c>
      <c r="IT152" s="438">
        <f t="shared" si="1151"/>
        <v>498867</v>
      </c>
      <c r="IU152" s="438">
        <f t="shared" si="1152"/>
        <v>70990</v>
      </c>
      <c r="IV152" s="438">
        <f t="shared" si="1153"/>
        <v>150511</v>
      </c>
      <c r="IW152" s="438">
        <f t="shared" si="1154"/>
        <v>98680</v>
      </c>
      <c r="IX152" s="285">
        <f t="shared" si="1155"/>
        <v>0.82963571375354572</v>
      </c>
      <c r="IY152" s="285">
        <f t="shared" si="1156"/>
        <v>0.17036428624645428</v>
      </c>
      <c r="IZ152" s="285">
        <f t="shared" si="1157"/>
        <v>0.90652160876889165</v>
      </c>
      <c r="JA152" s="285">
        <f t="shared" si="1158"/>
        <v>0.12900025258536568</v>
      </c>
      <c r="JB152" s="285">
        <f t="shared" si="1159"/>
        <v>0.2735027048440058</v>
      </c>
      <c r="JC152" s="285">
        <f t="shared" si="1160"/>
        <v>0.17931743802118447</v>
      </c>
      <c r="JD152" s="60">
        <f t="shared" si="1161"/>
        <v>5460550</v>
      </c>
      <c r="JE152" s="60">
        <f t="shared" si="1162"/>
        <v>834978</v>
      </c>
      <c r="JF152" s="60">
        <f t="shared" si="1163"/>
        <v>0</v>
      </c>
      <c r="JG152" s="60">
        <f t="shared" si="1164"/>
        <v>411770</v>
      </c>
      <c r="JH152" s="284">
        <f t="shared" si="1165"/>
        <v>1</v>
      </c>
      <c r="JI152" s="284">
        <f t="shared" si="1166"/>
        <v>0</v>
      </c>
      <c r="JJ152" s="560">
        <f t="shared" si="1167"/>
        <v>0</v>
      </c>
      <c r="JK152" s="561">
        <f t="shared" si="1168"/>
        <v>0.50189392473119065</v>
      </c>
      <c r="JL152" s="561">
        <f t="shared" si="1169"/>
        <v>2.1985770330202135E-2</v>
      </c>
      <c r="JM152" s="561">
        <f t="shared" si="1170"/>
        <v>0</v>
      </c>
      <c r="JN152" s="561">
        <f t="shared" si="1171"/>
        <v>0.39901928719599955</v>
      </c>
      <c r="JO152" s="561">
        <f t="shared" si="1172"/>
        <v>3.4237741856839421E-2</v>
      </c>
      <c r="JP152" s="561">
        <f t="shared" si="1173"/>
        <v>2.5911221666539825E-2</v>
      </c>
      <c r="JQ152" s="561">
        <f t="shared" si="1174"/>
        <v>0.98304794578077148</v>
      </c>
      <c r="JR152" s="61">
        <f t="shared" si="1175"/>
        <v>77467</v>
      </c>
      <c r="JS152" s="61">
        <f t="shared" si="1176"/>
        <v>20511.388888888891</v>
      </c>
      <c r="JT152" s="61">
        <f t="shared" si="1177"/>
        <v>74104.222222222219</v>
      </c>
      <c r="JU152" s="61">
        <f t="shared" si="1178"/>
        <v>24626.666666666668</v>
      </c>
      <c r="JV152" s="61">
        <f t="shared" si="1179"/>
        <v>494.38888888888891</v>
      </c>
      <c r="JW152" s="61">
        <f t="shared" si="1180"/>
        <v>14195.833333333334</v>
      </c>
      <c r="JX152" s="61">
        <f t="shared" si="1181"/>
        <v>317.09924999999998</v>
      </c>
      <c r="JY152" s="394">
        <f t="shared" si="1182"/>
        <v>0.56542526017914985</v>
      </c>
      <c r="JZ152" s="61">
        <f t="shared" si="1183"/>
        <v>0</v>
      </c>
      <c r="KA152" s="61">
        <f t="shared" si="1184"/>
        <v>0</v>
      </c>
      <c r="KB152" s="61">
        <f t="shared" si="1185"/>
        <v>0</v>
      </c>
      <c r="KC152" s="61">
        <f t="shared" si="1186"/>
        <v>0</v>
      </c>
      <c r="KD152" s="61">
        <f t="shared" si="1187"/>
        <v>0</v>
      </c>
      <c r="KE152" s="61">
        <f t="shared" si="1188"/>
        <v>0</v>
      </c>
      <c r="KF152" s="61">
        <f t="shared" si="1189"/>
        <v>0</v>
      </c>
      <c r="KG152" s="61">
        <f t="shared" si="1190"/>
        <v>0</v>
      </c>
      <c r="KH152" s="61">
        <f t="shared" si="1191"/>
        <v>0</v>
      </c>
      <c r="KI152" s="394">
        <f t="shared" si="1192"/>
        <v>0</v>
      </c>
      <c r="KJ152" s="438">
        <f t="shared" si="1193"/>
        <v>18</v>
      </c>
      <c r="KK152" s="438">
        <f t="shared" si="1194"/>
        <v>12000</v>
      </c>
      <c r="KL152" s="438">
        <f t="shared" si="1195"/>
        <v>105</v>
      </c>
      <c r="KM152" s="438">
        <f t="shared" si="1196"/>
        <v>211399.5</v>
      </c>
      <c r="KN152" s="438">
        <f t="shared" si="1197"/>
        <v>317.09924999999998</v>
      </c>
      <c r="KO152" s="438">
        <f t="shared" si="1198"/>
        <v>36239.914285714287</v>
      </c>
      <c r="KP152" s="438">
        <f t="shared" si="1199"/>
        <v>1394406</v>
      </c>
      <c r="KQ152" s="438">
        <f t="shared" si="1200"/>
        <v>369205</v>
      </c>
      <c r="KR152" s="438">
        <f t="shared" si="1201"/>
        <v>1333876</v>
      </c>
      <c r="KS152" s="438">
        <f t="shared" si="1202"/>
        <v>443280</v>
      </c>
      <c r="KT152" s="438">
        <f t="shared" si="1203"/>
        <v>8899</v>
      </c>
      <c r="KU152" s="438">
        <f t="shared" si="1204"/>
        <v>255525</v>
      </c>
      <c r="KV152" s="420">
        <f t="shared" si="1205"/>
        <v>0.56542526017914985</v>
      </c>
      <c r="KW152" s="420">
        <f t="shared" si="1206"/>
        <v>-0.65005649614049865</v>
      </c>
      <c r="KX152" s="108"/>
      <c r="KY152" s="282">
        <f t="shared" si="1207"/>
        <v>0</v>
      </c>
      <c r="KZ152" s="282"/>
      <c r="LA152" s="282">
        <f t="shared" si="1208"/>
        <v>0</v>
      </c>
      <c r="LB152" s="282"/>
      <c r="LC152" s="286">
        <f t="shared" si="1321"/>
        <v>0</v>
      </c>
      <c r="LD152" s="286"/>
      <c r="LE152" s="282">
        <f t="shared" si="1209"/>
        <v>0</v>
      </c>
      <c r="LF152" s="282"/>
      <c r="LG152" s="282">
        <f t="shared" si="1210"/>
        <v>0</v>
      </c>
      <c r="LH152" s="282">
        <f t="shared" si="1211"/>
        <v>0</v>
      </c>
      <c r="LI152" s="282">
        <f t="shared" si="1212"/>
        <v>0</v>
      </c>
      <c r="LJ152" s="282">
        <f t="shared" si="1213"/>
        <v>0</v>
      </c>
      <c r="LK152" s="282"/>
      <c r="LL152" s="282">
        <f t="shared" si="1214"/>
        <v>0</v>
      </c>
      <c r="LM152" s="282">
        <f t="shared" si="1215"/>
        <v>0</v>
      </c>
      <c r="LN152" s="282">
        <f t="shared" si="1216"/>
        <v>0</v>
      </c>
      <c r="LO152" s="282">
        <f t="shared" si="1217"/>
        <v>0</v>
      </c>
      <c r="LP152" s="286">
        <f t="shared" si="1218"/>
        <v>0</v>
      </c>
      <c r="LQ152" s="282">
        <f t="shared" si="1219"/>
        <v>0</v>
      </c>
      <c r="LR152" s="282">
        <f t="shared" si="1220"/>
        <v>0</v>
      </c>
      <c r="LS152" s="282">
        <f t="shared" si="1221"/>
        <v>0</v>
      </c>
      <c r="LT152" s="286">
        <f t="shared" si="1222"/>
        <v>0</v>
      </c>
      <c r="LU152" s="286">
        <f t="shared" si="1223"/>
        <v>0</v>
      </c>
      <c r="LV152" s="286">
        <f t="shared" si="1224"/>
        <v>0</v>
      </c>
      <c r="LW152" s="286">
        <f t="shared" si="1225"/>
        <v>0</v>
      </c>
      <c r="LX152" s="286">
        <f t="shared" si="1226"/>
        <v>0</v>
      </c>
      <c r="LY152" s="286">
        <f t="shared" si="1227"/>
        <v>0</v>
      </c>
      <c r="LZ152" s="286">
        <f t="shared" si="1228"/>
        <v>0</v>
      </c>
      <c r="MA152" s="286">
        <f t="shared" si="1229"/>
        <v>0</v>
      </c>
      <c r="MB152" s="286">
        <f t="shared" si="1230"/>
        <v>0</v>
      </c>
      <c r="MC152" s="286">
        <f t="shared" si="1231"/>
        <v>0</v>
      </c>
      <c r="MD152" s="286">
        <f t="shared" si="1232"/>
        <v>0</v>
      </c>
      <c r="ME152" s="286">
        <f t="shared" si="1233"/>
        <v>0</v>
      </c>
      <c r="MF152" s="286">
        <f t="shared" si="1234"/>
        <v>0</v>
      </c>
      <c r="MG152" s="286">
        <f t="shared" si="1235"/>
        <v>0</v>
      </c>
      <c r="MH152" s="286">
        <f t="shared" si="1236"/>
        <v>0</v>
      </c>
      <c r="MI152" s="286">
        <f t="shared" si="1237"/>
        <v>0</v>
      </c>
      <c r="MJ152" s="286">
        <f t="shared" si="1238"/>
        <v>0</v>
      </c>
      <c r="MK152" s="286">
        <f t="shared" si="1239"/>
        <v>0</v>
      </c>
      <c r="ML152" s="282">
        <f t="shared" si="1240"/>
        <v>0</v>
      </c>
      <c r="MM152" s="1232">
        <f t="shared" si="1241"/>
        <v>0</v>
      </c>
      <c r="MN152" s="1232">
        <f t="shared" si="1242"/>
        <v>0</v>
      </c>
      <c r="MO152" s="1232">
        <f t="shared" si="1243"/>
        <v>0</v>
      </c>
      <c r="MP152" s="1232">
        <f t="shared" si="1244"/>
        <v>0</v>
      </c>
      <c r="MQ152" s="282">
        <f t="shared" si="1245"/>
        <v>0</v>
      </c>
      <c r="MR152" s="282">
        <f t="shared" si="1246"/>
        <v>0</v>
      </c>
      <c r="MS152" s="282">
        <f t="shared" si="1247"/>
        <v>0</v>
      </c>
      <c r="MT152" s="282">
        <f t="shared" si="1248"/>
        <v>0</v>
      </c>
      <c r="MU152" s="282">
        <f t="shared" si="1249"/>
        <v>0</v>
      </c>
      <c r="MV152" s="282">
        <f t="shared" si="1250"/>
        <v>0</v>
      </c>
      <c r="MW152" s="282">
        <f t="shared" si="1251"/>
        <v>0</v>
      </c>
      <c r="MX152" s="282">
        <f t="shared" si="1252"/>
        <v>0</v>
      </c>
      <c r="MY152" s="282">
        <f t="shared" si="1253"/>
        <v>0</v>
      </c>
      <c r="MZ152" s="282">
        <f t="shared" si="1254"/>
        <v>0</v>
      </c>
      <c r="NA152" s="282">
        <f t="shared" si="1255"/>
        <v>0</v>
      </c>
      <c r="NB152" s="282">
        <f t="shared" si="1256"/>
        <v>0</v>
      </c>
      <c r="NC152" s="282">
        <f t="shared" si="1257"/>
        <v>0</v>
      </c>
      <c r="ND152" s="282">
        <f t="shared" si="1258"/>
        <v>0</v>
      </c>
      <c r="NE152" s="282">
        <f t="shared" si="1259"/>
        <v>0</v>
      </c>
      <c r="NF152" s="282">
        <f t="shared" si="1260"/>
        <v>0</v>
      </c>
      <c r="NG152" s="282">
        <f t="shared" si="1261"/>
        <v>0</v>
      </c>
      <c r="NH152" s="282">
        <f t="shared" si="1262"/>
        <v>0</v>
      </c>
      <c r="NI152" s="282">
        <f t="shared" si="1263"/>
        <v>0</v>
      </c>
      <c r="NJ152" s="282">
        <f t="shared" si="1264"/>
        <v>0</v>
      </c>
      <c r="NK152" s="282">
        <f t="shared" si="1265"/>
        <v>0</v>
      </c>
      <c r="NL152" s="282">
        <f t="shared" si="1266"/>
        <v>0</v>
      </c>
      <c r="NM152" s="1205">
        <f t="shared" si="1267"/>
        <v>0</v>
      </c>
      <c r="NN152" s="282">
        <f t="shared" si="1268"/>
        <v>0</v>
      </c>
      <c r="NO152" s="282">
        <f t="shared" si="1269"/>
        <v>0</v>
      </c>
      <c r="NP152" s="282">
        <f t="shared" si="1270"/>
        <v>0</v>
      </c>
      <c r="NQ152" s="282">
        <f t="shared" si="1271"/>
        <v>0</v>
      </c>
      <c r="NR152" s="282">
        <f t="shared" si="1272"/>
        <v>0</v>
      </c>
      <c r="NS152" s="282">
        <f t="shared" si="1273"/>
        <v>0</v>
      </c>
      <c r="NT152" s="282">
        <f t="shared" si="1274"/>
        <v>0</v>
      </c>
      <c r="NU152" s="282">
        <f t="shared" si="1275"/>
        <v>0</v>
      </c>
      <c r="NV152" s="286">
        <f t="shared" si="1276"/>
        <v>0</v>
      </c>
      <c r="NW152" s="286">
        <f t="shared" si="1277"/>
        <v>0</v>
      </c>
      <c r="NX152" s="286">
        <f t="shared" si="1278"/>
        <v>0</v>
      </c>
      <c r="NY152" s="286">
        <f t="shared" si="1279"/>
        <v>0</v>
      </c>
      <c r="NZ152" s="286">
        <f t="shared" si="1280"/>
        <v>0</v>
      </c>
      <c r="OA152" s="286">
        <f t="shared" si="1281"/>
        <v>0</v>
      </c>
      <c r="OB152" s="286">
        <f t="shared" si="1282"/>
        <v>0</v>
      </c>
      <c r="OC152" s="286">
        <f t="shared" si="1283"/>
        <v>0</v>
      </c>
      <c r="OD152" s="286">
        <f t="shared" si="1284"/>
        <v>0</v>
      </c>
      <c r="OE152" s="282">
        <f t="shared" si="1285"/>
        <v>0</v>
      </c>
      <c r="OF152" s="282">
        <f t="shared" si="1286"/>
        <v>0</v>
      </c>
      <c r="OG152" s="286">
        <f t="shared" si="1287"/>
        <v>0</v>
      </c>
      <c r="OH152" s="286">
        <f t="shared" si="1288"/>
        <v>0</v>
      </c>
      <c r="OI152" s="286">
        <f t="shared" si="1289"/>
        <v>0</v>
      </c>
      <c r="OJ152" s="286">
        <f t="shared" si="1290"/>
        <v>0</v>
      </c>
      <c r="OK152" s="286">
        <f t="shared" si="1291"/>
        <v>0</v>
      </c>
      <c r="OL152" s="286">
        <f t="shared" si="1292"/>
        <v>0</v>
      </c>
      <c r="OM152" s="286">
        <f t="shared" si="1293"/>
        <v>0</v>
      </c>
      <c r="ON152" s="286">
        <f t="shared" si="1294"/>
        <v>0</v>
      </c>
      <c r="OO152" s="286">
        <f t="shared" si="1295"/>
        <v>0</v>
      </c>
      <c r="OP152" s="434">
        <f t="shared" si="1296"/>
        <v>0</v>
      </c>
      <c r="OQ152" s="434">
        <f t="shared" si="1297"/>
        <v>0</v>
      </c>
      <c r="OR152" s="282">
        <f t="shared" si="1298"/>
        <v>0</v>
      </c>
      <c r="OS152" s="282">
        <f t="shared" si="1299"/>
        <v>0</v>
      </c>
      <c r="OT152" s="282">
        <f t="shared" si="1300"/>
        <v>0</v>
      </c>
      <c r="OU152" s="282">
        <f t="shared" si="1301"/>
        <v>0</v>
      </c>
      <c r="OV152" s="282">
        <f t="shared" si="1302"/>
        <v>0</v>
      </c>
      <c r="OW152" s="286">
        <f t="shared" si="1303"/>
        <v>0</v>
      </c>
      <c r="OX152" s="286">
        <f t="shared" si="1304"/>
        <v>0</v>
      </c>
      <c r="OY152" s="286">
        <f t="shared" si="1305"/>
        <v>0</v>
      </c>
      <c r="OZ152" s="286">
        <f t="shared" si="1306"/>
        <v>0</v>
      </c>
      <c r="PA152" s="286">
        <f t="shared" si="1307"/>
        <v>0</v>
      </c>
      <c r="PB152" s="286">
        <f t="shared" si="1308"/>
        <v>0</v>
      </c>
      <c r="PC152" s="286">
        <f t="shared" si="1309"/>
        <v>0</v>
      </c>
      <c r="PD152" s="282">
        <f t="shared" si="1310"/>
        <v>0</v>
      </c>
      <c r="PE152" s="282">
        <f t="shared" si="1311"/>
        <v>0</v>
      </c>
      <c r="PF152" s="286">
        <f t="shared" si="1312"/>
        <v>0</v>
      </c>
      <c r="PG152" s="286">
        <f t="shared" si="1313"/>
        <v>0</v>
      </c>
      <c r="PH152" s="286">
        <f t="shared" si="1314"/>
        <v>0</v>
      </c>
      <c r="PI152" s="286">
        <f t="shared" si="1315"/>
        <v>0</v>
      </c>
      <c r="PJ152" s="286">
        <f t="shared" si="1316"/>
        <v>0</v>
      </c>
      <c r="PK152" s="286">
        <f t="shared" si="1317"/>
        <v>0</v>
      </c>
      <c r="PL152" s="286">
        <f t="shared" si="1318"/>
        <v>0</v>
      </c>
      <c r="PM152" s="562">
        <v>96</v>
      </c>
    </row>
    <row r="153" spans="1:429" s="289" customFormat="1" ht="15.75" customHeight="1">
      <c r="A153" s="1935" t="s">
        <v>929</v>
      </c>
      <c r="B153" s="1040" t="str">
        <f>VLOOKUP(A153,'Area (&amp;golfacre for lookup)'!$A$2:$B$162,2,FALSE)</f>
        <v>SW exc CIRA</v>
      </c>
      <c r="C153" s="1936"/>
      <c r="D153" s="1937">
        <v>44926</v>
      </c>
      <c r="E153" s="402"/>
      <c r="F153" s="1936">
        <v>1</v>
      </c>
      <c r="G153" s="1936">
        <v>0</v>
      </c>
      <c r="H153" s="1936">
        <v>872</v>
      </c>
      <c r="I153" s="1936">
        <v>404</v>
      </c>
      <c r="J153" s="1936">
        <v>1276</v>
      </c>
      <c r="K153" s="1938">
        <v>1010.0755583223096</v>
      </c>
      <c r="L153" s="1939" t="s">
        <v>1208</v>
      </c>
      <c r="M153" s="1939" t="s">
        <v>1208</v>
      </c>
      <c r="N153" s="1939" t="s">
        <v>1208</v>
      </c>
      <c r="O153" s="1939" t="s">
        <v>1208</v>
      </c>
      <c r="P153" s="1939" t="s">
        <v>1208</v>
      </c>
      <c r="Q153" s="1936">
        <v>0</v>
      </c>
      <c r="R153" s="1936">
        <v>105000</v>
      </c>
      <c r="S153" s="1936">
        <v>105000</v>
      </c>
      <c r="T153" s="1939" t="s">
        <v>1208</v>
      </c>
      <c r="U153" s="1939" t="s">
        <v>1208</v>
      </c>
      <c r="V153" s="1939" t="s">
        <v>1208</v>
      </c>
      <c r="W153" s="1936">
        <v>14312</v>
      </c>
      <c r="X153" s="1936">
        <v>12851</v>
      </c>
      <c r="Y153" s="1939" t="s">
        <v>1208</v>
      </c>
      <c r="Z153" s="1939" t="s">
        <v>1208</v>
      </c>
      <c r="AA153" s="1936">
        <v>1461</v>
      </c>
      <c r="AB153" s="1362">
        <v>0.11368765076647731</v>
      </c>
      <c r="AC153" s="1939" t="s">
        <v>1208</v>
      </c>
      <c r="AD153" s="1363" t="s">
        <v>1208</v>
      </c>
      <c r="AE153" s="1936">
        <v>1</v>
      </c>
      <c r="AF153" s="1936">
        <v>2006</v>
      </c>
      <c r="AG153" s="1939" t="s">
        <v>1208</v>
      </c>
      <c r="AH153" s="1936">
        <v>0</v>
      </c>
      <c r="AI153" s="1936">
        <v>0</v>
      </c>
      <c r="AJ153" s="1939" t="s">
        <v>1208</v>
      </c>
      <c r="AK153" s="1938">
        <v>1</v>
      </c>
      <c r="AL153" s="1938">
        <v>1200</v>
      </c>
      <c r="AM153" s="1936">
        <v>16057</v>
      </c>
      <c r="AN153" s="1939" t="s">
        <v>1208</v>
      </c>
      <c r="AO153" s="1936">
        <v>0</v>
      </c>
      <c r="AP153" s="1936">
        <v>0</v>
      </c>
      <c r="AQ153" s="1936">
        <v>16057</v>
      </c>
      <c r="AR153" s="1939" t="s">
        <v>1208</v>
      </c>
      <c r="AS153" s="1363" t="s">
        <v>1208</v>
      </c>
      <c r="AT153" s="1363" t="s">
        <v>1208</v>
      </c>
      <c r="AU153" s="1363" t="s">
        <v>1208</v>
      </c>
      <c r="AV153" s="1363" t="s">
        <v>1208</v>
      </c>
      <c r="AW153" s="1363" t="s">
        <v>1291</v>
      </c>
      <c r="AX153" s="1938">
        <v>1</v>
      </c>
      <c r="AY153" s="1938">
        <v>1</v>
      </c>
      <c r="AZ153" s="1938">
        <v>0</v>
      </c>
      <c r="BA153" s="1938">
        <v>0</v>
      </c>
      <c r="BB153" s="1938">
        <v>0</v>
      </c>
      <c r="BC153" s="1938">
        <v>0</v>
      </c>
      <c r="BD153" s="1938">
        <v>0</v>
      </c>
      <c r="BE153" s="1936">
        <v>1</v>
      </c>
      <c r="BF153" s="1936">
        <v>5856000</v>
      </c>
      <c r="BG153" s="1936">
        <v>2150000</v>
      </c>
      <c r="BH153" s="1936">
        <v>8006000</v>
      </c>
      <c r="BI153" s="1938">
        <v>46388122</v>
      </c>
      <c r="BJ153" s="1936">
        <v>6295999</v>
      </c>
      <c r="BK153" s="1936">
        <v>2880009</v>
      </c>
      <c r="BL153" s="1362">
        <v>2.1861039323141003</v>
      </c>
      <c r="BM153" s="1936">
        <v>1</v>
      </c>
      <c r="BN153" s="1936">
        <v>7287075</v>
      </c>
      <c r="BO153" s="1363" t="s">
        <v>1208</v>
      </c>
      <c r="BP153" s="1938">
        <v>5993459</v>
      </c>
      <c r="BQ153" s="1938">
        <v>8534671</v>
      </c>
      <c r="BR153" s="1940">
        <v>0.70224839364048131</v>
      </c>
      <c r="BS153" s="1409">
        <v>0</v>
      </c>
      <c r="BT153" s="1938">
        <v>16580382</v>
      </c>
      <c r="BU153" s="1938">
        <v>41985109</v>
      </c>
      <c r="BV153" s="1940">
        <v>0.39491101476001883</v>
      </c>
      <c r="BW153" s="1936">
        <v>7214.3860327671982</v>
      </c>
      <c r="BX153" s="1936">
        <v>6233.1960694676873</v>
      </c>
      <c r="BY153" s="1936">
        <v>7926.1397170104865</v>
      </c>
      <c r="BZ153" s="1936">
        <v>3585416</v>
      </c>
      <c r="CA153" s="1936">
        <v>100220</v>
      </c>
      <c r="CB153" s="1936">
        <v>1414938</v>
      </c>
      <c r="CC153" s="1936">
        <v>86923</v>
      </c>
      <c r="CD153" s="1936">
        <v>12980481</v>
      </c>
      <c r="CE153" s="1936">
        <v>0</v>
      </c>
      <c r="CF153" s="1936">
        <v>0</v>
      </c>
      <c r="CG153" s="1936">
        <v>3155021</v>
      </c>
      <c r="CH153" s="1936">
        <v>1561799</v>
      </c>
      <c r="CI153" s="1936">
        <v>30416</v>
      </c>
      <c r="CJ153" s="1936">
        <v>22915214</v>
      </c>
      <c r="CK153" s="1366">
        <v>0.15646443450189904</v>
      </c>
      <c r="CL153" s="1366">
        <v>4.3735135966873366E-3</v>
      </c>
      <c r="CM153" s="1366">
        <v>6.1746663155753202E-2</v>
      </c>
      <c r="CN153" s="1366">
        <v>3.793244086657886E-3</v>
      </c>
      <c r="CO153" s="1366">
        <v>0.56645689627860341</v>
      </c>
      <c r="CP153" s="1366">
        <v>0</v>
      </c>
      <c r="CQ153" s="1366">
        <v>0</v>
      </c>
      <c r="CR153" s="1366">
        <v>0.13768237119670801</v>
      </c>
      <c r="CS153" s="1366">
        <v>6.8155549409226551E-2</v>
      </c>
      <c r="CT153" s="1366">
        <v>1.327327774464598E-3</v>
      </c>
      <c r="CU153" s="1366">
        <v>1</v>
      </c>
      <c r="CV153" s="1936">
        <v>11378935</v>
      </c>
      <c r="CW153" s="1936">
        <v>2042651</v>
      </c>
      <c r="CX153" s="1936">
        <v>966475</v>
      </c>
      <c r="CY153" s="1936">
        <v>7386226</v>
      </c>
      <c r="CZ153" s="1936">
        <v>227715</v>
      </c>
      <c r="DA153" s="1936">
        <v>493542</v>
      </c>
      <c r="DB153" s="1936">
        <v>22495544</v>
      </c>
      <c r="DC153" s="1366">
        <v>0.50583062138884038</v>
      </c>
      <c r="DD153" s="1366">
        <v>9.0802471813973468E-2</v>
      </c>
      <c r="DE153" s="1366">
        <v>4.2962953018606705E-2</v>
      </c>
      <c r="DF153" s="1366">
        <v>0.32834173736807609</v>
      </c>
      <c r="DG153" s="1366">
        <v>1.0122671405501462E-2</v>
      </c>
      <c r="DH153" s="1366">
        <v>2.1939545005001879E-2</v>
      </c>
      <c r="DI153" s="1366">
        <v>1</v>
      </c>
      <c r="DJ153" s="1936">
        <v>419670</v>
      </c>
      <c r="DK153" s="1936">
        <v>3549.6512814894918</v>
      </c>
      <c r="DL153" s="1936">
        <v>99.220300079789027</v>
      </c>
      <c r="DM153" s="1936">
        <v>1400.8239169257288</v>
      </c>
      <c r="DN153" s="1936">
        <v>86.055938373932364</v>
      </c>
      <c r="DO153" s="1936">
        <v>12851</v>
      </c>
      <c r="DP153" s="1936">
        <v>0</v>
      </c>
      <c r="DQ153" s="1936">
        <v>0</v>
      </c>
      <c r="DR153" s="1936">
        <v>3123.5494948915989</v>
      </c>
      <c r="DS153" s="1936">
        <v>1546.2199705080266</v>
      </c>
      <c r="DT153" s="1936">
        <v>30.112598755007614</v>
      </c>
      <c r="DU153" s="1936">
        <v>22686.633501023574</v>
      </c>
      <c r="DV153" s="1936">
        <v>11265.429507966615</v>
      </c>
      <c r="DW153" s="1936">
        <v>2022.275445802047</v>
      </c>
      <c r="DX153" s="1936">
        <v>956.83435960501004</v>
      </c>
      <c r="DY153" s="1936">
        <v>7312.5479961798028</v>
      </c>
      <c r="DZ153" s="1936">
        <v>225.44353055946078</v>
      </c>
      <c r="EA153" s="1936">
        <v>488.61889185770542</v>
      </c>
      <c r="EB153" s="1936">
        <v>22271.14973197064</v>
      </c>
      <c r="EC153" s="1936">
        <v>415.48376905293418</v>
      </c>
      <c r="ED153" s="1941">
        <v>135</v>
      </c>
      <c r="EE153" s="1936">
        <v>1</v>
      </c>
      <c r="EF153" s="1936">
        <v>30</v>
      </c>
      <c r="EG153" s="1938">
        <v>175000</v>
      </c>
      <c r="EH153" s="1938">
        <v>1</v>
      </c>
      <c r="EI153" s="1368">
        <v>0.13</v>
      </c>
      <c r="EJ153" s="1936">
        <v>7.4820411727578486</v>
      </c>
      <c r="EK153" s="1936">
        <v>0</v>
      </c>
      <c r="EL153" s="1936">
        <v>0</v>
      </c>
      <c r="EM153" s="1936">
        <v>1</v>
      </c>
      <c r="EN153" s="1362">
        <v>0.2</v>
      </c>
      <c r="EO153" s="1936">
        <v>0</v>
      </c>
      <c r="EP153" s="1936">
        <v>0</v>
      </c>
      <c r="EQ153" s="1936">
        <v>0</v>
      </c>
      <c r="ER153" s="1938">
        <v>0</v>
      </c>
      <c r="ES153" s="1936">
        <v>4669.7694653996259</v>
      </c>
      <c r="ET153" s="1936">
        <v>-1989.2185128578824</v>
      </c>
      <c r="EU153" s="1938">
        <v>3</v>
      </c>
      <c r="EV153" s="1936">
        <v>137000</v>
      </c>
      <c r="EW153" s="1936">
        <v>450</v>
      </c>
      <c r="EX153" s="1938">
        <v>1</v>
      </c>
      <c r="EY153" s="1936">
        <v>3155021</v>
      </c>
      <c r="EZ153" s="1936">
        <v>1474112</v>
      </c>
      <c r="FA153" s="1936">
        <v>1680909</v>
      </c>
      <c r="FB153" s="1936">
        <v>1561799</v>
      </c>
      <c r="FC153" s="1936">
        <v>568539</v>
      </c>
      <c r="FD153" s="1936">
        <v>993260</v>
      </c>
      <c r="FE153" s="1936">
        <v>4716820</v>
      </c>
      <c r="FF153" s="1936">
        <v>2042651</v>
      </c>
      <c r="FG153" s="1936">
        <v>2674169</v>
      </c>
      <c r="FH153" s="1366">
        <v>1</v>
      </c>
      <c r="FI153" s="1366">
        <v>0.46722731797981693</v>
      </c>
      <c r="FJ153" s="1366">
        <v>0.53277268202018302</v>
      </c>
      <c r="FK153" s="1366">
        <v>1</v>
      </c>
      <c r="FL153" s="1366">
        <v>0.36402827764648332</v>
      </c>
      <c r="FM153" s="1366">
        <v>0.63597172235351673</v>
      </c>
      <c r="FN153" s="1366">
        <v>1</v>
      </c>
      <c r="FO153" s="1366">
        <v>0.43305680522046636</v>
      </c>
      <c r="FP153" s="1366">
        <v>0.5669431947795337</v>
      </c>
      <c r="FQ153" s="1936">
        <v>3288097</v>
      </c>
      <c r="FR153" s="1936">
        <v>0</v>
      </c>
      <c r="FS153" s="1936">
        <v>412711</v>
      </c>
      <c r="FT153" s="1936">
        <v>97447</v>
      </c>
      <c r="FU153" s="1936">
        <v>100389</v>
      </c>
      <c r="FV153" s="1936">
        <v>15277</v>
      </c>
      <c r="FW153" s="1936">
        <v>769509</v>
      </c>
      <c r="FX153" s="1936">
        <v>4683430</v>
      </c>
      <c r="FY153" s="1936">
        <v>-2009261</v>
      </c>
      <c r="FZ153" s="1366">
        <v>0.69710037694887661</v>
      </c>
      <c r="GA153" s="1366">
        <v>0</v>
      </c>
      <c r="GB153" s="1366">
        <v>8.7497720922146707E-2</v>
      </c>
      <c r="GC153" s="1366">
        <v>2.0659469727485891E-2</v>
      </c>
      <c r="GD153" s="1366">
        <v>2.1283195033942361E-2</v>
      </c>
      <c r="GE153" s="1366">
        <v>3.2388346385912544E-3</v>
      </c>
      <c r="GF153" s="1366">
        <v>0.163141480912988</v>
      </c>
      <c r="GG153" s="1366">
        <v>0.99292107818403075</v>
      </c>
      <c r="GH153" s="1366">
        <v>-0.4259778834044971</v>
      </c>
      <c r="GI153" s="1942">
        <v>2.02011974652308</v>
      </c>
      <c r="GJ153" s="1943">
        <v>1</v>
      </c>
      <c r="GK153" s="1371">
        <v>0.05</v>
      </c>
      <c r="GL153" s="1943">
        <v>1</v>
      </c>
      <c r="GM153" s="1371">
        <v>0.05</v>
      </c>
      <c r="GN153" s="1943">
        <v>0</v>
      </c>
      <c r="GO153" s="1985">
        <f>IF(GN153=0,0,VLOOKUP(A153,'Area (&amp;golfacre for lookup)'!$G$2:$H$133,2,FALSE))</f>
        <v>0</v>
      </c>
      <c r="GP153" s="1943">
        <v>0</v>
      </c>
      <c r="GQ153" s="1943">
        <v>0</v>
      </c>
      <c r="GR153" s="1943">
        <v>0</v>
      </c>
      <c r="GS153" s="1943">
        <v>0</v>
      </c>
      <c r="GT153" s="1943">
        <v>0</v>
      </c>
      <c r="GU153" s="1943">
        <v>0</v>
      </c>
      <c r="GV153" s="1943">
        <v>0</v>
      </c>
      <c r="GW153" s="1943">
        <v>0</v>
      </c>
      <c r="GX153" s="1936">
        <v>0</v>
      </c>
      <c r="GY153" s="1985">
        <f t="shared" si="1319"/>
        <v>0</v>
      </c>
      <c r="GZ153" s="1936">
        <v>0</v>
      </c>
      <c r="HA153" s="1936">
        <v>0</v>
      </c>
      <c r="HB153" s="1936">
        <v>0</v>
      </c>
      <c r="HC153" s="1936">
        <v>0</v>
      </c>
      <c r="HD153" s="1936">
        <v>0</v>
      </c>
      <c r="HE153" s="1936">
        <v>0</v>
      </c>
      <c r="HF153" s="1936">
        <v>0</v>
      </c>
      <c r="HG153" s="1936">
        <v>54</v>
      </c>
      <c r="HH153" s="1988">
        <f>IF(HG153=0,0,VLOOKUP(A153,'Area (&amp;golfacre for lookup)'!$G$2:$H$134,2,FALSE))</f>
        <v>330</v>
      </c>
      <c r="HI153" s="1936">
        <v>98000</v>
      </c>
      <c r="HJ153" s="1936">
        <v>2194589</v>
      </c>
      <c r="HK153" s="1936">
        <v>476426</v>
      </c>
      <c r="HL153" s="1936">
        <v>1115789</v>
      </c>
      <c r="HM153" s="1936">
        <v>347659</v>
      </c>
      <c r="HN153" s="1936">
        <v>0</v>
      </c>
      <c r="HO153" s="1936">
        <v>1272412</v>
      </c>
      <c r="HP153" s="1936">
        <v>5406875</v>
      </c>
      <c r="HQ153" s="1936">
        <v>100127.31481481482</v>
      </c>
      <c r="HR153" s="1988">
        <f t="shared" si="1320"/>
        <v>16384.469696969696</v>
      </c>
      <c r="HS153" s="1366">
        <v>0.40588861403305976</v>
      </c>
      <c r="HT153" s="1366">
        <v>8.8114853774130156E-2</v>
      </c>
      <c r="HU153" s="1366">
        <v>0.20636485955380882</v>
      </c>
      <c r="HV153" s="1366">
        <v>6.4299433591492317E-2</v>
      </c>
      <c r="HW153" s="1366">
        <v>0</v>
      </c>
      <c r="HX153" s="1366">
        <v>0.23533223904750897</v>
      </c>
      <c r="HY153" s="1366">
        <v>1</v>
      </c>
      <c r="HZ153" s="51"/>
      <c r="IA153" s="59">
        <f t="shared" ref="IA153:IA175" si="1322">IF(Q153=0,0,ROUND(Q153/S153,2))</f>
        <v>0</v>
      </c>
      <c r="IB153" s="59"/>
      <c r="IC153" s="815">
        <f t="shared" ref="IC153:IC175" si="1323">IF(AA153&gt;0,1,0)</f>
        <v>1</v>
      </c>
      <c r="ID153" s="815"/>
      <c r="IE153" s="284">
        <f t="shared" ref="IE153:IE175" si="1324">IF(AA153&lt;0,1,0)</f>
        <v>0</v>
      </c>
      <c r="IF153" s="284"/>
      <c r="IG153" s="284">
        <f t="shared" ref="IG153:IG175" si="1325">IF(BI153=0,0,+IF(K153=0,0,BI153/K153))</f>
        <v>45925.397974235311</v>
      </c>
      <c r="IH153" s="284"/>
      <c r="II153" s="1288">
        <f t="shared" ref="II153:II175" si="1326">IF(BR153&gt;1,BR153,0)</f>
        <v>0</v>
      </c>
      <c r="IJ153" s="1288">
        <f t="shared" ref="IJ153:IJ175" si="1327">IF(BR153&lt;1,BR153,0)</f>
        <v>0.70224839364048131</v>
      </c>
      <c r="IK153" s="284">
        <f t="shared" ref="IK153:IK175" si="1328">IF(OR(EK153=1,EO153=1),0,1)</f>
        <v>1</v>
      </c>
      <c r="IL153" s="284">
        <f t="shared" ref="IL153:IL175" si="1329">IF(AND(EK153=1,EO153=1),1,0)</f>
        <v>0</v>
      </c>
      <c r="IM153" s="284">
        <f t="shared" ref="IM153:IM175" si="1330">IF(AND(EK153=1,EM153=1),1,0)</f>
        <v>0</v>
      </c>
      <c r="IN153" s="284">
        <f t="shared" ref="IN153:IN175" si="1331">IF(AND(EK153=1,EM153=1,EO153=1),1,0)</f>
        <v>0</v>
      </c>
      <c r="IO153" s="753">
        <f t="shared" ref="IO153:IO175" si="1332">IF(J153=0,0,FY153/$J153)</f>
        <v>-1574.6559561128527</v>
      </c>
      <c r="IP153" s="113">
        <f t="shared" ref="IP153:IP175" si="1333">IF(K153=0,0,FY153/K153)</f>
        <v>-1989.2185128578824</v>
      </c>
      <c r="IQ153" s="30">
        <f t="shared" ref="IQ153:IQ175" si="1334">IF(FY153=0,0,+IF(CD153=0,0,FY153/CD153))</f>
        <v>-0.15479095112114874</v>
      </c>
      <c r="IR153" s="438">
        <f t="shared" ref="IR153:IR175" si="1335">EY153</f>
        <v>3155021</v>
      </c>
      <c r="IS153" s="438">
        <f t="shared" ref="IS153:IS175" si="1336">FB153</f>
        <v>1561799</v>
      </c>
      <c r="IT153" s="438">
        <f t="shared" ref="IT153:IT175" si="1337">FQ153</f>
        <v>3288097</v>
      </c>
      <c r="IU153" s="438">
        <f t="shared" ref="IU153:IU175" si="1338">FS153+FT153</f>
        <v>510158</v>
      </c>
      <c r="IV153" s="438">
        <f t="shared" ref="IV153:IV175" si="1339">FF153</f>
        <v>2042651</v>
      </c>
      <c r="IW153" s="438">
        <f t="shared" ref="IW153:IW175" si="1340">SUM(FU153:FW153)+FR153</f>
        <v>885175</v>
      </c>
      <c r="IX153" s="285">
        <f t="shared" ref="IX153:IX175" si="1341">IF(($IR153+$IS153)=0,0,IR153/SUM($IR153+$IS153))</f>
        <v>0.66888730119020867</v>
      </c>
      <c r="IY153" s="285">
        <f t="shared" ref="IY153:IY175" si="1342">IF(($IR153+$IS153)=0,0,IS153/SUM($IR153+$IS153))</f>
        <v>0.33111269880979133</v>
      </c>
      <c r="IZ153" s="285">
        <f t="shared" ref="IZ153:IZ175" si="1343">IF(($IR153+$IS153)=0,0,IT153/SUM($IR153+$IS153))</f>
        <v>0.69710037694887661</v>
      </c>
      <c r="JA153" s="285">
        <f t="shared" ref="JA153:JA175" si="1344">IF(($IR153+$IS153)=0,0,IU153/SUM($IR153+$IS153))</f>
        <v>0.1081571906496326</v>
      </c>
      <c r="JB153" s="285">
        <f t="shared" ref="JB153:JB175" si="1345">IF(($IR153+$IS153)=0,0,IV153/SUM($IR153+$IS153))</f>
        <v>0.43305680522046636</v>
      </c>
      <c r="JC153" s="285">
        <f t="shared" ref="JC153:JC175" si="1346">IF(($IR153+$IS153)=0,0,IW153/SUM($IR153+$IS153))</f>
        <v>0.18766351058552161</v>
      </c>
      <c r="JD153" s="60">
        <f t="shared" ref="JD153:JD175" si="1347">CD153+CE153+CF153</f>
        <v>12980481</v>
      </c>
      <c r="JE153" s="60">
        <f t="shared" ref="JE153:JE175" si="1348">BZ153+CA153+CB153+CC153</f>
        <v>5187497</v>
      </c>
      <c r="JF153" s="60">
        <f t="shared" ref="JF153:JF175" si="1349">JD153+JE153+CG153+CH153+CI153-CJ153</f>
        <v>0</v>
      </c>
      <c r="JG153" s="60">
        <f t="shared" ref="JG153:JG175" si="1350">CZ153+DA153</f>
        <v>721257</v>
      </c>
      <c r="JH153" s="284">
        <f t="shared" ref="JH153:JH175" si="1351">IF(DJ153&gt;0,1,0)</f>
        <v>1</v>
      </c>
      <c r="JI153" s="284">
        <f t="shared" ref="JI153:JI175" si="1352">IF(B153="Yacht &amp; Beach","",+IF(CB153&gt;0,1,0))</f>
        <v>1</v>
      </c>
      <c r="JJ153" s="560">
        <f t="shared" ref="JJ153:JJ175" si="1353">IF(B153="Yacht &amp; Beach",0,+IF(CX153=0,0,CX153/CB153))</f>
        <v>0.68305113015552621</v>
      </c>
      <c r="JK153" s="561">
        <f t="shared" ref="JK153:JK175" si="1354">CV153/$CJ153</f>
        <v>0.49656682237399136</v>
      </c>
      <c r="JL153" s="561">
        <f t="shared" ref="JL153:JL175" si="1355">CW153/$CJ153</f>
        <v>8.9139512290830017E-2</v>
      </c>
      <c r="JM153" s="561">
        <f t="shared" ref="JM153:JM175" si="1356">CX153/$CJ153</f>
        <v>4.2176128051869821E-2</v>
      </c>
      <c r="JN153" s="561">
        <f t="shared" ref="JN153:JN175" si="1357">CY153/$CJ153</f>
        <v>0.32232847574541523</v>
      </c>
      <c r="JO153" s="561">
        <f t="shared" ref="JO153:JO175" si="1358">CZ153/$CJ153</f>
        <v>9.9372844608826266E-3</v>
      </c>
      <c r="JP153" s="561">
        <f t="shared" ref="JP153:JP175" si="1359">DA153/$CJ153</f>
        <v>2.1537743439795063E-2</v>
      </c>
      <c r="JQ153" s="561">
        <f t="shared" ref="JQ153:JQ175" si="1360">SUM(JK153:JP153)</f>
        <v>0.98168596636278416</v>
      </c>
      <c r="JR153" s="61">
        <f t="shared" ref="JR153:JR175" si="1361">IF(GQ153=0,0,GQ153/$GN153)</f>
        <v>0</v>
      </c>
      <c r="JS153" s="61">
        <f t="shared" ref="JS153:JS175" si="1362">IF(GR153=0,0,GR153/$GN153)</f>
        <v>0</v>
      </c>
      <c r="JT153" s="61">
        <f t="shared" ref="JT153:JT175" si="1363">IF(GS153=0,0,GS153/$GN153)</f>
        <v>0</v>
      </c>
      <c r="JU153" s="61">
        <f t="shared" ref="JU153:JU175" si="1364">IF(GT153=0,0,GT153/$GN153)</f>
        <v>0</v>
      </c>
      <c r="JV153" s="61">
        <f t="shared" ref="JV153:JV175" si="1365">IF(GU153=0,0,GU153/$GN153)</f>
        <v>0</v>
      </c>
      <c r="JW153" s="61">
        <f t="shared" ref="JW153:JW175" si="1366">IF(GV153=0,0,GV153/$GN153)</f>
        <v>0</v>
      </c>
      <c r="JX153" s="61">
        <f t="shared" ref="JX153:JX175" si="1367">IF(GP153=0,0,GW153/GP153)</f>
        <v>0</v>
      </c>
      <c r="JY153" s="394">
        <f t="shared" ref="JY153:JY175" si="1368">IF(OR(GW153=0,DB153=0),0,GW153/DB153)</f>
        <v>0</v>
      </c>
      <c r="JZ153" s="61">
        <f t="shared" ref="JZ153:JZ175" si="1369">IF(HJ153=0,0,HJ153/$HG153)</f>
        <v>40640.537037037036</v>
      </c>
      <c r="KA153" s="61">
        <f t="shared" ref="KA153:KA175" si="1370">IF(HK153=0,0,HK153/$HG153)</f>
        <v>8822.7037037037044</v>
      </c>
      <c r="KB153" s="61">
        <f t="shared" ref="KB153:KB175" si="1371">IF(HL153=0,0,HL153/$HG153)</f>
        <v>20662.759259259259</v>
      </c>
      <c r="KC153" s="61">
        <f t="shared" ref="KC153:KC175" si="1372">IF(HM153=0,0,HM153/$HG153)</f>
        <v>6438.1296296296296</v>
      </c>
      <c r="KD153" s="61">
        <f t="shared" ref="KD153:KD175" si="1373">IF(HN153=0,0,HN153/$HG153)</f>
        <v>0</v>
      </c>
      <c r="KE153" s="61">
        <f t="shared" ref="KE153:KE175" si="1374">IF(HO153=0,0,HO153/$HG153)</f>
        <v>23563.185185185186</v>
      </c>
      <c r="KF153" s="61">
        <f t="shared" ref="KF153:KF175" si="1375">IF(HI153=0,0,ROUND(HI153/HG153*18,-2))</f>
        <v>32700</v>
      </c>
      <c r="KG153" s="61">
        <f t="shared" ref="KG153:KG175" si="1376">IF(HH153=0,0,HH153/HG153*36)</f>
        <v>220</v>
      </c>
      <c r="KH153" s="61">
        <f t="shared" ref="KH153:KH175" si="1377">IF(HI153=0,0,HP153/HI153)</f>
        <v>55.172193877551024</v>
      </c>
      <c r="KI153" s="394">
        <f t="shared" ref="KI153:KI175" si="1378">IF(OR(HP153=0,DB153=0),0,HP153/DB153)</f>
        <v>0.24035315616283828</v>
      </c>
      <c r="KJ153" s="438">
        <f t="shared" ref="KJ153:KJ175" si="1379">IF($GN153&gt;0,GN153,HG153)</f>
        <v>54</v>
      </c>
      <c r="KK153" s="438">
        <f t="shared" ref="KK153:KK175" si="1380">IF($GN153&gt;0,GP153,HI153)</f>
        <v>98000</v>
      </c>
      <c r="KL153" s="438">
        <f t="shared" ref="KL153:KL175" si="1381">IF($GN153&gt;0,GO153,HH153)</f>
        <v>330</v>
      </c>
      <c r="KM153" s="438">
        <f t="shared" ref="KM153:KM175" si="1382">IF($GN153&gt;0,GX153,HQ153)</f>
        <v>100127.31481481482</v>
      </c>
      <c r="KN153" s="438">
        <f t="shared" ref="KN153:KN175" si="1383">IF($GN153&gt;0,JX153,KH153)</f>
        <v>55.172193877551024</v>
      </c>
      <c r="KO153" s="438">
        <f t="shared" ref="KO153:KO175" si="1384">IF($GN153&gt;0,GY153,HR153)</f>
        <v>16384.469696969696</v>
      </c>
      <c r="KP153" s="438">
        <f t="shared" ref="KP153:KP175" si="1385">IF($GN153&gt;0,GQ153,HJ153)</f>
        <v>2194589</v>
      </c>
      <c r="KQ153" s="438">
        <f t="shared" ref="KQ153:KQ175" si="1386">IF($GN153&gt;0,GR153,HK153)</f>
        <v>476426</v>
      </c>
      <c r="KR153" s="438">
        <f t="shared" ref="KR153:KR175" si="1387">IF($GN153&gt;0,GS153,HL153)</f>
        <v>1115789</v>
      </c>
      <c r="KS153" s="438">
        <f t="shared" ref="KS153:KS175" si="1388">IF($GN153&gt;0,GT153,HM153)</f>
        <v>347659</v>
      </c>
      <c r="KT153" s="438">
        <f t="shared" ref="KT153:KT175" si="1389">IF($GN153&gt;0,GU153,HN153)</f>
        <v>0</v>
      </c>
      <c r="KU153" s="438">
        <f t="shared" ref="KU153:KU175" si="1390">IF($GN153&gt;0,GV153,HO153)</f>
        <v>1272412</v>
      </c>
      <c r="KV153" s="420">
        <f t="shared" ref="KV153:KV175" si="1391">MAX(JY153,KI153)</f>
        <v>0.24035315616283828</v>
      </c>
      <c r="KW153" s="420">
        <f t="shared" ref="KW153:KW175" si="1392">IF(CD153&gt;0,-SUM(KP153:KT153)/CD153,0)</f>
        <v>-0.31851385168238372</v>
      </c>
      <c r="KX153" s="108"/>
      <c r="KY153" s="282">
        <f t="shared" ref="KY153:KY175" si="1393">Q153+R153-S153</f>
        <v>0</v>
      </c>
      <c r="KZ153" s="282"/>
      <c r="LA153" s="282">
        <f t="shared" ref="LA153:LA175" si="1394">W153-X153-AA153</f>
        <v>0</v>
      </c>
      <c r="LB153" s="282"/>
      <c r="LC153" s="286">
        <f t="shared" si="1321"/>
        <v>0</v>
      </c>
      <c r="LD153" s="286"/>
      <c r="LE153" s="282">
        <f t="shared" ref="LE153:LE175" si="1395">X153+AF153+AI153+AL153-AM153</f>
        <v>0</v>
      </c>
      <c r="LF153" s="282"/>
      <c r="LG153" s="282">
        <f t="shared" ref="LG153:LG175" si="1396">EL153-AO153</f>
        <v>0</v>
      </c>
      <c r="LH153" s="282">
        <f t="shared" ref="LH153:LH175" si="1397">EP153*12-AP153</f>
        <v>0</v>
      </c>
      <c r="LI153" s="282">
        <f t="shared" ref="LI153:LI175" si="1398">IF(FQ153=0,0,FQ153/$FE153-FZ153)</f>
        <v>0</v>
      </c>
      <c r="LJ153" s="282">
        <f t="shared" ref="LJ153:LJ175" si="1399">X153+AF153+AI153+AL153+AO153+AP153-AQ153</f>
        <v>0</v>
      </c>
      <c r="LK153" s="282"/>
      <c r="LL153" s="282">
        <f t="shared" ref="LL153:LL175" si="1400">IF(S153=V153,"Same/chk",0)</f>
        <v>0</v>
      </c>
      <c r="LM153" s="282">
        <f t="shared" ref="LM153:LM175" si="1401">IF(AND(B153="SW CIRA", G153=0),"fix",0)</f>
        <v>0</v>
      </c>
      <c r="LN153" s="282">
        <f t="shared" ref="LN153:LN175" si="1402">IF(AND(BM153=1,BN153=0),"fix",+IF(AND(BM153=0,BN153&gt;0),"fix",0))</f>
        <v>0</v>
      </c>
      <c r="LO153" s="282">
        <f t="shared" ref="LO153:LO175" si="1403">IF($BH153=0,0,BF153+BG153-BH153)</f>
        <v>0</v>
      </c>
      <c r="LP153" s="286">
        <f t="shared" ref="LP153:LP175" si="1404">IF(BK153=0,0,BJ153/BK153-BL153)</f>
        <v>0</v>
      </c>
      <c r="LQ153" s="282">
        <f t="shared" ref="LQ153:LQ175" si="1405">IF(BN153=0,0,+IF(K153=0,0,BN153/K153))-BW153</f>
        <v>0</v>
      </c>
      <c r="LR153" s="282">
        <f t="shared" ref="LR153:LR175" si="1406">IF(BJ153=0,0,+IF(K153=0,0,BJ153/K153))-BX153</f>
        <v>0</v>
      </c>
      <c r="LS153" s="282">
        <f t="shared" ref="LS153:LS175" si="1407">IF(BH153=0,0,+IF(K153=0,0,BH153/K153))-BY153</f>
        <v>0</v>
      </c>
      <c r="LT153" s="286">
        <f t="shared" ref="LT153:LT175" si="1408">BZ153/$CJ153-CK153</f>
        <v>0</v>
      </c>
      <c r="LU153" s="286">
        <f t="shared" ref="LU153:LU175" si="1409">CA153/$CJ153-CL153</f>
        <v>0</v>
      </c>
      <c r="LV153" s="286">
        <f t="shared" ref="LV153:LV175" si="1410">CB153/$CJ153-CM153</f>
        <v>0</v>
      </c>
      <c r="LW153" s="286">
        <f t="shared" ref="LW153:LW175" si="1411">CC153/$CJ153-CN153</f>
        <v>0</v>
      </c>
      <c r="LX153" s="286">
        <f t="shared" ref="LX153:LX175" si="1412">CD153/$CJ153-CO153</f>
        <v>0</v>
      </c>
      <c r="LY153" s="286">
        <f t="shared" ref="LY153:LY175" si="1413">CE153/$CJ153-CP153</f>
        <v>0</v>
      </c>
      <c r="LZ153" s="286">
        <f t="shared" ref="LZ153:LZ175" si="1414">CF153/$CJ153-CQ153</f>
        <v>0</v>
      </c>
      <c r="MA153" s="286">
        <f t="shared" ref="MA153:MA175" si="1415">CG153/$CJ153-CR153</f>
        <v>0</v>
      </c>
      <c r="MB153" s="286">
        <f t="shared" ref="MB153:MB175" si="1416">CH153/$CJ153-CS153</f>
        <v>0</v>
      </c>
      <c r="MC153" s="286">
        <f t="shared" ref="MC153:MC175" si="1417">CI153/$CJ153-CT153</f>
        <v>0</v>
      </c>
      <c r="MD153" s="286">
        <f t="shared" ref="MD153:MD175" si="1418">SUM(CK153:CT153)-CU153</f>
        <v>0</v>
      </c>
      <c r="ME153" s="286">
        <f t="shared" ref="ME153:ME175" si="1419">CV153/$DB153-DC153</f>
        <v>0</v>
      </c>
      <c r="MF153" s="286">
        <f t="shared" ref="MF153:MF175" si="1420">CW153/$DB153-DD153</f>
        <v>0</v>
      </c>
      <c r="MG153" s="286">
        <f t="shared" ref="MG153:MG175" si="1421">CX153/$DB153-DE153</f>
        <v>0</v>
      </c>
      <c r="MH153" s="286">
        <f t="shared" ref="MH153:MH175" si="1422">CY153/$DB153-DF153</f>
        <v>0</v>
      </c>
      <c r="MI153" s="286">
        <f t="shared" ref="MI153:MI175" si="1423">CZ153/$DB153-DG153</f>
        <v>0</v>
      </c>
      <c r="MJ153" s="286">
        <f t="shared" ref="MJ153:MJ175" si="1424">DA153/$DB153-DH153</f>
        <v>0</v>
      </c>
      <c r="MK153" s="286">
        <f t="shared" ref="MK153:MK175" si="1425">SUM(DC153:DH153)-DI153</f>
        <v>0</v>
      </c>
      <c r="ML153" s="282">
        <f t="shared" ref="ML153:ML175" si="1426">CJ153-DB153-DJ153</f>
        <v>0</v>
      </c>
      <c r="MM153" s="1232">
        <f t="shared" ref="MM153:MM175" si="1427">IF(AND(CB153=0,CX153=0),0,+IF(AND(CB153&gt;0,CX153&gt;0),0,"fix"))</f>
        <v>0</v>
      </c>
      <c r="MN153" s="1232">
        <f t="shared" ref="MN153:MN175" si="1428">IF(AND(AH153=1,CE153=0),"fix",+IF(AND(AH153=0,CE153&gt;0),"fix",0))</f>
        <v>0</v>
      </c>
      <c r="MO153" s="1232">
        <f t="shared" ref="MO153:MO175" si="1429">IF(AND(AE153=1,AF153=0),"fix",+IF(AND(AE153=0,AF153&gt;0),"fix",0))</f>
        <v>0</v>
      </c>
      <c r="MP153" s="1232">
        <f t="shared" ref="MP153:MP175" si="1430">IF(AND(AK153=1,AL153=0),"fix",+IF(AND(AK153=0,AL153&gt;0),"fix",0))</f>
        <v>0</v>
      </c>
      <c r="MQ153" s="282">
        <f t="shared" ref="MQ153:MQ175" si="1431">IF(CD153=0,0,+IF(X153=0,0,CD153/X153))-K153</f>
        <v>0</v>
      </c>
      <c r="MR153" s="282">
        <f t="shared" ref="MR153:MR175" si="1432">IF(BZ153=0,0,+IF($K153=0,0,BZ153/$K153))-DK153</f>
        <v>0</v>
      </c>
      <c r="MS153" s="282">
        <f t="shared" ref="MS153:MS175" si="1433">IF(CA153=0,0,+IF($K153=0,0,CA153/$K153))-DL153</f>
        <v>0</v>
      </c>
      <c r="MT153" s="282">
        <f t="shared" ref="MT153:MT175" si="1434">IF(CB153=0,0,+IF($K153=0,0,CB153/$K153))-DM153</f>
        <v>0</v>
      </c>
      <c r="MU153" s="282">
        <f t="shared" ref="MU153:MU175" si="1435">IF(CC153=0,0,+IF($K153=0,0,CC153/$K153))-DN153</f>
        <v>0</v>
      </c>
      <c r="MV153" s="282">
        <f t="shared" ref="MV153:MV175" si="1436">IF(CD153=0,0,+IF($K153=0,0,CD153/$K153))-DO153</f>
        <v>0</v>
      </c>
      <c r="MW153" s="282">
        <f t="shared" ref="MW153:MW175" si="1437">IF(CE153=0,0,+IF($K153=0,0,CE153/$K153))-DP153</f>
        <v>0</v>
      </c>
      <c r="MX153" s="282">
        <f t="shared" ref="MX153:MX175" si="1438">IF(CF153=0,0,+IF($K153=0,0,CF153/$K153))-DQ153</f>
        <v>0</v>
      </c>
      <c r="MY153" s="282">
        <f t="shared" ref="MY153:MY175" si="1439">IF(CG153=0,0,+IF($K153=0,0,CG153/$K153))-DR153</f>
        <v>0</v>
      </c>
      <c r="MZ153" s="282">
        <f t="shared" ref="MZ153:MZ175" si="1440">IF(CH153=0,0,+IF($K153=0,0,CH153/$K153))-DS153</f>
        <v>0</v>
      </c>
      <c r="NA153" s="282">
        <f t="shared" ref="NA153:NA175" si="1441">IF(CI153=0,0,+IF($K153=0,0,CI153/$K153))-DT153</f>
        <v>0</v>
      </c>
      <c r="NB153" s="282">
        <f t="shared" ref="NB153:NB175" si="1442">IF(CJ153=0,0,+IF($K153=0,0,CJ153/$K153))-DU153</f>
        <v>0</v>
      </c>
      <c r="NC153" s="282">
        <f t="shared" ref="NC153:NC175" si="1443">SUM(DK153:DT153)-DU153</f>
        <v>0</v>
      </c>
      <c r="ND153" s="282">
        <f t="shared" ref="ND153:ND175" si="1444">IF(CV153=0,0,+IF($K153=0,0,CV153/$K153))-DV153</f>
        <v>0</v>
      </c>
      <c r="NE153" s="282">
        <f t="shared" ref="NE153:NE175" si="1445">IF(CW153=0,0,+IF($K153=0,0,CW153/$K153))-DW153</f>
        <v>0</v>
      </c>
      <c r="NF153" s="282">
        <f t="shared" ref="NF153:NF175" si="1446">IF(CX153=0,0,+IF($K153=0,0,CX153/$K153))-DX153</f>
        <v>0</v>
      </c>
      <c r="NG153" s="282">
        <f t="shared" ref="NG153:NG175" si="1447">IF(CY153=0,0,+IF($K153=0,0,CY153/$K153))-DY153</f>
        <v>0</v>
      </c>
      <c r="NH153" s="282">
        <f t="shared" ref="NH153:NH175" si="1448">IF(CZ153=0,0,+IF($K153=0,0,CZ153/$K153))-DZ153</f>
        <v>0</v>
      </c>
      <c r="NI153" s="282">
        <f t="shared" ref="NI153:NI175" si="1449">IF(DA153=0,0,+IF($K153=0,0,DA153/$K153))-EA153</f>
        <v>0</v>
      </c>
      <c r="NJ153" s="282">
        <f t="shared" ref="NJ153:NJ175" si="1450">IF(DB153=0,0,+IF($K153=0,0,DB153/$K153))-EB153</f>
        <v>0</v>
      </c>
      <c r="NK153" s="282">
        <f t="shared" ref="NK153:NK175" si="1451">SUM(DV153:EA153)-EB153</f>
        <v>0</v>
      </c>
      <c r="NL153" s="282">
        <f t="shared" ref="NL153:NL175" si="1452">IF(DJ153=0,0,+IF($K153=0,0,DJ153/$K153))-EC153</f>
        <v>0</v>
      </c>
      <c r="NM153" s="1205">
        <f t="shared" ref="NM153:NM175" si="1453">IF(K153=0,0,+IF(ED153=0,0,K153/ED153))-EJ153</f>
        <v>0</v>
      </c>
      <c r="NN153" s="282">
        <f t="shared" ref="NN153:NN175" si="1454">CG153+CH153-EY153-FB153</f>
        <v>0</v>
      </c>
      <c r="NO153" s="282">
        <f t="shared" ref="NO153:NO175" si="1455">IF(FE153=0,0,+IF(K153=0,0,FE153/K153))-ES153</f>
        <v>0</v>
      </c>
      <c r="NP153" s="282">
        <f t="shared" ref="NP153:NP175" si="1456">IF(FY153=0,0,+IF(K153=0,0,FY153/K153))-ET153</f>
        <v>0</v>
      </c>
      <c r="NQ153" s="282">
        <f t="shared" ref="NQ153:NQ175" si="1457">EY153-EZ153-FA153</f>
        <v>0</v>
      </c>
      <c r="NR153" s="282">
        <f t="shared" ref="NR153:NR175" si="1458">FB153-FC153-FD153</f>
        <v>0</v>
      </c>
      <c r="NS153" s="282">
        <f t="shared" ref="NS153:NS175" si="1459">EY153+FB153-FE153</f>
        <v>0</v>
      </c>
      <c r="NT153" s="282">
        <f t="shared" ref="NT153:NT175" si="1460">EZ153+FC153-FF153</f>
        <v>0</v>
      </c>
      <c r="NU153" s="282">
        <f t="shared" ref="NU153:NU175" si="1461">FE153-FF153-FG153</f>
        <v>0</v>
      </c>
      <c r="NV153" s="286">
        <f t="shared" ref="NV153:NV175" si="1462">EY153/$EY153-FH153</f>
        <v>0</v>
      </c>
      <c r="NW153" s="286">
        <f t="shared" ref="NW153:NW175" si="1463">EZ153/$EY153-FI153</f>
        <v>0</v>
      </c>
      <c r="NX153" s="286">
        <f t="shared" ref="NX153:NX175" si="1464">FA153/$EY153-FJ153</f>
        <v>0</v>
      </c>
      <c r="NY153" s="286">
        <f t="shared" ref="NY153:NY175" si="1465">FB153/$FB153-FK153</f>
        <v>0</v>
      </c>
      <c r="NZ153" s="286">
        <f t="shared" ref="NZ153:NZ175" si="1466">FC153/$FB153-FL153</f>
        <v>0</v>
      </c>
      <c r="OA153" s="286">
        <f t="shared" ref="OA153:OA175" si="1467">FD153/$FB153-FM153</f>
        <v>0</v>
      </c>
      <c r="OB153" s="286">
        <f t="shared" ref="OB153:OB175" si="1468">FE153/$FE153-FN153</f>
        <v>0</v>
      </c>
      <c r="OC153" s="286">
        <f t="shared" ref="OC153:OC175" si="1469">FF153/$FE153-FO153</f>
        <v>0</v>
      </c>
      <c r="OD153" s="286">
        <f t="shared" ref="OD153:OD175" si="1470">FG153/$FE153-FP153</f>
        <v>0</v>
      </c>
      <c r="OE153" s="282">
        <f t="shared" ref="OE153:OE175" si="1471">SUM(FQ153:FW153)-FX153</f>
        <v>0</v>
      </c>
      <c r="OF153" s="282">
        <f t="shared" ref="OF153:OF175" si="1472">FG153-FX153-FY153</f>
        <v>0</v>
      </c>
      <c r="OG153" s="286">
        <f t="shared" ref="OG153:OG175" si="1473">FQ153/$FE153-FZ153</f>
        <v>0</v>
      </c>
      <c r="OH153" s="286">
        <f t="shared" ref="OH153:OH175" si="1474">FR153/$FE153-GA153</f>
        <v>0</v>
      </c>
      <c r="OI153" s="286">
        <f t="shared" ref="OI153:OI175" si="1475">FS153/$FE153-GB153</f>
        <v>0</v>
      </c>
      <c r="OJ153" s="286">
        <f t="shared" ref="OJ153:OJ175" si="1476">FT153/$FE153-GC153</f>
        <v>0</v>
      </c>
      <c r="OK153" s="286">
        <f t="shared" ref="OK153:OK175" si="1477">FU153/$FE153-GD153</f>
        <v>0</v>
      </c>
      <c r="OL153" s="286">
        <f t="shared" ref="OL153:OL175" si="1478">FV153/$FE153-GE153</f>
        <v>0</v>
      </c>
      <c r="OM153" s="286">
        <f t="shared" ref="OM153:OM175" si="1479">FW153/$FE153-GF153</f>
        <v>0</v>
      </c>
      <c r="ON153" s="286">
        <f t="shared" ref="ON153:ON175" si="1480">SUM(FZ153:GF153)-GG153</f>
        <v>0</v>
      </c>
      <c r="OO153" s="286">
        <f t="shared" ref="OO153:OO175" si="1481">FY153/$FE153-GH153</f>
        <v>0</v>
      </c>
      <c r="OP153" s="434">
        <f t="shared" ref="OP153:OP175" si="1482">IF(AND(GJ153=0,GK153&gt;0),"fix",+IF(AND(GJ153=1,GK153=0),"fix",0))</f>
        <v>0</v>
      </c>
      <c r="OQ153" s="434">
        <f t="shared" ref="OQ153:OQ175" si="1483">IF(AND(GL153=0,GM153&gt;0),"fix",+IF(AND(GL153=1,GM153=0),"fix",0))</f>
        <v>0</v>
      </c>
      <c r="OR153" s="282">
        <f t="shared" ref="OR153:OR175" si="1484">IF(AND(EO153=1,FR153=0),"fix",+IF(AND(EO153=0,FR153&lt;&gt;0),"fix",0))</f>
        <v>0</v>
      </c>
      <c r="OS153" s="282">
        <f t="shared" ref="OS153:OS175" si="1485">IF(AND(GN153=18,GP153=0),"fix",+IF(AND(GN153=0,GP153&lt;&gt;0),"fix",0))</f>
        <v>0</v>
      </c>
      <c r="OT153" s="282">
        <f t="shared" ref="OT153:OT175" si="1486">IF(AND(HG153&gt;0,HI153=0),"fix",+IF(AND(HG153=0,HI153&lt;&gt;0),"fix",0))</f>
        <v>0</v>
      </c>
      <c r="OU153" s="282">
        <f t="shared" ref="OU153:OU175" si="1487">IF(GW153&gt;0,GW153/$GN153-GX153,0)</f>
        <v>0</v>
      </c>
      <c r="OV153" s="282">
        <f t="shared" ref="OV153:OV175" si="1488">IF(GW153&gt;0,GW153/GO153-GY153,0)</f>
        <v>0</v>
      </c>
      <c r="OW153" s="286">
        <f t="shared" ref="OW153:OW175" si="1489">IF(GQ153&gt;0,GQ153/$GW153-GZ153,0)</f>
        <v>0</v>
      </c>
      <c r="OX153" s="286">
        <f t="shared" ref="OX153:OX175" si="1490">IF(GR153&gt;0,GR153/$GW153-HA153,0)</f>
        <v>0</v>
      </c>
      <c r="OY153" s="286">
        <f t="shared" ref="OY153:OY175" si="1491">IF(GS153&gt;0,GS153/$GW153-HB153,0)</f>
        <v>0</v>
      </c>
      <c r="OZ153" s="286">
        <f t="shared" ref="OZ153:OZ175" si="1492">IF(GT153&gt;0,GT153/$GW153-HC153,0)</f>
        <v>0</v>
      </c>
      <c r="PA153" s="286">
        <f t="shared" ref="PA153:PA175" si="1493">IF(GU153&gt;0,GU153/$GW153-HD153,0)</f>
        <v>0</v>
      </c>
      <c r="PB153" s="286">
        <f t="shared" ref="PB153:PB175" si="1494">IF(GV153&gt;0,GV153/$GW153-HE153,0)</f>
        <v>0</v>
      </c>
      <c r="PC153" s="286">
        <f t="shared" ref="PC153:PC175" si="1495">SUM(GZ153:HE153)-HF153</f>
        <v>0</v>
      </c>
      <c r="PD153" s="282">
        <f t="shared" ref="PD153:PD175" si="1496">IF(HP153&gt;0,HP153/$HG153-HQ153,0)</f>
        <v>0</v>
      </c>
      <c r="PE153" s="282">
        <f t="shared" ref="PE153:PE175" si="1497">IF(HP153&gt;0,HP153/HH153-HR153,0)</f>
        <v>0</v>
      </c>
      <c r="PF153" s="286">
        <f t="shared" ref="PF153:PF175" si="1498">IF(HJ153&gt;0,HJ153/$HP153-HS153,0)</f>
        <v>0</v>
      </c>
      <c r="PG153" s="286">
        <f t="shared" ref="PG153:PG175" si="1499">IF(HK153&gt;0,HK153/$HP153-HT153,0)</f>
        <v>0</v>
      </c>
      <c r="PH153" s="286">
        <f t="shared" ref="PH153:PH175" si="1500">IF(HL153&gt;0,HL153/$HP153-HU153,0)</f>
        <v>0</v>
      </c>
      <c r="PI153" s="286">
        <f t="shared" ref="PI153:PI175" si="1501">IF(HM153&gt;0,HM153/$HP153-HV153,0)</f>
        <v>0</v>
      </c>
      <c r="PJ153" s="286">
        <f t="shared" ref="PJ153:PJ175" si="1502">IF(HN153&gt;0,HN153/$HP153-HW153,0)</f>
        <v>0</v>
      </c>
      <c r="PK153" s="286">
        <f t="shared" ref="PK153:PK175" si="1503">IF(HO153&gt;0,HO153/$HP153-HX153,0)</f>
        <v>0</v>
      </c>
      <c r="PL153" s="286">
        <f t="shared" ref="PL153:PL175" si="1504">SUM(HS153:HX153)-HY153</f>
        <v>0</v>
      </c>
      <c r="PM153" s="562">
        <v>97</v>
      </c>
    </row>
    <row r="154" spans="1:429" s="289" customFormat="1" ht="15.75" customHeight="1">
      <c r="A154" s="1935" t="s">
        <v>1137</v>
      </c>
      <c r="B154" s="1040" t="str">
        <f>VLOOKUP(A154,'Area (&amp;golfacre for lookup)'!$A$2:$B$162,2,FALSE)</f>
        <v>SW CIRA</v>
      </c>
      <c r="C154" s="1936"/>
      <c r="D154" s="1937">
        <v>44865</v>
      </c>
      <c r="E154" s="402"/>
      <c r="F154" s="1936">
        <v>0</v>
      </c>
      <c r="G154" s="1936">
        <v>1</v>
      </c>
      <c r="H154" s="1936">
        <v>847</v>
      </c>
      <c r="I154" s="1936">
        <v>0</v>
      </c>
      <c r="J154" s="1936">
        <v>847</v>
      </c>
      <c r="K154" s="1938">
        <v>847</v>
      </c>
      <c r="L154" s="1939" t="s">
        <v>1208</v>
      </c>
      <c r="M154" s="1939" t="s">
        <v>1208</v>
      </c>
      <c r="N154" s="1939" t="s">
        <v>1208</v>
      </c>
      <c r="O154" s="1939" t="s">
        <v>1208</v>
      </c>
      <c r="P154" s="1939" t="s">
        <v>1208</v>
      </c>
      <c r="Q154" s="1936">
        <v>0</v>
      </c>
      <c r="R154" s="1936">
        <v>5000</v>
      </c>
      <c r="S154" s="1936">
        <v>5000</v>
      </c>
      <c r="T154" s="1939" t="s">
        <v>1208</v>
      </c>
      <c r="U154" s="1939" t="s">
        <v>1208</v>
      </c>
      <c r="V154" s="1939" t="s">
        <v>1208</v>
      </c>
      <c r="W154" s="1936">
        <v>5141</v>
      </c>
      <c r="X154" s="1936">
        <v>4792</v>
      </c>
      <c r="Y154" s="1939" t="s">
        <v>1208</v>
      </c>
      <c r="Z154" s="1939" t="s">
        <v>1208</v>
      </c>
      <c r="AA154" s="1936">
        <v>349</v>
      </c>
      <c r="AB154" s="1362">
        <v>7.2829716193656094E-2</v>
      </c>
      <c r="AC154" s="1939" t="s">
        <v>1208</v>
      </c>
      <c r="AD154" s="1363" t="s">
        <v>1208</v>
      </c>
      <c r="AE154" s="1936">
        <v>1</v>
      </c>
      <c r="AF154" s="1936">
        <v>792</v>
      </c>
      <c r="AG154" s="1939" t="s">
        <v>1208</v>
      </c>
      <c r="AH154" s="1936">
        <v>0</v>
      </c>
      <c r="AI154" s="1936">
        <v>0</v>
      </c>
      <c r="AJ154" s="1939" t="s">
        <v>1208</v>
      </c>
      <c r="AK154" s="1938">
        <v>1</v>
      </c>
      <c r="AL154" s="1938">
        <v>743</v>
      </c>
      <c r="AM154" s="1936">
        <v>6327</v>
      </c>
      <c r="AN154" s="1939" t="s">
        <v>1208</v>
      </c>
      <c r="AO154" s="1936">
        <v>725</v>
      </c>
      <c r="AP154" s="1936">
        <v>0</v>
      </c>
      <c r="AQ154" s="1936">
        <v>7052</v>
      </c>
      <c r="AR154" s="1939" t="s">
        <v>1208</v>
      </c>
      <c r="AS154" s="1363" t="s">
        <v>1208</v>
      </c>
      <c r="AT154" s="1363" t="s">
        <v>1208</v>
      </c>
      <c r="AU154" s="1363" t="s">
        <v>1208</v>
      </c>
      <c r="AV154" s="1363" t="s">
        <v>1208</v>
      </c>
      <c r="AW154" s="1363" t="s">
        <v>1291</v>
      </c>
      <c r="AX154" s="1938">
        <v>1</v>
      </c>
      <c r="AY154" s="1938">
        <v>1</v>
      </c>
      <c r="AZ154" s="1938">
        <v>0</v>
      </c>
      <c r="BA154" s="1938">
        <v>0</v>
      </c>
      <c r="BB154" s="1938">
        <v>0</v>
      </c>
      <c r="BC154" s="1938">
        <v>0</v>
      </c>
      <c r="BD154" s="1938">
        <v>0</v>
      </c>
      <c r="BE154" s="1936">
        <v>0</v>
      </c>
      <c r="BF154" s="1936">
        <v>0</v>
      </c>
      <c r="BG154" s="1936">
        <v>846341</v>
      </c>
      <c r="BH154" s="1936">
        <v>846341</v>
      </c>
      <c r="BI154" s="1938">
        <v>7991813</v>
      </c>
      <c r="BJ154" s="1936">
        <v>842611</v>
      </c>
      <c r="BK154" s="1936">
        <v>1213129</v>
      </c>
      <c r="BL154" s="1362">
        <v>0.69457658666143507</v>
      </c>
      <c r="BM154" s="1936">
        <v>0</v>
      </c>
      <c r="BN154" s="1936">
        <v>0</v>
      </c>
      <c r="BO154" s="1363" t="s">
        <v>1208</v>
      </c>
      <c r="BP154" s="1938">
        <v>4174368</v>
      </c>
      <c r="BQ154" s="1938">
        <v>5386292</v>
      </c>
      <c r="BR154" s="1940">
        <v>0.77499845905123599</v>
      </c>
      <c r="BS154" s="1409">
        <v>0</v>
      </c>
      <c r="BT154" s="1938">
        <v>4629960</v>
      </c>
      <c r="BU154" s="1938">
        <v>10782402</v>
      </c>
      <c r="BV154" s="1940">
        <v>0.4293996829277929</v>
      </c>
      <c r="BW154" s="1936">
        <v>0</v>
      </c>
      <c r="BX154" s="1936">
        <v>994.81818181818187</v>
      </c>
      <c r="BY154" s="1936">
        <v>999.22195985832354</v>
      </c>
      <c r="BZ154" s="1936">
        <v>1169862</v>
      </c>
      <c r="CA154" s="1936">
        <v>0</v>
      </c>
      <c r="CB154" s="1936">
        <v>17677</v>
      </c>
      <c r="CC154" s="1936">
        <v>0</v>
      </c>
      <c r="CD154" s="1936">
        <v>4058824</v>
      </c>
      <c r="CE154" s="1936">
        <v>0</v>
      </c>
      <c r="CF154" s="1936">
        <v>0</v>
      </c>
      <c r="CG154" s="1936">
        <v>969753</v>
      </c>
      <c r="CH154" s="1936">
        <v>306323</v>
      </c>
      <c r="CI154" s="1936">
        <v>208343</v>
      </c>
      <c r="CJ154" s="1936">
        <v>6730782</v>
      </c>
      <c r="CK154" s="1366">
        <v>0.17380773883331832</v>
      </c>
      <c r="CL154" s="1366">
        <v>0</v>
      </c>
      <c r="CM154" s="1366">
        <v>2.6262921604057301E-3</v>
      </c>
      <c r="CN154" s="1366">
        <v>0</v>
      </c>
      <c r="CO154" s="1366">
        <v>0.60302413597706772</v>
      </c>
      <c r="CP154" s="1366">
        <v>0</v>
      </c>
      <c r="CQ154" s="1366">
        <v>0</v>
      </c>
      <c r="CR154" s="1366">
        <v>0.14407731523617909</v>
      </c>
      <c r="CS154" s="1366">
        <v>4.5510759373873645E-2</v>
      </c>
      <c r="CT154" s="1366">
        <v>3.0953758419155455E-2</v>
      </c>
      <c r="CU154" s="1366">
        <v>1</v>
      </c>
      <c r="CV154" s="1936">
        <v>3928709</v>
      </c>
      <c r="CW154" s="1936">
        <v>585231</v>
      </c>
      <c r="CX154" s="1936">
        <v>17172</v>
      </c>
      <c r="CY154" s="1936">
        <v>2162474</v>
      </c>
      <c r="CZ154" s="1936">
        <v>0</v>
      </c>
      <c r="DA154" s="1936">
        <v>145361</v>
      </c>
      <c r="DB154" s="1936">
        <v>6838947</v>
      </c>
      <c r="DC154" s="1366">
        <v>0.57446109759294817</v>
      </c>
      <c r="DD154" s="1366">
        <v>8.5573261497713021E-2</v>
      </c>
      <c r="DE154" s="1366">
        <v>2.5109128642172543E-3</v>
      </c>
      <c r="DF154" s="1366">
        <v>0.31619984772509568</v>
      </c>
      <c r="DG154" s="1366">
        <v>0</v>
      </c>
      <c r="DH154" s="1366">
        <v>2.1254880320025874E-2</v>
      </c>
      <c r="DI154" s="1366">
        <v>1</v>
      </c>
      <c r="DJ154" s="1936">
        <v>-108165</v>
      </c>
      <c r="DK154" s="1936">
        <v>1381.1829988193624</v>
      </c>
      <c r="DL154" s="1936">
        <v>0</v>
      </c>
      <c r="DM154" s="1936">
        <v>20.870129870129869</v>
      </c>
      <c r="DN154" s="1936">
        <v>0</v>
      </c>
      <c r="DO154" s="1936">
        <v>4792</v>
      </c>
      <c r="DP154" s="1936">
        <v>0</v>
      </c>
      <c r="DQ154" s="1936">
        <v>0</v>
      </c>
      <c r="DR154" s="1936">
        <v>1144.9268004722551</v>
      </c>
      <c r="DS154" s="1936">
        <v>361.65643447461628</v>
      </c>
      <c r="DT154" s="1936">
        <v>245.97756788665879</v>
      </c>
      <c r="DU154" s="1936">
        <v>7946.6139315230221</v>
      </c>
      <c r="DV154" s="1936">
        <v>4638.3813459268003</v>
      </c>
      <c r="DW154" s="1936">
        <v>690.94569067296345</v>
      </c>
      <c r="DX154" s="1936">
        <v>20.273907910271546</v>
      </c>
      <c r="DY154" s="1936">
        <v>2553.0979929161749</v>
      </c>
      <c r="DZ154" s="1936">
        <v>0</v>
      </c>
      <c r="EA154" s="1936">
        <v>171.61865407319954</v>
      </c>
      <c r="EB154" s="1936">
        <v>8074.3175914994099</v>
      </c>
      <c r="EC154" s="1936">
        <v>-127.70365997638724</v>
      </c>
      <c r="ED154" s="1941">
        <v>65</v>
      </c>
      <c r="EE154" s="1936">
        <v>1</v>
      </c>
      <c r="EF154" s="1936">
        <v>16</v>
      </c>
      <c r="EG154" s="1938">
        <v>20000</v>
      </c>
      <c r="EH154" s="1938">
        <v>1</v>
      </c>
      <c r="EI154" s="1368">
        <v>0.09</v>
      </c>
      <c r="EJ154" s="1936">
        <v>13.030769230769231</v>
      </c>
      <c r="EK154" s="1936">
        <v>1</v>
      </c>
      <c r="EL154" s="1936">
        <v>725</v>
      </c>
      <c r="EM154" s="1936">
        <v>1</v>
      </c>
      <c r="EN154" s="1362">
        <v>0.2</v>
      </c>
      <c r="EO154" s="1936">
        <v>0</v>
      </c>
      <c r="EP154" s="1936">
        <v>0</v>
      </c>
      <c r="EQ154" s="1936">
        <v>0</v>
      </c>
      <c r="ER154" s="1938">
        <v>0</v>
      </c>
      <c r="ES154" s="1936">
        <v>1506.5832349468712</v>
      </c>
      <c r="ET154" s="1936">
        <v>-1216.1664698937427</v>
      </c>
      <c r="EU154" s="1938">
        <v>1</v>
      </c>
      <c r="EV154" s="1936">
        <v>53500</v>
      </c>
      <c r="EW154" s="1936">
        <v>1426</v>
      </c>
      <c r="EX154" s="1938">
        <v>1</v>
      </c>
      <c r="EY154" s="1936">
        <v>969753</v>
      </c>
      <c r="EZ154" s="1936">
        <v>476352</v>
      </c>
      <c r="FA154" s="1936">
        <v>493401</v>
      </c>
      <c r="FB154" s="1936">
        <v>306323</v>
      </c>
      <c r="FC154" s="1936">
        <v>108879</v>
      </c>
      <c r="FD154" s="1936">
        <v>197444</v>
      </c>
      <c r="FE154" s="1936">
        <v>1276076</v>
      </c>
      <c r="FF154" s="1936">
        <v>585231</v>
      </c>
      <c r="FG154" s="1936">
        <v>690845</v>
      </c>
      <c r="FH154" s="1366">
        <v>1</v>
      </c>
      <c r="FI154" s="1366">
        <v>0.49120961729430074</v>
      </c>
      <c r="FJ154" s="1366">
        <v>0.50879038270569932</v>
      </c>
      <c r="FK154" s="1366">
        <v>1</v>
      </c>
      <c r="FL154" s="1366">
        <v>0.35543854036425604</v>
      </c>
      <c r="FM154" s="1366">
        <v>0.64456145963574396</v>
      </c>
      <c r="FN154" s="1366">
        <v>1</v>
      </c>
      <c r="FO154" s="1366">
        <v>0.45861766854011832</v>
      </c>
      <c r="FP154" s="1366">
        <v>0.54138233145988168</v>
      </c>
      <c r="FQ154" s="1936">
        <v>1084515</v>
      </c>
      <c r="FR154" s="1936">
        <v>0</v>
      </c>
      <c r="FS154" s="1936">
        <v>314644</v>
      </c>
      <c r="FT154" s="1936">
        <v>30844</v>
      </c>
      <c r="FU154" s="1936">
        <v>20980</v>
      </c>
      <c r="FV154" s="1936">
        <v>2699</v>
      </c>
      <c r="FW154" s="1936">
        <v>267256</v>
      </c>
      <c r="FX154" s="1936">
        <v>1720938</v>
      </c>
      <c r="FY154" s="1936">
        <v>-1030093</v>
      </c>
      <c r="FZ154" s="1366">
        <v>0.84988276560330267</v>
      </c>
      <c r="GA154" s="1366">
        <v>0</v>
      </c>
      <c r="GB154" s="1366">
        <v>0.24657152081850925</v>
      </c>
      <c r="GC154" s="1366">
        <v>2.4170974142605925E-2</v>
      </c>
      <c r="GD154" s="1366">
        <v>1.6441027023468821E-2</v>
      </c>
      <c r="GE154" s="1366">
        <v>2.1150777853356697E-3</v>
      </c>
      <c r="GF154" s="1366">
        <v>0.20943580162937003</v>
      </c>
      <c r="GG154" s="1366">
        <v>1.3486171670025924</v>
      </c>
      <c r="GH154" s="1366">
        <v>-0.80723483554271058</v>
      </c>
      <c r="GI154" s="1942">
        <v>3.1657857882039546</v>
      </c>
      <c r="GJ154" s="1943">
        <v>1</v>
      </c>
      <c r="GK154" s="1371">
        <v>0.05</v>
      </c>
      <c r="GL154" s="1943">
        <v>0</v>
      </c>
      <c r="GM154" s="1371">
        <v>0</v>
      </c>
      <c r="GN154" s="1943">
        <v>18</v>
      </c>
      <c r="GO154" s="1985">
        <f>IF(GN154=0,0,VLOOKUP(A154,'Area (&amp;golfacre for lookup)'!$G$2:$H$133,2,FALSE))</f>
        <v>134</v>
      </c>
      <c r="GP154" s="1943">
        <v>38800</v>
      </c>
      <c r="GQ154" s="1943">
        <v>799519</v>
      </c>
      <c r="GR154" s="1943">
        <v>147207</v>
      </c>
      <c r="GS154" s="1943">
        <v>453544</v>
      </c>
      <c r="GT154" s="1943">
        <v>103567</v>
      </c>
      <c r="GU154" s="1943">
        <v>14098</v>
      </c>
      <c r="GV154" s="1943">
        <v>206022</v>
      </c>
      <c r="GW154" s="1943">
        <v>1723957</v>
      </c>
      <c r="GX154" s="1943">
        <v>95775.388888888891</v>
      </c>
      <c r="GY154" s="1985">
        <f t="shared" si="1319"/>
        <v>12865.350746268658</v>
      </c>
      <c r="GZ154" s="1366">
        <v>0.46376968799105778</v>
      </c>
      <c r="HA154" s="1366">
        <v>8.5389020723834766E-2</v>
      </c>
      <c r="HB154" s="1366">
        <v>0.2630831279434464</v>
      </c>
      <c r="HC154" s="1366">
        <v>6.0075164287740353E-2</v>
      </c>
      <c r="HD154" s="1366">
        <v>8.1776981676457122E-3</v>
      </c>
      <c r="HE154" s="1366">
        <v>0.11950530088627501</v>
      </c>
      <c r="HF154" s="1366">
        <v>1</v>
      </c>
      <c r="HG154" s="1936">
        <v>0</v>
      </c>
      <c r="HH154" s="1988">
        <f>IF(HG154=0,0,VLOOKUP(A154,'Area (&amp;golfacre for lookup)'!$G$2:$H$134,2,FALSE))</f>
        <v>0</v>
      </c>
      <c r="HI154" s="1936">
        <v>0</v>
      </c>
      <c r="HJ154" s="1936">
        <v>0</v>
      </c>
      <c r="HK154" s="1936">
        <v>0</v>
      </c>
      <c r="HL154" s="1936">
        <v>0</v>
      </c>
      <c r="HM154" s="1936">
        <v>0</v>
      </c>
      <c r="HN154" s="1936">
        <v>0</v>
      </c>
      <c r="HO154" s="1936">
        <v>0</v>
      </c>
      <c r="HP154" s="1936">
        <v>0</v>
      </c>
      <c r="HQ154" s="1936">
        <v>0</v>
      </c>
      <c r="HR154" s="1988">
        <f t="shared" si="1320"/>
        <v>0</v>
      </c>
      <c r="HS154" s="1936">
        <v>0</v>
      </c>
      <c r="HT154" s="1936">
        <v>0</v>
      </c>
      <c r="HU154" s="1936">
        <v>0</v>
      </c>
      <c r="HV154" s="1936">
        <v>0</v>
      </c>
      <c r="HW154" s="1936">
        <v>0</v>
      </c>
      <c r="HX154" s="1936">
        <v>0</v>
      </c>
      <c r="HY154" s="1936">
        <v>0</v>
      </c>
      <c r="HZ154" s="51"/>
      <c r="IA154" s="59">
        <f t="shared" si="1322"/>
        <v>0</v>
      </c>
      <c r="IB154" s="59"/>
      <c r="IC154" s="815">
        <f t="shared" si="1323"/>
        <v>1</v>
      </c>
      <c r="ID154" s="815"/>
      <c r="IE154" s="284">
        <f t="shared" si="1324"/>
        <v>0</v>
      </c>
      <c r="IF154" s="284"/>
      <c r="IG154" s="284">
        <f t="shared" si="1325"/>
        <v>9435.4344746162933</v>
      </c>
      <c r="IH154" s="284"/>
      <c r="II154" s="1288">
        <f t="shared" si="1326"/>
        <v>0</v>
      </c>
      <c r="IJ154" s="1288">
        <f t="shared" si="1327"/>
        <v>0.77499845905123599</v>
      </c>
      <c r="IK154" s="284">
        <f t="shared" si="1328"/>
        <v>0</v>
      </c>
      <c r="IL154" s="284">
        <f t="shared" si="1329"/>
        <v>0</v>
      </c>
      <c r="IM154" s="284">
        <f t="shared" si="1330"/>
        <v>1</v>
      </c>
      <c r="IN154" s="284">
        <f t="shared" si="1331"/>
        <v>0</v>
      </c>
      <c r="IO154" s="753">
        <f t="shared" si="1332"/>
        <v>-1216.1664698937427</v>
      </c>
      <c r="IP154" s="113">
        <f t="shared" si="1333"/>
        <v>-1216.1664698937427</v>
      </c>
      <c r="IQ154" s="30">
        <f t="shared" si="1334"/>
        <v>-0.2537909995604638</v>
      </c>
      <c r="IR154" s="438">
        <f t="shared" si="1335"/>
        <v>969753</v>
      </c>
      <c r="IS154" s="438">
        <f t="shared" si="1336"/>
        <v>306323</v>
      </c>
      <c r="IT154" s="438">
        <f t="shared" si="1337"/>
        <v>1084515</v>
      </c>
      <c r="IU154" s="438">
        <f t="shared" si="1338"/>
        <v>345488</v>
      </c>
      <c r="IV154" s="438">
        <f t="shared" si="1339"/>
        <v>585231</v>
      </c>
      <c r="IW154" s="438">
        <f t="shared" si="1340"/>
        <v>290935</v>
      </c>
      <c r="IX154" s="285">
        <f t="shared" si="1341"/>
        <v>0.75994925067159014</v>
      </c>
      <c r="IY154" s="285">
        <f t="shared" si="1342"/>
        <v>0.24005074932840992</v>
      </c>
      <c r="IZ154" s="285">
        <f t="shared" si="1343"/>
        <v>0.84988276560330267</v>
      </c>
      <c r="JA154" s="285">
        <f t="shared" si="1344"/>
        <v>0.27074249496111519</v>
      </c>
      <c r="JB154" s="285">
        <f t="shared" si="1345"/>
        <v>0.45861766854011832</v>
      </c>
      <c r="JC154" s="285">
        <f t="shared" si="1346"/>
        <v>0.22799190643817452</v>
      </c>
      <c r="JD154" s="60">
        <f t="shared" si="1347"/>
        <v>4058824</v>
      </c>
      <c r="JE154" s="60">
        <f t="shared" si="1348"/>
        <v>1187539</v>
      </c>
      <c r="JF154" s="60">
        <f t="shared" si="1349"/>
        <v>0</v>
      </c>
      <c r="JG154" s="60">
        <f t="shared" si="1350"/>
        <v>145361</v>
      </c>
      <c r="JH154" s="284">
        <f t="shared" si="1351"/>
        <v>0</v>
      </c>
      <c r="JI154" s="284">
        <f t="shared" si="1352"/>
        <v>1</v>
      </c>
      <c r="JJ154" s="560">
        <f t="shared" si="1353"/>
        <v>0.97143180403914686</v>
      </c>
      <c r="JK154" s="561">
        <f t="shared" si="1354"/>
        <v>0.58369280122279998</v>
      </c>
      <c r="JL154" s="561">
        <f t="shared" si="1355"/>
        <v>8.6948440760672388E-2</v>
      </c>
      <c r="JM154" s="561">
        <f t="shared" si="1356"/>
        <v>2.5512637313168068E-3</v>
      </c>
      <c r="JN154" s="561">
        <f t="shared" si="1357"/>
        <v>0.32128124191215818</v>
      </c>
      <c r="JO154" s="561">
        <f t="shared" si="1358"/>
        <v>0</v>
      </c>
      <c r="JP154" s="561">
        <f t="shared" si="1359"/>
        <v>2.1596450457019703E-2</v>
      </c>
      <c r="JQ154" s="561">
        <f t="shared" si="1360"/>
        <v>1.016070198083967</v>
      </c>
      <c r="JR154" s="61">
        <f t="shared" si="1361"/>
        <v>44417.722222222219</v>
      </c>
      <c r="JS154" s="61">
        <f t="shared" si="1362"/>
        <v>8178.166666666667</v>
      </c>
      <c r="JT154" s="61">
        <f t="shared" si="1363"/>
        <v>25196.888888888891</v>
      </c>
      <c r="JU154" s="61">
        <f t="shared" si="1364"/>
        <v>5753.7222222222226</v>
      </c>
      <c r="JV154" s="61">
        <f t="shared" si="1365"/>
        <v>783.22222222222217</v>
      </c>
      <c r="JW154" s="61">
        <f t="shared" si="1366"/>
        <v>11445.666666666666</v>
      </c>
      <c r="JX154" s="61">
        <f t="shared" si="1367"/>
        <v>44.43188144329897</v>
      </c>
      <c r="JY154" s="394">
        <f t="shared" si="1368"/>
        <v>0.25207930402151091</v>
      </c>
      <c r="JZ154" s="61">
        <f t="shared" si="1369"/>
        <v>0</v>
      </c>
      <c r="KA154" s="61">
        <f t="shared" si="1370"/>
        <v>0</v>
      </c>
      <c r="KB154" s="61">
        <f t="shared" si="1371"/>
        <v>0</v>
      </c>
      <c r="KC154" s="61">
        <f t="shared" si="1372"/>
        <v>0</v>
      </c>
      <c r="KD154" s="61">
        <f t="shared" si="1373"/>
        <v>0</v>
      </c>
      <c r="KE154" s="61">
        <f t="shared" si="1374"/>
        <v>0</v>
      </c>
      <c r="KF154" s="61">
        <f t="shared" si="1375"/>
        <v>0</v>
      </c>
      <c r="KG154" s="61">
        <f t="shared" si="1376"/>
        <v>0</v>
      </c>
      <c r="KH154" s="61">
        <f t="shared" si="1377"/>
        <v>0</v>
      </c>
      <c r="KI154" s="394">
        <f t="shared" si="1378"/>
        <v>0</v>
      </c>
      <c r="KJ154" s="438">
        <f t="shared" si="1379"/>
        <v>18</v>
      </c>
      <c r="KK154" s="438">
        <f t="shared" si="1380"/>
        <v>38800</v>
      </c>
      <c r="KL154" s="438">
        <f t="shared" si="1381"/>
        <v>134</v>
      </c>
      <c r="KM154" s="438">
        <f t="shared" si="1382"/>
        <v>95775.388888888891</v>
      </c>
      <c r="KN154" s="438">
        <f t="shared" si="1383"/>
        <v>44.43188144329897</v>
      </c>
      <c r="KO154" s="438">
        <f t="shared" si="1384"/>
        <v>12865.350746268658</v>
      </c>
      <c r="KP154" s="438">
        <f t="shared" si="1385"/>
        <v>799519</v>
      </c>
      <c r="KQ154" s="438">
        <f t="shared" si="1386"/>
        <v>147207</v>
      </c>
      <c r="KR154" s="438">
        <f t="shared" si="1387"/>
        <v>453544</v>
      </c>
      <c r="KS154" s="438">
        <f t="shared" si="1388"/>
        <v>103567</v>
      </c>
      <c r="KT154" s="438">
        <f t="shared" si="1389"/>
        <v>14098</v>
      </c>
      <c r="KU154" s="438">
        <f t="shared" si="1390"/>
        <v>206022</v>
      </c>
      <c r="KV154" s="420">
        <f t="shared" si="1391"/>
        <v>0.25207930402151091</v>
      </c>
      <c r="KW154" s="420">
        <f t="shared" si="1392"/>
        <v>-0.37398394214678932</v>
      </c>
      <c r="KX154" s="108"/>
      <c r="KY154" s="282">
        <f t="shared" si="1393"/>
        <v>0</v>
      </c>
      <c r="KZ154" s="282"/>
      <c r="LA154" s="282">
        <f t="shared" si="1394"/>
        <v>0</v>
      </c>
      <c r="LB154" s="282"/>
      <c r="LC154" s="286">
        <f t="shared" si="1321"/>
        <v>0</v>
      </c>
      <c r="LD154" s="286"/>
      <c r="LE154" s="282">
        <f t="shared" si="1395"/>
        <v>0</v>
      </c>
      <c r="LF154" s="282"/>
      <c r="LG154" s="282">
        <f t="shared" si="1396"/>
        <v>0</v>
      </c>
      <c r="LH154" s="282">
        <f t="shared" si="1397"/>
        <v>0</v>
      </c>
      <c r="LI154" s="282">
        <f t="shared" si="1398"/>
        <v>0</v>
      </c>
      <c r="LJ154" s="282">
        <f t="shared" si="1399"/>
        <v>0</v>
      </c>
      <c r="LK154" s="282"/>
      <c r="LL154" s="282">
        <f t="shared" si="1400"/>
        <v>0</v>
      </c>
      <c r="LM154" s="282">
        <f t="shared" si="1401"/>
        <v>0</v>
      </c>
      <c r="LN154" s="282">
        <f t="shared" si="1402"/>
        <v>0</v>
      </c>
      <c r="LO154" s="282">
        <f t="shared" si="1403"/>
        <v>0</v>
      </c>
      <c r="LP154" s="286">
        <f t="shared" si="1404"/>
        <v>0</v>
      </c>
      <c r="LQ154" s="282">
        <f t="shared" si="1405"/>
        <v>0</v>
      </c>
      <c r="LR154" s="282">
        <f t="shared" si="1406"/>
        <v>0</v>
      </c>
      <c r="LS154" s="282">
        <f t="shared" si="1407"/>
        <v>0</v>
      </c>
      <c r="LT154" s="286">
        <f t="shared" si="1408"/>
        <v>0</v>
      </c>
      <c r="LU154" s="286">
        <f t="shared" si="1409"/>
        <v>0</v>
      </c>
      <c r="LV154" s="286">
        <f t="shared" si="1410"/>
        <v>0</v>
      </c>
      <c r="LW154" s="286">
        <f t="shared" si="1411"/>
        <v>0</v>
      </c>
      <c r="LX154" s="286">
        <f t="shared" si="1412"/>
        <v>0</v>
      </c>
      <c r="LY154" s="286">
        <f t="shared" si="1413"/>
        <v>0</v>
      </c>
      <c r="LZ154" s="286">
        <f t="shared" si="1414"/>
        <v>0</v>
      </c>
      <c r="MA154" s="286">
        <f t="shared" si="1415"/>
        <v>0</v>
      </c>
      <c r="MB154" s="286">
        <f t="shared" si="1416"/>
        <v>0</v>
      </c>
      <c r="MC154" s="286">
        <f t="shared" si="1417"/>
        <v>0</v>
      </c>
      <c r="MD154" s="286">
        <f t="shared" si="1418"/>
        <v>0</v>
      </c>
      <c r="ME154" s="286">
        <f t="shared" si="1419"/>
        <v>0</v>
      </c>
      <c r="MF154" s="286">
        <f t="shared" si="1420"/>
        <v>0</v>
      </c>
      <c r="MG154" s="286">
        <f t="shared" si="1421"/>
        <v>0</v>
      </c>
      <c r="MH154" s="286">
        <f t="shared" si="1422"/>
        <v>0</v>
      </c>
      <c r="MI154" s="286">
        <f t="shared" si="1423"/>
        <v>0</v>
      </c>
      <c r="MJ154" s="286">
        <f t="shared" si="1424"/>
        <v>0</v>
      </c>
      <c r="MK154" s="286">
        <f t="shared" si="1425"/>
        <v>0</v>
      </c>
      <c r="ML154" s="282">
        <f t="shared" si="1426"/>
        <v>0</v>
      </c>
      <c r="MM154" s="1232">
        <f t="shared" si="1427"/>
        <v>0</v>
      </c>
      <c r="MN154" s="1232">
        <f t="shared" si="1428"/>
        <v>0</v>
      </c>
      <c r="MO154" s="1232">
        <f t="shared" si="1429"/>
        <v>0</v>
      </c>
      <c r="MP154" s="1232">
        <f t="shared" si="1430"/>
        <v>0</v>
      </c>
      <c r="MQ154" s="282">
        <f t="shared" si="1431"/>
        <v>0</v>
      </c>
      <c r="MR154" s="282">
        <f t="shared" si="1432"/>
        <v>0</v>
      </c>
      <c r="MS154" s="282">
        <f t="shared" si="1433"/>
        <v>0</v>
      </c>
      <c r="MT154" s="282">
        <f t="shared" si="1434"/>
        <v>0</v>
      </c>
      <c r="MU154" s="282">
        <f t="shared" si="1435"/>
        <v>0</v>
      </c>
      <c r="MV154" s="282">
        <f t="shared" si="1436"/>
        <v>0</v>
      </c>
      <c r="MW154" s="282">
        <f t="shared" si="1437"/>
        <v>0</v>
      </c>
      <c r="MX154" s="282">
        <f t="shared" si="1438"/>
        <v>0</v>
      </c>
      <c r="MY154" s="282">
        <f t="shared" si="1439"/>
        <v>0</v>
      </c>
      <c r="MZ154" s="282">
        <f t="shared" si="1440"/>
        <v>0</v>
      </c>
      <c r="NA154" s="282">
        <f t="shared" si="1441"/>
        <v>0</v>
      </c>
      <c r="NB154" s="282">
        <f t="shared" si="1442"/>
        <v>0</v>
      </c>
      <c r="NC154" s="282">
        <f t="shared" si="1443"/>
        <v>0</v>
      </c>
      <c r="ND154" s="282">
        <f t="shared" si="1444"/>
        <v>0</v>
      </c>
      <c r="NE154" s="282">
        <f t="shared" si="1445"/>
        <v>0</v>
      </c>
      <c r="NF154" s="282">
        <f t="shared" si="1446"/>
        <v>0</v>
      </c>
      <c r="NG154" s="282">
        <f t="shared" si="1447"/>
        <v>0</v>
      </c>
      <c r="NH154" s="282">
        <f t="shared" si="1448"/>
        <v>0</v>
      </c>
      <c r="NI154" s="282">
        <f t="shared" si="1449"/>
        <v>0</v>
      </c>
      <c r="NJ154" s="282">
        <f t="shared" si="1450"/>
        <v>0</v>
      </c>
      <c r="NK154" s="282">
        <f t="shared" si="1451"/>
        <v>0</v>
      </c>
      <c r="NL154" s="282">
        <f t="shared" si="1452"/>
        <v>0</v>
      </c>
      <c r="NM154" s="1205">
        <f t="shared" si="1453"/>
        <v>0</v>
      </c>
      <c r="NN154" s="282">
        <f t="shared" si="1454"/>
        <v>0</v>
      </c>
      <c r="NO154" s="282">
        <f t="shared" si="1455"/>
        <v>0</v>
      </c>
      <c r="NP154" s="282">
        <f t="shared" si="1456"/>
        <v>0</v>
      </c>
      <c r="NQ154" s="282">
        <f t="shared" si="1457"/>
        <v>0</v>
      </c>
      <c r="NR154" s="282">
        <f t="shared" si="1458"/>
        <v>0</v>
      </c>
      <c r="NS154" s="282">
        <f t="shared" si="1459"/>
        <v>0</v>
      </c>
      <c r="NT154" s="282">
        <f t="shared" si="1460"/>
        <v>0</v>
      </c>
      <c r="NU154" s="282">
        <f t="shared" si="1461"/>
        <v>0</v>
      </c>
      <c r="NV154" s="286">
        <f t="shared" si="1462"/>
        <v>0</v>
      </c>
      <c r="NW154" s="286">
        <f t="shared" si="1463"/>
        <v>0</v>
      </c>
      <c r="NX154" s="286">
        <f t="shared" si="1464"/>
        <v>0</v>
      </c>
      <c r="NY154" s="286">
        <f t="shared" si="1465"/>
        <v>0</v>
      </c>
      <c r="NZ154" s="286">
        <f t="shared" si="1466"/>
        <v>0</v>
      </c>
      <c r="OA154" s="286">
        <f t="shared" si="1467"/>
        <v>0</v>
      </c>
      <c r="OB154" s="286">
        <f t="shared" si="1468"/>
        <v>0</v>
      </c>
      <c r="OC154" s="286">
        <f t="shared" si="1469"/>
        <v>0</v>
      </c>
      <c r="OD154" s="286">
        <f t="shared" si="1470"/>
        <v>0</v>
      </c>
      <c r="OE154" s="282">
        <f t="shared" si="1471"/>
        <v>0</v>
      </c>
      <c r="OF154" s="282">
        <f t="shared" si="1472"/>
        <v>0</v>
      </c>
      <c r="OG154" s="286">
        <f t="shared" si="1473"/>
        <v>0</v>
      </c>
      <c r="OH154" s="286">
        <f t="shared" si="1474"/>
        <v>0</v>
      </c>
      <c r="OI154" s="286">
        <f t="shared" si="1475"/>
        <v>0</v>
      </c>
      <c r="OJ154" s="286">
        <f t="shared" si="1476"/>
        <v>0</v>
      </c>
      <c r="OK154" s="286">
        <f t="shared" si="1477"/>
        <v>0</v>
      </c>
      <c r="OL154" s="286">
        <f t="shared" si="1478"/>
        <v>0</v>
      </c>
      <c r="OM154" s="286">
        <f t="shared" si="1479"/>
        <v>0</v>
      </c>
      <c r="ON154" s="286">
        <f t="shared" si="1480"/>
        <v>0</v>
      </c>
      <c r="OO154" s="286">
        <f t="shared" si="1481"/>
        <v>0</v>
      </c>
      <c r="OP154" s="434">
        <f t="shared" si="1482"/>
        <v>0</v>
      </c>
      <c r="OQ154" s="434">
        <f t="shared" si="1483"/>
        <v>0</v>
      </c>
      <c r="OR154" s="282">
        <f t="shared" si="1484"/>
        <v>0</v>
      </c>
      <c r="OS154" s="282">
        <f t="shared" si="1485"/>
        <v>0</v>
      </c>
      <c r="OT154" s="282">
        <f t="shared" si="1486"/>
        <v>0</v>
      </c>
      <c r="OU154" s="282">
        <f t="shared" si="1487"/>
        <v>0</v>
      </c>
      <c r="OV154" s="282">
        <f t="shared" si="1488"/>
        <v>0</v>
      </c>
      <c r="OW154" s="286">
        <f t="shared" si="1489"/>
        <v>0</v>
      </c>
      <c r="OX154" s="286">
        <f t="shared" si="1490"/>
        <v>0</v>
      </c>
      <c r="OY154" s="286">
        <f t="shared" si="1491"/>
        <v>0</v>
      </c>
      <c r="OZ154" s="286">
        <f t="shared" si="1492"/>
        <v>0</v>
      </c>
      <c r="PA154" s="286">
        <f t="shared" si="1493"/>
        <v>0</v>
      </c>
      <c r="PB154" s="286">
        <f t="shared" si="1494"/>
        <v>0</v>
      </c>
      <c r="PC154" s="286">
        <f t="shared" si="1495"/>
        <v>0</v>
      </c>
      <c r="PD154" s="282">
        <f t="shared" si="1496"/>
        <v>0</v>
      </c>
      <c r="PE154" s="282">
        <f t="shared" si="1497"/>
        <v>0</v>
      </c>
      <c r="PF154" s="286">
        <f t="shared" si="1498"/>
        <v>0</v>
      </c>
      <c r="PG154" s="286">
        <f t="shared" si="1499"/>
        <v>0</v>
      </c>
      <c r="PH154" s="286">
        <f t="shared" si="1500"/>
        <v>0</v>
      </c>
      <c r="PI154" s="286">
        <f t="shared" si="1501"/>
        <v>0</v>
      </c>
      <c r="PJ154" s="286">
        <f t="shared" si="1502"/>
        <v>0</v>
      </c>
      <c r="PK154" s="286">
        <f t="shared" si="1503"/>
        <v>0</v>
      </c>
      <c r="PL154" s="286">
        <f t="shared" si="1504"/>
        <v>0</v>
      </c>
      <c r="PM154" s="562">
        <v>98</v>
      </c>
    </row>
    <row r="155" spans="1:429" s="289" customFormat="1" ht="15.75" customHeight="1">
      <c r="A155" s="1640" t="s">
        <v>1146</v>
      </c>
      <c r="B155" s="1040" t="str">
        <f>VLOOKUP(A155,'Area (&amp;golfacre for lookup)'!$A$2:$B$162,2,FALSE)</f>
        <v>SE exc BOCA</v>
      </c>
      <c r="C155" s="1936" t="s">
        <v>2156</v>
      </c>
      <c r="D155" s="1937">
        <v>44681</v>
      </c>
      <c r="E155" s="402"/>
      <c r="F155" s="1936">
        <v>1</v>
      </c>
      <c r="G155" s="1936">
        <v>1</v>
      </c>
      <c r="H155" s="1936">
        <v>136</v>
      </c>
      <c r="I155" s="1936">
        <v>236</v>
      </c>
      <c r="J155" s="1936">
        <v>372</v>
      </c>
      <c r="K155" s="1938">
        <v>303.30392860806239</v>
      </c>
      <c r="L155" s="1939" t="s">
        <v>1208</v>
      </c>
      <c r="M155" s="1939" t="s">
        <v>1208</v>
      </c>
      <c r="N155" s="1939" t="s">
        <v>1208</v>
      </c>
      <c r="O155" s="1939" t="s">
        <v>1208</v>
      </c>
      <c r="P155" s="1939" t="s">
        <v>1208</v>
      </c>
      <c r="Q155" s="1936">
        <v>25000</v>
      </c>
      <c r="R155" s="1936">
        <v>40000</v>
      </c>
      <c r="S155" s="1936">
        <v>65000</v>
      </c>
      <c r="T155" s="1939" t="s">
        <v>1208</v>
      </c>
      <c r="U155" s="1939" t="s">
        <v>1208</v>
      </c>
      <c r="V155" s="1939" t="s">
        <v>1208</v>
      </c>
      <c r="W155" s="1936">
        <v>10431</v>
      </c>
      <c r="X155" s="1936">
        <v>9749</v>
      </c>
      <c r="Y155" s="1939" t="s">
        <v>1208</v>
      </c>
      <c r="Z155" s="1939" t="s">
        <v>1208</v>
      </c>
      <c r="AA155" s="1936">
        <v>682</v>
      </c>
      <c r="AB155" s="1362">
        <v>6.9955892912093545E-2</v>
      </c>
      <c r="AC155" s="1939" t="s">
        <v>1208</v>
      </c>
      <c r="AD155" s="1363" t="s">
        <v>1208</v>
      </c>
      <c r="AE155" s="1936">
        <v>1</v>
      </c>
      <c r="AF155" s="1936">
        <v>1000</v>
      </c>
      <c r="AG155" s="1939" t="s">
        <v>1208</v>
      </c>
      <c r="AH155" s="1936">
        <v>0</v>
      </c>
      <c r="AI155" s="1936">
        <v>0</v>
      </c>
      <c r="AJ155" s="1939" t="s">
        <v>1208</v>
      </c>
      <c r="AK155" s="1938">
        <v>1</v>
      </c>
      <c r="AL155" s="1938">
        <v>1800</v>
      </c>
      <c r="AM155" s="1936">
        <v>12549</v>
      </c>
      <c r="AN155" s="1939" t="s">
        <v>1208</v>
      </c>
      <c r="AO155" s="1936">
        <v>0</v>
      </c>
      <c r="AP155" s="1936">
        <v>900</v>
      </c>
      <c r="AQ155" s="1936">
        <v>13449</v>
      </c>
      <c r="AR155" s="1939" t="s">
        <v>1208</v>
      </c>
      <c r="AS155" s="1363" t="s">
        <v>1208</v>
      </c>
      <c r="AT155" s="1363" t="s">
        <v>1208</v>
      </c>
      <c r="AU155" s="1363" t="s">
        <v>1208</v>
      </c>
      <c r="AV155" s="1363" t="s">
        <v>1208</v>
      </c>
      <c r="AW155" s="1363" t="s">
        <v>1291</v>
      </c>
      <c r="AX155" s="1938">
        <v>1</v>
      </c>
      <c r="AY155" s="1938">
        <v>0</v>
      </c>
      <c r="AZ155" s="1938">
        <v>1</v>
      </c>
      <c r="BA155" s="1938">
        <v>0</v>
      </c>
      <c r="BB155" s="1938">
        <v>0</v>
      </c>
      <c r="BC155" s="1938">
        <v>0</v>
      </c>
      <c r="BD155" s="1938">
        <v>0</v>
      </c>
      <c r="BE155" s="1936">
        <v>1</v>
      </c>
      <c r="BF155" s="1936">
        <v>9500000</v>
      </c>
      <c r="BG155" s="1936">
        <v>405576</v>
      </c>
      <c r="BH155" s="1936">
        <v>9905576</v>
      </c>
      <c r="BI155" s="1938">
        <v>7566394</v>
      </c>
      <c r="BJ155" s="1936">
        <v>1112605</v>
      </c>
      <c r="BK155" s="1936">
        <v>517294</v>
      </c>
      <c r="BL155" s="1362">
        <v>2.1508175234972762</v>
      </c>
      <c r="BM155" s="1936">
        <v>1</v>
      </c>
      <c r="BN155" s="1936">
        <v>921753</v>
      </c>
      <c r="BO155" s="1363" t="s">
        <v>1208</v>
      </c>
      <c r="BP155" s="1938">
        <v>912981</v>
      </c>
      <c r="BQ155" s="1938">
        <v>912036</v>
      </c>
      <c r="BR155" s="1940">
        <v>1.0010361433101325</v>
      </c>
      <c r="BS155" s="1409">
        <v>1</v>
      </c>
      <c r="BT155" s="1938">
        <v>1708037</v>
      </c>
      <c r="BU155" s="1938">
        <v>9000625</v>
      </c>
      <c r="BV155" s="1940">
        <v>0.18976871050621485</v>
      </c>
      <c r="BW155" s="1936">
        <v>3039.0407543685806</v>
      </c>
      <c r="BX155" s="1936">
        <v>3668.284169961209</v>
      </c>
      <c r="BY155" s="1936">
        <v>32658.910965839335</v>
      </c>
      <c r="BZ155" s="1936">
        <v>91104</v>
      </c>
      <c r="CA155" s="1936">
        <v>120</v>
      </c>
      <c r="CB155" s="1936">
        <v>0</v>
      </c>
      <c r="CC155" s="1936">
        <v>149198</v>
      </c>
      <c r="CD155" s="1936">
        <v>2956910</v>
      </c>
      <c r="CE155" s="1936">
        <v>0</v>
      </c>
      <c r="CF155" s="1936">
        <v>0</v>
      </c>
      <c r="CG155" s="1936">
        <v>1047387</v>
      </c>
      <c r="CH155" s="1936">
        <v>419107</v>
      </c>
      <c r="CI155" s="1936">
        <v>216795</v>
      </c>
      <c r="CJ155" s="1936">
        <v>4880621</v>
      </c>
      <c r="CK155" s="1366">
        <v>1.8666477073306861E-2</v>
      </c>
      <c r="CL155" s="1366">
        <v>2.4587035133438961E-5</v>
      </c>
      <c r="CM155" s="1366">
        <v>0</v>
      </c>
      <c r="CN155" s="1366">
        <v>3.0569470565323553E-2</v>
      </c>
      <c r="CO155" s="1366">
        <v>0.60584708380347496</v>
      </c>
      <c r="CP155" s="1366">
        <v>0</v>
      </c>
      <c r="CQ155" s="1366">
        <v>0</v>
      </c>
      <c r="CR155" s="1366">
        <v>0.2146011747275603</v>
      </c>
      <c r="CS155" s="1366">
        <v>8.5871654447251686E-2</v>
      </c>
      <c r="CT155" s="1366">
        <v>4.4419552347949164E-2</v>
      </c>
      <c r="CU155" s="1366">
        <v>1</v>
      </c>
      <c r="CV155" s="1936">
        <v>2635212</v>
      </c>
      <c r="CW155" s="1936">
        <v>590053</v>
      </c>
      <c r="CX155" s="1936">
        <v>0</v>
      </c>
      <c r="CY155" s="1936">
        <v>1425060</v>
      </c>
      <c r="CZ155" s="1936">
        <v>73376</v>
      </c>
      <c r="DA155" s="1936">
        <v>152954</v>
      </c>
      <c r="DB155" s="1936">
        <v>4876655</v>
      </c>
      <c r="DC155" s="1366">
        <v>0.54037285803486201</v>
      </c>
      <c r="DD155" s="1366">
        <v>0.12099543642107141</v>
      </c>
      <c r="DE155" s="1366">
        <v>0</v>
      </c>
      <c r="DF155" s="1366">
        <v>0.29222079478659041</v>
      </c>
      <c r="DG155" s="1366">
        <v>1.5046379126675969E-2</v>
      </c>
      <c r="DH155" s="1366">
        <v>3.1364531630800212E-2</v>
      </c>
      <c r="DI155" s="1366">
        <v>1</v>
      </c>
      <c r="DJ155" s="1936">
        <v>3966</v>
      </c>
      <c r="DK155" s="1936">
        <v>300.37197479801546</v>
      </c>
      <c r="DL155" s="1936">
        <v>0.39564274868021004</v>
      </c>
      <c r="DM155" s="1936">
        <v>0</v>
      </c>
      <c r="DN155" s="1936">
        <v>491.90922347991648</v>
      </c>
      <c r="DO155" s="1936">
        <v>9749</v>
      </c>
      <c r="DP155" s="1936">
        <v>0</v>
      </c>
      <c r="DQ155" s="1936">
        <v>0</v>
      </c>
      <c r="DR155" s="1936">
        <v>3453.2589300993263</v>
      </c>
      <c r="DS155" s="1936">
        <v>1381.8053789259732</v>
      </c>
      <c r="DT155" s="1936">
        <v>714.77808083438447</v>
      </c>
      <c r="DU155" s="1936">
        <v>16091.519230886295</v>
      </c>
      <c r="DV155" s="1936">
        <v>8688.3543252922809</v>
      </c>
      <c r="DW155" s="1936">
        <v>1945.4182565583665</v>
      </c>
      <c r="DX155" s="1936">
        <v>0</v>
      </c>
      <c r="DY155" s="1936">
        <v>4698.4554619518349</v>
      </c>
      <c r="DZ155" s="1936">
        <v>241.92235272632578</v>
      </c>
      <c r="EA155" s="1936">
        <v>504.29284151360707</v>
      </c>
      <c r="EB155" s="1936">
        <v>16078.443238042415</v>
      </c>
      <c r="EC155" s="1936">
        <v>13.075992843880941</v>
      </c>
      <c r="ED155" s="1941">
        <v>39</v>
      </c>
      <c r="EE155" s="1936">
        <v>1</v>
      </c>
      <c r="EF155" s="1936">
        <v>6</v>
      </c>
      <c r="EG155" s="1938">
        <v>16564</v>
      </c>
      <c r="EH155" s="1938">
        <v>1</v>
      </c>
      <c r="EI155" s="1368">
        <v>0.09</v>
      </c>
      <c r="EJ155" s="1936">
        <v>7.7770238104631382</v>
      </c>
      <c r="EK155" s="1936">
        <v>0</v>
      </c>
      <c r="EL155" s="1936">
        <v>0</v>
      </c>
      <c r="EM155" s="1936">
        <v>0</v>
      </c>
      <c r="EN155" s="1362">
        <v>0</v>
      </c>
      <c r="EO155" s="1936">
        <v>1</v>
      </c>
      <c r="EP155" s="1936">
        <v>75</v>
      </c>
      <c r="EQ155" s="1936">
        <v>0</v>
      </c>
      <c r="ER155" s="1938">
        <v>0</v>
      </c>
      <c r="ES155" s="1936">
        <v>4835.0643090252997</v>
      </c>
      <c r="ET155" s="1936">
        <v>-1477.8641412826225</v>
      </c>
      <c r="EU155" s="1938">
        <v>2</v>
      </c>
      <c r="EV155" s="1936">
        <v>29058</v>
      </c>
      <c r="EW155" s="1936">
        <v>568</v>
      </c>
      <c r="EX155" s="1938">
        <v>0</v>
      </c>
      <c r="EY155" s="1936">
        <v>1047387</v>
      </c>
      <c r="EZ155" s="1936">
        <v>452320</v>
      </c>
      <c r="FA155" s="1936">
        <v>595067</v>
      </c>
      <c r="FB155" s="1936">
        <v>419107</v>
      </c>
      <c r="FC155" s="1936">
        <v>137733</v>
      </c>
      <c r="FD155" s="1936">
        <v>281374</v>
      </c>
      <c r="FE155" s="1936">
        <v>1466494</v>
      </c>
      <c r="FF155" s="1936">
        <v>590053</v>
      </c>
      <c r="FG155" s="1936">
        <v>876441</v>
      </c>
      <c r="FH155" s="1366">
        <v>1</v>
      </c>
      <c r="FI155" s="1366">
        <v>0.43185565602781018</v>
      </c>
      <c r="FJ155" s="1366">
        <v>0.56814434397218982</v>
      </c>
      <c r="FK155" s="1366">
        <v>1</v>
      </c>
      <c r="FL155" s="1366">
        <v>0.328634453731386</v>
      </c>
      <c r="FM155" s="1366">
        <v>0.671365546268614</v>
      </c>
      <c r="FN155" s="1366">
        <v>1</v>
      </c>
      <c r="FO155" s="1366">
        <v>0.40235623193821457</v>
      </c>
      <c r="FP155" s="1366">
        <v>0.59764376806178543</v>
      </c>
      <c r="FQ155" s="1936">
        <v>1159350.8</v>
      </c>
      <c r="FR155" s="1936">
        <v>-293298.8</v>
      </c>
      <c r="FS155" s="1936">
        <v>190936</v>
      </c>
      <c r="FT155" s="1936">
        <v>0</v>
      </c>
      <c r="FU155" s="1936">
        <v>0</v>
      </c>
      <c r="FV155" s="1936">
        <v>0</v>
      </c>
      <c r="FW155" s="1936">
        <v>267695</v>
      </c>
      <c r="FX155" s="1936">
        <v>1324683</v>
      </c>
      <c r="FY155" s="1936">
        <v>-448242</v>
      </c>
      <c r="FZ155" s="1366">
        <v>0.7905595249622569</v>
      </c>
      <c r="GA155" s="1366">
        <v>-0.19999999999999998</v>
      </c>
      <c r="GB155" s="1366">
        <v>0.13019896433261915</v>
      </c>
      <c r="GC155" s="1366">
        <v>0</v>
      </c>
      <c r="GD155" s="1366">
        <v>0</v>
      </c>
      <c r="GE155" s="1366">
        <v>0</v>
      </c>
      <c r="GF155" s="1366">
        <v>0.18254080821333057</v>
      </c>
      <c r="GG155" s="1366">
        <v>0.9032992975082067</v>
      </c>
      <c r="GH155" s="1366">
        <v>-0.30565552944642121</v>
      </c>
      <c r="GI155" s="1942">
        <v>2.4990921172874709</v>
      </c>
      <c r="GJ155" s="1943">
        <v>1</v>
      </c>
      <c r="GK155" s="1371">
        <v>0.04</v>
      </c>
      <c r="GL155" s="1943">
        <v>1</v>
      </c>
      <c r="GM155" s="1371">
        <v>0.04</v>
      </c>
      <c r="GN155" s="1979">
        <v>0</v>
      </c>
      <c r="GO155" s="1979">
        <v>0</v>
      </c>
      <c r="GP155" s="1979">
        <v>0</v>
      </c>
      <c r="GQ155" s="1979">
        <v>0</v>
      </c>
      <c r="GR155" s="1979">
        <v>0</v>
      </c>
      <c r="GS155" s="1979">
        <v>0</v>
      </c>
      <c r="GT155" s="1979">
        <v>0</v>
      </c>
      <c r="GU155" s="1979">
        <v>0</v>
      </c>
      <c r="GV155" s="1979">
        <v>0</v>
      </c>
      <c r="GW155" s="1979">
        <v>0</v>
      </c>
      <c r="GX155" s="1979">
        <v>0</v>
      </c>
      <c r="GY155" s="1985">
        <f t="shared" si="1319"/>
        <v>0</v>
      </c>
      <c r="GZ155" s="1979">
        <v>0</v>
      </c>
      <c r="HA155" s="1979">
        <v>0</v>
      </c>
      <c r="HB155" s="1979">
        <v>0</v>
      </c>
      <c r="HC155" s="1979">
        <v>0</v>
      </c>
      <c r="HD155" s="1979">
        <v>0</v>
      </c>
      <c r="HE155" s="1979">
        <v>0</v>
      </c>
      <c r="HF155" s="1979">
        <v>0</v>
      </c>
      <c r="HG155" s="1979">
        <v>0</v>
      </c>
      <c r="HH155" s="1988">
        <f>IF(HG155=0,0,VLOOKUP(A155,'Area (&amp;golfacre for lookup)'!$G$2:$H$134,2,FALSE))</f>
        <v>0</v>
      </c>
      <c r="HI155" s="1936">
        <v>0</v>
      </c>
      <c r="HJ155" s="1936">
        <v>0</v>
      </c>
      <c r="HK155" s="1936">
        <v>0</v>
      </c>
      <c r="HL155" s="1936">
        <v>0</v>
      </c>
      <c r="HM155" s="1936">
        <v>0</v>
      </c>
      <c r="HN155" s="1936">
        <v>0</v>
      </c>
      <c r="HO155" s="1936">
        <v>0</v>
      </c>
      <c r="HP155" s="1936">
        <v>0</v>
      </c>
      <c r="HQ155" s="1936">
        <v>0</v>
      </c>
      <c r="HR155" s="1988">
        <f t="shared" si="1320"/>
        <v>0</v>
      </c>
      <c r="HS155" s="1936">
        <v>0</v>
      </c>
      <c r="HT155" s="1936">
        <v>0</v>
      </c>
      <c r="HU155" s="1936">
        <v>0</v>
      </c>
      <c r="HV155" s="1936">
        <v>0</v>
      </c>
      <c r="HW155" s="1936">
        <v>0</v>
      </c>
      <c r="HX155" s="1936">
        <v>0</v>
      </c>
      <c r="HY155" s="1936">
        <v>0</v>
      </c>
      <c r="HZ155" s="51"/>
      <c r="IA155" s="59">
        <f t="shared" si="1322"/>
        <v>0.38</v>
      </c>
      <c r="IB155" s="59"/>
      <c r="IC155" s="815">
        <f t="shared" si="1323"/>
        <v>1</v>
      </c>
      <c r="ID155" s="815"/>
      <c r="IE155" s="284">
        <f t="shared" si="1324"/>
        <v>0</v>
      </c>
      <c r="IF155" s="284"/>
      <c r="IG155" s="284">
        <f t="shared" si="1325"/>
        <v>24946.574331312077</v>
      </c>
      <c r="IH155" s="284"/>
      <c r="II155" s="1288">
        <f t="shared" si="1326"/>
        <v>1.0010361433101325</v>
      </c>
      <c r="IJ155" s="1288">
        <f t="shared" si="1327"/>
        <v>0</v>
      </c>
      <c r="IK155" s="284">
        <f t="shared" si="1328"/>
        <v>0</v>
      </c>
      <c r="IL155" s="284">
        <f t="shared" si="1329"/>
        <v>0</v>
      </c>
      <c r="IM155" s="284">
        <f t="shared" si="1330"/>
        <v>0</v>
      </c>
      <c r="IN155" s="284">
        <f t="shared" si="1331"/>
        <v>0</v>
      </c>
      <c r="IO155" s="753">
        <f t="shared" si="1332"/>
        <v>-1204.9516129032259</v>
      </c>
      <c r="IP155" s="113">
        <f t="shared" si="1333"/>
        <v>-1477.8641412826225</v>
      </c>
      <c r="IQ155" s="30">
        <f t="shared" si="1334"/>
        <v>-0.15159135719382735</v>
      </c>
      <c r="IR155" s="438">
        <f t="shared" si="1335"/>
        <v>1047387</v>
      </c>
      <c r="IS155" s="438">
        <f t="shared" si="1336"/>
        <v>419107</v>
      </c>
      <c r="IT155" s="438">
        <f t="shared" si="1337"/>
        <v>1159350.8</v>
      </c>
      <c r="IU155" s="438">
        <f t="shared" si="1338"/>
        <v>190936</v>
      </c>
      <c r="IV155" s="438">
        <f t="shared" si="1339"/>
        <v>590053</v>
      </c>
      <c r="IW155" s="438">
        <f t="shared" si="1340"/>
        <v>-25603.799999999988</v>
      </c>
      <c r="IX155" s="285">
        <f t="shared" si="1341"/>
        <v>0.71421158218172054</v>
      </c>
      <c r="IY155" s="285">
        <f t="shared" si="1342"/>
        <v>0.28578841781827952</v>
      </c>
      <c r="IZ155" s="285">
        <f t="shared" si="1343"/>
        <v>0.7905595249622569</v>
      </c>
      <c r="JA155" s="285">
        <f t="shared" si="1344"/>
        <v>0.13019896433261915</v>
      </c>
      <c r="JB155" s="285">
        <f t="shared" si="1345"/>
        <v>0.40235623193821457</v>
      </c>
      <c r="JC155" s="285">
        <f t="shared" si="1346"/>
        <v>-1.7459191786669423E-2</v>
      </c>
      <c r="JD155" s="60">
        <f t="shared" si="1347"/>
        <v>2956910</v>
      </c>
      <c r="JE155" s="60">
        <f t="shared" si="1348"/>
        <v>240422</v>
      </c>
      <c r="JF155" s="60">
        <f t="shared" si="1349"/>
        <v>0</v>
      </c>
      <c r="JG155" s="60">
        <f t="shared" si="1350"/>
        <v>226330</v>
      </c>
      <c r="JH155" s="284">
        <f t="shared" si="1351"/>
        <v>1</v>
      </c>
      <c r="JI155" s="284">
        <f t="shared" si="1352"/>
        <v>0</v>
      </c>
      <c r="JJ155" s="560">
        <f t="shared" si="1353"/>
        <v>0</v>
      </c>
      <c r="JK155" s="561">
        <f t="shared" si="1354"/>
        <v>0.53993375023383294</v>
      </c>
      <c r="JL155" s="561">
        <f t="shared" si="1355"/>
        <v>0.12089711534659217</v>
      </c>
      <c r="JM155" s="561">
        <f t="shared" si="1356"/>
        <v>0</v>
      </c>
      <c r="JN155" s="561">
        <f t="shared" si="1357"/>
        <v>0.2919833357271544</v>
      </c>
      <c r="JO155" s="561">
        <f t="shared" si="1358"/>
        <v>1.5034152416260145E-2</v>
      </c>
      <c r="JP155" s="561">
        <f t="shared" si="1359"/>
        <v>3.1339044765000192E-2</v>
      </c>
      <c r="JQ155" s="561">
        <f t="shared" si="1360"/>
        <v>0.99918739848883986</v>
      </c>
      <c r="JR155" s="61">
        <f t="shared" si="1361"/>
        <v>0</v>
      </c>
      <c r="JS155" s="61">
        <f t="shared" si="1362"/>
        <v>0</v>
      </c>
      <c r="JT155" s="61">
        <f t="shared" si="1363"/>
        <v>0</v>
      </c>
      <c r="JU155" s="61">
        <f t="shared" si="1364"/>
        <v>0</v>
      </c>
      <c r="JV155" s="61">
        <f t="shared" si="1365"/>
        <v>0</v>
      </c>
      <c r="JW155" s="61">
        <f t="shared" si="1366"/>
        <v>0</v>
      </c>
      <c r="JX155" s="61">
        <f t="shared" si="1367"/>
        <v>0</v>
      </c>
      <c r="JY155" s="394">
        <f t="shared" si="1368"/>
        <v>0</v>
      </c>
      <c r="JZ155" s="61">
        <f t="shared" si="1369"/>
        <v>0</v>
      </c>
      <c r="KA155" s="61">
        <f t="shared" si="1370"/>
        <v>0</v>
      </c>
      <c r="KB155" s="61">
        <f t="shared" si="1371"/>
        <v>0</v>
      </c>
      <c r="KC155" s="61">
        <f t="shared" si="1372"/>
        <v>0</v>
      </c>
      <c r="KD155" s="61">
        <f t="shared" si="1373"/>
        <v>0</v>
      </c>
      <c r="KE155" s="61">
        <f t="shared" si="1374"/>
        <v>0</v>
      </c>
      <c r="KF155" s="61">
        <f t="shared" si="1375"/>
        <v>0</v>
      </c>
      <c r="KG155" s="61">
        <f t="shared" si="1376"/>
        <v>0</v>
      </c>
      <c r="KH155" s="61">
        <f t="shared" si="1377"/>
        <v>0</v>
      </c>
      <c r="KI155" s="394">
        <f t="shared" si="1378"/>
        <v>0</v>
      </c>
      <c r="KJ155" s="438">
        <f t="shared" si="1379"/>
        <v>0</v>
      </c>
      <c r="KK155" s="438">
        <f t="shared" si="1380"/>
        <v>0</v>
      </c>
      <c r="KL155" s="438">
        <f t="shared" si="1381"/>
        <v>0</v>
      </c>
      <c r="KM155" s="438">
        <f t="shared" si="1382"/>
        <v>0</v>
      </c>
      <c r="KN155" s="438">
        <f t="shared" si="1383"/>
        <v>0</v>
      </c>
      <c r="KO155" s="438">
        <f t="shared" si="1384"/>
        <v>0</v>
      </c>
      <c r="KP155" s="438">
        <f t="shared" si="1385"/>
        <v>0</v>
      </c>
      <c r="KQ155" s="438">
        <f t="shared" si="1386"/>
        <v>0</v>
      </c>
      <c r="KR155" s="438">
        <f t="shared" si="1387"/>
        <v>0</v>
      </c>
      <c r="KS155" s="438">
        <f t="shared" si="1388"/>
        <v>0</v>
      </c>
      <c r="KT155" s="438">
        <f t="shared" si="1389"/>
        <v>0</v>
      </c>
      <c r="KU155" s="438">
        <f t="shared" si="1390"/>
        <v>0</v>
      </c>
      <c r="KV155" s="420">
        <f t="shared" si="1391"/>
        <v>0</v>
      </c>
      <c r="KW155" s="420">
        <f t="shared" si="1392"/>
        <v>0</v>
      </c>
      <c r="KX155" s="108"/>
      <c r="KY155" s="282">
        <f t="shared" si="1393"/>
        <v>0</v>
      </c>
      <c r="KZ155" s="282"/>
      <c r="LA155" s="282">
        <f t="shared" si="1394"/>
        <v>0</v>
      </c>
      <c r="LB155" s="282"/>
      <c r="LC155" s="286">
        <f t="shared" si="1321"/>
        <v>0</v>
      </c>
      <c r="LD155" s="286"/>
      <c r="LE155" s="282">
        <f t="shared" si="1395"/>
        <v>0</v>
      </c>
      <c r="LF155" s="282"/>
      <c r="LG155" s="282">
        <f t="shared" si="1396"/>
        <v>0</v>
      </c>
      <c r="LH155" s="282">
        <f t="shared" si="1397"/>
        <v>0</v>
      </c>
      <c r="LI155" s="282">
        <f t="shared" si="1398"/>
        <v>0</v>
      </c>
      <c r="LJ155" s="282">
        <f t="shared" si="1399"/>
        <v>0</v>
      </c>
      <c r="LK155" s="282"/>
      <c r="LL155" s="282">
        <f t="shared" si="1400"/>
        <v>0</v>
      </c>
      <c r="LM155" s="282">
        <f t="shared" si="1401"/>
        <v>0</v>
      </c>
      <c r="LN155" s="282">
        <f t="shared" si="1402"/>
        <v>0</v>
      </c>
      <c r="LO155" s="282">
        <f t="shared" si="1403"/>
        <v>0</v>
      </c>
      <c r="LP155" s="286">
        <f t="shared" si="1404"/>
        <v>0</v>
      </c>
      <c r="LQ155" s="282">
        <f t="shared" si="1405"/>
        <v>0</v>
      </c>
      <c r="LR155" s="282">
        <f t="shared" si="1406"/>
        <v>0</v>
      </c>
      <c r="LS155" s="282">
        <f t="shared" si="1407"/>
        <v>0</v>
      </c>
      <c r="LT155" s="286">
        <f t="shared" si="1408"/>
        <v>0</v>
      </c>
      <c r="LU155" s="286">
        <f t="shared" si="1409"/>
        <v>0</v>
      </c>
      <c r="LV155" s="286">
        <f t="shared" si="1410"/>
        <v>0</v>
      </c>
      <c r="LW155" s="286">
        <f t="shared" si="1411"/>
        <v>0</v>
      </c>
      <c r="LX155" s="286">
        <f t="shared" si="1412"/>
        <v>0</v>
      </c>
      <c r="LY155" s="286">
        <f t="shared" si="1413"/>
        <v>0</v>
      </c>
      <c r="LZ155" s="286">
        <f t="shared" si="1414"/>
        <v>0</v>
      </c>
      <c r="MA155" s="286">
        <f t="shared" si="1415"/>
        <v>0</v>
      </c>
      <c r="MB155" s="286">
        <f t="shared" si="1416"/>
        <v>0</v>
      </c>
      <c r="MC155" s="286">
        <f t="shared" si="1417"/>
        <v>0</v>
      </c>
      <c r="MD155" s="286">
        <f t="shared" si="1418"/>
        <v>0</v>
      </c>
      <c r="ME155" s="286">
        <f t="shared" si="1419"/>
        <v>0</v>
      </c>
      <c r="MF155" s="286">
        <f t="shared" si="1420"/>
        <v>0</v>
      </c>
      <c r="MG155" s="286">
        <f t="shared" si="1421"/>
        <v>0</v>
      </c>
      <c r="MH155" s="286">
        <f t="shared" si="1422"/>
        <v>0</v>
      </c>
      <c r="MI155" s="286">
        <f t="shared" si="1423"/>
        <v>0</v>
      </c>
      <c r="MJ155" s="286">
        <f t="shared" si="1424"/>
        <v>0</v>
      </c>
      <c r="MK155" s="286">
        <f t="shared" si="1425"/>
        <v>0</v>
      </c>
      <c r="ML155" s="282">
        <f t="shared" si="1426"/>
        <v>0</v>
      </c>
      <c r="MM155" s="1232">
        <f t="shared" si="1427"/>
        <v>0</v>
      </c>
      <c r="MN155" s="1232">
        <f t="shared" si="1428"/>
        <v>0</v>
      </c>
      <c r="MO155" s="1232">
        <f t="shared" si="1429"/>
        <v>0</v>
      </c>
      <c r="MP155" s="1232">
        <f t="shared" si="1430"/>
        <v>0</v>
      </c>
      <c r="MQ155" s="282">
        <f t="shared" si="1431"/>
        <v>0</v>
      </c>
      <c r="MR155" s="282">
        <f t="shared" si="1432"/>
        <v>0</v>
      </c>
      <c r="MS155" s="282">
        <f t="shared" si="1433"/>
        <v>0</v>
      </c>
      <c r="MT155" s="282">
        <f t="shared" si="1434"/>
        <v>0</v>
      </c>
      <c r="MU155" s="282">
        <f t="shared" si="1435"/>
        <v>0</v>
      </c>
      <c r="MV155" s="282">
        <f t="shared" si="1436"/>
        <v>0</v>
      </c>
      <c r="MW155" s="282">
        <f t="shared" si="1437"/>
        <v>0</v>
      </c>
      <c r="MX155" s="282">
        <f t="shared" si="1438"/>
        <v>0</v>
      </c>
      <c r="MY155" s="282">
        <f t="shared" si="1439"/>
        <v>0</v>
      </c>
      <c r="MZ155" s="282">
        <f t="shared" si="1440"/>
        <v>0</v>
      </c>
      <c r="NA155" s="282">
        <f t="shared" si="1441"/>
        <v>0</v>
      </c>
      <c r="NB155" s="282">
        <f t="shared" si="1442"/>
        <v>0</v>
      </c>
      <c r="NC155" s="282">
        <f t="shared" si="1443"/>
        <v>0</v>
      </c>
      <c r="ND155" s="282">
        <f t="shared" si="1444"/>
        <v>0</v>
      </c>
      <c r="NE155" s="282">
        <f t="shared" si="1445"/>
        <v>0</v>
      </c>
      <c r="NF155" s="282">
        <f t="shared" si="1446"/>
        <v>0</v>
      </c>
      <c r="NG155" s="282">
        <f t="shared" si="1447"/>
        <v>0</v>
      </c>
      <c r="NH155" s="282">
        <f t="shared" si="1448"/>
        <v>0</v>
      </c>
      <c r="NI155" s="282">
        <f t="shared" si="1449"/>
        <v>0</v>
      </c>
      <c r="NJ155" s="282">
        <f t="shared" si="1450"/>
        <v>0</v>
      </c>
      <c r="NK155" s="282">
        <f t="shared" si="1451"/>
        <v>0</v>
      </c>
      <c r="NL155" s="282">
        <f t="shared" si="1452"/>
        <v>0</v>
      </c>
      <c r="NM155" s="1205">
        <f t="shared" si="1453"/>
        <v>0</v>
      </c>
      <c r="NN155" s="282">
        <f t="shared" si="1454"/>
        <v>0</v>
      </c>
      <c r="NO155" s="282">
        <f t="shared" si="1455"/>
        <v>0</v>
      </c>
      <c r="NP155" s="282">
        <f t="shared" si="1456"/>
        <v>0</v>
      </c>
      <c r="NQ155" s="282">
        <f t="shared" si="1457"/>
        <v>0</v>
      </c>
      <c r="NR155" s="282">
        <f t="shared" si="1458"/>
        <v>0</v>
      </c>
      <c r="NS155" s="282">
        <f t="shared" si="1459"/>
        <v>0</v>
      </c>
      <c r="NT155" s="282">
        <f t="shared" si="1460"/>
        <v>0</v>
      </c>
      <c r="NU155" s="282">
        <f t="shared" si="1461"/>
        <v>0</v>
      </c>
      <c r="NV155" s="286">
        <f t="shared" si="1462"/>
        <v>0</v>
      </c>
      <c r="NW155" s="286">
        <f t="shared" si="1463"/>
        <v>0</v>
      </c>
      <c r="NX155" s="286">
        <f t="shared" si="1464"/>
        <v>0</v>
      </c>
      <c r="NY155" s="286">
        <f t="shared" si="1465"/>
        <v>0</v>
      </c>
      <c r="NZ155" s="286">
        <f t="shared" si="1466"/>
        <v>0</v>
      </c>
      <c r="OA155" s="286">
        <f t="shared" si="1467"/>
        <v>0</v>
      </c>
      <c r="OB155" s="286">
        <f t="shared" si="1468"/>
        <v>0</v>
      </c>
      <c r="OC155" s="286">
        <f t="shared" si="1469"/>
        <v>0</v>
      </c>
      <c r="OD155" s="286">
        <f t="shared" si="1470"/>
        <v>0</v>
      </c>
      <c r="OE155" s="282">
        <f t="shared" si="1471"/>
        <v>0</v>
      </c>
      <c r="OF155" s="282">
        <f t="shared" si="1472"/>
        <v>0</v>
      </c>
      <c r="OG155" s="286">
        <f t="shared" si="1473"/>
        <v>0</v>
      </c>
      <c r="OH155" s="286">
        <f t="shared" si="1474"/>
        <v>0</v>
      </c>
      <c r="OI155" s="286">
        <f t="shared" si="1475"/>
        <v>0</v>
      </c>
      <c r="OJ155" s="286">
        <f t="shared" si="1476"/>
        <v>0</v>
      </c>
      <c r="OK155" s="286">
        <f t="shared" si="1477"/>
        <v>0</v>
      </c>
      <c r="OL155" s="286">
        <f t="shared" si="1478"/>
        <v>0</v>
      </c>
      <c r="OM155" s="286">
        <f t="shared" si="1479"/>
        <v>0</v>
      </c>
      <c r="ON155" s="286">
        <f t="shared" si="1480"/>
        <v>0</v>
      </c>
      <c r="OO155" s="286">
        <f t="shared" si="1481"/>
        <v>0</v>
      </c>
      <c r="OP155" s="434">
        <f t="shared" si="1482"/>
        <v>0</v>
      </c>
      <c r="OQ155" s="434">
        <f t="shared" si="1483"/>
        <v>0</v>
      </c>
      <c r="OR155" s="282">
        <f t="shared" si="1484"/>
        <v>0</v>
      </c>
      <c r="OS155" s="282">
        <f t="shared" si="1485"/>
        <v>0</v>
      </c>
      <c r="OT155" s="282">
        <f t="shared" si="1486"/>
        <v>0</v>
      </c>
      <c r="OU155" s="282">
        <f t="shared" si="1487"/>
        <v>0</v>
      </c>
      <c r="OV155" s="282">
        <f t="shared" si="1488"/>
        <v>0</v>
      </c>
      <c r="OW155" s="286">
        <f t="shared" si="1489"/>
        <v>0</v>
      </c>
      <c r="OX155" s="286">
        <f t="shared" si="1490"/>
        <v>0</v>
      </c>
      <c r="OY155" s="286">
        <f t="shared" si="1491"/>
        <v>0</v>
      </c>
      <c r="OZ155" s="286">
        <f t="shared" si="1492"/>
        <v>0</v>
      </c>
      <c r="PA155" s="286">
        <f t="shared" si="1493"/>
        <v>0</v>
      </c>
      <c r="PB155" s="286">
        <f t="shared" si="1494"/>
        <v>0</v>
      </c>
      <c r="PC155" s="286">
        <f t="shared" si="1495"/>
        <v>0</v>
      </c>
      <c r="PD155" s="282">
        <f t="shared" si="1496"/>
        <v>0</v>
      </c>
      <c r="PE155" s="282">
        <f t="shared" si="1497"/>
        <v>0</v>
      </c>
      <c r="PF155" s="286">
        <f t="shared" si="1498"/>
        <v>0</v>
      </c>
      <c r="PG155" s="286">
        <f t="shared" si="1499"/>
        <v>0</v>
      </c>
      <c r="PH155" s="286">
        <f t="shared" si="1500"/>
        <v>0</v>
      </c>
      <c r="PI155" s="286">
        <f t="shared" si="1501"/>
        <v>0</v>
      </c>
      <c r="PJ155" s="286">
        <f t="shared" si="1502"/>
        <v>0</v>
      </c>
      <c r="PK155" s="286">
        <f t="shared" si="1503"/>
        <v>0</v>
      </c>
      <c r="PL155" s="286">
        <f t="shared" si="1504"/>
        <v>0</v>
      </c>
      <c r="PM155" s="562">
        <v>99</v>
      </c>
    </row>
    <row r="156" spans="1:429" s="289" customFormat="1" ht="15.75" customHeight="1">
      <c r="A156" s="1935" t="s">
        <v>1331</v>
      </c>
      <c r="B156" s="1040" t="str">
        <f>VLOOKUP(A156,'Area (&amp;golfacre for lookup)'!$A$2:$B$162,2,FALSE)</f>
        <v>BOCA</v>
      </c>
      <c r="C156" s="1936"/>
      <c r="D156" s="1937">
        <v>44865</v>
      </c>
      <c r="E156" s="402"/>
      <c r="F156" s="1936">
        <v>1</v>
      </c>
      <c r="G156" s="1936">
        <v>1</v>
      </c>
      <c r="H156" s="1936">
        <v>680</v>
      </c>
      <c r="I156" s="1936">
        <v>55</v>
      </c>
      <c r="J156" s="1936">
        <v>735</v>
      </c>
      <c r="K156" s="1938">
        <v>725.22701067615662</v>
      </c>
      <c r="L156" s="1939" t="s">
        <v>1208</v>
      </c>
      <c r="M156" s="1939" t="s">
        <v>1208</v>
      </c>
      <c r="N156" s="1939" t="s">
        <v>1208</v>
      </c>
      <c r="O156" s="1939" t="s">
        <v>1208</v>
      </c>
      <c r="P156" s="1939" t="s">
        <v>1208</v>
      </c>
      <c r="Q156" s="1979">
        <v>20000</v>
      </c>
      <c r="R156" s="1979">
        <v>180000</v>
      </c>
      <c r="S156" s="1936">
        <v>200000</v>
      </c>
      <c r="T156" s="1939" t="s">
        <v>1208</v>
      </c>
      <c r="U156" s="1939" t="s">
        <v>1208</v>
      </c>
      <c r="V156" s="1939" t="s">
        <v>1208</v>
      </c>
      <c r="W156" s="1936">
        <v>31000</v>
      </c>
      <c r="X156" s="1936">
        <v>28100</v>
      </c>
      <c r="Y156" s="1939" t="s">
        <v>1208</v>
      </c>
      <c r="Z156" s="1939" t="s">
        <v>1208</v>
      </c>
      <c r="AA156" s="1936">
        <v>2900</v>
      </c>
      <c r="AB156" s="1362">
        <v>0.10320284697508897</v>
      </c>
      <c r="AC156" s="1939" t="s">
        <v>1208</v>
      </c>
      <c r="AD156" s="1363" t="s">
        <v>1208</v>
      </c>
      <c r="AE156" s="1936">
        <v>0</v>
      </c>
      <c r="AF156" s="1936">
        <v>0</v>
      </c>
      <c r="AG156" s="1939" t="s">
        <v>1208</v>
      </c>
      <c r="AH156" s="1936">
        <v>0</v>
      </c>
      <c r="AI156" s="1936">
        <v>0</v>
      </c>
      <c r="AJ156" s="1939" t="s">
        <v>1208</v>
      </c>
      <c r="AK156" s="1938">
        <v>1</v>
      </c>
      <c r="AL156" s="1938">
        <v>6000</v>
      </c>
      <c r="AM156" s="1936">
        <v>34100</v>
      </c>
      <c r="AN156" s="1939" t="s">
        <v>1208</v>
      </c>
      <c r="AO156" s="1936">
        <v>2400</v>
      </c>
      <c r="AP156" s="1936">
        <v>4325</v>
      </c>
      <c r="AQ156" s="1936">
        <v>40825</v>
      </c>
      <c r="AR156" s="1939" t="s">
        <v>1208</v>
      </c>
      <c r="AS156" s="1363" t="s">
        <v>1208</v>
      </c>
      <c r="AT156" s="1363" t="s">
        <v>1208</v>
      </c>
      <c r="AU156" s="1363" t="s">
        <v>1208</v>
      </c>
      <c r="AV156" s="1363" t="s">
        <v>1208</v>
      </c>
      <c r="AW156" s="1363" t="s">
        <v>1291</v>
      </c>
      <c r="AX156" s="1938">
        <v>1</v>
      </c>
      <c r="AY156" s="1938">
        <v>1</v>
      </c>
      <c r="AZ156" s="1938">
        <v>1</v>
      </c>
      <c r="BA156" s="1938">
        <v>0</v>
      </c>
      <c r="BB156" s="1938">
        <v>0</v>
      </c>
      <c r="BC156" s="1938">
        <v>0</v>
      </c>
      <c r="BD156" s="1938">
        <v>0</v>
      </c>
      <c r="BE156" s="1936">
        <v>1</v>
      </c>
      <c r="BF156" s="1936">
        <v>16000000</v>
      </c>
      <c r="BG156" s="1936">
        <v>2800000</v>
      </c>
      <c r="BH156" s="1936">
        <v>18800000</v>
      </c>
      <c r="BI156" s="1938">
        <v>47411710</v>
      </c>
      <c r="BJ156" s="1936">
        <v>11295923</v>
      </c>
      <c r="BK156" s="1936">
        <v>5367008</v>
      </c>
      <c r="BL156" s="1362">
        <v>2.1046965087437917</v>
      </c>
      <c r="BM156" s="1936">
        <v>1</v>
      </c>
      <c r="BN156" s="1936">
        <v>22276282</v>
      </c>
      <c r="BO156" s="1363" t="s">
        <v>1208</v>
      </c>
      <c r="BP156" s="1938">
        <v>22729625</v>
      </c>
      <c r="BQ156" s="1938">
        <v>10896241</v>
      </c>
      <c r="BR156" s="1940">
        <v>2.086006082281036</v>
      </c>
      <c r="BS156" s="1409">
        <v>1</v>
      </c>
      <c r="BT156" s="1938">
        <v>29762333</v>
      </c>
      <c r="BU156" s="1938">
        <v>43494803</v>
      </c>
      <c r="BV156" s="1940">
        <v>0.68427331421641335</v>
      </c>
      <c r="BW156" s="1936">
        <v>30716.288378767054</v>
      </c>
      <c r="BX156" s="1936">
        <v>15575.706411525383</v>
      </c>
      <c r="BY156" s="1936">
        <v>25922.917546151581</v>
      </c>
      <c r="BZ156" s="1936">
        <v>2415144</v>
      </c>
      <c r="CA156" s="1936">
        <v>1059513</v>
      </c>
      <c r="CB156" s="1936">
        <v>1236999</v>
      </c>
      <c r="CC156" s="1936">
        <v>3009624</v>
      </c>
      <c r="CD156" s="1936">
        <v>20378879</v>
      </c>
      <c r="CE156" s="1936">
        <v>0</v>
      </c>
      <c r="CF156" s="1936">
        <v>0</v>
      </c>
      <c r="CG156" s="1936">
        <v>5350897</v>
      </c>
      <c r="CH156" s="1936">
        <v>931734</v>
      </c>
      <c r="CI156" s="1936">
        <v>161036</v>
      </c>
      <c r="CJ156" s="1936">
        <v>34543826</v>
      </c>
      <c r="CK156" s="1366">
        <v>6.9915359115113651E-2</v>
      </c>
      <c r="CL156" s="1366">
        <v>3.0671559079761459E-2</v>
      </c>
      <c r="CM156" s="1366">
        <v>3.5809553927234346E-2</v>
      </c>
      <c r="CN156" s="1366">
        <v>8.7124801983428243E-2</v>
      </c>
      <c r="CO156" s="1366">
        <v>0.58994272956330895</v>
      </c>
      <c r="CP156" s="1366">
        <v>0</v>
      </c>
      <c r="CQ156" s="1366">
        <v>0</v>
      </c>
      <c r="CR156" s="1366">
        <v>0.15490168923384456</v>
      </c>
      <c r="CS156" s="1366">
        <v>2.6972518909746709E-2</v>
      </c>
      <c r="CT156" s="1366">
        <v>4.661788187562084E-3</v>
      </c>
      <c r="CU156" s="1366">
        <v>1</v>
      </c>
      <c r="CV156" s="1936">
        <v>17461298</v>
      </c>
      <c r="CW156" s="1936">
        <v>4650119</v>
      </c>
      <c r="CX156" s="1936">
        <v>994866</v>
      </c>
      <c r="CY156" s="1936">
        <v>10342069</v>
      </c>
      <c r="CZ156" s="1936">
        <v>627628</v>
      </c>
      <c r="DA156" s="1936">
        <v>706095</v>
      </c>
      <c r="DB156" s="1936">
        <v>34782075</v>
      </c>
      <c r="DC156" s="1366">
        <v>0.50202002036968751</v>
      </c>
      <c r="DD156" s="1366">
        <v>0.13369297260154836</v>
      </c>
      <c r="DE156" s="1366">
        <v>2.8602836374770624E-2</v>
      </c>
      <c r="DF156" s="1366">
        <v>0.29733904604598776</v>
      </c>
      <c r="DG156" s="1366">
        <v>1.8044581871553091E-2</v>
      </c>
      <c r="DH156" s="1366">
        <v>2.0300542736452612E-2</v>
      </c>
      <c r="DI156" s="1366">
        <v>1</v>
      </c>
      <c r="DJ156" s="1936">
        <v>-238249</v>
      </c>
      <c r="DK156" s="1936">
        <v>3330.1903603235487</v>
      </c>
      <c r="DL156" s="1936">
        <v>1460.9397945784947</v>
      </c>
      <c r="DM156" s="1936">
        <v>1705.671440514466</v>
      </c>
      <c r="DN156" s="1936">
        <v>4149.9061062190904</v>
      </c>
      <c r="DO156" s="1936">
        <v>28100</v>
      </c>
      <c r="DP156" s="1936">
        <v>0</v>
      </c>
      <c r="DQ156" s="1936">
        <v>0</v>
      </c>
      <c r="DR156" s="1936">
        <v>7378.2373260079712</v>
      </c>
      <c r="DS156" s="1936">
        <v>1284.7480668588296</v>
      </c>
      <c r="DT156" s="1936">
        <v>222.04909308308862</v>
      </c>
      <c r="DU156" s="1936">
        <v>47631.742187585485</v>
      </c>
      <c r="DV156" s="1936">
        <v>24077.0100161054</v>
      </c>
      <c r="DW156" s="1936">
        <v>6411.9495434464279</v>
      </c>
      <c r="DX156" s="1936">
        <v>1371.7994301845551</v>
      </c>
      <c r="DY156" s="1936">
        <v>14260.457550192039</v>
      </c>
      <c r="DZ156" s="1936">
        <v>865.42281349234167</v>
      </c>
      <c r="EA156" s="1936">
        <v>973.61928003988828</v>
      </c>
      <c r="EB156" s="1936">
        <v>47960.258633460653</v>
      </c>
      <c r="EC156" s="1936">
        <v>-328.51644587516319</v>
      </c>
      <c r="ED156" s="1941">
        <v>344</v>
      </c>
      <c r="EE156" s="1936">
        <v>1</v>
      </c>
      <c r="EF156" s="1936">
        <v>100</v>
      </c>
      <c r="EG156" s="1938">
        <v>1300000</v>
      </c>
      <c r="EH156" s="1938">
        <v>1</v>
      </c>
      <c r="EI156" s="1368">
        <v>0.05</v>
      </c>
      <c r="EJ156" s="1936">
        <v>2.1082180542911528</v>
      </c>
      <c r="EK156" s="1936">
        <v>1</v>
      </c>
      <c r="EL156" s="1936">
        <v>2400</v>
      </c>
      <c r="EM156" s="1936">
        <v>0</v>
      </c>
      <c r="EN156" s="1362">
        <v>0</v>
      </c>
      <c r="EO156" s="1936">
        <v>1</v>
      </c>
      <c r="EP156" s="1936">
        <v>360.41666666666669</v>
      </c>
      <c r="EQ156" s="1936">
        <v>1</v>
      </c>
      <c r="ER156" s="1938">
        <v>0</v>
      </c>
      <c r="ES156" s="1936">
        <v>8662.9853928667999</v>
      </c>
      <c r="ET156" s="1936">
        <v>-9941.423435508892</v>
      </c>
      <c r="EU156" s="1938">
        <v>2</v>
      </c>
      <c r="EV156" s="1936">
        <v>173500</v>
      </c>
      <c r="EW156" s="1936">
        <v>9091</v>
      </c>
      <c r="EX156" s="1938">
        <v>0</v>
      </c>
      <c r="EY156" s="1936">
        <v>5350897</v>
      </c>
      <c r="EZ156" s="1936">
        <v>4242480</v>
      </c>
      <c r="FA156" s="1936">
        <v>1108417</v>
      </c>
      <c r="FB156" s="1936">
        <v>931734</v>
      </c>
      <c r="FC156" s="1936">
        <v>407639</v>
      </c>
      <c r="FD156" s="1936">
        <v>524095</v>
      </c>
      <c r="FE156" s="1936">
        <v>6282631</v>
      </c>
      <c r="FF156" s="1936">
        <v>4650119</v>
      </c>
      <c r="FG156" s="1936">
        <v>1632512</v>
      </c>
      <c r="FH156" s="1366">
        <v>1</v>
      </c>
      <c r="FI156" s="1366">
        <v>0.79285398317328848</v>
      </c>
      <c r="FJ156" s="1366">
        <v>0.20714601682671149</v>
      </c>
      <c r="FK156" s="1366">
        <v>1</v>
      </c>
      <c r="FL156" s="1366">
        <v>0.43750576881384601</v>
      </c>
      <c r="FM156" s="1366">
        <v>0.56249423118615394</v>
      </c>
      <c r="FN156" s="1366">
        <v>1</v>
      </c>
      <c r="FO156" s="1366">
        <v>0.74015472180365205</v>
      </c>
      <c r="FP156" s="1366">
        <v>0.25984527819634801</v>
      </c>
      <c r="FQ156" s="1936">
        <v>7082002</v>
      </c>
      <c r="FR156" s="1936">
        <v>-1256526.2</v>
      </c>
      <c r="FS156" s="1936">
        <v>962089</v>
      </c>
      <c r="FT156" s="1936">
        <v>121578</v>
      </c>
      <c r="FU156" s="1936">
        <v>0</v>
      </c>
      <c r="FV156" s="1936">
        <v>110048</v>
      </c>
      <c r="FW156" s="1936">
        <v>1823110</v>
      </c>
      <c r="FX156" s="1936">
        <v>8842300.8000000007</v>
      </c>
      <c r="FY156" s="1936">
        <v>-7209788.8000000007</v>
      </c>
      <c r="FZ156" s="1366">
        <v>1.1272350707848353</v>
      </c>
      <c r="GA156" s="1366">
        <v>-0.19999999999999998</v>
      </c>
      <c r="GB156" s="1366">
        <v>0.15313472970161704</v>
      </c>
      <c r="GC156" s="1366">
        <v>1.9351446869949867E-2</v>
      </c>
      <c r="GD156" s="1366">
        <v>0</v>
      </c>
      <c r="GE156" s="1366">
        <v>1.7516228471797884E-2</v>
      </c>
      <c r="GF156" s="1366">
        <v>0.29018256841759449</v>
      </c>
      <c r="GG156" s="1366">
        <v>1.4074200442457947</v>
      </c>
      <c r="GH156" s="1366">
        <v>-1.1475747660494466</v>
      </c>
      <c r="GI156" s="1942">
        <v>5.7429448748247891</v>
      </c>
      <c r="GJ156" s="1943">
        <v>1</v>
      </c>
      <c r="GK156" s="1371">
        <v>0.1</v>
      </c>
      <c r="GL156" s="1943">
        <v>1</v>
      </c>
      <c r="GM156" s="1371">
        <v>0.05</v>
      </c>
      <c r="GN156" s="1943">
        <v>0</v>
      </c>
      <c r="GO156" s="1985">
        <f>IF(GN156=0,0,VLOOKUP(A156,'Area (&amp;golfacre for lookup)'!$G$2:$H$133,2,FALSE))</f>
        <v>0</v>
      </c>
      <c r="GP156" s="1943">
        <v>0</v>
      </c>
      <c r="GQ156" s="1943">
        <v>0</v>
      </c>
      <c r="GR156" s="1943">
        <v>0</v>
      </c>
      <c r="GS156" s="1943">
        <v>0</v>
      </c>
      <c r="GT156" s="1943">
        <v>0</v>
      </c>
      <c r="GU156" s="1943">
        <v>0</v>
      </c>
      <c r="GV156" s="1943">
        <v>0</v>
      </c>
      <c r="GW156" s="1943">
        <v>0</v>
      </c>
      <c r="GX156" s="1936">
        <v>0</v>
      </c>
      <c r="GY156" s="1985">
        <f t="shared" si="1319"/>
        <v>0</v>
      </c>
      <c r="GZ156" s="1936">
        <v>0</v>
      </c>
      <c r="HA156" s="1936">
        <v>0</v>
      </c>
      <c r="HB156" s="1936">
        <v>0</v>
      </c>
      <c r="HC156" s="1936">
        <v>0</v>
      </c>
      <c r="HD156" s="1936">
        <v>0</v>
      </c>
      <c r="HE156" s="1936">
        <v>0</v>
      </c>
      <c r="HF156" s="1936">
        <v>0</v>
      </c>
      <c r="HG156" s="1936">
        <v>36</v>
      </c>
      <c r="HH156" s="1988">
        <f>IF(HG156=0,0,VLOOKUP(A156,'Area (&amp;golfacre for lookup)'!$G$2:$H$134,2,FALSE))</f>
        <v>290</v>
      </c>
      <c r="HI156" s="1936">
        <v>40097</v>
      </c>
      <c r="HJ156" s="1936">
        <v>1677941</v>
      </c>
      <c r="HK156" s="1936">
        <v>333931</v>
      </c>
      <c r="HL156" s="1936">
        <v>868167</v>
      </c>
      <c r="HM156" s="1936">
        <v>244484</v>
      </c>
      <c r="HN156" s="1936">
        <v>0</v>
      </c>
      <c r="HO156" s="1936">
        <v>374909</v>
      </c>
      <c r="HP156" s="1936">
        <v>3499432</v>
      </c>
      <c r="HQ156" s="1936">
        <v>97206.444444444438</v>
      </c>
      <c r="HR156" s="1988">
        <f t="shared" si="1320"/>
        <v>12067.006896551724</v>
      </c>
      <c r="HS156" s="1366">
        <v>0.47948952858635346</v>
      </c>
      <c r="HT156" s="1366">
        <v>9.5424343150545571E-2</v>
      </c>
      <c r="HU156" s="1366">
        <v>0.24808797542001101</v>
      </c>
      <c r="HV156" s="1366">
        <v>6.9863909343001948E-2</v>
      </c>
      <c r="HW156" s="1366">
        <v>0</v>
      </c>
      <c r="HX156" s="1366">
        <v>0.10713424350008802</v>
      </c>
      <c r="HY156" s="1366">
        <v>1</v>
      </c>
      <c r="HZ156" s="51"/>
      <c r="IA156" s="59">
        <f t="shared" si="1322"/>
        <v>0.1</v>
      </c>
      <c r="IB156" s="59"/>
      <c r="IC156" s="815">
        <f t="shared" si="1323"/>
        <v>1</v>
      </c>
      <c r="ID156" s="815"/>
      <c r="IE156" s="284">
        <f t="shared" si="1324"/>
        <v>0</v>
      </c>
      <c r="IF156" s="284"/>
      <c r="IG156" s="284">
        <f t="shared" si="1325"/>
        <v>65374.991970853742</v>
      </c>
      <c r="IH156" s="284"/>
      <c r="II156" s="1288">
        <f t="shared" si="1326"/>
        <v>2.086006082281036</v>
      </c>
      <c r="IJ156" s="1288">
        <f t="shared" si="1327"/>
        <v>0</v>
      </c>
      <c r="IK156" s="284">
        <f t="shared" si="1328"/>
        <v>0</v>
      </c>
      <c r="IL156" s="284">
        <f t="shared" si="1329"/>
        <v>1</v>
      </c>
      <c r="IM156" s="284">
        <f t="shared" si="1330"/>
        <v>0</v>
      </c>
      <c r="IN156" s="284">
        <f t="shared" si="1331"/>
        <v>0</v>
      </c>
      <c r="IO156" s="753">
        <f t="shared" si="1332"/>
        <v>-9809.236462585035</v>
      </c>
      <c r="IP156" s="113">
        <f t="shared" si="1333"/>
        <v>-9941.423435508892</v>
      </c>
      <c r="IQ156" s="30">
        <f t="shared" si="1334"/>
        <v>-0.35378731087220255</v>
      </c>
      <c r="IR156" s="438">
        <f t="shared" si="1335"/>
        <v>5350897</v>
      </c>
      <c r="IS156" s="438">
        <f t="shared" si="1336"/>
        <v>931734</v>
      </c>
      <c r="IT156" s="438">
        <f t="shared" si="1337"/>
        <v>7082002</v>
      </c>
      <c r="IU156" s="438">
        <f t="shared" si="1338"/>
        <v>1083667</v>
      </c>
      <c r="IV156" s="438">
        <f t="shared" si="1339"/>
        <v>4650119</v>
      </c>
      <c r="IW156" s="438">
        <f t="shared" si="1340"/>
        <v>676631.8</v>
      </c>
      <c r="IX156" s="285">
        <f t="shared" si="1341"/>
        <v>0.8516968448409592</v>
      </c>
      <c r="IY156" s="285">
        <f t="shared" si="1342"/>
        <v>0.14830315515904086</v>
      </c>
      <c r="IZ156" s="285">
        <f t="shared" si="1343"/>
        <v>1.1272350707848353</v>
      </c>
      <c r="JA156" s="285">
        <f t="shared" si="1344"/>
        <v>0.17248617657156692</v>
      </c>
      <c r="JB156" s="285">
        <f t="shared" si="1345"/>
        <v>0.74015472180365205</v>
      </c>
      <c r="JC156" s="285">
        <f t="shared" si="1346"/>
        <v>0.10769879688939236</v>
      </c>
      <c r="JD156" s="60">
        <f t="shared" si="1347"/>
        <v>20378879</v>
      </c>
      <c r="JE156" s="60">
        <f t="shared" si="1348"/>
        <v>7721280</v>
      </c>
      <c r="JF156" s="60">
        <f t="shared" si="1349"/>
        <v>0</v>
      </c>
      <c r="JG156" s="60">
        <f t="shared" si="1350"/>
        <v>1333723</v>
      </c>
      <c r="JH156" s="284">
        <f t="shared" si="1351"/>
        <v>0</v>
      </c>
      <c r="JI156" s="284">
        <f t="shared" si="1352"/>
        <v>1</v>
      </c>
      <c r="JJ156" s="560">
        <f t="shared" si="1353"/>
        <v>0.80425772373300219</v>
      </c>
      <c r="JK156" s="561">
        <f t="shared" si="1354"/>
        <v>0.50548245582293061</v>
      </c>
      <c r="JL156" s="561">
        <f t="shared" si="1355"/>
        <v>0.1346150539317793</v>
      </c>
      <c r="JM156" s="561">
        <f t="shared" si="1356"/>
        <v>2.8800110329411686E-2</v>
      </c>
      <c r="JN156" s="561">
        <f t="shared" si="1357"/>
        <v>0.29938979544419891</v>
      </c>
      <c r="JO156" s="561">
        <f t="shared" si="1358"/>
        <v>1.8169035473951264E-2</v>
      </c>
      <c r="JP156" s="561">
        <f t="shared" si="1359"/>
        <v>2.0440555716092362E-2</v>
      </c>
      <c r="JQ156" s="561">
        <f t="shared" si="1360"/>
        <v>1.006897006718364</v>
      </c>
      <c r="JR156" s="61">
        <f t="shared" si="1361"/>
        <v>0</v>
      </c>
      <c r="JS156" s="61">
        <f t="shared" si="1362"/>
        <v>0</v>
      </c>
      <c r="JT156" s="61">
        <f t="shared" si="1363"/>
        <v>0</v>
      </c>
      <c r="JU156" s="61">
        <f t="shared" si="1364"/>
        <v>0</v>
      </c>
      <c r="JV156" s="61">
        <f t="shared" si="1365"/>
        <v>0</v>
      </c>
      <c r="JW156" s="61">
        <f t="shared" si="1366"/>
        <v>0</v>
      </c>
      <c r="JX156" s="61">
        <f t="shared" si="1367"/>
        <v>0</v>
      </c>
      <c r="JY156" s="394">
        <f t="shared" si="1368"/>
        <v>0</v>
      </c>
      <c r="JZ156" s="61">
        <f t="shared" si="1369"/>
        <v>46609.472222222219</v>
      </c>
      <c r="KA156" s="61">
        <f t="shared" si="1370"/>
        <v>9275.8611111111113</v>
      </c>
      <c r="KB156" s="61">
        <f t="shared" si="1371"/>
        <v>24115.75</v>
      </c>
      <c r="KC156" s="61">
        <f t="shared" si="1372"/>
        <v>6791.2222222222226</v>
      </c>
      <c r="KD156" s="61">
        <f t="shared" si="1373"/>
        <v>0</v>
      </c>
      <c r="KE156" s="61">
        <f t="shared" si="1374"/>
        <v>10414.138888888889</v>
      </c>
      <c r="KF156" s="61">
        <f t="shared" si="1375"/>
        <v>20000</v>
      </c>
      <c r="KG156" s="61">
        <f t="shared" si="1376"/>
        <v>290</v>
      </c>
      <c r="KH156" s="61">
        <f t="shared" si="1377"/>
        <v>87.274160161608094</v>
      </c>
      <c r="KI156" s="394">
        <f t="shared" si="1378"/>
        <v>0.10061021373796704</v>
      </c>
      <c r="KJ156" s="438">
        <f t="shared" si="1379"/>
        <v>36</v>
      </c>
      <c r="KK156" s="438">
        <f t="shared" si="1380"/>
        <v>40097</v>
      </c>
      <c r="KL156" s="438">
        <f t="shared" si="1381"/>
        <v>290</v>
      </c>
      <c r="KM156" s="438">
        <f t="shared" si="1382"/>
        <v>97206.444444444438</v>
      </c>
      <c r="KN156" s="438">
        <f t="shared" si="1383"/>
        <v>87.274160161608094</v>
      </c>
      <c r="KO156" s="438">
        <f t="shared" si="1384"/>
        <v>12067.006896551724</v>
      </c>
      <c r="KP156" s="438">
        <f t="shared" si="1385"/>
        <v>1677941</v>
      </c>
      <c r="KQ156" s="438">
        <f t="shared" si="1386"/>
        <v>333931</v>
      </c>
      <c r="KR156" s="438">
        <f t="shared" si="1387"/>
        <v>868167</v>
      </c>
      <c r="KS156" s="438">
        <f t="shared" si="1388"/>
        <v>244484</v>
      </c>
      <c r="KT156" s="438">
        <f t="shared" si="1389"/>
        <v>0</v>
      </c>
      <c r="KU156" s="438">
        <f t="shared" si="1390"/>
        <v>374909</v>
      </c>
      <c r="KV156" s="420">
        <f t="shared" si="1391"/>
        <v>0.10061021373796704</v>
      </c>
      <c r="KW156" s="420">
        <f t="shared" si="1392"/>
        <v>-0.15332163265702692</v>
      </c>
      <c r="KX156" s="108"/>
      <c r="KY156" s="282">
        <f t="shared" si="1393"/>
        <v>0</v>
      </c>
      <c r="KZ156" s="282"/>
      <c r="LA156" s="282">
        <f t="shared" si="1394"/>
        <v>0</v>
      </c>
      <c r="LB156" s="282"/>
      <c r="LC156" s="286">
        <f t="shared" si="1321"/>
        <v>0</v>
      </c>
      <c r="LD156" s="286"/>
      <c r="LE156" s="282">
        <f t="shared" si="1395"/>
        <v>0</v>
      </c>
      <c r="LF156" s="282"/>
      <c r="LG156" s="282">
        <f t="shared" si="1396"/>
        <v>0</v>
      </c>
      <c r="LH156" s="282">
        <f t="shared" si="1397"/>
        <v>0</v>
      </c>
      <c r="LI156" s="282">
        <f t="shared" si="1398"/>
        <v>0</v>
      </c>
      <c r="LJ156" s="282">
        <f t="shared" si="1399"/>
        <v>0</v>
      </c>
      <c r="LK156" s="282"/>
      <c r="LL156" s="282">
        <f t="shared" si="1400"/>
        <v>0</v>
      </c>
      <c r="LM156" s="282">
        <f t="shared" si="1401"/>
        <v>0</v>
      </c>
      <c r="LN156" s="282">
        <f t="shared" si="1402"/>
        <v>0</v>
      </c>
      <c r="LO156" s="282">
        <f t="shared" si="1403"/>
        <v>0</v>
      </c>
      <c r="LP156" s="286">
        <f t="shared" si="1404"/>
        <v>0</v>
      </c>
      <c r="LQ156" s="282">
        <f t="shared" si="1405"/>
        <v>0</v>
      </c>
      <c r="LR156" s="282">
        <f t="shared" si="1406"/>
        <v>0</v>
      </c>
      <c r="LS156" s="282">
        <f t="shared" si="1407"/>
        <v>0</v>
      </c>
      <c r="LT156" s="286">
        <f t="shared" si="1408"/>
        <v>0</v>
      </c>
      <c r="LU156" s="286">
        <f t="shared" si="1409"/>
        <v>0</v>
      </c>
      <c r="LV156" s="286">
        <f t="shared" si="1410"/>
        <v>0</v>
      </c>
      <c r="LW156" s="286">
        <f t="shared" si="1411"/>
        <v>0</v>
      </c>
      <c r="LX156" s="286">
        <f t="shared" si="1412"/>
        <v>0</v>
      </c>
      <c r="LY156" s="286">
        <f t="shared" si="1413"/>
        <v>0</v>
      </c>
      <c r="LZ156" s="286">
        <f t="shared" si="1414"/>
        <v>0</v>
      </c>
      <c r="MA156" s="286">
        <f t="shared" si="1415"/>
        <v>0</v>
      </c>
      <c r="MB156" s="286">
        <f t="shared" si="1416"/>
        <v>0</v>
      </c>
      <c r="MC156" s="286">
        <f t="shared" si="1417"/>
        <v>0</v>
      </c>
      <c r="MD156" s="286">
        <f t="shared" si="1418"/>
        <v>0</v>
      </c>
      <c r="ME156" s="286">
        <f t="shared" si="1419"/>
        <v>0</v>
      </c>
      <c r="MF156" s="286">
        <f t="shared" si="1420"/>
        <v>0</v>
      </c>
      <c r="MG156" s="286">
        <f t="shared" si="1421"/>
        <v>0</v>
      </c>
      <c r="MH156" s="286">
        <f t="shared" si="1422"/>
        <v>0</v>
      </c>
      <c r="MI156" s="286">
        <f t="shared" si="1423"/>
        <v>0</v>
      </c>
      <c r="MJ156" s="286">
        <f t="shared" si="1424"/>
        <v>0</v>
      </c>
      <c r="MK156" s="286">
        <f t="shared" si="1425"/>
        <v>0</v>
      </c>
      <c r="ML156" s="282">
        <f t="shared" si="1426"/>
        <v>0</v>
      </c>
      <c r="MM156" s="1232">
        <f t="shared" si="1427"/>
        <v>0</v>
      </c>
      <c r="MN156" s="1232">
        <f t="shared" si="1428"/>
        <v>0</v>
      </c>
      <c r="MO156" s="1232">
        <f t="shared" si="1429"/>
        <v>0</v>
      </c>
      <c r="MP156" s="1232">
        <f t="shared" si="1430"/>
        <v>0</v>
      </c>
      <c r="MQ156" s="282">
        <f t="shared" si="1431"/>
        <v>0</v>
      </c>
      <c r="MR156" s="282">
        <f t="shared" si="1432"/>
        <v>0</v>
      </c>
      <c r="MS156" s="282">
        <f t="shared" si="1433"/>
        <v>0</v>
      </c>
      <c r="MT156" s="282">
        <f t="shared" si="1434"/>
        <v>0</v>
      </c>
      <c r="MU156" s="282">
        <f t="shared" si="1435"/>
        <v>0</v>
      </c>
      <c r="MV156" s="282">
        <f t="shared" si="1436"/>
        <v>0</v>
      </c>
      <c r="MW156" s="282">
        <f t="shared" si="1437"/>
        <v>0</v>
      </c>
      <c r="MX156" s="282">
        <f t="shared" si="1438"/>
        <v>0</v>
      </c>
      <c r="MY156" s="282">
        <f t="shared" si="1439"/>
        <v>0</v>
      </c>
      <c r="MZ156" s="282">
        <f t="shared" si="1440"/>
        <v>0</v>
      </c>
      <c r="NA156" s="282">
        <f t="shared" si="1441"/>
        <v>0</v>
      </c>
      <c r="NB156" s="282">
        <f t="shared" si="1442"/>
        <v>0</v>
      </c>
      <c r="NC156" s="282">
        <f t="shared" si="1443"/>
        <v>0</v>
      </c>
      <c r="ND156" s="282">
        <f t="shared" si="1444"/>
        <v>0</v>
      </c>
      <c r="NE156" s="282">
        <f t="shared" si="1445"/>
        <v>0</v>
      </c>
      <c r="NF156" s="282">
        <f t="shared" si="1446"/>
        <v>0</v>
      </c>
      <c r="NG156" s="282">
        <f t="shared" si="1447"/>
        <v>0</v>
      </c>
      <c r="NH156" s="282">
        <f t="shared" si="1448"/>
        <v>0</v>
      </c>
      <c r="NI156" s="282">
        <f t="shared" si="1449"/>
        <v>0</v>
      </c>
      <c r="NJ156" s="282">
        <f t="shared" si="1450"/>
        <v>0</v>
      </c>
      <c r="NK156" s="282">
        <f t="shared" si="1451"/>
        <v>0</v>
      </c>
      <c r="NL156" s="282">
        <f t="shared" si="1452"/>
        <v>0</v>
      </c>
      <c r="NM156" s="1205">
        <f t="shared" si="1453"/>
        <v>0</v>
      </c>
      <c r="NN156" s="282">
        <f t="shared" si="1454"/>
        <v>0</v>
      </c>
      <c r="NO156" s="282">
        <f t="shared" si="1455"/>
        <v>0</v>
      </c>
      <c r="NP156" s="282">
        <f t="shared" si="1456"/>
        <v>0</v>
      </c>
      <c r="NQ156" s="282">
        <f t="shared" si="1457"/>
        <v>0</v>
      </c>
      <c r="NR156" s="282">
        <f t="shared" si="1458"/>
        <v>0</v>
      </c>
      <c r="NS156" s="282">
        <f t="shared" si="1459"/>
        <v>0</v>
      </c>
      <c r="NT156" s="282">
        <f t="shared" si="1460"/>
        <v>0</v>
      </c>
      <c r="NU156" s="282">
        <f t="shared" si="1461"/>
        <v>0</v>
      </c>
      <c r="NV156" s="286">
        <f t="shared" si="1462"/>
        <v>0</v>
      </c>
      <c r="NW156" s="286">
        <f t="shared" si="1463"/>
        <v>0</v>
      </c>
      <c r="NX156" s="286">
        <f t="shared" si="1464"/>
        <v>0</v>
      </c>
      <c r="NY156" s="286">
        <f t="shared" si="1465"/>
        <v>0</v>
      </c>
      <c r="NZ156" s="286">
        <f t="shared" si="1466"/>
        <v>0</v>
      </c>
      <c r="OA156" s="286">
        <f t="shared" si="1467"/>
        <v>0</v>
      </c>
      <c r="OB156" s="286">
        <f t="shared" si="1468"/>
        <v>0</v>
      </c>
      <c r="OC156" s="286">
        <f t="shared" si="1469"/>
        <v>0</v>
      </c>
      <c r="OD156" s="286">
        <f t="shared" si="1470"/>
        <v>0</v>
      </c>
      <c r="OE156" s="282">
        <f t="shared" si="1471"/>
        <v>0</v>
      </c>
      <c r="OF156" s="282">
        <f t="shared" si="1472"/>
        <v>0</v>
      </c>
      <c r="OG156" s="286">
        <f t="shared" si="1473"/>
        <v>0</v>
      </c>
      <c r="OH156" s="286">
        <f t="shared" si="1474"/>
        <v>0</v>
      </c>
      <c r="OI156" s="286">
        <f t="shared" si="1475"/>
        <v>0</v>
      </c>
      <c r="OJ156" s="286">
        <f t="shared" si="1476"/>
        <v>0</v>
      </c>
      <c r="OK156" s="286">
        <f t="shared" si="1477"/>
        <v>0</v>
      </c>
      <c r="OL156" s="286">
        <f t="shared" si="1478"/>
        <v>0</v>
      </c>
      <c r="OM156" s="286">
        <f t="shared" si="1479"/>
        <v>0</v>
      </c>
      <c r="ON156" s="286">
        <f t="shared" si="1480"/>
        <v>0</v>
      </c>
      <c r="OO156" s="286">
        <f t="shared" si="1481"/>
        <v>0</v>
      </c>
      <c r="OP156" s="434">
        <f t="shared" si="1482"/>
        <v>0</v>
      </c>
      <c r="OQ156" s="434">
        <f t="shared" si="1483"/>
        <v>0</v>
      </c>
      <c r="OR156" s="282">
        <f t="shared" si="1484"/>
        <v>0</v>
      </c>
      <c r="OS156" s="282">
        <f t="shared" si="1485"/>
        <v>0</v>
      </c>
      <c r="OT156" s="282">
        <f t="shared" si="1486"/>
        <v>0</v>
      </c>
      <c r="OU156" s="282">
        <f t="shared" si="1487"/>
        <v>0</v>
      </c>
      <c r="OV156" s="282">
        <f t="shared" si="1488"/>
        <v>0</v>
      </c>
      <c r="OW156" s="286">
        <f t="shared" si="1489"/>
        <v>0</v>
      </c>
      <c r="OX156" s="286">
        <f t="shared" si="1490"/>
        <v>0</v>
      </c>
      <c r="OY156" s="286">
        <f t="shared" si="1491"/>
        <v>0</v>
      </c>
      <c r="OZ156" s="286">
        <f t="shared" si="1492"/>
        <v>0</v>
      </c>
      <c r="PA156" s="286">
        <f t="shared" si="1493"/>
        <v>0</v>
      </c>
      <c r="PB156" s="286">
        <f t="shared" si="1494"/>
        <v>0</v>
      </c>
      <c r="PC156" s="286">
        <f t="shared" si="1495"/>
        <v>0</v>
      </c>
      <c r="PD156" s="282">
        <f t="shared" si="1496"/>
        <v>0</v>
      </c>
      <c r="PE156" s="282">
        <f t="shared" si="1497"/>
        <v>0</v>
      </c>
      <c r="PF156" s="286">
        <f t="shared" si="1498"/>
        <v>0</v>
      </c>
      <c r="PG156" s="286">
        <f t="shared" si="1499"/>
        <v>0</v>
      </c>
      <c r="PH156" s="286">
        <f t="shared" si="1500"/>
        <v>0</v>
      </c>
      <c r="PI156" s="286">
        <f t="shared" si="1501"/>
        <v>0</v>
      </c>
      <c r="PJ156" s="286">
        <f t="shared" si="1502"/>
        <v>0</v>
      </c>
      <c r="PK156" s="286">
        <f t="shared" si="1503"/>
        <v>0</v>
      </c>
      <c r="PL156" s="286">
        <f t="shared" si="1504"/>
        <v>0</v>
      </c>
      <c r="PM156" s="562">
        <v>100</v>
      </c>
    </row>
    <row r="157" spans="1:429" s="289" customFormat="1" ht="15.75" customHeight="1">
      <c r="A157" s="1935" t="s">
        <v>1012</v>
      </c>
      <c r="B157" s="1040" t="str">
        <f>VLOOKUP(A157,'Area (&amp;golfacre for lookup)'!$A$2:$B$162,2,FALSE)</f>
        <v>BOCA</v>
      </c>
      <c r="C157" s="1936"/>
      <c r="D157" s="1937">
        <v>44865</v>
      </c>
      <c r="E157" s="402"/>
      <c r="F157" s="1936">
        <v>1</v>
      </c>
      <c r="G157" s="1936">
        <v>1</v>
      </c>
      <c r="H157" s="1936">
        <v>258</v>
      </c>
      <c r="I157" s="1936">
        <v>182</v>
      </c>
      <c r="J157" s="1936">
        <v>440</v>
      </c>
      <c r="K157" s="1938">
        <v>389.79429400386846</v>
      </c>
      <c r="L157" s="1939" t="s">
        <v>1208</v>
      </c>
      <c r="M157" s="1939" t="s">
        <v>1208</v>
      </c>
      <c r="N157" s="1939" t="s">
        <v>1208</v>
      </c>
      <c r="O157" s="1939" t="s">
        <v>1208</v>
      </c>
      <c r="P157" s="1939" t="s">
        <v>1208</v>
      </c>
      <c r="Q157" s="1936">
        <v>800</v>
      </c>
      <c r="R157" s="1936">
        <v>94200</v>
      </c>
      <c r="S157" s="1936">
        <v>95000</v>
      </c>
      <c r="T157" s="1939" t="s">
        <v>1208</v>
      </c>
      <c r="U157" s="1939" t="s">
        <v>1208</v>
      </c>
      <c r="V157" s="1939" t="s">
        <v>1208</v>
      </c>
      <c r="W157" s="1936">
        <v>22851</v>
      </c>
      <c r="X157" s="1936">
        <v>20680</v>
      </c>
      <c r="Y157" s="1939" t="s">
        <v>1208</v>
      </c>
      <c r="Z157" s="1939" t="s">
        <v>1208</v>
      </c>
      <c r="AA157" s="1936">
        <v>2171</v>
      </c>
      <c r="AB157" s="1362">
        <v>0.10498065764023211</v>
      </c>
      <c r="AC157" s="1939" t="s">
        <v>1208</v>
      </c>
      <c r="AD157" s="1363" t="s">
        <v>1208</v>
      </c>
      <c r="AE157" s="1936">
        <v>0</v>
      </c>
      <c r="AF157" s="1936">
        <v>0</v>
      </c>
      <c r="AG157" s="1939" t="s">
        <v>1208</v>
      </c>
      <c r="AH157" s="1936">
        <v>0</v>
      </c>
      <c r="AI157" s="1936">
        <v>0</v>
      </c>
      <c r="AJ157" s="1939" t="s">
        <v>1208</v>
      </c>
      <c r="AK157" s="1938">
        <v>1</v>
      </c>
      <c r="AL157" s="1938">
        <v>4140</v>
      </c>
      <c r="AM157" s="1936">
        <v>24820</v>
      </c>
      <c r="AN157" s="1939" t="s">
        <v>1208</v>
      </c>
      <c r="AO157" s="1936">
        <v>2000</v>
      </c>
      <c r="AP157" s="1936">
        <v>1620</v>
      </c>
      <c r="AQ157" s="1936">
        <v>28440</v>
      </c>
      <c r="AR157" s="1939" t="s">
        <v>1208</v>
      </c>
      <c r="AS157" s="1363" t="s">
        <v>1208</v>
      </c>
      <c r="AT157" s="1363" t="s">
        <v>1208</v>
      </c>
      <c r="AU157" s="1363" t="s">
        <v>1208</v>
      </c>
      <c r="AV157" s="1363" t="s">
        <v>1208</v>
      </c>
      <c r="AW157" s="1363" t="s">
        <v>1291</v>
      </c>
      <c r="AX157" s="1938">
        <v>0</v>
      </c>
      <c r="AY157" s="1938">
        <v>0</v>
      </c>
      <c r="AZ157" s="1938">
        <v>0</v>
      </c>
      <c r="BA157" s="1938">
        <v>0</v>
      </c>
      <c r="BB157" s="1938">
        <v>0</v>
      </c>
      <c r="BC157" s="1938">
        <v>0</v>
      </c>
      <c r="BD157" s="1938">
        <v>0</v>
      </c>
      <c r="BE157" s="1936">
        <v>1</v>
      </c>
      <c r="BF157" s="1936">
        <v>6685000</v>
      </c>
      <c r="BG157" s="1936">
        <v>804000</v>
      </c>
      <c r="BH157" s="1936">
        <v>7489000</v>
      </c>
      <c r="BI157" s="1938">
        <v>14567288</v>
      </c>
      <c r="BJ157" s="1936">
        <v>1188341</v>
      </c>
      <c r="BK157" s="1936">
        <v>1447047</v>
      </c>
      <c r="BL157" s="1362">
        <v>0.82121797011430864</v>
      </c>
      <c r="BM157" s="1936">
        <v>1</v>
      </c>
      <c r="BN157" s="1936">
        <v>8681597</v>
      </c>
      <c r="BO157" s="1363" t="s">
        <v>1208</v>
      </c>
      <c r="BP157" s="1938">
        <v>8463032</v>
      </c>
      <c r="BQ157" s="1938">
        <v>4277396</v>
      </c>
      <c r="BR157" s="1940">
        <v>1.9785476958411146</v>
      </c>
      <c r="BS157" s="1409">
        <v>1</v>
      </c>
      <c r="BT157" s="1938">
        <v>12125502</v>
      </c>
      <c r="BU157" s="1938">
        <v>11920518</v>
      </c>
      <c r="BV157" s="1940">
        <v>1.0171958970239381</v>
      </c>
      <c r="BW157" s="1936">
        <v>22272.25265620189</v>
      </c>
      <c r="BX157" s="1936">
        <v>3048.636212176586</v>
      </c>
      <c r="BY157" s="1936">
        <v>19212.697864493821</v>
      </c>
      <c r="BZ157" s="1936">
        <v>422445</v>
      </c>
      <c r="CA157" s="1936">
        <v>167752</v>
      </c>
      <c r="CB157" s="1936">
        <v>296393</v>
      </c>
      <c r="CC157" s="1936">
        <v>0</v>
      </c>
      <c r="CD157" s="1936">
        <v>8060946</v>
      </c>
      <c r="CE157" s="1936">
        <v>0</v>
      </c>
      <c r="CF157" s="1936">
        <v>0</v>
      </c>
      <c r="CG157" s="1936">
        <v>1689092</v>
      </c>
      <c r="CH157" s="1936">
        <v>281931</v>
      </c>
      <c r="CI157" s="1936">
        <v>651194</v>
      </c>
      <c r="CJ157" s="1936">
        <v>11569753</v>
      </c>
      <c r="CK157" s="1366">
        <v>3.6512879747735323E-2</v>
      </c>
      <c r="CL157" s="1366">
        <v>1.4499185937677321E-2</v>
      </c>
      <c r="CM157" s="1366">
        <v>2.5617919414528557E-2</v>
      </c>
      <c r="CN157" s="1366">
        <v>0</v>
      </c>
      <c r="CO157" s="1366">
        <v>0.69672585058643866</v>
      </c>
      <c r="CP157" s="1366">
        <v>0</v>
      </c>
      <c r="CQ157" s="1366">
        <v>0</v>
      </c>
      <c r="CR157" s="1366">
        <v>0.14599205359008097</v>
      </c>
      <c r="CS157" s="1366">
        <v>2.4367935944699944E-2</v>
      </c>
      <c r="CT157" s="1366">
        <v>5.628417477883927E-2</v>
      </c>
      <c r="CU157" s="1366">
        <v>1</v>
      </c>
      <c r="CV157" s="1936">
        <v>6124082</v>
      </c>
      <c r="CW157" s="1936">
        <v>1157128</v>
      </c>
      <c r="CX157" s="1936">
        <v>223498</v>
      </c>
      <c r="CY157" s="1936">
        <v>3733910</v>
      </c>
      <c r="CZ157" s="1936">
        <v>221718</v>
      </c>
      <c r="DA157" s="1936">
        <v>400977</v>
      </c>
      <c r="DB157" s="1936">
        <v>11861313</v>
      </c>
      <c r="DC157" s="1366">
        <v>0.51630725873265459</v>
      </c>
      <c r="DD157" s="1366">
        <v>9.755479852862832E-2</v>
      </c>
      <c r="DE157" s="1366">
        <v>1.8842601995242854E-2</v>
      </c>
      <c r="DF157" s="1366">
        <v>0.31479735843746809</v>
      </c>
      <c r="DG157" s="1366">
        <v>1.8692534291945589E-2</v>
      </c>
      <c r="DH157" s="1366">
        <v>3.3805448014060498E-2</v>
      </c>
      <c r="DI157" s="1366">
        <v>1</v>
      </c>
      <c r="DJ157" s="1936">
        <v>-291560</v>
      </c>
      <c r="DK157" s="1936">
        <v>1083.7639403613423</v>
      </c>
      <c r="DL157" s="1936">
        <v>430.36032743551442</v>
      </c>
      <c r="DM157" s="1936">
        <v>760.38311632406419</v>
      </c>
      <c r="DN157" s="1936">
        <v>0</v>
      </c>
      <c r="DO157" s="1936">
        <v>20680</v>
      </c>
      <c r="DP157" s="1936">
        <v>0</v>
      </c>
      <c r="DQ157" s="1936">
        <v>0</v>
      </c>
      <c r="DR157" s="1936">
        <v>4333.2907279120836</v>
      </c>
      <c r="DS157" s="1936">
        <v>723.28149574504039</v>
      </c>
      <c r="DT157" s="1936">
        <v>1670.6093701657348</v>
      </c>
      <c r="DU157" s="1936">
        <v>29681.688977943781</v>
      </c>
      <c r="DV157" s="1936">
        <v>15711.061178179336</v>
      </c>
      <c r="DW157" s="1936">
        <v>2968.5606428823617</v>
      </c>
      <c r="DX157" s="1936">
        <v>573.37422183450929</v>
      </c>
      <c r="DY157" s="1936">
        <v>9579.1807562040485</v>
      </c>
      <c r="DZ157" s="1936">
        <v>568.80771065827764</v>
      </c>
      <c r="EA157" s="1936">
        <v>1028.6887370291279</v>
      </c>
      <c r="EB157" s="1936">
        <v>30429.673246787661</v>
      </c>
      <c r="EC157" s="1936">
        <v>-747.98426884388016</v>
      </c>
      <c r="ED157" s="1941">
        <v>102</v>
      </c>
      <c r="EE157" s="1936">
        <v>1</v>
      </c>
      <c r="EF157" s="1936">
        <v>12</v>
      </c>
      <c r="EG157" s="1938">
        <v>100000</v>
      </c>
      <c r="EH157" s="1938">
        <v>1</v>
      </c>
      <c r="EI157" s="1368">
        <v>0.08</v>
      </c>
      <c r="EJ157" s="1936">
        <v>3.821512686312436</v>
      </c>
      <c r="EK157" s="1936">
        <v>1</v>
      </c>
      <c r="EL157" s="1936">
        <v>2000</v>
      </c>
      <c r="EM157" s="1936">
        <v>0</v>
      </c>
      <c r="EN157" s="1362">
        <v>0</v>
      </c>
      <c r="EO157" s="1936">
        <v>1</v>
      </c>
      <c r="EP157" s="1936">
        <v>135</v>
      </c>
      <c r="EQ157" s="1936">
        <v>1</v>
      </c>
      <c r="ER157" s="1938">
        <v>0</v>
      </c>
      <c r="ES157" s="1936">
        <v>5056.5722236571246</v>
      </c>
      <c r="ET157" s="1936">
        <v>-5586.2269753450773</v>
      </c>
      <c r="EU157" s="1938">
        <v>1</v>
      </c>
      <c r="EV157" s="1936">
        <v>58420</v>
      </c>
      <c r="EW157" s="1936">
        <v>3038</v>
      </c>
      <c r="EX157" s="1938">
        <v>0</v>
      </c>
      <c r="EY157" s="1936">
        <v>1689092</v>
      </c>
      <c r="EZ157" s="1936">
        <v>1059458</v>
      </c>
      <c r="FA157" s="1936">
        <v>629634</v>
      </c>
      <c r="FB157" s="1936">
        <v>281931</v>
      </c>
      <c r="FC157" s="1936">
        <v>97670</v>
      </c>
      <c r="FD157" s="1936">
        <v>184261</v>
      </c>
      <c r="FE157" s="1936">
        <v>1971023</v>
      </c>
      <c r="FF157" s="1936">
        <v>1157128</v>
      </c>
      <c r="FG157" s="1936">
        <v>813895</v>
      </c>
      <c r="FH157" s="1366">
        <v>1</v>
      </c>
      <c r="FI157" s="1366">
        <v>0.62723522460588288</v>
      </c>
      <c r="FJ157" s="1366">
        <v>0.37276477539411706</v>
      </c>
      <c r="FK157" s="1366">
        <v>1</v>
      </c>
      <c r="FL157" s="1366">
        <v>0.34643228307635554</v>
      </c>
      <c r="FM157" s="1366">
        <v>0.65356771692364446</v>
      </c>
      <c r="FN157" s="1366">
        <v>1</v>
      </c>
      <c r="FO157" s="1366">
        <v>0.58706976022096136</v>
      </c>
      <c r="FP157" s="1366">
        <v>0.41293023977903859</v>
      </c>
      <c r="FQ157" s="1936">
        <v>2225207</v>
      </c>
      <c r="FR157" s="1936">
        <v>-394204.60000000003</v>
      </c>
      <c r="FS157" s="1936">
        <v>359909</v>
      </c>
      <c r="FT157" s="1936">
        <v>68868</v>
      </c>
      <c r="FU157" s="1936">
        <v>2976</v>
      </c>
      <c r="FV157" s="1936">
        <v>15421</v>
      </c>
      <c r="FW157" s="1936">
        <v>713198</v>
      </c>
      <c r="FX157" s="1936">
        <v>2991374.4</v>
      </c>
      <c r="FY157" s="1936">
        <v>-2177479.4</v>
      </c>
      <c r="FZ157" s="1366">
        <v>1.1289604433839686</v>
      </c>
      <c r="GA157" s="1366">
        <v>-0.2</v>
      </c>
      <c r="GB157" s="1366">
        <v>0.18260010157162043</v>
      </c>
      <c r="GC157" s="1366">
        <v>3.4940231544735904E-2</v>
      </c>
      <c r="GD157" s="1366">
        <v>1.5098758360506193E-3</v>
      </c>
      <c r="GE157" s="1366">
        <v>7.8238559367394492E-3</v>
      </c>
      <c r="GF157" s="1366">
        <v>0.3618415411692304</v>
      </c>
      <c r="GG157" s="1366">
        <v>1.5176760494423454</v>
      </c>
      <c r="GH157" s="1366">
        <v>-1.1047458096633067</v>
      </c>
      <c r="GI157" s="1942">
        <v>5.9911538638886821</v>
      </c>
      <c r="GJ157" s="1943">
        <v>1</v>
      </c>
      <c r="GK157" s="1371">
        <v>7.0000000000000007E-2</v>
      </c>
      <c r="GL157" s="1943">
        <v>1</v>
      </c>
      <c r="GM157" s="1371">
        <v>7.0000000000000007E-2</v>
      </c>
      <c r="GN157" s="1943">
        <v>18</v>
      </c>
      <c r="GO157" s="1985">
        <f>IF(GN157=0,0,VLOOKUP(A157,'Area (&amp;golfacre for lookup)'!$G$2:$H$133,2,FALSE))</f>
        <v>120</v>
      </c>
      <c r="GP157" s="1943">
        <v>31743</v>
      </c>
      <c r="GQ157" s="1943">
        <v>1239524</v>
      </c>
      <c r="GR157" s="1943">
        <v>222203</v>
      </c>
      <c r="GS157" s="1943">
        <v>592549</v>
      </c>
      <c r="GT157" s="1943">
        <v>177533</v>
      </c>
      <c r="GU157" s="1943">
        <v>0</v>
      </c>
      <c r="GV157" s="1943">
        <v>110377</v>
      </c>
      <c r="GW157" s="1943">
        <v>2342186</v>
      </c>
      <c r="GX157" s="1943">
        <v>130121.44444444444</v>
      </c>
      <c r="GY157" s="1985">
        <f t="shared" si="1319"/>
        <v>19518.216666666667</v>
      </c>
      <c r="GZ157" s="1366">
        <v>0.52921672318082336</v>
      </c>
      <c r="HA157" s="1366">
        <v>9.4869920663858465E-2</v>
      </c>
      <c r="HB157" s="1366">
        <v>0.2529897283990255</v>
      </c>
      <c r="HC157" s="1366">
        <v>7.5797993839942693E-2</v>
      </c>
      <c r="HD157" s="1366">
        <v>0</v>
      </c>
      <c r="HE157" s="1366">
        <v>4.712563391634994E-2</v>
      </c>
      <c r="HF157" s="1366">
        <v>1</v>
      </c>
      <c r="HG157" s="1936">
        <v>0</v>
      </c>
      <c r="HH157" s="1988">
        <f>IF(HG157=0,0,VLOOKUP(A157,'Area (&amp;golfacre for lookup)'!$G$2:$H$134,2,FALSE))</f>
        <v>0</v>
      </c>
      <c r="HI157" s="1936">
        <v>0</v>
      </c>
      <c r="HJ157" s="1936">
        <v>0</v>
      </c>
      <c r="HK157" s="1936">
        <v>0</v>
      </c>
      <c r="HL157" s="1936">
        <v>0</v>
      </c>
      <c r="HM157" s="1936">
        <v>0</v>
      </c>
      <c r="HN157" s="1936">
        <v>0</v>
      </c>
      <c r="HO157" s="1936">
        <v>0</v>
      </c>
      <c r="HP157" s="1936">
        <v>0</v>
      </c>
      <c r="HQ157" s="1936">
        <v>0</v>
      </c>
      <c r="HR157" s="1988">
        <f t="shared" si="1320"/>
        <v>0</v>
      </c>
      <c r="HS157" s="1936">
        <v>0</v>
      </c>
      <c r="HT157" s="1936">
        <v>0</v>
      </c>
      <c r="HU157" s="1936">
        <v>0</v>
      </c>
      <c r="HV157" s="1936">
        <v>0</v>
      </c>
      <c r="HW157" s="1936">
        <v>0</v>
      </c>
      <c r="HX157" s="1936">
        <v>0</v>
      </c>
      <c r="HY157" s="1936">
        <v>0</v>
      </c>
      <c r="HZ157" s="51"/>
      <c r="IA157" s="59">
        <f t="shared" si="1322"/>
        <v>0.01</v>
      </c>
      <c r="IB157" s="59"/>
      <c r="IC157" s="815">
        <f t="shared" si="1323"/>
        <v>1</v>
      </c>
      <c r="ID157" s="815"/>
      <c r="IE157" s="284">
        <f t="shared" si="1324"/>
        <v>0</v>
      </c>
      <c r="IF157" s="284"/>
      <c r="IG157" s="284">
        <f t="shared" si="1325"/>
        <v>37371.732280553675</v>
      </c>
      <c r="IH157" s="284"/>
      <c r="II157" s="1288">
        <f t="shared" si="1326"/>
        <v>1.9785476958411146</v>
      </c>
      <c r="IJ157" s="1288">
        <f t="shared" si="1327"/>
        <v>0</v>
      </c>
      <c r="IK157" s="284">
        <f t="shared" si="1328"/>
        <v>0</v>
      </c>
      <c r="IL157" s="284">
        <f t="shared" si="1329"/>
        <v>1</v>
      </c>
      <c r="IM157" s="284">
        <f t="shared" si="1330"/>
        <v>0</v>
      </c>
      <c r="IN157" s="284">
        <f t="shared" si="1331"/>
        <v>0</v>
      </c>
      <c r="IO157" s="753">
        <f t="shared" si="1332"/>
        <v>-4948.8168181818182</v>
      </c>
      <c r="IP157" s="113">
        <f t="shared" si="1333"/>
        <v>-5586.2269753450773</v>
      </c>
      <c r="IQ157" s="30">
        <f t="shared" si="1334"/>
        <v>-0.27012702975556468</v>
      </c>
      <c r="IR157" s="438">
        <f t="shared" si="1335"/>
        <v>1689092</v>
      </c>
      <c r="IS157" s="438">
        <f t="shared" si="1336"/>
        <v>281931</v>
      </c>
      <c r="IT157" s="438">
        <f t="shared" si="1337"/>
        <v>2225207</v>
      </c>
      <c r="IU157" s="438">
        <f t="shared" si="1338"/>
        <v>428777</v>
      </c>
      <c r="IV157" s="438">
        <f t="shared" si="1339"/>
        <v>1157128</v>
      </c>
      <c r="IW157" s="438">
        <f t="shared" si="1340"/>
        <v>337390.39999999997</v>
      </c>
      <c r="IX157" s="285">
        <f t="shared" si="1341"/>
        <v>0.85696209531801504</v>
      </c>
      <c r="IY157" s="285">
        <f t="shared" si="1342"/>
        <v>0.14303790468198493</v>
      </c>
      <c r="IZ157" s="285">
        <f t="shared" si="1343"/>
        <v>1.1289604433839686</v>
      </c>
      <c r="JA157" s="285">
        <f t="shared" si="1344"/>
        <v>0.21754033311635632</v>
      </c>
      <c r="JB157" s="285">
        <f t="shared" si="1345"/>
        <v>0.58706976022096136</v>
      </c>
      <c r="JC157" s="285">
        <f t="shared" si="1346"/>
        <v>0.17117527294202045</v>
      </c>
      <c r="JD157" s="60">
        <f t="shared" si="1347"/>
        <v>8060946</v>
      </c>
      <c r="JE157" s="60">
        <f t="shared" si="1348"/>
        <v>886590</v>
      </c>
      <c r="JF157" s="60">
        <f t="shared" si="1349"/>
        <v>0</v>
      </c>
      <c r="JG157" s="60">
        <f t="shared" si="1350"/>
        <v>622695</v>
      </c>
      <c r="JH157" s="284">
        <f t="shared" si="1351"/>
        <v>0</v>
      </c>
      <c r="JI157" s="284">
        <f t="shared" si="1352"/>
        <v>1</v>
      </c>
      <c r="JJ157" s="560">
        <f t="shared" si="1353"/>
        <v>0.75405964378376011</v>
      </c>
      <c r="JK157" s="561">
        <f t="shared" si="1354"/>
        <v>0.52931830091791932</v>
      </c>
      <c r="JL157" s="561">
        <f t="shared" si="1355"/>
        <v>0.10001319820742932</v>
      </c>
      <c r="JM157" s="561">
        <f t="shared" si="1356"/>
        <v>1.9317439188200475E-2</v>
      </c>
      <c r="JN157" s="561">
        <f t="shared" si="1357"/>
        <v>0.32273031239301303</v>
      </c>
      <c r="JO157" s="561">
        <f t="shared" si="1358"/>
        <v>1.9163589749928111E-2</v>
      </c>
      <c r="JP157" s="561">
        <f t="shared" si="1359"/>
        <v>3.4657351803448179E-2</v>
      </c>
      <c r="JQ157" s="561">
        <f t="shared" si="1360"/>
        <v>1.0252001922599385</v>
      </c>
      <c r="JR157" s="61">
        <f t="shared" si="1361"/>
        <v>68862.444444444438</v>
      </c>
      <c r="JS157" s="61">
        <f t="shared" si="1362"/>
        <v>12344.611111111111</v>
      </c>
      <c r="JT157" s="61">
        <f t="shared" si="1363"/>
        <v>32919.388888888891</v>
      </c>
      <c r="JU157" s="61">
        <f t="shared" si="1364"/>
        <v>9862.9444444444453</v>
      </c>
      <c r="JV157" s="61">
        <f t="shared" si="1365"/>
        <v>0</v>
      </c>
      <c r="JW157" s="61">
        <f t="shared" si="1366"/>
        <v>6132.0555555555557</v>
      </c>
      <c r="JX157" s="61">
        <f t="shared" si="1367"/>
        <v>73.785905553980399</v>
      </c>
      <c r="JY157" s="394">
        <f t="shared" si="1368"/>
        <v>0.197464311075848</v>
      </c>
      <c r="JZ157" s="61">
        <f t="shared" si="1369"/>
        <v>0</v>
      </c>
      <c r="KA157" s="61">
        <f t="shared" si="1370"/>
        <v>0</v>
      </c>
      <c r="KB157" s="61">
        <f t="shared" si="1371"/>
        <v>0</v>
      </c>
      <c r="KC157" s="61">
        <f t="shared" si="1372"/>
        <v>0</v>
      </c>
      <c r="KD157" s="61">
        <f t="shared" si="1373"/>
        <v>0</v>
      </c>
      <c r="KE157" s="61">
        <f t="shared" si="1374"/>
        <v>0</v>
      </c>
      <c r="KF157" s="61">
        <f t="shared" si="1375"/>
        <v>0</v>
      </c>
      <c r="KG157" s="61">
        <f t="shared" si="1376"/>
        <v>0</v>
      </c>
      <c r="KH157" s="61">
        <f t="shared" si="1377"/>
        <v>0</v>
      </c>
      <c r="KI157" s="394">
        <f t="shared" si="1378"/>
        <v>0</v>
      </c>
      <c r="KJ157" s="438">
        <f t="shared" si="1379"/>
        <v>18</v>
      </c>
      <c r="KK157" s="438">
        <f t="shared" si="1380"/>
        <v>31743</v>
      </c>
      <c r="KL157" s="438">
        <f t="shared" si="1381"/>
        <v>120</v>
      </c>
      <c r="KM157" s="438">
        <f t="shared" si="1382"/>
        <v>130121.44444444444</v>
      </c>
      <c r="KN157" s="438">
        <f t="shared" si="1383"/>
        <v>73.785905553980399</v>
      </c>
      <c r="KO157" s="438">
        <f t="shared" si="1384"/>
        <v>19518.216666666667</v>
      </c>
      <c r="KP157" s="438">
        <f t="shared" si="1385"/>
        <v>1239524</v>
      </c>
      <c r="KQ157" s="438">
        <f t="shared" si="1386"/>
        <v>222203</v>
      </c>
      <c r="KR157" s="438">
        <f t="shared" si="1387"/>
        <v>592549</v>
      </c>
      <c r="KS157" s="438">
        <f t="shared" si="1388"/>
        <v>177533</v>
      </c>
      <c r="KT157" s="438">
        <f t="shared" si="1389"/>
        <v>0</v>
      </c>
      <c r="KU157" s="438">
        <f t="shared" si="1390"/>
        <v>110377</v>
      </c>
      <c r="KV157" s="420">
        <f t="shared" si="1391"/>
        <v>0.197464311075848</v>
      </c>
      <c r="KW157" s="420">
        <f t="shared" si="1392"/>
        <v>-0.27686688386201819</v>
      </c>
      <c r="KX157" s="108"/>
      <c r="KY157" s="282">
        <f t="shared" si="1393"/>
        <v>0</v>
      </c>
      <c r="KZ157" s="282"/>
      <c r="LA157" s="282">
        <f t="shared" si="1394"/>
        <v>0</v>
      </c>
      <c r="LB157" s="282"/>
      <c r="LC157" s="286">
        <f t="shared" si="1321"/>
        <v>0</v>
      </c>
      <c r="LD157" s="286"/>
      <c r="LE157" s="282">
        <f t="shared" si="1395"/>
        <v>0</v>
      </c>
      <c r="LF157" s="282"/>
      <c r="LG157" s="282">
        <f t="shared" si="1396"/>
        <v>0</v>
      </c>
      <c r="LH157" s="282">
        <f t="shared" si="1397"/>
        <v>0</v>
      </c>
      <c r="LI157" s="282">
        <f t="shared" si="1398"/>
        <v>0</v>
      </c>
      <c r="LJ157" s="282">
        <f t="shared" si="1399"/>
        <v>0</v>
      </c>
      <c r="LK157" s="282"/>
      <c r="LL157" s="282">
        <f t="shared" si="1400"/>
        <v>0</v>
      </c>
      <c r="LM157" s="282">
        <f t="shared" si="1401"/>
        <v>0</v>
      </c>
      <c r="LN157" s="282">
        <f t="shared" si="1402"/>
        <v>0</v>
      </c>
      <c r="LO157" s="282">
        <f t="shared" si="1403"/>
        <v>0</v>
      </c>
      <c r="LP157" s="286">
        <f t="shared" si="1404"/>
        <v>0</v>
      </c>
      <c r="LQ157" s="282">
        <f t="shared" si="1405"/>
        <v>0</v>
      </c>
      <c r="LR157" s="282">
        <f t="shared" si="1406"/>
        <v>0</v>
      </c>
      <c r="LS157" s="282">
        <f t="shared" si="1407"/>
        <v>0</v>
      </c>
      <c r="LT157" s="286">
        <f t="shared" si="1408"/>
        <v>0</v>
      </c>
      <c r="LU157" s="286">
        <f t="shared" si="1409"/>
        <v>0</v>
      </c>
      <c r="LV157" s="286">
        <f t="shared" si="1410"/>
        <v>0</v>
      </c>
      <c r="LW157" s="286">
        <f t="shared" si="1411"/>
        <v>0</v>
      </c>
      <c r="LX157" s="286">
        <f t="shared" si="1412"/>
        <v>0</v>
      </c>
      <c r="LY157" s="286">
        <f t="shared" si="1413"/>
        <v>0</v>
      </c>
      <c r="LZ157" s="286">
        <f t="shared" si="1414"/>
        <v>0</v>
      </c>
      <c r="MA157" s="286">
        <f t="shared" si="1415"/>
        <v>0</v>
      </c>
      <c r="MB157" s="286">
        <f t="shared" si="1416"/>
        <v>0</v>
      </c>
      <c r="MC157" s="286">
        <f t="shared" si="1417"/>
        <v>0</v>
      </c>
      <c r="MD157" s="286">
        <f t="shared" si="1418"/>
        <v>0</v>
      </c>
      <c r="ME157" s="286">
        <f t="shared" si="1419"/>
        <v>0</v>
      </c>
      <c r="MF157" s="286">
        <f t="shared" si="1420"/>
        <v>0</v>
      </c>
      <c r="MG157" s="286">
        <f t="shared" si="1421"/>
        <v>0</v>
      </c>
      <c r="MH157" s="286">
        <f t="shared" si="1422"/>
        <v>0</v>
      </c>
      <c r="MI157" s="286">
        <f t="shared" si="1423"/>
        <v>0</v>
      </c>
      <c r="MJ157" s="286">
        <f t="shared" si="1424"/>
        <v>0</v>
      </c>
      <c r="MK157" s="286">
        <f t="shared" si="1425"/>
        <v>0</v>
      </c>
      <c r="ML157" s="282">
        <f t="shared" si="1426"/>
        <v>0</v>
      </c>
      <c r="MM157" s="1232">
        <f t="shared" si="1427"/>
        <v>0</v>
      </c>
      <c r="MN157" s="1232">
        <f t="shared" si="1428"/>
        <v>0</v>
      </c>
      <c r="MO157" s="1232">
        <f t="shared" si="1429"/>
        <v>0</v>
      </c>
      <c r="MP157" s="1232">
        <f t="shared" si="1430"/>
        <v>0</v>
      </c>
      <c r="MQ157" s="282">
        <f t="shared" si="1431"/>
        <v>0</v>
      </c>
      <c r="MR157" s="282">
        <f t="shared" si="1432"/>
        <v>0</v>
      </c>
      <c r="MS157" s="282">
        <f t="shared" si="1433"/>
        <v>0</v>
      </c>
      <c r="MT157" s="282">
        <f t="shared" si="1434"/>
        <v>0</v>
      </c>
      <c r="MU157" s="282">
        <f t="shared" si="1435"/>
        <v>0</v>
      </c>
      <c r="MV157" s="282">
        <f t="shared" si="1436"/>
        <v>0</v>
      </c>
      <c r="MW157" s="282">
        <f t="shared" si="1437"/>
        <v>0</v>
      </c>
      <c r="MX157" s="282">
        <f t="shared" si="1438"/>
        <v>0</v>
      </c>
      <c r="MY157" s="282">
        <f t="shared" si="1439"/>
        <v>0</v>
      </c>
      <c r="MZ157" s="282">
        <f t="shared" si="1440"/>
        <v>0</v>
      </c>
      <c r="NA157" s="282">
        <f t="shared" si="1441"/>
        <v>0</v>
      </c>
      <c r="NB157" s="282">
        <f t="shared" si="1442"/>
        <v>0</v>
      </c>
      <c r="NC157" s="282">
        <f t="shared" si="1443"/>
        <v>0</v>
      </c>
      <c r="ND157" s="282">
        <f t="shared" si="1444"/>
        <v>0</v>
      </c>
      <c r="NE157" s="282">
        <f t="shared" si="1445"/>
        <v>0</v>
      </c>
      <c r="NF157" s="282">
        <f t="shared" si="1446"/>
        <v>0</v>
      </c>
      <c r="NG157" s="282">
        <f t="shared" si="1447"/>
        <v>0</v>
      </c>
      <c r="NH157" s="282">
        <f t="shared" si="1448"/>
        <v>0</v>
      </c>
      <c r="NI157" s="282">
        <f t="shared" si="1449"/>
        <v>0</v>
      </c>
      <c r="NJ157" s="282">
        <f t="shared" si="1450"/>
        <v>0</v>
      </c>
      <c r="NK157" s="282">
        <f t="shared" si="1451"/>
        <v>0</v>
      </c>
      <c r="NL157" s="282">
        <f t="shared" si="1452"/>
        <v>0</v>
      </c>
      <c r="NM157" s="1205">
        <f t="shared" si="1453"/>
        <v>0</v>
      </c>
      <c r="NN157" s="282">
        <f t="shared" si="1454"/>
        <v>0</v>
      </c>
      <c r="NO157" s="282">
        <f t="shared" si="1455"/>
        <v>0</v>
      </c>
      <c r="NP157" s="282">
        <f t="shared" si="1456"/>
        <v>0</v>
      </c>
      <c r="NQ157" s="282">
        <f t="shared" si="1457"/>
        <v>0</v>
      </c>
      <c r="NR157" s="282">
        <f t="shared" si="1458"/>
        <v>0</v>
      </c>
      <c r="NS157" s="282">
        <f t="shared" si="1459"/>
        <v>0</v>
      </c>
      <c r="NT157" s="282">
        <f t="shared" si="1460"/>
        <v>0</v>
      </c>
      <c r="NU157" s="282">
        <f t="shared" si="1461"/>
        <v>0</v>
      </c>
      <c r="NV157" s="286">
        <f t="shared" si="1462"/>
        <v>0</v>
      </c>
      <c r="NW157" s="286">
        <f t="shared" si="1463"/>
        <v>0</v>
      </c>
      <c r="NX157" s="286">
        <f t="shared" si="1464"/>
        <v>0</v>
      </c>
      <c r="NY157" s="286">
        <f t="shared" si="1465"/>
        <v>0</v>
      </c>
      <c r="NZ157" s="286">
        <f t="shared" si="1466"/>
        <v>0</v>
      </c>
      <c r="OA157" s="286">
        <f t="shared" si="1467"/>
        <v>0</v>
      </c>
      <c r="OB157" s="286">
        <f t="shared" si="1468"/>
        <v>0</v>
      </c>
      <c r="OC157" s="286">
        <f t="shared" si="1469"/>
        <v>0</v>
      </c>
      <c r="OD157" s="286">
        <f t="shared" si="1470"/>
        <v>0</v>
      </c>
      <c r="OE157" s="282">
        <f t="shared" si="1471"/>
        <v>0</v>
      </c>
      <c r="OF157" s="282">
        <f t="shared" si="1472"/>
        <v>0</v>
      </c>
      <c r="OG157" s="286">
        <f t="shared" si="1473"/>
        <v>0</v>
      </c>
      <c r="OH157" s="286">
        <f t="shared" si="1474"/>
        <v>0</v>
      </c>
      <c r="OI157" s="286">
        <f t="shared" si="1475"/>
        <v>0</v>
      </c>
      <c r="OJ157" s="286">
        <f t="shared" si="1476"/>
        <v>0</v>
      </c>
      <c r="OK157" s="286">
        <f t="shared" si="1477"/>
        <v>0</v>
      </c>
      <c r="OL157" s="286">
        <f t="shared" si="1478"/>
        <v>0</v>
      </c>
      <c r="OM157" s="286">
        <f t="shared" si="1479"/>
        <v>0</v>
      </c>
      <c r="ON157" s="286">
        <f t="shared" si="1480"/>
        <v>0</v>
      </c>
      <c r="OO157" s="286">
        <f t="shared" si="1481"/>
        <v>0</v>
      </c>
      <c r="OP157" s="434">
        <f t="shared" si="1482"/>
        <v>0</v>
      </c>
      <c r="OQ157" s="434">
        <f t="shared" si="1483"/>
        <v>0</v>
      </c>
      <c r="OR157" s="282">
        <f t="shared" si="1484"/>
        <v>0</v>
      </c>
      <c r="OS157" s="282">
        <f t="shared" si="1485"/>
        <v>0</v>
      </c>
      <c r="OT157" s="282">
        <f t="shared" si="1486"/>
        <v>0</v>
      </c>
      <c r="OU157" s="282">
        <f t="shared" si="1487"/>
        <v>0</v>
      </c>
      <c r="OV157" s="282">
        <f t="shared" si="1488"/>
        <v>0</v>
      </c>
      <c r="OW157" s="286">
        <f t="shared" si="1489"/>
        <v>0</v>
      </c>
      <c r="OX157" s="286">
        <f t="shared" si="1490"/>
        <v>0</v>
      </c>
      <c r="OY157" s="286">
        <f t="shared" si="1491"/>
        <v>0</v>
      </c>
      <c r="OZ157" s="286">
        <f t="shared" si="1492"/>
        <v>0</v>
      </c>
      <c r="PA157" s="286">
        <f t="shared" si="1493"/>
        <v>0</v>
      </c>
      <c r="PB157" s="286">
        <f t="shared" si="1494"/>
        <v>0</v>
      </c>
      <c r="PC157" s="286">
        <f t="shared" si="1495"/>
        <v>0</v>
      </c>
      <c r="PD157" s="282">
        <f t="shared" si="1496"/>
        <v>0</v>
      </c>
      <c r="PE157" s="282">
        <f t="shared" si="1497"/>
        <v>0</v>
      </c>
      <c r="PF157" s="286">
        <f t="shared" si="1498"/>
        <v>0</v>
      </c>
      <c r="PG157" s="286">
        <f t="shared" si="1499"/>
        <v>0</v>
      </c>
      <c r="PH157" s="286">
        <f t="shared" si="1500"/>
        <v>0</v>
      </c>
      <c r="PI157" s="286">
        <f t="shared" si="1501"/>
        <v>0</v>
      </c>
      <c r="PJ157" s="286">
        <f t="shared" si="1502"/>
        <v>0</v>
      </c>
      <c r="PK157" s="286">
        <f t="shared" si="1503"/>
        <v>0</v>
      </c>
      <c r="PL157" s="286">
        <f t="shared" si="1504"/>
        <v>0</v>
      </c>
      <c r="PM157" s="562">
        <v>101</v>
      </c>
    </row>
    <row r="158" spans="1:429" s="289" customFormat="1" ht="15.75" customHeight="1">
      <c r="A158" s="1935" t="s">
        <v>265</v>
      </c>
      <c r="B158" s="1040" t="str">
        <f>VLOOKUP(A158,'Area (&amp;golfacre for lookup)'!$A$2:$B$162,2,FALSE)</f>
        <v>SW CIRA</v>
      </c>
      <c r="C158" s="1936"/>
      <c r="D158" s="1937">
        <v>44834</v>
      </c>
      <c r="E158" s="402"/>
      <c r="F158" s="1936">
        <v>0</v>
      </c>
      <c r="G158" s="1936">
        <v>1</v>
      </c>
      <c r="H158" s="1936">
        <v>799</v>
      </c>
      <c r="I158" s="1936">
        <v>19</v>
      </c>
      <c r="J158" s="1936">
        <v>818</v>
      </c>
      <c r="K158" s="1938">
        <v>650.06431735027923</v>
      </c>
      <c r="L158" s="1939" t="s">
        <v>1208</v>
      </c>
      <c r="M158" s="1939" t="s">
        <v>1208</v>
      </c>
      <c r="N158" s="1939" t="s">
        <v>1208</v>
      </c>
      <c r="O158" s="1939" t="s">
        <v>1208</v>
      </c>
      <c r="P158" s="1939" t="s">
        <v>1208</v>
      </c>
      <c r="Q158" s="1936">
        <v>0</v>
      </c>
      <c r="R158" s="1936">
        <v>4989</v>
      </c>
      <c r="S158" s="1936">
        <v>4989</v>
      </c>
      <c r="T158" s="1939" t="s">
        <v>1208</v>
      </c>
      <c r="U158" s="1939" t="s">
        <v>1208</v>
      </c>
      <c r="V158" s="1939" t="s">
        <v>1208</v>
      </c>
      <c r="W158" s="1936">
        <v>11684</v>
      </c>
      <c r="X158" s="1936">
        <v>10386</v>
      </c>
      <c r="Y158" s="1939" t="s">
        <v>1208</v>
      </c>
      <c r="Z158" s="1939" t="s">
        <v>1208</v>
      </c>
      <c r="AA158" s="1936">
        <v>1298</v>
      </c>
      <c r="AB158" s="1362">
        <v>0.12497592913537454</v>
      </c>
      <c r="AC158" s="1939" t="s">
        <v>1208</v>
      </c>
      <c r="AD158" s="1363" t="s">
        <v>1208</v>
      </c>
      <c r="AE158" s="1936">
        <v>1</v>
      </c>
      <c r="AF158" s="1936">
        <v>1374</v>
      </c>
      <c r="AG158" s="1939" t="s">
        <v>1208</v>
      </c>
      <c r="AH158" s="1936">
        <v>0</v>
      </c>
      <c r="AI158" s="1936">
        <v>0</v>
      </c>
      <c r="AJ158" s="1939" t="s">
        <v>1208</v>
      </c>
      <c r="AK158" s="1938">
        <v>1</v>
      </c>
      <c r="AL158" s="1938">
        <v>885.48</v>
      </c>
      <c r="AM158" s="1936">
        <v>12645.48</v>
      </c>
      <c r="AN158" s="1939" t="s">
        <v>1208</v>
      </c>
      <c r="AO158" s="1936">
        <v>1</v>
      </c>
      <c r="AP158" s="1936">
        <v>580</v>
      </c>
      <c r="AQ158" s="1936">
        <v>13226.48</v>
      </c>
      <c r="AR158" s="1939" t="s">
        <v>1208</v>
      </c>
      <c r="AS158" s="1363" t="s">
        <v>1208</v>
      </c>
      <c r="AT158" s="1363" t="s">
        <v>1208</v>
      </c>
      <c r="AU158" s="1363" t="s">
        <v>1208</v>
      </c>
      <c r="AV158" s="1363" t="s">
        <v>1208</v>
      </c>
      <c r="AW158" s="1363" t="s">
        <v>1291</v>
      </c>
      <c r="AX158" s="1938">
        <v>0</v>
      </c>
      <c r="AY158" s="1938">
        <v>0</v>
      </c>
      <c r="AZ158" s="1938">
        <v>0</v>
      </c>
      <c r="BA158" s="1938">
        <v>0</v>
      </c>
      <c r="BB158" s="1938">
        <v>0</v>
      </c>
      <c r="BC158" s="1938">
        <v>0</v>
      </c>
      <c r="BD158" s="1938">
        <v>0</v>
      </c>
      <c r="BE158" s="1936">
        <v>1</v>
      </c>
      <c r="BF158" s="1979">
        <v>16000000</v>
      </c>
      <c r="BG158" s="1936">
        <v>1098625</v>
      </c>
      <c r="BH158" s="1936">
        <v>17098625</v>
      </c>
      <c r="BI158" s="1938">
        <v>6962733</v>
      </c>
      <c r="BJ158" s="1936">
        <v>590502</v>
      </c>
      <c r="BK158" s="1936">
        <v>1098098</v>
      </c>
      <c r="BL158" s="1362">
        <v>0.53774981832222624</v>
      </c>
      <c r="BM158" s="1936">
        <v>1</v>
      </c>
      <c r="BN158" s="1936">
        <v>372421</v>
      </c>
      <c r="BO158" s="1363" t="s">
        <v>1208</v>
      </c>
      <c r="BP158" s="1938">
        <v>5608261</v>
      </c>
      <c r="BQ158" s="1938">
        <v>2803375</v>
      </c>
      <c r="BR158" s="1940">
        <v>2.0005389931778659</v>
      </c>
      <c r="BS158" s="1409">
        <v>1</v>
      </c>
      <c r="BT158" s="1938">
        <v>3000397</v>
      </c>
      <c r="BU158" s="1938">
        <v>10380627</v>
      </c>
      <c r="BV158" s="1940">
        <v>0.28903812842904381</v>
      </c>
      <c r="BW158" s="1936">
        <v>572.89869642133499</v>
      </c>
      <c r="BX158" s="1936">
        <v>908.37473191412721</v>
      </c>
      <c r="BY158" s="1936">
        <v>26302.974249833522</v>
      </c>
      <c r="BZ158" s="1936">
        <v>1407437</v>
      </c>
      <c r="CA158" s="1936">
        <v>8340</v>
      </c>
      <c r="CB158" s="1936">
        <v>396630</v>
      </c>
      <c r="CC158" s="1936">
        <v>1800</v>
      </c>
      <c r="CD158" s="1936">
        <v>6751568</v>
      </c>
      <c r="CE158" s="1936">
        <v>0</v>
      </c>
      <c r="CF158" s="1936">
        <v>0</v>
      </c>
      <c r="CG158" s="1936">
        <v>1219282</v>
      </c>
      <c r="CH158" s="1936">
        <v>525212</v>
      </c>
      <c r="CI158" s="1936">
        <v>139639</v>
      </c>
      <c r="CJ158" s="1936">
        <v>10449908</v>
      </c>
      <c r="CK158" s="1366">
        <v>0.1346841522432542</v>
      </c>
      <c r="CL158" s="1366">
        <v>7.9809315067654182E-4</v>
      </c>
      <c r="CM158" s="1366">
        <v>3.7955358075879714E-2</v>
      </c>
      <c r="CN158" s="1366">
        <v>1.7225032028990111E-4</v>
      </c>
      <c r="CO158" s="1366">
        <v>0.64608875025502621</v>
      </c>
      <c r="CP158" s="1366">
        <v>0</v>
      </c>
      <c r="CQ158" s="1366">
        <v>0</v>
      </c>
      <c r="CR158" s="1366">
        <v>0.11667873056872845</v>
      </c>
      <c r="CS158" s="1366">
        <v>5.0259964011166412E-2</v>
      </c>
      <c r="CT158" s="1366">
        <v>1.3362701374978612E-2</v>
      </c>
      <c r="CU158" s="1366">
        <v>1</v>
      </c>
      <c r="CV158" s="1936">
        <v>5207241</v>
      </c>
      <c r="CW158" s="1936">
        <v>750248</v>
      </c>
      <c r="CX158" s="1936">
        <v>300716</v>
      </c>
      <c r="CY158" s="1936">
        <v>4045143</v>
      </c>
      <c r="CZ158" s="1936">
        <v>0</v>
      </c>
      <c r="DA158" s="1936">
        <v>245660</v>
      </c>
      <c r="DB158" s="1936">
        <v>10549008</v>
      </c>
      <c r="DC158" s="1366">
        <v>0.49362376064175895</v>
      </c>
      <c r="DD158" s="1366">
        <v>7.112024182747799E-2</v>
      </c>
      <c r="DE158" s="1366">
        <v>2.8506566683805717E-2</v>
      </c>
      <c r="DF158" s="1366">
        <v>0.38346193310309368</v>
      </c>
      <c r="DG158" s="1366">
        <v>0</v>
      </c>
      <c r="DH158" s="1366">
        <v>2.328749774386369E-2</v>
      </c>
      <c r="DI158" s="1366">
        <v>1</v>
      </c>
      <c r="DJ158" s="1936">
        <v>-99100</v>
      </c>
      <c r="DK158" s="1936">
        <v>2165.0734587876477</v>
      </c>
      <c r="DL158" s="1936">
        <v>12.829499754723644</v>
      </c>
      <c r="DM158" s="1936">
        <v>610.13962682446504</v>
      </c>
      <c r="DN158" s="1936">
        <v>2.7689567815950311</v>
      </c>
      <c r="DO158" s="1936">
        <v>10386</v>
      </c>
      <c r="DP158" s="1936">
        <v>0</v>
      </c>
      <c r="DQ158" s="1936">
        <v>0</v>
      </c>
      <c r="DR158" s="1936">
        <v>1875.6328680981958</v>
      </c>
      <c r="DS158" s="1936">
        <v>807.93851620838302</v>
      </c>
      <c r="DT158" s="1936">
        <v>214.80797556952695</v>
      </c>
      <c r="DU158" s="1936">
        <v>16075.190902024537</v>
      </c>
      <c r="DV158" s="1936">
        <v>8010.3473779720507</v>
      </c>
      <c r="DW158" s="1936">
        <v>1154.1134930433939</v>
      </c>
      <c r="DX158" s="1936">
        <v>462.59422640785073</v>
      </c>
      <c r="DY158" s="1936">
        <v>6222.6811902064828</v>
      </c>
      <c r="DZ158" s="1936">
        <v>0</v>
      </c>
      <c r="EA158" s="1936">
        <v>377.90106831479739</v>
      </c>
      <c r="EB158" s="1936">
        <v>16227.637355944575</v>
      </c>
      <c r="EC158" s="1936">
        <v>-152.44645392003753</v>
      </c>
      <c r="ED158" s="1941">
        <v>124</v>
      </c>
      <c r="EE158" s="1936">
        <v>1</v>
      </c>
      <c r="EF158" s="1936">
        <v>22</v>
      </c>
      <c r="EG158" s="1938">
        <v>109000</v>
      </c>
      <c r="EH158" s="1938">
        <v>0</v>
      </c>
      <c r="EI158" s="1368">
        <v>0</v>
      </c>
      <c r="EJ158" s="1936">
        <v>5.2424541721796709</v>
      </c>
      <c r="EK158" s="1936">
        <v>1</v>
      </c>
      <c r="EL158" s="1936">
        <v>1</v>
      </c>
      <c r="EM158" s="1936">
        <v>0</v>
      </c>
      <c r="EN158" s="1362">
        <v>0</v>
      </c>
      <c r="EO158" s="1936">
        <v>1</v>
      </c>
      <c r="EP158" s="1936">
        <v>48.333333333333336</v>
      </c>
      <c r="EQ158" s="1936">
        <v>1</v>
      </c>
      <c r="ER158" s="1938">
        <v>0</v>
      </c>
      <c r="ES158" s="1936">
        <v>2683.5713843065787</v>
      </c>
      <c r="ET158" s="1936">
        <v>-1540.1371422460677</v>
      </c>
      <c r="EU158" s="1938">
        <v>2</v>
      </c>
      <c r="EV158" s="1936">
        <v>64260</v>
      </c>
      <c r="EW158" s="1936">
        <v>14758</v>
      </c>
      <c r="EX158" s="1938">
        <v>0</v>
      </c>
      <c r="EY158" s="1936">
        <v>1219282</v>
      </c>
      <c r="EZ158" s="1936">
        <v>566169</v>
      </c>
      <c r="FA158" s="1936">
        <v>653113</v>
      </c>
      <c r="FB158" s="1936">
        <v>525212</v>
      </c>
      <c r="FC158" s="1936">
        <v>184079</v>
      </c>
      <c r="FD158" s="1936">
        <v>341133</v>
      </c>
      <c r="FE158" s="1936">
        <v>1744494</v>
      </c>
      <c r="FF158" s="1936">
        <v>750248</v>
      </c>
      <c r="FG158" s="1936">
        <v>994246</v>
      </c>
      <c r="FH158" s="1366">
        <v>1</v>
      </c>
      <c r="FI158" s="1366">
        <v>0.46434622999437375</v>
      </c>
      <c r="FJ158" s="1366">
        <v>0.53565377000562631</v>
      </c>
      <c r="FK158" s="1366">
        <v>1</v>
      </c>
      <c r="FL158" s="1366">
        <v>0.35048513743021864</v>
      </c>
      <c r="FM158" s="1366">
        <v>0.6495148625697813</v>
      </c>
      <c r="FN158" s="1366">
        <v>1</v>
      </c>
      <c r="FO158" s="1366">
        <v>0.4300662541688306</v>
      </c>
      <c r="FP158" s="1366">
        <v>0.5699337458311694</v>
      </c>
      <c r="FQ158" s="1936">
        <v>1697304</v>
      </c>
      <c r="FR158" s="1936">
        <v>-348898.80000000005</v>
      </c>
      <c r="FS158" s="1936">
        <v>282209</v>
      </c>
      <c r="FT158" s="1936">
        <v>39539</v>
      </c>
      <c r="FU158" s="1936">
        <v>99932</v>
      </c>
      <c r="FV158" s="1936">
        <v>0</v>
      </c>
      <c r="FW158" s="1936">
        <v>225349</v>
      </c>
      <c r="FX158" s="1936">
        <v>1995434.2</v>
      </c>
      <c r="FY158" s="1936">
        <v>-1001188.2</v>
      </c>
      <c r="FZ158" s="1366">
        <v>0.97294917609346898</v>
      </c>
      <c r="GA158" s="1366">
        <v>-0.20000000000000004</v>
      </c>
      <c r="GB158" s="1366">
        <v>0.16177126433223615</v>
      </c>
      <c r="GC158" s="1366">
        <v>2.2665024929865048E-2</v>
      </c>
      <c r="GD158" s="1366">
        <v>5.7284232562565422E-2</v>
      </c>
      <c r="GE158" s="1366">
        <v>0</v>
      </c>
      <c r="GF158" s="1366">
        <v>0.12917728579175394</v>
      </c>
      <c r="GG158" s="1366">
        <v>1.1438469837098895</v>
      </c>
      <c r="GH158" s="1366">
        <v>-0.57391323787872006</v>
      </c>
      <c r="GI158" s="1942">
        <v>2.3215044591517331</v>
      </c>
      <c r="GJ158" s="1943">
        <v>0</v>
      </c>
      <c r="GK158" s="1371">
        <v>0</v>
      </c>
      <c r="GL158" s="1943">
        <v>0</v>
      </c>
      <c r="GM158" s="1371">
        <v>0</v>
      </c>
      <c r="GN158" s="1943">
        <v>18</v>
      </c>
      <c r="GO158" s="1985">
        <f>IF(GN158=0,0,VLOOKUP(A158,'Area (&amp;golfacre for lookup)'!$G$2:$H$133,2,FALSE))</f>
        <v>62</v>
      </c>
      <c r="GP158" s="1943">
        <v>47971</v>
      </c>
      <c r="GQ158" s="1943">
        <v>861072</v>
      </c>
      <c r="GR158" s="1943">
        <v>157266</v>
      </c>
      <c r="GS158" s="1943">
        <v>380277</v>
      </c>
      <c r="GT158" s="1943">
        <v>64741</v>
      </c>
      <c r="GU158" s="1943">
        <v>0</v>
      </c>
      <c r="GV158" s="1943">
        <v>176633</v>
      </c>
      <c r="GW158" s="1943">
        <v>1639989</v>
      </c>
      <c r="GX158" s="1943">
        <v>91110.5</v>
      </c>
      <c r="GY158" s="1985">
        <f t="shared" si="1319"/>
        <v>26451.435483870966</v>
      </c>
      <c r="GZ158" s="1366">
        <v>0.5250474240985763</v>
      </c>
      <c r="HA158" s="1366">
        <v>9.5894545634147552E-2</v>
      </c>
      <c r="HB158" s="1366">
        <v>0.23187777478995286</v>
      </c>
      <c r="HC158" s="1366">
        <v>3.9476484293492216E-2</v>
      </c>
      <c r="HD158" s="1366">
        <v>0</v>
      </c>
      <c r="HE158" s="1366">
        <v>0.10770377118383111</v>
      </c>
      <c r="HF158" s="1366">
        <v>1</v>
      </c>
      <c r="HG158" s="1936">
        <v>0</v>
      </c>
      <c r="HH158" s="1988">
        <f>IF(HG158=0,0,VLOOKUP(A158,'Area (&amp;golfacre for lookup)'!$G$2:$H$134,2,FALSE))</f>
        <v>0</v>
      </c>
      <c r="HI158" s="1936">
        <v>0</v>
      </c>
      <c r="HJ158" s="1936">
        <v>0</v>
      </c>
      <c r="HK158" s="1936">
        <v>0</v>
      </c>
      <c r="HL158" s="1936">
        <v>0</v>
      </c>
      <c r="HM158" s="1936">
        <v>0</v>
      </c>
      <c r="HN158" s="1936">
        <v>0</v>
      </c>
      <c r="HO158" s="1936">
        <v>0</v>
      </c>
      <c r="HP158" s="1936">
        <v>0</v>
      </c>
      <c r="HQ158" s="1936">
        <v>0</v>
      </c>
      <c r="HR158" s="1988">
        <f t="shared" si="1320"/>
        <v>0</v>
      </c>
      <c r="HS158" s="1936">
        <v>0</v>
      </c>
      <c r="HT158" s="1936">
        <v>0</v>
      </c>
      <c r="HU158" s="1936">
        <v>0</v>
      </c>
      <c r="HV158" s="1936">
        <v>0</v>
      </c>
      <c r="HW158" s="1936">
        <v>0</v>
      </c>
      <c r="HX158" s="1936">
        <v>0</v>
      </c>
      <c r="HY158" s="1936">
        <v>0</v>
      </c>
      <c r="HZ158" s="51"/>
      <c r="IA158" s="59">
        <f t="shared" si="1322"/>
        <v>0</v>
      </c>
      <c r="IB158" s="59"/>
      <c r="IC158" s="815">
        <f t="shared" si="1323"/>
        <v>1</v>
      </c>
      <c r="ID158" s="815"/>
      <c r="IE158" s="284">
        <f t="shared" si="1324"/>
        <v>0</v>
      </c>
      <c r="IF158" s="284"/>
      <c r="IG158" s="284">
        <f t="shared" si="1325"/>
        <v>10710.837088214175</v>
      </c>
      <c r="IH158" s="284"/>
      <c r="II158" s="1288">
        <f t="shared" si="1326"/>
        <v>2.0005389931778659</v>
      </c>
      <c r="IJ158" s="1288">
        <f t="shared" si="1327"/>
        <v>0</v>
      </c>
      <c r="IK158" s="284">
        <f t="shared" si="1328"/>
        <v>0</v>
      </c>
      <c r="IL158" s="284">
        <f t="shared" si="1329"/>
        <v>1</v>
      </c>
      <c r="IM158" s="284">
        <f t="shared" si="1330"/>
        <v>0</v>
      </c>
      <c r="IN158" s="284">
        <f t="shared" si="1331"/>
        <v>0</v>
      </c>
      <c r="IO158" s="753">
        <f t="shared" si="1332"/>
        <v>-1223.9464547677262</v>
      </c>
      <c r="IP158" s="113">
        <f t="shared" si="1333"/>
        <v>-1540.1371422460677</v>
      </c>
      <c r="IQ158" s="30">
        <f t="shared" si="1334"/>
        <v>-0.14828973062257536</v>
      </c>
      <c r="IR158" s="438">
        <f t="shared" si="1335"/>
        <v>1219282</v>
      </c>
      <c r="IS158" s="438">
        <f t="shared" si="1336"/>
        <v>525212</v>
      </c>
      <c r="IT158" s="438">
        <f t="shared" si="1337"/>
        <v>1697304</v>
      </c>
      <c r="IU158" s="438">
        <f t="shared" si="1338"/>
        <v>321748</v>
      </c>
      <c r="IV158" s="438">
        <f t="shared" si="1339"/>
        <v>750248</v>
      </c>
      <c r="IW158" s="438">
        <f t="shared" si="1340"/>
        <v>-23617.800000000047</v>
      </c>
      <c r="IX158" s="285">
        <f t="shared" si="1341"/>
        <v>0.6989316099682773</v>
      </c>
      <c r="IY158" s="285">
        <f t="shared" si="1342"/>
        <v>0.30106839003172264</v>
      </c>
      <c r="IZ158" s="285">
        <f t="shared" si="1343"/>
        <v>0.97294917609346898</v>
      </c>
      <c r="JA158" s="285">
        <f t="shared" si="1344"/>
        <v>0.18443628926210121</v>
      </c>
      <c r="JB158" s="285">
        <f t="shared" si="1345"/>
        <v>0.4300662541688306</v>
      </c>
      <c r="JC158" s="285">
        <f t="shared" si="1346"/>
        <v>-1.3538481645680665E-2</v>
      </c>
      <c r="JD158" s="60">
        <f t="shared" si="1347"/>
        <v>6751568</v>
      </c>
      <c r="JE158" s="60">
        <f t="shared" si="1348"/>
        <v>1814207</v>
      </c>
      <c r="JF158" s="60">
        <f t="shared" si="1349"/>
        <v>0</v>
      </c>
      <c r="JG158" s="60">
        <f t="shared" si="1350"/>
        <v>245660</v>
      </c>
      <c r="JH158" s="284">
        <f t="shared" si="1351"/>
        <v>0</v>
      </c>
      <c r="JI158" s="284">
        <f t="shared" si="1352"/>
        <v>1</v>
      </c>
      <c r="JJ158" s="560">
        <f t="shared" si="1353"/>
        <v>0.75817764667322185</v>
      </c>
      <c r="JK158" s="561">
        <f t="shared" si="1354"/>
        <v>0.49830496115372497</v>
      </c>
      <c r="JL158" s="561">
        <f t="shared" si="1355"/>
        <v>7.1794699053809849E-2</v>
      </c>
      <c r="JM158" s="561">
        <f t="shared" si="1356"/>
        <v>2.8776904064609948E-2</v>
      </c>
      <c r="JN158" s="561">
        <f t="shared" si="1357"/>
        <v>0.38709843187136195</v>
      </c>
      <c r="JO158" s="561">
        <f t="shared" si="1358"/>
        <v>0</v>
      </c>
      <c r="JP158" s="561">
        <f t="shared" si="1359"/>
        <v>2.3508340934676172E-2</v>
      </c>
      <c r="JQ158" s="561">
        <f t="shared" si="1360"/>
        <v>1.0094833370781828</v>
      </c>
      <c r="JR158" s="61">
        <f t="shared" si="1361"/>
        <v>47837.333333333336</v>
      </c>
      <c r="JS158" s="61">
        <f t="shared" si="1362"/>
        <v>8737</v>
      </c>
      <c r="JT158" s="61">
        <f t="shared" si="1363"/>
        <v>21126.5</v>
      </c>
      <c r="JU158" s="61">
        <f t="shared" si="1364"/>
        <v>3596.7222222222222</v>
      </c>
      <c r="JV158" s="61">
        <f t="shared" si="1365"/>
        <v>0</v>
      </c>
      <c r="JW158" s="61">
        <f t="shared" si="1366"/>
        <v>9812.9444444444453</v>
      </c>
      <c r="JX158" s="61">
        <f t="shared" si="1367"/>
        <v>34.187092201538427</v>
      </c>
      <c r="JY158" s="394">
        <f t="shared" si="1368"/>
        <v>0.15546381233192733</v>
      </c>
      <c r="JZ158" s="61">
        <f t="shared" si="1369"/>
        <v>0</v>
      </c>
      <c r="KA158" s="61">
        <f t="shared" si="1370"/>
        <v>0</v>
      </c>
      <c r="KB158" s="61">
        <f t="shared" si="1371"/>
        <v>0</v>
      </c>
      <c r="KC158" s="61">
        <f t="shared" si="1372"/>
        <v>0</v>
      </c>
      <c r="KD158" s="61">
        <f t="shared" si="1373"/>
        <v>0</v>
      </c>
      <c r="KE158" s="61">
        <f t="shared" si="1374"/>
        <v>0</v>
      </c>
      <c r="KF158" s="61">
        <f t="shared" si="1375"/>
        <v>0</v>
      </c>
      <c r="KG158" s="61">
        <f t="shared" si="1376"/>
        <v>0</v>
      </c>
      <c r="KH158" s="61">
        <f t="shared" si="1377"/>
        <v>0</v>
      </c>
      <c r="KI158" s="394">
        <f t="shared" si="1378"/>
        <v>0</v>
      </c>
      <c r="KJ158" s="438">
        <f t="shared" si="1379"/>
        <v>18</v>
      </c>
      <c r="KK158" s="438">
        <f t="shared" si="1380"/>
        <v>47971</v>
      </c>
      <c r="KL158" s="438">
        <f t="shared" si="1381"/>
        <v>62</v>
      </c>
      <c r="KM158" s="438">
        <f t="shared" si="1382"/>
        <v>91110.5</v>
      </c>
      <c r="KN158" s="438">
        <f t="shared" si="1383"/>
        <v>34.187092201538427</v>
      </c>
      <c r="KO158" s="438">
        <f t="shared" si="1384"/>
        <v>26451.435483870966</v>
      </c>
      <c r="KP158" s="438">
        <f t="shared" si="1385"/>
        <v>861072</v>
      </c>
      <c r="KQ158" s="438">
        <f t="shared" si="1386"/>
        <v>157266</v>
      </c>
      <c r="KR158" s="438">
        <f t="shared" si="1387"/>
        <v>380277</v>
      </c>
      <c r="KS158" s="438">
        <f t="shared" si="1388"/>
        <v>64741</v>
      </c>
      <c r="KT158" s="438">
        <f t="shared" si="1389"/>
        <v>0</v>
      </c>
      <c r="KU158" s="438">
        <f t="shared" si="1390"/>
        <v>176633</v>
      </c>
      <c r="KV158" s="420">
        <f t="shared" si="1391"/>
        <v>0.15546381233192733</v>
      </c>
      <c r="KW158" s="420">
        <f t="shared" si="1392"/>
        <v>-0.21674313285447172</v>
      </c>
      <c r="KX158" s="108"/>
      <c r="KY158" s="282">
        <f t="shared" si="1393"/>
        <v>0</v>
      </c>
      <c r="KZ158" s="282"/>
      <c r="LA158" s="282">
        <f t="shared" si="1394"/>
        <v>0</v>
      </c>
      <c r="LB158" s="282"/>
      <c r="LC158" s="286">
        <f t="shared" si="1321"/>
        <v>0</v>
      </c>
      <c r="LD158" s="286"/>
      <c r="LE158" s="282">
        <f t="shared" si="1395"/>
        <v>0</v>
      </c>
      <c r="LF158" s="282"/>
      <c r="LG158" s="282">
        <f t="shared" si="1396"/>
        <v>0</v>
      </c>
      <c r="LH158" s="282">
        <f t="shared" si="1397"/>
        <v>0</v>
      </c>
      <c r="LI158" s="282">
        <f t="shared" si="1398"/>
        <v>0</v>
      </c>
      <c r="LJ158" s="282">
        <f t="shared" si="1399"/>
        <v>0</v>
      </c>
      <c r="LK158" s="282"/>
      <c r="LL158" s="282">
        <f t="shared" si="1400"/>
        <v>0</v>
      </c>
      <c r="LM158" s="282">
        <f t="shared" si="1401"/>
        <v>0</v>
      </c>
      <c r="LN158" s="282">
        <f t="shared" si="1402"/>
        <v>0</v>
      </c>
      <c r="LO158" s="282">
        <f t="shared" si="1403"/>
        <v>0</v>
      </c>
      <c r="LP158" s="286">
        <f t="shared" si="1404"/>
        <v>0</v>
      </c>
      <c r="LQ158" s="282">
        <f t="shared" si="1405"/>
        <v>0</v>
      </c>
      <c r="LR158" s="282">
        <f t="shared" si="1406"/>
        <v>0</v>
      </c>
      <c r="LS158" s="282">
        <f t="shared" si="1407"/>
        <v>0</v>
      </c>
      <c r="LT158" s="286">
        <f t="shared" si="1408"/>
        <v>0</v>
      </c>
      <c r="LU158" s="286">
        <f t="shared" si="1409"/>
        <v>0</v>
      </c>
      <c r="LV158" s="286">
        <f t="shared" si="1410"/>
        <v>0</v>
      </c>
      <c r="LW158" s="286">
        <f t="shared" si="1411"/>
        <v>0</v>
      </c>
      <c r="LX158" s="286">
        <f t="shared" si="1412"/>
        <v>0</v>
      </c>
      <c r="LY158" s="286">
        <f t="shared" si="1413"/>
        <v>0</v>
      </c>
      <c r="LZ158" s="286">
        <f t="shared" si="1414"/>
        <v>0</v>
      </c>
      <c r="MA158" s="286">
        <f t="shared" si="1415"/>
        <v>0</v>
      </c>
      <c r="MB158" s="286">
        <f t="shared" si="1416"/>
        <v>0</v>
      </c>
      <c r="MC158" s="286">
        <f t="shared" si="1417"/>
        <v>0</v>
      </c>
      <c r="MD158" s="286">
        <f t="shared" si="1418"/>
        <v>0</v>
      </c>
      <c r="ME158" s="286">
        <f t="shared" si="1419"/>
        <v>0</v>
      </c>
      <c r="MF158" s="286">
        <f t="shared" si="1420"/>
        <v>0</v>
      </c>
      <c r="MG158" s="286">
        <f t="shared" si="1421"/>
        <v>0</v>
      </c>
      <c r="MH158" s="286">
        <f t="shared" si="1422"/>
        <v>0</v>
      </c>
      <c r="MI158" s="286">
        <f t="shared" si="1423"/>
        <v>0</v>
      </c>
      <c r="MJ158" s="286">
        <f t="shared" si="1424"/>
        <v>0</v>
      </c>
      <c r="MK158" s="286">
        <f t="shared" si="1425"/>
        <v>0</v>
      </c>
      <c r="ML158" s="282">
        <f t="shared" si="1426"/>
        <v>0</v>
      </c>
      <c r="MM158" s="1232">
        <f t="shared" si="1427"/>
        <v>0</v>
      </c>
      <c r="MN158" s="1232">
        <f t="shared" si="1428"/>
        <v>0</v>
      </c>
      <c r="MO158" s="1232">
        <f t="shared" si="1429"/>
        <v>0</v>
      </c>
      <c r="MP158" s="1232">
        <f t="shared" si="1430"/>
        <v>0</v>
      </c>
      <c r="MQ158" s="282">
        <f t="shared" si="1431"/>
        <v>0</v>
      </c>
      <c r="MR158" s="282">
        <f t="shared" si="1432"/>
        <v>0</v>
      </c>
      <c r="MS158" s="282">
        <f t="shared" si="1433"/>
        <v>0</v>
      </c>
      <c r="MT158" s="282">
        <f t="shared" si="1434"/>
        <v>0</v>
      </c>
      <c r="MU158" s="282">
        <f t="shared" si="1435"/>
        <v>0</v>
      </c>
      <c r="MV158" s="282">
        <f t="shared" si="1436"/>
        <v>0</v>
      </c>
      <c r="MW158" s="282">
        <f t="shared" si="1437"/>
        <v>0</v>
      </c>
      <c r="MX158" s="282">
        <f t="shared" si="1438"/>
        <v>0</v>
      </c>
      <c r="MY158" s="282">
        <f t="shared" si="1439"/>
        <v>0</v>
      </c>
      <c r="MZ158" s="282">
        <f t="shared" si="1440"/>
        <v>0</v>
      </c>
      <c r="NA158" s="282">
        <f t="shared" si="1441"/>
        <v>0</v>
      </c>
      <c r="NB158" s="282">
        <f t="shared" si="1442"/>
        <v>0</v>
      </c>
      <c r="NC158" s="282">
        <f t="shared" si="1443"/>
        <v>0</v>
      </c>
      <c r="ND158" s="282">
        <f t="shared" si="1444"/>
        <v>0</v>
      </c>
      <c r="NE158" s="282">
        <f t="shared" si="1445"/>
        <v>0</v>
      </c>
      <c r="NF158" s="282">
        <f t="shared" si="1446"/>
        <v>0</v>
      </c>
      <c r="NG158" s="282">
        <f t="shared" si="1447"/>
        <v>0</v>
      </c>
      <c r="NH158" s="282">
        <f t="shared" si="1448"/>
        <v>0</v>
      </c>
      <c r="NI158" s="282">
        <f t="shared" si="1449"/>
        <v>0</v>
      </c>
      <c r="NJ158" s="282">
        <f t="shared" si="1450"/>
        <v>0</v>
      </c>
      <c r="NK158" s="282">
        <f t="shared" si="1451"/>
        <v>0</v>
      </c>
      <c r="NL158" s="282">
        <f t="shared" si="1452"/>
        <v>0</v>
      </c>
      <c r="NM158" s="1205">
        <f t="shared" si="1453"/>
        <v>0</v>
      </c>
      <c r="NN158" s="282">
        <f t="shared" si="1454"/>
        <v>0</v>
      </c>
      <c r="NO158" s="282">
        <f t="shared" si="1455"/>
        <v>0</v>
      </c>
      <c r="NP158" s="282">
        <f t="shared" si="1456"/>
        <v>0</v>
      </c>
      <c r="NQ158" s="282">
        <f t="shared" si="1457"/>
        <v>0</v>
      </c>
      <c r="NR158" s="282">
        <f t="shared" si="1458"/>
        <v>0</v>
      </c>
      <c r="NS158" s="282">
        <f t="shared" si="1459"/>
        <v>0</v>
      </c>
      <c r="NT158" s="282">
        <f t="shared" si="1460"/>
        <v>0</v>
      </c>
      <c r="NU158" s="282">
        <f t="shared" si="1461"/>
        <v>0</v>
      </c>
      <c r="NV158" s="286">
        <f t="shared" si="1462"/>
        <v>0</v>
      </c>
      <c r="NW158" s="286">
        <f t="shared" si="1463"/>
        <v>0</v>
      </c>
      <c r="NX158" s="286">
        <f t="shared" si="1464"/>
        <v>0</v>
      </c>
      <c r="NY158" s="286">
        <f t="shared" si="1465"/>
        <v>0</v>
      </c>
      <c r="NZ158" s="286">
        <f t="shared" si="1466"/>
        <v>0</v>
      </c>
      <c r="OA158" s="286">
        <f t="shared" si="1467"/>
        <v>0</v>
      </c>
      <c r="OB158" s="286">
        <f t="shared" si="1468"/>
        <v>0</v>
      </c>
      <c r="OC158" s="286">
        <f t="shared" si="1469"/>
        <v>0</v>
      </c>
      <c r="OD158" s="286">
        <f t="shared" si="1470"/>
        <v>0</v>
      </c>
      <c r="OE158" s="282">
        <f t="shared" si="1471"/>
        <v>0</v>
      </c>
      <c r="OF158" s="282">
        <f t="shared" si="1472"/>
        <v>0</v>
      </c>
      <c r="OG158" s="286">
        <f t="shared" si="1473"/>
        <v>0</v>
      </c>
      <c r="OH158" s="286">
        <f t="shared" si="1474"/>
        <v>0</v>
      </c>
      <c r="OI158" s="286">
        <f t="shared" si="1475"/>
        <v>0</v>
      </c>
      <c r="OJ158" s="286">
        <f t="shared" si="1476"/>
        <v>0</v>
      </c>
      <c r="OK158" s="286">
        <f t="shared" si="1477"/>
        <v>0</v>
      </c>
      <c r="OL158" s="286">
        <f t="shared" si="1478"/>
        <v>0</v>
      </c>
      <c r="OM158" s="286">
        <f t="shared" si="1479"/>
        <v>0</v>
      </c>
      <c r="ON158" s="286">
        <f t="shared" si="1480"/>
        <v>0</v>
      </c>
      <c r="OO158" s="286">
        <f t="shared" si="1481"/>
        <v>0</v>
      </c>
      <c r="OP158" s="434">
        <f t="shared" si="1482"/>
        <v>0</v>
      </c>
      <c r="OQ158" s="434">
        <f t="shared" si="1483"/>
        <v>0</v>
      </c>
      <c r="OR158" s="282">
        <f t="shared" si="1484"/>
        <v>0</v>
      </c>
      <c r="OS158" s="282">
        <f t="shared" si="1485"/>
        <v>0</v>
      </c>
      <c r="OT158" s="282">
        <f t="shared" si="1486"/>
        <v>0</v>
      </c>
      <c r="OU158" s="282">
        <f t="shared" si="1487"/>
        <v>0</v>
      </c>
      <c r="OV158" s="282">
        <f t="shared" si="1488"/>
        <v>0</v>
      </c>
      <c r="OW158" s="286">
        <f t="shared" si="1489"/>
        <v>0</v>
      </c>
      <c r="OX158" s="286">
        <f t="shared" si="1490"/>
        <v>0</v>
      </c>
      <c r="OY158" s="286">
        <f t="shared" si="1491"/>
        <v>0</v>
      </c>
      <c r="OZ158" s="286">
        <f t="shared" si="1492"/>
        <v>0</v>
      </c>
      <c r="PA158" s="286">
        <f t="shared" si="1493"/>
        <v>0</v>
      </c>
      <c r="PB158" s="286">
        <f t="shared" si="1494"/>
        <v>0</v>
      </c>
      <c r="PC158" s="286">
        <f t="shared" si="1495"/>
        <v>0</v>
      </c>
      <c r="PD158" s="282">
        <f t="shared" si="1496"/>
        <v>0</v>
      </c>
      <c r="PE158" s="282">
        <f t="shared" si="1497"/>
        <v>0</v>
      </c>
      <c r="PF158" s="286">
        <f t="shared" si="1498"/>
        <v>0</v>
      </c>
      <c r="PG158" s="286">
        <f t="shared" si="1499"/>
        <v>0</v>
      </c>
      <c r="PH158" s="286">
        <f t="shared" si="1500"/>
        <v>0</v>
      </c>
      <c r="PI158" s="286">
        <f t="shared" si="1501"/>
        <v>0</v>
      </c>
      <c r="PJ158" s="286">
        <f t="shared" si="1502"/>
        <v>0</v>
      </c>
      <c r="PK158" s="286">
        <f t="shared" si="1503"/>
        <v>0</v>
      </c>
      <c r="PL158" s="286">
        <f t="shared" si="1504"/>
        <v>0</v>
      </c>
      <c r="PM158" s="562">
        <v>102</v>
      </c>
    </row>
    <row r="159" spans="1:429" s="289" customFormat="1" ht="15.75" customHeight="1">
      <c r="A159" s="1935" t="s">
        <v>1310</v>
      </c>
      <c r="B159" s="1040" t="str">
        <f>VLOOKUP(A159,'Area (&amp;golfacre for lookup)'!$A$2:$B$162,2,FALSE)</f>
        <v>North&amp;Central</v>
      </c>
      <c r="C159" s="1409" t="s">
        <v>2247</v>
      </c>
      <c r="D159" s="1937">
        <v>44712</v>
      </c>
      <c r="E159" s="402"/>
      <c r="F159" s="1936">
        <v>0</v>
      </c>
      <c r="G159" s="1936">
        <v>1</v>
      </c>
      <c r="H159" s="1936">
        <v>894</v>
      </c>
      <c r="I159" s="1936">
        <v>46</v>
      </c>
      <c r="J159" s="1936">
        <v>940</v>
      </c>
      <c r="K159" s="1938">
        <v>926.41422393080245</v>
      </c>
      <c r="L159" s="1939" t="s">
        <v>1208</v>
      </c>
      <c r="M159" s="1939" t="s">
        <v>1208</v>
      </c>
      <c r="N159" s="1939" t="s">
        <v>1208</v>
      </c>
      <c r="O159" s="1939" t="s">
        <v>1208</v>
      </c>
      <c r="P159" s="1939" t="s">
        <v>1208</v>
      </c>
      <c r="Q159" s="1936">
        <v>0</v>
      </c>
      <c r="R159" s="1936">
        <v>0</v>
      </c>
      <c r="S159" s="1936">
        <v>0</v>
      </c>
      <c r="T159" s="1936">
        <v>0</v>
      </c>
      <c r="U159" s="1936">
        <v>0</v>
      </c>
      <c r="V159" s="1936">
        <v>0</v>
      </c>
      <c r="W159" s="1936">
        <v>0</v>
      </c>
      <c r="X159" s="1936">
        <v>0</v>
      </c>
      <c r="Y159" s="1936">
        <v>0</v>
      </c>
      <c r="Z159" s="1936">
        <v>0</v>
      </c>
      <c r="AA159" s="1936">
        <v>0</v>
      </c>
      <c r="AB159" s="1936">
        <v>0</v>
      </c>
      <c r="AC159" s="1936">
        <v>0</v>
      </c>
      <c r="AD159" s="1936">
        <v>0</v>
      </c>
      <c r="AE159" s="1936">
        <v>0</v>
      </c>
      <c r="AF159" s="1936">
        <v>0</v>
      </c>
      <c r="AG159" s="1936">
        <v>0</v>
      </c>
      <c r="AH159" s="1936">
        <v>0</v>
      </c>
      <c r="AI159" s="1936">
        <v>0</v>
      </c>
      <c r="AJ159" s="1936">
        <v>0</v>
      </c>
      <c r="AK159" s="1936">
        <v>0</v>
      </c>
      <c r="AL159" s="1936">
        <v>0</v>
      </c>
      <c r="AM159" s="1936">
        <v>0</v>
      </c>
      <c r="AN159" s="1936">
        <v>0</v>
      </c>
      <c r="AO159" s="1936">
        <v>0</v>
      </c>
      <c r="AP159" s="1936">
        <v>0</v>
      </c>
      <c r="AQ159" s="1936">
        <v>0</v>
      </c>
      <c r="AR159" s="1936">
        <v>0</v>
      </c>
      <c r="AS159" s="1363" t="s">
        <v>1208</v>
      </c>
      <c r="AT159" s="1363" t="s">
        <v>1208</v>
      </c>
      <c r="AU159" s="1363" t="s">
        <v>1208</v>
      </c>
      <c r="AV159" s="1363" t="s">
        <v>1208</v>
      </c>
      <c r="AW159" s="1363" t="s">
        <v>1291</v>
      </c>
      <c r="AX159" s="1938">
        <v>0</v>
      </c>
      <c r="AY159" s="1938">
        <v>0</v>
      </c>
      <c r="AZ159" s="1938">
        <v>0</v>
      </c>
      <c r="BA159" s="1938">
        <v>0</v>
      </c>
      <c r="BB159" s="1938">
        <v>0</v>
      </c>
      <c r="BC159" s="1938">
        <v>0</v>
      </c>
      <c r="BD159" s="1938">
        <v>0</v>
      </c>
      <c r="BE159" s="1936">
        <v>1</v>
      </c>
      <c r="BF159" s="1936">
        <v>528451</v>
      </c>
      <c r="BG159" s="1936">
        <v>599148</v>
      </c>
      <c r="BH159" s="1936">
        <v>1127599</v>
      </c>
      <c r="BI159" s="1938">
        <v>5488534</v>
      </c>
      <c r="BJ159" s="1936">
        <v>1004335</v>
      </c>
      <c r="BK159" s="1936">
        <v>688768</v>
      </c>
      <c r="BL159" s="1362">
        <v>1.4581615289908938</v>
      </c>
      <c r="BM159" s="1936">
        <v>1</v>
      </c>
      <c r="BN159" s="1936">
        <v>81702</v>
      </c>
      <c r="BO159" s="1363" t="s">
        <v>1208</v>
      </c>
      <c r="BP159" s="1938">
        <v>5452843</v>
      </c>
      <c r="BQ159" s="1938">
        <v>4286112</v>
      </c>
      <c r="BR159" s="1940">
        <v>1.2722119720623259</v>
      </c>
      <c r="BS159" s="1409">
        <v>1</v>
      </c>
      <c r="BT159" s="1938">
        <v>3731556</v>
      </c>
      <c r="BU159" s="1938">
        <v>10453688</v>
      </c>
      <c r="BV159" s="1940">
        <v>0.35696072046535154</v>
      </c>
      <c r="BW159" s="1936">
        <v>88.191651088145051</v>
      </c>
      <c r="BX159" s="1936">
        <v>1084.1100817068389</v>
      </c>
      <c r="BY159" s="1936">
        <v>1217.1650336018856</v>
      </c>
      <c r="BZ159" s="1936">
        <v>1379854</v>
      </c>
      <c r="CA159" s="1936">
        <v>0</v>
      </c>
      <c r="CB159" s="1936">
        <v>314196</v>
      </c>
      <c r="CC159" s="1936">
        <v>0</v>
      </c>
      <c r="CD159" s="1936">
        <v>3855736</v>
      </c>
      <c r="CE159" s="1936">
        <v>0</v>
      </c>
      <c r="CF159" s="1936">
        <v>0</v>
      </c>
      <c r="CG159" s="1936">
        <v>1144042</v>
      </c>
      <c r="CH159" s="1936">
        <v>428689</v>
      </c>
      <c r="CI159" s="1936">
        <v>178747</v>
      </c>
      <c r="CJ159" s="1936">
        <v>7301264</v>
      </c>
      <c r="CK159" s="1366">
        <v>0.1889883724242816</v>
      </c>
      <c r="CL159" s="1366">
        <v>0</v>
      </c>
      <c r="CM159" s="1366">
        <v>4.3033096735031084E-2</v>
      </c>
      <c r="CN159" s="1366">
        <v>0</v>
      </c>
      <c r="CO159" s="1366">
        <v>0.52809157428083686</v>
      </c>
      <c r="CP159" s="1366">
        <v>0</v>
      </c>
      <c r="CQ159" s="1366">
        <v>0</v>
      </c>
      <c r="CR159" s="1366">
        <v>0.15669095104628458</v>
      </c>
      <c r="CS159" s="1366">
        <v>5.8714354117314481E-2</v>
      </c>
      <c r="CT159" s="1366">
        <v>2.4481651396251389E-2</v>
      </c>
      <c r="CU159" s="1366">
        <v>1</v>
      </c>
      <c r="CV159" s="1936">
        <v>3639452</v>
      </c>
      <c r="CW159" s="1936">
        <v>613513</v>
      </c>
      <c r="CX159" s="1936">
        <v>227987</v>
      </c>
      <c r="CY159" s="1936">
        <v>2294751</v>
      </c>
      <c r="CZ159" s="1936">
        <v>74729</v>
      </c>
      <c r="DA159" s="1936">
        <v>189169</v>
      </c>
      <c r="DB159" s="1936">
        <v>7039601</v>
      </c>
      <c r="DC159" s="1366">
        <v>0.51699691502401912</v>
      </c>
      <c r="DD159" s="1366">
        <v>8.715167237461327E-2</v>
      </c>
      <c r="DE159" s="1366">
        <v>3.2386352578789621E-2</v>
      </c>
      <c r="DF159" s="1366">
        <v>0.32597742400457069</v>
      </c>
      <c r="DG159" s="1366">
        <v>1.0615516419183417E-2</v>
      </c>
      <c r="DH159" s="1366">
        <v>2.6872119598823855E-2</v>
      </c>
      <c r="DI159" s="1366">
        <v>1</v>
      </c>
      <c r="DJ159" s="1936">
        <v>261663</v>
      </c>
      <c r="DK159" s="1936">
        <v>1489.4568372938397</v>
      </c>
      <c r="DL159" s="1936">
        <v>0</v>
      </c>
      <c r="DM159" s="1936">
        <v>339.15282374104453</v>
      </c>
      <c r="DN159" s="1936">
        <v>0</v>
      </c>
      <c r="DO159" s="1936">
        <v>4162</v>
      </c>
      <c r="DP159" s="1936">
        <v>0</v>
      </c>
      <c r="DQ159" s="1936">
        <v>0</v>
      </c>
      <c r="DR159" s="1936">
        <v>1234.914113414404</v>
      </c>
      <c r="DS159" s="1936">
        <v>462.74008853303235</v>
      </c>
      <c r="DT159" s="1936">
        <v>192.94500816445941</v>
      </c>
      <c r="DU159" s="1936">
        <v>7881.2088711467804</v>
      </c>
      <c r="DV159" s="1936">
        <v>3928.5363997950071</v>
      </c>
      <c r="DW159" s="1936">
        <v>662.24479736164517</v>
      </c>
      <c r="DX159" s="1936">
        <v>246.09617826531692</v>
      </c>
      <c r="DY159" s="1936">
        <v>2477.0247916351123</v>
      </c>
      <c r="DZ159" s="1936">
        <v>80.664780472521983</v>
      </c>
      <c r="EA159" s="1936">
        <v>204.1948354347912</v>
      </c>
      <c r="EB159" s="1936">
        <v>7598.7617829643941</v>
      </c>
      <c r="EC159" s="1936">
        <v>282.44708818238593</v>
      </c>
      <c r="ED159" s="1941">
        <v>86</v>
      </c>
      <c r="EE159" s="1936">
        <v>0</v>
      </c>
      <c r="EF159" s="1936">
        <v>0</v>
      </c>
      <c r="EG159" s="1938">
        <v>0</v>
      </c>
      <c r="EH159" s="1938">
        <v>1</v>
      </c>
      <c r="EI159" s="1368">
        <v>7.0000000000000007E-2</v>
      </c>
      <c r="EJ159" s="1936">
        <v>10.772258417800028</v>
      </c>
      <c r="EK159" s="1936">
        <v>1</v>
      </c>
      <c r="EL159" s="1936">
        <v>600</v>
      </c>
      <c r="EM159" s="1936">
        <v>1</v>
      </c>
      <c r="EN159" s="1362">
        <v>0.18</v>
      </c>
      <c r="EO159" s="1936">
        <v>0</v>
      </c>
      <c r="EP159" s="1936">
        <v>0</v>
      </c>
      <c r="EQ159" s="1936">
        <v>0</v>
      </c>
      <c r="ER159" s="1938">
        <v>0</v>
      </c>
      <c r="ES159" s="1936">
        <v>1697.6542019474364</v>
      </c>
      <c r="ET159" s="1936">
        <v>-543.46531712752119</v>
      </c>
      <c r="EU159" s="1938">
        <v>1</v>
      </c>
      <c r="EV159" s="1936">
        <v>64284</v>
      </c>
      <c r="EW159" s="1936">
        <v>0</v>
      </c>
      <c r="EX159" s="1938">
        <v>1</v>
      </c>
      <c r="EY159" s="1936">
        <v>1144042</v>
      </c>
      <c r="EZ159" s="1936">
        <v>505766</v>
      </c>
      <c r="FA159" s="1936">
        <v>638276</v>
      </c>
      <c r="FB159" s="1936">
        <v>428689</v>
      </c>
      <c r="FC159" s="1936">
        <v>107747</v>
      </c>
      <c r="FD159" s="1936">
        <v>320942</v>
      </c>
      <c r="FE159" s="1936">
        <v>1572731</v>
      </c>
      <c r="FF159" s="1936">
        <v>613513</v>
      </c>
      <c r="FG159" s="1936">
        <v>959218</v>
      </c>
      <c r="FH159" s="1366">
        <v>1</v>
      </c>
      <c r="FI159" s="1366">
        <v>0.44208691638943326</v>
      </c>
      <c r="FJ159" s="1366">
        <v>0.5579130836105668</v>
      </c>
      <c r="FK159" s="1366">
        <v>1</v>
      </c>
      <c r="FL159" s="1366">
        <v>0.25134071553037285</v>
      </c>
      <c r="FM159" s="1366">
        <v>0.74865928446962715</v>
      </c>
      <c r="FN159" s="1366">
        <v>1</v>
      </c>
      <c r="FO159" s="1366">
        <v>0.39009404659792424</v>
      </c>
      <c r="FP159" s="1366">
        <v>0.60990595340207576</v>
      </c>
      <c r="FQ159" s="1936">
        <v>971348</v>
      </c>
      <c r="FR159" s="1936">
        <v>0</v>
      </c>
      <c r="FS159" s="1936">
        <v>236963</v>
      </c>
      <c r="FT159" s="1936">
        <v>30265</v>
      </c>
      <c r="FU159" s="1936">
        <v>22565</v>
      </c>
      <c r="FV159" s="1936">
        <v>11952</v>
      </c>
      <c r="FW159" s="1936">
        <v>189599</v>
      </c>
      <c r="FX159" s="1936">
        <v>1462692</v>
      </c>
      <c r="FY159" s="1936">
        <v>-503474</v>
      </c>
      <c r="FZ159" s="1366">
        <v>0.61761865188643195</v>
      </c>
      <c r="GA159" s="1366">
        <v>0</v>
      </c>
      <c r="GB159" s="1366">
        <v>0.15066975852831793</v>
      </c>
      <c r="GC159" s="1366">
        <v>1.9243596012286906E-2</v>
      </c>
      <c r="GD159" s="1366">
        <v>1.4347653858161377E-2</v>
      </c>
      <c r="GE159" s="1366">
        <v>7.5995195618322525E-3</v>
      </c>
      <c r="GF159" s="1366">
        <v>0.12055399175065538</v>
      </c>
      <c r="GG159" s="1366">
        <v>0.93003317159768584</v>
      </c>
      <c r="GH159" s="1366">
        <v>-0.32012721819561007</v>
      </c>
      <c r="GI159" s="1942">
        <v>2.668699220180597</v>
      </c>
      <c r="GJ159" s="1943">
        <v>1</v>
      </c>
      <c r="GK159" s="1371">
        <v>0.01</v>
      </c>
      <c r="GL159" s="1943">
        <v>1</v>
      </c>
      <c r="GM159" s="1371">
        <v>0.01</v>
      </c>
      <c r="GN159" s="1943">
        <v>18</v>
      </c>
      <c r="GO159" s="1985">
        <f>IF(GN159=0,0,VLOOKUP(A159,'Area (&amp;golfacre for lookup)'!$G$2:$H$133,2,FALSE))</f>
        <v>114</v>
      </c>
      <c r="GP159" s="1943">
        <v>41335</v>
      </c>
      <c r="GQ159" s="1943">
        <v>635118</v>
      </c>
      <c r="GR159" s="1943">
        <v>151304</v>
      </c>
      <c r="GS159" s="1943">
        <v>350272</v>
      </c>
      <c r="GT159" s="1943">
        <v>73877</v>
      </c>
      <c r="GU159" s="1943">
        <v>142543</v>
      </c>
      <c r="GV159" s="1943">
        <v>159324</v>
      </c>
      <c r="GW159" s="1943">
        <v>1512438</v>
      </c>
      <c r="GX159" s="1943">
        <v>84024.333333333328</v>
      </c>
      <c r="GY159" s="1985">
        <f t="shared" si="1319"/>
        <v>13267</v>
      </c>
      <c r="GZ159" s="1366">
        <v>0.41992994092981001</v>
      </c>
      <c r="HA159" s="1366">
        <v>0.10003980328449827</v>
      </c>
      <c r="HB159" s="1366">
        <v>0.23159428684018782</v>
      </c>
      <c r="HC159" s="1366">
        <v>4.8846299815265157E-2</v>
      </c>
      <c r="HD159" s="1366">
        <v>9.4247169140156489E-2</v>
      </c>
      <c r="HE159" s="1366">
        <v>0.10534249999008224</v>
      </c>
      <c r="HF159" s="1366">
        <v>1</v>
      </c>
      <c r="HG159" s="1936">
        <v>0</v>
      </c>
      <c r="HH159" s="1988">
        <f>IF(HG159=0,0,VLOOKUP(A159,'Area (&amp;golfacre for lookup)'!$G$2:$H$134,2,FALSE))</f>
        <v>0</v>
      </c>
      <c r="HI159" s="1936">
        <v>0</v>
      </c>
      <c r="HJ159" s="1936">
        <v>0</v>
      </c>
      <c r="HK159" s="1936">
        <v>0</v>
      </c>
      <c r="HL159" s="1936">
        <v>0</v>
      </c>
      <c r="HM159" s="1936">
        <v>0</v>
      </c>
      <c r="HN159" s="1936">
        <v>0</v>
      </c>
      <c r="HO159" s="1936">
        <v>0</v>
      </c>
      <c r="HP159" s="1936">
        <v>0</v>
      </c>
      <c r="HQ159" s="1936">
        <v>0</v>
      </c>
      <c r="HR159" s="1988">
        <f t="shared" si="1320"/>
        <v>0</v>
      </c>
      <c r="HS159" s="1936">
        <v>0</v>
      </c>
      <c r="HT159" s="1936">
        <v>0</v>
      </c>
      <c r="HU159" s="1936">
        <v>0</v>
      </c>
      <c r="HV159" s="1936">
        <v>0</v>
      </c>
      <c r="HW159" s="1936">
        <v>0</v>
      </c>
      <c r="HX159" s="1936">
        <v>0</v>
      </c>
      <c r="HY159" s="1936">
        <v>0</v>
      </c>
      <c r="HZ159" s="51"/>
      <c r="IA159" s="59">
        <f t="shared" si="1322"/>
        <v>0</v>
      </c>
      <c r="IB159" s="59"/>
      <c r="IC159" s="815">
        <f t="shared" si="1323"/>
        <v>0</v>
      </c>
      <c r="ID159" s="815"/>
      <c r="IE159" s="284">
        <f t="shared" si="1324"/>
        <v>0</v>
      </c>
      <c r="IF159" s="284"/>
      <c r="IG159" s="284">
        <f t="shared" si="1325"/>
        <v>5924.4923687721366</v>
      </c>
      <c r="IH159" s="284"/>
      <c r="II159" s="1288">
        <f t="shared" si="1326"/>
        <v>1.2722119720623259</v>
      </c>
      <c r="IJ159" s="1288">
        <f t="shared" si="1327"/>
        <v>0</v>
      </c>
      <c r="IK159" s="284">
        <f t="shared" si="1328"/>
        <v>0</v>
      </c>
      <c r="IL159" s="284">
        <f t="shared" si="1329"/>
        <v>0</v>
      </c>
      <c r="IM159" s="284">
        <f t="shared" si="1330"/>
        <v>1</v>
      </c>
      <c r="IN159" s="284">
        <f t="shared" si="1331"/>
        <v>0</v>
      </c>
      <c r="IO159" s="753">
        <f t="shared" si="1332"/>
        <v>-535.61063829787236</v>
      </c>
      <c r="IP159" s="113">
        <f t="shared" si="1333"/>
        <v>-543.46531712752119</v>
      </c>
      <c r="IQ159" s="30">
        <f t="shared" si="1334"/>
        <v>-0.13057792338479604</v>
      </c>
      <c r="IR159" s="438">
        <f t="shared" si="1335"/>
        <v>1144042</v>
      </c>
      <c r="IS159" s="438">
        <f t="shared" si="1336"/>
        <v>428689</v>
      </c>
      <c r="IT159" s="438">
        <f t="shared" si="1337"/>
        <v>971348</v>
      </c>
      <c r="IU159" s="438">
        <f t="shared" si="1338"/>
        <v>267228</v>
      </c>
      <c r="IV159" s="438">
        <f t="shared" si="1339"/>
        <v>613513</v>
      </c>
      <c r="IW159" s="438">
        <f t="shared" si="1340"/>
        <v>224116</v>
      </c>
      <c r="IX159" s="285">
        <f t="shared" si="1341"/>
        <v>0.72742382518052995</v>
      </c>
      <c r="IY159" s="285">
        <f t="shared" si="1342"/>
        <v>0.27257617481947011</v>
      </c>
      <c r="IZ159" s="285">
        <f t="shared" si="1343"/>
        <v>0.61761865188643195</v>
      </c>
      <c r="JA159" s="285">
        <f t="shared" si="1344"/>
        <v>0.16991335454060486</v>
      </c>
      <c r="JB159" s="285">
        <f t="shared" si="1345"/>
        <v>0.39009404659792424</v>
      </c>
      <c r="JC159" s="285">
        <f t="shared" si="1346"/>
        <v>0.14250116517064901</v>
      </c>
      <c r="JD159" s="60">
        <f t="shared" si="1347"/>
        <v>3855736</v>
      </c>
      <c r="JE159" s="60">
        <f t="shared" si="1348"/>
        <v>1694050</v>
      </c>
      <c r="JF159" s="60">
        <f t="shared" si="1349"/>
        <v>0</v>
      </c>
      <c r="JG159" s="60">
        <f t="shared" si="1350"/>
        <v>263898</v>
      </c>
      <c r="JH159" s="284">
        <f t="shared" si="1351"/>
        <v>1</v>
      </c>
      <c r="JI159" s="284">
        <f t="shared" si="1352"/>
        <v>1</v>
      </c>
      <c r="JJ159" s="560">
        <f t="shared" si="1353"/>
        <v>0.72562031343492595</v>
      </c>
      <c r="JK159" s="561">
        <f t="shared" si="1354"/>
        <v>0.49846875828623649</v>
      </c>
      <c r="JL159" s="561">
        <f t="shared" si="1355"/>
        <v>8.4028327149929111E-2</v>
      </c>
      <c r="JM159" s="561">
        <f t="shared" si="1356"/>
        <v>3.1225689140948747E-2</v>
      </c>
      <c r="JN159" s="561">
        <f t="shared" si="1357"/>
        <v>0.31429503165479294</v>
      </c>
      <c r="JO159" s="561">
        <f t="shared" si="1358"/>
        <v>1.023507710445753E-2</v>
      </c>
      <c r="JP159" s="561">
        <f t="shared" si="1359"/>
        <v>2.59090754696721E-2</v>
      </c>
      <c r="JQ159" s="561">
        <f t="shared" si="1360"/>
        <v>0.96416195880603695</v>
      </c>
      <c r="JR159" s="61">
        <f t="shared" si="1361"/>
        <v>35284.333333333336</v>
      </c>
      <c r="JS159" s="61">
        <f t="shared" si="1362"/>
        <v>8405.7777777777774</v>
      </c>
      <c r="JT159" s="61">
        <f t="shared" si="1363"/>
        <v>19459.555555555555</v>
      </c>
      <c r="JU159" s="61">
        <f t="shared" si="1364"/>
        <v>4104.2777777777774</v>
      </c>
      <c r="JV159" s="61">
        <f t="shared" si="1365"/>
        <v>7919.0555555555557</v>
      </c>
      <c r="JW159" s="61">
        <f t="shared" si="1366"/>
        <v>8851.3333333333339</v>
      </c>
      <c r="JX159" s="61">
        <f t="shared" si="1367"/>
        <v>36.589766541671708</v>
      </c>
      <c r="JY159" s="394">
        <f t="shared" si="1368"/>
        <v>0.2148471198864822</v>
      </c>
      <c r="JZ159" s="61">
        <f t="shared" si="1369"/>
        <v>0</v>
      </c>
      <c r="KA159" s="61">
        <f t="shared" si="1370"/>
        <v>0</v>
      </c>
      <c r="KB159" s="61">
        <f t="shared" si="1371"/>
        <v>0</v>
      </c>
      <c r="KC159" s="61">
        <f t="shared" si="1372"/>
        <v>0</v>
      </c>
      <c r="KD159" s="61">
        <f t="shared" si="1373"/>
        <v>0</v>
      </c>
      <c r="KE159" s="61">
        <f t="shared" si="1374"/>
        <v>0</v>
      </c>
      <c r="KF159" s="61">
        <f t="shared" si="1375"/>
        <v>0</v>
      </c>
      <c r="KG159" s="61">
        <f t="shared" si="1376"/>
        <v>0</v>
      </c>
      <c r="KH159" s="61">
        <f t="shared" si="1377"/>
        <v>0</v>
      </c>
      <c r="KI159" s="394">
        <f t="shared" si="1378"/>
        <v>0</v>
      </c>
      <c r="KJ159" s="438">
        <f t="shared" si="1379"/>
        <v>18</v>
      </c>
      <c r="KK159" s="438">
        <f t="shared" si="1380"/>
        <v>41335</v>
      </c>
      <c r="KL159" s="438">
        <f t="shared" si="1381"/>
        <v>114</v>
      </c>
      <c r="KM159" s="438">
        <f t="shared" si="1382"/>
        <v>84024.333333333328</v>
      </c>
      <c r="KN159" s="438">
        <f t="shared" si="1383"/>
        <v>36.589766541671708</v>
      </c>
      <c r="KO159" s="438">
        <f t="shared" si="1384"/>
        <v>13267</v>
      </c>
      <c r="KP159" s="438">
        <f t="shared" si="1385"/>
        <v>635118</v>
      </c>
      <c r="KQ159" s="438">
        <f t="shared" si="1386"/>
        <v>151304</v>
      </c>
      <c r="KR159" s="438">
        <f t="shared" si="1387"/>
        <v>350272</v>
      </c>
      <c r="KS159" s="438">
        <f t="shared" si="1388"/>
        <v>73877</v>
      </c>
      <c r="KT159" s="438">
        <f t="shared" si="1389"/>
        <v>142543</v>
      </c>
      <c r="KU159" s="438">
        <f t="shared" si="1390"/>
        <v>159324</v>
      </c>
      <c r="KV159" s="420">
        <f t="shared" si="1391"/>
        <v>0.2148471198864822</v>
      </c>
      <c r="KW159" s="420">
        <f t="shared" si="1392"/>
        <v>-0.35093533374691627</v>
      </c>
      <c r="KX159" s="108"/>
      <c r="KY159" s="282">
        <f t="shared" si="1393"/>
        <v>0</v>
      </c>
      <c r="KZ159" s="282"/>
      <c r="LA159" s="282">
        <f t="shared" si="1394"/>
        <v>0</v>
      </c>
      <c r="LB159" s="282"/>
      <c r="LC159" s="286" t="e">
        <f t="shared" si="1321"/>
        <v>#DIV/0!</v>
      </c>
      <c r="LD159" s="286"/>
      <c r="LE159" s="282">
        <f t="shared" si="1395"/>
        <v>0</v>
      </c>
      <c r="LF159" s="282"/>
      <c r="LG159" s="282">
        <f t="shared" si="1396"/>
        <v>600</v>
      </c>
      <c r="LH159" s="282">
        <f t="shared" si="1397"/>
        <v>0</v>
      </c>
      <c r="LI159" s="282">
        <f t="shared" si="1398"/>
        <v>0</v>
      </c>
      <c r="LJ159" s="282">
        <f t="shared" si="1399"/>
        <v>0</v>
      </c>
      <c r="LK159" s="282"/>
      <c r="LL159" s="282" t="str">
        <f t="shared" si="1400"/>
        <v>Same/chk</v>
      </c>
      <c r="LM159" s="282">
        <f t="shared" si="1401"/>
        <v>0</v>
      </c>
      <c r="LN159" s="282">
        <f t="shared" si="1402"/>
        <v>0</v>
      </c>
      <c r="LO159" s="282">
        <f t="shared" si="1403"/>
        <v>0</v>
      </c>
      <c r="LP159" s="286">
        <f t="shared" si="1404"/>
        <v>0</v>
      </c>
      <c r="LQ159" s="282">
        <f t="shared" si="1405"/>
        <v>0</v>
      </c>
      <c r="LR159" s="282">
        <f t="shared" si="1406"/>
        <v>0</v>
      </c>
      <c r="LS159" s="282">
        <f t="shared" si="1407"/>
        <v>0</v>
      </c>
      <c r="LT159" s="286">
        <f t="shared" si="1408"/>
        <v>0</v>
      </c>
      <c r="LU159" s="286">
        <f t="shared" si="1409"/>
        <v>0</v>
      </c>
      <c r="LV159" s="286">
        <f t="shared" si="1410"/>
        <v>0</v>
      </c>
      <c r="LW159" s="286">
        <f t="shared" si="1411"/>
        <v>0</v>
      </c>
      <c r="LX159" s="286">
        <f t="shared" si="1412"/>
        <v>0</v>
      </c>
      <c r="LY159" s="286">
        <f t="shared" si="1413"/>
        <v>0</v>
      </c>
      <c r="LZ159" s="286">
        <f t="shared" si="1414"/>
        <v>0</v>
      </c>
      <c r="MA159" s="286">
        <f t="shared" si="1415"/>
        <v>0</v>
      </c>
      <c r="MB159" s="286">
        <f t="shared" si="1416"/>
        <v>0</v>
      </c>
      <c r="MC159" s="286">
        <f t="shared" si="1417"/>
        <v>0</v>
      </c>
      <c r="MD159" s="286">
        <f t="shared" si="1418"/>
        <v>0</v>
      </c>
      <c r="ME159" s="286">
        <f t="shared" si="1419"/>
        <v>0</v>
      </c>
      <c r="MF159" s="286">
        <f t="shared" si="1420"/>
        <v>0</v>
      </c>
      <c r="MG159" s="286">
        <f t="shared" si="1421"/>
        <v>0</v>
      </c>
      <c r="MH159" s="286">
        <f t="shared" si="1422"/>
        <v>0</v>
      </c>
      <c r="MI159" s="286">
        <f t="shared" si="1423"/>
        <v>0</v>
      </c>
      <c r="MJ159" s="286">
        <f t="shared" si="1424"/>
        <v>0</v>
      </c>
      <c r="MK159" s="286">
        <f t="shared" si="1425"/>
        <v>0</v>
      </c>
      <c r="ML159" s="282">
        <f t="shared" si="1426"/>
        <v>0</v>
      </c>
      <c r="MM159" s="1232">
        <f t="shared" si="1427"/>
        <v>0</v>
      </c>
      <c r="MN159" s="1232">
        <f t="shared" si="1428"/>
        <v>0</v>
      </c>
      <c r="MO159" s="1232">
        <f t="shared" si="1429"/>
        <v>0</v>
      </c>
      <c r="MP159" s="1232">
        <f t="shared" si="1430"/>
        <v>0</v>
      </c>
      <c r="MQ159" s="282">
        <f t="shared" si="1431"/>
        <v>-926.41422393080245</v>
      </c>
      <c r="MR159" s="282">
        <f t="shared" si="1432"/>
        <v>0</v>
      </c>
      <c r="MS159" s="282">
        <f t="shared" si="1433"/>
        <v>0</v>
      </c>
      <c r="MT159" s="282">
        <f t="shared" si="1434"/>
        <v>0</v>
      </c>
      <c r="MU159" s="282">
        <f t="shared" si="1435"/>
        <v>0</v>
      </c>
      <c r="MV159" s="282">
        <f t="shared" si="1436"/>
        <v>0</v>
      </c>
      <c r="MW159" s="282">
        <f t="shared" si="1437"/>
        <v>0</v>
      </c>
      <c r="MX159" s="282">
        <f t="shared" si="1438"/>
        <v>0</v>
      </c>
      <c r="MY159" s="282">
        <f t="shared" si="1439"/>
        <v>0</v>
      </c>
      <c r="MZ159" s="282">
        <f t="shared" si="1440"/>
        <v>0</v>
      </c>
      <c r="NA159" s="282">
        <f t="shared" si="1441"/>
        <v>0</v>
      </c>
      <c r="NB159" s="282">
        <f t="shared" si="1442"/>
        <v>0</v>
      </c>
      <c r="NC159" s="282">
        <f t="shared" si="1443"/>
        <v>0</v>
      </c>
      <c r="ND159" s="282">
        <f t="shared" si="1444"/>
        <v>0</v>
      </c>
      <c r="NE159" s="282">
        <f t="shared" si="1445"/>
        <v>0</v>
      </c>
      <c r="NF159" s="282">
        <f t="shared" si="1446"/>
        <v>0</v>
      </c>
      <c r="NG159" s="282">
        <f t="shared" si="1447"/>
        <v>0</v>
      </c>
      <c r="NH159" s="282">
        <f t="shared" si="1448"/>
        <v>0</v>
      </c>
      <c r="NI159" s="282">
        <f t="shared" si="1449"/>
        <v>0</v>
      </c>
      <c r="NJ159" s="282">
        <f t="shared" si="1450"/>
        <v>0</v>
      </c>
      <c r="NK159" s="282">
        <f t="shared" si="1451"/>
        <v>0</v>
      </c>
      <c r="NL159" s="282">
        <f t="shared" si="1452"/>
        <v>0</v>
      </c>
      <c r="NM159" s="1205">
        <f t="shared" si="1453"/>
        <v>0</v>
      </c>
      <c r="NN159" s="282">
        <f t="shared" si="1454"/>
        <v>0</v>
      </c>
      <c r="NO159" s="282">
        <f t="shared" si="1455"/>
        <v>0</v>
      </c>
      <c r="NP159" s="282">
        <f t="shared" si="1456"/>
        <v>0</v>
      </c>
      <c r="NQ159" s="282">
        <f t="shared" si="1457"/>
        <v>0</v>
      </c>
      <c r="NR159" s="282">
        <f t="shared" si="1458"/>
        <v>0</v>
      </c>
      <c r="NS159" s="282">
        <f t="shared" si="1459"/>
        <v>0</v>
      </c>
      <c r="NT159" s="282">
        <f t="shared" si="1460"/>
        <v>0</v>
      </c>
      <c r="NU159" s="282">
        <f t="shared" si="1461"/>
        <v>0</v>
      </c>
      <c r="NV159" s="286">
        <f t="shared" si="1462"/>
        <v>0</v>
      </c>
      <c r="NW159" s="286">
        <f t="shared" si="1463"/>
        <v>0</v>
      </c>
      <c r="NX159" s="286">
        <f t="shared" si="1464"/>
        <v>0</v>
      </c>
      <c r="NY159" s="286">
        <f t="shared" si="1465"/>
        <v>0</v>
      </c>
      <c r="NZ159" s="286">
        <f t="shared" si="1466"/>
        <v>0</v>
      </c>
      <c r="OA159" s="286">
        <f t="shared" si="1467"/>
        <v>0</v>
      </c>
      <c r="OB159" s="286">
        <f t="shared" si="1468"/>
        <v>0</v>
      </c>
      <c r="OC159" s="286">
        <f t="shared" si="1469"/>
        <v>0</v>
      </c>
      <c r="OD159" s="286">
        <f t="shared" si="1470"/>
        <v>0</v>
      </c>
      <c r="OE159" s="282">
        <f t="shared" si="1471"/>
        <v>0</v>
      </c>
      <c r="OF159" s="282">
        <f t="shared" si="1472"/>
        <v>0</v>
      </c>
      <c r="OG159" s="286">
        <f t="shared" si="1473"/>
        <v>0</v>
      </c>
      <c r="OH159" s="286">
        <f t="shared" si="1474"/>
        <v>0</v>
      </c>
      <c r="OI159" s="286">
        <f t="shared" si="1475"/>
        <v>0</v>
      </c>
      <c r="OJ159" s="286">
        <f t="shared" si="1476"/>
        <v>0</v>
      </c>
      <c r="OK159" s="286">
        <f t="shared" si="1477"/>
        <v>0</v>
      </c>
      <c r="OL159" s="286">
        <f t="shared" si="1478"/>
        <v>0</v>
      </c>
      <c r="OM159" s="286">
        <f t="shared" si="1479"/>
        <v>0</v>
      </c>
      <c r="ON159" s="286">
        <f t="shared" si="1480"/>
        <v>0</v>
      </c>
      <c r="OO159" s="286">
        <f t="shared" si="1481"/>
        <v>0</v>
      </c>
      <c r="OP159" s="434">
        <f t="shared" si="1482"/>
        <v>0</v>
      </c>
      <c r="OQ159" s="434">
        <f t="shared" si="1483"/>
        <v>0</v>
      </c>
      <c r="OR159" s="282">
        <f t="shared" si="1484"/>
        <v>0</v>
      </c>
      <c r="OS159" s="282">
        <f t="shared" si="1485"/>
        <v>0</v>
      </c>
      <c r="OT159" s="282">
        <f t="shared" si="1486"/>
        <v>0</v>
      </c>
      <c r="OU159" s="282">
        <f t="shared" si="1487"/>
        <v>0</v>
      </c>
      <c r="OV159" s="282">
        <f t="shared" si="1488"/>
        <v>0</v>
      </c>
      <c r="OW159" s="286">
        <f t="shared" si="1489"/>
        <v>0</v>
      </c>
      <c r="OX159" s="286">
        <f t="shared" si="1490"/>
        <v>0</v>
      </c>
      <c r="OY159" s="286">
        <f t="shared" si="1491"/>
        <v>0</v>
      </c>
      <c r="OZ159" s="286">
        <f t="shared" si="1492"/>
        <v>0</v>
      </c>
      <c r="PA159" s="286">
        <f t="shared" si="1493"/>
        <v>0</v>
      </c>
      <c r="PB159" s="286">
        <f t="shared" si="1494"/>
        <v>0</v>
      </c>
      <c r="PC159" s="286">
        <f t="shared" si="1495"/>
        <v>0</v>
      </c>
      <c r="PD159" s="282">
        <f t="shared" si="1496"/>
        <v>0</v>
      </c>
      <c r="PE159" s="282">
        <f t="shared" si="1497"/>
        <v>0</v>
      </c>
      <c r="PF159" s="286">
        <f t="shared" si="1498"/>
        <v>0</v>
      </c>
      <c r="PG159" s="286">
        <f t="shared" si="1499"/>
        <v>0</v>
      </c>
      <c r="PH159" s="286">
        <f t="shared" si="1500"/>
        <v>0</v>
      </c>
      <c r="PI159" s="286">
        <f t="shared" si="1501"/>
        <v>0</v>
      </c>
      <c r="PJ159" s="286">
        <f t="shared" si="1502"/>
        <v>0</v>
      </c>
      <c r="PK159" s="286">
        <f t="shared" si="1503"/>
        <v>0</v>
      </c>
      <c r="PL159" s="286">
        <f t="shared" si="1504"/>
        <v>0</v>
      </c>
      <c r="PM159" s="562">
        <v>103</v>
      </c>
    </row>
    <row r="160" spans="1:429" s="289" customFormat="1" ht="15.75" customHeight="1">
      <c r="A160" s="1935" t="s">
        <v>1411</v>
      </c>
      <c r="B160" s="1040" t="str">
        <f>VLOOKUP(A160,'Area (&amp;golfacre for lookup)'!$A$2:$B$162,2,FALSE)</f>
        <v>North&amp;Central</v>
      </c>
      <c r="C160" s="1936"/>
      <c r="D160" s="1937">
        <v>44712</v>
      </c>
      <c r="E160" s="402"/>
      <c r="F160" s="1936">
        <v>1</v>
      </c>
      <c r="G160" s="1936">
        <v>0</v>
      </c>
      <c r="H160" s="1936">
        <v>742</v>
      </c>
      <c r="I160" s="1936">
        <v>725</v>
      </c>
      <c r="J160" s="1936">
        <v>1467</v>
      </c>
      <c r="K160" s="1938">
        <v>1381.6158025809373</v>
      </c>
      <c r="L160" s="1939" t="s">
        <v>1208</v>
      </c>
      <c r="M160" s="1939" t="s">
        <v>1208</v>
      </c>
      <c r="N160" s="1939" t="s">
        <v>1208</v>
      </c>
      <c r="O160" s="1939" t="s">
        <v>1208</v>
      </c>
      <c r="P160" s="1939" t="s">
        <v>1208</v>
      </c>
      <c r="Q160" s="1936">
        <v>0</v>
      </c>
      <c r="R160" s="1936">
        <v>27500</v>
      </c>
      <c r="S160" s="1936">
        <v>27500</v>
      </c>
      <c r="T160" s="1939" t="s">
        <v>1208</v>
      </c>
      <c r="U160" s="1939" t="s">
        <v>1208</v>
      </c>
      <c r="V160" s="1939" t="s">
        <v>1208</v>
      </c>
      <c r="W160" s="1936">
        <v>4680</v>
      </c>
      <c r="X160" s="1936">
        <v>4417</v>
      </c>
      <c r="Y160" s="1939" t="s">
        <v>1208</v>
      </c>
      <c r="Z160" s="1939" t="s">
        <v>1208</v>
      </c>
      <c r="AA160" s="1936">
        <v>263</v>
      </c>
      <c r="AB160" s="1362">
        <v>5.9542676024450986E-2</v>
      </c>
      <c r="AC160" s="1939" t="s">
        <v>1208</v>
      </c>
      <c r="AD160" s="1363" t="s">
        <v>1208</v>
      </c>
      <c r="AE160" s="1936">
        <v>0</v>
      </c>
      <c r="AF160" s="1936">
        <v>0</v>
      </c>
      <c r="AG160" s="1939" t="s">
        <v>1208</v>
      </c>
      <c r="AH160" s="1936">
        <v>0</v>
      </c>
      <c r="AI160" s="1936">
        <v>0</v>
      </c>
      <c r="AJ160" s="1939" t="s">
        <v>1208</v>
      </c>
      <c r="AK160" s="1938">
        <v>1</v>
      </c>
      <c r="AL160" s="1938">
        <v>720</v>
      </c>
      <c r="AM160" s="1936">
        <v>5137</v>
      </c>
      <c r="AN160" s="1939" t="s">
        <v>1208</v>
      </c>
      <c r="AO160" s="1936">
        <v>600</v>
      </c>
      <c r="AP160" s="1936">
        <v>0</v>
      </c>
      <c r="AQ160" s="1936">
        <v>5737</v>
      </c>
      <c r="AR160" s="1939" t="s">
        <v>1208</v>
      </c>
      <c r="AS160" s="1363" t="s">
        <v>1208</v>
      </c>
      <c r="AT160" s="1363" t="s">
        <v>1208</v>
      </c>
      <c r="AU160" s="1363" t="s">
        <v>1208</v>
      </c>
      <c r="AV160" s="1363" t="s">
        <v>1208</v>
      </c>
      <c r="AW160" s="1363" t="s">
        <v>1291</v>
      </c>
      <c r="AX160" s="1938">
        <v>1</v>
      </c>
      <c r="AY160" s="1938">
        <v>0</v>
      </c>
      <c r="AZ160" s="1938">
        <v>0</v>
      </c>
      <c r="BA160" s="1938">
        <v>0</v>
      </c>
      <c r="BB160" s="1938">
        <v>1</v>
      </c>
      <c r="BC160" s="1938">
        <v>0</v>
      </c>
      <c r="BD160" s="1938">
        <v>0</v>
      </c>
      <c r="BE160" s="1936">
        <v>0</v>
      </c>
      <c r="BF160" s="1936">
        <v>3600000</v>
      </c>
      <c r="BG160" s="1936">
        <v>0</v>
      </c>
      <c r="BH160" s="1936">
        <v>3600000</v>
      </c>
      <c r="BI160" s="1938">
        <v>20852120</v>
      </c>
      <c r="BJ160" s="1936">
        <v>4893490</v>
      </c>
      <c r="BK160" s="1936">
        <v>1194270</v>
      </c>
      <c r="BL160" s="1362">
        <v>4.0974737705878903</v>
      </c>
      <c r="BM160" s="1936">
        <v>1</v>
      </c>
      <c r="BN160" s="1936">
        <v>9789261</v>
      </c>
      <c r="BO160" s="1363" t="s">
        <v>1208</v>
      </c>
      <c r="BP160" s="1938">
        <v>2193977</v>
      </c>
      <c r="BQ160" s="1938">
        <v>2047966</v>
      </c>
      <c r="BR160" s="1940">
        <v>1.0712956172123951</v>
      </c>
      <c r="BS160" s="1409">
        <v>1</v>
      </c>
      <c r="BT160" s="1938">
        <v>10978818</v>
      </c>
      <c r="BU160" s="1938">
        <v>15306825</v>
      </c>
      <c r="BV160" s="1940">
        <v>0.71724985423169074</v>
      </c>
      <c r="BW160" s="1936">
        <v>7085.3713324015989</v>
      </c>
      <c r="BX160" s="1936">
        <v>3541.8601834595993</v>
      </c>
      <c r="BY160" s="1936">
        <v>2605.6447771334074</v>
      </c>
      <c r="BZ160" s="1936">
        <v>0</v>
      </c>
      <c r="CA160" s="1936">
        <v>172264</v>
      </c>
      <c r="CB160" s="1936">
        <v>0</v>
      </c>
      <c r="CC160" s="1936">
        <v>1011812</v>
      </c>
      <c r="CD160" s="1936">
        <v>6102597</v>
      </c>
      <c r="CE160" s="1936">
        <v>0</v>
      </c>
      <c r="CF160" s="1936">
        <v>0</v>
      </c>
      <c r="CG160" s="1936">
        <v>3150070</v>
      </c>
      <c r="CH160" s="1936">
        <v>2086306</v>
      </c>
      <c r="CI160" s="1936">
        <v>364803</v>
      </c>
      <c r="CJ160" s="1936">
        <v>12887852</v>
      </c>
      <c r="CK160" s="1366">
        <v>0</v>
      </c>
      <c r="CL160" s="1366">
        <v>1.3366385647507436E-2</v>
      </c>
      <c r="CM160" s="1366">
        <v>0</v>
      </c>
      <c r="CN160" s="1366">
        <v>7.850897108377719E-2</v>
      </c>
      <c r="CO160" s="1366">
        <v>0.47351544694957703</v>
      </c>
      <c r="CP160" s="1366">
        <v>0</v>
      </c>
      <c r="CQ160" s="1366">
        <v>0</v>
      </c>
      <c r="CR160" s="1366">
        <v>0.24442164605862948</v>
      </c>
      <c r="CS160" s="1366">
        <v>0.16188159206049232</v>
      </c>
      <c r="CT160" s="1366">
        <v>2.8305958200016575E-2</v>
      </c>
      <c r="CU160" s="1366">
        <v>1</v>
      </c>
      <c r="CV160" s="1936">
        <v>5974941</v>
      </c>
      <c r="CW160" s="1936">
        <v>1982156</v>
      </c>
      <c r="CX160" s="1936">
        <v>0</v>
      </c>
      <c r="CY160" s="1936">
        <v>3561147</v>
      </c>
      <c r="CZ160" s="1936">
        <v>231905</v>
      </c>
      <c r="DA160" s="1936">
        <v>935582</v>
      </c>
      <c r="DB160" s="1936">
        <v>12685731</v>
      </c>
      <c r="DC160" s="1366">
        <v>0.47099698078100505</v>
      </c>
      <c r="DD160" s="1366">
        <v>0.15625083016500982</v>
      </c>
      <c r="DE160" s="1366">
        <v>0</v>
      </c>
      <c r="DF160" s="1366">
        <v>0.28072067742883716</v>
      </c>
      <c r="DG160" s="1366">
        <v>1.8280775463392688E-2</v>
      </c>
      <c r="DH160" s="1366">
        <v>7.3750736161755287E-2</v>
      </c>
      <c r="DI160" s="1366">
        <v>1</v>
      </c>
      <c r="DJ160" s="1936">
        <v>202121</v>
      </c>
      <c r="DK160" s="1936">
        <v>0</v>
      </c>
      <c r="DL160" s="1936">
        <v>124.68299774669703</v>
      </c>
      <c r="DM160" s="1936">
        <v>0</v>
      </c>
      <c r="DN160" s="1936">
        <v>732.33962590025203</v>
      </c>
      <c r="DO160" s="1936">
        <v>4417</v>
      </c>
      <c r="DP160" s="1936">
        <v>0</v>
      </c>
      <c r="DQ160" s="1936">
        <v>0</v>
      </c>
      <c r="DR160" s="1936">
        <v>2279.9898453068422</v>
      </c>
      <c r="DS160" s="1936">
        <v>1510.0478701116917</v>
      </c>
      <c r="DT160" s="1936">
        <v>264.04084212016625</v>
      </c>
      <c r="DU160" s="1936">
        <v>9328.1011811856497</v>
      </c>
      <c r="DV160" s="1936">
        <v>4324.6038362028494</v>
      </c>
      <c r="DW160" s="1936">
        <v>1434.6651191287906</v>
      </c>
      <c r="DX160" s="1936">
        <v>0</v>
      </c>
      <c r="DY160" s="1936">
        <v>2577.5233558761952</v>
      </c>
      <c r="DZ160" s="1936">
        <v>167.850570011423</v>
      </c>
      <c r="EA160" s="1936">
        <v>677.16509774445205</v>
      </c>
      <c r="EB160" s="1936">
        <v>9181.8079789637104</v>
      </c>
      <c r="EC160" s="1936">
        <v>146.29320222193928</v>
      </c>
      <c r="ED160" s="1941">
        <v>115</v>
      </c>
      <c r="EE160" s="1936">
        <v>0</v>
      </c>
      <c r="EF160" s="1936">
        <v>0</v>
      </c>
      <c r="EG160" s="1938">
        <v>0</v>
      </c>
      <c r="EH160" s="1938">
        <v>1</v>
      </c>
      <c r="EI160" s="1368">
        <v>0.05</v>
      </c>
      <c r="EJ160" s="1936">
        <v>12.014050457225542</v>
      </c>
      <c r="EK160" s="1936">
        <v>1</v>
      </c>
      <c r="EL160" s="1936">
        <v>600</v>
      </c>
      <c r="EM160" s="1936">
        <v>1</v>
      </c>
      <c r="EN160" s="1362">
        <v>0.2</v>
      </c>
      <c r="EO160" s="1936">
        <v>0</v>
      </c>
      <c r="EP160" s="1936">
        <v>0</v>
      </c>
      <c r="EQ160" s="1936">
        <v>0</v>
      </c>
      <c r="ER160" s="1938">
        <v>0</v>
      </c>
      <c r="ES160" s="1936">
        <v>3790.0377154185339</v>
      </c>
      <c r="ET160" s="1936">
        <v>-710.43194364628698</v>
      </c>
      <c r="EU160" s="1938">
        <v>2</v>
      </c>
      <c r="EV160" s="1936">
        <v>109823</v>
      </c>
      <c r="EW160" s="1936">
        <v>29562</v>
      </c>
      <c r="EX160" s="1938">
        <v>1</v>
      </c>
      <c r="EY160" s="1936">
        <v>3150070</v>
      </c>
      <c r="EZ160" s="1936">
        <v>1433832</v>
      </c>
      <c r="FA160" s="1936">
        <v>1716238</v>
      </c>
      <c r="FB160" s="1936">
        <v>2086306</v>
      </c>
      <c r="FC160" s="1936">
        <v>548324</v>
      </c>
      <c r="FD160" s="1936">
        <v>1537982</v>
      </c>
      <c r="FE160" s="1936">
        <v>5236376</v>
      </c>
      <c r="FF160" s="1936">
        <v>1982156</v>
      </c>
      <c r="FG160" s="1936">
        <v>3254220</v>
      </c>
      <c r="FH160" s="1366">
        <v>1</v>
      </c>
      <c r="FI160" s="1366">
        <v>0.45517464691260828</v>
      </c>
      <c r="FJ160" s="1366">
        <v>0.54482535308739166</v>
      </c>
      <c r="FK160" s="1366">
        <v>1</v>
      </c>
      <c r="FL160" s="1366">
        <v>0.26282050667543494</v>
      </c>
      <c r="FM160" s="1366">
        <v>0.737179493324565</v>
      </c>
      <c r="FN160" s="1366">
        <v>1</v>
      </c>
      <c r="FO160" s="1366">
        <v>0.3785358423459278</v>
      </c>
      <c r="FP160" s="1366">
        <v>0.62146415765407226</v>
      </c>
      <c r="FQ160" s="1936">
        <v>3056649</v>
      </c>
      <c r="FR160" s="1936">
        <v>0</v>
      </c>
      <c r="FS160" s="1936">
        <v>520392</v>
      </c>
      <c r="FT160" s="1936">
        <v>48562</v>
      </c>
      <c r="FU160" s="1936">
        <v>0</v>
      </c>
      <c r="FV160" s="1936">
        <v>185189</v>
      </c>
      <c r="FW160" s="1936">
        <v>424972</v>
      </c>
      <c r="FX160" s="1936">
        <v>4235764</v>
      </c>
      <c r="FY160" s="1936">
        <v>-981544</v>
      </c>
      <c r="FZ160" s="1366">
        <v>0.58373367382327013</v>
      </c>
      <c r="GA160" s="1366">
        <v>0</v>
      </c>
      <c r="GB160" s="1366">
        <v>9.9380182019014676E-2</v>
      </c>
      <c r="GC160" s="1366">
        <v>9.2739711586792093E-3</v>
      </c>
      <c r="GD160" s="1366">
        <v>0</v>
      </c>
      <c r="GE160" s="1366">
        <v>3.5365871358359294E-2</v>
      </c>
      <c r="GF160" s="1366">
        <v>8.1157655599979839E-2</v>
      </c>
      <c r="GG160" s="1366">
        <v>0.80891135395930314</v>
      </c>
      <c r="GH160" s="1366">
        <v>-0.18744719630523093</v>
      </c>
      <c r="GI160" s="1942">
        <v>1.5098791835905183</v>
      </c>
      <c r="GJ160" s="1943">
        <v>1</v>
      </c>
      <c r="GK160" s="1371">
        <v>0.08</v>
      </c>
      <c r="GL160" s="1943">
        <v>1</v>
      </c>
      <c r="GM160" s="1371">
        <v>0.1</v>
      </c>
      <c r="GN160" s="1943">
        <v>0</v>
      </c>
      <c r="GO160" s="1985">
        <f>IF(GN160=0,0,VLOOKUP(A160,'Area (&amp;golfacre for lookup)'!$G$2:$H$133,2,FALSE))</f>
        <v>0</v>
      </c>
      <c r="GP160" s="1943">
        <v>0</v>
      </c>
      <c r="GQ160" s="1943">
        <v>0</v>
      </c>
      <c r="GR160" s="1943">
        <v>0</v>
      </c>
      <c r="GS160" s="1943">
        <v>0</v>
      </c>
      <c r="GT160" s="1943">
        <v>0</v>
      </c>
      <c r="GU160" s="1943">
        <v>0</v>
      </c>
      <c r="GV160" s="1943">
        <v>0</v>
      </c>
      <c r="GW160" s="1943">
        <v>0</v>
      </c>
      <c r="GX160" s="1936">
        <v>0</v>
      </c>
      <c r="GY160" s="1985">
        <f t="shared" si="1319"/>
        <v>0</v>
      </c>
      <c r="GZ160" s="1936">
        <v>0</v>
      </c>
      <c r="HA160" s="1936">
        <v>0</v>
      </c>
      <c r="HB160" s="1936">
        <v>0</v>
      </c>
      <c r="HC160" s="1936">
        <v>0</v>
      </c>
      <c r="HD160" s="1936">
        <v>0</v>
      </c>
      <c r="HE160" s="1936">
        <v>0</v>
      </c>
      <c r="HF160" s="1936">
        <v>0</v>
      </c>
      <c r="HG160" s="1936">
        <v>0</v>
      </c>
      <c r="HH160" s="1988">
        <f>IF(HG160=0,0,VLOOKUP(A160,'Area (&amp;golfacre for lookup)'!$G$2:$H$134,2,FALSE))</f>
        <v>0</v>
      </c>
      <c r="HI160" s="1936">
        <v>0</v>
      </c>
      <c r="HJ160" s="1936">
        <v>0</v>
      </c>
      <c r="HK160" s="1936">
        <v>0</v>
      </c>
      <c r="HL160" s="1936">
        <v>0</v>
      </c>
      <c r="HM160" s="1936">
        <v>0</v>
      </c>
      <c r="HN160" s="1936">
        <v>0</v>
      </c>
      <c r="HO160" s="1936">
        <v>0</v>
      </c>
      <c r="HP160" s="1936">
        <v>0</v>
      </c>
      <c r="HQ160" s="1936">
        <v>0</v>
      </c>
      <c r="HR160" s="1988">
        <f t="shared" si="1320"/>
        <v>0</v>
      </c>
      <c r="HS160" s="1936">
        <v>0</v>
      </c>
      <c r="HT160" s="1936">
        <v>0</v>
      </c>
      <c r="HU160" s="1936">
        <v>0</v>
      </c>
      <c r="HV160" s="1936">
        <v>0</v>
      </c>
      <c r="HW160" s="1936">
        <v>0</v>
      </c>
      <c r="HX160" s="1936">
        <v>0</v>
      </c>
      <c r="HY160" s="1936">
        <v>0</v>
      </c>
      <c r="HZ160" s="51"/>
      <c r="IA160" s="59">
        <f t="shared" si="1322"/>
        <v>0</v>
      </c>
      <c r="IB160" s="59"/>
      <c r="IC160" s="815">
        <f t="shared" si="1323"/>
        <v>1</v>
      </c>
      <c r="ID160" s="815"/>
      <c r="IE160" s="284">
        <f t="shared" si="1324"/>
        <v>0</v>
      </c>
      <c r="IF160" s="284"/>
      <c r="IG160" s="284">
        <f t="shared" si="1325"/>
        <v>15092.560436155296</v>
      </c>
      <c r="IH160" s="284"/>
      <c r="II160" s="1288">
        <f t="shared" si="1326"/>
        <v>1.0712956172123951</v>
      </c>
      <c r="IJ160" s="1288">
        <f t="shared" si="1327"/>
        <v>0</v>
      </c>
      <c r="IK160" s="284">
        <f t="shared" si="1328"/>
        <v>0</v>
      </c>
      <c r="IL160" s="284">
        <f t="shared" si="1329"/>
        <v>0</v>
      </c>
      <c r="IM160" s="284">
        <f t="shared" si="1330"/>
        <v>1</v>
      </c>
      <c r="IN160" s="284">
        <f t="shared" si="1331"/>
        <v>0</v>
      </c>
      <c r="IO160" s="753">
        <f t="shared" si="1332"/>
        <v>-669.08248125426041</v>
      </c>
      <c r="IP160" s="113">
        <f t="shared" si="1333"/>
        <v>-710.43194364628698</v>
      </c>
      <c r="IQ160" s="30">
        <f t="shared" si="1334"/>
        <v>-0.16084037664620487</v>
      </c>
      <c r="IR160" s="438">
        <f t="shared" si="1335"/>
        <v>3150070</v>
      </c>
      <c r="IS160" s="438">
        <f t="shared" si="1336"/>
        <v>2086306</v>
      </c>
      <c r="IT160" s="438">
        <f t="shared" si="1337"/>
        <v>3056649</v>
      </c>
      <c r="IU160" s="438">
        <f t="shared" si="1338"/>
        <v>568954</v>
      </c>
      <c r="IV160" s="438">
        <f t="shared" si="1339"/>
        <v>1982156</v>
      </c>
      <c r="IW160" s="438">
        <f t="shared" si="1340"/>
        <v>610161</v>
      </c>
      <c r="IX160" s="285">
        <f t="shared" si="1341"/>
        <v>0.60157444767144297</v>
      </c>
      <c r="IY160" s="285">
        <f t="shared" si="1342"/>
        <v>0.39842555232855698</v>
      </c>
      <c r="IZ160" s="285">
        <f t="shared" si="1343"/>
        <v>0.58373367382327013</v>
      </c>
      <c r="JA160" s="285">
        <f t="shared" si="1344"/>
        <v>0.10865415317769389</v>
      </c>
      <c r="JB160" s="285">
        <f t="shared" si="1345"/>
        <v>0.3785358423459278</v>
      </c>
      <c r="JC160" s="285">
        <f t="shared" si="1346"/>
        <v>0.11652352695833913</v>
      </c>
      <c r="JD160" s="60">
        <f t="shared" si="1347"/>
        <v>6102597</v>
      </c>
      <c r="JE160" s="60">
        <f t="shared" si="1348"/>
        <v>1184076</v>
      </c>
      <c r="JF160" s="60">
        <f t="shared" si="1349"/>
        <v>0</v>
      </c>
      <c r="JG160" s="60">
        <f t="shared" si="1350"/>
        <v>1167487</v>
      </c>
      <c r="JH160" s="284">
        <f t="shared" si="1351"/>
        <v>1</v>
      </c>
      <c r="JI160" s="284">
        <f t="shared" si="1352"/>
        <v>0</v>
      </c>
      <c r="JJ160" s="560">
        <f t="shared" si="1353"/>
        <v>0</v>
      </c>
      <c r="JK160" s="561">
        <f t="shared" si="1354"/>
        <v>0.46361030527042058</v>
      </c>
      <c r="JL160" s="561">
        <f t="shared" si="1355"/>
        <v>0.15380033848929986</v>
      </c>
      <c r="JM160" s="561">
        <f t="shared" si="1356"/>
        <v>0</v>
      </c>
      <c r="JN160" s="561">
        <f t="shared" si="1357"/>
        <v>0.27631811724715649</v>
      </c>
      <c r="JO160" s="561">
        <f t="shared" si="1358"/>
        <v>1.7994076902807389E-2</v>
      </c>
      <c r="JP160" s="561">
        <f t="shared" si="1359"/>
        <v>7.2594098690767092E-2</v>
      </c>
      <c r="JQ160" s="561">
        <f t="shared" si="1360"/>
        <v>0.98431693660045139</v>
      </c>
      <c r="JR160" s="61">
        <f t="shared" si="1361"/>
        <v>0</v>
      </c>
      <c r="JS160" s="61">
        <f t="shared" si="1362"/>
        <v>0</v>
      </c>
      <c r="JT160" s="61">
        <f t="shared" si="1363"/>
        <v>0</v>
      </c>
      <c r="JU160" s="61">
        <f t="shared" si="1364"/>
        <v>0</v>
      </c>
      <c r="JV160" s="61">
        <f t="shared" si="1365"/>
        <v>0</v>
      </c>
      <c r="JW160" s="61">
        <f t="shared" si="1366"/>
        <v>0</v>
      </c>
      <c r="JX160" s="61">
        <f t="shared" si="1367"/>
        <v>0</v>
      </c>
      <c r="JY160" s="394">
        <f t="shared" si="1368"/>
        <v>0</v>
      </c>
      <c r="JZ160" s="61">
        <f t="shared" si="1369"/>
        <v>0</v>
      </c>
      <c r="KA160" s="61">
        <f t="shared" si="1370"/>
        <v>0</v>
      </c>
      <c r="KB160" s="61">
        <f t="shared" si="1371"/>
        <v>0</v>
      </c>
      <c r="KC160" s="61">
        <f t="shared" si="1372"/>
        <v>0</v>
      </c>
      <c r="KD160" s="61">
        <f t="shared" si="1373"/>
        <v>0</v>
      </c>
      <c r="KE160" s="61">
        <f t="shared" si="1374"/>
        <v>0</v>
      </c>
      <c r="KF160" s="61">
        <f t="shared" si="1375"/>
        <v>0</v>
      </c>
      <c r="KG160" s="61">
        <f t="shared" si="1376"/>
        <v>0</v>
      </c>
      <c r="KH160" s="61">
        <f t="shared" si="1377"/>
        <v>0</v>
      </c>
      <c r="KI160" s="394">
        <f t="shared" si="1378"/>
        <v>0</v>
      </c>
      <c r="KJ160" s="438">
        <f t="shared" si="1379"/>
        <v>0</v>
      </c>
      <c r="KK160" s="438">
        <f t="shared" si="1380"/>
        <v>0</v>
      </c>
      <c r="KL160" s="438">
        <f t="shared" si="1381"/>
        <v>0</v>
      </c>
      <c r="KM160" s="438">
        <f t="shared" si="1382"/>
        <v>0</v>
      </c>
      <c r="KN160" s="438">
        <f t="shared" si="1383"/>
        <v>0</v>
      </c>
      <c r="KO160" s="438">
        <f t="shared" si="1384"/>
        <v>0</v>
      </c>
      <c r="KP160" s="438">
        <f t="shared" si="1385"/>
        <v>0</v>
      </c>
      <c r="KQ160" s="438">
        <f t="shared" si="1386"/>
        <v>0</v>
      </c>
      <c r="KR160" s="438">
        <f t="shared" si="1387"/>
        <v>0</v>
      </c>
      <c r="KS160" s="438">
        <f t="shared" si="1388"/>
        <v>0</v>
      </c>
      <c r="KT160" s="438">
        <f t="shared" si="1389"/>
        <v>0</v>
      </c>
      <c r="KU160" s="438">
        <f t="shared" si="1390"/>
        <v>0</v>
      </c>
      <c r="KV160" s="420">
        <f t="shared" si="1391"/>
        <v>0</v>
      </c>
      <c r="KW160" s="420">
        <f t="shared" si="1392"/>
        <v>0</v>
      </c>
      <c r="KX160" s="108"/>
      <c r="KY160" s="282">
        <f t="shared" si="1393"/>
        <v>0</v>
      </c>
      <c r="KZ160" s="282"/>
      <c r="LA160" s="282">
        <f t="shared" si="1394"/>
        <v>0</v>
      </c>
      <c r="LB160" s="282"/>
      <c r="LC160" s="286">
        <f t="shared" si="1321"/>
        <v>0</v>
      </c>
      <c r="LD160" s="286"/>
      <c r="LE160" s="282">
        <f t="shared" si="1395"/>
        <v>0</v>
      </c>
      <c r="LF160" s="282"/>
      <c r="LG160" s="282">
        <f t="shared" si="1396"/>
        <v>0</v>
      </c>
      <c r="LH160" s="282">
        <f t="shared" si="1397"/>
        <v>0</v>
      </c>
      <c r="LI160" s="282">
        <f t="shared" si="1398"/>
        <v>0</v>
      </c>
      <c r="LJ160" s="282">
        <f t="shared" si="1399"/>
        <v>0</v>
      </c>
      <c r="LK160" s="282"/>
      <c r="LL160" s="282">
        <f t="shared" si="1400"/>
        <v>0</v>
      </c>
      <c r="LM160" s="282">
        <f t="shared" si="1401"/>
        <v>0</v>
      </c>
      <c r="LN160" s="282">
        <f t="shared" si="1402"/>
        <v>0</v>
      </c>
      <c r="LO160" s="282">
        <f t="shared" si="1403"/>
        <v>0</v>
      </c>
      <c r="LP160" s="286">
        <f t="shared" si="1404"/>
        <v>0</v>
      </c>
      <c r="LQ160" s="282">
        <f t="shared" si="1405"/>
        <v>0</v>
      </c>
      <c r="LR160" s="282">
        <f t="shared" si="1406"/>
        <v>0</v>
      </c>
      <c r="LS160" s="282">
        <f t="shared" si="1407"/>
        <v>0</v>
      </c>
      <c r="LT160" s="286">
        <f t="shared" si="1408"/>
        <v>0</v>
      </c>
      <c r="LU160" s="286">
        <f t="shared" si="1409"/>
        <v>0</v>
      </c>
      <c r="LV160" s="286">
        <f t="shared" si="1410"/>
        <v>0</v>
      </c>
      <c r="LW160" s="286">
        <f t="shared" si="1411"/>
        <v>0</v>
      </c>
      <c r="LX160" s="286">
        <f t="shared" si="1412"/>
        <v>0</v>
      </c>
      <c r="LY160" s="286">
        <f t="shared" si="1413"/>
        <v>0</v>
      </c>
      <c r="LZ160" s="286">
        <f t="shared" si="1414"/>
        <v>0</v>
      </c>
      <c r="MA160" s="286">
        <f t="shared" si="1415"/>
        <v>0</v>
      </c>
      <c r="MB160" s="286">
        <f t="shared" si="1416"/>
        <v>0</v>
      </c>
      <c r="MC160" s="286">
        <f t="shared" si="1417"/>
        <v>0</v>
      </c>
      <c r="MD160" s="286">
        <f t="shared" si="1418"/>
        <v>0</v>
      </c>
      <c r="ME160" s="286">
        <f t="shared" si="1419"/>
        <v>0</v>
      </c>
      <c r="MF160" s="286">
        <f t="shared" si="1420"/>
        <v>0</v>
      </c>
      <c r="MG160" s="286">
        <f t="shared" si="1421"/>
        <v>0</v>
      </c>
      <c r="MH160" s="286">
        <f t="shared" si="1422"/>
        <v>0</v>
      </c>
      <c r="MI160" s="286">
        <f t="shared" si="1423"/>
        <v>0</v>
      </c>
      <c r="MJ160" s="286">
        <f t="shared" si="1424"/>
        <v>0</v>
      </c>
      <c r="MK160" s="286">
        <f t="shared" si="1425"/>
        <v>0</v>
      </c>
      <c r="ML160" s="282">
        <f t="shared" si="1426"/>
        <v>0</v>
      </c>
      <c r="MM160" s="1232">
        <f t="shared" si="1427"/>
        <v>0</v>
      </c>
      <c r="MN160" s="1232">
        <f t="shared" si="1428"/>
        <v>0</v>
      </c>
      <c r="MO160" s="1232">
        <f t="shared" si="1429"/>
        <v>0</v>
      </c>
      <c r="MP160" s="1232">
        <f t="shared" si="1430"/>
        <v>0</v>
      </c>
      <c r="MQ160" s="282">
        <f t="shared" si="1431"/>
        <v>0</v>
      </c>
      <c r="MR160" s="282">
        <f t="shared" si="1432"/>
        <v>0</v>
      </c>
      <c r="MS160" s="282">
        <f t="shared" si="1433"/>
        <v>0</v>
      </c>
      <c r="MT160" s="282">
        <f t="shared" si="1434"/>
        <v>0</v>
      </c>
      <c r="MU160" s="282">
        <f t="shared" si="1435"/>
        <v>0</v>
      </c>
      <c r="MV160" s="282">
        <f t="shared" si="1436"/>
        <v>0</v>
      </c>
      <c r="MW160" s="282">
        <f t="shared" si="1437"/>
        <v>0</v>
      </c>
      <c r="MX160" s="282">
        <f t="shared" si="1438"/>
        <v>0</v>
      </c>
      <c r="MY160" s="282">
        <f t="shared" si="1439"/>
        <v>0</v>
      </c>
      <c r="MZ160" s="282">
        <f t="shared" si="1440"/>
        <v>0</v>
      </c>
      <c r="NA160" s="282">
        <f t="shared" si="1441"/>
        <v>0</v>
      </c>
      <c r="NB160" s="282">
        <f t="shared" si="1442"/>
        <v>0</v>
      </c>
      <c r="NC160" s="282">
        <f t="shared" si="1443"/>
        <v>0</v>
      </c>
      <c r="ND160" s="282">
        <f t="shared" si="1444"/>
        <v>0</v>
      </c>
      <c r="NE160" s="282">
        <f t="shared" si="1445"/>
        <v>0</v>
      </c>
      <c r="NF160" s="282">
        <f t="shared" si="1446"/>
        <v>0</v>
      </c>
      <c r="NG160" s="282">
        <f t="shared" si="1447"/>
        <v>0</v>
      </c>
      <c r="NH160" s="282">
        <f t="shared" si="1448"/>
        <v>0</v>
      </c>
      <c r="NI160" s="282">
        <f t="shared" si="1449"/>
        <v>0</v>
      </c>
      <c r="NJ160" s="282">
        <f t="shared" si="1450"/>
        <v>0</v>
      </c>
      <c r="NK160" s="282">
        <f t="shared" si="1451"/>
        <v>0</v>
      </c>
      <c r="NL160" s="282">
        <f t="shared" si="1452"/>
        <v>0</v>
      </c>
      <c r="NM160" s="1205">
        <f t="shared" si="1453"/>
        <v>0</v>
      </c>
      <c r="NN160" s="282">
        <f t="shared" si="1454"/>
        <v>0</v>
      </c>
      <c r="NO160" s="282">
        <f t="shared" si="1455"/>
        <v>0</v>
      </c>
      <c r="NP160" s="282">
        <f t="shared" si="1456"/>
        <v>0</v>
      </c>
      <c r="NQ160" s="282">
        <f t="shared" si="1457"/>
        <v>0</v>
      </c>
      <c r="NR160" s="282">
        <f t="shared" si="1458"/>
        <v>0</v>
      </c>
      <c r="NS160" s="282">
        <f t="shared" si="1459"/>
        <v>0</v>
      </c>
      <c r="NT160" s="282">
        <f t="shared" si="1460"/>
        <v>0</v>
      </c>
      <c r="NU160" s="282">
        <f t="shared" si="1461"/>
        <v>0</v>
      </c>
      <c r="NV160" s="286">
        <f t="shared" si="1462"/>
        <v>0</v>
      </c>
      <c r="NW160" s="286">
        <f t="shared" si="1463"/>
        <v>0</v>
      </c>
      <c r="NX160" s="286">
        <f t="shared" si="1464"/>
        <v>0</v>
      </c>
      <c r="NY160" s="286">
        <f t="shared" si="1465"/>
        <v>0</v>
      </c>
      <c r="NZ160" s="286">
        <f t="shared" si="1466"/>
        <v>0</v>
      </c>
      <c r="OA160" s="286">
        <f t="shared" si="1467"/>
        <v>0</v>
      </c>
      <c r="OB160" s="286">
        <f t="shared" si="1468"/>
        <v>0</v>
      </c>
      <c r="OC160" s="286">
        <f t="shared" si="1469"/>
        <v>0</v>
      </c>
      <c r="OD160" s="286">
        <f t="shared" si="1470"/>
        <v>0</v>
      </c>
      <c r="OE160" s="282">
        <f t="shared" si="1471"/>
        <v>0</v>
      </c>
      <c r="OF160" s="282">
        <f t="shared" si="1472"/>
        <v>0</v>
      </c>
      <c r="OG160" s="286">
        <f t="shared" si="1473"/>
        <v>0</v>
      </c>
      <c r="OH160" s="286">
        <f t="shared" si="1474"/>
        <v>0</v>
      </c>
      <c r="OI160" s="286">
        <f t="shared" si="1475"/>
        <v>0</v>
      </c>
      <c r="OJ160" s="286">
        <f t="shared" si="1476"/>
        <v>0</v>
      </c>
      <c r="OK160" s="286">
        <f t="shared" si="1477"/>
        <v>0</v>
      </c>
      <c r="OL160" s="286">
        <f t="shared" si="1478"/>
        <v>0</v>
      </c>
      <c r="OM160" s="286">
        <f t="shared" si="1479"/>
        <v>0</v>
      </c>
      <c r="ON160" s="286">
        <f t="shared" si="1480"/>
        <v>0</v>
      </c>
      <c r="OO160" s="286">
        <f t="shared" si="1481"/>
        <v>0</v>
      </c>
      <c r="OP160" s="434">
        <f t="shared" si="1482"/>
        <v>0</v>
      </c>
      <c r="OQ160" s="434">
        <f t="shared" si="1483"/>
        <v>0</v>
      </c>
      <c r="OR160" s="282">
        <f t="shared" si="1484"/>
        <v>0</v>
      </c>
      <c r="OS160" s="282">
        <f t="shared" si="1485"/>
        <v>0</v>
      </c>
      <c r="OT160" s="282">
        <f t="shared" si="1486"/>
        <v>0</v>
      </c>
      <c r="OU160" s="282">
        <f t="shared" si="1487"/>
        <v>0</v>
      </c>
      <c r="OV160" s="282">
        <f t="shared" si="1488"/>
        <v>0</v>
      </c>
      <c r="OW160" s="286">
        <f t="shared" si="1489"/>
        <v>0</v>
      </c>
      <c r="OX160" s="286">
        <f t="shared" si="1490"/>
        <v>0</v>
      </c>
      <c r="OY160" s="286">
        <f t="shared" si="1491"/>
        <v>0</v>
      </c>
      <c r="OZ160" s="286">
        <f t="shared" si="1492"/>
        <v>0</v>
      </c>
      <c r="PA160" s="286">
        <f t="shared" si="1493"/>
        <v>0</v>
      </c>
      <c r="PB160" s="286">
        <f t="shared" si="1494"/>
        <v>0</v>
      </c>
      <c r="PC160" s="286">
        <f t="shared" si="1495"/>
        <v>0</v>
      </c>
      <c r="PD160" s="282">
        <f t="shared" si="1496"/>
        <v>0</v>
      </c>
      <c r="PE160" s="282">
        <f t="shared" si="1497"/>
        <v>0</v>
      </c>
      <c r="PF160" s="286">
        <f t="shared" si="1498"/>
        <v>0</v>
      </c>
      <c r="PG160" s="286">
        <f t="shared" si="1499"/>
        <v>0</v>
      </c>
      <c r="PH160" s="286">
        <f t="shared" si="1500"/>
        <v>0</v>
      </c>
      <c r="PI160" s="286">
        <f t="shared" si="1501"/>
        <v>0</v>
      </c>
      <c r="PJ160" s="286">
        <f t="shared" si="1502"/>
        <v>0</v>
      </c>
      <c r="PK160" s="286">
        <f t="shared" si="1503"/>
        <v>0</v>
      </c>
      <c r="PL160" s="286">
        <f t="shared" si="1504"/>
        <v>0</v>
      </c>
      <c r="PM160" s="562">
        <v>104</v>
      </c>
    </row>
    <row r="161" spans="1:429" s="1964" customFormat="1" ht="15.75" customHeight="1">
      <c r="A161" s="1949" t="s">
        <v>1411</v>
      </c>
      <c r="B161" s="1929" t="s">
        <v>412</v>
      </c>
      <c r="C161" s="1950"/>
      <c r="D161" s="1951">
        <v>44712</v>
      </c>
      <c r="E161" s="1952"/>
      <c r="F161" s="1950">
        <v>1</v>
      </c>
      <c r="G161" s="1950">
        <v>0</v>
      </c>
      <c r="H161" s="1950">
        <v>742</v>
      </c>
      <c r="I161" s="1950">
        <v>725</v>
      </c>
      <c r="J161" s="1950">
        <v>1467</v>
      </c>
      <c r="K161" s="1950">
        <v>1381.6158025809373</v>
      </c>
      <c r="L161" s="1953" t="s">
        <v>1208</v>
      </c>
      <c r="M161" s="1953" t="s">
        <v>1208</v>
      </c>
      <c r="N161" s="1953" t="s">
        <v>1208</v>
      </c>
      <c r="O161" s="1953" t="s">
        <v>1208</v>
      </c>
      <c r="P161" s="1953" t="s">
        <v>1208</v>
      </c>
      <c r="Q161" s="1950">
        <v>0</v>
      </c>
      <c r="R161" s="1950">
        <v>27500</v>
      </c>
      <c r="S161" s="1950">
        <v>27500</v>
      </c>
      <c r="T161" s="1953" t="s">
        <v>1208</v>
      </c>
      <c r="U161" s="1953" t="s">
        <v>1208</v>
      </c>
      <c r="V161" s="1953" t="s">
        <v>1208</v>
      </c>
      <c r="W161" s="1950">
        <v>4680</v>
      </c>
      <c r="X161" s="1950">
        <v>4417</v>
      </c>
      <c r="Y161" s="1953" t="s">
        <v>1208</v>
      </c>
      <c r="Z161" s="1953" t="s">
        <v>1208</v>
      </c>
      <c r="AA161" s="1950">
        <v>263</v>
      </c>
      <c r="AB161" s="1954">
        <v>5.9542676024450986E-2</v>
      </c>
      <c r="AC161" s="1953" t="s">
        <v>1208</v>
      </c>
      <c r="AD161" s="1955" t="s">
        <v>1208</v>
      </c>
      <c r="AE161" s="1950">
        <v>0</v>
      </c>
      <c r="AF161" s="1950">
        <v>0</v>
      </c>
      <c r="AG161" s="1953" t="s">
        <v>1208</v>
      </c>
      <c r="AH161" s="1950">
        <v>0</v>
      </c>
      <c r="AI161" s="1950">
        <v>0</v>
      </c>
      <c r="AJ161" s="1953" t="s">
        <v>1208</v>
      </c>
      <c r="AK161" s="1950">
        <v>1</v>
      </c>
      <c r="AL161" s="1950">
        <v>720</v>
      </c>
      <c r="AM161" s="1950">
        <v>5137</v>
      </c>
      <c r="AN161" s="1953" t="s">
        <v>1208</v>
      </c>
      <c r="AO161" s="1950">
        <v>600</v>
      </c>
      <c r="AP161" s="1950">
        <v>0</v>
      </c>
      <c r="AQ161" s="1950">
        <v>5737</v>
      </c>
      <c r="AR161" s="1953" t="s">
        <v>1208</v>
      </c>
      <c r="AS161" s="1955" t="s">
        <v>1208</v>
      </c>
      <c r="AT161" s="1955" t="s">
        <v>1208</v>
      </c>
      <c r="AU161" s="1955" t="s">
        <v>1208</v>
      </c>
      <c r="AV161" s="1955" t="s">
        <v>1208</v>
      </c>
      <c r="AW161" s="1955" t="s">
        <v>1291</v>
      </c>
      <c r="AX161" s="1950">
        <v>1</v>
      </c>
      <c r="AY161" s="1950">
        <v>0</v>
      </c>
      <c r="AZ161" s="1950">
        <v>0</v>
      </c>
      <c r="BA161" s="1950">
        <v>0</v>
      </c>
      <c r="BB161" s="1950">
        <v>1</v>
      </c>
      <c r="BC161" s="1950">
        <v>0</v>
      </c>
      <c r="BD161" s="1950">
        <v>0</v>
      </c>
      <c r="BE161" s="1950">
        <v>0</v>
      </c>
      <c r="BF161" s="1950">
        <v>3600000</v>
      </c>
      <c r="BG161" s="1950">
        <v>0</v>
      </c>
      <c r="BH161" s="1950">
        <v>3600000</v>
      </c>
      <c r="BI161" s="1950">
        <v>20852120</v>
      </c>
      <c r="BJ161" s="1950">
        <v>4893490</v>
      </c>
      <c r="BK161" s="1950">
        <v>1194270</v>
      </c>
      <c r="BL161" s="1954">
        <v>4.0974737705878903</v>
      </c>
      <c r="BM161" s="1950">
        <v>1</v>
      </c>
      <c r="BN161" s="1950">
        <v>9789261</v>
      </c>
      <c r="BO161" s="1955" t="s">
        <v>1208</v>
      </c>
      <c r="BP161" s="1950">
        <v>2193977</v>
      </c>
      <c r="BQ161" s="1950">
        <v>2047966</v>
      </c>
      <c r="BR161" s="1956">
        <v>1.0712956172123951</v>
      </c>
      <c r="BS161" s="1980">
        <v>1</v>
      </c>
      <c r="BT161" s="1950">
        <v>10978818</v>
      </c>
      <c r="BU161" s="1950">
        <v>15306825</v>
      </c>
      <c r="BV161" s="1956">
        <v>0.71724985423169074</v>
      </c>
      <c r="BW161" s="1950">
        <v>7085.3713324015989</v>
      </c>
      <c r="BX161" s="1950">
        <v>3541.8601834595993</v>
      </c>
      <c r="BY161" s="1950">
        <v>2605.6447771334074</v>
      </c>
      <c r="BZ161" s="1950">
        <v>0</v>
      </c>
      <c r="CA161" s="1950">
        <v>172264</v>
      </c>
      <c r="CB161" s="1950">
        <v>0</v>
      </c>
      <c r="CC161" s="1950">
        <v>1011812</v>
      </c>
      <c r="CD161" s="1950">
        <v>6102597</v>
      </c>
      <c r="CE161" s="1950">
        <v>0</v>
      </c>
      <c r="CF161" s="1950">
        <v>0</v>
      </c>
      <c r="CG161" s="1950">
        <v>3150070</v>
      </c>
      <c r="CH161" s="1950">
        <v>2086306</v>
      </c>
      <c r="CI161" s="1950">
        <v>364803</v>
      </c>
      <c r="CJ161" s="1950">
        <v>12887852</v>
      </c>
      <c r="CK161" s="1957">
        <v>0</v>
      </c>
      <c r="CL161" s="1957">
        <v>1.3366385647507436E-2</v>
      </c>
      <c r="CM161" s="1957">
        <v>0</v>
      </c>
      <c r="CN161" s="1957">
        <v>7.850897108377719E-2</v>
      </c>
      <c r="CO161" s="1957">
        <v>0.47351544694957703</v>
      </c>
      <c r="CP161" s="1957">
        <v>0</v>
      </c>
      <c r="CQ161" s="1957">
        <v>0</v>
      </c>
      <c r="CR161" s="1957">
        <v>0.24442164605862948</v>
      </c>
      <c r="CS161" s="1957">
        <v>0.16188159206049232</v>
      </c>
      <c r="CT161" s="1957">
        <v>2.8305958200016575E-2</v>
      </c>
      <c r="CU161" s="1957">
        <v>1</v>
      </c>
      <c r="CV161" s="1950">
        <v>5974941</v>
      </c>
      <c r="CW161" s="1950">
        <v>1982156</v>
      </c>
      <c r="CX161" s="1950">
        <v>0</v>
      </c>
      <c r="CY161" s="1950">
        <v>3561147</v>
      </c>
      <c r="CZ161" s="1950">
        <v>231905</v>
      </c>
      <c r="DA161" s="1950">
        <v>935582</v>
      </c>
      <c r="DB161" s="1950">
        <v>12685731</v>
      </c>
      <c r="DC161" s="1957">
        <v>0.47099698078100505</v>
      </c>
      <c r="DD161" s="1957">
        <v>0.15625083016500982</v>
      </c>
      <c r="DE161" s="1957">
        <v>0</v>
      </c>
      <c r="DF161" s="1957">
        <v>0.28072067742883716</v>
      </c>
      <c r="DG161" s="1957">
        <v>1.8280775463392688E-2</v>
      </c>
      <c r="DH161" s="1957">
        <v>7.3750736161755287E-2</v>
      </c>
      <c r="DI161" s="1957">
        <v>1</v>
      </c>
      <c r="DJ161" s="1950">
        <v>202121</v>
      </c>
      <c r="DK161" s="1950">
        <v>0</v>
      </c>
      <c r="DL161" s="1950">
        <v>124.68299774669703</v>
      </c>
      <c r="DM161" s="1950">
        <v>0</v>
      </c>
      <c r="DN161" s="1950">
        <v>732.33962590025203</v>
      </c>
      <c r="DO161" s="1950">
        <v>4417</v>
      </c>
      <c r="DP161" s="1950">
        <v>0</v>
      </c>
      <c r="DQ161" s="1950">
        <v>0</v>
      </c>
      <c r="DR161" s="1950">
        <v>2279.9898453068422</v>
      </c>
      <c r="DS161" s="1950">
        <v>1510.0478701116917</v>
      </c>
      <c r="DT161" s="1950">
        <v>264.04084212016625</v>
      </c>
      <c r="DU161" s="1950">
        <v>9328.1011811856497</v>
      </c>
      <c r="DV161" s="1950">
        <v>4324.6038362028494</v>
      </c>
      <c r="DW161" s="1950">
        <v>1434.6651191287906</v>
      </c>
      <c r="DX161" s="1950">
        <v>0</v>
      </c>
      <c r="DY161" s="1950">
        <v>2577.5233558761952</v>
      </c>
      <c r="DZ161" s="1950">
        <v>167.850570011423</v>
      </c>
      <c r="EA161" s="1950">
        <v>677.16509774445205</v>
      </c>
      <c r="EB161" s="1950">
        <v>9181.8079789637104</v>
      </c>
      <c r="EC161" s="1950">
        <v>146.29320222193928</v>
      </c>
      <c r="ED161" s="1956">
        <v>115</v>
      </c>
      <c r="EE161" s="1950">
        <v>0</v>
      </c>
      <c r="EF161" s="1950">
        <v>0</v>
      </c>
      <c r="EG161" s="1950">
        <v>0</v>
      </c>
      <c r="EH161" s="1950">
        <v>1</v>
      </c>
      <c r="EI161" s="1954">
        <v>0.05</v>
      </c>
      <c r="EJ161" s="1950">
        <v>12.014050457225542</v>
      </c>
      <c r="EK161" s="1950">
        <v>1</v>
      </c>
      <c r="EL161" s="1950">
        <v>600</v>
      </c>
      <c r="EM161" s="1950">
        <v>1</v>
      </c>
      <c r="EN161" s="1954">
        <v>0.2</v>
      </c>
      <c r="EO161" s="1950">
        <v>0</v>
      </c>
      <c r="EP161" s="1950">
        <v>0</v>
      </c>
      <c r="EQ161" s="1950">
        <v>0</v>
      </c>
      <c r="ER161" s="1950">
        <v>0</v>
      </c>
      <c r="ES161" s="1950">
        <v>3790.0377154185339</v>
      </c>
      <c r="ET161" s="1950">
        <v>-710.43194364628698</v>
      </c>
      <c r="EU161" s="1950">
        <v>2</v>
      </c>
      <c r="EV161" s="1950">
        <v>109823</v>
      </c>
      <c r="EW161" s="1950">
        <v>29562</v>
      </c>
      <c r="EX161" s="1950">
        <v>1</v>
      </c>
      <c r="EY161" s="1950">
        <v>3150070</v>
      </c>
      <c r="EZ161" s="1950">
        <v>1433832</v>
      </c>
      <c r="FA161" s="1950">
        <v>1716238</v>
      </c>
      <c r="FB161" s="1950">
        <v>2086306</v>
      </c>
      <c r="FC161" s="1950">
        <v>548324</v>
      </c>
      <c r="FD161" s="1950">
        <v>1537982</v>
      </c>
      <c r="FE161" s="1950">
        <v>5236376</v>
      </c>
      <c r="FF161" s="1950">
        <v>1982156</v>
      </c>
      <c r="FG161" s="1950">
        <v>3254220</v>
      </c>
      <c r="FH161" s="1957">
        <v>1</v>
      </c>
      <c r="FI161" s="1957">
        <v>0.45517464691260828</v>
      </c>
      <c r="FJ161" s="1957">
        <v>0.54482535308739166</v>
      </c>
      <c r="FK161" s="1957">
        <v>1</v>
      </c>
      <c r="FL161" s="1957">
        <v>0.26282050667543494</v>
      </c>
      <c r="FM161" s="1957">
        <v>0.737179493324565</v>
      </c>
      <c r="FN161" s="1957">
        <v>1</v>
      </c>
      <c r="FO161" s="1957">
        <v>0.3785358423459278</v>
      </c>
      <c r="FP161" s="1957">
        <v>0.62146415765407226</v>
      </c>
      <c r="FQ161" s="1950">
        <v>3056649</v>
      </c>
      <c r="FR161" s="1950">
        <v>0</v>
      </c>
      <c r="FS161" s="1950">
        <v>520392</v>
      </c>
      <c r="FT161" s="1950">
        <v>48562</v>
      </c>
      <c r="FU161" s="1950">
        <v>0</v>
      </c>
      <c r="FV161" s="1950">
        <v>185189</v>
      </c>
      <c r="FW161" s="1950">
        <v>424972</v>
      </c>
      <c r="FX161" s="1950">
        <v>4235764</v>
      </c>
      <c r="FY161" s="1950">
        <v>-981544</v>
      </c>
      <c r="FZ161" s="1957">
        <v>0.58373367382327013</v>
      </c>
      <c r="GA161" s="1957">
        <v>0</v>
      </c>
      <c r="GB161" s="1957">
        <v>9.9380182019014676E-2</v>
      </c>
      <c r="GC161" s="1957">
        <v>9.2739711586792093E-3</v>
      </c>
      <c r="GD161" s="1957">
        <v>0</v>
      </c>
      <c r="GE161" s="1957">
        <v>3.5365871358359294E-2</v>
      </c>
      <c r="GF161" s="1957">
        <v>8.1157655599979839E-2</v>
      </c>
      <c r="GG161" s="1957">
        <v>0.80891135395930314</v>
      </c>
      <c r="GH161" s="1957">
        <v>-0.18744719630523093</v>
      </c>
      <c r="GI161" s="1958">
        <v>1.5098791835905183</v>
      </c>
      <c r="GJ161" s="1959">
        <v>1</v>
      </c>
      <c r="GK161" s="1960">
        <v>0.08</v>
      </c>
      <c r="GL161" s="1959">
        <v>1</v>
      </c>
      <c r="GM161" s="1960">
        <v>0.1</v>
      </c>
      <c r="GN161" s="1959">
        <v>0</v>
      </c>
      <c r="GO161" s="1985">
        <f>IF(GN161=0,0,VLOOKUP(A161,'Area (&amp;golfacre for lookup)'!$G$2:$H$133,2,FALSE))</f>
        <v>0</v>
      </c>
      <c r="GP161" s="1959">
        <v>0</v>
      </c>
      <c r="GQ161" s="1959">
        <v>0</v>
      </c>
      <c r="GR161" s="1959">
        <v>0</v>
      </c>
      <c r="GS161" s="1959">
        <v>0</v>
      </c>
      <c r="GT161" s="1959">
        <v>0</v>
      </c>
      <c r="GU161" s="1959">
        <v>0</v>
      </c>
      <c r="GV161" s="1959">
        <v>0</v>
      </c>
      <c r="GW161" s="1959">
        <v>0</v>
      </c>
      <c r="GX161" s="1950">
        <v>0</v>
      </c>
      <c r="GY161" s="1985">
        <f t="shared" si="1319"/>
        <v>0</v>
      </c>
      <c r="GZ161" s="1950">
        <v>0</v>
      </c>
      <c r="HA161" s="1950">
        <v>0</v>
      </c>
      <c r="HB161" s="1950">
        <v>0</v>
      </c>
      <c r="HC161" s="1950">
        <v>0</v>
      </c>
      <c r="HD161" s="1950">
        <v>0</v>
      </c>
      <c r="HE161" s="1950">
        <v>0</v>
      </c>
      <c r="HF161" s="1950">
        <v>0</v>
      </c>
      <c r="HG161" s="1950">
        <v>0</v>
      </c>
      <c r="HH161" s="1988">
        <f>IF(HG161=0,0,VLOOKUP(A161,'Area (&amp;golfacre for lookup)'!$G$2:$H$134,2,FALSE))</f>
        <v>0</v>
      </c>
      <c r="HI161" s="1950">
        <v>0</v>
      </c>
      <c r="HJ161" s="1950">
        <v>0</v>
      </c>
      <c r="HK161" s="1950">
        <v>0</v>
      </c>
      <c r="HL161" s="1950">
        <v>0</v>
      </c>
      <c r="HM161" s="1950">
        <v>0</v>
      </c>
      <c r="HN161" s="1950">
        <v>0</v>
      </c>
      <c r="HO161" s="1950">
        <v>0</v>
      </c>
      <c r="HP161" s="1950">
        <v>0</v>
      </c>
      <c r="HQ161" s="1950">
        <v>0</v>
      </c>
      <c r="HR161" s="1988">
        <f t="shared" si="1320"/>
        <v>0</v>
      </c>
      <c r="HS161" s="1950">
        <v>0</v>
      </c>
      <c r="HT161" s="1950">
        <v>0</v>
      </c>
      <c r="HU161" s="1950">
        <v>0</v>
      </c>
      <c r="HV161" s="1950">
        <v>0</v>
      </c>
      <c r="HW161" s="1950">
        <v>0</v>
      </c>
      <c r="HX161" s="1950">
        <v>0</v>
      </c>
      <c r="HY161" s="1950">
        <v>0</v>
      </c>
      <c r="HZ161" s="1961"/>
      <c r="IA161" s="1962">
        <f t="shared" si="1322"/>
        <v>0</v>
      </c>
      <c r="IB161" s="1962"/>
      <c r="IC161" s="1963">
        <f t="shared" si="1323"/>
        <v>1</v>
      </c>
      <c r="ID161" s="1963"/>
      <c r="IE161" s="1964">
        <f t="shared" si="1324"/>
        <v>0</v>
      </c>
      <c r="IG161" s="1964">
        <f t="shared" si="1325"/>
        <v>15092.560436155296</v>
      </c>
      <c r="II161" s="1965">
        <f t="shared" si="1326"/>
        <v>1.0712956172123951</v>
      </c>
      <c r="IJ161" s="1965">
        <f t="shared" si="1327"/>
        <v>0</v>
      </c>
      <c r="IK161" s="1964">
        <f t="shared" si="1328"/>
        <v>0</v>
      </c>
      <c r="IL161" s="1964">
        <f t="shared" si="1329"/>
        <v>0</v>
      </c>
      <c r="IM161" s="1964">
        <f t="shared" si="1330"/>
        <v>1</v>
      </c>
      <c r="IN161" s="1964">
        <f t="shared" si="1331"/>
        <v>0</v>
      </c>
      <c r="IO161" s="1966">
        <f t="shared" si="1332"/>
        <v>-669.08248125426041</v>
      </c>
      <c r="IP161" s="1966">
        <f t="shared" si="1333"/>
        <v>-710.43194364628698</v>
      </c>
      <c r="IQ161" s="1967">
        <f t="shared" si="1334"/>
        <v>-0.16084037664620487</v>
      </c>
      <c r="IR161" s="1968">
        <f t="shared" si="1335"/>
        <v>3150070</v>
      </c>
      <c r="IS161" s="1968">
        <f t="shared" si="1336"/>
        <v>2086306</v>
      </c>
      <c r="IT161" s="1968">
        <f t="shared" si="1337"/>
        <v>3056649</v>
      </c>
      <c r="IU161" s="1968">
        <f t="shared" si="1338"/>
        <v>568954</v>
      </c>
      <c r="IV161" s="1968">
        <f t="shared" si="1339"/>
        <v>1982156</v>
      </c>
      <c r="IW161" s="1968">
        <f t="shared" si="1340"/>
        <v>610161</v>
      </c>
      <c r="IX161" s="1969">
        <f t="shared" si="1341"/>
        <v>0.60157444767144297</v>
      </c>
      <c r="IY161" s="1969">
        <f t="shared" si="1342"/>
        <v>0.39842555232855698</v>
      </c>
      <c r="IZ161" s="1969">
        <f t="shared" si="1343"/>
        <v>0.58373367382327013</v>
      </c>
      <c r="JA161" s="1969">
        <f t="shared" si="1344"/>
        <v>0.10865415317769389</v>
      </c>
      <c r="JB161" s="1969">
        <f t="shared" si="1345"/>
        <v>0.3785358423459278</v>
      </c>
      <c r="JC161" s="1969">
        <f t="shared" si="1346"/>
        <v>0.11652352695833913</v>
      </c>
      <c r="JD161" s="1970">
        <f t="shared" si="1347"/>
        <v>6102597</v>
      </c>
      <c r="JE161" s="1970">
        <f t="shared" si="1348"/>
        <v>1184076</v>
      </c>
      <c r="JF161" s="1970">
        <f t="shared" si="1349"/>
        <v>0</v>
      </c>
      <c r="JG161" s="1970">
        <f t="shared" si="1350"/>
        <v>1167487</v>
      </c>
      <c r="JH161" s="1964">
        <f t="shared" si="1351"/>
        <v>1</v>
      </c>
      <c r="JI161" s="1964" t="str">
        <f t="shared" si="1352"/>
        <v/>
      </c>
      <c r="JJ161" s="1971">
        <f t="shared" si="1353"/>
        <v>0</v>
      </c>
      <c r="JK161" s="1972">
        <f t="shared" si="1354"/>
        <v>0.46361030527042058</v>
      </c>
      <c r="JL161" s="1972">
        <f t="shared" si="1355"/>
        <v>0.15380033848929986</v>
      </c>
      <c r="JM161" s="1972">
        <f t="shared" si="1356"/>
        <v>0</v>
      </c>
      <c r="JN161" s="1972">
        <f t="shared" si="1357"/>
        <v>0.27631811724715649</v>
      </c>
      <c r="JO161" s="1972">
        <f t="shared" si="1358"/>
        <v>1.7994076902807389E-2</v>
      </c>
      <c r="JP161" s="1972">
        <f t="shared" si="1359"/>
        <v>7.2594098690767092E-2</v>
      </c>
      <c r="JQ161" s="1972">
        <f t="shared" si="1360"/>
        <v>0.98431693660045139</v>
      </c>
      <c r="JR161" s="1973">
        <f t="shared" si="1361"/>
        <v>0</v>
      </c>
      <c r="JS161" s="1973">
        <f t="shared" si="1362"/>
        <v>0</v>
      </c>
      <c r="JT161" s="1973">
        <f t="shared" si="1363"/>
        <v>0</v>
      </c>
      <c r="JU161" s="1973">
        <f t="shared" si="1364"/>
        <v>0</v>
      </c>
      <c r="JV161" s="1973">
        <f t="shared" si="1365"/>
        <v>0</v>
      </c>
      <c r="JW161" s="1973">
        <f t="shared" si="1366"/>
        <v>0</v>
      </c>
      <c r="JX161" s="1973">
        <f t="shared" si="1367"/>
        <v>0</v>
      </c>
      <c r="JY161" s="1969">
        <f t="shared" si="1368"/>
        <v>0</v>
      </c>
      <c r="JZ161" s="1973">
        <f t="shared" si="1369"/>
        <v>0</v>
      </c>
      <c r="KA161" s="1973">
        <f t="shared" si="1370"/>
        <v>0</v>
      </c>
      <c r="KB161" s="1973">
        <f t="shared" si="1371"/>
        <v>0</v>
      </c>
      <c r="KC161" s="1973">
        <f t="shared" si="1372"/>
        <v>0</v>
      </c>
      <c r="KD161" s="1973">
        <f t="shared" si="1373"/>
        <v>0</v>
      </c>
      <c r="KE161" s="1973">
        <f t="shared" si="1374"/>
        <v>0</v>
      </c>
      <c r="KF161" s="1973">
        <f t="shared" si="1375"/>
        <v>0</v>
      </c>
      <c r="KG161" s="1973">
        <f t="shared" si="1376"/>
        <v>0</v>
      </c>
      <c r="KH161" s="1973">
        <f t="shared" si="1377"/>
        <v>0</v>
      </c>
      <c r="KI161" s="1969">
        <f t="shared" si="1378"/>
        <v>0</v>
      </c>
      <c r="KJ161" s="1968">
        <f t="shared" si="1379"/>
        <v>0</v>
      </c>
      <c r="KK161" s="1968">
        <f t="shared" si="1380"/>
        <v>0</v>
      </c>
      <c r="KL161" s="1968">
        <f t="shared" si="1381"/>
        <v>0</v>
      </c>
      <c r="KM161" s="1968">
        <f t="shared" si="1382"/>
        <v>0</v>
      </c>
      <c r="KN161" s="1968">
        <f t="shared" si="1383"/>
        <v>0</v>
      </c>
      <c r="KO161" s="1968">
        <f t="shared" si="1384"/>
        <v>0</v>
      </c>
      <c r="KP161" s="1968">
        <f t="shared" si="1385"/>
        <v>0</v>
      </c>
      <c r="KQ161" s="1968">
        <f t="shared" si="1386"/>
        <v>0</v>
      </c>
      <c r="KR161" s="1968">
        <f t="shared" si="1387"/>
        <v>0</v>
      </c>
      <c r="KS161" s="1968">
        <f t="shared" si="1388"/>
        <v>0</v>
      </c>
      <c r="KT161" s="1968">
        <f t="shared" si="1389"/>
        <v>0</v>
      </c>
      <c r="KU161" s="1968">
        <f t="shared" si="1390"/>
        <v>0</v>
      </c>
      <c r="KV161" s="1974">
        <f t="shared" si="1391"/>
        <v>0</v>
      </c>
      <c r="KW161" s="1974">
        <f t="shared" si="1392"/>
        <v>0</v>
      </c>
      <c r="KX161" s="1975"/>
      <c r="KY161" s="1976">
        <f t="shared" si="1393"/>
        <v>0</v>
      </c>
      <c r="KZ161" s="1976"/>
      <c r="LA161" s="1976">
        <f t="shared" si="1394"/>
        <v>0</v>
      </c>
      <c r="LB161" s="1976"/>
      <c r="LC161" s="1974">
        <f t="shared" si="1321"/>
        <v>0</v>
      </c>
      <c r="LD161" s="1974"/>
      <c r="LE161" s="1976">
        <f t="shared" si="1395"/>
        <v>0</v>
      </c>
      <c r="LF161" s="1976"/>
      <c r="LG161" s="1976">
        <f t="shared" si="1396"/>
        <v>0</v>
      </c>
      <c r="LH161" s="1976">
        <f t="shared" si="1397"/>
        <v>0</v>
      </c>
      <c r="LI161" s="1976">
        <f t="shared" si="1398"/>
        <v>0</v>
      </c>
      <c r="LJ161" s="1976">
        <f t="shared" si="1399"/>
        <v>0</v>
      </c>
      <c r="LK161" s="1976"/>
      <c r="LL161" s="1976">
        <f t="shared" si="1400"/>
        <v>0</v>
      </c>
      <c r="LM161" s="1976">
        <f t="shared" si="1401"/>
        <v>0</v>
      </c>
      <c r="LN161" s="1976">
        <f t="shared" si="1402"/>
        <v>0</v>
      </c>
      <c r="LO161" s="1976">
        <f t="shared" si="1403"/>
        <v>0</v>
      </c>
      <c r="LP161" s="1974">
        <f t="shared" si="1404"/>
        <v>0</v>
      </c>
      <c r="LQ161" s="1976">
        <f t="shared" si="1405"/>
        <v>0</v>
      </c>
      <c r="LR161" s="1976">
        <f t="shared" si="1406"/>
        <v>0</v>
      </c>
      <c r="LS161" s="1976">
        <f t="shared" si="1407"/>
        <v>0</v>
      </c>
      <c r="LT161" s="1974">
        <f t="shared" si="1408"/>
        <v>0</v>
      </c>
      <c r="LU161" s="1974">
        <f t="shared" si="1409"/>
        <v>0</v>
      </c>
      <c r="LV161" s="1974">
        <f t="shared" si="1410"/>
        <v>0</v>
      </c>
      <c r="LW161" s="1974">
        <f t="shared" si="1411"/>
        <v>0</v>
      </c>
      <c r="LX161" s="1974">
        <f t="shared" si="1412"/>
        <v>0</v>
      </c>
      <c r="LY161" s="1974">
        <f t="shared" si="1413"/>
        <v>0</v>
      </c>
      <c r="LZ161" s="1974">
        <f t="shared" si="1414"/>
        <v>0</v>
      </c>
      <c r="MA161" s="1974">
        <f t="shared" si="1415"/>
        <v>0</v>
      </c>
      <c r="MB161" s="1974">
        <f t="shared" si="1416"/>
        <v>0</v>
      </c>
      <c r="MC161" s="1974">
        <f t="shared" si="1417"/>
        <v>0</v>
      </c>
      <c r="MD161" s="1974">
        <f t="shared" si="1418"/>
        <v>0</v>
      </c>
      <c r="ME161" s="1974">
        <f t="shared" si="1419"/>
        <v>0</v>
      </c>
      <c r="MF161" s="1974">
        <f t="shared" si="1420"/>
        <v>0</v>
      </c>
      <c r="MG161" s="1974">
        <f t="shared" si="1421"/>
        <v>0</v>
      </c>
      <c r="MH161" s="1974">
        <f t="shared" si="1422"/>
        <v>0</v>
      </c>
      <c r="MI161" s="1974">
        <f t="shared" si="1423"/>
        <v>0</v>
      </c>
      <c r="MJ161" s="1974">
        <f t="shared" si="1424"/>
        <v>0</v>
      </c>
      <c r="MK161" s="1974">
        <f t="shared" si="1425"/>
        <v>0</v>
      </c>
      <c r="ML161" s="1976">
        <f t="shared" si="1426"/>
        <v>0</v>
      </c>
      <c r="MM161" s="1733">
        <f t="shared" si="1427"/>
        <v>0</v>
      </c>
      <c r="MN161" s="1733">
        <f t="shared" si="1428"/>
        <v>0</v>
      </c>
      <c r="MO161" s="1733">
        <f t="shared" si="1429"/>
        <v>0</v>
      </c>
      <c r="MP161" s="1733">
        <f t="shared" si="1430"/>
        <v>0</v>
      </c>
      <c r="MQ161" s="1976">
        <f t="shared" si="1431"/>
        <v>0</v>
      </c>
      <c r="MR161" s="1976">
        <f t="shared" si="1432"/>
        <v>0</v>
      </c>
      <c r="MS161" s="1976">
        <f t="shared" si="1433"/>
        <v>0</v>
      </c>
      <c r="MT161" s="1976">
        <f t="shared" si="1434"/>
        <v>0</v>
      </c>
      <c r="MU161" s="1976">
        <f t="shared" si="1435"/>
        <v>0</v>
      </c>
      <c r="MV161" s="1976">
        <f t="shared" si="1436"/>
        <v>0</v>
      </c>
      <c r="MW161" s="1976">
        <f t="shared" si="1437"/>
        <v>0</v>
      </c>
      <c r="MX161" s="1976">
        <f t="shared" si="1438"/>
        <v>0</v>
      </c>
      <c r="MY161" s="1976">
        <f t="shared" si="1439"/>
        <v>0</v>
      </c>
      <c r="MZ161" s="1976">
        <f t="shared" si="1440"/>
        <v>0</v>
      </c>
      <c r="NA161" s="1976">
        <f t="shared" si="1441"/>
        <v>0</v>
      </c>
      <c r="NB161" s="1976">
        <f t="shared" si="1442"/>
        <v>0</v>
      </c>
      <c r="NC161" s="1976">
        <f t="shared" si="1443"/>
        <v>0</v>
      </c>
      <c r="ND161" s="1976">
        <f t="shared" si="1444"/>
        <v>0</v>
      </c>
      <c r="NE161" s="1976">
        <f t="shared" si="1445"/>
        <v>0</v>
      </c>
      <c r="NF161" s="1976">
        <f t="shared" si="1446"/>
        <v>0</v>
      </c>
      <c r="NG161" s="1976">
        <f t="shared" si="1447"/>
        <v>0</v>
      </c>
      <c r="NH161" s="1976">
        <f t="shared" si="1448"/>
        <v>0</v>
      </c>
      <c r="NI161" s="1976">
        <f t="shared" si="1449"/>
        <v>0</v>
      </c>
      <c r="NJ161" s="1976">
        <f t="shared" si="1450"/>
        <v>0</v>
      </c>
      <c r="NK161" s="1976">
        <f t="shared" si="1451"/>
        <v>0</v>
      </c>
      <c r="NL161" s="1976">
        <f t="shared" si="1452"/>
        <v>0</v>
      </c>
      <c r="NM161" s="1977">
        <f t="shared" si="1453"/>
        <v>0</v>
      </c>
      <c r="NN161" s="1976">
        <f t="shared" si="1454"/>
        <v>0</v>
      </c>
      <c r="NO161" s="1976">
        <f t="shared" si="1455"/>
        <v>0</v>
      </c>
      <c r="NP161" s="1976">
        <f t="shared" si="1456"/>
        <v>0</v>
      </c>
      <c r="NQ161" s="1976">
        <f t="shared" si="1457"/>
        <v>0</v>
      </c>
      <c r="NR161" s="1976">
        <f t="shared" si="1458"/>
        <v>0</v>
      </c>
      <c r="NS161" s="1976">
        <f t="shared" si="1459"/>
        <v>0</v>
      </c>
      <c r="NT161" s="1976">
        <f t="shared" si="1460"/>
        <v>0</v>
      </c>
      <c r="NU161" s="1976">
        <f t="shared" si="1461"/>
        <v>0</v>
      </c>
      <c r="NV161" s="1974">
        <f t="shared" si="1462"/>
        <v>0</v>
      </c>
      <c r="NW161" s="1974">
        <f t="shared" si="1463"/>
        <v>0</v>
      </c>
      <c r="NX161" s="1974">
        <f t="shared" si="1464"/>
        <v>0</v>
      </c>
      <c r="NY161" s="1974">
        <f t="shared" si="1465"/>
        <v>0</v>
      </c>
      <c r="NZ161" s="1974">
        <f t="shared" si="1466"/>
        <v>0</v>
      </c>
      <c r="OA161" s="1974">
        <f t="shared" si="1467"/>
        <v>0</v>
      </c>
      <c r="OB161" s="1974">
        <f t="shared" si="1468"/>
        <v>0</v>
      </c>
      <c r="OC161" s="1974">
        <f t="shared" si="1469"/>
        <v>0</v>
      </c>
      <c r="OD161" s="1974">
        <f t="shared" si="1470"/>
        <v>0</v>
      </c>
      <c r="OE161" s="1976">
        <f t="shared" si="1471"/>
        <v>0</v>
      </c>
      <c r="OF161" s="1976">
        <f t="shared" si="1472"/>
        <v>0</v>
      </c>
      <c r="OG161" s="1974">
        <f t="shared" si="1473"/>
        <v>0</v>
      </c>
      <c r="OH161" s="1974">
        <f t="shared" si="1474"/>
        <v>0</v>
      </c>
      <c r="OI161" s="1974">
        <f t="shared" si="1475"/>
        <v>0</v>
      </c>
      <c r="OJ161" s="1974">
        <f t="shared" si="1476"/>
        <v>0</v>
      </c>
      <c r="OK161" s="1974">
        <f t="shared" si="1477"/>
        <v>0</v>
      </c>
      <c r="OL161" s="1974">
        <f t="shared" si="1478"/>
        <v>0</v>
      </c>
      <c r="OM161" s="1974">
        <f t="shared" si="1479"/>
        <v>0</v>
      </c>
      <c r="ON161" s="1974">
        <f t="shared" si="1480"/>
        <v>0</v>
      </c>
      <c r="OO161" s="1974">
        <f t="shared" si="1481"/>
        <v>0</v>
      </c>
      <c r="OP161" s="1978">
        <f t="shared" si="1482"/>
        <v>0</v>
      </c>
      <c r="OQ161" s="1978">
        <f t="shared" si="1483"/>
        <v>0</v>
      </c>
      <c r="OR161" s="1976">
        <f t="shared" si="1484"/>
        <v>0</v>
      </c>
      <c r="OS161" s="1976">
        <f t="shared" si="1485"/>
        <v>0</v>
      </c>
      <c r="OT161" s="1976">
        <f t="shared" si="1486"/>
        <v>0</v>
      </c>
      <c r="OU161" s="1976">
        <f t="shared" si="1487"/>
        <v>0</v>
      </c>
      <c r="OV161" s="1976">
        <f t="shared" si="1488"/>
        <v>0</v>
      </c>
      <c r="OW161" s="1974">
        <f t="shared" si="1489"/>
        <v>0</v>
      </c>
      <c r="OX161" s="1974">
        <f t="shared" si="1490"/>
        <v>0</v>
      </c>
      <c r="OY161" s="1974">
        <f t="shared" si="1491"/>
        <v>0</v>
      </c>
      <c r="OZ161" s="1974">
        <f t="shared" si="1492"/>
        <v>0</v>
      </c>
      <c r="PA161" s="1974">
        <f t="shared" si="1493"/>
        <v>0</v>
      </c>
      <c r="PB161" s="1974">
        <f t="shared" si="1494"/>
        <v>0</v>
      </c>
      <c r="PC161" s="1974">
        <f t="shared" si="1495"/>
        <v>0</v>
      </c>
      <c r="PD161" s="1976">
        <f t="shared" si="1496"/>
        <v>0</v>
      </c>
      <c r="PE161" s="1976">
        <f t="shared" si="1497"/>
        <v>0</v>
      </c>
      <c r="PF161" s="1974">
        <f t="shared" si="1498"/>
        <v>0</v>
      </c>
      <c r="PG161" s="1974">
        <f t="shared" si="1499"/>
        <v>0</v>
      </c>
      <c r="PH161" s="1974">
        <f t="shared" si="1500"/>
        <v>0</v>
      </c>
      <c r="PI161" s="1974">
        <f t="shared" si="1501"/>
        <v>0</v>
      </c>
      <c r="PJ161" s="1974">
        <f t="shared" si="1502"/>
        <v>0</v>
      </c>
      <c r="PK161" s="1974">
        <f t="shared" si="1503"/>
        <v>0</v>
      </c>
      <c r="PL161" s="1974">
        <f t="shared" si="1504"/>
        <v>0</v>
      </c>
      <c r="PM161" s="562">
        <v>105</v>
      </c>
    </row>
    <row r="162" spans="1:429" s="289" customFormat="1" ht="15.75" customHeight="1">
      <c r="A162" s="1935" t="s">
        <v>1335</v>
      </c>
      <c r="B162" s="1040" t="str">
        <f>VLOOKUP(A162,'Area (&amp;golfacre for lookup)'!$A$2:$B$162,2,FALSE)</f>
        <v>Yacht &amp; Beach</v>
      </c>
      <c r="C162" s="1936" t="s">
        <v>1981</v>
      </c>
      <c r="D162" s="1937">
        <v>44895</v>
      </c>
      <c r="E162" s="402"/>
      <c r="F162" s="1936">
        <v>1</v>
      </c>
      <c r="G162" s="1979">
        <v>0</v>
      </c>
      <c r="H162" s="1936">
        <v>687</v>
      </c>
      <c r="I162" s="1936">
        <v>57</v>
      </c>
      <c r="J162" s="1936">
        <v>744</v>
      </c>
      <c r="K162" s="1938">
        <v>739.50086419753086</v>
      </c>
      <c r="L162" s="1939" t="s">
        <v>1208</v>
      </c>
      <c r="M162" s="1939" t="s">
        <v>1208</v>
      </c>
      <c r="N162" s="1939" t="s">
        <v>1208</v>
      </c>
      <c r="O162" s="1939" t="s">
        <v>1208</v>
      </c>
      <c r="P162" s="1939" t="s">
        <v>1208</v>
      </c>
      <c r="Q162" s="1936">
        <v>0</v>
      </c>
      <c r="R162" s="1936">
        <v>250000</v>
      </c>
      <c r="S162" s="1936">
        <v>250000</v>
      </c>
      <c r="T162" s="1939" t="s">
        <v>1208</v>
      </c>
      <c r="U162" s="1939" t="s">
        <v>1208</v>
      </c>
      <c r="V162" s="1939" t="s">
        <v>1208</v>
      </c>
      <c r="W162" s="1936">
        <v>9100</v>
      </c>
      <c r="X162" s="1936">
        <v>8100</v>
      </c>
      <c r="Y162" s="1939" t="s">
        <v>1208</v>
      </c>
      <c r="Z162" s="1939" t="s">
        <v>1208</v>
      </c>
      <c r="AA162" s="1936">
        <v>1000</v>
      </c>
      <c r="AB162" s="1944">
        <v>0.12345679012345678</v>
      </c>
      <c r="AC162" s="1939" t="s">
        <v>1208</v>
      </c>
      <c r="AD162" s="1945" t="s">
        <v>1208</v>
      </c>
      <c r="AE162" s="1936">
        <v>1</v>
      </c>
      <c r="AF162" s="1936">
        <v>900</v>
      </c>
      <c r="AG162" s="1939" t="s">
        <v>1208</v>
      </c>
      <c r="AH162" s="1936">
        <v>0</v>
      </c>
      <c r="AI162" s="1936">
        <v>0</v>
      </c>
      <c r="AJ162" s="1939" t="s">
        <v>1208</v>
      </c>
      <c r="AK162" s="1938">
        <v>1</v>
      </c>
      <c r="AL162" s="1938">
        <v>5000</v>
      </c>
      <c r="AM162" s="1936">
        <v>14000</v>
      </c>
      <c r="AN162" s="1939" t="s">
        <v>1208</v>
      </c>
      <c r="AO162" s="1936">
        <v>0</v>
      </c>
      <c r="AP162" s="1936">
        <v>0</v>
      </c>
      <c r="AQ162" s="1936">
        <v>14000</v>
      </c>
      <c r="AR162" s="1939" t="s">
        <v>1208</v>
      </c>
      <c r="AS162" s="1945" t="s">
        <v>1208</v>
      </c>
      <c r="AT162" s="1945" t="s">
        <v>1208</v>
      </c>
      <c r="AU162" s="1945" t="s">
        <v>1208</v>
      </c>
      <c r="AV162" s="1945" t="s">
        <v>1208</v>
      </c>
      <c r="AW162" s="1945" t="s">
        <v>1291</v>
      </c>
      <c r="AX162" s="1938">
        <v>1</v>
      </c>
      <c r="AY162" s="1938">
        <v>1</v>
      </c>
      <c r="AZ162" s="1938">
        <v>0</v>
      </c>
      <c r="BA162" s="1938">
        <v>0</v>
      </c>
      <c r="BB162" s="1938">
        <v>0</v>
      </c>
      <c r="BC162" s="1938">
        <v>0</v>
      </c>
      <c r="BD162" s="1938">
        <v>0</v>
      </c>
      <c r="BE162" s="1936">
        <v>1</v>
      </c>
      <c r="BF162" s="1936">
        <v>12000000</v>
      </c>
      <c r="BG162" s="1936">
        <v>500000</v>
      </c>
      <c r="BH162" s="1936">
        <v>12500000</v>
      </c>
      <c r="BI162" s="1938">
        <v>28731716</v>
      </c>
      <c r="BJ162" s="1936">
        <v>4653601</v>
      </c>
      <c r="BK162" s="1936">
        <v>2343278</v>
      </c>
      <c r="BL162" s="1944">
        <v>1.9859363677719843</v>
      </c>
      <c r="BM162" s="1936">
        <v>0</v>
      </c>
      <c r="BN162" s="1936">
        <v>0</v>
      </c>
      <c r="BO162" s="1945" t="s">
        <v>1208</v>
      </c>
      <c r="BP162" s="1938">
        <v>14180795</v>
      </c>
      <c r="BQ162" s="1938">
        <v>6624584</v>
      </c>
      <c r="BR162" s="1940">
        <v>2.1406317740102625</v>
      </c>
      <c r="BS162" s="1409">
        <v>1</v>
      </c>
      <c r="BT162" s="1938">
        <v>13252666</v>
      </c>
      <c r="BU162" s="1938">
        <v>30030310</v>
      </c>
      <c r="BV162" s="1940">
        <v>0.4413096634700075</v>
      </c>
      <c r="BW162" s="1936">
        <v>0</v>
      </c>
      <c r="BX162" s="1936">
        <v>6292.8946067559418</v>
      </c>
      <c r="BY162" s="1936">
        <v>16903.293295761556</v>
      </c>
      <c r="BZ162" s="1936">
        <v>0</v>
      </c>
      <c r="CA162" s="1936">
        <v>669276</v>
      </c>
      <c r="CB162" s="1936">
        <v>0</v>
      </c>
      <c r="CC162" s="1936">
        <v>640384</v>
      </c>
      <c r="CD162" s="1936">
        <v>5989957</v>
      </c>
      <c r="CE162" s="1936">
        <v>0</v>
      </c>
      <c r="CF162" s="1936">
        <v>0</v>
      </c>
      <c r="CG162" s="1936">
        <v>2089540</v>
      </c>
      <c r="CH162" s="1936">
        <v>669205</v>
      </c>
      <c r="CI162" s="1936">
        <v>100324</v>
      </c>
      <c r="CJ162" s="1936">
        <v>10158686</v>
      </c>
      <c r="CK162" s="1946">
        <v>0</v>
      </c>
      <c r="CL162" s="1946">
        <v>6.5882142631438753E-2</v>
      </c>
      <c r="CM162" s="1946">
        <v>0</v>
      </c>
      <c r="CN162" s="1946">
        <v>6.3038074018628001E-2</v>
      </c>
      <c r="CO162" s="1946">
        <v>0.58963895527433374</v>
      </c>
      <c r="CP162" s="1946">
        <v>0</v>
      </c>
      <c r="CQ162" s="1946">
        <v>0</v>
      </c>
      <c r="CR162" s="1946">
        <v>0.20568998785866596</v>
      </c>
      <c r="CS162" s="1946">
        <v>6.5875153538558037E-2</v>
      </c>
      <c r="CT162" s="1946">
        <v>9.8756866783755292E-3</v>
      </c>
      <c r="CU162" s="1946">
        <v>1</v>
      </c>
      <c r="CV162" s="1936">
        <v>5464766</v>
      </c>
      <c r="CW162" s="1936">
        <v>1052519</v>
      </c>
      <c r="CX162" s="1936">
        <v>0</v>
      </c>
      <c r="CY162" s="1936">
        <v>2846964</v>
      </c>
      <c r="CZ162" s="1936">
        <v>247051</v>
      </c>
      <c r="DA162" s="1936">
        <v>731948</v>
      </c>
      <c r="DB162" s="1936">
        <v>10343248</v>
      </c>
      <c r="DC162" s="1946">
        <v>0.52834138754093496</v>
      </c>
      <c r="DD162" s="1946">
        <v>0.10175904126054021</v>
      </c>
      <c r="DE162" s="1946">
        <v>0</v>
      </c>
      <c r="DF162" s="1946">
        <v>0.27524854861838371</v>
      </c>
      <c r="DG162" s="1946">
        <v>2.3885243784157548E-2</v>
      </c>
      <c r="DH162" s="1946">
        <v>7.0765778795983628E-2</v>
      </c>
      <c r="DI162" s="1946">
        <v>1</v>
      </c>
      <c r="DJ162" s="1936">
        <v>-184562</v>
      </c>
      <c r="DK162" s="1936">
        <v>0</v>
      </c>
      <c r="DL162" s="1936">
        <v>905.03748190512886</v>
      </c>
      <c r="DM162" s="1936">
        <v>0</v>
      </c>
      <c r="DN162" s="1936">
        <v>865.96788591303743</v>
      </c>
      <c r="DO162" s="1936">
        <v>8100</v>
      </c>
      <c r="DP162" s="1936">
        <v>0</v>
      </c>
      <c r="DQ162" s="1936">
        <v>0</v>
      </c>
      <c r="DR162" s="1936">
        <v>2825.6085978580481</v>
      </c>
      <c r="DS162" s="1936">
        <v>904.94147119920899</v>
      </c>
      <c r="DT162" s="1936">
        <v>135.66447972831858</v>
      </c>
      <c r="DU162" s="1936">
        <v>13737.219916603743</v>
      </c>
      <c r="DV162" s="1936">
        <v>7389.8033992564551</v>
      </c>
      <c r="DW162" s="1936">
        <v>1423.2829885089325</v>
      </c>
      <c r="DX162" s="1936">
        <v>0</v>
      </c>
      <c r="DY162" s="1936">
        <v>3849.8453995579603</v>
      </c>
      <c r="DZ162" s="1936">
        <v>334.07804096089507</v>
      </c>
      <c r="EA162" s="1936">
        <v>989.78653769968628</v>
      </c>
      <c r="EB162" s="1936">
        <v>13986.79636598393</v>
      </c>
      <c r="EC162" s="1936">
        <v>-249.57644938018754</v>
      </c>
      <c r="ED162" s="1941">
        <v>95</v>
      </c>
      <c r="EE162" s="1936">
        <v>1</v>
      </c>
      <c r="EF162" s="1936">
        <v>35</v>
      </c>
      <c r="EG162" s="1938">
        <v>279000</v>
      </c>
      <c r="EH162" s="1938">
        <v>0</v>
      </c>
      <c r="EI162" s="1947">
        <v>0</v>
      </c>
      <c r="EJ162" s="1936">
        <v>7.7842196231319036</v>
      </c>
      <c r="EK162" s="1936">
        <v>0</v>
      </c>
      <c r="EL162" s="1936">
        <v>0</v>
      </c>
      <c r="EM162" s="1936">
        <v>1</v>
      </c>
      <c r="EN162" s="1944">
        <v>0.2</v>
      </c>
      <c r="EO162" s="1936">
        <v>0</v>
      </c>
      <c r="EP162" s="1936">
        <v>0</v>
      </c>
      <c r="EQ162" s="1936">
        <v>0</v>
      </c>
      <c r="ER162" s="1938">
        <v>0</v>
      </c>
      <c r="ES162" s="1936">
        <v>3730.5500690572571</v>
      </c>
      <c r="ET162" s="1936">
        <v>-1720.6497809583609</v>
      </c>
      <c r="EU162" s="1938">
        <v>2</v>
      </c>
      <c r="EV162" s="1936">
        <v>43083</v>
      </c>
      <c r="EW162" s="1936">
        <v>4369</v>
      </c>
      <c r="EX162" s="1938">
        <v>0</v>
      </c>
      <c r="EY162" s="1936">
        <v>2089540</v>
      </c>
      <c r="EZ162" s="1936">
        <v>885208</v>
      </c>
      <c r="FA162" s="1936">
        <v>1204332</v>
      </c>
      <c r="FB162" s="1936">
        <v>669205</v>
      </c>
      <c r="FC162" s="1936">
        <v>167311</v>
      </c>
      <c r="FD162" s="1936">
        <v>501894</v>
      </c>
      <c r="FE162" s="1936">
        <v>2758745</v>
      </c>
      <c r="FF162" s="1936">
        <v>1052519</v>
      </c>
      <c r="FG162" s="1936">
        <v>1706226</v>
      </c>
      <c r="FH162" s="1946">
        <v>1</v>
      </c>
      <c r="FI162" s="1946">
        <v>0.42363773844961095</v>
      </c>
      <c r="FJ162" s="1946">
        <v>0.57636226155038905</v>
      </c>
      <c r="FK162" s="1946">
        <v>1</v>
      </c>
      <c r="FL162" s="1946">
        <v>0.25001456952652773</v>
      </c>
      <c r="FM162" s="1946">
        <v>0.74998543047347221</v>
      </c>
      <c r="FN162" s="1946">
        <v>1</v>
      </c>
      <c r="FO162" s="1946">
        <v>0.38152094521240637</v>
      </c>
      <c r="FP162" s="1946">
        <v>0.61847905478759369</v>
      </c>
      <c r="FQ162" s="1936">
        <v>1950528</v>
      </c>
      <c r="FR162" s="1936">
        <v>0</v>
      </c>
      <c r="FS162" s="1936">
        <v>483294</v>
      </c>
      <c r="FT162" s="1936">
        <v>78843</v>
      </c>
      <c r="FU162" s="1936">
        <v>0</v>
      </c>
      <c r="FV162" s="1936">
        <v>13656</v>
      </c>
      <c r="FW162" s="1936">
        <v>452327</v>
      </c>
      <c r="FX162" s="1936">
        <v>2978648</v>
      </c>
      <c r="FY162" s="1936">
        <v>-1272422</v>
      </c>
      <c r="FZ162" s="1946">
        <v>0.70703453925607473</v>
      </c>
      <c r="GA162" s="1946">
        <v>0</v>
      </c>
      <c r="GB162" s="1946">
        <v>0.17518618067273342</v>
      </c>
      <c r="GC162" s="1946">
        <v>2.8579299645309732E-2</v>
      </c>
      <c r="GD162" s="1946">
        <v>0</v>
      </c>
      <c r="GE162" s="1946">
        <v>4.950076937158019E-3</v>
      </c>
      <c r="GF162" s="1946">
        <v>0.16396114900072314</v>
      </c>
      <c r="GG162" s="1946">
        <v>1.079711245511999</v>
      </c>
      <c r="GH162" s="1946">
        <v>-0.46123219072440547</v>
      </c>
      <c r="GI162" s="1942">
        <v>3.1224213805933907</v>
      </c>
      <c r="GJ162" s="1943">
        <v>1</v>
      </c>
      <c r="GK162" s="1948">
        <v>0.05</v>
      </c>
      <c r="GL162" s="1943">
        <v>1</v>
      </c>
      <c r="GM162" s="1948">
        <v>0.05</v>
      </c>
      <c r="GN162" s="1943">
        <v>0</v>
      </c>
      <c r="GO162" s="1985">
        <f>IF(GN162=0,0,VLOOKUP(A162,'Area (&amp;golfacre for lookup)'!$G$2:$H$133,2,FALSE))</f>
        <v>0</v>
      </c>
      <c r="GP162" s="1943">
        <v>0</v>
      </c>
      <c r="GQ162" s="1943">
        <v>0</v>
      </c>
      <c r="GR162" s="1943">
        <v>0</v>
      </c>
      <c r="GS162" s="1943">
        <v>0</v>
      </c>
      <c r="GT162" s="1943">
        <v>0</v>
      </c>
      <c r="GU162" s="1943">
        <v>0</v>
      </c>
      <c r="GV162" s="1943">
        <v>0</v>
      </c>
      <c r="GW162" s="1943">
        <v>0</v>
      </c>
      <c r="GX162" s="1936">
        <v>0</v>
      </c>
      <c r="GY162" s="1985">
        <f t="shared" si="1319"/>
        <v>0</v>
      </c>
      <c r="GZ162" s="1936">
        <v>0</v>
      </c>
      <c r="HA162" s="1936">
        <v>0</v>
      </c>
      <c r="HB162" s="1936">
        <v>0</v>
      </c>
      <c r="HC162" s="1936">
        <v>0</v>
      </c>
      <c r="HD162" s="1936">
        <v>0</v>
      </c>
      <c r="HE162" s="1936">
        <v>0</v>
      </c>
      <c r="HF162" s="1936">
        <v>0</v>
      </c>
      <c r="HG162" s="1936">
        <v>0</v>
      </c>
      <c r="HH162" s="1988">
        <f>IF(HG162=0,0,VLOOKUP(A162,'Area (&amp;golfacre for lookup)'!$G$2:$H$134,2,FALSE))</f>
        <v>0</v>
      </c>
      <c r="HI162" s="1936">
        <v>0</v>
      </c>
      <c r="HJ162" s="1936">
        <v>0</v>
      </c>
      <c r="HK162" s="1936">
        <v>0</v>
      </c>
      <c r="HL162" s="1936">
        <v>0</v>
      </c>
      <c r="HM162" s="1936">
        <v>0</v>
      </c>
      <c r="HN162" s="1936">
        <v>0</v>
      </c>
      <c r="HO162" s="1936">
        <v>0</v>
      </c>
      <c r="HP162" s="1936">
        <v>0</v>
      </c>
      <c r="HQ162" s="1936">
        <v>0</v>
      </c>
      <c r="HR162" s="1988">
        <f t="shared" si="1320"/>
        <v>0</v>
      </c>
      <c r="HS162" s="1936">
        <v>0</v>
      </c>
      <c r="HT162" s="1936">
        <v>0</v>
      </c>
      <c r="HU162" s="1936">
        <v>0</v>
      </c>
      <c r="HV162" s="1936">
        <v>0</v>
      </c>
      <c r="HW162" s="1936">
        <v>0</v>
      </c>
      <c r="HX162" s="1936">
        <v>0</v>
      </c>
      <c r="HY162" s="1936">
        <v>0</v>
      </c>
      <c r="HZ162" s="51"/>
      <c r="IA162" s="59">
        <f t="shared" si="1322"/>
        <v>0</v>
      </c>
      <c r="IB162" s="59"/>
      <c r="IC162" s="815">
        <f t="shared" si="1323"/>
        <v>1</v>
      </c>
      <c r="ID162" s="815"/>
      <c r="IE162" s="284">
        <f t="shared" si="1324"/>
        <v>0</v>
      </c>
      <c r="IF162" s="284"/>
      <c r="IG162" s="284">
        <f t="shared" si="1325"/>
        <v>38852.849795082002</v>
      </c>
      <c r="IH162" s="284"/>
      <c r="II162" s="1288">
        <f t="shared" si="1326"/>
        <v>2.1406317740102625</v>
      </c>
      <c r="IJ162" s="1288">
        <f t="shared" si="1327"/>
        <v>0</v>
      </c>
      <c r="IK162" s="284">
        <f t="shared" si="1328"/>
        <v>1</v>
      </c>
      <c r="IL162" s="284">
        <f t="shared" si="1329"/>
        <v>0</v>
      </c>
      <c r="IM162" s="284">
        <f t="shared" si="1330"/>
        <v>0</v>
      </c>
      <c r="IN162" s="284">
        <f t="shared" si="1331"/>
        <v>0</v>
      </c>
      <c r="IO162" s="753">
        <f t="shared" si="1332"/>
        <v>-1710.244623655914</v>
      </c>
      <c r="IP162" s="113">
        <f t="shared" si="1333"/>
        <v>-1720.6497809583609</v>
      </c>
      <c r="IQ162" s="30">
        <f t="shared" si="1334"/>
        <v>-0.21242589888374824</v>
      </c>
      <c r="IR162" s="438">
        <f t="shared" si="1335"/>
        <v>2089540</v>
      </c>
      <c r="IS162" s="438">
        <f t="shared" si="1336"/>
        <v>669205</v>
      </c>
      <c r="IT162" s="438">
        <f t="shared" si="1337"/>
        <v>1950528</v>
      </c>
      <c r="IU162" s="438">
        <f t="shared" si="1338"/>
        <v>562137</v>
      </c>
      <c r="IV162" s="438">
        <f t="shared" si="1339"/>
        <v>1052519</v>
      </c>
      <c r="IW162" s="438">
        <f t="shared" si="1340"/>
        <v>465983</v>
      </c>
      <c r="IX162" s="285">
        <f t="shared" si="1341"/>
        <v>0.75742411857565672</v>
      </c>
      <c r="IY162" s="285">
        <f t="shared" si="1342"/>
        <v>0.2425758814243433</v>
      </c>
      <c r="IZ162" s="285">
        <f t="shared" si="1343"/>
        <v>0.70703453925607473</v>
      </c>
      <c r="JA162" s="285">
        <f t="shared" si="1344"/>
        <v>0.20376548031804317</v>
      </c>
      <c r="JB162" s="285">
        <f t="shared" si="1345"/>
        <v>0.38152094521240637</v>
      </c>
      <c r="JC162" s="285">
        <f t="shared" si="1346"/>
        <v>0.16891122593788119</v>
      </c>
      <c r="JD162" s="60">
        <f t="shared" si="1347"/>
        <v>5989957</v>
      </c>
      <c r="JE162" s="60">
        <f t="shared" si="1348"/>
        <v>1309660</v>
      </c>
      <c r="JF162" s="60">
        <f t="shared" si="1349"/>
        <v>0</v>
      </c>
      <c r="JG162" s="60">
        <f t="shared" si="1350"/>
        <v>978999</v>
      </c>
      <c r="JH162" s="284">
        <f t="shared" si="1351"/>
        <v>0</v>
      </c>
      <c r="JI162" s="284" t="str">
        <f t="shared" si="1352"/>
        <v/>
      </c>
      <c r="JJ162" s="560">
        <f t="shared" si="1353"/>
        <v>0</v>
      </c>
      <c r="JK162" s="561">
        <f t="shared" si="1354"/>
        <v>0.53794024148398722</v>
      </c>
      <c r="JL162" s="561">
        <f t="shared" si="1355"/>
        <v>0.10360778943260969</v>
      </c>
      <c r="JM162" s="561">
        <f t="shared" si="1356"/>
        <v>0</v>
      </c>
      <c r="JN162" s="561">
        <f t="shared" si="1357"/>
        <v>0.28024923695840193</v>
      </c>
      <c r="JO162" s="561">
        <f t="shared" si="1358"/>
        <v>2.4319188524972619E-2</v>
      </c>
      <c r="JP162" s="561">
        <f t="shared" si="1359"/>
        <v>7.205144444862259E-2</v>
      </c>
      <c r="JQ162" s="561">
        <f t="shared" si="1360"/>
        <v>1.018167900848594</v>
      </c>
      <c r="JR162" s="61">
        <f t="shared" si="1361"/>
        <v>0</v>
      </c>
      <c r="JS162" s="61">
        <f t="shared" si="1362"/>
        <v>0</v>
      </c>
      <c r="JT162" s="61">
        <f t="shared" si="1363"/>
        <v>0</v>
      </c>
      <c r="JU162" s="61">
        <f t="shared" si="1364"/>
        <v>0</v>
      </c>
      <c r="JV162" s="61">
        <f t="shared" si="1365"/>
        <v>0</v>
      </c>
      <c r="JW162" s="61">
        <f t="shared" si="1366"/>
        <v>0</v>
      </c>
      <c r="JX162" s="61">
        <f t="shared" si="1367"/>
        <v>0</v>
      </c>
      <c r="JY162" s="394">
        <f t="shared" si="1368"/>
        <v>0</v>
      </c>
      <c r="JZ162" s="61">
        <f t="shared" si="1369"/>
        <v>0</v>
      </c>
      <c r="KA162" s="61">
        <f t="shared" si="1370"/>
        <v>0</v>
      </c>
      <c r="KB162" s="61">
        <f t="shared" si="1371"/>
        <v>0</v>
      </c>
      <c r="KC162" s="61">
        <f t="shared" si="1372"/>
        <v>0</v>
      </c>
      <c r="KD162" s="61">
        <f t="shared" si="1373"/>
        <v>0</v>
      </c>
      <c r="KE162" s="61">
        <f t="shared" si="1374"/>
        <v>0</v>
      </c>
      <c r="KF162" s="61">
        <f t="shared" si="1375"/>
        <v>0</v>
      </c>
      <c r="KG162" s="61">
        <f t="shared" si="1376"/>
        <v>0</v>
      </c>
      <c r="KH162" s="61">
        <f t="shared" si="1377"/>
        <v>0</v>
      </c>
      <c r="KI162" s="394">
        <f t="shared" si="1378"/>
        <v>0</v>
      </c>
      <c r="KJ162" s="438">
        <f t="shared" si="1379"/>
        <v>0</v>
      </c>
      <c r="KK162" s="438">
        <f t="shared" si="1380"/>
        <v>0</v>
      </c>
      <c r="KL162" s="438">
        <f t="shared" si="1381"/>
        <v>0</v>
      </c>
      <c r="KM162" s="438">
        <f t="shared" si="1382"/>
        <v>0</v>
      </c>
      <c r="KN162" s="438">
        <f t="shared" si="1383"/>
        <v>0</v>
      </c>
      <c r="KO162" s="438">
        <f t="shared" si="1384"/>
        <v>0</v>
      </c>
      <c r="KP162" s="438">
        <f t="shared" si="1385"/>
        <v>0</v>
      </c>
      <c r="KQ162" s="438">
        <f t="shared" si="1386"/>
        <v>0</v>
      </c>
      <c r="KR162" s="438">
        <f t="shared" si="1387"/>
        <v>0</v>
      </c>
      <c r="KS162" s="438">
        <f t="shared" si="1388"/>
        <v>0</v>
      </c>
      <c r="KT162" s="438">
        <f t="shared" si="1389"/>
        <v>0</v>
      </c>
      <c r="KU162" s="438">
        <f t="shared" si="1390"/>
        <v>0</v>
      </c>
      <c r="KV162" s="420">
        <f t="shared" si="1391"/>
        <v>0</v>
      </c>
      <c r="KW162" s="420">
        <f t="shared" si="1392"/>
        <v>0</v>
      </c>
      <c r="KX162" s="108"/>
      <c r="KY162" s="282">
        <f t="shared" si="1393"/>
        <v>0</v>
      </c>
      <c r="KZ162" s="282"/>
      <c r="LA162" s="282">
        <f t="shared" si="1394"/>
        <v>0</v>
      </c>
      <c r="LB162" s="282"/>
      <c r="LC162" s="286">
        <f t="shared" si="1321"/>
        <v>0</v>
      </c>
      <c r="LD162" s="286"/>
      <c r="LE162" s="282">
        <f t="shared" si="1395"/>
        <v>0</v>
      </c>
      <c r="LF162" s="282"/>
      <c r="LG162" s="282">
        <f t="shared" si="1396"/>
        <v>0</v>
      </c>
      <c r="LH162" s="282">
        <f t="shared" si="1397"/>
        <v>0</v>
      </c>
      <c r="LI162" s="282">
        <f t="shared" si="1398"/>
        <v>0</v>
      </c>
      <c r="LJ162" s="282">
        <f t="shared" si="1399"/>
        <v>0</v>
      </c>
      <c r="LK162" s="282"/>
      <c r="LL162" s="282">
        <f t="shared" si="1400"/>
        <v>0</v>
      </c>
      <c r="LM162" s="282">
        <f t="shared" si="1401"/>
        <v>0</v>
      </c>
      <c r="LN162" s="282">
        <f t="shared" si="1402"/>
        <v>0</v>
      </c>
      <c r="LO162" s="282">
        <f t="shared" si="1403"/>
        <v>0</v>
      </c>
      <c r="LP162" s="286">
        <f t="shared" si="1404"/>
        <v>0</v>
      </c>
      <c r="LQ162" s="282">
        <f t="shared" si="1405"/>
        <v>0</v>
      </c>
      <c r="LR162" s="282">
        <f t="shared" si="1406"/>
        <v>0</v>
      </c>
      <c r="LS162" s="282">
        <f t="shared" si="1407"/>
        <v>0</v>
      </c>
      <c r="LT162" s="286">
        <f t="shared" si="1408"/>
        <v>0</v>
      </c>
      <c r="LU162" s="286">
        <f t="shared" si="1409"/>
        <v>0</v>
      </c>
      <c r="LV162" s="286">
        <f t="shared" si="1410"/>
        <v>0</v>
      </c>
      <c r="LW162" s="286">
        <f t="shared" si="1411"/>
        <v>0</v>
      </c>
      <c r="LX162" s="286">
        <f t="shared" si="1412"/>
        <v>0</v>
      </c>
      <c r="LY162" s="286">
        <f t="shared" si="1413"/>
        <v>0</v>
      </c>
      <c r="LZ162" s="286">
        <f t="shared" si="1414"/>
        <v>0</v>
      </c>
      <c r="MA162" s="286">
        <f t="shared" si="1415"/>
        <v>0</v>
      </c>
      <c r="MB162" s="286">
        <f t="shared" si="1416"/>
        <v>0</v>
      </c>
      <c r="MC162" s="286">
        <f t="shared" si="1417"/>
        <v>0</v>
      </c>
      <c r="MD162" s="286">
        <f t="shared" si="1418"/>
        <v>0</v>
      </c>
      <c r="ME162" s="286">
        <f t="shared" si="1419"/>
        <v>0</v>
      </c>
      <c r="MF162" s="286">
        <f t="shared" si="1420"/>
        <v>0</v>
      </c>
      <c r="MG162" s="286">
        <f t="shared" si="1421"/>
        <v>0</v>
      </c>
      <c r="MH162" s="286">
        <f t="shared" si="1422"/>
        <v>0</v>
      </c>
      <c r="MI162" s="286">
        <f t="shared" si="1423"/>
        <v>0</v>
      </c>
      <c r="MJ162" s="286">
        <f t="shared" si="1424"/>
        <v>0</v>
      </c>
      <c r="MK162" s="286">
        <f t="shared" si="1425"/>
        <v>0</v>
      </c>
      <c r="ML162" s="282">
        <f t="shared" si="1426"/>
        <v>0</v>
      </c>
      <c r="MM162" s="1232">
        <f t="shared" si="1427"/>
        <v>0</v>
      </c>
      <c r="MN162" s="1232">
        <f t="shared" si="1428"/>
        <v>0</v>
      </c>
      <c r="MO162" s="1232">
        <f t="shared" si="1429"/>
        <v>0</v>
      </c>
      <c r="MP162" s="1232">
        <f t="shared" si="1430"/>
        <v>0</v>
      </c>
      <c r="MQ162" s="282">
        <f t="shared" si="1431"/>
        <v>0</v>
      </c>
      <c r="MR162" s="282">
        <f t="shared" si="1432"/>
        <v>0</v>
      </c>
      <c r="MS162" s="282">
        <f t="shared" si="1433"/>
        <v>0</v>
      </c>
      <c r="MT162" s="282">
        <f t="shared" si="1434"/>
        <v>0</v>
      </c>
      <c r="MU162" s="282">
        <f t="shared" si="1435"/>
        <v>0</v>
      </c>
      <c r="MV162" s="282">
        <f t="shared" si="1436"/>
        <v>0</v>
      </c>
      <c r="MW162" s="282">
        <f t="shared" si="1437"/>
        <v>0</v>
      </c>
      <c r="MX162" s="282">
        <f t="shared" si="1438"/>
        <v>0</v>
      </c>
      <c r="MY162" s="282">
        <f t="shared" si="1439"/>
        <v>0</v>
      </c>
      <c r="MZ162" s="282">
        <f t="shared" si="1440"/>
        <v>0</v>
      </c>
      <c r="NA162" s="282">
        <f t="shared" si="1441"/>
        <v>0</v>
      </c>
      <c r="NB162" s="282">
        <f t="shared" si="1442"/>
        <v>0</v>
      </c>
      <c r="NC162" s="282">
        <f t="shared" si="1443"/>
        <v>0</v>
      </c>
      <c r="ND162" s="282">
        <f t="shared" si="1444"/>
        <v>0</v>
      </c>
      <c r="NE162" s="282">
        <f t="shared" si="1445"/>
        <v>0</v>
      </c>
      <c r="NF162" s="282">
        <f t="shared" si="1446"/>
        <v>0</v>
      </c>
      <c r="NG162" s="282">
        <f t="shared" si="1447"/>
        <v>0</v>
      </c>
      <c r="NH162" s="282">
        <f t="shared" si="1448"/>
        <v>0</v>
      </c>
      <c r="NI162" s="282">
        <f t="shared" si="1449"/>
        <v>0</v>
      </c>
      <c r="NJ162" s="282">
        <f t="shared" si="1450"/>
        <v>0</v>
      </c>
      <c r="NK162" s="282">
        <f t="shared" si="1451"/>
        <v>0</v>
      </c>
      <c r="NL162" s="282">
        <f t="shared" si="1452"/>
        <v>0</v>
      </c>
      <c r="NM162" s="1205">
        <f t="shared" si="1453"/>
        <v>0</v>
      </c>
      <c r="NN162" s="282">
        <f t="shared" si="1454"/>
        <v>0</v>
      </c>
      <c r="NO162" s="282">
        <f t="shared" si="1455"/>
        <v>0</v>
      </c>
      <c r="NP162" s="282">
        <f t="shared" si="1456"/>
        <v>0</v>
      </c>
      <c r="NQ162" s="282">
        <f t="shared" si="1457"/>
        <v>0</v>
      </c>
      <c r="NR162" s="282">
        <f t="shared" si="1458"/>
        <v>0</v>
      </c>
      <c r="NS162" s="282">
        <f t="shared" si="1459"/>
        <v>0</v>
      </c>
      <c r="NT162" s="282">
        <f t="shared" si="1460"/>
        <v>0</v>
      </c>
      <c r="NU162" s="282">
        <f t="shared" si="1461"/>
        <v>0</v>
      </c>
      <c r="NV162" s="286">
        <f t="shared" si="1462"/>
        <v>0</v>
      </c>
      <c r="NW162" s="286">
        <f t="shared" si="1463"/>
        <v>0</v>
      </c>
      <c r="NX162" s="286">
        <f t="shared" si="1464"/>
        <v>0</v>
      </c>
      <c r="NY162" s="286">
        <f t="shared" si="1465"/>
        <v>0</v>
      </c>
      <c r="NZ162" s="286">
        <f t="shared" si="1466"/>
        <v>0</v>
      </c>
      <c r="OA162" s="286">
        <f t="shared" si="1467"/>
        <v>0</v>
      </c>
      <c r="OB162" s="286">
        <f t="shared" si="1468"/>
        <v>0</v>
      </c>
      <c r="OC162" s="286">
        <f t="shared" si="1469"/>
        <v>0</v>
      </c>
      <c r="OD162" s="286">
        <f t="shared" si="1470"/>
        <v>0</v>
      </c>
      <c r="OE162" s="282">
        <f t="shared" si="1471"/>
        <v>0</v>
      </c>
      <c r="OF162" s="282">
        <f t="shared" si="1472"/>
        <v>0</v>
      </c>
      <c r="OG162" s="286">
        <f t="shared" si="1473"/>
        <v>0</v>
      </c>
      <c r="OH162" s="286">
        <f t="shared" si="1474"/>
        <v>0</v>
      </c>
      <c r="OI162" s="286">
        <f t="shared" si="1475"/>
        <v>0</v>
      </c>
      <c r="OJ162" s="286">
        <f t="shared" si="1476"/>
        <v>0</v>
      </c>
      <c r="OK162" s="286">
        <f t="shared" si="1477"/>
        <v>0</v>
      </c>
      <c r="OL162" s="286">
        <f t="shared" si="1478"/>
        <v>0</v>
      </c>
      <c r="OM162" s="286">
        <f t="shared" si="1479"/>
        <v>0</v>
      </c>
      <c r="ON162" s="286">
        <f t="shared" si="1480"/>
        <v>0</v>
      </c>
      <c r="OO162" s="286">
        <f t="shared" si="1481"/>
        <v>0</v>
      </c>
      <c r="OP162" s="434">
        <f t="shared" si="1482"/>
        <v>0</v>
      </c>
      <c r="OQ162" s="434">
        <f t="shared" si="1483"/>
        <v>0</v>
      </c>
      <c r="OR162" s="282">
        <f t="shared" si="1484"/>
        <v>0</v>
      </c>
      <c r="OS162" s="282">
        <f t="shared" si="1485"/>
        <v>0</v>
      </c>
      <c r="OT162" s="282">
        <f t="shared" si="1486"/>
        <v>0</v>
      </c>
      <c r="OU162" s="282">
        <f t="shared" si="1487"/>
        <v>0</v>
      </c>
      <c r="OV162" s="282">
        <f t="shared" si="1488"/>
        <v>0</v>
      </c>
      <c r="OW162" s="286">
        <f t="shared" si="1489"/>
        <v>0</v>
      </c>
      <c r="OX162" s="286">
        <f t="shared" si="1490"/>
        <v>0</v>
      </c>
      <c r="OY162" s="286">
        <f t="shared" si="1491"/>
        <v>0</v>
      </c>
      <c r="OZ162" s="286">
        <f t="shared" si="1492"/>
        <v>0</v>
      </c>
      <c r="PA162" s="286">
        <f t="shared" si="1493"/>
        <v>0</v>
      </c>
      <c r="PB162" s="286">
        <f t="shared" si="1494"/>
        <v>0</v>
      </c>
      <c r="PC162" s="286">
        <f t="shared" si="1495"/>
        <v>0</v>
      </c>
      <c r="PD162" s="282">
        <f t="shared" si="1496"/>
        <v>0</v>
      </c>
      <c r="PE162" s="282">
        <f t="shared" si="1497"/>
        <v>0</v>
      </c>
      <c r="PF162" s="286">
        <f t="shared" si="1498"/>
        <v>0</v>
      </c>
      <c r="PG162" s="286">
        <f t="shared" si="1499"/>
        <v>0</v>
      </c>
      <c r="PH162" s="286">
        <f t="shared" si="1500"/>
        <v>0</v>
      </c>
      <c r="PI162" s="286">
        <f t="shared" si="1501"/>
        <v>0</v>
      </c>
      <c r="PJ162" s="286">
        <f t="shared" si="1502"/>
        <v>0</v>
      </c>
      <c r="PK162" s="286">
        <f t="shared" si="1503"/>
        <v>0</v>
      </c>
      <c r="PL162" s="286">
        <f t="shared" si="1504"/>
        <v>0</v>
      </c>
      <c r="PM162" s="562">
        <v>106</v>
      </c>
    </row>
    <row r="163" spans="1:429" s="289" customFormat="1" ht="15.75" customHeight="1">
      <c r="A163" s="1935" t="s">
        <v>1832</v>
      </c>
      <c r="B163" s="1040" t="str">
        <f>VLOOKUP(A163,'Area (&amp;golfacre for lookup)'!$A$2:$B$162,2,FALSE)</f>
        <v>SE exc BOCA</v>
      </c>
      <c r="C163" s="1936" t="s">
        <v>2367</v>
      </c>
      <c r="D163" s="1937">
        <v>44834</v>
      </c>
      <c r="E163" s="402"/>
      <c r="F163" s="1936">
        <v>0</v>
      </c>
      <c r="G163" s="1936">
        <v>1</v>
      </c>
      <c r="H163" s="1936">
        <v>733</v>
      </c>
      <c r="I163" s="1936">
        <v>261</v>
      </c>
      <c r="J163" s="1936">
        <v>994</v>
      </c>
      <c r="K163" s="1938">
        <v>1510.3718812256902</v>
      </c>
      <c r="L163" s="1939" t="s">
        <v>1208</v>
      </c>
      <c r="M163" s="1939" t="s">
        <v>1208</v>
      </c>
      <c r="N163" s="1939" t="s">
        <v>1208</v>
      </c>
      <c r="O163" s="1939" t="s">
        <v>1208</v>
      </c>
      <c r="P163" s="1939" t="s">
        <v>1208</v>
      </c>
      <c r="Q163" s="1936">
        <v>100</v>
      </c>
      <c r="R163" s="1936">
        <v>74900</v>
      </c>
      <c r="S163" s="1936">
        <v>75000</v>
      </c>
      <c r="T163" s="1939" t="s">
        <v>1208</v>
      </c>
      <c r="U163" s="1939" t="s">
        <v>1208</v>
      </c>
      <c r="V163" s="1939" t="s">
        <v>1208</v>
      </c>
      <c r="W163" s="1936">
        <v>11566</v>
      </c>
      <c r="X163" s="1936">
        <v>10541</v>
      </c>
      <c r="Y163" s="1939" t="s">
        <v>1208</v>
      </c>
      <c r="Z163" s="1939" t="s">
        <v>1208</v>
      </c>
      <c r="AA163" s="1936">
        <v>1025</v>
      </c>
      <c r="AB163" s="1362">
        <v>9.7239351105208233E-2</v>
      </c>
      <c r="AC163" s="1939" t="s">
        <v>1208</v>
      </c>
      <c r="AD163" s="1363" t="s">
        <v>1208</v>
      </c>
      <c r="AE163" s="1936">
        <v>1</v>
      </c>
      <c r="AF163" s="1936">
        <v>1800</v>
      </c>
      <c r="AG163" s="1939" t="s">
        <v>1208</v>
      </c>
      <c r="AH163" s="1936">
        <v>0</v>
      </c>
      <c r="AI163" s="1936">
        <v>0</v>
      </c>
      <c r="AJ163" s="1939" t="s">
        <v>1208</v>
      </c>
      <c r="AK163" s="1938">
        <v>1</v>
      </c>
      <c r="AL163" s="1938">
        <v>840</v>
      </c>
      <c r="AM163" s="1936">
        <v>13181</v>
      </c>
      <c r="AN163" s="1939" t="s">
        <v>1208</v>
      </c>
      <c r="AO163" s="1936">
        <v>0</v>
      </c>
      <c r="AP163" s="1936">
        <v>600</v>
      </c>
      <c r="AQ163" s="1936">
        <v>13781</v>
      </c>
      <c r="AR163" s="1939" t="s">
        <v>1208</v>
      </c>
      <c r="AS163" s="1363" t="s">
        <v>1208</v>
      </c>
      <c r="AT163" s="1363" t="s">
        <v>1208</v>
      </c>
      <c r="AU163" s="1363" t="s">
        <v>1208</v>
      </c>
      <c r="AV163" s="1363" t="s">
        <v>1208</v>
      </c>
      <c r="AW163" s="1363" t="s">
        <v>1291</v>
      </c>
      <c r="AX163" s="1938">
        <v>1</v>
      </c>
      <c r="AY163" s="1938">
        <v>0</v>
      </c>
      <c r="AZ163" s="1938">
        <v>1</v>
      </c>
      <c r="BA163" s="1938">
        <v>0</v>
      </c>
      <c r="BB163" s="1938">
        <v>0</v>
      </c>
      <c r="BC163" s="1938">
        <v>1</v>
      </c>
      <c r="BD163" s="1938">
        <v>0</v>
      </c>
      <c r="BE163" s="1936">
        <v>1</v>
      </c>
      <c r="BF163" s="1936">
        <v>22000000</v>
      </c>
      <c r="BG163" s="1936">
        <v>2237100</v>
      </c>
      <c r="BH163" s="1936">
        <v>24237100</v>
      </c>
      <c r="BI163" s="1938">
        <v>44366361</v>
      </c>
      <c r="BJ163" s="1936">
        <v>2991411</v>
      </c>
      <c r="BK163" s="1936">
        <v>3608390</v>
      </c>
      <c r="BL163" s="1362">
        <v>0.82901543347587148</v>
      </c>
      <c r="BM163" s="1936">
        <v>1</v>
      </c>
      <c r="BN163" s="1936">
        <v>13486075</v>
      </c>
      <c r="BO163" s="1363" t="s">
        <v>1208</v>
      </c>
      <c r="BP163" s="1938">
        <v>8765123</v>
      </c>
      <c r="BQ163" s="1938">
        <v>6865882</v>
      </c>
      <c r="BR163" s="1940">
        <v>1.2766201050353037</v>
      </c>
      <c r="BS163" s="1409">
        <v>1</v>
      </c>
      <c r="BT163" s="1938">
        <v>19971029</v>
      </c>
      <c r="BU163" s="1938">
        <v>44613777</v>
      </c>
      <c r="BV163" s="1940">
        <v>0.44764264186822827</v>
      </c>
      <c r="BW163" s="1936">
        <v>8928.9764776710763</v>
      </c>
      <c r="BX163" s="1936">
        <v>1980.5791124583327</v>
      </c>
      <c r="BY163" s="1936">
        <v>16047.107537735155</v>
      </c>
      <c r="BZ163" s="1936">
        <v>3201697</v>
      </c>
      <c r="CA163" s="1936">
        <v>189520</v>
      </c>
      <c r="CB163" s="1936">
        <v>0</v>
      </c>
      <c r="CC163" s="1936">
        <v>501382</v>
      </c>
      <c r="CD163" s="1936">
        <v>15920830</v>
      </c>
      <c r="CE163" s="1936">
        <v>0</v>
      </c>
      <c r="CF163" s="1936">
        <v>0</v>
      </c>
      <c r="CG163" s="1936">
        <v>2468162</v>
      </c>
      <c r="CH163" s="1936">
        <v>1260386</v>
      </c>
      <c r="CI163" s="1936">
        <v>2578413</v>
      </c>
      <c r="CJ163" s="1936">
        <v>26120390</v>
      </c>
      <c r="CK163" s="1366">
        <v>0.12257462465146959</v>
      </c>
      <c r="CL163" s="1366">
        <v>7.2556343913701138E-3</v>
      </c>
      <c r="CM163" s="1366">
        <v>0</v>
      </c>
      <c r="CN163" s="1366">
        <v>1.9195042646759867E-2</v>
      </c>
      <c r="CO163" s="1366">
        <v>0.60951731578280421</v>
      </c>
      <c r="CP163" s="1366">
        <v>0</v>
      </c>
      <c r="CQ163" s="1366">
        <v>0</v>
      </c>
      <c r="CR163" s="1366">
        <v>9.4491774433689543E-2</v>
      </c>
      <c r="CS163" s="1366">
        <v>4.8252954875482333E-2</v>
      </c>
      <c r="CT163" s="1366">
        <v>9.8712653218424387E-2</v>
      </c>
      <c r="CU163" s="1366">
        <v>1</v>
      </c>
      <c r="CV163" s="1936">
        <v>13632676</v>
      </c>
      <c r="CW163" s="1936">
        <v>1465640</v>
      </c>
      <c r="CX163" s="1936">
        <v>0</v>
      </c>
      <c r="CY163" s="1936">
        <v>10790372</v>
      </c>
      <c r="CZ163" s="1936">
        <v>394808</v>
      </c>
      <c r="DA163" s="1936">
        <v>552805</v>
      </c>
      <c r="DB163" s="1936">
        <v>26836301</v>
      </c>
      <c r="DC163" s="1366">
        <v>0.50799385503985817</v>
      </c>
      <c r="DD163" s="1366">
        <v>5.4614084109430729E-2</v>
      </c>
      <c r="DE163" s="1366">
        <v>0</v>
      </c>
      <c r="DF163" s="1366">
        <v>0.40208119591444441</v>
      </c>
      <c r="DG163" s="1366">
        <v>1.4711714554103413E-2</v>
      </c>
      <c r="DH163" s="1366">
        <v>2.0599150382163325E-2</v>
      </c>
      <c r="DI163" s="1366">
        <v>1</v>
      </c>
      <c r="DJ163" s="1936">
        <v>-715911</v>
      </c>
      <c r="DK163" s="1936">
        <v>2119.8070751964565</v>
      </c>
      <c r="DL163" s="1936">
        <v>125.4790309299201</v>
      </c>
      <c r="DM163" s="1936">
        <v>0</v>
      </c>
      <c r="DN163" s="1936">
        <v>331.95930501110809</v>
      </c>
      <c r="DO163" s="1936">
        <v>10541</v>
      </c>
      <c r="DP163" s="1936">
        <v>0</v>
      </c>
      <c r="DQ163" s="1936">
        <v>0</v>
      </c>
      <c r="DR163" s="1936">
        <v>1634.1419160935704</v>
      </c>
      <c r="DS163" s="1936">
        <v>834.48719859454559</v>
      </c>
      <c r="DT163" s="1936">
        <v>1707.1378460168219</v>
      </c>
      <c r="DU163" s="1936">
        <v>17294.012371842422</v>
      </c>
      <c r="DV163" s="1936">
        <v>9026.0393281003562</v>
      </c>
      <c r="DW163" s="1936">
        <v>970.38353151186209</v>
      </c>
      <c r="DX163" s="1936">
        <v>0</v>
      </c>
      <c r="DY163" s="1936">
        <v>7144.1822600957357</v>
      </c>
      <c r="DZ163" s="1936">
        <v>261.39787485953934</v>
      </c>
      <c r="EA163" s="1936">
        <v>366.00588694182397</v>
      </c>
      <c r="EB163" s="1936">
        <v>17768.008881509319</v>
      </c>
      <c r="EC163" s="1936">
        <v>-473.99650966689546</v>
      </c>
      <c r="ED163" s="1941">
        <v>296</v>
      </c>
      <c r="EE163" s="1936">
        <v>1</v>
      </c>
      <c r="EF163" s="1936">
        <v>20</v>
      </c>
      <c r="EG163" s="1938">
        <v>165000</v>
      </c>
      <c r="EH163" s="1938">
        <v>1</v>
      </c>
      <c r="EI163" s="1368">
        <v>9.9000000000000005E-2</v>
      </c>
      <c r="EJ163" s="1936">
        <v>5.102607706843548</v>
      </c>
      <c r="EK163" s="1936">
        <v>0</v>
      </c>
      <c r="EL163" s="1936">
        <v>0</v>
      </c>
      <c r="EM163" s="1936">
        <v>0</v>
      </c>
      <c r="EN163" s="1362">
        <v>0</v>
      </c>
      <c r="EO163" s="1936">
        <v>1</v>
      </c>
      <c r="EP163" s="1936">
        <v>50</v>
      </c>
      <c r="EQ163" s="1936">
        <v>0</v>
      </c>
      <c r="ER163" s="1938">
        <v>0</v>
      </c>
      <c r="ES163" s="1936">
        <v>2468.6291146881158</v>
      </c>
      <c r="ET163" s="1936">
        <v>-888.98238684792182</v>
      </c>
      <c r="EU163" s="1938">
        <v>2</v>
      </c>
      <c r="EV163" s="1936">
        <v>89548</v>
      </c>
      <c r="EW163" s="1936">
        <v>10165</v>
      </c>
      <c r="EX163" s="1938">
        <v>0</v>
      </c>
      <c r="EY163" s="1936">
        <v>2468162</v>
      </c>
      <c r="EZ163" s="1936">
        <v>1059121</v>
      </c>
      <c r="FA163" s="1936">
        <v>1409041</v>
      </c>
      <c r="FB163" s="1936">
        <v>1260386</v>
      </c>
      <c r="FC163" s="1936">
        <v>406519</v>
      </c>
      <c r="FD163" s="1936">
        <v>853867</v>
      </c>
      <c r="FE163" s="1936">
        <v>3728548</v>
      </c>
      <c r="FF163" s="1936">
        <v>1465640</v>
      </c>
      <c r="FG163" s="1936">
        <v>2262908</v>
      </c>
      <c r="FH163" s="1366">
        <v>1</v>
      </c>
      <c r="FI163" s="1366">
        <v>0.42911324297189568</v>
      </c>
      <c r="FJ163" s="1366">
        <v>0.57088675702810432</v>
      </c>
      <c r="FK163" s="1366">
        <v>1</v>
      </c>
      <c r="FL163" s="1366">
        <v>0.32253531854527107</v>
      </c>
      <c r="FM163" s="1366">
        <v>0.67746468145472893</v>
      </c>
      <c r="FN163" s="1366">
        <v>1</v>
      </c>
      <c r="FO163" s="1366">
        <v>0.3930859948698528</v>
      </c>
      <c r="FP163" s="1366">
        <v>0.60691400513014715</v>
      </c>
      <c r="FQ163" s="1936">
        <v>2664619</v>
      </c>
      <c r="FR163" s="1936">
        <v>0</v>
      </c>
      <c r="FS163" s="1936">
        <v>455876</v>
      </c>
      <c r="FT163" s="1936">
        <v>56558</v>
      </c>
      <c r="FU163" s="1936">
        <v>77072</v>
      </c>
      <c r="FV163" s="1936">
        <v>15483</v>
      </c>
      <c r="FW163" s="1936">
        <v>335994</v>
      </c>
      <c r="FX163" s="1936">
        <v>3605602</v>
      </c>
      <c r="FY163" s="1936">
        <v>-1342694</v>
      </c>
      <c r="FZ163" s="1366">
        <v>0.71465326448794542</v>
      </c>
      <c r="GA163" s="1366">
        <v>0</v>
      </c>
      <c r="GB163" s="1366">
        <v>0.12226636213346322</v>
      </c>
      <c r="GC163" s="1366">
        <v>1.5168907574744914E-2</v>
      </c>
      <c r="GD163" s="1366">
        <v>2.0670781226364794E-2</v>
      </c>
      <c r="GE163" s="1366">
        <v>4.1525548283138638E-3</v>
      </c>
      <c r="GF163" s="1366">
        <v>9.0113899566265476E-2</v>
      </c>
      <c r="GG163" s="1366">
        <v>0.96702576981709765</v>
      </c>
      <c r="GH163" s="1366">
        <v>-0.3601117646869505</v>
      </c>
      <c r="GI163" s="1942">
        <v>1.9582588191236654</v>
      </c>
      <c r="GJ163" s="1943">
        <v>1</v>
      </c>
      <c r="GK163" s="1371">
        <v>4.2999999999999997E-2</v>
      </c>
      <c r="GL163" s="1943">
        <v>0</v>
      </c>
      <c r="GM163" s="1371">
        <v>0</v>
      </c>
      <c r="GN163" s="1943">
        <v>0</v>
      </c>
      <c r="GO163" s="1985">
        <f>IF(GN163=0,0,VLOOKUP(A163,'Area (&amp;golfacre for lookup)'!$G$2:$H$133,2,FALSE))</f>
        <v>0</v>
      </c>
      <c r="GP163" s="1943">
        <v>0</v>
      </c>
      <c r="GQ163" s="1943">
        <v>0</v>
      </c>
      <c r="GR163" s="1943">
        <v>0</v>
      </c>
      <c r="GS163" s="1943">
        <v>0</v>
      </c>
      <c r="GT163" s="1943">
        <v>0</v>
      </c>
      <c r="GU163" s="1943">
        <v>0</v>
      </c>
      <c r="GV163" s="1943">
        <v>0</v>
      </c>
      <c r="GW163" s="1943">
        <v>0</v>
      </c>
      <c r="GX163" s="1936">
        <v>0</v>
      </c>
      <c r="GY163" s="1985">
        <f t="shared" si="1319"/>
        <v>0</v>
      </c>
      <c r="GZ163" s="1936">
        <v>0</v>
      </c>
      <c r="HA163" s="1936">
        <v>0</v>
      </c>
      <c r="HB163" s="1936">
        <v>0</v>
      </c>
      <c r="HC163" s="1936">
        <v>0</v>
      </c>
      <c r="HD163" s="1936">
        <v>0</v>
      </c>
      <c r="HE163" s="1936">
        <v>0</v>
      </c>
      <c r="HF163" s="1936">
        <v>0</v>
      </c>
      <c r="HG163" s="1936">
        <v>36</v>
      </c>
      <c r="HH163" s="1988">
        <f>IF(HG163=0,0,VLOOKUP(A163,'Area (&amp;golfacre for lookup)'!$G$2:$H$134,2,FALSE))</f>
        <v>232</v>
      </c>
      <c r="HI163" s="1936">
        <v>68497</v>
      </c>
      <c r="HJ163" s="1936">
        <v>1527138</v>
      </c>
      <c r="HK163" s="1936">
        <v>133337</v>
      </c>
      <c r="HL163" s="1936">
        <v>1082658</v>
      </c>
      <c r="HM163" s="1936">
        <v>230869</v>
      </c>
      <c r="HN163" s="1936">
        <v>0</v>
      </c>
      <c r="HO163" s="1936">
        <v>608189</v>
      </c>
      <c r="HP163" s="1936">
        <v>3582191</v>
      </c>
      <c r="HQ163" s="1936">
        <v>99505.305555555562</v>
      </c>
      <c r="HR163" s="1988">
        <f t="shared" si="1320"/>
        <v>15440.478448275862</v>
      </c>
      <c r="HS163" s="1366">
        <v>0.42631395143363376</v>
      </c>
      <c r="HT163" s="1366">
        <v>3.7222191669846749E-2</v>
      </c>
      <c r="HU163" s="1366">
        <v>0.3022334654963959</v>
      </c>
      <c r="HV163" s="1366">
        <v>6.4449103914336225E-2</v>
      </c>
      <c r="HW163" s="1366">
        <v>0</v>
      </c>
      <c r="HX163" s="1366">
        <v>0.16978128748578733</v>
      </c>
      <c r="HY163" s="1366">
        <v>1</v>
      </c>
      <c r="HZ163" s="51"/>
      <c r="IA163" s="59">
        <f t="shared" si="1322"/>
        <v>0</v>
      </c>
      <c r="IB163" s="59"/>
      <c r="IC163" s="815">
        <f t="shared" si="1323"/>
        <v>1</v>
      </c>
      <c r="ID163" s="815"/>
      <c r="IE163" s="284">
        <f t="shared" si="1324"/>
        <v>0</v>
      </c>
      <c r="IF163" s="284"/>
      <c r="IG163" s="284">
        <f t="shared" si="1325"/>
        <v>29374.461714684472</v>
      </c>
      <c r="IH163" s="284"/>
      <c r="II163" s="1288">
        <f t="shared" si="1326"/>
        <v>1.2766201050353037</v>
      </c>
      <c r="IJ163" s="1288">
        <f t="shared" si="1327"/>
        <v>0</v>
      </c>
      <c r="IK163" s="284">
        <f t="shared" si="1328"/>
        <v>0</v>
      </c>
      <c r="IL163" s="284">
        <f t="shared" si="1329"/>
        <v>0</v>
      </c>
      <c r="IM163" s="284">
        <f t="shared" si="1330"/>
        <v>0</v>
      </c>
      <c r="IN163" s="284">
        <f t="shared" si="1331"/>
        <v>0</v>
      </c>
      <c r="IO163" s="753">
        <f t="shared" si="1332"/>
        <v>-1350.7987927565393</v>
      </c>
      <c r="IP163" s="113">
        <f t="shared" si="1333"/>
        <v>-888.98238684792182</v>
      </c>
      <c r="IQ163" s="30">
        <f t="shared" si="1334"/>
        <v>-8.4335678479074264E-2</v>
      </c>
      <c r="IR163" s="438">
        <f t="shared" si="1335"/>
        <v>2468162</v>
      </c>
      <c r="IS163" s="438">
        <f t="shared" si="1336"/>
        <v>1260386</v>
      </c>
      <c r="IT163" s="438">
        <f t="shared" si="1337"/>
        <v>2664619</v>
      </c>
      <c r="IU163" s="438">
        <f t="shared" si="1338"/>
        <v>512434</v>
      </c>
      <c r="IV163" s="438">
        <f t="shared" si="1339"/>
        <v>1465640</v>
      </c>
      <c r="IW163" s="438">
        <f t="shared" si="1340"/>
        <v>428549</v>
      </c>
      <c r="IX163" s="285">
        <f t="shared" si="1341"/>
        <v>0.66196331655110785</v>
      </c>
      <c r="IY163" s="285">
        <f t="shared" si="1342"/>
        <v>0.33803668344889215</v>
      </c>
      <c r="IZ163" s="285">
        <f t="shared" si="1343"/>
        <v>0.71465326448794542</v>
      </c>
      <c r="JA163" s="285">
        <f t="shared" si="1344"/>
        <v>0.13743526970820813</v>
      </c>
      <c r="JB163" s="285">
        <f t="shared" si="1345"/>
        <v>0.3930859948698528</v>
      </c>
      <c r="JC163" s="285">
        <f t="shared" si="1346"/>
        <v>0.11493723562094413</v>
      </c>
      <c r="JD163" s="60">
        <f t="shared" si="1347"/>
        <v>15920830</v>
      </c>
      <c r="JE163" s="60">
        <f t="shared" si="1348"/>
        <v>3892599</v>
      </c>
      <c r="JF163" s="60">
        <f t="shared" si="1349"/>
        <v>0</v>
      </c>
      <c r="JG163" s="60">
        <f t="shared" si="1350"/>
        <v>947613</v>
      </c>
      <c r="JH163" s="284">
        <f t="shared" si="1351"/>
        <v>0</v>
      </c>
      <c r="JI163" s="284">
        <f t="shared" si="1352"/>
        <v>0</v>
      </c>
      <c r="JJ163" s="560">
        <f t="shared" si="1353"/>
        <v>0</v>
      </c>
      <c r="JK163" s="561">
        <f t="shared" si="1354"/>
        <v>0.52191701578728344</v>
      </c>
      <c r="JL163" s="561">
        <f t="shared" si="1355"/>
        <v>5.6110953932923667E-2</v>
      </c>
      <c r="JM163" s="561">
        <f t="shared" si="1356"/>
        <v>0</v>
      </c>
      <c r="JN163" s="561">
        <f t="shared" si="1357"/>
        <v>0.41310148891345039</v>
      </c>
      <c r="JO163" s="561">
        <f t="shared" si="1358"/>
        <v>1.5114935113909095E-2</v>
      </c>
      <c r="JP163" s="561">
        <f t="shared" si="1359"/>
        <v>2.1163734538419986E-2</v>
      </c>
      <c r="JQ163" s="561">
        <f t="shared" si="1360"/>
        <v>1.0274081282859864</v>
      </c>
      <c r="JR163" s="61">
        <f t="shared" si="1361"/>
        <v>0</v>
      </c>
      <c r="JS163" s="61">
        <f t="shared" si="1362"/>
        <v>0</v>
      </c>
      <c r="JT163" s="61">
        <f t="shared" si="1363"/>
        <v>0</v>
      </c>
      <c r="JU163" s="61">
        <f t="shared" si="1364"/>
        <v>0</v>
      </c>
      <c r="JV163" s="61">
        <f t="shared" si="1365"/>
        <v>0</v>
      </c>
      <c r="JW163" s="61">
        <f t="shared" si="1366"/>
        <v>0</v>
      </c>
      <c r="JX163" s="61">
        <f t="shared" si="1367"/>
        <v>0</v>
      </c>
      <c r="JY163" s="394">
        <f t="shared" si="1368"/>
        <v>0</v>
      </c>
      <c r="JZ163" s="61">
        <f t="shared" si="1369"/>
        <v>42420.5</v>
      </c>
      <c r="KA163" s="61">
        <f t="shared" si="1370"/>
        <v>3703.8055555555557</v>
      </c>
      <c r="KB163" s="61">
        <f t="shared" si="1371"/>
        <v>30073.833333333332</v>
      </c>
      <c r="KC163" s="61">
        <f t="shared" si="1372"/>
        <v>6413.0277777777774</v>
      </c>
      <c r="KD163" s="61">
        <f t="shared" si="1373"/>
        <v>0</v>
      </c>
      <c r="KE163" s="61">
        <f t="shared" si="1374"/>
        <v>16894.138888888891</v>
      </c>
      <c r="KF163" s="61">
        <f t="shared" si="1375"/>
        <v>34200</v>
      </c>
      <c r="KG163" s="61">
        <f t="shared" si="1376"/>
        <v>232</v>
      </c>
      <c r="KH163" s="61">
        <f t="shared" si="1377"/>
        <v>52.297049505817775</v>
      </c>
      <c r="KI163" s="394">
        <f t="shared" si="1378"/>
        <v>0.13348303851562851</v>
      </c>
      <c r="KJ163" s="438">
        <f t="shared" si="1379"/>
        <v>36</v>
      </c>
      <c r="KK163" s="438">
        <f t="shared" si="1380"/>
        <v>68497</v>
      </c>
      <c r="KL163" s="438">
        <f t="shared" si="1381"/>
        <v>232</v>
      </c>
      <c r="KM163" s="438">
        <f t="shared" si="1382"/>
        <v>99505.305555555562</v>
      </c>
      <c r="KN163" s="438">
        <f t="shared" si="1383"/>
        <v>52.297049505817775</v>
      </c>
      <c r="KO163" s="438">
        <f t="shared" si="1384"/>
        <v>15440.478448275862</v>
      </c>
      <c r="KP163" s="438">
        <f t="shared" si="1385"/>
        <v>1527138</v>
      </c>
      <c r="KQ163" s="438">
        <f t="shared" si="1386"/>
        <v>133337</v>
      </c>
      <c r="KR163" s="438">
        <f t="shared" si="1387"/>
        <v>1082658</v>
      </c>
      <c r="KS163" s="438">
        <f t="shared" si="1388"/>
        <v>230869</v>
      </c>
      <c r="KT163" s="438">
        <f t="shared" si="1389"/>
        <v>0</v>
      </c>
      <c r="KU163" s="438">
        <f t="shared" si="1390"/>
        <v>608189</v>
      </c>
      <c r="KV163" s="420">
        <f t="shared" si="1391"/>
        <v>0.13348303851562851</v>
      </c>
      <c r="KW163" s="420">
        <f t="shared" si="1392"/>
        <v>-0.18679943193916398</v>
      </c>
      <c r="KX163" s="108"/>
      <c r="KY163" s="282">
        <f t="shared" si="1393"/>
        <v>0</v>
      </c>
      <c r="KZ163" s="282"/>
      <c r="LA163" s="282">
        <f t="shared" si="1394"/>
        <v>0</v>
      </c>
      <c r="LB163" s="282"/>
      <c r="LC163" s="286">
        <f t="shared" si="1321"/>
        <v>0</v>
      </c>
      <c r="LD163" s="286"/>
      <c r="LE163" s="282">
        <f t="shared" si="1395"/>
        <v>0</v>
      </c>
      <c r="LF163" s="282"/>
      <c r="LG163" s="282">
        <f t="shared" si="1396"/>
        <v>0</v>
      </c>
      <c r="LH163" s="282">
        <f t="shared" si="1397"/>
        <v>0</v>
      </c>
      <c r="LI163" s="282">
        <f t="shared" si="1398"/>
        <v>0</v>
      </c>
      <c r="LJ163" s="282">
        <f t="shared" si="1399"/>
        <v>0</v>
      </c>
      <c r="LK163" s="282"/>
      <c r="LL163" s="282">
        <f t="shared" si="1400"/>
        <v>0</v>
      </c>
      <c r="LM163" s="282">
        <f t="shared" si="1401"/>
        <v>0</v>
      </c>
      <c r="LN163" s="282">
        <f t="shared" si="1402"/>
        <v>0</v>
      </c>
      <c r="LO163" s="282">
        <f t="shared" si="1403"/>
        <v>0</v>
      </c>
      <c r="LP163" s="286">
        <f t="shared" si="1404"/>
        <v>0</v>
      </c>
      <c r="LQ163" s="282">
        <f t="shared" si="1405"/>
        <v>0</v>
      </c>
      <c r="LR163" s="282">
        <f t="shared" si="1406"/>
        <v>0</v>
      </c>
      <c r="LS163" s="282">
        <f t="shared" si="1407"/>
        <v>0</v>
      </c>
      <c r="LT163" s="286">
        <f t="shared" si="1408"/>
        <v>0</v>
      </c>
      <c r="LU163" s="286">
        <f t="shared" si="1409"/>
        <v>0</v>
      </c>
      <c r="LV163" s="286">
        <f t="shared" si="1410"/>
        <v>0</v>
      </c>
      <c r="LW163" s="286">
        <f t="shared" si="1411"/>
        <v>0</v>
      </c>
      <c r="LX163" s="286">
        <f t="shared" si="1412"/>
        <v>0</v>
      </c>
      <c r="LY163" s="286">
        <f t="shared" si="1413"/>
        <v>0</v>
      </c>
      <c r="LZ163" s="286">
        <f t="shared" si="1414"/>
        <v>0</v>
      </c>
      <c r="MA163" s="286">
        <f t="shared" si="1415"/>
        <v>0</v>
      </c>
      <c r="MB163" s="286">
        <f t="shared" si="1416"/>
        <v>0</v>
      </c>
      <c r="MC163" s="286">
        <f t="shared" si="1417"/>
        <v>0</v>
      </c>
      <c r="MD163" s="286">
        <f t="shared" si="1418"/>
        <v>0</v>
      </c>
      <c r="ME163" s="286">
        <f t="shared" si="1419"/>
        <v>0</v>
      </c>
      <c r="MF163" s="286">
        <f t="shared" si="1420"/>
        <v>0</v>
      </c>
      <c r="MG163" s="286">
        <f t="shared" si="1421"/>
        <v>0</v>
      </c>
      <c r="MH163" s="286">
        <f t="shared" si="1422"/>
        <v>0</v>
      </c>
      <c r="MI163" s="286">
        <f t="shared" si="1423"/>
        <v>0</v>
      </c>
      <c r="MJ163" s="286">
        <f t="shared" si="1424"/>
        <v>0</v>
      </c>
      <c r="MK163" s="286">
        <f t="shared" si="1425"/>
        <v>0</v>
      </c>
      <c r="ML163" s="282">
        <f t="shared" si="1426"/>
        <v>0</v>
      </c>
      <c r="MM163" s="1232">
        <f t="shared" si="1427"/>
        <v>0</v>
      </c>
      <c r="MN163" s="1232">
        <f t="shared" si="1428"/>
        <v>0</v>
      </c>
      <c r="MO163" s="1232">
        <f t="shared" si="1429"/>
        <v>0</v>
      </c>
      <c r="MP163" s="1232">
        <f t="shared" si="1430"/>
        <v>0</v>
      </c>
      <c r="MQ163" s="282">
        <f t="shared" si="1431"/>
        <v>0</v>
      </c>
      <c r="MR163" s="282">
        <f t="shared" si="1432"/>
        <v>0</v>
      </c>
      <c r="MS163" s="282">
        <f t="shared" si="1433"/>
        <v>0</v>
      </c>
      <c r="MT163" s="282">
        <f t="shared" si="1434"/>
        <v>0</v>
      </c>
      <c r="MU163" s="282">
        <f t="shared" si="1435"/>
        <v>0</v>
      </c>
      <c r="MV163" s="282">
        <f t="shared" si="1436"/>
        <v>0</v>
      </c>
      <c r="MW163" s="282">
        <f t="shared" si="1437"/>
        <v>0</v>
      </c>
      <c r="MX163" s="282">
        <f t="shared" si="1438"/>
        <v>0</v>
      </c>
      <c r="MY163" s="282">
        <f t="shared" si="1439"/>
        <v>0</v>
      </c>
      <c r="MZ163" s="282">
        <f t="shared" si="1440"/>
        <v>0</v>
      </c>
      <c r="NA163" s="282">
        <f t="shared" si="1441"/>
        <v>0</v>
      </c>
      <c r="NB163" s="282">
        <f t="shared" si="1442"/>
        <v>0</v>
      </c>
      <c r="NC163" s="282">
        <f t="shared" si="1443"/>
        <v>0</v>
      </c>
      <c r="ND163" s="282">
        <f t="shared" si="1444"/>
        <v>0</v>
      </c>
      <c r="NE163" s="282">
        <f t="shared" si="1445"/>
        <v>0</v>
      </c>
      <c r="NF163" s="282">
        <f t="shared" si="1446"/>
        <v>0</v>
      </c>
      <c r="NG163" s="282">
        <f t="shared" si="1447"/>
        <v>0</v>
      </c>
      <c r="NH163" s="282">
        <f t="shared" si="1448"/>
        <v>0</v>
      </c>
      <c r="NI163" s="282">
        <f t="shared" si="1449"/>
        <v>0</v>
      </c>
      <c r="NJ163" s="282">
        <f t="shared" si="1450"/>
        <v>0</v>
      </c>
      <c r="NK163" s="282">
        <f t="shared" si="1451"/>
        <v>0</v>
      </c>
      <c r="NL163" s="282">
        <f t="shared" si="1452"/>
        <v>0</v>
      </c>
      <c r="NM163" s="1205">
        <f t="shared" si="1453"/>
        <v>0</v>
      </c>
      <c r="NN163" s="282">
        <f t="shared" si="1454"/>
        <v>0</v>
      </c>
      <c r="NO163" s="282">
        <f t="shared" si="1455"/>
        <v>0</v>
      </c>
      <c r="NP163" s="282">
        <f t="shared" si="1456"/>
        <v>0</v>
      </c>
      <c r="NQ163" s="282">
        <f t="shared" si="1457"/>
        <v>0</v>
      </c>
      <c r="NR163" s="282">
        <f t="shared" si="1458"/>
        <v>0</v>
      </c>
      <c r="NS163" s="282">
        <f t="shared" si="1459"/>
        <v>0</v>
      </c>
      <c r="NT163" s="282">
        <f t="shared" si="1460"/>
        <v>0</v>
      </c>
      <c r="NU163" s="282">
        <f t="shared" si="1461"/>
        <v>0</v>
      </c>
      <c r="NV163" s="286">
        <f t="shared" si="1462"/>
        <v>0</v>
      </c>
      <c r="NW163" s="286">
        <f t="shared" si="1463"/>
        <v>0</v>
      </c>
      <c r="NX163" s="286">
        <f t="shared" si="1464"/>
        <v>0</v>
      </c>
      <c r="NY163" s="286">
        <f t="shared" si="1465"/>
        <v>0</v>
      </c>
      <c r="NZ163" s="286">
        <f t="shared" si="1466"/>
        <v>0</v>
      </c>
      <c r="OA163" s="286">
        <f t="shared" si="1467"/>
        <v>0</v>
      </c>
      <c r="OB163" s="286">
        <f t="shared" si="1468"/>
        <v>0</v>
      </c>
      <c r="OC163" s="286">
        <f t="shared" si="1469"/>
        <v>0</v>
      </c>
      <c r="OD163" s="286">
        <f t="shared" si="1470"/>
        <v>0</v>
      </c>
      <c r="OE163" s="282">
        <f t="shared" si="1471"/>
        <v>0</v>
      </c>
      <c r="OF163" s="282">
        <f t="shared" si="1472"/>
        <v>0</v>
      </c>
      <c r="OG163" s="286">
        <f t="shared" si="1473"/>
        <v>0</v>
      </c>
      <c r="OH163" s="286">
        <f t="shared" si="1474"/>
        <v>0</v>
      </c>
      <c r="OI163" s="286">
        <f t="shared" si="1475"/>
        <v>0</v>
      </c>
      <c r="OJ163" s="286">
        <f t="shared" si="1476"/>
        <v>0</v>
      </c>
      <c r="OK163" s="286">
        <f t="shared" si="1477"/>
        <v>0</v>
      </c>
      <c r="OL163" s="286">
        <f t="shared" si="1478"/>
        <v>0</v>
      </c>
      <c r="OM163" s="286">
        <f t="shared" si="1479"/>
        <v>0</v>
      </c>
      <c r="ON163" s="286">
        <f t="shared" si="1480"/>
        <v>0</v>
      </c>
      <c r="OO163" s="286">
        <f t="shared" si="1481"/>
        <v>0</v>
      </c>
      <c r="OP163" s="434">
        <f t="shared" si="1482"/>
        <v>0</v>
      </c>
      <c r="OQ163" s="434">
        <f t="shared" si="1483"/>
        <v>0</v>
      </c>
      <c r="OR163" s="282" t="str">
        <f t="shared" si="1484"/>
        <v>fix</v>
      </c>
      <c r="OS163" s="282">
        <f t="shared" si="1485"/>
        <v>0</v>
      </c>
      <c r="OT163" s="282">
        <f t="shared" si="1486"/>
        <v>0</v>
      </c>
      <c r="OU163" s="282">
        <f t="shared" si="1487"/>
        <v>0</v>
      </c>
      <c r="OV163" s="282">
        <f t="shared" si="1488"/>
        <v>0</v>
      </c>
      <c r="OW163" s="286">
        <f t="shared" si="1489"/>
        <v>0</v>
      </c>
      <c r="OX163" s="286">
        <f t="shared" si="1490"/>
        <v>0</v>
      </c>
      <c r="OY163" s="286">
        <f t="shared" si="1491"/>
        <v>0</v>
      </c>
      <c r="OZ163" s="286">
        <f t="shared" si="1492"/>
        <v>0</v>
      </c>
      <c r="PA163" s="286">
        <f t="shared" si="1493"/>
        <v>0</v>
      </c>
      <c r="PB163" s="286">
        <f t="shared" si="1494"/>
        <v>0</v>
      </c>
      <c r="PC163" s="286">
        <f t="shared" si="1495"/>
        <v>0</v>
      </c>
      <c r="PD163" s="282">
        <f t="shared" si="1496"/>
        <v>0</v>
      </c>
      <c r="PE163" s="282">
        <f t="shared" si="1497"/>
        <v>0</v>
      </c>
      <c r="PF163" s="286">
        <f t="shared" si="1498"/>
        <v>0</v>
      </c>
      <c r="PG163" s="286">
        <f t="shared" si="1499"/>
        <v>0</v>
      </c>
      <c r="PH163" s="286">
        <f t="shared" si="1500"/>
        <v>0</v>
      </c>
      <c r="PI163" s="286">
        <f t="shared" si="1501"/>
        <v>0</v>
      </c>
      <c r="PJ163" s="286">
        <f t="shared" si="1502"/>
        <v>0</v>
      </c>
      <c r="PK163" s="286">
        <f t="shared" si="1503"/>
        <v>0</v>
      </c>
      <c r="PL163" s="286">
        <f t="shared" si="1504"/>
        <v>0</v>
      </c>
      <c r="PM163" s="562">
        <v>107</v>
      </c>
    </row>
    <row r="164" spans="1:429" s="289" customFormat="1" ht="15.75" customHeight="1">
      <c r="A164" s="1040" t="s">
        <v>1416</v>
      </c>
      <c r="B164" s="1040" t="str">
        <f>VLOOKUP(A164,'Area (&amp;golfacre for lookup)'!$A$2:$B$162,2,FALSE)</f>
        <v>SW exc CIRA</v>
      </c>
      <c r="C164" s="1936"/>
      <c r="D164" s="1937">
        <v>44926</v>
      </c>
      <c r="E164" s="402"/>
      <c r="F164" s="1936">
        <v>1</v>
      </c>
      <c r="G164" s="1936">
        <v>0</v>
      </c>
      <c r="H164" s="1936">
        <v>480</v>
      </c>
      <c r="I164" s="1936">
        <v>547</v>
      </c>
      <c r="J164" s="1936">
        <v>1027</v>
      </c>
      <c r="K164" s="1938">
        <v>660.93461482452312</v>
      </c>
      <c r="L164" s="1939" t="s">
        <v>1208</v>
      </c>
      <c r="M164" s="1939" t="s">
        <v>1208</v>
      </c>
      <c r="N164" s="1939" t="s">
        <v>1208</v>
      </c>
      <c r="O164" s="1939" t="s">
        <v>1208</v>
      </c>
      <c r="P164" s="1939" t="s">
        <v>1208</v>
      </c>
      <c r="Q164" s="1936">
        <v>0</v>
      </c>
      <c r="R164" s="1936">
        <v>130000</v>
      </c>
      <c r="S164" s="1936">
        <v>130000</v>
      </c>
      <c r="T164" s="1939" t="s">
        <v>1208</v>
      </c>
      <c r="U164" s="1939" t="s">
        <v>1208</v>
      </c>
      <c r="V164" s="1939" t="s">
        <v>1208</v>
      </c>
      <c r="W164" s="1936">
        <v>14930</v>
      </c>
      <c r="X164" s="1936">
        <v>13734</v>
      </c>
      <c r="Y164" s="1939" t="s">
        <v>1208</v>
      </c>
      <c r="Z164" s="1939" t="s">
        <v>1208</v>
      </c>
      <c r="AA164" s="1936">
        <v>1196</v>
      </c>
      <c r="AB164" s="1362">
        <v>8.7083151303334785E-2</v>
      </c>
      <c r="AC164" s="1939" t="s">
        <v>1208</v>
      </c>
      <c r="AD164" s="1363" t="s">
        <v>1208</v>
      </c>
      <c r="AE164" s="1936">
        <v>1</v>
      </c>
      <c r="AF164" s="1936">
        <v>2400</v>
      </c>
      <c r="AG164" s="1939" t="s">
        <v>1208</v>
      </c>
      <c r="AH164" s="1936">
        <v>0</v>
      </c>
      <c r="AI164" s="1936">
        <v>0</v>
      </c>
      <c r="AJ164" s="1939" t="s">
        <v>1208</v>
      </c>
      <c r="AK164" s="1938">
        <v>0</v>
      </c>
      <c r="AL164" s="1938">
        <v>0</v>
      </c>
      <c r="AM164" s="1936">
        <v>16134</v>
      </c>
      <c r="AN164" s="1939" t="s">
        <v>1208</v>
      </c>
      <c r="AO164" s="1936">
        <v>0</v>
      </c>
      <c r="AP164" s="1936">
        <v>0</v>
      </c>
      <c r="AQ164" s="1936">
        <v>16134</v>
      </c>
      <c r="AR164" s="1939" t="s">
        <v>1208</v>
      </c>
      <c r="AS164" s="1363" t="s">
        <v>1208</v>
      </c>
      <c r="AT164" s="1363" t="s">
        <v>1208</v>
      </c>
      <c r="AU164" s="1363" t="s">
        <v>1208</v>
      </c>
      <c r="AV164" s="1363" t="s">
        <v>1208</v>
      </c>
      <c r="AW164" s="1363" t="s">
        <v>1291</v>
      </c>
      <c r="AX164" s="1938">
        <v>0</v>
      </c>
      <c r="AY164" s="1938">
        <v>0</v>
      </c>
      <c r="AZ164" s="1938">
        <v>0</v>
      </c>
      <c r="BA164" s="1938">
        <v>0</v>
      </c>
      <c r="BB164" s="1938">
        <v>0</v>
      </c>
      <c r="BC164" s="1938">
        <v>0</v>
      </c>
      <c r="BD164" s="1938">
        <v>0</v>
      </c>
      <c r="BE164" s="1936">
        <v>1</v>
      </c>
      <c r="BF164" s="1936">
        <v>1500000</v>
      </c>
      <c r="BG164" s="1936">
        <v>655000</v>
      </c>
      <c r="BH164" s="1936">
        <v>2155000</v>
      </c>
      <c r="BI164" s="1938">
        <v>41315092</v>
      </c>
      <c r="BJ164" s="1936">
        <v>1987051</v>
      </c>
      <c r="BK164" s="1936">
        <v>2690558</v>
      </c>
      <c r="BL164" s="1362">
        <v>0.73852747273985542</v>
      </c>
      <c r="BM164" s="1936">
        <v>1</v>
      </c>
      <c r="BN164" s="1936">
        <v>7647690</v>
      </c>
      <c r="BO164" s="1363" t="s">
        <v>1208</v>
      </c>
      <c r="BP164" s="1938">
        <v>3340697</v>
      </c>
      <c r="BQ164" s="1938">
        <v>2595950</v>
      </c>
      <c r="BR164" s="1940">
        <v>1.2868880371347675</v>
      </c>
      <c r="BS164" s="1409">
        <v>1</v>
      </c>
      <c r="BT164" s="1938">
        <v>14441610</v>
      </c>
      <c r="BU164" s="1938">
        <v>33455528</v>
      </c>
      <c r="BV164" s="1940">
        <v>0.43166588194333683</v>
      </c>
      <c r="BW164" s="1936">
        <v>11571.023560372076</v>
      </c>
      <c r="BX164" s="1936">
        <v>3006.4259844032504</v>
      </c>
      <c r="BY164" s="1936">
        <v>3260.5343276991907</v>
      </c>
      <c r="BZ164" s="1936">
        <v>2094057</v>
      </c>
      <c r="CA164" s="1936">
        <v>0</v>
      </c>
      <c r="CB164" s="1936">
        <v>745036</v>
      </c>
      <c r="CC164" s="1936">
        <v>713805</v>
      </c>
      <c r="CD164" s="1936">
        <v>9077276</v>
      </c>
      <c r="CE164" s="1936">
        <v>0</v>
      </c>
      <c r="CF164" s="1936">
        <v>0</v>
      </c>
      <c r="CG164" s="1936">
        <v>3193013</v>
      </c>
      <c r="CH164" s="1936">
        <v>1425514</v>
      </c>
      <c r="CI164" s="1936">
        <v>90895</v>
      </c>
      <c r="CJ164" s="1936">
        <v>17339596</v>
      </c>
      <c r="CK164" s="1366">
        <v>0.12076734659792535</v>
      </c>
      <c r="CL164" s="1366">
        <v>0</v>
      </c>
      <c r="CM164" s="1366">
        <v>4.2967321729987247E-2</v>
      </c>
      <c r="CN164" s="1366">
        <v>4.1166184033353488E-2</v>
      </c>
      <c r="CO164" s="1366">
        <v>0.52349985547529476</v>
      </c>
      <c r="CP164" s="1366">
        <v>0</v>
      </c>
      <c r="CQ164" s="1366">
        <v>0</v>
      </c>
      <c r="CR164" s="1366">
        <v>0.18414575518368478</v>
      </c>
      <c r="CS164" s="1366">
        <v>8.2211488664441779E-2</v>
      </c>
      <c r="CT164" s="1366">
        <v>5.2420483153125365E-3</v>
      </c>
      <c r="CU164" s="1366">
        <v>1</v>
      </c>
      <c r="CV164" s="1936">
        <v>9117232</v>
      </c>
      <c r="CW164" s="1936">
        <v>1940102</v>
      </c>
      <c r="CX164" s="1936">
        <v>562458</v>
      </c>
      <c r="CY164" s="1936">
        <v>3923201</v>
      </c>
      <c r="CZ164" s="1936">
        <v>528711</v>
      </c>
      <c r="DA164" s="1936">
        <v>472267</v>
      </c>
      <c r="DB164" s="1936">
        <v>16543971</v>
      </c>
      <c r="DC164" s="1366">
        <v>0.55109090798091942</v>
      </c>
      <c r="DD164" s="1366">
        <v>0.11726942703175676</v>
      </c>
      <c r="DE164" s="1366">
        <v>3.3997762689501811E-2</v>
      </c>
      <c r="DF164" s="1366">
        <v>0.23713780687840905</v>
      </c>
      <c r="DG164" s="1366">
        <v>3.1957925941722212E-2</v>
      </c>
      <c r="DH164" s="1366">
        <v>2.8546169477690696E-2</v>
      </c>
      <c r="DI164" s="1366">
        <v>1</v>
      </c>
      <c r="DJ164" s="1936">
        <v>795625</v>
      </c>
      <c r="DK164" s="1936">
        <v>3168.3270221154448</v>
      </c>
      <c r="DL164" s="1936">
        <v>0</v>
      </c>
      <c r="DM164" s="1936">
        <v>1127.2461500564707</v>
      </c>
      <c r="DN164" s="1936">
        <v>1079.993366952817</v>
      </c>
      <c r="DO164" s="1936">
        <v>13734</v>
      </c>
      <c r="DP164" s="1936">
        <v>0</v>
      </c>
      <c r="DQ164" s="1936">
        <v>0</v>
      </c>
      <c r="DR164" s="1936">
        <v>4831.0573063989677</v>
      </c>
      <c r="DS164" s="1936">
        <v>2156.8154671070924</v>
      </c>
      <c r="DT164" s="1936">
        <v>137.52495021634243</v>
      </c>
      <c r="DU164" s="1936">
        <v>26234.964262847134</v>
      </c>
      <c r="DV164" s="1936">
        <v>13794.453786356171</v>
      </c>
      <c r="DW164" s="1936">
        <v>2935.3917263284711</v>
      </c>
      <c r="DX164" s="1936">
        <v>851.003998556395</v>
      </c>
      <c r="DY164" s="1936">
        <v>5935.8382992871429</v>
      </c>
      <c r="DZ164" s="1936">
        <v>799.94448488731632</v>
      </c>
      <c r="EA164" s="1936">
        <v>714.54420665406667</v>
      </c>
      <c r="EB164" s="1936">
        <v>25031.17650206956</v>
      </c>
      <c r="EC164" s="1936">
        <v>1203.7877607775724</v>
      </c>
      <c r="ED164" s="1941">
        <v>168</v>
      </c>
      <c r="EE164" s="1936">
        <v>0</v>
      </c>
      <c r="EF164" s="1936">
        <v>0</v>
      </c>
      <c r="EG164" s="1938">
        <v>0</v>
      </c>
      <c r="EH164" s="1938">
        <v>1</v>
      </c>
      <c r="EI164" s="1368">
        <v>6.8000000000000005E-2</v>
      </c>
      <c r="EJ164" s="1936">
        <v>3.934134612050733</v>
      </c>
      <c r="EK164" s="1936">
        <v>0</v>
      </c>
      <c r="EL164" s="1936">
        <v>0</v>
      </c>
      <c r="EM164" s="1936">
        <v>1</v>
      </c>
      <c r="EN164" s="1362">
        <v>0.2</v>
      </c>
      <c r="EO164" s="1936">
        <v>0</v>
      </c>
      <c r="EP164" s="1936">
        <v>0</v>
      </c>
      <c r="EQ164" s="1936">
        <v>0</v>
      </c>
      <c r="ER164" s="1938">
        <v>0</v>
      </c>
      <c r="ES164" s="1936">
        <v>6987.8727735060602</v>
      </c>
      <c r="ET164" s="1936">
        <v>-2570.0424246216594</v>
      </c>
      <c r="EU164" s="1938">
        <v>3</v>
      </c>
      <c r="EV164" s="1936">
        <v>71352</v>
      </c>
      <c r="EW164" s="1936">
        <v>23784</v>
      </c>
      <c r="EX164" s="1938">
        <v>2</v>
      </c>
      <c r="EY164" s="1936">
        <v>3193013</v>
      </c>
      <c r="EZ164" s="1936">
        <v>1485055</v>
      </c>
      <c r="FA164" s="1936">
        <v>1707958</v>
      </c>
      <c r="FB164" s="1936">
        <v>1425514</v>
      </c>
      <c r="FC164" s="1936">
        <v>455047</v>
      </c>
      <c r="FD164" s="1936">
        <v>970467</v>
      </c>
      <c r="FE164" s="1936">
        <v>4618527</v>
      </c>
      <c r="FF164" s="1936">
        <v>1940102</v>
      </c>
      <c r="FG164" s="1936">
        <v>2678425</v>
      </c>
      <c r="FH164" s="1366">
        <v>1</v>
      </c>
      <c r="FI164" s="1366">
        <v>0.46509519378718472</v>
      </c>
      <c r="FJ164" s="1366">
        <v>0.53490480621281533</v>
      </c>
      <c r="FK164" s="1366">
        <v>1</v>
      </c>
      <c r="FL164" s="1366">
        <v>0.31921608626783043</v>
      </c>
      <c r="FM164" s="1366">
        <v>0.68078391373216962</v>
      </c>
      <c r="FN164" s="1366">
        <v>1</v>
      </c>
      <c r="FO164" s="1366">
        <v>0.42006942906255607</v>
      </c>
      <c r="FP164" s="1366">
        <v>0.57993057093744393</v>
      </c>
      <c r="FQ164" s="1936">
        <v>2949685</v>
      </c>
      <c r="FR164" s="1936">
        <v>0</v>
      </c>
      <c r="FS164" s="1936">
        <v>655972</v>
      </c>
      <c r="FT164" s="1936">
        <v>69413</v>
      </c>
      <c r="FU164" s="1936">
        <v>89602</v>
      </c>
      <c r="FV164" s="1936">
        <v>11018</v>
      </c>
      <c r="FW164" s="1936">
        <v>601365</v>
      </c>
      <c r="FX164" s="1936">
        <v>4377055</v>
      </c>
      <c r="FY164" s="1936">
        <v>-1698630</v>
      </c>
      <c r="FZ164" s="1366">
        <v>0.63866358256647626</v>
      </c>
      <c r="GA164" s="1366">
        <v>0</v>
      </c>
      <c r="GB164" s="1366">
        <v>0.14203056515637993</v>
      </c>
      <c r="GC164" s="1366">
        <v>1.5029250668016015E-2</v>
      </c>
      <c r="GD164" s="1366">
        <v>1.9400557796890653E-2</v>
      </c>
      <c r="GE164" s="1366">
        <v>2.3856090913834649E-3</v>
      </c>
      <c r="GF164" s="1366">
        <v>0.13020709849698833</v>
      </c>
      <c r="GG164" s="1366">
        <v>0.94771666377613473</v>
      </c>
      <c r="GH164" s="1366">
        <v>-0.36778609283869079</v>
      </c>
      <c r="GI164" s="1942">
        <v>2.2399029402727719</v>
      </c>
      <c r="GJ164" s="1943">
        <v>1</v>
      </c>
      <c r="GK164" s="1371">
        <v>0.04</v>
      </c>
      <c r="GL164" s="1943">
        <v>1</v>
      </c>
      <c r="GM164" s="1371">
        <v>0.04</v>
      </c>
      <c r="GN164" s="1943">
        <v>0</v>
      </c>
      <c r="GO164" s="1985">
        <f>IF(GN164=0,0,VLOOKUP(A164,'Area (&amp;golfacre for lookup)'!$G$2:$H$133,2,FALSE))</f>
        <v>0</v>
      </c>
      <c r="GP164" s="1943">
        <v>0</v>
      </c>
      <c r="GQ164" s="1943">
        <v>0</v>
      </c>
      <c r="GR164" s="1943">
        <v>0</v>
      </c>
      <c r="GS164" s="1943">
        <v>0</v>
      </c>
      <c r="GT164" s="1943">
        <v>0</v>
      </c>
      <c r="GU164" s="1943">
        <v>0</v>
      </c>
      <c r="GV164" s="1943">
        <v>0</v>
      </c>
      <c r="GW164" s="1943">
        <v>0</v>
      </c>
      <c r="GX164" s="1936">
        <v>0</v>
      </c>
      <c r="GY164" s="1985">
        <f t="shared" si="1319"/>
        <v>0</v>
      </c>
      <c r="GZ164" s="1936">
        <v>0</v>
      </c>
      <c r="HA164" s="1936">
        <v>0</v>
      </c>
      <c r="HB164" s="1936">
        <v>0</v>
      </c>
      <c r="HC164" s="1936">
        <v>0</v>
      </c>
      <c r="HD164" s="1936">
        <v>0</v>
      </c>
      <c r="HE164" s="1936">
        <v>0</v>
      </c>
      <c r="HF164" s="1936">
        <v>0</v>
      </c>
      <c r="HG164" s="1936">
        <v>27</v>
      </c>
      <c r="HH164" s="1988">
        <f>IF(HG164=0,0,VLOOKUP(A164,'Area (&amp;golfacre for lookup)'!$G$2:$H$134,2,FALSE))</f>
        <v>244</v>
      </c>
      <c r="HI164" s="1936">
        <v>39732</v>
      </c>
      <c r="HJ164" s="1936">
        <v>1470815</v>
      </c>
      <c r="HK164" s="1936">
        <v>337376</v>
      </c>
      <c r="HL164" s="1936">
        <v>582821</v>
      </c>
      <c r="HM164" s="1936">
        <v>521200</v>
      </c>
      <c r="HN164" s="1936">
        <v>0</v>
      </c>
      <c r="HO164" s="1936">
        <v>300174</v>
      </c>
      <c r="HP164" s="1936">
        <v>3212386</v>
      </c>
      <c r="HQ164" s="1936">
        <v>118977.25925925926</v>
      </c>
      <c r="HR164" s="1988">
        <f t="shared" si="1320"/>
        <v>13165.516393442624</v>
      </c>
      <c r="HS164" s="1366">
        <v>0.45785749284176935</v>
      </c>
      <c r="HT164" s="1366">
        <v>0.10502349344070108</v>
      </c>
      <c r="HU164" s="1366">
        <v>0.1814293176473811</v>
      </c>
      <c r="HV164" s="1366">
        <v>0.16224700269519293</v>
      </c>
      <c r="HW164" s="1366">
        <v>0</v>
      </c>
      <c r="HX164" s="1366">
        <v>9.344269337495556E-2</v>
      </c>
      <c r="HY164" s="1366">
        <v>1</v>
      </c>
      <c r="HZ164" s="51"/>
      <c r="IA164" s="59">
        <f t="shared" si="1322"/>
        <v>0</v>
      </c>
      <c r="IB164" s="59"/>
      <c r="IC164" s="815">
        <f t="shared" si="1323"/>
        <v>1</v>
      </c>
      <c r="ID164" s="815"/>
      <c r="IE164" s="284">
        <f t="shared" si="1324"/>
        <v>0</v>
      </c>
      <c r="IF164" s="284"/>
      <c r="IG164" s="284">
        <f t="shared" si="1325"/>
        <v>62510.10474155462</v>
      </c>
      <c r="IH164" s="284"/>
      <c r="II164" s="1288">
        <f t="shared" si="1326"/>
        <v>1.2868880371347675</v>
      </c>
      <c r="IJ164" s="1288">
        <f t="shared" si="1327"/>
        <v>0</v>
      </c>
      <c r="IK164" s="284">
        <f t="shared" si="1328"/>
        <v>1</v>
      </c>
      <c r="IL164" s="284">
        <f t="shared" si="1329"/>
        <v>0</v>
      </c>
      <c r="IM164" s="284">
        <f t="shared" si="1330"/>
        <v>0</v>
      </c>
      <c r="IN164" s="284">
        <f t="shared" si="1331"/>
        <v>0</v>
      </c>
      <c r="IO164" s="753">
        <f t="shared" si="1332"/>
        <v>-1653.9727361246348</v>
      </c>
      <c r="IP164" s="113">
        <f t="shared" si="1333"/>
        <v>-2570.0424246216594</v>
      </c>
      <c r="IQ164" s="30">
        <f t="shared" si="1334"/>
        <v>-0.18712992752451285</v>
      </c>
      <c r="IR164" s="438">
        <f t="shared" si="1335"/>
        <v>3193013</v>
      </c>
      <c r="IS164" s="438">
        <f t="shared" si="1336"/>
        <v>1425514</v>
      </c>
      <c r="IT164" s="438">
        <f t="shared" si="1337"/>
        <v>2949685</v>
      </c>
      <c r="IU164" s="438">
        <f t="shared" si="1338"/>
        <v>725385</v>
      </c>
      <c r="IV164" s="438">
        <f t="shared" si="1339"/>
        <v>1940102</v>
      </c>
      <c r="IW164" s="438">
        <f t="shared" si="1340"/>
        <v>701985</v>
      </c>
      <c r="IX164" s="285">
        <f t="shared" si="1341"/>
        <v>0.69134877851747967</v>
      </c>
      <c r="IY164" s="285">
        <f t="shared" si="1342"/>
        <v>0.30865122148252028</v>
      </c>
      <c r="IZ164" s="285">
        <f t="shared" si="1343"/>
        <v>0.63866358256647626</v>
      </c>
      <c r="JA164" s="285">
        <f t="shared" si="1344"/>
        <v>0.15705981582439596</v>
      </c>
      <c r="JB164" s="285">
        <f t="shared" si="1345"/>
        <v>0.42006942906255607</v>
      </c>
      <c r="JC164" s="285">
        <f t="shared" si="1346"/>
        <v>0.15199326538526245</v>
      </c>
      <c r="JD164" s="60">
        <f t="shared" si="1347"/>
        <v>9077276</v>
      </c>
      <c r="JE164" s="60">
        <f t="shared" si="1348"/>
        <v>3552898</v>
      </c>
      <c r="JF164" s="60">
        <f t="shared" si="1349"/>
        <v>0</v>
      </c>
      <c r="JG164" s="60">
        <f t="shared" si="1350"/>
        <v>1000978</v>
      </c>
      <c r="JH164" s="284">
        <f t="shared" si="1351"/>
        <v>1</v>
      </c>
      <c r="JI164" s="284">
        <f t="shared" si="1352"/>
        <v>1</v>
      </c>
      <c r="JJ164" s="560">
        <f t="shared" si="1353"/>
        <v>0.75494070085203935</v>
      </c>
      <c r="JK164" s="561">
        <f t="shared" si="1354"/>
        <v>0.52580417675244573</v>
      </c>
      <c r="JL164" s="561">
        <f t="shared" si="1355"/>
        <v>0.11188853534995856</v>
      </c>
      <c r="JM164" s="561">
        <f t="shared" si="1356"/>
        <v>3.2437779980571638E-2</v>
      </c>
      <c r="JN164" s="561">
        <f t="shared" si="1357"/>
        <v>0.22625677091899948</v>
      </c>
      <c r="JO164" s="561">
        <f t="shared" si="1358"/>
        <v>3.0491540864043199E-2</v>
      </c>
      <c r="JP164" s="561">
        <f t="shared" si="1359"/>
        <v>2.7236332380523743E-2</v>
      </c>
      <c r="JQ164" s="561">
        <f t="shared" si="1360"/>
        <v>0.95411513624654221</v>
      </c>
      <c r="JR164" s="61">
        <f t="shared" si="1361"/>
        <v>0</v>
      </c>
      <c r="JS164" s="61">
        <f t="shared" si="1362"/>
        <v>0</v>
      </c>
      <c r="JT164" s="61">
        <f t="shared" si="1363"/>
        <v>0</v>
      </c>
      <c r="JU164" s="61">
        <f t="shared" si="1364"/>
        <v>0</v>
      </c>
      <c r="JV164" s="61">
        <f t="shared" si="1365"/>
        <v>0</v>
      </c>
      <c r="JW164" s="61">
        <f t="shared" si="1366"/>
        <v>0</v>
      </c>
      <c r="JX164" s="61">
        <f t="shared" si="1367"/>
        <v>0</v>
      </c>
      <c r="JY164" s="394">
        <f t="shared" si="1368"/>
        <v>0</v>
      </c>
      <c r="JZ164" s="61">
        <f t="shared" si="1369"/>
        <v>54474.629629629628</v>
      </c>
      <c r="KA164" s="61">
        <f t="shared" si="1370"/>
        <v>12495.407407407407</v>
      </c>
      <c r="KB164" s="61">
        <f t="shared" si="1371"/>
        <v>21585.962962962964</v>
      </c>
      <c r="KC164" s="61">
        <f t="shared" si="1372"/>
        <v>19303.703703703704</v>
      </c>
      <c r="KD164" s="61">
        <f t="shared" si="1373"/>
        <v>0</v>
      </c>
      <c r="KE164" s="61">
        <f t="shared" si="1374"/>
        <v>11117.555555555555</v>
      </c>
      <c r="KF164" s="61">
        <f t="shared" si="1375"/>
        <v>26500</v>
      </c>
      <c r="KG164" s="61">
        <f t="shared" si="1376"/>
        <v>325.33333333333331</v>
      </c>
      <c r="KH164" s="61">
        <f t="shared" si="1377"/>
        <v>80.851354072284309</v>
      </c>
      <c r="KI164" s="394">
        <f t="shared" si="1378"/>
        <v>0.19417260825711069</v>
      </c>
      <c r="KJ164" s="438">
        <f t="shared" si="1379"/>
        <v>27</v>
      </c>
      <c r="KK164" s="438">
        <f t="shared" si="1380"/>
        <v>39732</v>
      </c>
      <c r="KL164" s="438">
        <f t="shared" si="1381"/>
        <v>244</v>
      </c>
      <c r="KM164" s="438">
        <f t="shared" si="1382"/>
        <v>118977.25925925926</v>
      </c>
      <c r="KN164" s="438">
        <f t="shared" si="1383"/>
        <v>80.851354072284309</v>
      </c>
      <c r="KO164" s="438">
        <f t="shared" si="1384"/>
        <v>13165.516393442624</v>
      </c>
      <c r="KP164" s="438">
        <f t="shared" si="1385"/>
        <v>1470815</v>
      </c>
      <c r="KQ164" s="438">
        <f t="shared" si="1386"/>
        <v>337376</v>
      </c>
      <c r="KR164" s="438">
        <f t="shared" si="1387"/>
        <v>582821</v>
      </c>
      <c r="KS164" s="438">
        <f t="shared" si="1388"/>
        <v>521200</v>
      </c>
      <c r="KT164" s="438">
        <f t="shared" si="1389"/>
        <v>0</v>
      </c>
      <c r="KU164" s="438">
        <f t="shared" si="1390"/>
        <v>300174</v>
      </c>
      <c r="KV164" s="420">
        <f t="shared" si="1391"/>
        <v>0.19417260825711069</v>
      </c>
      <c r="KW164" s="420">
        <f t="shared" si="1392"/>
        <v>-0.32082444116494863</v>
      </c>
      <c r="KX164" s="108"/>
      <c r="KY164" s="282">
        <f t="shared" si="1393"/>
        <v>0</v>
      </c>
      <c r="KZ164" s="282"/>
      <c r="LA164" s="282">
        <f t="shared" si="1394"/>
        <v>0</v>
      </c>
      <c r="LB164" s="282"/>
      <c r="LC164" s="286">
        <f t="shared" si="1321"/>
        <v>0</v>
      </c>
      <c r="LD164" s="286"/>
      <c r="LE164" s="282">
        <f t="shared" si="1395"/>
        <v>0</v>
      </c>
      <c r="LF164" s="282"/>
      <c r="LG164" s="282">
        <f t="shared" si="1396"/>
        <v>0</v>
      </c>
      <c r="LH164" s="282">
        <f t="shared" si="1397"/>
        <v>0</v>
      </c>
      <c r="LI164" s="282">
        <f t="shared" si="1398"/>
        <v>0</v>
      </c>
      <c r="LJ164" s="282">
        <f t="shared" si="1399"/>
        <v>0</v>
      </c>
      <c r="LK164" s="282"/>
      <c r="LL164" s="282">
        <f t="shared" si="1400"/>
        <v>0</v>
      </c>
      <c r="LM164" s="282">
        <f t="shared" si="1401"/>
        <v>0</v>
      </c>
      <c r="LN164" s="282">
        <f t="shared" si="1402"/>
        <v>0</v>
      </c>
      <c r="LO164" s="282">
        <f t="shared" si="1403"/>
        <v>0</v>
      </c>
      <c r="LP164" s="286">
        <f t="shared" si="1404"/>
        <v>0</v>
      </c>
      <c r="LQ164" s="282">
        <f t="shared" si="1405"/>
        <v>0</v>
      </c>
      <c r="LR164" s="282">
        <f t="shared" si="1406"/>
        <v>0</v>
      </c>
      <c r="LS164" s="282">
        <f t="shared" si="1407"/>
        <v>0</v>
      </c>
      <c r="LT164" s="286">
        <f t="shared" si="1408"/>
        <v>0</v>
      </c>
      <c r="LU164" s="286">
        <f t="shared" si="1409"/>
        <v>0</v>
      </c>
      <c r="LV164" s="286">
        <f t="shared" si="1410"/>
        <v>0</v>
      </c>
      <c r="LW164" s="286">
        <f t="shared" si="1411"/>
        <v>0</v>
      </c>
      <c r="LX164" s="286">
        <f t="shared" si="1412"/>
        <v>0</v>
      </c>
      <c r="LY164" s="286">
        <f t="shared" si="1413"/>
        <v>0</v>
      </c>
      <c r="LZ164" s="286">
        <f t="shared" si="1414"/>
        <v>0</v>
      </c>
      <c r="MA164" s="286">
        <f t="shared" si="1415"/>
        <v>0</v>
      </c>
      <c r="MB164" s="286">
        <f t="shared" si="1416"/>
        <v>0</v>
      </c>
      <c r="MC164" s="286">
        <f t="shared" si="1417"/>
        <v>0</v>
      </c>
      <c r="MD164" s="286">
        <f t="shared" si="1418"/>
        <v>0</v>
      </c>
      <c r="ME164" s="286">
        <f t="shared" si="1419"/>
        <v>0</v>
      </c>
      <c r="MF164" s="286">
        <f t="shared" si="1420"/>
        <v>0</v>
      </c>
      <c r="MG164" s="286">
        <f t="shared" si="1421"/>
        <v>0</v>
      </c>
      <c r="MH164" s="286">
        <f t="shared" si="1422"/>
        <v>0</v>
      </c>
      <c r="MI164" s="286">
        <f t="shared" si="1423"/>
        <v>0</v>
      </c>
      <c r="MJ164" s="286">
        <f t="shared" si="1424"/>
        <v>0</v>
      </c>
      <c r="MK164" s="286">
        <f t="shared" si="1425"/>
        <v>0</v>
      </c>
      <c r="ML164" s="282">
        <f t="shared" si="1426"/>
        <v>0</v>
      </c>
      <c r="MM164" s="1232">
        <f t="shared" si="1427"/>
        <v>0</v>
      </c>
      <c r="MN164" s="1232">
        <f t="shared" si="1428"/>
        <v>0</v>
      </c>
      <c r="MO164" s="1232">
        <f t="shared" si="1429"/>
        <v>0</v>
      </c>
      <c r="MP164" s="1232">
        <f t="shared" si="1430"/>
        <v>0</v>
      </c>
      <c r="MQ164" s="282">
        <f t="shared" si="1431"/>
        <v>0</v>
      </c>
      <c r="MR164" s="282">
        <f t="shared" si="1432"/>
        <v>0</v>
      </c>
      <c r="MS164" s="282">
        <f t="shared" si="1433"/>
        <v>0</v>
      </c>
      <c r="MT164" s="282">
        <f t="shared" si="1434"/>
        <v>0</v>
      </c>
      <c r="MU164" s="282">
        <f t="shared" si="1435"/>
        <v>0</v>
      </c>
      <c r="MV164" s="282">
        <f t="shared" si="1436"/>
        <v>0</v>
      </c>
      <c r="MW164" s="282">
        <f t="shared" si="1437"/>
        <v>0</v>
      </c>
      <c r="MX164" s="282">
        <f t="shared" si="1438"/>
        <v>0</v>
      </c>
      <c r="MY164" s="282">
        <f t="shared" si="1439"/>
        <v>0</v>
      </c>
      <c r="MZ164" s="282">
        <f t="shared" si="1440"/>
        <v>0</v>
      </c>
      <c r="NA164" s="282">
        <f t="shared" si="1441"/>
        <v>0</v>
      </c>
      <c r="NB164" s="282">
        <f t="shared" si="1442"/>
        <v>0</v>
      </c>
      <c r="NC164" s="282">
        <f t="shared" si="1443"/>
        <v>0</v>
      </c>
      <c r="ND164" s="282">
        <f t="shared" si="1444"/>
        <v>0</v>
      </c>
      <c r="NE164" s="282">
        <f t="shared" si="1445"/>
        <v>0</v>
      </c>
      <c r="NF164" s="282">
        <f t="shared" si="1446"/>
        <v>0</v>
      </c>
      <c r="NG164" s="282">
        <f t="shared" si="1447"/>
        <v>0</v>
      </c>
      <c r="NH164" s="282">
        <f t="shared" si="1448"/>
        <v>0</v>
      </c>
      <c r="NI164" s="282">
        <f t="shared" si="1449"/>
        <v>0</v>
      </c>
      <c r="NJ164" s="282">
        <f t="shared" si="1450"/>
        <v>0</v>
      </c>
      <c r="NK164" s="282">
        <f t="shared" si="1451"/>
        <v>0</v>
      </c>
      <c r="NL164" s="282">
        <f t="shared" si="1452"/>
        <v>0</v>
      </c>
      <c r="NM164" s="1205">
        <f t="shared" si="1453"/>
        <v>0</v>
      </c>
      <c r="NN164" s="282">
        <f t="shared" si="1454"/>
        <v>0</v>
      </c>
      <c r="NO164" s="282">
        <f t="shared" si="1455"/>
        <v>0</v>
      </c>
      <c r="NP164" s="282">
        <f t="shared" si="1456"/>
        <v>0</v>
      </c>
      <c r="NQ164" s="282">
        <f t="shared" si="1457"/>
        <v>0</v>
      </c>
      <c r="NR164" s="282">
        <f t="shared" si="1458"/>
        <v>0</v>
      </c>
      <c r="NS164" s="282">
        <f t="shared" si="1459"/>
        <v>0</v>
      </c>
      <c r="NT164" s="282">
        <f t="shared" si="1460"/>
        <v>0</v>
      </c>
      <c r="NU164" s="282">
        <f t="shared" si="1461"/>
        <v>0</v>
      </c>
      <c r="NV164" s="286">
        <f t="shared" si="1462"/>
        <v>0</v>
      </c>
      <c r="NW164" s="286">
        <f t="shared" si="1463"/>
        <v>0</v>
      </c>
      <c r="NX164" s="286">
        <f t="shared" si="1464"/>
        <v>0</v>
      </c>
      <c r="NY164" s="286">
        <f t="shared" si="1465"/>
        <v>0</v>
      </c>
      <c r="NZ164" s="286">
        <f t="shared" si="1466"/>
        <v>0</v>
      </c>
      <c r="OA164" s="286">
        <f t="shared" si="1467"/>
        <v>0</v>
      </c>
      <c r="OB164" s="286">
        <f t="shared" si="1468"/>
        <v>0</v>
      </c>
      <c r="OC164" s="286">
        <f t="shared" si="1469"/>
        <v>0</v>
      </c>
      <c r="OD164" s="286">
        <f t="shared" si="1470"/>
        <v>0</v>
      </c>
      <c r="OE164" s="282">
        <f t="shared" si="1471"/>
        <v>0</v>
      </c>
      <c r="OF164" s="282">
        <f t="shared" si="1472"/>
        <v>0</v>
      </c>
      <c r="OG164" s="286">
        <f t="shared" si="1473"/>
        <v>0</v>
      </c>
      <c r="OH164" s="286">
        <f t="shared" si="1474"/>
        <v>0</v>
      </c>
      <c r="OI164" s="286">
        <f t="shared" si="1475"/>
        <v>0</v>
      </c>
      <c r="OJ164" s="286">
        <f t="shared" si="1476"/>
        <v>0</v>
      </c>
      <c r="OK164" s="286">
        <f t="shared" si="1477"/>
        <v>0</v>
      </c>
      <c r="OL164" s="286">
        <f t="shared" si="1478"/>
        <v>0</v>
      </c>
      <c r="OM164" s="286">
        <f t="shared" si="1479"/>
        <v>0</v>
      </c>
      <c r="ON164" s="286">
        <f t="shared" si="1480"/>
        <v>0</v>
      </c>
      <c r="OO164" s="286">
        <f t="shared" si="1481"/>
        <v>0</v>
      </c>
      <c r="OP164" s="434">
        <f t="shared" si="1482"/>
        <v>0</v>
      </c>
      <c r="OQ164" s="434">
        <f t="shared" si="1483"/>
        <v>0</v>
      </c>
      <c r="OR164" s="282">
        <f t="shared" si="1484"/>
        <v>0</v>
      </c>
      <c r="OS164" s="282">
        <f t="shared" si="1485"/>
        <v>0</v>
      </c>
      <c r="OT164" s="282">
        <f t="shared" si="1486"/>
        <v>0</v>
      </c>
      <c r="OU164" s="282">
        <f t="shared" si="1487"/>
        <v>0</v>
      </c>
      <c r="OV164" s="282">
        <f t="shared" si="1488"/>
        <v>0</v>
      </c>
      <c r="OW164" s="286">
        <f t="shared" si="1489"/>
        <v>0</v>
      </c>
      <c r="OX164" s="286">
        <f t="shared" si="1490"/>
        <v>0</v>
      </c>
      <c r="OY164" s="286">
        <f t="shared" si="1491"/>
        <v>0</v>
      </c>
      <c r="OZ164" s="286">
        <f t="shared" si="1492"/>
        <v>0</v>
      </c>
      <c r="PA164" s="286">
        <f t="shared" si="1493"/>
        <v>0</v>
      </c>
      <c r="PB164" s="286">
        <f t="shared" si="1494"/>
        <v>0</v>
      </c>
      <c r="PC164" s="286">
        <f t="shared" si="1495"/>
        <v>0</v>
      </c>
      <c r="PD164" s="282">
        <f t="shared" si="1496"/>
        <v>0</v>
      </c>
      <c r="PE164" s="282">
        <f t="shared" si="1497"/>
        <v>0</v>
      </c>
      <c r="PF164" s="286">
        <f t="shared" si="1498"/>
        <v>0</v>
      </c>
      <c r="PG164" s="286">
        <f t="shared" si="1499"/>
        <v>0</v>
      </c>
      <c r="PH164" s="286">
        <f t="shared" si="1500"/>
        <v>0</v>
      </c>
      <c r="PI164" s="286">
        <f t="shared" si="1501"/>
        <v>0</v>
      </c>
      <c r="PJ164" s="286">
        <f t="shared" si="1502"/>
        <v>0</v>
      </c>
      <c r="PK164" s="286">
        <f t="shared" si="1503"/>
        <v>0</v>
      </c>
      <c r="PL164" s="286">
        <f t="shared" si="1504"/>
        <v>0</v>
      </c>
      <c r="PM164" s="562">
        <v>108</v>
      </c>
    </row>
    <row r="165" spans="1:429" s="289" customFormat="1" ht="15.75" customHeight="1">
      <c r="A165" s="1935" t="s">
        <v>707</v>
      </c>
      <c r="B165" s="1040" t="str">
        <f>VLOOKUP(A165,'Area (&amp;golfacre for lookup)'!$A$2:$B$162,2,FALSE)</f>
        <v>North&amp;Central</v>
      </c>
      <c r="C165" s="1936"/>
      <c r="D165" s="1937">
        <v>44926</v>
      </c>
      <c r="E165" s="402"/>
      <c r="F165" s="1936">
        <v>0</v>
      </c>
      <c r="G165" s="1936">
        <v>1</v>
      </c>
      <c r="H165" s="1936">
        <v>577</v>
      </c>
      <c r="I165" s="1936">
        <v>40</v>
      </c>
      <c r="J165" s="1936">
        <v>617</v>
      </c>
      <c r="K165" s="1938">
        <v>591.810520539354</v>
      </c>
      <c r="L165" s="1939" t="s">
        <v>1208</v>
      </c>
      <c r="M165" s="1939" t="s">
        <v>1208</v>
      </c>
      <c r="N165" s="1939" t="s">
        <v>1208</v>
      </c>
      <c r="O165" s="1939" t="s">
        <v>1208</v>
      </c>
      <c r="P165" s="1939" t="s">
        <v>1208</v>
      </c>
      <c r="Q165" s="1936">
        <v>0</v>
      </c>
      <c r="R165" s="1936">
        <v>60000</v>
      </c>
      <c r="S165" s="1936">
        <v>60000</v>
      </c>
      <c r="T165" s="1939" t="s">
        <v>1208</v>
      </c>
      <c r="U165" s="1939" t="s">
        <v>1208</v>
      </c>
      <c r="V165" s="1939" t="s">
        <v>1208</v>
      </c>
      <c r="W165" s="1936">
        <v>14112</v>
      </c>
      <c r="X165" s="1936">
        <v>12756</v>
      </c>
      <c r="Y165" s="1939" t="s">
        <v>1208</v>
      </c>
      <c r="Z165" s="1939" t="s">
        <v>1208</v>
      </c>
      <c r="AA165" s="1936">
        <v>1356</v>
      </c>
      <c r="AB165" s="1362">
        <v>0.10630291627469426</v>
      </c>
      <c r="AC165" s="1939" t="s">
        <v>1208</v>
      </c>
      <c r="AD165" s="1363" t="s">
        <v>1208</v>
      </c>
      <c r="AE165" s="1936">
        <v>1</v>
      </c>
      <c r="AF165" s="1936">
        <v>1920</v>
      </c>
      <c r="AG165" s="1939" t="s">
        <v>1208</v>
      </c>
      <c r="AH165" s="1936">
        <v>0</v>
      </c>
      <c r="AI165" s="1936">
        <v>0</v>
      </c>
      <c r="AJ165" s="1939" t="s">
        <v>1208</v>
      </c>
      <c r="AK165" s="1938">
        <v>1</v>
      </c>
      <c r="AL165" s="1938">
        <v>1452</v>
      </c>
      <c r="AM165" s="1936">
        <v>16128</v>
      </c>
      <c r="AN165" s="1939" t="s">
        <v>1208</v>
      </c>
      <c r="AO165" s="1936">
        <v>0</v>
      </c>
      <c r="AP165" s="1936">
        <v>0</v>
      </c>
      <c r="AQ165" s="1936">
        <v>16128</v>
      </c>
      <c r="AR165" s="1939" t="s">
        <v>1208</v>
      </c>
      <c r="AS165" s="1363" t="s">
        <v>1208</v>
      </c>
      <c r="AT165" s="1363" t="s">
        <v>1208</v>
      </c>
      <c r="AU165" s="1363" t="s">
        <v>1208</v>
      </c>
      <c r="AV165" s="1363" t="s">
        <v>1208</v>
      </c>
      <c r="AW165" s="1363" t="s">
        <v>1291</v>
      </c>
      <c r="AX165" s="1938">
        <v>1</v>
      </c>
      <c r="AY165" s="1938">
        <v>0</v>
      </c>
      <c r="AZ165" s="1938">
        <v>0</v>
      </c>
      <c r="BA165" s="1938">
        <v>0</v>
      </c>
      <c r="BB165" s="1938">
        <v>0</v>
      </c>
      <c r="BC165" s="1938">
        <v>1</v>
      </c>
      <c r="BD165" s="1938">
        <v>0</v>
      </c>
      <c r="BE165" s="1936">
        <v>1</v>
      </c>
      <c r="BF165" s="1936">
        <v>13000000</v>
      </c>
      <c r="BG165" s="1936">
        <v>4127000</v>
      </c>
      <c r="BH165" s="1936">
        <v>17127000</v>
      </c>
      <c r="BI165" s="1938">
        <v>18570991</v>
      </c>
      <c r="BJ165" s="1936">
        <v>2596694</v>
      </c>
      <c r="BK165" s="1936">
        <v>2286186</v>
      </c>
      <c r="BL165" s="1362">
        <v>1.1358192203084088</v>
      </c>
      <c r="BM165" s="1936">
        <v>1</v>
      </c>
      <c r="BN165" s="1936">
        <v>1345504</v>
      </c>
      <c r="BO165" s="1363" t="s">
        <v>1208</v>
      </c>
      <c r="BP165" s="1938">
        <v>1397807</v>
      </c>
      <c r="BQ165" s="1938">
        <v>1807201</v>
      </c>
      <c r="BR165" s="1940">
        <v>0.77346515412508077</v>
      </c>
      <c r="BS165" s="1409">
        <v>0</v>
      </c>
      <c r="BT165" s="1938">
        <v>2417884</v>
      </c>
      <c r="BU165" s="1938">
        <v>25576297</v>
      </c>
      <c r="BV165" s="1940">
        <v>9.4536124600054491E-2</v>
      </c>
      <c r="BW165" s="1936">
        <v>2273.5384946752179</v>
      </c>
      <c r="BX165" s="1936">
        <v>4387.7117926755845</v>
      </c>
      <c r="BY165" s="1936">
        <v>28940.005974194395</v>
      </c>
      <c r="BZ165" s="1936">
        <v>905577</v>
      </c>
      <c r="CA165" s="1936">
        <v>132684</v>
      </c>
      <c r="CB165" s="1936">
        <v>319393</v>
      </c>
      <c r="CC165" s="1936">
        <v>18975</v>
      </c>
      <c r="CD165" s="1936">
        <v>7549135</v>
      </c>
      <c r="CE165" s="1936">
        <v>0</v>
      </c>
      <c r="CF165" s="1936">
        <v>0</v>
      </c>
      <c r="CG165" s="1936">
        <v>1307451</v>
      </c>
      <c r="CH165" s="1936">
        <v>562381</v>
      </c>
      <c r="CI165" s="1936">
        <v>1124944</v>
      </c>
      <c r="CJ165" s="1936">
        <v>11920540</v>
      </c>
      <c r="CK165" s="1366">
        <v>7.5967783338674252E-2</v>
      </c>
      <c r="CL165" s="1366">
        <v>1.1130703810397852E-2</v>
      </c>
      <c r="CM165" s="1366">
        <v>2.6793500965560286E-2</v>
      </c>
      <c r="CN165" s="1366">
        <v>1.5917903048016282E-3</v>
      </c>
      <c r="CO165" s="1366">
        <v>0.63328800540915098</v>
      </c>
      <c r="CP165" s="1366">
        <v>0</v>
      </c>
      <c r="CQ165" s="1366">
        <v>0</v>
      </c>
      <c r="CR165" s="1366">
        <v>0.10968051782889031</v>
      </c>
      <c r="CS165" s="1366">
        <v>4.7177476859269797E-2</v>
      </c>
      <c r="CT165" s="1366">
        <v>9.4370221483254954E-2</v>
      </c>
      <c r="CU165" s="1366">
        <v>1</v>
      </c>
      <c r="CV165" s="1936">
        <v>6354992</v>
      </c>
      <c r="CW165" s="1936">
        <v>809645</v>
      </c>
      <c r="CX165" s="1936">
        <v>243986</v>
      </c>
      <c r="CY165" s="1936">
        <v>4166713</v>
      </c>
      <c r="CZ165" s="1936">
        <v>0</v>
      </c>
      <c r="DA165" s="1936">
        <v>438551</v>
      </c>
      <c r="DB165" s="1936">
        <v>12013887</v>
      </c>
      <c r="DC165" s="1366">
        <v>0.5289705155375608</v>
      </c>
      <c r="DD165" s="1366">
        <v>6.7392426780774617E-2</v>
      </c>
      <c r="DE165" s="1366">
        <v>2.0308664464714875E-2</v>
      </c>
      <c r="DF165" s="1366">
        <v>0.34682472042562079</v>
      </c>
      <c r="DG165" s="1366">
        <v>0</v>
      </c>
      <c r="DH165" s="1366">
        <v>3.6503672791328899E-2</v>
      </c>
      <c r="DI165" s="1366">
        <v>1</v>
      </c>
      <c r="DJ165" s="1936">
        <v>-93347</v>
      </c>
      <c r="DK165" s="1936">
        <v>1530.1806381790761</v>
      </c>
      <c r="DL165" s="1936">
        <v>224.20013736673144</v>
      </c>
      <c r="DM165" s="1936">
        <v>539.68793881683132</v>
      </c>
      <c r="DN165" s="1936">
        <v>32.062627042700917</v>
      </c>
      <c r="DO165" s="1936">
        <v>12756</v>
      </c>
      <c r="DP165" s="1936">
        <v>0</v>
      </c>
      <c r="DQ165" s="1936">
        <v>0</v>
      </c>
      <c r="DR165" s="1936">
        <v>2209.239198398227</v>
      </c>
      <c r="DS165" s="1936">
        <v>950.27205580506916</v>
      </c>
      <c r="DT165" s="1936">
        <v>1900.8516424729457</v>
      </c>
      <c r="DU165" s="1936">
        <v>20142.494238081581</v>
      </c>
      <c r="DV165" s="1936">
        <v>10738.220730189618</v>
      </c>
      <c r="DW165" s="1936">
        <v>1368.0814583392666</v>
      </c>
      <c r="DX165" s="1936">
        <v>412.27046754363249</v>
      </c>
      <c r="DY165" s="1936">
        <v>7040.6200217640835</v>
      </c>
      <c r="DZ165" s="1936">
        <v>0</v>
      </c>
      <c r="EA165" s="1936">
        <v>741.03278799491602</v>
      </c>
      <c r="EB165" s="1936">
        <v>20300.225465831518</v>
      </c>
      <c r="EC165" s="1936">
        <v>-157.73122774993428</v>
      </c>
      <c r="ED165" s="1941">
        <v>118</v>
      </c>
      <c r="EE165" s="1936">
        <v>0</v>
      </c>
      <c r="EF165" s="1936">
        <v>0</v>
      </c>
      <c r="EG165" s="1938">
        <v>0</v>
      </c>
      <c r="EH165" s="1938">
        <v>1</v>
      </c>
      <c r="EI165" s="1368">
        <v>0.13</v>
      </c>
      <c r="EJ165" s="1936">
        <v>5.0153433944013051</v>
      </c>
      <c r="EK165" s="1936">
        <v>0</v>
      </c>
      <c r="EL165" s="1936">
        <v>0</v>
      </c>
      <c r="EM165" s="1936">
        <v>1</v>
      </c>
      <c r="EN165" s="1362">
        <v>0.18</v>
      </c>
      <c r="EO165" s="1936">
        <v>0</v>
      </c>
      <c r="EP165" s="1936">
        <v>0</v>
      </c>
      <c r="EQ165" s="1936">
        <v>0</v>
      </c>
      <c r="ER165" s="1938">
        <v>0</v>
      </c>
      <c r="ES165" s="1936">
        <v>3159.5112542032962</v>
      </c>
      <c r="ET165" s="1936">
        <v>-1502.6431081176852</v>
      </c>
      <c r="EU165" s="1938">
        <v>2</v>
      </c>
      <c r="EV165" s="1936">
        <v>49301</v>
      </c>
      <c r="EW165" s="1936">
        <v>9862</v>
      </c>
      <c r="EX165" s="1938">
        <v>1</v>
      </c>
      <c r="EY165" s="1936">
        <v>1307451</v>
      </c>
      <c r="EZ165" s="1936">
        <v>582133</v>
      </c>
      <c r="FA165" s="1936">
        <v>725318</v>
      </c>
      <c r="FB165" s="1936">
        <v>562381</v>
      </c>
      <c r="FC165" s="1936">
        <v>227512</v>
      </c>
      <c r="FD165" s="1936">
        <v>334869</v>
      </c>
      <c r="FE165" s="1936">
        <v>1869832</v>
      </c>
      <c r="FF165" s="1936">
        <v>809645</v>
      </c>
      <c r="FG165" s="1936">
        <v>1060187</v>
      </c>
      <c r="FH165" s="1366">
        <v>1</v>
      </c>
      <c r="FI165" s="1366">
        <v>0.44524268978340298</v>
      </c>
      <c r="FJ165" s="1366">
        <v>0.55475731021659702</v>
      </c>
      <c r="FK165" s="1366">
        <v>1</v>
      </c>
      <c r="FL165" s="1366">
        <v>0.40455136286609966</v>
      </c>
      <c r="FM165" s="1366">
        <v>0.59544863713390028</v>
      </c>
      <c r="FN165" s="1366">
        <v>1</v>
      </c>
      <c r="FO165" s="1366">
        <v>0.43300414154854555</v>
      </c>
      <c r="FP165" s="1366">
        <v>0.5669958584514545</v>
      </c>
      <c r="FQ165" s="1936">
        <v>1310568</v>
      </c>
      <c r="FR165" s="1936">
        <v>0</v>
      </c>
      <c r="FS165" s="1936">
        <v>252507</v>
      </c>
      <c r="FT165" s="1936">
        <v>22359</v>
      </c>
      <c r="FU165" s="1936">
        <v>85770</v>
      </c>
      <c r="FV165" s="1936">
        <v>19224</v>
      </c>
      <c r="FW165" s="1936">
        <v>259039</v>
      </c>
      <c r="FX165" s="1936">
        <v>1949467</v>
      </c>
      <c r="FY165" s="1936">
        <v>-889280</v>
      </c>
      <c r="FZ165" s="1366">
        <v>0.7009014713621331</v>
      </c>
      <c r="GA165" s="1366">
        <v>0</v>
      </c>
      <c r="GB165" s="1366">
        <v>0.13504261345404292</v>
      </c>
      <c r="GC165" s="1366">
        <v>1.195775877191106E-2</v>
      </c>
      <c r="GD165" s="1366">
        <v>4.5870431140337745E-2</v>
      </c>
      <c r="GE165" s="1366">
        <v>1.0281137556743066E-2</v>
      </c>
      <c r="GF165" s="1366">
        <v>0.13853597542453011</v>
      </c>
      <c r="GG165" s="1366">
        <v>1.0425893877096979</v>
      </c>
      <c r="GH165" s="1366">
        <v>-0.4755935292582435</v>
      </c>
      <c r="GI165" s="1942">
        <v>2.3248491680906715</v>
      </c>
      <c r="GJ165" s="1943">
        <v>1</v>
      </c>
      <c r="GK165" s="1371">
        <v>0.15</v>
      </c>
      <c r="GL165" s="1943">
        <v>1</v>
      </c>
      <c r="GM165" s="1371">
        <v>0.1</v>
      </c>
      <c r="GN165" s="1943">
        <v>18</v>
      </c>
      <c r="GO165" s="1985">
        <f>IF(GN165=0,0,VLOOKUP(A165,'Area (&amp;golfacre for lookup)'!$G$2:$H$133,2,FALSE))</f>
        <v>143</v>
      </c>
      <c r="GP165" s="1943">
        <v>29583</v>
      </c>
      <c r="GQ165" s="1943">
        <v>899229</v>
      </c>
      <c r="GR165" s="1943">
        <v>159394</v>
      </c>
      <c r="GS165" s="1943">
        <v>548763</v>
      </c>
      <c r="GT165" s="1943">
        <v>117586</v>
      </c>
      <c r="GU165" s="1943">
        <v>0</v>
      </c>
      <c r="GV165" s="1943">
        <v>93061</v>
      </c>
      <c r="GW165" s="1943">
        <v>1818033</v>
      </c>
      <c r="GX165" s="1943">
        <v>101001.83333333333</v>
      </c>
      <c r="GY165" s="1985">
        <f t="shared" si="1319"/>
        <v>12713.517482517482</v>
      </c>
      <c r="GZ165" s="1366">
        <v>0.49461643435515196</v>
      </c>
      <c r="HA165" s="1366">
        <v>8.7673876106759335E-2</v>
      </c>
      <c r="HB165" s="1366">
        <v>0.30184435596053538</v>
      </c>
      <c r="HC165" s="1366">
        <v>6.4677593861057522E-2</v>
      </c>
      <c r="HD165" s="1366">
        <v>0</v>
      </c>
      <c r="HE165" s="1366">
        <v>5.1187739716495796E-2</v>
      </c>
      <c r="HF165" s="1366">
        <v>1</v>
      </c>
      <c r="HG165" s="1936">
        <v>0</v>
      </c>
      <c r="HH165" s="1988">
        <f>IF(HG165=0,0,VLOOKUP(A165,'Area (&amp;golfacre for lookup)'!$G$2:$H$134,2,FALSE))</f>
        <v>0</v>
      </c>
      <c r="HI165" s="1936">
        <v>0</v>
      </c>
      <c r="HJ165" s="1936">
        <v>0</v>
      </c>
      <c r="HK165" s="1936">
        <v>0</v>
      </c>
      <c r="HL165" s="1936">
        <v>0</v>
      </c>
      <c r="HM165" s="1936">
        <v>0</v>
      </c>
      <c r="HN165" s="1936">
        <v>0</v>
      </c>
      <c r="HO165" s="1936">
        <v>0</v>
      </c>
      <c r="HP165" s="1936">
        <v>0</v>
      </c>
      <c r="HQ165" s="1936">
        <v>0</v>
      </c>
      <c r="HR165" s="1988">
        <f t="shared" si="1320"/>
        <v>0</v>
      </c>
      <c r="HS165" s="1936">
        <v>0</v>
      </c>
      <c r="HT165" s="1936">
        <v>0</v>
      </c>
      <c r="HU165" s="1936">
        <v>0</v>
      </c>
      <c r="HV165" s="1936">
        <v>0</v>
      </c>
      <c r="HW165" s="1936">
        <v>0</v>
      </c>
      <c r="HX165" s="1936">
        <v>0</v>
      </c>
      <c r="HY165" s="1936">
        <v>0</v>
      </c>
      <c r="HZ165" s="51"/>
      <c r="IA165" s="59">
        <f t="shared" si="1322"/>
        <v>0</v>
      </c>
      <c r="IB165" s="59"/>
      <c r="IC165" s="815">
        <f t="shared" si="1323"/>
        <v>1</v>
      </c>
      <c r="ID165" s="815"/>
      <c r="IE165" s="284">
        <f t="shared" si="1324"/>
        <v>0</v>
      </c>
      <c r="IF165" s="284"/>
      <c r="IG165" s="284">
        <f t="shared" si="1325"/>
        <v>31379.960908898836</v>
      </c>
      <c r="IH165" s="284"/>
      <c r="II165" s="1288">
        <f t="shared" si="1326"/>
        <v>0</v>
      </c>
      <c r="IJ165" s="1288">
        <f t="shared" si="1327"/>
        <v>0.77346515412508077</v>
      </c>
      <c r="IK165" s="284">
        <f t="shared" si="1328"/>
        <v>1</v>
      </c>
      <c r="IL165" s="284">
        <f t="shared" si="1329"/>
        <v>0</v>
      </c>
      <c r="IM165" s="284">
        <f t="shared" si="1330"/>
        <v>0</v>
      </c>
      <c r="IN165" s="284">
        <f t="shared" si="1331"/>
        <v>0</v>
      </c>
      <c r="IO165" s="753">
        <f t="shared" si="1332"/>
        <v>-1441.2965964343598</v>
      </c>
      <c r="IP165" s="113">
        <f t="shared" si="1333"/>
        <v>-1502.6431081176852</v>
      </c>
      <c r="IQ165" s="30">
        <f t="shared" si="1334"/>
        <v>-0.11779892663199161</v>
      </c>
      <c r="IR165" s="438">
        <f t="shared" si="1335"/>
        <v>1307451</v>
      </c>
      <c r="IS165" s="438">
        <f t="shared" si="1336"/>
        <v>562381</v>
      </c>
      <c r="IT165" s="438">
        <f t="shared" si="1337"/>
        <v>1310568</v>
      </c>
      <c r="IU165" s="438">
        <f t="shared" si="1338"/>
        <v>274866</v>
      </c>
      <c r="IV165" s="438">
        <f t="shared" si="1339"/>
        <v>809645</v>
      </c>
      <c r="IW165" s="438">
        <f t="shared" si="1340"/>
        <v>364033</v>
      </c>
      <c r="IX165" s="285">
        <f t="shared" si="1341"/>
        <v>0.69923447668025795</v>
      </c>
      <c r="IY165" s="285">
        <f t="shared" si="1342"/>
        <v>0.3007655233197421</v>
      </c>
      <c r="IZ165" s="285">
        <f t="shared" si="1343"/>
        <v>0.7009014713621331</v>
      </c>
      <c r="JA165" s="285">
        <f t="shared" si="1344"/>
        <v>0.147000372225954</v>
      </c>
      <c r="JB165" s="285">
        <f t="shared" si="1345"/>
        <v>0.43300414154854555</v>
      </c>
      <c r="JC165" s="285">
        <f t="shared" si="1346"/>
        <v>0.19468754412161093</v>
      </c>
      <c r="JD165" s="60">
        <f t="shared" si="1347"/>
        <v>7549135</v>
      </c>
      <c r="JE165" s="60">
        <f t="shared" si="1348"/>
        <v>1376629</v>
      </c>
      <c r="JF165" s="60">
        <f t="shared" si="1349"/>
        <v>0</v>
      </c>
      <c r="JG165" s="60">
        <f t="shared" si="1350"/>
        <v>438551</v>
      </c>
      <c r="JH165" s="284">
        <f t="shared" si="1351"/>
        <v>0</v>
      </c>
      <c r="JI165" s="284">
        <f t="shared" si="1352"/>
        <v>1</v>
      </c>
      <c r="JJ165" s="560">
        <f t="shared" si="1353"/>
        <v>0.76390528283337455</v>
      </c>
      <c r="JK165" s="561">
        <f t="shared" si="1354"/>
        <v>0.53311276167019284</v>
      </c>
      <c r="JL165" s="561">
        <f t="shared" si="1355"/>
        <v>6.7920161334973084E-2</v>
      </c>
      <c r="JM165" s="561">
        <f t="shared" si="1356"/>
        <v>2.0467696933192624E-2</v>
      </c>
      <c r="JN165" s="561">
        <f t="shared" si="1357"/>
        <v>0.3495406248374654</v>
      </c>
      <c r="JO165" s="561">
        <f t="shared" si="1358"/>
        <v>0</v>
      </c>
      <c r="JP165" s="561">
        <f t="shared" si="1359"/>
        <v>3.6789524635628922E-2</v>
      </c>
      <c r="JQ165" s="561">
        <f t="shared" si="1360"/>
        <v>1.0078307694114528</v>
      </c>
      <c r="JR165" s="61">
        <f t="shared" si="1361"/>
        <v>49957.166666666664</v>
      </c>
      <c r="JS165" s="61">
        <f t="shared" si="1362"/>
        <v>8855.2222222222226</v>
      </c>
      <c r="JT165" s="61">
        <f t="shared" si="1363"/>
        <v>30486.833333333332</v>
      </c>
      <c r="JU165" s="61">
        <f t="shared" si="1364"/>
        <v>6532.5555555555557</v>
      </c>
      <c r="JV165" s="61">
        <f t="shared" si="1365"/>
        <v>0</v>
      </c>
      <c r="JW165" s="61">
        <f t="shared" si="1366"/>
        <v>5170.0555555555557</v>
      </c>
      <c r="JX165" s="61">
        <f t="shared" si="1367"/>
        <v>61.455329074130411</v>
      </c>
      <c r="JY165" s="394">
        <f t="shared" si="1368"/>
        <v>0.15132762610469036</v>
      </c>
      <c r="JZ165" s="61">
        <f t="shared" si="1369"/>
        <v>0</v>
      </c>
      <c r="KA165" s="61">
        <f t="shared" si="1370"/>
        <v>0</v>
      </c>
      <c r="KB165" s="61">
        <f t="shared" si="1371"/>
        <v>0</v>
      </c>
      <c r="KC165" s="61">
        <f t="shared" si="1372"/>
        <v>0</v>
      </c>
      <c r="KD165" s="61">
        <f t="shared" si="1373"/>
        <v>0</v>
      </c>
      <c r="KE165" s="61">
        <f t="shared" si="1374"/>
        <v>0</v>
      </c>
      <c r="KF165" s="61">
        <f t="shared" si="1375"/>
        <v>0</v>
      </c>
      <c r="KG165" s="61">
        <f t="shared" si="1376"/>
        <v>0</v>
      </c>
      <c r="KH165" s="61">
        <f t="shared" si="1377"/>
        <v>0</v>
      </c>
      <c r="KI165" s="394">
        <f t="shared" si="1378"/>
        <v>0</v>
      </c>
      <c r="KJ165" s="438">
        <f t="shared" si="1379"/>
        <v>18</v>
      </c>
      <c r="KK165" s="438">
        <f t="shared" si="1380"/>
        <v>29583</v>
      </c>
      <c r="KL165" s="438">
        <f t="shared" si="1381"/>
        <v>143</v>
      </c>
      <c r="KM165" s="438">
        <f t="shared" si="1382"/>
        <v>101001.83333333333</v>
      </c>
      <c r="KN165" s="438">
        <f t="shared" si="1383"/>
        <v>61.455329074130411</v>
      </c>
      <c r="KO165" s="438">
        <f t="shared" si="1384"/>
        <v>12713.517482517482</v>
      </c>
      <c r="KP165" s="438">
        <f t="shared" si="1385"/>
        <v>899229</v>
      </c>
      <c r="KQ165" s="438">
        <f t="shared" si="1386"/>
        <v>159394</v>
      </c>
      <c r="KR165" s="438">
        <f t="shared" si="1387"/>
        <v>548763</v>
      </c>
      <c r="KS165" s="438">
        <f t="shared" si="1388"/>
        <v>117586</v>
      </c>
      <c r="KT165" s="438">
        <f t="shared" si="1389"/>
        <v>0</v>
      </c>
      <c r="KU165" s="438">
        <f t="shared" si="1390"/>
        <v>93061</v>
      </c>
      <c r="KV165" s="420">
        <f t="shared" si="1391"/>
        <v>0.15132762610469036</v>
      </c>
      <c r="KW165" s="420">
        <f t="shared" si="1392"/>
        <v>-0.2284992916406979</v>
      </c>
      <c r="KX165" s="108"/>
      <c r="KY165" s="282">
        <f t="shared" si="1393"/>
        <v>0</v>
      </c>
      <c r="KZ165" s="282"/>
      <c r="LA165" s="282">
        <f t="shared" si="1394"/>
        <v>0</v>
      </c>
      <c r="LB165" s="282"/>
      <c r="LC165" s="286">
        <f t="shared" si="1321"/>
        <v>0</v>
      </c>
      <c r="LD165" s="286"/>
      <c r="LE165" s="282">
        <f t="shared" si="1395"/>
        <v>0</v>
      </c>
      <c r="LF165" s="282"/>
      <c r="LG165" s="282">
        <f t="shared" si="1396"/>
        <v>0</v>
      </c>
      <c r="LH165" s="282">
        <f t="shared" si="1397"/>
        <v>0</v>
      </c>
      <c r="LI165" s="282">
        <f t="shared" si="1398"/>
        <v>0</v>
      </c>
      <c r="LJ165" s="282">
        <f t="shared" si="1399"/>
        <v>0</v>
      </c>
      <c r="LK165" s="282"/>
      <c r="LL165" s="282">
        <f t="shared" si="1400"/>
        <v>0</v>
      </c>
      <c r="LM165" s="282">
        <f t="shared" si="1401"/>
        <v>0</v>
      </c>
      <c r="LN165" s="282">
        <f t="shared" si="1402"/>
        <v>0</v>
      </c>
      <c r="LO165" s="282">
        <f t="shared" si="1403"/>
        <v>0</v>
      </c>
      <c r="LP165" s="286">
        <f t="shared" si="1404"/>
        <v>0</v>
      </c>
      <c r="LQ165" s="282">
        <f t="shared" si="1405"/>
        <v>0</v>
      </c>
      <c r="LR165" s="282">
        <f t="shared" si="1406"/>
        <v>0</v>
      </c>
      <c r="LS165" s="282">
        <f t="shared" si="1407"/>
        <v>0</v>
      </c>
      <c r="LT165" s="286">
        <f t="shared" si="1408"/>
        <v>0</v>
      </c>
      <c r="LU165" s="286">
        <f t="shared" si="1409"/>
        <v>0</v>
      </c>
      <c r="LV165" s="286">
        <f t="shared" si="1410"/>
        <v>0</v>
      </c>
      <c r="LW165" s="286">
        <f t="shared" si="1411"/>
        <v>0</v>
      </c>
      <c r="LX165" s="286">
        <f t="shared" si="1412"/>
        <v>0</v>
      </c>
      <c r="LY165" s="286">
        <f t="shared" si="1413"/>
        <v>0</v>
      </c>
      <c r="LZ165" s="286">
        <f t="shared" si="1414"/>
        <v>0</v>
      </c>
      <c r="MA165" s="286">
        <f t="shared" si="1415"/>
        <v>0</v>
      </c>
      <c r="MB165" s="286">
        <f t="shared" si="1416"/>
        <v>0</v>
      </c>
      <c r="MC165" s="286">
        <f t="shared" si="1417"/>
        <v>0</v>
      </c>
      <c r="MD165" s="286">
        <f t="shared" si="1418"/>
        <v>0</v>
      </c>
      <c r="ME165" s="286">
        <f t="shared" si="1419"/>
        <v>0</v>
      </c>
      <c r="MF165" s="286">
        <f t="shared" si="1420"/>
        <v>0</v>
      </c>
      <c r="MG165" s="286">
        <f t="shared" si="1421"/>
        <v>0</v>
      </c>
      <c r="MH165" s="286">
        <f t="shared" si="1422"/>
        <v>0</v>
      </c>
      <c r="MI165" s="286">
        <f t="shared" si="1423"/>
        <v>0</v>
      </c>
      <c r="MJ165" s="286">
        <f t="shared" si="1424"/>
        <v>0</v>
      </c>
      <c r="MK165" s="286">
        <f t="shared" si="1425"/>
        <v>0</v>
      </c>
      <c r="ML165" s="282">
        <f t="shared" si="1426"/>
        <v>0</v>
      </c>
      <c r="MM165" s="1232">
        <f t="shared" si="1427"/>
        <v>0</v>
      </c>
      <c r="MN165" s="1232">
        <f t="shared" si="1428"/>
        <v>0</v>
      </c>
      <c r="MO165" s="1232">
        <f t="shared" si="1429"/>
        <v>0</v>
      </c>
      <c r="MP165" s="1232">
        <f t="shared" si="1430"/>
        <v>0</v>
      </c>
      <c r="MQ165" s="282">
        <f t="shared" si="1431"/>
        <v>0</v>
      </c>
      <c r="MR165" s="282">
        <f t="shared" si="1432"/>
        <v>0</v>
      </c>
      <c r="MS165" s="282">
        <f t="shared" si="1433"/>
        <v>0</v>
      </c>
      <c r="MT165" s="282">
        <f t="shared" si="1434"/>
        <v>0</v>
      </c>
      <c r="MU165" s="282">
        <f t="shared" si="1435"/>
        <v>0</v>
      </c>
      <c r="MV165" s="282">
        <f t="shared" si="1436"/>
        <v>0</v>
      </c>
      <c r="MW165" s="282">
        <f t="shared" si="1437"/>
        <v>0</v>
      </c>
      <c r="MX165" s="282">
        <f t="shared" si="1438"/>
        <v>0</v>
      </c>
      <c r="MY165" s="282">
        <f t="shared" si="1439"/>
        <v>0</v>
      </c>
      <c r="MZ165" s="282">
        <f t="shared" si="1440"/>
        <v>0</v>
      </c>
      <c r="NA165" s="282">
        <f t="shared" si="1441"/>
        <v>0</v>
      </c>
      <c r="NB165" s="282">
        <f t="shared" si="1442"/>
        <v>0</v>
      </c>
      <c r="NC165" s="282">
        <f t="shared" si="1443"/>
        <v>0</v>
      </c>
      <c r="ND165" s="282">
        <f t="shared" si="1444"/>
        <v>0</v>
      </c>
      <c r="NE165" s="282">
        <f t="shared" si="1445"/>
        <v>0</v>
      </c>
      <c r="NF165" s="282">
        <f t="shared" si="1446"/>
        <v>0</v>
      </c>
      <c r="NG165" s="282">
        <f t="shared" si="1447"/>
        <v>0</v>
      </c>
      <c r="NH165" s="282">
        <f t="shared" si="1448"/>
        <v>0</v>
      </c>
      <c r="NI165" s="282">
        <f t="shared" si="1449"/>
        <v>0</v>
      </c>
      <c r="NJ165" s="282">
        <f t="shared" si="1450"/>
        <v>0</v>
      </c>
      <c r="NK165" s="282">
        <f t="shared" si="1451"/>
        <v>0</v>
      </c>
      <c r="NL165" s="282">
        <f t="shared" si="1452"/>
        <v>0</v>
      </c>
      <c r="NM165" s="1205">
        <f t="shared" si="1453"/>
        <v>0</v>
      </c>
      <c r="NN165" s="282">
        <f t="shared" si="1454"/>
        <v>0</v>
      </c>
      <c r="NO165" s="282">
        <f t="shared" si="1455"/>
        <v>0</v>
      </c>
      <c r="NP165" s="282">
        <f t="shared" si="1456"/>
        <v>0</v>
      </c>
      <c r="NQ165" s="282">
        <f t="shared" si="1457"/>
        <v>0</v>
      </c>
      <c r="NR165" s="282">
        <f t="shared" si="1458"/>
        <v>0</v>
      </c>
      <c r="NS165" s="282">
        <f t="shared" si="1459"/>
        <v>0</v>
      </c>
      <c r="NT165" s="282">
        <f t="shared" si="1460"/>
        <v>0</v>
      </c>
      <c r="NU165" s="282">
        <f t="shared" si="1461"/>
        <v>0</v>
      </c>
      <c r="NV165" s="286">
        <f t="shared" si="1462"/>
        <v>0</v>
      </c>
      <c r="NW165" s="286">
        <f t="shared" si="1463"/>
        <v>0</v>
      </c>
      <c r="NX165" s="286">
        <f t="shared" si="1464"/>
        <v>0</v>
      </c>
      <c r="NY165" s="286">
        <f t="shared" si="1465"/>
        <v>0</v>
      </c>
      <c r="NZ165" s="286">
        <f t="shared" si="1466"/>
        <v>0</v>
      </c>
      <c r="OA165" s="286">
        <f t="shared" si="1467"/>
        <v>0</v>
      </c>
      <c r="OB165" s="286">
        <f t="shared" si="1468"/>
        <v>0</v>
      </c>
      <c r="OC165" s="286">
        <f t="shared" si="1469"/>
        <v>0</v>
      </c>
      <c r="OD165" s="286">
        <f t="shared" si="1470"/>
        <v>0</v>
      </c>
      <c r="OE165" s="282">
        <f t="shared" si="1471"/>
        <v>0</v>
      </c>
      <c r="OF165" s="282">
        <f t="shared" si="1472"/>
        <v>0</v>
      </c>
      <c r="OG165" s="286">
        <f t="shared" si="1473"/>
        <v>0</v>
      </c>
      <c r="OH165" s="286">
        <f t="shared" si="1474"/>
        <v>0</v>
      </c>
      <c r="OI165" s="286">
        <f t="shared" si="1475"/>
        <v>0</v>
      </c>
      <c r="OJ165" s="286">
        <f t="shared" si="1476"/>
        <v>0</v>
      </c>
      <c r="OK165" s="286">
        <f t="shared" si="1477"/>
        <v>0</v>
      </c>
      <c r="OL165" s="286">
        <f t="shared" si="1478"/>
        <v>0</v>
      </c>
      <c r="OM165" s="286">
        <f t="shared" si="1479"/>
        <v>0</v>
      </c>
      <c r="ON165" s="286">
        <f t="shared" si="1480"/>
        <v>0</v>
      </c>
      <c r="OO165" s="286">
        <f t="shared" si="1481"/>
        <v>0</v>
      </c>
      <c r="OP165" s="434">
        <f t="shared" si="1482"/>
        <v>0</v>
      </c>
      <c r="OQ165" s="434">
        <f t="shared" si="1483"/>
        <v>0</v>
      </c>
      <c r="OR165" s="282">
        <f t="shared" si="1484"/>
        <v>0</v>
      </c>
      <c r="OS165" s="282">
        <f t="shared" si="1485"/>
        <v>0</v>
      </c>
      <c r="OT165" s="282">
        <f t="shared" si="1486"/>
        <v>0</v>
      </c>
      <c r="OU165" s="282">
        <f t="shared" si="1487"/>
        <v>0</v>
      </c>
      <c r="OV165" s="282">
        <f t="shared" si="1488"/>
        <v>0</v>
      </c>
      <c r="OW165" s="286">
        <f t="shared" si="1489"/>
        <v>0</v>
      </c>
      <c r="OX165" s="286">
        <f t="shared" si="1490"/>
        <v>0</v>
      </c>
      <c r="OY165" s="286">
        <f t="shared" si="1491"/>
        <v>0</v>
      </c>
      <c r="OZ165" s="286">
        <f t="shared" si="1492"/>
        <v>0</v>
      </c>
      <c r="PA165" s="286">
        <f t="shared" si="1493"/>
        <v>0</v>
      </c>
      <c r="PB165" s="286">
        <f t="shared" si="1494"/>
        <v>0</v>
      </c>
      <c r="PC165" s="286">
        <f t="shared" si="1495"/>
        <v>0</v>
      </c>
      <c r="PD165" s="282">
        <f t="shared" si="1496"/>
        <v>0</v>
      </c>
      <c r="PE165" s="282">
        <f t="shared" si="1497"/>
        <v>0</v>
      </c>
      <c r="PF165" s="286">
        <f t="shared" si="1498"/>
        <v>0</v>
      </c>
      <c r="PG165" s="286">
        <f t="shared" si="1499"/>
        <v>0</v>
      </c>
      <c r="PH165" s="286">
        <f t="shared" si="1500"/>
        <v>0</v>
      </c>
      <c r="PI165" s="286">
        <f t="shared" si="1501"/>
        <v>0</v>
      </c>
      <c r="PJ165" s="286">
        <f t="shared" si="1502"/>
        <v>0</v>
      </c>
      <c r="PK165" s="286">
        <f t="shared" si="1503"/>
        <v>0</v>
      </c>
      <c r="PL165" s="286">
        <f t="shared" si="1504"/>
        <v>0</v>
      </c>
      <c r="PM165" s="562">
        <v>109</v>
      </c>
    </row>
    <row r="166" spans="1:429" s="289" customFormat="1" ht="15.75" customHeight="1">
      <c r="A166" s="1935" t="s">
        <v>1402</v>
      </c>
      <c r="B166" s="1040" t="str">
        <f>VLOOKUP(A166,'Area (&amp;golfacre for lookup)'!$A$2:$B$162,2,FALSE)</f>
        <v>BOCA</v>
      </c>
      <c r="C166" s="1936"/>
      <c r="D166" s="1937">
        <v>44834</v>
      </c>
      <c r="E166" s="402"/>
      <c r="F166" s="1936">
        <v>0</v>
      </c>
      <c r="G166" s="1936">
        <v>1</v>
      </c>
      <c r="H166" s="1936">
        <v>750</v>
      </c>
      <c r="I166" s="1936">
        <v>972</v>
      </c>
      <c r="J166" s="1936">
        <v>1722</v>
      </c>
      <c r="K166" s="1938">
        <v>1321.8001228678809</v>
      </c>
      <c r="L166" s="1939" t="s">
        <v>1208</v>
      </c>
      <c r="M166" s="1939" t="s">
        <v>1208</v>
      </c>
      <c r="N166" s="1939" t="s">
        <v>1208</v>
      </c>
      <c r="O166" s="1939" t="s">
        <v>1208</v>
      </c>
      <c r="P166" s="1939" t="s">
        <v>1208</v>
      </c>
      <c r="Q166" s="1936">
        <v>0</v>
      </c>
      <c r="R166" s="1936">
        <v>125000</v>
      </c>
      <c r="S166" s="1936">
        <v>125000</v>
      </c>
      <c r="T166" s="1939" t="s">
        <v>1208</v>
      </c>
      <c r="U166" s="1939" t="s">
        <v>1208</v>
      </c>
      <c r="V166" s="1939" t="s">
        <v>1208</v>
      </c>
      <c r="W166" s="1936">
        <v>28824</v>
      </c>
      <c r="X166" s="1936">
        <v>27672</v>
      </c>
      <c r="Y166" s="1939" t="s">
        <v>1208</v>
      </c>
      <c r="Z166" s="1939" t="s">
        <v>1208</v>
      </c>
      <c r="AA166" s="1936">
        <v>1152</v>
      </c>
      <c r="AB166" s="1362">
        <v>4.163052905464007E-2</v>
      </c>
      <c r="AC166" s="1939" t="s">
        <v>1208</v>
      </c>
      <c r="AD166" s="1363" t="s">
        <v>1208</v>
      </c>
      <c r="AE166" s="1936">
        <v>1</v>
      </c>
      <c r="AF166" s="1936">
        <v>3336</v>
      </c>
      <c r="AG166" s="1939" t="s">
        <v>1208</v>
      </c>
      <c r="AH166" s="1936">
        <v>0</v>
      </c>
      <c r="AI166" s="1936">
        <v>0</v>
      </c>
      <c r="AJ166" s="1939" t="s">
        <v>1208</v>
      </c>
      <c r="AK166" s="1938">
        <v>1</v>
      </c>
      <c r="AL166" s="1938">
        <v>1020</v>
      </c>
      <c r="AM166" s="1936">
        <v>32028</v>
      </c>
      <c r="AN166" s="1939" t="s">
        <v>1208</v>
      </c>
      <c r="AO166" s="1936">
        <v>0</v>
      </c>
      <c r="AP166" s="1936">
        <v>0</v>
      </c>
      <c r="AQ166" s="1936">
        <v>32028</v>
      </c>
      <c r="AR166" s="1939" t="s">
        <v>1208</v>
      </c>
      <c r="AS166" s="1363" t="s">
        <v>1208</v>
      </c>
      <c r="AT166" s="1363" t="s">
        <v>1208</v>
      </c>
      <c r="AU166" s="1363" t="s">
        <v>1208</v>
      </c>
      <c r="AV166" s="1363" t="s">
        <v>1208</v>
      </c>
      <c r="AW166" s="1363" t="s">
        <v>1291</v>
      </c>
      <c r="AX166" s="1938">
        <v>1</v>
      </c>
      <c r="AY166" s="1938">
        <v>0</v>
      </c>
      <c r="AZ166" s="1938">
        <v>1</v>
      </c>
      <c r="BA166" s="1938">
        <v>0</v>
      </c>
      <c r="BB166" s="1938">
        <v>0</v>
      </c>
      <c r="BC166" s="1938">
        <v>0</v>
      </c>
      <c r="BD166" s="1938">
        <v>0</v>
      </c>
      <c r="BE166" s="1936">
        <v>1</v>
      </c>
      <c r="BF166" s="1936">
        <v>62000000</v>
      </c>
      <c r="BG166" s="1936">
        <v>4993666</v>
      </c>
      <c r="BH166" s="1936">
        <v>66993666</v>
      </c>
      <c r="BI166" s="1938">
        <v>37204841</v>
      </c>
      <c r="BJ166" s="1936">
        <v>10845933</v>
      </c>
      <c r="BK166" s="1936">
        <v>7330867</v>
      </c>
      <c r="BL166" s="1362">
        <v>1.479488442499366</v>
      </c>
      <c r="BM166" s="1936">
        <v>1</v>
      </c>
      <c r="BN166" s="1936">
        <v>13694375</v>
      </c>
      <c r="BO166" s="1363" t="s">
        <v>1208</v>
      </c>
      <c r="BP166" s="1938">
        <v>12095250</v>
      </c>
      <c r="BQ166" s="1938">
        <v>7479006</v>
      </c>
      <c r="BR166" s="1940">
        <v>1.6172269416550809</v>
      </c>
      <c r="BS166" s="1409">
        <v>1</v>
      </c>
      <c r="BT166" s="1938">
        <v>22423513</v>
      </c>
      <c r="BU166" s="1938">
        <v>58531647</v>
      </c>
      <c r="BV166" s="1940">
        <v>0.38310066689221989</v>
      </c>
      <c r="BW166" s="1936">
        <v>10360.397735693665</v>
      </c>
      <c r="BX166" s="1936">
        <v>8205.4259281409468</v>
      </c>
      <c r="BY166" s="1936">
        <v>50683.658475265765</v>
      </c>
      <c r="BZ166" s="1936">
        <v>2293198</v>
      </c>
      <c r="CA166" s="1936">
        <v>837235</v>
      </c>
      <c r="CB166" s="1936">
        <v>1047086</v>
      </c>
      <c r="CC166" s="1936">
        <v>2131612</v>
      </c>
      <c r="CD166" s="1936">
        <v>36576853</v>
      </c>
      <c r="CE166" s="1936">
        <v>0</v>
      </c>
      <c r="CF166" s="1936">
        <v>0</v>
      </c>
      <c r="CG166" s="1936">
        <v>6414622</v>
      </c>
      <c r="CH166" s="1936">
        <v>1305425</v>
      </c>
      <c r="CI166" s="1936">
        <v>1423702</v>
      </c>
      <c r="CJ166" s="1936">
        <v>52029733</v>
      </c>
      <c r="CK166" s="1366">
        <v>4.4074760099191743E-2</v>
      </c>
      <c r="CL166" s="1366">
        <v>1.60914721588135E-2</v>
      </c>
      <c r="CM166" s="1366">
        <v>2.0124762123995523E-2</v>
      </c>
      <c r="CN166" s="1366">
        <v>4.0969112795562493E-2</v>
      </c>
      <c r="CO166" s="1366">
        <v>0.70299905248408634</v>
      </c>
      <c r="CP166" s="1366">
        <v>0</v>
      </c>
      <c r="CQ166" s="1366">
        <v>0</v>
      </c>
      <c r="CR166" s="1366">
        <v>0.12328762094550821</v>
      </c>
      <c r="CS166" s="1366">
        <v>2.508998076157723E-2</v>
      </c>
      <c r="CT166" s="1366">
        <v>2.7363238631264934E-2</v>
      </c>
      <c r="CU166" s="1366">
        <v>1</v>
      </c>
      <c r="CV166" s="1936">
        <v>24360270</v>
      </c>
      <c r="CW166" s="1936">
        <v>4524901</v>
      </c>
      <c r="CX166" s="1936">
        <v>790466</v>
      </c>
      <c r="CY166" s="1936">
        <v>21646919</v>
      </c>
      <c r="CZ166" s="1936">
        <v>0</v>
      </c>
      <c r="DA166" s="1936">
        <v>1008975</v>
      </c>
      <c r="DB166" s="1936">
        <v>52331531</v>
      </c>
      <c r="DC166" s="1366">
        <v>0.46549889778688108</v>
      </c>
      <c r="DD166" s="1366">
        <v>8.6466054279971283E-2</v>
      </c>
      <c r="DE166" s="1366">
        <v>1.5104966067207168E-2</v>
      </c>
      <c r="DF166" s="1366">
        <v>0.41364964078731042</v>
      </c>
      <c r="DG166" s="1366">
        <v>0</v>
      </c>
      <c r="DH166" s="1366">
        <v>1.9280441078630015E-2</v>
      </c>
      <c r="DI166" s="1366">
        <v>1</v>
      </c>
      <c r="DJ166" s="1936">
        <v>-301798</v>
      </c>
      <c r="DK166" s="1936">
        <v>1734.9052707186154</v>
      </c>
      <c r="DL166" s="1936">
        <v>633.40514614529582</v>
      </c>
      <c r="DM166" s="1936">
        <v>792.16666868524749</v>
      </c>
      <c r="DN166" s="1936">
        <v>1612.6583460857062</v>
      </c>
      <c r="DO166" s="1936">
        <v>27672</v>
      </c>
      <c r="DP166" s="1936">
        <v>0</v>
      </c>
      <c r="DQ166" s="1936">
        <v>0</v>
      </c>
      <c r="DR166" s="1936">
        <v>4852.9440185573103</v>
      </c>
      <c r="DS166" s="1936">
        <v>987.61149845231353</v>
      </c>
      <c r="DT166" s="1936">
        <v>1077.0932574215722</v>
      </c>
      <c r="DU166" s="1936">
        <v>39362.784206066062</v>
      </c>
      <c r="DV166" s="1936">
        <v>18429.616988645797</v>
      </c>
      <c r="DW166" s="1936">
        <v>3423.2868659313035</v>
      </c>
      <c r="DX166" s="1936">
        <v>598.02233811640383</v>
      </c>
      <c r="DY166" s="1936">
        <v>16376.847471486954</v>
      </c>
      <c r="DZ166" s="1936">
        <v>0</v>
      </c>
      <c r="EA166" s="1936">
        <v>763.33401892174811</v>
      </c>
      <c r="EB166" s="1936">
        <v>39591.107683102207</v>
      </c>
      <c r="EC166" s="1936">
        <v>-228.32347703614633</v>
      </c>
      <c r="ED166" s="1941">
        <v>435</v>
      </c>
      <c r="EE166" s="1936">
        <v>1</v>
      </c>
      <c r="EF166" s="1936">
        <v>148</v>
      </c>
      <c r="EG166" s="1938">
        <v>1601020</v>
      </c>
      <c r="EH166" s="1938">
        <v>1</v>
      </c>
      <c r="EI166" s="1368">
        <v>7.0000000000000007E-2</v>
      </c>
      <c r="EJ166" s="1936">
        <v>3.038620972110071</v>
      </c>
      <c r="EK166" s="1936">
        <v>0</v>
      </c>
      <c r="EL166" s="1936">
        <v>0</v>
      </c>
      <c r="EM166" s="1936">
        <v>0</v>
      </c>
      <c r="EN166" s="1362">
        <v>0</v>
      </c>
      <c r="EO166" s="1936">
        <v>0</v>
      </c>
      <c r="EP166" s="1936">
        <v>0</v>
      </c>
      <c r="EQ166" s="1936">
        <v>0</v>
      </c>
      <c r="ER166" s="1938">
        <v>1</v>
      </c>
      <c r="ES166" s="1936">
        <v>5840.5555170096241</v>
      </c>
      <c r="ET166" s="1936">
        <v>-8253.7025161787424</v>
      </c>
      <c r="EU166" s="1938">
        <v>5</v>
      </c>
      <c r="EV166" s="1936">
        <v>256024</v>
      </c>
      <c r="EW166" s="1936">
        <v>16858</v>
      </c>
      <c r="EX166" s="1938">
        <v>0</v>
      </c>
      <c r="EY166" s="1936">
        <v>6414622</v>
      </c>
      <c r="EZ166" s="1936">
        <v>4157077</v>
      </c>
      <c r="FA166" s="1936">
        <v>2257545</v>
      </c>
      <c r="FB166" s="1936">
        <v>1305425</v>
      </c>
      <c r="FC166" s="1936">
        <v>367824</v>
      </c>
      <c r="FD166" s="1936">
        <v>937601</v>
      </c>
      <c r="FE166" s="1936">
        <v>7720047</v>
      </c>
      <c r="FF166" s="1936">
        <v>4524901</v>
      </c>
      <c r="FG166" s="1936">
        <v>3195146</v>
      </c>
      <c r="FH166" s="1366">
        <v>1</v>
      </c>
      <c r="FI166" s="1366">
        <v>0.64806266059013296</v>
      </c>
      <c r="FJ166" s="1366">
        <v>0.35193733940986704</v>
      </c>
      <c r="FK166" s="1366">
        <v>1</v>
      </c>
      <c r="FL166" s="1366">
        <v>0.28176570848574217</v>
      </c>
      <c r="FM166" s="1366">
        <v>0.71823429151425777</v>
      </c>
      <c r="FN166" s="1366">
        <v>1</v>
      </c>
      <c r="FO166" s="1366">
        <v>0.58612350417037618</v>
      </c>
      <c r="FP166" s="1366">
        <v>0.41387649582962382</v>
      </c>
      <c r="FQ166" s="1936">
        <v>7412014</v>
      </c>
      <c r="FR166" s="1936">
        <v>0</v>
      </c>
      <c r="FS166" s="1936">
        <v>1138284</v>
      </c>
      <c r="FT166" s="1936">
        <v>340238</v>
      </c>
      <c r="FU166" s="1936">
        <v>183146</v>
      </c>
      <c r="FV166" s="1936">
        <v>118352</v>
      </c>
      <c r="FW166" s="1936">
        <v>4912857</v>
      </c>
      <c r="FX166" s="1936">
        <v>14104891</v>
      </c>
      <c r="FY166" s="1936">
        <v>-10909745</v>
      </c>
      <c r="FZ166" s="1366">
        <v>0.96009959524857813</v>
      </c>
      <c r="GA166" s="1366">
        <v>0</v>
      </c>
      <c r="GB166" s="1366">
        <v>0.14744521633093685</v>
      </c>
      <c r="GC166" s="1366">
        <v>4.4072011478686592E-2</v>
      </c>
      <c r="GD166" s="1366">
        <v>2.3723430699320872E-2</v>
      </c>
      <c r="GE166" s="1366">
        <v>1.5330476614973975E-2</v>
      </c>
      <c r="GF166" s="1366">
        <v>0.63637656610121673</v>
      </c>
      <c r="GG166" s="1366">
        <v>1.8270472964737132</v>
      </c>
      <c r="GH166" s="1366">
        <v>-1.4131708006440893</v>
      </c>
      <c r="GI166" s="1942">
        <v>4.9138188712488269</v>
      </c>
      <c r="GJ166" s="1943">
        <v>1</v>
      </c>
      <c r="GK166" s="1371">
        <v>0.08</v>
      </c>
      <c r="GL166" s="1943">
        <v>1</v>
      </c>
      <c r="GM166" s="1371">
        <v>0.05</v>
      </c>
      <c r="GN166" s="1943">
        <v>0</v>
      </c>
      <c r="GO166" s="1985">
        <f>IF(GN166=0,0,VLOOKUP(A166,'Area (&amp;golfacre for lookup)'!$G$2:$H$133,2,FALSE))</f>
        <v>0</v>
      </c>
      <c r="GP166" s="1943">
        <v>0</v>
      </c>
      <c r="GQ166" s="1943">
        <v>0</v>
      </c>
      <c r="GR166" s="1943">
        <v>0</v>
      </c>
      <c r="GS166" s="1943">
        <v>0</v>
      </c>
      <c r="GT166" s="1943">
        <v>0</v>
      </c>
      <c r="GU166" s="1943">
        <v>0</v>
      </c>
      <c r="GV166" s="1943">
        <v>0</v>
      </c>
      <c r="GW166" s="1943">
        <v>0</v>
      </c>
      <c r="GX166" s="1936">
        <v>0</v>
      </c>
      <c r="GY166" s="1985">
        <f t="shared" si="1319"/>
        <v>0</v>
      </c>
      <c r="GZ166" s="1936">
        <v>0</v>
      </c>
      <c r="HA166" s="1936">
        <v>0</v>
      </c>
      <c r="HB166" s="1936">
        <v>0</v>
      </c>
      <c r="HC166" s="1936">
        <v>0</v>
      </c>
      <c r="HD166" s="1936">
        <v>0</v>
      </c>
      <c r="HE166" s="1936">
        <v>0</v>
      </c>
      <c r="HF166" s="1936">
        <v>0</v>
      </c>
      <c r="HG166" s="1936">
        <v>36</v>
      </c>
      <c r="HH166" s="1988">
        <f>IF(HG166=0,0,VLOOKUP(A166,'Area (&amp;golfacre for lookup)'!$G$2:$H$134,2,FALSE))</f>
        <v>185</v>
      </c>
      <c r="HI166" s="1936">
        <v>59758</v>
      </c>
      <c r="HJ166" s="1936">
        <v>2555894</v>
      </c>
      <c r="HK166" s="1936">
        <v>258399</v>
      </c>
      <c r="HL166" s="1936">
        <v>889928</v>
      </c>
      <c r="HM166" s="1936">
        <v>347506</v>
      </c>
      <c r="HN166" s="1936">
        <v>0</v>
      </c>
      <c r="HO166" s="1936">
        <v>690927</v>
      </c>
      <c r="HP166" s="1936">
        <v>4742654</v>
      </c>
      <c r="HQ166" s="1936">
        <v>131740.38888888888</v>
      </c>
      <c r="HR166" s="1988">
        <f t="shared" si="1320"/>
        <v>25635.967567567568</v>
      </c>
      <c r="HS166" s="1366">
        <v>0.53891639575646888</v>
      </c>
      <c r="HT166" s="1366">
        <v>5.4484050491560208E-2</v>
      </c>
      <c r="HU166" s="1366">
        <v>0.18764345870476742</v>
      </c>
      <c r="HV166" s="1366">
        <v>7.3272475706640208E-2</v>
      </c>
      <c r="HW166" s="1366">
        <v>0</v>
      </c>
      <c r="HX166" s="1366">
        <v>0.14568361934056331</v>
      </c>
      <c r="HY166" s="1366">
        <v>1</v>
      </c>
      <c r="HZ166" s="51"/>
      <c r="IA166" s="59">
        <f t="shared" si="1322"/>
        <v>0</v>
      </c>
      <c r="IB166" s="59"/>
      <c r="IC166" s="815">
        <f t="shared" si="1323"/>
        <v>1</v>
      </c>
      <c r="ID166" s="815"/>
      <c r="IE166" s="284">
        <f t="shared" si="1324"/>
        <v>0</v>
      </c>
      <c r="IF166" s="284"/>
      <c r="IG166" s="284">
        <f t="shared" si="1325"/>
        <v>28147.100576203207</v>
      </c>
      <c r="IH166" s="284"/>
      <c r="II166" s="1288">
        <f t="shared" si="1326"/>
        <v>1.6172269416550809</v>
      </c>
      <c r="IJ166" s="1288">
        <f t="shared" si="1327"/>
        <v>0</v>
      </c>
      <c r="IK166" s="284">
        <f t="shared" si="1328"/>
        <v>1</v>
      </c>
      <c r="IL166" s="284">
        <f t="shared" si="1329"/>
        <v>0</v>
      </c>
      <c r="IM166" s="284">
        <f t="shared" si="1330"/>
        <v>0</v>
      </c>
      <c r="IN166" s="284">
        <f t="shared" si="1331"/>
        <v>0</v>
      </c>
      <c r="IO166" s="753">
        <f t="shared" si="1332"/>
        <v>-6335.5081300813008</v>
      </c>
      <c r="IP166" s="113">
        <f t="shared" si="1333"/>
        <v>-8253.7025161787424</v>
      </c>
      <c r="IQ166" s="30">
        <f t="shared" si="1334"/>
        <v>-0.29826909931261719</v>
      </c>
      <c r="IR166" s="438">
        <f t="shared" si="1335"/>
        <v>6414622</v>
      </c>
      <c r="IS166" s="438">
        <f t="shared" si="1336"/>
        <v>1305425</v>
      </c>
      <c r="IT166" s="438">
        <f t="shared" si="1337"/>
        <v>7412014</v>
      </c>
      <c r="IU166" s="438">
        <f t="shared" si="1338"/>
        <v>1478522</v>
      </c>
      <c r="IV166" s="438">
        <f t="shared" si="1339"/>
        <v>4524901</v>
      </c>
      <c r="IW166" s="438">
        <f t="shared" si="1340"/>
        <v>5214355</v>
      </c>
      <c r="IX166" s="285">
        <f t="shared" si="1341"/>
        <v>0.83090452687658511</v>
      </c>
      <c r="IY166" s="285">
        <f t="shared" si="1342"/>
        <v>0.16909547312341491</v>
      </c>
      <c r="IZ166" s="285">
        <f t="shared" si="1343"/>
        <v>0.96009959524857813</v>
      </c>
      <c r="JA166" s="285">
        <f t="shared" si="1344"/>
        <v>0.19151722780962344</v>
      </c>
      <c r="JB166" s="285">
        <f t="shared" si="1345"/>
        <v>0.58612350417037618</v>
      </c>
      <c r="JC166" s="285">
        <f t="shared" si="1346"/>
        <v>0.67543047341551155</v>
      </c>
      <c r="JD166" s="60">
        <f t="shared" si="1347"/>
        <v>36576853</v>
      </c>
      <c r="JE166" s="60">
        <f t="shared" si="1348"/>
        <v>6309131</v>
      </c>
      <c r="JF166" s="60">
        <f t="shared" si="1349"/>
        <v>0</v>
      </c>
      <c r="JG166" s="60">
        <f t="shared" si="1350"/>
        <v>1008975</v>
      </c>
      <c r="JH166" s="284">
        <f t="shared" si="1351"/>
        <v>0</v>
      </c>
      <c r="JI166" s="284">
        <f t="shared" si="1352"/>
        <v>1</v>
      </c>
      <c r="JJ166" s="560">
        <f t="shared" si="1353"/>
        <v>0.75491984421527936</v>
      </c>
      <c r="JK166" s="561">
        <f t="shared" si="1354"/>
        <v>0.46819901997190722</v>
      </c>
      <c r="JL166" s="561">
        <f t="shared" si="1355"/>
        <v>8.6967599852953312E-2</v>
      </c>
      <c r="JM166" s="561">
        <f t="shared" si="1356"/>
        <v>1.5192582287516255E-2</v>
      </c>
      <c r="JN166" s="561">
        <f t="shared" si="1357"/>
        <v>0.41604901182175968</v>
      </c>
      <c r="JO166" s="561">
        <f t="shared" si="1358"/>
        <v>0</v>
      </c>
      <c r="JP166" s="561">
        <f t="shared" si="1359"/>
        <v>1.9392277104324177E-2</v>
      </c>
      <c r="JQ166" s="561">
        <f t="shared" si="1360"/>
        <v>1.0058004910384606</v>
      </c>
      <c r="JR166" s="61">
        <f t="shared" si="1361"/>
        <v>0</v>
      </c>
      <c r="JS166" s="61">
        <f t="shared" si="1362"/>
        <v>0</v>
      </c>
      <c r="JT166" s="61">
        <f t="shared" si="1363"/>
        <v>0</v>
      </c>
      <c r="JU166" s="61">
        <f t="shared" si="1364"/>
        <v>0</v>
      </c>
      <c r="JV166" s="61">
        <f t="shared" si="1365"/>
        <v>0</v>
      </c>
      <c r="JW166" s="61">
        <f t="shared" si="1366"/>
        <v>0</v>
      </c>
      <c r="JX166" s="61">
        <f t="shared" si="1367"/>
        <v>0</v>
      </c>
      <c r="JY166" s="394">
        <f t="shared" si="1368"/>
        <v>0</v>
      </c>
      <c r="JZ166" s="61">
        <f t="shared" si="1369"/>
        <v>70997.055555555562</v>
      </c>
      <c r="KA166" s="61">
        <f t="shared" si="1370"/>
        <v>7177.75</v>
      </c>
      <c r="KB166" s="61">
        <f t="shared" si="1371"/>
        <v>24720.222222222223</v>
      </c>
      <c r="KC166" s="61">
        <f t="shared" si="1372"/>
        <v>9652.9444444444453</v>
      </c>
      <c r="KD166" s="61">
        <f t="shared" si="1373"/>
        <v>0</v>
      </c>
      <c r="KE166" s="61">
        <f t="shared" si="1374"/>
        <v>19192.416666666668</v>
      </c>
      <c r="KF166" s="61">
        <f t="shared" si="1375"/>
        <v>29900</v>
      </c>
      <c r="KG166" s="61">
        <f t="shared" si="1376"/>
        <v>185</v>
      </c>
      <c r="KH166" s="61">
        <f t="shared" si="1377"/>
        <v>79.364336155828511</v>
      </c>
      <c r="KI166" s="394">
        <f t="shared" si="1378"/>
        <v>9.0627082933996336E-2</v>
      </c>
      <c r="KJ166" s="438">
        <f t="shared" si="1379"/>
        <v>36</v>
      </c>
      <c r="KK166" s="438">
        <f t="shared" si="1380"/>
        <v>59758</v>
      </c>
      <c r="KL166" s="438">
        <f t="shared" si="1381"/>
        <v>185</v>
      </c>
      <c r="KM166" s="438">
        <f t="shared" si="1382"/>
        <v>131740.38888888888</v>
      </c>
      <c r="KN166" s="438">
        <f t="shared" si="1383"/>
        <v>79.364336155828511</v>
      </c>
      <c r="KO166" s="438">
        <f t="shared" si="1384"/>
        <v>25635.967567567568</v>
      </c>
      <c r="KP166" s="438">
        <f t="shared" si="1385"/>
        <v>2555894</v>
      </c>
      <c r="KQ166" s="438">
        <f t="shared" si="1386"/>
        <v>258399</v>
      </c>
      <c r="KR166" s="438">
        <f t="shared" si="1387"/>
        <v>889928</v>
      </c>
      <c r="KS166" s="438">
        <f t="shared" si="1388"/>
        <v>347506</v>
      </c>
      <c r="KT166" s="438">
        <f t="shared" si="1389"/>
        <v>0</v>
      </c>
      <c r="KU166" s="438">
        <f t="shared" si="1390"/>
        <v>690927</v>
      </c>
      <c r="KV166" s="420">
        <f t="shared" si="1391"/>
        <v>9.0627082933996336E-2</v>
      </c>
      <c r="KW166" s="420">
        <f t="shared" si="1392"/>
        <v>-0.11077297984055653</v>
      </c>
      <c r="KX166" s="108"/>
      <c r="KY166" s="282">
        <f t="shared" si="1393"/>
        <v>0</v>
      </c>
      <c r="KZ166" s="282"/>
      <c r="LA166" s="282">
        <f t="shared" si="1394"/>
        <v>0</v>
      </c>
      <c r="LB166" s="282"/>
      <c r="LC166" s="286">
        <f t="shared" si="1321"/>
        <v>0</v>
      </c>
      <c r="LD166" s="286"/>
      <c r="LE166" s="282">
        <f t="shared" si="1395"/>
        <v>0</v>
      </c>
      <c r="LF166" s="282"/>
      <c r="LG166" s="282">
        <f t="shared" si="1396"/>
        <v>0</v>
      </c>
      <c r="LH166" s="282">
        <f t="shared" si="1397"/>
        <v>0</v>
      </c>
      <c r="LI166" s="282">
        <f t="shared" si="1398"/>
        <v>0</v>
      </c>
      <c r="LJ166" s="282">
        <f t="shared" si="1399"/>
        <v>0</v>
      </c>
      <c r="LK166" s="282"/>
      <c r="LL166" s="282">
        <f t="shared" si="1400"/>
        <v>0</v>
      </c>
      <c r="LM166" s="282">
        <f t="shared" si="1401"/>
        <v>0</v>
      </c>
      <c r="LN166" s="282">
        <f t="shared" si="1402"/>
        <v>0</v>
      </c>
      <c r="LO166" s="282">
        <f t="shared" si="1403"/>
        <v>0</v>
      </c>
      <c r="LP166" s="286">
        <f t="shared" si="1404"/>
        <v>0</v>
      </c>
      <c r="LQ166" s="282">
        <f t="shared" si="1405"/>
        <v>0</v>
      </c>
      <c r="LR166" s="282">
        <f t="shared" si="1406"/>
        <v>0</v>
      </c>
      <c r="LS166" s="282">
        <f t="shared" si="1407"/>
        <v>0</v>
      </c>
      <c r="LT166" s="286">
        <f t="shared" si="1408"/>
        <v>0</v>
      </c>
      <c r="LU166" s="286">
        <f t="shared" si="1409"/>
        <v>0</v>
      </c>
      <c r="LV166" s="286">
        <f t="shared" si="1410"/>
        <v>0</v>
      </c>
      <c r="LW166" s="286">
        <f t="shared" si="1411"/>
        <v>0</v>
      </c>
      <c r="LX166" s="286">
        <f t="shared" si="1412"/>
        <v>0</v>
      </c>
      <c r="LY166" s="286">
        <f t="shared" si="1413"/>
        <v>0</v>
      </c>
      <c r="LZ166" s="286">
        <f t="shared" si="1414"/>
        <v>0</v>
      </c>
      <c r="MA166" s="286">
        <f t="shared" si="1415"/>
        <v>0</v>
      </c>
      <c r="MB166" s="286">
        <f t="shared" si="1416"/>
        <v>0</v>
      </c>
      <c r="MC166" s="286">
        <f t="shared" si="1417"/>
        <v>0</v>
      </c>
      <c r="MD166" s="286">
        <f t="shared" si="1418"/>
        <v>0</v>
      </c>
      <c r="ME166" s="286">
        <f t="shared" si="1419"/>
        <v>0</v>
      </c>
      <c r="MF166" s="286">
        <f t="shared" si="1420"/>
        <v>0</v>
      </c>
      <c r="MG166" s="286">
        <f t="shared" si="1421"/>
        <v>0</v>
      </c>
      <c r="MH166" s="286">
        <f t="shared" si="1422"/>
        <v>0</v>
      </c>
      <c r="MI166" s="286">
        <f t="shared" si="1423"/>
        <v>0</v>
      </c>
      <c r="MJ166" s="286">
        <f t="shared" si="1424"/>
        <v>0</v>
      </c>
      <c r="MK166" s="286">
        <f t="shared" si="1425"/>
        <v>0</v>
      </c>
      <c r="ML166" s="282">
        <f t="shared" si="1426"/>
        <v>0</v>
      </c>
      <c r="MM166" s="1232">
        <f t="shared" si="1427"/>
        <v>0</v>
      </c>
      <c r="MN166" s="1232">
        <f t="shared" si="1428"/>
        <v>0</v>
      </c>
      <c r="MO166" s="1232">
        <f t="shared" si="1429"/>
        <v>0</v>
      </c>
      <c r="MP166" s="1232">
        <f t="shared" si="1430"/>
        <v>0</v>
      </c>
      <c r="MQ166" s="282">
        <f t="shared" si="1431"/>
        <v>0</v>
      </c>
      <c r="MR166" s="282">
        <f t="shared" si="1432"/>
        <v>0</v>
      </c>
      <c r="MS166" s="282">
        <f t="shared" si="1433"/>
        <v>0</v>
      </c>
      <c r="MT166" s="282">
        <f t="shared" si="1434"/>
        <v>0</v>
      </c>
      <c r="MU166" s="282">
        <f t="shared" si="1435"/>
        <v>0</v>
      </c>
      <c r="MV166" s="282">
        <f t="shared" si="1436"/>
        <v>0</v>
      </c>
      <c r="MW166" s="282">
        <f t="shared" si="1437"/>
        <v>0</v>
      </c>
      <c r="MX166" s="282">
        <f t="shared" si="1438"/>
        <v>0</v>
      </c>
      <c r="MY166" s="282">
        <f t="shared" si="1439"/>
        <v>0</v>
      </c>
      <c r="MZ166" s="282">
        <f t="shared" si="1440"/>
        <v>0</v>
      </c>
      <c r="NA166" s="282">
        <f t="shared" si="1441"/>
        <v>0</v>
      </c>
      <c r="NB166" s="282">
        <f t="shared" si="1442"/>
        <v>0</v>
      </c>
      <c r="NC166" s="282">
        <f t="shared" si="1443"/>
        <v>0</v>
      </c>
      <c r="ND166" s="282">
        <f t="shared" si="1444"/>
        <v>0</v>
      </c>
      <c r="NE166" s="282">
        <f t="shared" si="1445"/>
        <v>0</v>
      </c>
      <c r="NF166" s="282">
        <f t="shared" si="1446"/>
        <v>0</v>
      </c>
      <c r="NG166" s="282">
        <f t="shared" si="1447"/>
        <v>0</v>
      </c>
      <c r="NH166" s="282">
        <f t="shared" si="1448"/>
        <v>0</v>
      </c>
      <c r="NI166" s="282">
        <f t="shared" si="1449"/>
        <v>0</v>
      </c>
      <c r="NJ166" s="282">
        <f t="shared" si="1450"/>
        <v>0</v>
      </c>
      <c r="NK166" s="282">
        <f t="shared" si="1451"/>
        <v>0</v>
      </c>
      <c r="NL166" s="282">
        <f t="shared" si="1452"/>
        <v>0</v>
      </c>
      <c r="NM166" s="1205">
        <f t="shared" si="1453"/>
        <v>0</v>
      </c>
      <c r="NN166" s="282">
        <f t="shared" si="1454"/>
        <v>0</v>
      </c>
      <c r="NO166" s="282">
        <f t="shared" si="1455"/>
        <v>0</v>
      </c>
      <c r="NP166" s="282">
        <f t="shared" si="1456"/>
        <v>0</v>
      </c>
      <c r="NQ166" s="282">
        <f t="shared" si="1457"/>
        <v>0</v>
      </c>
      <c r="NR166" s="282">
        <f t="shared" si="1458"/>
        <v>0</v>
      </c>
      <c r="NS166" s="282">
        <f t="shared" si="1459"/>
        <v>0</v>
      </c>
      <c r="NT166" s="282">
        <f t="shared" si="1460"/>
        <v>0</v>
      </c>
      <c r="NU166" s="282">
        <f t="shared" si="1461"/>
        <v>0</v>
      </c>
      <c r="NV166" s="286">
        <f t="shared" si="1462"/>
        <v>0</v>
      </c>
      <c r="NW166" s="286">
        <f t="shared" si="1463"/>
        <v>0</v>
      </c>
      <c r="NX166" s="286">
        <f t="shared" si="1464"/>
        <v>0</v>
      </c>
      <c r="NY166" s="286">
        <f t="shared" si="1465"/>
        <v>0</v>
      </c>
      <c r="NZ166" s="286">
        <f t="shared" si="1466"/>
        <v>0</v>
      </c>
      <c r="OA166" s="286">
        <f t="shared" si="1467"/>
        <v>0</v>
      </c>
      <c r="OB166" s="286">
        <f t="shared" si="1468"/>
        <v>0</v>
      </c>
      <c r="OC166" s="286">
        <f t="shared" si="1469"/>
        <v>0</v>
      </c>
      <c r="OD166" s="286">
        <f t="shared" si="1470"/>
        <v>0</v>
      </c>
      <c r="OE166" s="282">
        <f t="shared" si="1471"/>
        <v>0</v>
      </c>
      <c r="OF166" s="282">
        <f t="shared" si="1472"/>
        <v>0</v>
      </c>
      <c r="OG166" s="286">
        <f t="shared" si="1473"/>
        <v>0</v>
      </c>
      <c r="OH166" s="286">
        <f t="shared" si="1474"/>
        <v>0</v>
      </c>
      <c r="OI166" s="286">
        <f t="shared" si="1475"/>
        <v>0</v>
      </c>
      <c r="OJ166" s="286">
        <f t="shared" si="1476"/>
        <v>0</v>
      </c>
      <c r="OK166" s="286">
        <f t="shared" si="1477"/>
        <v>0</v>
      </c>
      <c r="OL166" s="286">
        <f t="shared" si="1478"/>
        <v>0</v>
      </c>
      <c r="OM166" s="286">
        <f t="shared" si="1479"/>
        <v>0</v>
      </c>
      <c r="ON166" s="286">
        <f t="shared" si="1480"/>
        <v>0</v>
      </c>
      <c r="OO166" s="286">
        <f t="shared" si="1481"/>
        <v>0</v>
      </c>
      <c r="OP166" s="434">
        <f t="shared" si="1482"/>
        <v>0</v>
      </c>
      <c r="OQ166" s="434">
        <f t="shared" si="1483"/>
        <v>0</v>
      </c>
      <c r="OR166" s="282">
        <f t="shared" si="1484"/>
        <v>0</v>
      </c>
      <c r="OS166" s="282">
        <f t="shared" si="1485"/>
        <v>0</v>
      </c>
      <c r="OT166" s="282">
        <f t="shared" si="1486"/>
        <v>0</v>
      </c>
      <c r="OU166" s="282">
        <f t="shared" si="1487"/>
        <v>0</v>
      </c>
      <c r="OV166" s="282">
        <f t="shared" si="1488"/>
        <v>0</v>
      </c>
      <c r="OW166" s="286">
        <f t="shared" si="1489"/>
        <v>0</v>
      </c>
      <c r="OX166" s="286">
        <f t="shared" si="1490"/>
        <v>0</v>
      </c>
      <c r="OY166" s="286">
        <f t="shared" si="1491"/>
        <v>0</v>
      </c>
      <c r="OZ166" s="286">
        <f t="shared" si="1492"/>
        <v>0</v>
      </c>
      <c r="PA166" s="286">
        <f t="shared" si="1493"/>
        <v>0</v>
      </c>
      <c r="PB166" s="286">
        <f t="shared" si="1494"/>
        <v>0</v>
      </c>
      <c r="PC166" s="286">
        <f t="shared" si="1495"/>
        <v>0</v>
      </c>
      <c r="PD166" s="282">
        <f t="shared" si="1496"/>
        <v>0</v>
      </c>
      <c r="PE166" s="282">
        <f t="shared" si="1497"/>
        <v>0</v>
      </c>
      <c r="PF166" s="286">
        <f t="shared" si="1498"/>
        <v>0</v>
      </c>
      <c r="PG166" s="286">
        <f t="shared" si="1499"/>
        <v>0</v>
      </c>
      <c r="PH166" s="286">
        <f t="shared" si="1500"/>
        <v>0</v>
      </c>
      <c r="PI166" s="286">
        <f t="shared" si="1501"/>
        <v>0</v>
      </c>
      <c r="PJ166" s="286">
        <f t="shared" si="1502"/>
        <v>0</v>
      </c>
      <c r="PK166" s="286">
        <f t="shared" si="1503"/>
        <v>0</v>
      </c>
      <c r="PL166" s="286">
        <f t="shared" si="1504"/>
        <v>0</v>
      </c>
      <c r="PM166" s="562">
        <v>110</v>
      </c>
    </row>
    <row r="167" spans="1:429" s="289" customFormat="1" ht="15.75" customHeight="1">
      <c r="A167" s="1640" t="s">
        <v>620</v>
      </c>
      <c r="B167" s="1040" t="str">
        <f>VLOOKUP(A167,'Area (&amp;golfacre for lookup)'!$A$2:$B$162,2,FALSE)</f>
        <v>North&amp;Central</v>
      </c>
      <c r="C167" s="1936" t="s">
        <v>2396</v>
      </c>
      <c r="D167" s="1937">
        <v>44742</v>
      </c>
      <c r="E167" s="402"/>
      <c r="F167" s="1936">
        <v>0</v>
      </c>
      <c r="G167" s="1936">
        <v>1</v>
      </c>
      <c r="H167" s="1936">
        <v>3452</v>
      </c>
      <c r="I167" s="1936">
        <v>0</v>
      </c>
      <c r="J167" s="1936">
        <v>3452</v>
      </c>
      <c r="K167" s="1938">
        <v>3452</v>
      </c>
      <c r="L167" s="1939" t="s">
        <v>1208</v>
      </c>
      <c r="M167" s="1939" t="s">
        <v>1208</v>
      </c>
      <c r="N167" s="1939" t="s">
        <v>1208</v>
      </c>
      <c r="O167" s="1939" t="s">
        <v>1208</v>
      </c>
      <c r="P167" s="1939" t="s">
        <v>1208</v>
      </c>
      <c r="Q167" s="1979">
        <v>0</v>
      </c>
      <c r="R167" s="1979">
        <v>0</v>
      </c>
      <c r="S167" s="1979">
        <v>0</v>
      </c>
      <c r="T167" s="1939" t="s">
        <v>1208</v>
      </c>
      <c r="U167" s="1939" t="s">
        <v>1208</v>
      </c>
      <c r="V167" s="1939" t="s">
        <v>1208</v>
      </c>
      <c r="W167" s="1936">
        <v>2736</v>
      </c>
      <c r="X167" s="1936">
        <v>2448</v>
      </c>
      <c r="Y167" s="1939" t="s">
        <v>1208</v>
      </c>
      <c r="Z167" s="1939" t="s">
        <v>1208</v>
      </c>
      <c r="AA167" s="1936">
        <v>288</v>
      </c>
      <c r="AB167" s="1362">
        <v>0.11764705882352941</v>
      </c>
      <c r="AC167" s="1939" t="s">
        <v>1208</v>
      </c>
      <c r="AD167" s="1363" t="s">
        <v>1208</v>
      </c>
      <c r="AE167" s="1936">
        <v>1</v>
      </c>
      <c r="AF167" s="1936">
        <v>744</v>
      </c>
      <c r="AG167" s="1939" t="s">
        <v>1208</v>
      </c>
      <c r="AH167" s="1936">
        <v>0</v>
      </c>
      <c r="AI167" s="1936">
        <v>0</v>
      </c>
      <c r="AJ167" s="1939" t="s">
        <v>1208</v>
      </c>
      <c r="AK167" s="1938">
        <v>0</v>
      </c>
      <c r="AL167" s="1938">
        <v>0</v>
      </c>
      <c r="AM167" s="1936">
        <v>3192</v>
      </c>
      <c r="AN167" s="1939" t="s">
        <v>1208</v>
      </c>
      <c r="AO167" s="1936">
        <v>0</v>
      </c>
      <c r="AP167" s="1936">
        <v>0</v>
      </c>
      <c r="AQ167" s="1936">
        <v>3192</v>
      </c>
      <c r="AR167" s="1939" t="s">
        <v>1208</v>
      </c>
      <c r="AS167" s="1363" t="s">
        <v>1208</v>
      </c>
      <c r="AT167" s="1363" t="s">
        <v>1208</v>
      </c>
      <c r="AU167" s="1363" t="s">
        <v>1208</v>
      </c>
      <c r="AV167" s="1363" t="s">
        <v>1208</v>
      </c>
      <c r="AW167" s="1363" t="s">
        <v>1291</v>
      </c>
      <c r="AX167" s="1938">
        <v>1</v>
      </c>
      <c r="AY167" s="1938">
        <v>0</v>
      </c>
      <c r="AZ167" s="1938">
        <v>1</v>
      </c>
      <c r="BA167" s="1938">
        <v>1</v>
      </c>
      <c r="BB167" s="1938">
        <v>0</v>
      </c>
      <c r="BC167" s="1938">
        <v>1</v>
      </c>
      <c r="BD167" s="1938">
        <v>0</v>
      </c>
      <c r="BE167" s="1936">
        <v>1</v>
      </c>
      <c r="BF167" s="1936">
        <v>1773400</v>
      </c>
      <c r="BG167" s="1936">
        <v>6995200</v>
      </c>
      <c r="BH167" s="1936">
        <v>8768600</v>
      </c>
      <c r="BI167" s="1938">
        <v>19534959</v>
      </c>
      <c r="BJ167" s="1936">
        <v>4586882</v>
      </c>
      <c r="BK167" s="1936">
        <v>1862670</v>
      </c>
      <c r="BL167" s="1362">
        <v>2.4625306683416817</v>
      </c>
      <c r="BM167" s="1936">
        <v>0</v>
      </c>
      <c r="BN167" s="1936">
        <v>0</v>
      </c>
      <c r="BO167" s="1363" t="s">
        <v>1208</v>
      </c>
      <c r="BP167" s="1938">
        <v>2599639</v>
      </c>
      <c r="BQ167" s="1938">
        <v>1843629</v>
      </c>
      <c r="BR167" s="1940">
        <v>1.4100662334992562</v>
      </c>
      <c r="BS167" s="1409">
        <v>1</v>
      </c>
      <c r="BT167" s="1938">
        <v>2391124</v>
      </c>
      <c r="BU167" s="1938">
        <v>30297881</v>
      </c>
      <c r="BV167" s="1940">
        <v>7.8920502724266428E-2</v>
      </c>
      <c r="BW167" s="1936">
        <v>0</v>
      </c>
      <c r="BX167" s="1936">
        <v>1328.7607184241019</v>
      </c>
      <c r="BY167" s="1936">
        <v>2540.1506373117036</v>
      </c>
      <c r="BZ167" s="1936">
        <v>2441923</v>
      </c>
      <c r="CA167" s="1936">
        <v>0</v>
      </c>
      <c r="CB167" s="1936">
        <v>376534</v>
      </c>
      <c r="CC167" s="1936">
        <v>0</v>
      </c>
      <c r="CD167" s="1936">
        <v>8450496</v>
      </c>
      <c r="CE167" s="1936">
        <v>0</v>
      </c>
      <c r="CF167" s="1936">
        <v>0</v>
      </c>
      <c r="CG167" s="1936">
        <v>1577186</v>
      </c>
      <c r="CH167" s="1936">
        <v>720169</v>
      </c>
      <c r="CI167" s="1936">
        <v>769945</v>
      </c>
      <c r="CJ167" s="1936">
        <v>14336253</v>
      </c>
      <c r="CK167" s="1366">
        <v>0.17033202469292361</v>
      </c>
      <c r="CL167" s="1366">
        <v>0</v>
      </c>
      <c r="CM167" s="1366">
        <v>2.6264463943263278E-2</v>
      </c>
      <c r="CN167" s="1366">
        <v>0</v>
      </c>
      <c r="CO167" s="1366">
        <v>0.58944941889627644</v>
      </c>
      <c r="CP167" s="1366">
        <v>0</v>
      </c>
      <c r="CQ167" s="1366">
        <v>0</v>
      </c>
      <c r="CR167" s="1366">
        <v>0.11001382299824089</v>
      </c>
      <c r="CS167" s="1366">
        <v>5.0234116264549739E-2</v>
      </c>
      <c r="CT167" s="1366">
        <v>5.3706153204746039E-2</v>
      </c>
      <c r="CU167" s="1366">
        <v>1</v>
      </c>
      <c r="CV167" s="1936">
        <v>4681285</v>
      </c>
      <c r="CW167" s="1936">
        <v>891826</v>
      </c>
      <c r="CX167" s="1936">
        <v>315397</v>
      </c>
      <c r="CY167" s="1936">
        <v>7717131</v>
      </c>
      <c r="CZ167" s="1936">
        <v>18323</v>
      </c>
      <c r="DA167" s="1936">
        <v>461092</v>
      </c>
      <c r="DB167" s="1936">
        <v>14085054</v>
      </c>
      <c r="DC167" s="1366">
        <v>0.33235832819668282</v>
      </c>
      <c r="DD167" s="1366">
        <v>6.3317187140354586E-2</v>
      </c>
      <c r="DE167" s="1366">
        <v>2.2392317416745439E-2</v>
      </c>
      <c r="DF167" s="1366">
        <v>0.5478950240446363</v>
      </c>
      <c r="DG167" s="1366">
        <v>1.3008824815297123E-3</v>
      </c>
      <c r="DH167" s="1366">
        <v>3.2736260720051195E-2</v>
      </c>
      <c r="DI167" s="1366">
        <v>1</v>
      </c>
      <c r="DJ167" s="1936">
        <v>251199</v>
      </c>
      <c r="DK167" s="1936">
        <v>707.39368482039401</v>
      </c>
      <c r="DL167" s="1936">
        <v>0</v>
      </c>
      <c r="DM167" s="1936">
        <v>109.07705677867902</v>
      </c>
      <c r="DN167" s="1936">
        <v>0</v>
      </c>
      <c r="DO167" s="1936">
        <v>2448</v>
      </c>
      <c r="DP167" s="1936">
        <v>0</v>
      </c>
      <c r="DQ167" s="1936">
        <v>0</v>
      </c>
      <c r="DR167" s="1936">
        <v>456.89049826187716</v>
      </c>
      <c r="DS167" s="1936">
        <v>208.62369640787949</v>
      </c>
      <c r="DT167" s="1936">
        <v>223.04316338354576</v>
      </c>
      <c r="DU167" s="1936">
        <v>4153.0280996523752</v>
      </c>
      <c r="DV167" s="1936">
        <v>1356.1080533024333</v>
      </c>
      <c r="DW167" s="1936">
        <v>258.35052143684823</v>
      </c>
      <c r="DX167" s="1936">
        <v>91.366454229432208</v>
      </c>
      <c r="DY167" s="1936">
        <v>2235.5535921205101</v>
      </c>
      <c r="DZ167" s="1936">
        <v>5.3079374275782154</v>
      </c>
      <c r="EA167" s="1936">
        <v>133.57242178447277</v>
      </c>
      <c r="EB167" s="1936">
        <v>4080.2589803012747</v>
      </c>
      <c r="EC167" s="1936">
        <v>72.769119351100812</v>
      </c>
      <c r="ED167" s="1941">
        <v>95</v>
      </c>
      <c r="EE167" s="1936">
        <v>0</v>
      </c>
      <c r="EF167" s="1936">
        <v>0</v>
      </c>
      <c r="EG167" s="1938">
        <v>0</v>
      </c>
      <c r="EH167" s="1938">
        <v>1</v>
      </c>
      <c r="EI167" s="1368">
        <v>0.15</v>
      </c>
      <c r="EJ167" s="1936">
        <v>36.336842105263159</v>
      </c>
      <c r="EK167" s="1936">
        <v>0</v>
      </c>
      <c r="EL167" s="1936">
        <v>0</v>
      </c>
      <c r="EM167" s="1936">
        <v>0</v>
      </c>
      <c r="EN167" s="1362">
        <v>0</v>
      </c>
      <c r="EO167" s="1936">
        <v>0</v>
      </c>
      <c r="EP167" s="1936">
        <v>0</v>
      </c>
      <c r="EQ167" s="1936">
        <v>0</v>
      </c>
      <c r="ER167" s="1938">
        <v>1</v>
      </c>
      <c r="ES167" s="1936">
        <v>665.51419466975665</v>
      </c>
      <c r="ET167" s="1936">
        <v>-54.913093858632678</v>
      </c>
      <c r="EU167" s="1938">
        <v>1</v>
      </c>
      <c r="EV167" s="1936">
        <v>163829</v>
      </c>
      <c r="EW167" s="1936">
        <v>9195</v>
      </c>
      <c r="EX167" s="1938">
        <v>1</v>
      </c>
      <c r="EY167" s="1936">
        <v>1577186</v>
      </c>
      <c r="EZ167" s="1936">
        <v>690969</v>
      </c>
      <c r="FA167" s="1936">
        <v>886217</v>
      </c>
      <c r="FB167" s="1936">
        <v>720169</v>
      </c>
      <c r="FC167" s="1936">
        <v>200857</v>
      </c>
      <c r="FD167" s="1936">
        <v>519312</v>
      </c>
      <c r="FE167" s="1936">
        <v>2297355</v>
      </c>
      <c r="FF167" s="1936">
        <v>891826</v>
      </c>
      <c r="FG167" s="1936">
        <v>1405529</v>
      </c>
      <c r="FH167" s="1366">
        <v>1</v>
      </c>
      <c r="FI167" s="1366">
        <v>0.43810241785052617</v>
      </c>
      <c r="FJ167" s="1366">
        <v>0.56189758214947383</v>
      </c>
      <c r="FK167" s="1366">
        <v>1</v>
      </c>
      <c r="FL167" s="1366">
        <v>0.27890259091963138</v>
      </c>
      <c r="FM167" s="1366">
        <v>0.72109740908036868</v>
      </c>
      <c r="FN167" s="1366">
        <v>1</v>
      </c>
      <c r="FO167" s="1366">
        <v>0.3881968611729576</v>
      </c>
      <c r="FP167" s="1366">
        <v>0.6118031388270424</v>
      </c>
      <c r="FQ167" s="1936">
        <v>971351</v>
      </c>
      <c r="FR167" s="1936">
        <v>0</v>
      </c>
      <c r="FS167" s="1936">
        <v>0</v>
      </c>
      <c r="FT167" s="1936">
        <v>7260</v>
      </c>
      <c r="FU167" s="1936">
        <v>43850</v>
      </c>
      <c r="FV167" s="1936">
        <v>3288</v>
      </c>
      <c r="FW167" s="1936">
        <v>569340</v>
      </c>
      <c r="FX167" s="1936">
        <v>1595089</v>
      </c>
      <c r="FY167" s="1936">
        <v>-189560</v>
      </c>
      <c r="FZ167" s="1366">
        <v>0.42281275640900079</v>
      </c>
      <c r="GA167" s="1366">
        <v>0</v>
      </c>
      <c r="GB167" s="1366">
        <v>0</v>
      </c>
      <c r="GC167" s="1366">
        <v>3.1601559184366371E-3</v>
      </c>
      <c r="GD167" s="1366">
        <v>1.9087167634083545E-2</v>
      </c>
      <c r="GE167" s="1366">
        <v>1.4312111101679975E-3</v>
      </c>
      <c r="GF167" s="1366">
        <v>0.24782412818219213</v>
      </c>
      <c r="GG167" s="1366">
        <v>0.69431541925388107</v>
      </c>
      <c r="GH167" s="1366">
        <v>-8.2512280426838697E-2</v>
      </c>
      <c r="GI167" s="1942">
        <v>2.1900220642654711</v>
      </c>
      <c r="GJ167" s="1943">
        <v>1</v>
      </c>
      <c r="GK167" s="1371">
        <v>0.03</v>
      </c>
      <c r="GL167" s="1943">
        <v>0</v>
      </c>
      <c r="GM167" s="1371">
        <v>0</v>
      </c>
      <c r="GN167" s="1943">
        <v>0</v>
      </c>
      <c r="GO167" s="1985">
        <f>IF(GN167=0,0,VLOOKUP(A167,'Area (&amp;golfacre for lookup)'!$G$2:$H$133,2,FALSE))</f>
        <v>0</v>
      </c>
      <c r="GP167" s="1943">
        <v>0</v>
      </c>
      <c r="GQ167" s="1943">
        <v>0</v>
      </c>
      <c r="GR167" s="1943">
        <v>0</v>
      </c>
      <c r="GS167" s="1943">
        <v>0</v>
      </c>
      <c r="GT167" s="1943">
        <v>0</v>
      </c>
      <c r="GU167" s="1943">
        <v>0</v>
      </c>
      <c r="GV167" s="1943">
        <v>0</v>
      </c>
      <c r="GW167" s="1943">
        <v>0</v>
      </c>
      <c r="GX167" s="1936">
        <v>0</v>
      </c>
      <c r="GY167" s="1985">
        <f t="shared" si="1319"/>
        <v>0</v>
      </c>
      <c r="GZ167" s="1936">
        <v>0</v>
      </c>
      <c r="HA167" s="1936">
        <v>0</v>
      </c>
      <c r="HB167" s="1936">
        <v>0</v>
      </c>
      <c r="HC167" s="1936">
        <v>0</v>
      </c>
      <c r="HD167" s="1936">
        <v>0</v>
      </c>
      <c r="HE167" s="1936">
        <v>0</v>
      </c>
      <c r="HF167" s="1936">
        <v>0</v>
      </c>
      <c r="HG167" s="1936">
        <v>54</v>
      </c>
      <c r="HH167" s="1988">
        <f>IF(HG167=0,0,VLOOKUP(A167,'Area (&amp;golfacre for lookup)'!$G$2:$H$134,2,FALSE))</f>
        <v>252</v>
      </c>
      <c r="HI167" s="1936">
        <v>152962</v>
      </c>
      <c r="HJ167" s="1936">
        <v>1362131</v>
      </c>
      <c r="HK167" s="1936">
        <v>347590</v>
      </c>
      <c r="HL167" s="1936">
        <v>1130352</v>
      </c>
      <c r="HM167" s="1936">
        <v>125890</v>
      </c>
      <c r="HN167" s="1936">
        <v>0</v>
      </c>
      <c r="HO167" s="1936">
        <v>409020</v>
      </c>
      <c r="HP167" s="1936">
        <v>3374983</v>
      </c>
      <c r="HQ167" s="1936">
        <v>62499.685185185182</v>
      </c>
      <c r="HR167" s="1988">
        <f t="shared" si="1320"/>
        <v>13392.789682539682</v>
      </c>
      <c r="HS167" s="1366">
        <v>0.40359640330040181</v>
      </c>
      <c r="HT167" s="1366">
        <v>0.10299014839482154</v>
      </c>
      <c r="HU167" s="1366">
        <v>0.3349207981195757</v>
      </c>
      <c r="HV167" s="1366">
        <v>3.7300928626899751E-2</v>
      </c>
      <c r="HW167" s="1366">
        <v>0</v>
      </c>
      <c r="HX167" s="1366">
        <v>0.12119172155830119</v>
      </c>
      <c r="HY167" s="1366">
        <v>1</v>
      </c>
      <c r="HZ167" s="51"/>
      <c r="IA167" s="59">
        <f t="shared" si="1322"/>
        <v>0</v>
      </c>
      <c r="IB167" s="59"/>
      <c r="IC167" s="815">
        <f t="shared" si="1323"/>
        <v>1</v>
      </c>
      <c r="ID167" s="815"/>
      <c r="IE167" s="284">
        <f t="shared" si="1324"/>
        <v>0</v>
      </c>
      <c r="IF167" s="284"/>
      <c r="IG167" s="284">
        <f t="shared" si="1325"/>
        <v>5659.026361529548</v>
      </c>
      <c r="IH167" s="284"/>
      <c r="II167" s="1288">
        <f t="shared" si="1326"/>
        <v>1.4100662334992562</v>
      </c>
      <c r="IJ167" s="1288">
        <f t="shared" si="1327"/>
        <v>0</v>
      </c>
      <c r="IK167" s="284">
        <f t="shared" si="1328"/>
        <v>1</v>
      </c>
      <c r="IL167" s="284">
        <f t="shared" si="1329"/>
        <v>0</v>
      </c>
      <c r="IM167" s="284">
        <f t="shared" si="1330"/>
        <v>0</v>
      </c>
      <c r="IN167" s="284">
        <f t="shared" si="1331"/>
        <v>0</v>
      </c>
      <c r="IO167" s="753">
        <f t="shared" si="1332"/>
        <v>-54.913093858632678</v>
      </c>
      <c r="IP167" s="113">
        <f t="shared" si="1333"/>
        <v>-54.913093858632678</v>
      </c>
      <c r="IQ167" s="30">
        <f t="shared" si="1334"/>
        <v>-2.2431819386696354E-2</v>
      </c>
      <c r="IR167" s="438">
        <f t="shared" si="1335"/>
        <v>1577186</v>
      </c>
      <c r="IS167" s="438">
        <f t="shared" si="1336"/>
        <v>720169</v>
      </c>
      <c r="IT167" s="438">
        <f t="shared" si="1337"/>
        <v>971351</v>
      </c>
      <c r="IU167" s="438">
        <f t="shared" si="1338"/>
        <v>7260</v>
      </c>
      <c r="IV167" s="438">
        <f t="shared" si="1339"/>
        <v>891826</v>
      </c>
      <c r="IW167" s="438">
        <f t="shared" si="1340"/>
        <v>616478</v>
      </c>
      <c r="IX167" s="285">
        <f t="shared" si="1341"/>
        <v>0.68652254440432581</v>
      </c>
      <c r="IY167" s="285">
        <f t="shared" si="1342"/>
        <v>0.31347745559567414</v>
      </c>
      <c r="IZ167" s="285">
        <f t="shared" si="1343"/>
        <v>0.42281275640900079</v>
      </c>
      <c r="JA167" s="285">
        <f t="shared" si="1344"/>
        <v>3.1601559184366371E-3</v>
      </c>
      <c r="JB167" s="285">
        <f t="shared" si="1345"/>
        <v>0.3881968611729576</v>
      </c>
      <c r="JC167" s="285">
        <f t="shared" si="1346"/>
        <v>0.26834250692644368</v>
      </c>
      <c r="JD167" s="60">
        <f t="shared" si="1347"/>
        <v>8450496</v>
      </c>
      <c r="JE167" s="60">
        <f t="shared" si="1348"/>
        <v>2818457</v>
      </c>
      <c r="JF167" s="60">
        <f t="shared" si="1349"/>
        <v>0</v>
      </c>
      <c r="JG167" s="60">
        <f t="shared" si="1350"/>
        <v>479415</v>
      </c>
      <c r="JH167" s="284">
        <f t="shared" si="1351"/>
        <v>1</v>
      </c>
      <c r="JI167" s="284">
        <f t="shared" si="1352"/>
        <v>1</v>
      </c>
      <c r="JJ167" s="560">
        <f t="shared" si="1353"/>
        <v>0.83763219257756272</v>
      </c>
      <c r="JK167" s="561">
        <f t="shared" si="1354"/>
        <v>0.32653476469758169</v>
      </c>
      <c r="JL167" s="561">
        <f t="shared" si="1355"/>
        <v>6.220774703125008E-2</v>
      </c>
      <c r="JM167" s="561">
        <f t="shared" si="1356"/>
        <v>2.1999960519669959E-2</v>
      </c>
      <c r="JN167" s="561">
        <f t="shared" si="1357"/>
        <v>0.53829483896524422</v>
      </c>
      <c r="JO167" s="561">
        <f t="shared" si="1358"/>
        <v>1.278088493555464E-3</v>
      </c>
      <c r="JP167" s="561">
        <f t="shared" si="1359"/>
        <v>3.2162657843719696E-2</v>
      </c>
      <c r="JQ167" s="561">
        <f t="shared" si="1360"/>
        <v>0.98247805755102124</v>
      </c>
      <c r="JR167" s="61">
        <f t="shared" si="1361"/>
        <v>0</v>
      </c>
      <c r="JS167" s="61">
        <f t="shared" si="1362"/>
        <v>0</v>
      </c>
      <c r="JT167" s="61">
        <f t="shared" si="1363"/>
        <v>0</v>
      </c>
      <c r="JU167" s="61">
        <f t="shared" si="1364"/>
        <v>0</v>
      </c>
      <c r="JV167" s="61">
        <f t="shared" si="1365"/>
        <v>0</v>
      </c>
      <c r="JW167" s="61">
        <f t="shared" si="1366"/>
        <v>0</v>
      </c>
      <c r="JX167" s="61">
        <f t="shared" si="1367"/>
        <v>0</v>
      </c>
      <c r="JY167" s="394">
        <f t="shared" si="1368"/>
        <v>0</v>
      </c>
      <c r="JZ167" s="61">
        <f t="shared" si="1369"/>
        <v>25224.64814814815</v>
      </c>
      <c r="KA167" s="61">
        <f t="shared" si="1370"/>
        <v>6436.8518518518522</v>
      </c>
      <c r="KB167" s="61">
        <f t="shared" si="1371"/>
        <v>20932.444444444445</v>
      </c>
      <c r="KC167" s="61">
        <f t="shared" si="1372"/>
        <v>2331.2962962962961</v>
      </c>
      <c r="KD167" s="61">
        <f t="shared" si="1373"/>
        <v>0</v>
      </c>
      <c r="KE167" s="61">
        <f t="shared" si="1374"/>
        <v>7574.4444444444443</v>
      </c>
      <c r="KF167" s="61">
        <f t="shared" si="1375"/>
        <v>51000</v>
      </c>
      <c r="KG167" s="61">
        <f t="shared" si="1376"/>
        <v>168</v>
      </c>
      <c r="KH167" s="61">
        <f t="shared" si="1377"/>
        <v>22.064192413802122</v>
      </c>
      <c r="KI167" s="394">
        <f t="shared" si="1378"/>
        <v>0.23961448781098035</v>
      </c>
      <c r="KJ167" s="438">
        <f t="shared" si="1379"/>
        <v>54</v>
      </c>
      <c r="KK167" s="438">
        <f t="shared" si="1380"/>
        <v>152962</v>
      </c>
      <c r="KL167" s="438">
        <f t="shared" si="1381"/>
        <v>252</v>
      </c>
      <c r="KM167" s="438">
        <f t="shared" si="1382"/>
        <v>62499.685185185182</v>
      </c>
      <c r="KN167" s="438">
        <f t="shared" si="1383"/>
        <v>22.064192413802122</v>
      </c>
      <c r="KO167" s="438">
        <f t="shared" si="1384"/>
        <v>13392.789682539682</v>
      </c>
      <c r="KP167" s="438">
        <f t="shared" si="1385"/>
        <v>1362131</v>
      </c>
      <c r="KQ167" s="438">
        <f t="shared" si="1386"/>
        <v>347590</v>
      </c>
      <c r="KR167" s="438">
        <f t="shared" si="1387"/>
        <v>1130352</v>
      </c>
      <c r="KS167" s="438">
        <f t="shared" si="1388"/>
        <v>125890</v>
      </c>
      <c r="KT167" s="438">
        <f t="shared" si="1389"/>
        <v>0</v>
      </c>
      <c r="KU167" s="438">
        <f t="shared" si="1390"/>
        <v>409020</v>
      </c>
      <c r="KV167" s="420">
        <f t="shared" si="1391"/>
        <v>0.23961448781098035</v>
      </c>
      <c r="KW167" s="420">
        <f t="shared" si="1392"/>
        <v>-0.35098093650360879</v>
      </c>
      <c r="KX167" s="108"/>
      <c r="KY167" s="282">
        <f t="shared" si="1393"/>
        <v>0</v>
      </c>
      <c r="KZ167" s="282"/>
      <c r="LA167" s="282">
        <f t="shared" si="1394"/>
        <v>0</v>
      </c>
      <c r="LB167" s="282"/>
      <c r="LC167" s="286">
        <f t="shared" si="1321"/>
        <v>0</v>
      </c>
      <c r="LD167" s="286"/>
      <c r="LE167" s="282">
        <f t="shared" si="1395"/>
        <v>0</v>
      </c>
      <c r="LF167" s="282"/>
      <c r="LG167" s="282">
        <f t="shared" si="1396"/>
        <v>0</v>
      </c>
      <c r="LH167" s="282">
        <f t="shared" si="1397"/>
        <v>0</v>
      </c>
      <c r="LI167" s="282">
        <f t="shared" si="1398"/>
        <v>0</v>
      </c>
      <c r="LJ167" s="282">
        <f t="shared" si="1399"/>
        <v>0</v>
      </c>
      <c r="LK167" s="282"/>
      <c r="LL167" s="282">
        <f t="shared" si="1400"/>
        <v>0</v>
      </c>
      <c r="LM167" s="282">
        <f t="shared" si="1401"/>
        <v>0</v>
      </c>
      <c r="LN167" s="282">
        <f t="shared" si="1402"/>
        <v>0</v>
      </c>
      <c r="LO167" s="282">
        <f t="shared" si="1403"/>
        <v>0</v>
      </c>
      <c r="LP167" s="286">
        <f t="shared" si="1404"/>
        <v>0</v>
      </c>
      <c r="LQ167" s="282">
        <f t="shared" si="1405"/>
        <v>0</v>
      </c>
      <c r="LR167" s="282">
        <f t="shared" si="1406"/>
        <v>0</v>
      </c>
      <c r="LS167" s="282">
        <f t="shared" si="1407"/>
        <v>0</v>
      </c>
      <c r="LT167" s="286">
        <f t="shared" si="1408"/>
        <v>0</v>
      </c>
      <c r="LU167" s="286">
        <f t="shared" si="1409"/>
        <v>0</v>
      </c>
      <c r="LV167" s="286">
        <f t="shared" si="1410"/>
        <v>0</v>
      </c>
      <c r="LW167" s="286">
        <f t="shared" si="1411"/>
        <v>0</v>
      </c>
      <c r="LX167" s="286">
        <f t="shared" si="1412"/>
        <v>0</v>
      </c>
      <c r="LY167" s="286">
        <f t="shared" si="1413"/>
        <v>0</v>
      </c>
      <c r="LZ167" s="286">
        <f t="shared" si="1414"/>
        <v>0</v>
      </c>
      <c r="MA167" s="286">
        <f t="shared" si="1415"/>
        <v>0</v>
      </c>
      <c r="MB167" s="286">
        <f t="shared" si="1416"/>
        <v>0</v>
      </c>
      <c r="MC167" s="286">
        <f t="shared" si="1417"/>
        <v>0</v>
      </c>
      <c r="MD167" s="286">
        <f t="shared" si="1418"/>
        <v>0</v>
      </c>
      <c r="ME167" s="286">
        <f t="shared" si="1419"/>
        <v>0</v>
      </c>
      <c r="MF167" s="286">
        <f t="shared" si="1420"/>
        <v>0</v>
      </c>
      <c r="MG167" s="286">
        <f t="shared" si="1421"/>
        <v>0</v>
      </c>
      <c r="MH167" s="286">
        <f t="shared" si="1422"/>
        <v>0</v>
      </c>
      <c r="MI167" s="286">
        <f t="shared" si="1423"/>
        <v>0</v>
      </c>
      <c r="MJ167" s="286">
        <f t="shared" si="1424"/>
        <v>0</v>
      </c>
      <c r="MK167" s="286">
        <f t="shared" si="1425"/>
        <v>0</v>
      </c>
      <c r="ML167" s="282">
        <f t="shared" si="1426"/>
        <v>0</v>
      </c>
      <c r="MM167" s="1232">
        <f t="shared" si="1427"/>
        <v>0</v>
      </c>
      <c r="MN167" s="1232">
        <f t="shared" si="1428"/>
        <v>0</v>
      </c>
      <c r="MO167" s="1232">
        <f t="shared" si="1429"/>
        <v>0</v>
      </c>
      <c r="MP167" s="1232">
        <f t="shared" si="1430"/>
        <v>0</v>
      </c>
      <c r="MQ167" s="282">
        <f t="shared" si="1431"/>
        <v>0</v>
      </c>
      <c r="MR167" s="282">
        <f t="shared" si="1432"/>
        <v>0</v>
      </c>
      <c r="MS167" s="282">
        <f t="shared" si="1433"/>
        <v>0</v>
      </c>
      <c r="MT167" s="282">
        <f t="shared" si="1434"/>
        <v>0</v>
      </c>
      <c r="MU167" s="282">
        <f t="shared" si="1435"/>
        <v>0</v>
      </c>
      <c r="MV167" s="282">
        <f t="shared" si="1436"/>
        <v>0</v>
      </c>
      <c r="MW167" s="282">
        <f t="shared" si="1437"/>
        <v>0</v>
      </c>
      <c r="MX167" s="282">
        <f t="shared" si="1438"/>
        <v>0</v>
      </c>
      <c r="MY167" s="282">
        <f t="shared" si="1439"/>
        <v>0</v>
      </c>
      <c r="MZ167" s="282">
        <f t="shared" si="1440"/>
        <v>0</v>
      </c>
      <c r="NA167" s="282">
        <f t="shared" si="1441"/>
        <v>0</v>
      </c>
      <c r="NB167" s="282">
        <f t="shared" si="1442"/>
        <v>0</v>
      </c>
      <c r="NC167" s="282">
        <f t="shared" si="1443"/>
        <v>0</v>
      </c>
      <c r="ND167" s="282">
        <f t="shared" si="1444"/>
        <v>0</v>
      </c>
      <c r="NE167" s="282">
        <f t="shared" si="1445"/>
        <v>0</v>
      </c>
      <c r="NF167" s="282">
        <f t="shared" si="1446"/>
        <v>0</v>
      </c>
      <c r="NG167" s="282">
        <f t="shared" si="1447"/>
        <v>0</v>
      </c>
      <c r="NH167" s="282">
        <f t="shared" si="1448"/>
        <v>0</v>
      </c>
      <c r="NI167" s="282">
        <f t="shared" si="1449"/>
        <v>0</v>
      </c>
      <c r="NJ167" s="282">
        <f t="shared" si="1450"/>
        <v>0</v>
      </c>
      <c r="NK167" s="282">
        <f t="shared" si="1451"/>
        <v>0</v>
      </c>
      <c r="NL167" s="282">
        <f t="shared" si="1452"/>
        <v>0</v>
      </c>
      <c r="NM167" s="1205">
        <f t="shared" si="1453"/>
        <v>0</v>
      </c>
      <c r="NN167" s="282">
        <f t="shared" si="1454"/>
        <v>0</v>
      </c>
      <c r="NO167" s="282">
        <f t="shared" si="1455"/>
        <v>0</v>
      </c>
      <c r="NP167" s="282">
        <f t="shared" si="1456"/>
        <v>0</v>
      </c>
      <c r="NQ167" s="282">
        <f t="shared" si="1457"/>
        <v>0</v>
      </c>
      <c r="NR167" s="282">
        <f t="shared" si="1458"/>
        <v>0</v>
      </c>
      <c r="NS167" s="282">
        <f t="shared" si="1459"/>
        <v>0</v>
      </c>
      <c r="NT167" s="282">
        <f t="shared" si="1460"/>
        <v>0</v>
      </c>
      <c r="NU167" s="282">
        <f t="shared" si="1461"/>
        <v>0</v>
      </c>
      <c r="NV167" s="286">
        <f t="shared" si="1462"/>
        <v>0</v>
      </c>
      <c r="NW167" s="286">
        <f t="shared" si="1463"/>
        <v>0</v>
      </c>
      <c r="NX167" s="286">
        <f t="shared" si="1464"/>
        <v>0</v>
      </c>
      <c r="NY167" s="286">
        <f t="shared" si="1465"/>
        <v>0</v>
      </c>
      <c r="NZ167" s="286">
        <f t="shared" si="1466"/>
        <v>0</v>
      </c>
      <c r="OA167" s="286">
        <f t="shared" si="1467"/>
        <v>0</v>
      </c>
      <c r="OB167" s="286">
        <f t="shared" si="1468"/>
        <v>0</v>
      </c>
      <c r="OC167" s="286">
        <f t="shared" si="1469"/>
        <v>0</v>
      </c>
      <c r="OD167" s="286">
        <f t="shared" si="1470"/>
        <v>0</v>
      </c>
      <c r="OE167" s="282">
        <f t="shared" si="1471"/>
        <v>0</v>
      </c>
      <c r="OF167" s="282">
        <f t="shared" si="1472"/>
        <v>0</v>
      </c>
      <c r="OG167" s="286">
        <f t="shared" si="1473"/>
        <v>0</v>
      </c>
      <c r="OH167" s="286">
        <f t="shared" si="1474"/>
        <v>0</v>
      </c>
      <c r="OI167" s="286">
        <f t="shared" si="1475"/>
        <v>0</v>
      </c>
      <c r="OJ167" s="286">
        <f t="shared" si="1476"/>
        <v>0</v>
      </c>
      <c r="OK167" s="286">
        <f t="shared" si="1477"/>
        <v>0</v>
      </c>
      <c r="OL167" s="286">
        <f t="shared" si="1478"/>
        <v>0</v>
      </c>
      <c r="OM167" s="286">
        <f t="shared" si="1479"/>
        <v>0</v>
      </c>
      <c r="ON167" s="286">
        <f t="shared" si="1480"/>
        <v>0</v>
      </c>
      <c r="OO167" s="286">
        <f t="shared" si="1481"/>
        <v>0</v>
      </c>
      <c r="OP167" s="434">
        <f t="shared" si="1482"/>
        <v>0</v>
      </c>
      <c r="OQ167" s="434">
        <f t="shared" si="1483"/>
        <v>0</v>
      </c>
      <c r="OR167" s="282">
        <f t="shared" si="1484"/>
        <v>0</v>
      </c>
      <c r="OS167" s="282">
        <f t="shared" si="1485"/>
        <v>0</v>
      </c>
      <c r="OT167" s="282">
        <f t="shared" si="1486"/>
        <v>0</v>
      </c>
      <c r="OU167" s="282">
        <f t="shared" si="1487"/>
        <v>0</v>
      </c>
      <c r="OV167" s="282">
        <f t="shared" si="1488"/>
        <v>0</v>
      </c>
      <c r="OW167" s="286">
        <f t="shared" si="1489"/>
        <v>0</v>
      </c>
      <c r="OX167" s="286">
        <f t="shared" si="1490"/>
        <v>0</v>
      </c>
      <c r="OY167" s="286">
        <f t="shared" si="1491"/>
        <v>0</v>
      </c>
      <c r="OZ167" s="286">
        <f t="shared" si="1492"/>
        <v>0</v>
      </c>
      <c r="PA167" s="286">
        <f t="shared" si="1493"/>
        <v>0</v>
      </c>
      <c r="PB167" s="286">
        <f t="shared" si="1494"/>
        <v>0</v>
      </c>
      <c r="PC167" s="286">
        <f t="shared" si="1495"/>
        <v>0</v>
      </c>
      <c r="PD167" s="282">
        <f t="shared" si="1496"/>
        <v>0</v>
      </c>
      <c r="PE167" s="282">
        <f t="shared" si="1497"/>
        <v>0</v>
      </c>
      <c r="PF167" s="286">
        <f t="shared" si="1498"/>
        <v>0</v>
      </c>
      <c r="PG167" s="286">
        <f t="shared" si="1499"/>
        <v>0</v>
      </c>
      <c r="PH167" s="286">
        <f t="shared" si="1500"/>
        <v>0</v>
      </c>
      <c r="PI167" s="286">
        <f t="shared" si="1501"/>
        <v>0</v>
      </c>
      <c r="PJ167" s="286">
        <f t="shared" si="1502"/>
        <v>0</v>
      </c>
      <c r="PK167" s="286">
        <f t="shared" si="1503"/>
        <v>0</v>
      </c>
      <c r="PL167" s="286">
        <f t="shared" si="1504"/>
        <v>0</v>
      </c>
      <c r="PM167" s="562">
        <v>111</v>
      </c>
    </row>
    <row r="168" spans="1:429" s="289" customFormat="1" ht="15.75" customHeight="1">
      <c r="A168" s="1050" t="s">
        <v>721</v>
      </c>
      <c r="B168" s="1040" t="str">
        <f>VLOOKUP(A168,'Area (&amp;golfacre for lookup)'!$A$2:$B$162,2,FALSE)</f>
        <v>SW CIRA</v>
      </c>
      <c r="C168" s="1936"/>
      <c r="D168" s="1937">
        <v>44926</v>
      </c>
      <c r="E168" s="402"/>
      <c r="F168" s="1936">
        <v>0</v>
      </c>
      <c r="G168" s="1936">
        <v>1</v>
      </c>
      <c r="H168" s="1936">
        <v>800</v>
      </c>
      <c r="I168" s="1936">
        <v>0</v>
      </c>
      <c r="J168" s="1936">
        <v>800</v>
      </c>
      <c r="K168" s="1938">
        <v>813.04861111111109</v>
      </c>
      <c r="L168" s="1939" t="s">
        <v>1208</v>
      </c>
      <c r="M168" s="1939" t="s">
        <v>1208</v>
      </c>
      <c r="N168" s="1939" t="s">
        <v>1208</v>
      </c>
      <c r="O168" s="1939" t="s">
        <v>1208</v>
      </c>
      <c r="P168" s="1939" t="s">
        <v>1208</v>
      </c>
      <c r="Q168" s="1936">
        <v>0</v>
      </c>
      <c r="R168" s="1979">
        <v>7500</v>
      </c>
      <c r="S168" s="1979">
        <v>7500</v>
      </c>
      <c r="T168" s="1939" t="s">
        <v>1208</v>
      </c>
      <c r="U168" s="1939" t="s">
        <v>1208</v>
      </c>
      <c r="V168" s="1939" t="s">
        <v>1208</v>
      </c>
      <c r="W168" s="1936">
        <v>9013</v>
      </c>
      <c r="X168" s="1936">
        <v>7920</v>
      </c>
      <c r="Y168" s="1939" t="s">
        <v>1208</v>
      </c>
      <c r="Z168" s="1939" t="s">
        <v>1208</v>
      </c>
      <c r="AA168" s="1936">
        <v>1093</v>
      </c>
      <c r="AB168" s="1362">
        <v>0.13800505050505049</v>
      </c>
      <c r="AC168" s="1939" t="s">
        <v>1208</v>
      </c>
      <c r="AD168" s="1363" t="s">
        <v>1208</v>
      </c>
      <c r="AE168" s="1936">
        <v>1</v>
      </c>
      <c r="AF168" s="1936">
        <v>1678.32</v>
      </c>
      <c r="AG168" s="1939" t="s">
        <v>1208</v>
      </c>
      <c r="AH168" s="1936">
        <v>0</v>
      </c>
      <c r="AI168" s="1936">
        <v>0</v>
      </c>
      <c r="AJ168" s="1939" t="s">
        <v>1208</v>
      </c>
      <c r="AK168" s="1938">
        <v>0</v>
      </c>
      <c r="AL168" s="1938">
        <v>0</v>
      </c>
      <c r="AM168" s="1936">
        <v>9598.32</v>
      </c>
      <c r="AN168" s="1939" t="s">
        <v>1208</v>
      </c>
      <c r="AO168" s="1936">
        <v>1000</v>
      </c>
      <c r="AP168" s="1936">
        <v>0</v>
      </c>
      <c r="AQ168" s="1936">
        <v>10598.32</v>
      </c>
      <c r="AR168" s="1939" t="s">
        <v>1208</v>
      </c>
      <c r="AS168" s="1363" t="s">
        <v>1208</v>
      </c>
      <c r="AT168" s="1363" t="s">
        <v>1208</v>
      </c>
      <c r="AU168" s="1363" t="s">
        <v>1208</v>
      </c>
      <c r="AV168" s="1363" t="s">
        <v>1208</v>
      </c>
      <c r="AW168" s="1363" t="s">
        <v>1291</v>
      </c>
      <c r="AX168" s="1938">
        <v>0</v>
      </c>
      <c r="AY168" s="1938">
        <v>0</v>
      </c>
      <c r="AZ168" s="1938">
        <v>0</v>
      </c>
      <c r="BA168" s="1938">
        <v>0</v>
      </c>
      <c r="BB168" s="1938">
        <v>0</v>
      </c>
      <c r="BC168" s="1938">
        <v>0</v>
      </c>
      <c r="BD168" s="1938">
        <v>0</v>
      </c>
      <c r="BE168" s="1936">
        <v>1</v>
      </c>
      <c r="BF168" s="1936">
        <v>5500000</v>
      </c>
      <c r="BG168" s="1936">
        <v>1155000</v>
      </c>
      <c r="BH168" s="1936">
        <v>6655000</v>
      </c>
      <c r="BI168" s="1938">
        <v>17294617</v>
      </c>
      <c r="BJ168" s="1936">
        <v>1482037</v>
      </c>
      <c r="BK168" s="1936">
        <v>1226836</v>
      </c>
      <c r="BL168" s="1362">
        <v>1.2080155782843021</v>
      </c>
      <c r="BM168" s="1936">
        <v>0</v>
      </c>
      <c r="BN168" s="1936">
        <v>0</v>
      </c>
      <c r="BO168" s="1363" t="s">
        <v>1208</v>
      </c>
      <c r="BP168" s="1938">
        <v>4843567</v>
      </c>
      <c r="BQ168" s="1938">
        <v>5384034</v>
      </c>
      <c r="BR168" s="1940">
        <v>0.89961671861656145</v>
      </c>
      <c r="BS168" s="1409">
        <v>0</v>
      </c>
      <c r="BT168" s="1938">
        <v>5384034</v>
      </c>
      <c r="BU168" s="1938">
        <v>22470039</v>
      </c>
      <c r="BV168" s="1940">
        <v>0.23960946396221208</v>
      </c>
      <c r="BW168" s="1936">
        <v>0</v>
      </c>
      <c r="BX168" s="1936">
        <v>1822.8147490156221</v>
      </c>
      <c r="BY168" s="1936">
        <v>8185.2424431366853</v>
      </c>
      <c r="BZ168" s="1936">
        <v>1597400</v>
      </c>
      <c r="CA168" s="1936">
        <v>22457</v>
      </c>
      <c r="CB168" s="1936">
        <v>375874</v>
      </c>
      <c r="CC168" s="1936">
        <v>27275</v>
      </c>
      <c r="CD168" s="1936">
        <v>6439345</v>
      </c>
      <c r="CE168" s="1936">
        <v>0</v>
      </c>
      <c r="CF168" s="1936">
        <v>0</v>
      </c>
      <c r="CG168" s="1936">
        <v>1347194</v>
      </c>
      <c r="CH168" s="1936">
        <v>639964</v>
      </c>
      <c r="CI168" s="1936">
        <v>143861</v>
      </c>
      <c r="CJ168" s="1936">
        <v>10593370</v>
      </c>
      <c r="CK168" s="1366">
        <v>0.15079242960455455</v>
      </c>
      <c r="CL168" s="1366">
        <v>2.1199108498995128E-3</v>
      </c>
      <c r="CM168" s="1366">
        <v>3.5482004310243107E-2</v>
      </c>
      <c r="CN168" s="1366">
        <v>2.5747236243046359E-3</v>
      </c>
      <c r="CO168" s="1366">
        <v>0.60786558007508473</v>
      </c>
      <c r="CP168" s="1366">
        <v>0</v>
      </c>
      <c r="CQ168" s="1366">
        <v>0</v>
      </c>
      <c r="CR168" s="1366">
        <v>0.12717331689537889</v>
      </c>
      <c r="CS168" s="1366">
        <v>6.04117481028228E-2</v>
      </c>
      <c r="CT168" s="1366">
        <v>1.3580286537711796E-2</v>
      </c>
      <c r="CU168" s="1366">
        <v>1</v>
      </c>
      <c r="CV168" s="1936">
        <v>5354186</v>
      </c>
      <c r="CW168" s="1936">
        <v>862226</v>
      </c>
      <c r="CX168" s="1936">
        <v>272575</v>
      </c>
      <c r="CY168" s="1936">
        <v>4159859</v>
      </c>
      <c r="CZ168" s="1936">
        <v>16470</v>
      </c>
      <c r="DA168" s="1936">
        <v>261529</v>
      </c>
      <c r="DB168" s="1936">
        <v>10926845</v>
      </c>
      <c r="DC168" s="1366">
        <v>0.49000292399132594</v>
      </c>
      <c r="DD168" s="1366">
        <v>7.8908962285087786E-2</v>
      </c>
      <c r="DE168" s="1366">
        <v>2.4945443995956745E-2</v>
      </c>
      <c r="DF168" s="1366">
        <v>0.38070083358920165</v>
      </c>
      <c r="DG168" s="1366">
        <v>1.507296937039008E-3</v>
      </c>
      <c r="DH168" s="1366">
        <v>2.3934539201388872E-2</v>
      </c>
      <c r="DI168" s="1366">
        <v>1</v>
      </c>
      <c r="DJ168" s="1936">
        <v>-333475</v>
      </c>
      <c r="DK168" s="1936">
        <v>1964.7041741046644</v>
      </c>
      <c r="DL168" s="1936">
        <v>27.620734717583854</v>
      </c>
      <c r="DM168" s="1936">
        <v>462.30200121285628</v>
      </c>
      <c r="DN168" s="1936">
        <v>33.546579659887769</v>
      </c>
      <c r="DO168" s="1936">
        <v>7920</v>
      </c>
      <c r="DP168" s="1936">
        <v>0</v>
      </c>
      <c r="DQ168" s="1936">
        <v>0</v>
      </c>
      <c r="DR168" s="1936">
        <v>1656.9661168954296</v>
      </c>
      <c r="DS168" s="1936">
        <v>787.11652815620221</v>
      </c>
      <c r="DT168" s="1936">
        <v>176.94021985155322</v>
      </c>
      <c r="DU168" s="1936">
        <v>13029.196354598178</v>
      </c>
      <c r="DV168" s="1936">
        <v>6585.3208858975568</v>
      </c>
      <c r="DW168" s="1936">
        <v>1060.485176675578</v>
      </c>
      <c r="DX168" s="1936">
        <v>335.25055731600031</v>
      </c>
      <c r="DY168" s="1936">
        <v>5116.3718173199295</v>
      </c>
      <c r="DZ168" s="1936">
        <v>20.257091365659086</v>
      </c>
      <c r="EA168" s="1936">
        <v>321.6646537807805</v>
      </c>
      <c r="EB168" s="1936">
        <v>13439.350182355503</v>
      </c>
      <c r="EC168" s="1936">
        <v>-410.15382775732627</v>
      </c>
      <c r="ED168" s="1941">
        <v>115</v>
      </c>
      <c r="EE168" s="1936">
        <v>1</v>
      </c>
      <c r="EF168" s="1936">
        <v>24</v>
      </c>
      <c r="EG168" s="1938">
        <v>56000</v>
      </c>
      <c r="EH168" s="1938">
        <v>1</v>
      </c>
      <c r="EI168" s="1368">
        <v>0.05</v>
      </c>
      <c r="EJ168" s="1936">
        <v>7.0699879227053142</v>
      </c>
      <c r="EK168" s="1936">
        <v>1</v>
      </c>
      <c r="EL168" s="1936">
        <v>1000</v>
      </c>
      <c r="EM168" s="1936">
        <v>1</v>
      </c>
      <c r="EN168" s="1362">
        <v>0.2</v>
      </c>
      <c r="EO168" s="1936">
        <v>0</v>
      </c>
      <c r="EP168" s="1936">
        <v>0</v>
      </c>
      <c r="EQ168" s="1936">
        <v>0</v>
      </c>
      <c r="ER168" s="1938">
        <v>0</v>
      </c>
      <c r="ES168" s="1936">
        <v>2444.082645051632</v>
      </c>
      <c r="ET168" s="1936">
        <v>-1701.804764304444</v>
      </c>
      <c r="EU168" s="1938">
        <v>2</v>
      </c>
      <c r="EV168" s="1936">
        <v>70000</v>
      </c>
      <c r="EW168" s="1936">
        <v>2400</v>
      </c>
      <c r="EX168" s="1938">
        <v>2</v>
      </c>
      <c r="EY168" s="1936">
        <v>1347194</v>
      </c>
      <c r="EZ168" s="1936">
        <v>669081</v>
      </c>
      <c r="FA168" s="1936">
        <v>678113</v>
      </c>
      <c r="FB168" s="1936">
        <v>639964</v>
      </c>
      <c r="FC168" s="1936">
        <v>193145</v>
      </c>
      <c r="FD168" s="1936">
        <v>446819</v>
      </c>
      <c r="FE168" s="1936">
        <v>1987158</v>
      </c>
      <c r="FF168" s="1936">
        <v>862226</v>
      </c>
      <c r="FG168" s="1936">
        <v>1124932</v>
      </c>
      <c r="FH168" s="1366">
        <v>1</v>
      </c>
      <c r="FI168" s="1366">
        <v>0.49664784730335793</v>
      </c>
      <c r="FJ168" s="1366">
        <v>0.50335215269664202</v>
      </c>
      <c r="FK168" s="1366">
        <v>1</v>
      </c>
      <c r="FL168" s="1366">
        <v>0.30180603908969877</v>
      </c>
      <c r="FM168" s="1366">
        <v>0.69819396091030117</v>
      </c>
      <c r="FN168" s="1366">
        <v>1</v>
      </c>
      <c r="FO168" s="1366">
        <v>0.43389906590215777</v>
      </c>
      <c r="FP168" s="1366">
        <v>0.56610093409784223</v>
      </c>
      <c r="FQ168" s="1936">
        <v>1658413</v>
      </c>
      <c r="FR168" s="1936">
        <v>0</v>
      </c>
      <c r="FS168" s="1936">
        <v>355503</v>
      </c>
      <c r="FT168" s="1936">
        <v>48240</v>
      </c>
      <c r="FU168" s="1936">
        <v>35635</v>
      </c>
      <c r="FV168" s="1936">
        <v>14173</v>
      </c>
      <c r="FW168" s="1936">
        <v>396618</v>
      </c>
      <c r="FX168" s="1936">
        <v>2508582</v>
      </c>
      <c r="FY168" s="1936">
        <v>-1383650</v>
      </c>
      <c r="FZ168" s="1366">
        <v>0.8345652434280515</v>
      </c>
      <c r="GA168" s="1366">
        <v>0</v>
      </c>
      <c r="GB168" s="1366">
        <v>0.17890021830171532</v>
      </c>
      <c r="GC168" s="1366">
        <v>2.4275875395917183E-2</v>
      </c>
      <c r="GD168" s="1366">
        <v>1.7932645516863781E-2</v>
      </c>
      <c r="GE168" s="1366">
        <v>7.132296475670279E-3</v>
      </c>
      <c r="GF168" s="1366">
        <v>0.19959057105675543</v>
      </c>
      <c r="GG168" s="1366">
        <v>1.2623968501749736</v>
      </c>
      <c r="GH168" s="1366">
        <v>-0.69629591607713126</v>
      </c>
      <c r="GI168" s="1942">
        <v>2.105109037383353</v>
      </c>
      <c r="GJ168" s="1943">
        <v>1</v>
      </c>
      <c r="GK168" s="1371">
        <v>0.12</v>
      </c>
      <c r="GL168" s="1943">
        <v>1</v>
      </c>
      <c r="GM168" s="1371">
        <v>0.12</v>
      </c>
      <c r="GN168" s="1943">
        <v>18</v>
      </c>
      <c r="GO168" s="1985">
        <f>IF(GN168=0,0,VLOOKUP(A168,'Area (&amp;golfacre for lookup)'!$G$2:$H$133,2,FALSE))</f>
        <v>100</v>
      </c>
      <c r="GP168" s="1943">
        <v>49466</v>
      </c>
      <c r="GQ168" s="1943">
        <v>795614</v>
      </c>
      <c r="GR168" s="1943">
        <v>189552</v>
      </c>
      <c r="GS168" s="1943">
        <v>592151</v>
      </c>
      <c r="GT168" s="1943">
        <v>195784</v>
      </c>
      <c r="GU168" s="1943">
        <v>215759</v>
      </c>
      <c r="GV168" s="1943">
        <v>109720</v>
      </c>
      <c r="GW168" s="1943">
        <v>2098580</v>
      </c>
      <c r="GX168" s="1943">
        <v>116587.77777777778</v>
      </c>
      <c r="GY168" s="1985">
        <f t="shared" si="1319"/>
        <v>20985.8</v>
      </c>
      <c r="GZ168" s="1366">
        <v>0.37912016697004641</v>
      </c>
      <c r="HA168" s="1366">
        <v>9.0323933326344474E-2</v>
      </c>
      <c r="HB168" s="1366">
        <v>0.28216746561960943</v>
      </c>
      <c r="HC168" s="1366">
        <v>9.3293560407513645E-2</v>
      </c>
      <c r="HD168" s="1366">
        <v>0.10281190138093377</v>
      </c>
      <c r="HE168" s="1366">
        <v>5.2282972295552232E-2</v>
      </c>
      <c r="HF168" s="1366">
        <v>1</v>
      </c>
      <c r="HG168" s="1936">
        <v>0</v>
      </c>
      <c r="HH168" s="1988">
        <f>IF(HG168=0,0,VLOOKUP(A168,'Area (&amp;golfacre for lookup)'!$G$2:$H$134,2,FALSE))</f>
        <v>0</v>
      </c>
      <c r="HI168" s="1936">
        <v>0</v>
      </c>
      <c r="HJ168" s="1936">
        <v>0</v>
      </c>
      <c r="HK168" s="1936">
        <v>0</v>
      </c>
      <c r="HL168" s="1936">
        <v>0</v>
      </c>
      <c r="HM168" s="1936">
        <v>0</v>
      </c>
      <c r="HN168" s="1936">
        <v>0</v>
      </c>
      <c r="HO168" s="1936">
        <v>0</v>
      </c>
      <c r="HP168" s="1936">
        <v>0</v>
      </c>
      <c r="HQ168" s="1936">
        <v>0</v>
      </c>
      <c r="HR168" s="1988">
        <f t="shared" si="1320"/>
        <v>0</v>
      </c>
      <c r="HS168" s="1936">
        <v>0</v>
      </c>
      <c r="HT168" s="1936">
        <v>0</v>
      </c>
      <c r="HU168" s="1936">
        <v>0</v>
      </c>
      <c r="HV168" s="1936">
        <v>0</v>
      </c>
      <c r="HW168" s="1936">
        <v>0</v>
      </c>
      <c r="HX168" s="1936">
        <v>0</v>
      </c>
      <c r="HY168" s="1936">
        <v>0</v>
      </c>
      <c r="HZ168" s="51"/>
      <c r="IA168" s="59">
        <f t="shared" ref="IA168" si="1505">IF(Q168=0,0,ROUND(Q168/S168,2))</f>
        <v>0</v>
      </c>
      <c r="IB168" s="59"/>
      <c r="IC168" s="815">
        <f t="shared" ref="IC168" si="1506">IF(AA168&gt;0,1,0)</f>
        <v>1</v>
      </c>
      <c r="ID168" s="815"/>
      <c r="IE168" s="284">
        <f t="shared" ref="IE168" si="1507">IF(AA168&lt;0,1,0)</f>
        <v>0</v>
      </c>
      <c r="IF168" s="284"/>
      <c r="IG168" s="284">
        <f t="shared" ref="IG168" si="1508">IF(BI168=0,0,+IF(K168=0,0,BI168/K168))</f>
        <v>21271.319775536176</v>
      </c>
      <c r="IH168" s="284"/>
      <c r="II168" s="1288">
        <f t="shared" ref="II168" si="1509">IF(BR168&gt;1,BR168,0)</f>
        <v>0</v>
      </c>
      <c r="IJ168" s="1288">
        <f t="shared" ref="IJ168" si="1510">IF(BR168&lt;1,BR168,0)</f>
        <v>0.89961671861656145</v>
      </c>
      <c r="IK168" s="284">
        <f t="shared" ref="IK168" si="1511">IF(OR(EK168=1,EO168=1),0,1)</f>
        <v>0</v>
      </c>
      <c r="IL168" s="284">
        <f t="shared" ref="IL168" si="1512">IF(AND(EK168=1,EO168=1),1,0)</f>
        <v>0</v>
      </c>
      <c r="IM168" s="284">
        <f t="shared" ref="IM168" si="1513">IF(AND(EK168=1,EM168=1),1,0)</f>
        <v>1</v>
      </c>
      <c r="IN168" s="284">
        <f t="shared" ref="IN168" si="1514">IF(AND(EK168=1,EM168=1,EO168=1),1,0)</f>
        <v>0</v>
      </c>
      <c r="IO168" s="753">
        <f t="shared" ref="IO168" si="1515">IF(J168=0,0,FY168/$J168)</f>
        <v>-1729.5625</v>
      </c>
      <c r="IP168" s="113">
        <f t="shared" ref="IP168" si="1516">IF(K168=0,0,FY168/K168)</f>
        <v>-1701.804764304444</v>
      </c>
      <c r="IQ168" s="30">
        <f t="shared" ref="IQ168" si="1517">IF(FY168=0,0,+IF(CD168=0,0,FY168/CD168))</f>
        <v>-0.2148743389273288</v>
      </c>
      <c r="IR168" s="438">
        <f t="shared" ref="IR168" si="1518">EY168</f>
        <v>1347194</v>
      </c>
      <c r="IS168" s="438">
        <f t="shared" ref="IS168" si="1519">FB168</f>
        <v>639964</v>
      </c>
      <c r="IT168" s="438">
        <f t="shared" ref="IT168" si="1520">FQ168</f>
        <v>1658413</v>
      </c>
      <c r="IU168" s="438">
        <f t="shared" ref="IU168" si="1521">FS168+FT168</f>
        <v>403743</v>
      </c>
      <c r="IV168" s="438">
        <f t="shared" ref="IV168" si="1522">FF168</f>
        <v>862226</v>
      </c>
      <c r="IW168" s="438">
        <f t="shared" ref="IW168" si="1523">SUM(FU168:FW168)+FR168</f>
        <v>446426</v>
      </c>
      <c r="IX168" s="285">
        <f t="shared" ref="IX168" si="1524">IF(($IR168+$IS168)=0,0,IR168/SUM($IR168+$IS168))</f>
        <v>0.67795011770578884</v>
      </c>
      <c r="IY168" s="285">
        <f t="shared" ref="IY168" si="1525">IF(($IR168+$IS168)=0,0,IS168/SUM($IR168+$IS168))</f>
        <v>0.32204988229421111</v>
      </c>
      <c r="IZ168" s="285">
        <f t="shared" ref="IZ168" si="1526">IF(($IR168+$IS168)=0,0,IT168/SUM($IR168+$IS168))</f>
        <v>0.8345652434280515</v>
      </c>
      <c r="JA168" s="285">
        <f t="shared" ref="JA168" si="1527">IF(($IR168+$IS168)=0,0,IU168/SUM($IR168+$IS168))</f>
        <v>0.20317609369763251</v>
      </c>
      <c r="JB168" s="285">
        <f t="shared" ref="JB168" si="1528">IF(($IR168+$IS168)=0,0,IV168/SUM($IR168+$IS168))</f>
        <v>0.43389906590215777</v>
      </c>
      <c r="JC168" s="285">
        <f t="shared" ref="JC168" si="1529">IF(($IR168+$IS168)=0,0,IW168/SUM($IR168+$IS168))</f>
        <v>0.22465551304928949</v>
      </c>
      <c r="JD168" s="60">
        <f t="shared" ref="JD168" si="1530">CD168+CE168+CF168</f>
        <v>6439345</v>
      </c>
      <c r="JE168" s="60">
        <f t="shared" ref="JE168" si="1531">BZ168+CA168+CB168+CC168</f>
        <v>2023006</v>
      </c>
      <c r="JF168" s="60">
        <f t="shared" ref="JF168" si="1532">JD168+JE168+CG168+CH168+CI168-CJ168</f>
        <v>0</v>
      </c>
      <c r="JG168" s="60">
        <f t="shared" ref="JG168" si="1533">CZ168+DA168</f>
        <v>277999</v>
      </c>
      <c r="JH168" s="284">
        <f t="shared" ref="JH168" si="1534">IF(DJ168&gt;0,1,0)</f>
        <v>0</v>
      </c>
      <c r="JI168" s="284">
        <f t="shared" ref="JI168" si="1535">IF(B168="Yacht &amp; Beach","",+IF(CB168&gt;0,1,0))</f>
        <v>1</v>
      </c>
      <c r="JJ168" s="560">
        <f t="shared" ref="JJ168" si="1536">IF(B168="Yacht &amp; Beach",0,+IF(CX168=0,0,CX168/CB168))</f>
        <v>0.72517652191957949</v>
      </c>
      <c r="JK168" s="561">
        <f t="shared" ref="JK168" si="1537">CV168/$CJ168</f>
        <v>0.50542801771296575</v>
      </c>
      <c r="JL168" s="561">
        <f t="shared" ref="JL168" si="1538">CW168/$CJ168</f>
        <v>8.1392984479915262E-2</v>
      </c>
      <c r="JM168" s="561">
        <f t="shared" ref="JM168" si="1539">CX168/$CJ168</f>
        <v>2.5730716476437619E-2</v>
      </c>
      <c r="JN168" s="561">
        <f t="shared" ref="JN168" si="1540">CY168/$CJ168</f>
        <v>0.39268514174431746</v>
      </c>
      <c r="JO168" s="561">
        <f t="shared" ref="JO168" si="1541">CZ168/$CJ168</f>
        <v>1.5547460345480238E-3</v>
      </c>
      <c r="JP168" s="561">
        <f t="shared" ref="JP168" si="1542">DA168/$CJ168</f>
        <v>2.468798880809412E-2</v>
      </c>
      <c r="JQ168" s="561">
        <f t="shared" ref="JQ168" si="1543">SUM(JK168:JP168)</f>
        <v>1.0314795952562783</v>
      </c>
      <c r="JR168" s="61">
        <f t="shared" ref="JR168" si="1544">IF(GQ168=0,0,GQ168/$GN168)</f>
        <v>44200.777777777781</v>
      </c>
      <c r="JS168" s="61">
        <f t="shared" ref="JS168" si="1545">IF(GR168=0,0,GR168/$GN168)</f>
        <v>10530.666666666666</v>
      </c>
      <c r="JT168" s="61">
        <f t="shared" ref="JT168" si="1546">IF(GS168=0,0,GS168/$GN168)</f>
        <v>32897.277777777781</v>
      </c>
      <c r="JU168" s="61">
        <f t="shared" ref="JU168" si="1547">IF(GT168=0,0,GT168/$GN168)</f>
        <v>10876.888888888889</v>
      </c>
      <c r="JV168" s="61">
        <f t="shared" ref="JV168" si="1548">IF(GU168=0,0,GU168/$GN168)</f>
        <v>11986.611111111111</v>
      </c>
      <c r="JW168" s="61">
        <f t="shared" ref="JW168" si="1549">IF(GV168=0,0,GV168/$GN168)</f>
        <v>6095.5555555555557</v>
      </c>
      <c r="JX168" s="61">
        <f t="shared" ref="JX168" si="1550">IF(GP168=0,0,GW168/GP168)</f>
        <v>42.424695750616586</v>
      </c>
      <c r="JY168" s="394">
        <f t="shared" ref="JY168" si="1551">IF(OR(GW168=0,DB168=0),0,GW168/DB168)</f>
        <v>0.19205726813183494</v>
      </c>
      <c r="JZ168" s="61">
        <f t="shared" ref="JZ168" si="1552">IF(HJ168=0,0,HJ168/$HG168)</f>
        <v>0</v>
      </c>
      <c r="KA168" s="61">
        <f t="shared" ref="KA168" si="1553">IF(HK168=0,0,HK168/$HG168)</f>
        <v>0</v>
      </c>
      <c r="KB168" s="61">
        <f t="shared" ref="KB168" si="1554">IF(HL168=0,0,HL168/$HG168)</f>
        <v>0</v>
      </c>
      <c r="KC168" s="61">
        <f t="shared" ref="KC168" si="1555">IF(HM168=0,0,HM168/$HG168)</f>
        <v>0</v>
      </c>
      <c r="KD168" s="61">
        <f t="shared" ref="KD168" si="1556">IF(HN168=0,0,HN168/$HG168)</f>
        <v>0</v>
      </c>
      <c r="KE168" s="61">
        <f t="shared" ref="KE168" si="1557">IF(HO168=0,0,HO168/$HG168)</f>
        <v>0</v>
      </c>
      <c r="KF168" s="61">
        <f t="shared" ref="KF168" si="1558">IF(HI168=0,0,ROUND(HI168/HG168*18,-2))</f>
        <v>0</v>
      </c>
      <c r="KG168" s="61">
        <f t="shared" ref="KG168" si="1559">IF(HH168=0,0,HH168/HG168*36)</f>
        <v>0</v>
      </c>
      <c r="KH168" s="61">
        <f t="shared" ref="KH168" si="1560">IF(HI168=0,0,HP168/HI168)</f>
        <v>0</v>
      </c>
      <c r="KI168" s="394">
        <f t="shared" ref="KI168" si="1561">IF(OR(HP168=0,DB168=0),0,HP168/DB168)</f>
        <v>0</v>
      </c>
      <c r="KJ168" s="438">
        <f t="shared" ref="KJ168" si="1562">IF($GN168&gt;0,GN168,HG168)</f>
        <v>18</v>
      </c>
      <c r="KK168" s="438">
        <f t="shared" ref="KK168" si="1563">IF($GN168&gt;0,GP168,HI168)</f>
        <v>49466</v>
      </c>
      <c r="KL168" s="438">
        <f t="shared" ref="KL168" si="1564">IF($GN168&gt;0,GO168,HH168)</f>
        <v>100</v>
      </c>
      <c r="KM168" s="438">
        <f t="shared" ref="KM168" si="1565">IF($GN168&gt;0,GX168,HQ168)</f>
        <v>116587.77777777778</v>
      </c>
      <c r="KN168" s="438">
        <f t="shared" ref="KN168" si="1566">IF($GN168&gt;0,JX168,KH168)</f>
        <v>42.424695750616586</v>
      </c>
      <c r="KO168" s="438">
        <f t="shared" ref="KO168" si="1567">IF($GN168&gt;0,GY168,HR168)</f>
        <v>20985.8</v>
      </c>
      <c r="KP168" s="438">
        <f t="shared" ref="KP168" si="1568">IF($GN168&gt;0,GQ168,HJ168)</f>
        <v>795614</v>
      </c>
      <c r="KQ168" s="438">
        <f t="shared" ref="KQ168" si="1569">IF($GN168&gt;0,GR168,HK168)</f>
        <v>189552</v>
      </c>
      <c r="KR168" s="438">
        <f t="shared" ref="KR168" si="1570">IF($GN168&gt;0,GS168,HL168)</f>
        <v>592151</v>
      </c>
      <c r="KS168" s="438">
        <f t="shared" ref="KS168" si="1571">IF($GN168&gt;0,GT168,HM168)</f>
        <v>195784</v>
      </c>
      <c r="KT168" s="438">
        <f t="shared" ref="KT168" si="1572">IF($GN168&gt;0,GU168,HN168)</f>
        <v>215759</v>
      </c>
      <c r="KU168" s="438">
        <f t="shared" ref="KU168" si="1573">IF($GN168&gt;0,GV168,HO168)</f>
        <v>109720</v>
      </c>
      <c r="KV168" s="420">
        <f t="shared" ref="KV168" si="1574">MAX(JY168,KI168)</f>
        <v>0.19205726813183494</v>
      </c>
      <c r="KW168" s="420">
        <f t="shared" ref="KW168" si="1575">IF(CD168&gt;0,-SUM(KP168:KT168)/CD168,0)</f>
        <v>-0.30886060616413624</v>
      </c>
      <c r="KX168" s="108"/>
      <c r="KY168" s="282">
        <f t="shared" ref="KY168" si="1576">Q168+R168-S168</f>
        <v>0</v>
      </c>
      <c r="KZ168" s="282"/>
      <c r="LA168" s="282">
        <f t="shared" ref="LA168" si="1577">W168-X168-AA168</f>
        <v>0</v>
      </c>
      <c r="LB168" s="282"/>
      <c r="LC168" s="286">
        <f t="shared" ref="LC168" si="1578">(AA168/X168)-AB168</f>
        <v>0</v>
      </c>
      <c r="LD168" s="286"/>
      <c r="LE168" s="282">
        <f t="shared" ref="LE168" si="1579">X168+AF168+AI168+AL168-AM168</f>
        <v>0</v>
      </c>
      <c r="LF168" s="282"/>
      <c r="LG168" s="282">
        <f t="shared" ref="LG168" si="1580">EL168-AO168</f>
        <v>0</v>
      </c>
      <c r="LH168" s="282">
        <f t="shared" ref="LH168" si="1581">EP168*12-AP168</f>
        <v>0</v>
      </c>
      <c r="LI168" s="282">
        <f t="shared" ref="LI168" si="1582">IF(FQ168=0,0,FQ168/$FE168-FZ168)</f>
        <v>0</v>
      </c>
      <c r="LJ168" s="282">
        <f t="shared" ref="LJ168" si="1583">X168+AF168+AI168+AL168+AO168+AP168-AQ168</f>
        <v>0</v>
      </c>
      <c r="LK168" s="282"/>
      <c r="LL168" s="282">
        <f t="shared" ref="LL168" si="1584">IF(S168=V168,"Same/chk",0)</f>
        <v>0</v>
      </c>
      <c r="LM168" s="282">
        <f t="shared" ref="LM168" si="1585">IF(AND(B168="SW CIRA", G168=0),"fix",0)</f>
        <v>0</v>
      </c>
      <c r="LN168" s="282">
        <f t="shared" ref="LN168" si="1586">IF(AND(BM168=1,BN168=0),"fix",+IF(AND(BM168=0,BN168&gt;0),"fix",0))</f>
        <v>0</v>
      </c>
      <c r="LO168" s="282">
        <f t="shared" ref="LO168" si="1587">IF($BH168=0,0,BF168+BG168-BH168)</f>
        <v>0</v>
      </c>
      <c r="LP168" s="286">
        <f t="shared" ref="LP168" si="1588">IF(BK168=0,0,BJ168/BK168-BL168)</f>
        <v>0</v>
      </c>
      <c r="LQ168" s="282">
        <f t="shared" ref="LQ168" si="1589">IF(BN168=0,0,+IF(K168=0,0,BN168/K168))-BW168</f>
        <v>0</v>
      </c>
      <c r="LR168" s="282">
        <f t="shared" ref="LR168" si="1590">IF(BJ168=0,0,+IF(K168=0,0,BJ168/K168))-BX168</f>
        <v>0</v>
      </c>
      <c r="LS168" s="282">
        <f t="shared" ref="LS168" si="1591">IF(BH168=0,0,+IF(K168=0,0,BH168/K168))-BY168</f>
        <v>0</v>
      </c>
      <c r="LT168" s="286">
        <f t="shared" ref="LT168" si="1592">BZ168/$CJ168-CK168</f>
        <v>0</v>
      </c>
      <c r="LU168" s="286">
        <f t="shared" ref="LU168" si="1593">CA168/$CJ168-CL168</f>
        <v>0</v>
      </c>
      <c r="LV168" s="286">
        <f t="shared" ref="LV168" si="1594">CB168/$CJ168-CM168</f>
        <v>0</v>
      </c>
      <c r="LW168" s="286">
        <f t="shared" ref="LW168" si="1595">CC168/$CJ168-CN168</f>
        <v>0</v>
      </c>
      <c r="LX168" s="286">
        <f t="shared" ref="LX168" si="1596">CD168/$CJ168-CO168</f>
        <v>0</v>
      </c>
      <c r="LY168" s="286">
        <f t="shared" ref="LY168" si="1597">CE168/$CJ168-CP168</f>
        <v>0</v>
      </c>
      <c r="LZ168" s="286">
        <f t="shared" ref="LZ168" si="1598">CF168/$CJ168-CQ168</f>
        <v>0</v>
      </c>
      <c r="MA168" s="286">
        <f t="shared" ref="MA168" si="1599">CG168/$CJ168-CR168</f>
        <v>0</v>
      </c>
      <c r="MB168" s="286">
        <f t="shared" ref="MB168" si="1600">CH168/$CJ168-CS168</f>
        <v>0</v>
      </c>
      <c r="MC168" s="286">
        <f t="shared" ref="MC168" si="1601">CI168/$CJ168-CT168</f>
        <v>0</v>
      </c>
      <c r="MD168" s="286">
        <f t="shared" ref="MD168" si="1602">SUM(CK168:CT168)-CU168</f>
        <v>0</v>
      </c>
      <c r="ME168" s="286">
        <f t="shared" ref="ME168" si="1603">CV168/$DB168-DC168</f>
        <v>0</v>
      </c>
      <c r="MF168" s="286">
        <f t="shared" ref="MF168" si="1604">CW168/$DB168-DD168</f>
        <v>0</v>
      </c>
      <c r="MG168" s="286">
        <f t="shared" ref="MG168" si="1605">CX168/$DB168-DE168</f>
        <v>0</v>
      </c>
      <c r="MH168" s="286">
        <f t="shared" ref="MH168" si="1606">CY168/$DB168-DF168</f>
        <v>0</v>
      </c>
      <c r="MI168" s="286">
        <f t="shared" ref="MI168" si="1607">CZ168/$DB168-DG168</f>
        <v>0</v>
      </c>
      <c r="MJ168" s="286">
        <f t="shared" ref="MJ168" si="1608">DA168/$DB168-DH168</f>
        <v>0</v>
      </c>
      <c r="MK168" s="286">
        <f t="shared" ref="MK168" si="1609">SUM(DC168:DH168)-DI168</f>
        <v>0</v>
      </c>
      <c r="ML168" s="282">
        <f t="shared" ref="ML168" si="1610">CJ168-DB168-DJ168</f>
        <v>0</v>
      </c>
      <c r="MM168" s="1232">
        <f t="shared" ref="MM168" si="1611">IF(AND(CB168=0,CX168=0),0,+IF(AND(CB168&gt;0,CX168&gt;0),0,"fix"))</f>
        <v>0</v>
      </c>
      <c r="MN168" s="1232">
        <f t="shared" ref="MN168" si="1612">IF(AND(AH168=1,CE168=0),"fix",+IF(AND(AH168=0,CE168&gt;0),"fix",0))</f>
        <v>0</v>
      </c>
      <c r="MO168" s="1232">
        <f t="shared" ref="MO168" si="1613">IF(AND(AE168=1,AF168=0),"fix",+IF(AND(AE168=0,AF168&gt;0),"fix",0))</f>
        <v>0</v>
      </c>
      <c r="MP168" s="1232">
        <f t="shared" ref="MP168" si="1614">IF(AND(AK168=1,AL168=0),"fix",+IF(AND(AK168=0,AL168&gt;0),"fix",0))</f>
        <v>0</v>
      </c>
      <c r="MQ168" s="282">
        <f t="shared" ref="MQ168" si="1615">IF(CD168=0,0,+IF(X168=0,0,CD168/X168))-K168</f>
        <v>0</v>
      </c>
      <c r="MR168" s="282">
        <f t="shared" ref="MR168" si="1616">IF(BZ168=0,0,+IF($K168=0,0,BZ168/$K168))-DK168</f>
        <v>0</v>
      </c>
      <c r="MS168" s="282">
        <f t="shared" ref="MS168" si="1617">IF(CA168=0,0,+IF($K168=0,0,CA168/$K168))-DL168</f>
        <v>0</v>
      </c>
      <c r="MT168" s="282">
        <f t="shared" ref="MT168" si="1618">IF(CB168=0,0,+IF($K168=0,0,CB168/$K168))-DM168</f>
        <v>0</v>
      </c>
      <c r="MU168" s="282">
        <f t="shared" ref="MU168" si="1619">IF(CC168=0,0,+IF($K168=0,0,CC168/$K168))-DN168</f>
        <v>0</v>
      </c>
      <c r="MV168" s="282">
        <f t="shared" ref="MV168" si="1620">IF(CD168=0,0,+IF($K168=0,0,CD168/$K168))-DO168</f>
        <v>0</v>
      </c>
      <c r="MW168" s="282">
        <f t="shared" ref="MW168" si="1621">IF(CE168=0,0,+IF($K168=0,0,CE168/$K168))-DP168</f>
        <v>0</v>
      </c>
      <c r="MX168" s="282">
        <f t="shared" ref="MX168" si="1622">IF(CF168=0,0,+IF($K168=0,0,CF168/$K168))-DQ168</f>
        <v>0</v>
      </c>
      <c r="MY168" s="282">
        <f t="shared" ref="MY168" si="1623">IF(CG168=0,0,+IF($K168=0,0,CG168/$K168))-DR168</f>
        <v>0</v>
      </c>
      <c r="MZ168" s="282">
        <f t="shared" ref="MZ168" si="1624">IF(CH168=0,0,+IF($K168=0,0,CH168/$K168))-DS168</f>
        <v>0</v>
      </c>
      <c r="NA168" s="282">
        <f t="shared" ref="NA168" si="1625">IF(CI168=0,0,+IF($K168=0,0,CI168/$K168))-DT168</f>
        <v>0</v>
      </c>
      <c r="NB168" s="282">
        <f t="shared" ref="NB168" si="1626">IF(CJ168=0,0,+IF($K168=0,0,CJ168/$K168))-DU168</f>
        <v>0</v>
      </c>
      <c r="NC168" s="282">
        <f t="shared" ref="NC168" si="1627">SUM(DK168:DT168)-DU168</f>
        <v>0</v>
      </c>
      <c r="ND168" s="282">
        <f t="shared" ref="ND168" si="1628">IF(CV168=0,0,+IF($K168=0,0,CV168/$K168))-DV168</f>
        <v>0</v>
      </c>
      <c r="NE168" s="282">
        <f t="shared" ref="NE168" si="1629">IF(CW168=0,0,+IF($K168=0,0,CW168/$K168))-DW168</f>
        <v>0</v>
      </c>
      <c r="NF168" s="282">
        <f t="shared" ref="NF168" si="1630">IF(CX168=0,0,+IF($K168=0,0,CX168/$K168))-DX168</f>
        <v>0</v>
      </c>
      <c r="NG168" s="282">
        <f t="shared" ref="NG168" si="1631">IF(CY168=0,0,+IF($K168=0,0,CY168/$K168))-DY168</f>
        <v>0</v>
      </c>
      <c r="NH168" s="282">
        <f t="shared" ref="NH168" si="1632">IF(CZ168=0,0,+IF($K168=0,0,CZ168/$K168))-DZ168</f>
        <v>0</v>
      </c>
      <c r="NI168" s="282">
        <f t="shared" ref="NI168" si="1633">IF(DA168=0,0,+IF($K168=0,0,DA168/$K168))-EA168</f>
        <v>0</v>
      </c>
      <c r="NJ168" s="282">
        <f t="shared" ref="NJ168" si="1634">IF(DB168=0,0,+IF($K168=0,0,DB168/$K168))-EB168</f>
        <v>0</v>
      </c>
      <c r="NK168" s="282">
        <f t="shared" ref="NK168" si="1635">SUM(DV168:EA168)-EB168</f>
        <v>0</v>
      </c>
      <c r="NL168" s="282">
        <f t="shared" ref="NL168" si="1636">IF(DJ168=0,0,+IF($K168=0,0,DJ168/$K168))-EC168</f>
        <v>0</v>
      </c>
      <c r="NM168" s="1205">
        <f t="shared" ref="NM168" si="1637">IF(K168=0,0,+IF(ED168=0,0,K168/ED168))-EJ168</f>
        <v>0</v>
      </c>
      <c r="NN168" s="282">
        <f t="shared" ref="NN168" si="1638">CG168+CH168-EY168-FB168</f>
        <v>0</v>
      </c>
      <c r="NO168" s="282">
        <f t="shared" ref="NO168" si="1639">IF(FE168=0,0,+IF(K168=0,0,FE168/K168))-ES168</f>
        <v>0</v>
      </c>
      <c r="NP168" s="282">
        <f t="shared" ref="NP168" si="1640">IF(FY168=0,0,+IF(K168=0,0,FY168/K168))-ET168</f>
        <v>0</v>
      </c>
      <c r="NQ168" s="282">
        <f t="shared" ref="NQ168" si="1641">EY168-EZ168-FA168</f>
        <v>0</v>
      </c>
      <c r="NR168" s="282">
        <f t="shared" ref="NR168" si="1642">FB168-FC168-FD168</f>
        <v>0</v>
      </c>
      <c r="NS168" s="282">
        <f t="shared" ref="NS168" si="1643">EY168+FB168-FE168</f>
        <v>0</v>
      </c>
      <c r="NT168" s="282">
        <f t="shared" ref="NT168" si="1644">EZ168+FC168-FF168</f>
        <v>0</v>
      </c>
      <c r="NU168" s="282">
        <f t="shared" ref="NU168" si="1645">FE168-FF168-FG168</f>
        <v>0</v>
      </c>
      <c r="NV168" s="286">
        <f t="shared" ref="NV168" si="1646">EY168/$EY168-FH168</f>
        <v>0</v>
      </c>
      <c r="NW168" s="286">
        <f t="shared" ref="NW168" si="1647">EZ168/$EY168-FI168</f>
        <v>0</v>
      </c>
      <c r="NX168" s="286">
        <f t="shared" ref="NX168" si="1648">FA168/$EY168-FJ168</f>
        <v>0</v>
      </c>
      <c r="NY168" s="286">
        <f t="shared" ref="NY168" si="1649">FB168/$FB168-FK168</f>
        <v>0</v>
      </c>
      <c r="NZ168" s="286">
        <f t="shared" ref="NZ168" si="1650">FC168/$FB168-FL168</f>
        <v>0</v>
      </c>
      <c r="OA168" s="286">
        <f t="shared" ref="OA168" si="1651">FD168/$FB168-FM168</f>
        <v>0</v>
      </c>
      <c r="OB168" s="286">
        <f t="shared" ref="OB168" si="1652">FE168/$FE168-FN168</f>
        <v>0</v>
      </c>
      <c r="OC168" s="286">
        <f t="shared" ref="OC168" si="1653">FF168/$FE168-FO168</f>
        <v>0</v>
      </c>
      <c r="OD168" s="286">
        <f t="shared" ref="OD168" si="1654">FG168/$FE168-FP168</f>
        <v>0</v>
      </c>
      <c r="OE168" s="282">
        <f t="shared" ref="OE168" si="1655">SUM(FQ168:FW168)-FX168</f>
        <v>0</v>
      </c>
      <c r="OF168" s="282">
        <f t="shared" ref="OF168" si="1656">FG168-FX168-FY168</f>
        <v>0</v>
      </c>
      <c r="OG168" s="286">
        <f t="shared" ref="OG168" si="1657">FQ168/$FE168-FZ168</f>
        <v>0</v>
      </c>
      <c r="OH168" s="286">
        <f t="shared" ref="OH168" si="1658">FR168/$FE168-GA168</f>
        <v>0</v>
      </c>
      <c r="OI168" s="286">
        <f t="shared" ref="OI168" si="1659">FS168/$FE168-GB168</f>
        <v>0</v>
      </c>
      <c r="OJ168" s="286">
        <f t="shared" ref="OJ168" si="1660">FT168/$FE168-GC168</f>
        <v>0</v>
      </c>
      <c r="OK168" s="286">
        <f t="shared" ref="OK168" si="1661">FU168/$FE168-GD168</f>
        <v>0</v>
      </c>
      <c r="OL168" s="286">
        <f t="shared" ref="OL168" si="1662">FV168/$FE168-GE168</f>
        <v>0</v>
      </c>
      <c r="OM168" s="286">
        <f t="shared" ref="OM168" si="1663">FW168/$FE168-GF168</f>
        <v>0</v>
      </c>
      <c r="ON168" s="286">
        <f t="shared" ref="ON168" si="1664">SUM(FZ168:GF168)-GG168</f>
        <v>0</v>
      </c>
      <c r="OO168" s="286">
        <f t="shared" ref="OO168" si="1665">FY168/$FE168-GH168</f>
        <v>0</v>
      </c>
      <c r="OP168" s="434">
        <f t="shared" ref="OP168" si="1666">IF(AND(GJ168=0,GK168&gt;0),"fix",+IF(AND(GJ168=1,GK168=0),"fix",0))</f>
        <v>0</v>
      </c>
      <c r="OQ168" s="434">
        <f t="shared" ref="OQ168" si="1667">IF(AND(GL168=0,GM168&gt;0),"fix",+IF(AND(GL168=1,GM168=0),"fix",0))</f>
        <v>0</v>
      </c>
      <c r="OR168" s="282">
        <f t="shared" ref="OR168" si="1668">IF(AND(EO168=1,FR168=0),"fix",+IF(AND(EO168=0,FR168&lt;&gt;0),"fix",0))</f>
        <v>0</v>
      </c>
      <c r="OS168" s="282">
        <f t="shared" ref="OS168" si="1669">IF(AND(GN168=18,GP168=0),"fix",+IF(AND(GN168=0,GP168&lt;&gt;0),"fix",0))</f>
        <v>0</v>
      </c>
      <c r="OT168" s="282">
        <f t="shared" ref="OT168" si="1670">IF(AND(HG168&gt;0,HI168=0),"fix",+IF(AND(HG168=0,HI168&lt;&gt;0),"fix",0))</f>
        <v>0</v>
      </c>
      <c r="OU168" s="282">
        <f t="shared" ref="OU168" si="1671">IF(GW168&gt;0,GW168/$GN168-GX168,0)</f>
        <v>0</v>
      </c>
      <c r="OV168" s="282">
        <f t="shared" ref="OV168" si="1672">IF(GW168&gt;0,GW168/GO168-GY168,0)</f>
        <v>0</v>
      </c>
      <c r="OW168" s="286">
        <f t="shared" ref="OW168" si="1673">IF(GQ168&gt;0,GQ168/$GW168-GZ168,0)</f>
        <v>0</v>
      </c>
      <c r="OX168" s="286">
        <f t="shared" ref="OX168" si="1674">IF(GR168&gt;0,GR168/$GW168-HA168,0)</f>
        <v>0</v>
      </c>
      <c r="OY168" s="286">
        <f t="shared" ref="OY168" si="1675">IF(GS168&gt;0,GS168/$GW168-HB168,0)</f>
        <v>0</v>
      </c>
      <c r="OZ168" s="286">
        <f t="shared" ref="OZ168" si="1676">IF(GT168&gt;0,GT168/$GW168-HC168,0)</f>
        <v>0</v>
      </c>
      <c r="PA168" s="286">
        <f t="shared" ref="PA168" si="1677">IF(GU168&gt;0,GU168/$GW168-HD168,0)</f>
        <v>0</v>
      </c>
      <c r="PB168" s="286">
        <f t="shared" ref="PB168" si="1678">IF(GV168&gt;0,GV168/$GW168-HE168,0)</f>
        <v>0</v>
      </c>
      <c r="PC168" s="286">
        <f t="shared" ref="PC168" si="1679">SUM(GZ168:HE168)-HF168</f>
        <v>0</v>
      </c>
      <c r="PD168" s="282">
        <f t="shared" ref="PD168" si="1680">IF(HP168&gt;0,HP168/$HG168-HQ168,0)</f>
        <v>0</v>
      </c>
      <c r="PE168" s="282">
        <f t="shared" ref="PE168" si="1681">IF(HP168&gt;0,HP168/HH168-HR168,0)</f>
        <v>0</v>
      </c>
      <c r="PF168" s="286">
        <f t="shared" ref="PF168" si="1682">IF(HJ168&gt;0,HJ168/$HP168-HS168,0)</f>
        <v>0</v>
      </c>
      <c r="PG168" s="286">
        <f t="shared" ref="PG168" si="1683">IF(HK168&gt;0,HK168/$HP168-HT168,0)</f>
        <v>0</v>
      </c>
      <c r="PH168" s="286">
        <f t="shared" ref="PH168" si="1684">IF(HL168&gt;0,HL168/$HP168-HU168,0)</f>
        <v>0</v>
      </c>
      <c r="PI168" s="286">
        <f t="shared" ref="PI168" si="1685">IF(HM168&gt;0,HM168/$HP168-HV168,0)</f>
        <v>0</v>
      </c>
      <c r="PJ168" s="286">
        <f t="shared" ref="PJ168" si="1686">IF(HN168&gt;0,HN168/$HP168-HW168,0)</f>
        <v>0</v>
      </c>
      <c r="PK168" s="286">
        <f t="shared" ref="PK168" si="1687">IF(HO168&gt;0,HO168/$HP168-HX168,0)</f>
        <v>0</v>
      </c>
      <c r="PL168" s="286">
        <f t="shared" ref="PL168" si="1688">SUM(HS168:HX168)-HY168</f>
        <v>0</v>
      </c>
      <c r="PM168" s="562">
        <v>112</v>
      </c>
    </row>
    <row r="169" spans="1:429" s="289" customFormat="1" ht="15.75" customHeight="1">
      <c r="A169" s="1935" t="s">
        <v>1080</v>
      </c>
      <c r="B169" s="1040" t="str">
        <f>VLOOKUP(A169,'Area (&amp;golfacre for lookup)'!$A$2:$B$162,2,FALSE)</f>
        <v>SW CIRA</v>
      </c>
      <c r="C169" s="1936"/>
      <c r="D169" s="1937">
        <v>44926</v>
      </c>
      <c r="E169" s="402"/>
      <c r="F169" s="1936">
        <v>0</v>
      </c>
      <c r="G169" s="1936">
        <v>1</v>
      </c>
      <c r="H169" s="1936">
        <v>766</v>
      </c>
      <c r="I169" s="1936">
        <v>0</v>
      </c>
      <c r="J169" s="1936">
        <v>766</v>
      </c>
      <c r="K169" s="1938">
        <v>672.50693047171922</v>
      </c>
      <c r="L169" s="1939" t="s">
        <v>1208</v>
      </c>
      <c r="M169" s="1939" t="s">
        <v>1208</v>
      </c>
      <c r="N169" s="1939" t="s">
        <v>1208</v>
      </c>
      <c r="O169" s="1939" t="s">
        <v>1208</v>
      </c>
      <c r="P169" s="1939" t="s">
        <v>1208</v>
      </c>
      <c r="Q169" s="1936">
        <v>0</v>
      </c>
      <c r="R169" s="1936">
        <v>5156</v>
      </c>
      <c r="S169" s="1936">
        <v>5156</v>
      </c>
      <c r="T169" s="1939" t="s">
        <v>1208</v>
      </c>
      <c r="U169" s="1939" t="s">
        <v>1208</v>
      </c>
      <c r="V169" s="1939" t="s">
        <v>1208</v>
      </c>
      <c r="W169" s="1936">
        <v>10313</v>
      </c>
      <c r="X169" s="1936">
        <v>8946</v>
      </c>
      <c r="Y169" s="1939" t="s">
        <v>1208</v>
      </c>
      <c r="Z169" s="1939" t="s">
        <v>1208</v>
      </c>
      <c r="AA169" s="1936">
        <v>1367</v>
      </c>
      <c r="AB169" s="1362">
        <v>0.15280572322825844</v>
      </c>
      <c r="AC169" s="1939" t="s">
        <v>1208</v>
      </c>
      <c r="AD169" s="1363" t="s">
        <v>1208</v>
      </c>
      <c r="AE169" s="1936">
        <v>1</v>
      </c>
      <c r="AF169" s="1936">
        <v>750</v>
      </c>
      <c r="AG169" s="1939" t="s">
        <v>1208</v>
      </c>
      <c r="AH169" s="1936">
        <v>0</v>
      </c>
      <c r="AI169" s="1936">
        <v>0</v>
      </c>
      <c r="AJ169" s="1939" t="s">
        <v>1208</v>
      </c>
      <c r="AK169" s="1938">
        <v>0</v>
      </c>
      <c r="AL169" s="1938">
        <v>0</v>
      </c>
      <c r="AM169" s="1936">
        <v>9696</v>
      </c>
      <c r="AN169" s="1939" t="s">
        <v>1208</v>
      </c>
      <c r="AO169" s="1936">
        <v>0</v>
      </c>
      <c r="AP169" s="1936">
        <v>0</v>
      </c>
      <c r="AQ169" s="1936">
        <v>9696</v>
      </c>
      <c r="AR169" s="1939" t="s">
        <v>1208</v>
      </c>
      <c r="AS169" s="1363" t="s">
        <v>1208</v>
      </c>
      <c r="AT169" s="1363" t="s">
        <v>1208</v>
      </c>
      <c r="AU169" s="1363" t="s">
        <v>1208</v>
      </c>
      <c r="AV169" s="1363" t="s">
        <v>1208</v>
      </c>
      <c r="AW169" s="1363" t="s">
        <v>1291</v>
      </c>
      <c r="AX169" s="1938">
        <v>0</v>
      </c>
      <c r="AY169" s="1938">
        <v>0</v>
      </c>
      <c r="AZ169" s="1938">
        <v>0</v>
      </c>
      <c r="BA169" s="1938">
        <v>0</v>
      </c>
      <c r="BB169" s="1938">
        <v>0</v>
      </c>
      <c r="BC169" s="1938">
        <v>0</v>
      </c>
      <c r="BD169" s="1938">
        <v>0</v>
      </c>
      <c r="BE169" s="1936">
        <v>0</v>
      </c>
      <c r="BF169" s="1936">
        <v>0</v>
      </c>
      <c r="BG169" s="1936">
        <v>1210000</v>
      </c>
      <c r="BH169" s="1936">
        <v>1210000</v>
      </c>
      <c r="BI169" s="1938">
        <v>19007338</v>
      </c>
      <c r="BJ169" s="1936">
        <v>1439884</v>
      </c>
      <c r="BK169" s="1936">
        <v>1508600</v>
      </c>
      <c r="BL169" s="1362">
        <v>0.95445048389235054</v>
      </c>
      <c r="BM169" s="1936">
        <v>0</v>
      </c>
      <c r="BN169" s="1936">
        <v>0</v>
      </c>
      <c r="BO169" s="1363" t="s">
        <v>1208</v>
      </c>
      <c r="BP169" s="1938">
        <v>7873684</v>
      </c>
      <c r="BQ169" s="1938">
        <v>7113496</v>
      </c>
      <c r="BR169" s="1940">
        <v>1.106865597450255</v>
      </c>
      <c r="BS169" s="1409">
        <v>1</v>
      </c>
      <c r="BT169" s="1938">
        <v>9841303</v>
      </c>
      <c r="BU169" s="1938">
        <v>22993292</v>
      </c>
      <c r="BV169" s="1940">
        <v>0.42800756846822979</v>
      </c>
      <c r="BW169" s="1936">
        <v>0</v>
      </c>
      <c r="BX169" s="1936">
        <v>2141.0693849504514</v>
      </c>
      <c r="BY169" s="1936">
        <v>1799.2379634679228</v>
      </c>
      <c r="BZ169" s="1936">
        <v>1534628</v>
      </c>
      <c r="CA169" s="1936">
        <v>2873</v>
      </c>
      <c r="CB169" s="1936">
        <v>589298</v>
      </c>
      <c r="CC169" s="1936">
        <v>0</v>
      </c>
      <c r="CD169" s="1936">
        <v>6016247</v>
      </c>
      <c r="CE169" s="1936">
        <v>0</v>
      </c>
      <c r="CF169" s="1936">
        <v>0</v>
      </c>
      <c r="CG169" s="1936">
        <v>1129418</v>
      </c>
      <c r="CH169" s="1936">
        <v>514706</v>
      </c>
      <c r="CI169" s="1936">
        <v>482397</v>
      </c>
      <c r="CJ169" s="1936">
        <v>10269567</v>
      </c>
      <c r="CK169" s="1366">
        <v>0.14943453798977113</v>
      </c>
      <c r="CL169" s="1366">
        <v>2.7975863052453917E-4</v>
      </c>
      <c r="CM169" s="1366">
        <v>5.7382945162147536E-2</v>
      </c>
      <c r="CN169" s="1366">
        <v>0</v>
      </c>
      <c r="CO169" s="1366">
        <v>0.58583258670983884</v>
      </c>
      <c r="CP169" s="1366">
        <v>0</v>
      </c>
      <c r="CQ169" s="1366">
        <v>0</v>
      </c>
      <c r="CR169" s="1366">
        <v>0.10997717820040515</v>
      </c>
      <c r="CS169" s="1366">
        <v>5.0119542527937155E-2</v>
      </c>
      <c r="CT169" s="1366">
        <v>4.6973450779375606E-2</v>
      </c>
      <c r="CU169" s="1366">
        <v>1</v>
      </c>
      <c r="CV169" s="1936">
        <v>4910196</v>
      </c>
      <c r="CW169" s="1936">
        <v>735346</v>
      </c>
      <c r="CX169" s="1936">
        <v>478624</v>
      </c>
      <c r="CY169" s="1936">
        <v>3527279</v>
      </c>
      <c r="CZ169" s="1936">
        <v>12848</v>
      </c>
      <c r="DA169" s="1936">
        <v>345321</v>
      </c>
      <c r="DB169" s="1936">
        <v>10009614</v>
      </c>
      <c r="DC169" s="1366">
        <v>0.49054798716513942</v>
      </c>
      <c r="DD169" s="1366">
        <v>7.3463971737571493E-2</v>
      </c>
      <c r="DE169" s="1366">
        <v>4.7816429284885512E-2</v>
      </c>
      <c r="DF169" s="1366">
        <v>0.35238911310665927</v>
      </c>
      <c r="DG169" s="1366">
        <v>1.2835659796671479E-3</v>
      </c>
      <c r="DH169" s="1366">
        <v>3.4498932726077153E-2</v>
      </c>
      <c r="DI169" s="1366">
        <v>1</v>
      </c>
      <c r="DJ169" s="1936">
        <v>259953</v>
      </c>
      <c r="DK169" s="1936">
        <v>2281.9512044635135</v>
      </c>
      <c r="DL169" s="1936">
        <v>4.2720749330936707</v>
      </c>
      <c r="DM169" s="1936">
        <v>876.27052346753715</v>
      </c>
      <c r="DN169" s="1936">
        <v>0</v>
      </c>
      <c r="DO169" s="1936">
        <v>8946</v>
      </c>
      <c r="DP169" s="1936">
        <v>0</v>
      </c>
      <c r="DQ169" s="1936">
        <v>0</v>
      </c>
      <c r="DR169" s="1936">
        <v>1679.4146629950533</v>
      </c>
      <c r="DS169" s="1936">
        <v>765.35419440059559</v>
      </c>
      <c r="DT169" s="1936">
        <v>717.31156682895494</v>
      </c>
      <c r="DU169" s="1936">
        <v>15270.574227088748</v>
      </c>
      <c r="DV169" s="1936">
        <v>7301.3314473292066</v>
      </c>
      <c r="DW169" s="1936">
        <v>1093.440032631639</v>
      </c>
      <c r="DX169" s="1936">
        <v>711.70121572468679</v>
      </c>
      <c r="DY169" s="1936">
        <v>5244.9704830935298</v>
      </c>
      <c r="DZ169" s="1936">
        <v>19.10463583027758</v>
      </c>
      <c r="EA169" s="1936">
        <v>513.48318411793935</v>
      </c>
      <c r="EB169" s="1936">
        <v>14884.030998727279</v>
      </c>
      <c r="EC169" s="1936">
        <v>386.54322836146855</v>
      </c>
      <c r="ED169" s="1941">
        <v>80</v>
      </c>
      <c r="EE169" s="1936">
        <v>1</v>
      </c>
      <c r="EF169" s="1936">
        <v>30</v>
      </c>
      <c r="EG169" s="1938">
        <v>100000</v>
      </c>
      <c r="EH169" s="1938">
        <v>1</v>
      </c>
      <c r="EI169" s="1368">
        <v>5.5E-2</v>
      </c>
      <c r="EJ169" s="1936">
        <v>8.4063366308964902</v>
      </c>
      <c r="EK169" s="1936">
        <v>0</v>
      </c>
      <c r="EL169" s="1936">
        <v>0</v>
      </c>
      <c r="EM169" s="1936">
        <v>1</v>
      </c>
      <c r="EN169" s="1362">
        <v>0.2</v>
      </c>
      <c r="EO169" s="1936">
        <v>0</v>
      </c>
      <c r="EP169" s="1936">
        <v>0</v>
      </c>
      <c r="EQ169" s="1936">
        <v>0</v>
      </c>
      <c r="ER169" s="1938">
        <v>0</v>
      </c>
      <c r="ES169" s="1936">
        <v>2444.7688573956489</v>
      </c>
      <c r="ET169" s="1936">
        <v>-1732.9219182656564</v>
      </c>
      <c r="EU169" s="1938">
        <v>2</v>
      </c>
      <c r="EV169" s="1936">
        <v>70000</v>
      </c>
      <c r="EW169" s="1936">
        <v>11000</v>
      </c>
      <c r="EX169" s="1938">
        <v>1</v>
      </c>
      <c r="EY169" s="1936">
        <v>1129418</v>
      </c>
      <c r="EZ169" s="1936">
        <v>570620</v>
      </c>
      <c r="FA169" s="1936">
        <v>558798</v>
      </c>
      <c r="FB169" s="1936">
        <v>514706</v>
      </c>
      <c r="FC169" s="1936">
        <v>164726</v>
      </c>
      <c r="FD169" s="1936">
        <v>349980</v>
      </c>
      <c r="FE169" s="1936">
        <v>1644124</v>
      </c>
      <c r="FF169" s="1936">
        <v>735346</v>
      </c>
      <c r="FG169" s="1936">
        <v>908778</v>
      </c>
      <c r="FH169" s="1366">
        <v>1</v>
      </c>
      <c r="FI169" s="1366">
        <v>0.50523366902245226</v>
      </c>
      <c r="FJ169" s="1366">
        <v>0.49476633097754774</v>
      </c>
      <c r="FK169" s="1366">
        <v>1</v>
      </c>
      <c r="FL169" s="1366">
        <v>0.32003901256251144</v>
      </c>
      <c r="FM169" s="1366">
        <v>0.67996098743748856</v>
      </c>
      <c r="FN169" s="1366">
        <v>1</v>
      </c>
      <c r="FO169" s="1366">
        <v>0.44725701954353808</v>
      </c>
      <c r="FP169" s="1366">
        <v>0.55274298045646197</v>
      </c>
      <c r="FQ169" s="1936">
        <v>1364859</v>
      </c>
      <c r="FR169" s="1936">
        <v>0</v>
      </c>
      <c r="FS169" s="1936">
        <v>298267</v>
      </c>
      <c r="FT169" s="1936">
        <v>57380</v>
      </c>
      <c r="FU169" s="1936">
        <v>44371</v>
      </c>
      <c r="FV169" s="1936">
        <v>2051</v>
      </c>
      <c r="FW169" s="1936">
        <v>307252</v>
      </c>
      <c r="FX169" s="1936">
        <v>2074180</v>
      </c>
      <c r="FY169" s="1936">
        <v>-1165402</v>
      </c>
      <c r="FZ169" s="1366">
        <v>0.8301435901428359</v>
      </c>
      <c r="GA169" s="1366">
        <v>0</v>
      </c>
      <c r="GB169" s="1366">
        <v>0.1814139322824799</v>
      </c>
      <c r="GC169" s="1366">
        <v>3.4900044035608022E-2</v>
      </c>
      <c r="GD169" s="1366">
        <v>2.6987623804530559E-2</v>
      </c>
      <c r="GE169" s="1366">
        <v>1.2474728183519005E-3</v>
      </c>
      <c r="GF169" s="1366">
        <v>0.186878848554002</v>
      </c>
      <c r="GG169" s="1366">
        <v>1.2615715116378083</v>
      </c>
      <c r="GH169" s="1366">
        <v>-0.70882853118134637</v>
      </c>
      <c r="GI169" s="1942">
        <v>2.1942973270177539</v>
      </c>
      <c r="GJ169" s="1943">
        <v>1</v>
      </c>
      <c r="GK169" s="1371">
        <v>0.05</v>
      </c>
      <c r="GL169" s="1943">
        <v>1</v>
      </c>
      <c r="GM169" s="1371">
        <v>0.05</v>
      </c>
      <c r="GN169" s="1943">
        <v>18</v>
      </c>
      <c r="GO169" s="1985">
        <f>IF(GN169=0,0,VLOOKUP(A169,'Area (&amp;golfacre for lookup)'!$G$2:$H$133,2,FALSE))</f>
        <v>68</v>
      </c>
      <c r="GP169" s="1943">
        <v>48000</v>
      </c>
      <c r="GQ169" s="1943">
        <v>967396</v>
      </c>
      <c r="GR169" s="1943">
        <v>185581</v>
      </c>
      <c r="GS169" s="1943">
        <v>613271</v>
      </c>
      <c r="GT169" s="1943">
        <v>103905</v>
      </c>
      <c r="GU169" s="1943">
        <v>10109</v>
      </c>
      <c r="GV169" s="1943">
        <v>41801</v>
      </c>
      <c r="GW169" s="1943">
        <v>1922063</v>
      </c>
      <c r="GX169" s="1943">
        <v>106781.27777777778</v>
      </c>
      <c r="GY169" s="1985">
        <f t="shared" si="1319"/>
        <v>28265.632352941175</v>
      </c>
      <c r="GZ169" s="1366">
        <v>0.50331128584234752</v>
      </c>
      <c r="HA169" s="1366">
        <v>9.6553026617753945E-2</v>
      </c>
      <c r="HB169" s="1366">
        <v>0.31906914601654579</v>
      </c>
      <c r="HC169" s="1366">
        <v>5.4059102121002275E-2</v>
      </c>
      <c r="HD169" s="1366">
        <v>5.2594529939965547E-3</v>
      </c>
      <c r="HE169" s="1366">
        <v>2.1747986408353941E-2</v>
      </c>
      <c r="HF169" s="1366">
        <v>1</v>
      </c>
      <c r="HG169" s="1936">
        <v>0</v>
      </c>
      <c r="HH169" s="1988">
        <f>IF(HG169=0,0,VLOOKUP(A169,'Area (&amp;golfacre for lookup)'!$G$2:$H$134,2,FALSE))</f>
        <v>0</v>
      </c>
      <c r="HI169" s="1936">
        <v>0</v>
      </c>
      <c r="HJ169" s="1936">
        <v>0</v>
      </c>
      <c r="HK169" s="1936">
        <v>0</v>
      </c>
      <c r="HL169" s="1936">
        <v>0</v>
      </c>
      <c r="HM169" s="1936">
        <v>0</v>
      </c>
      <c r="HN169" s="1936">
        <v>0</v>
      </c>
      <c r="HO169" s="1936">
        <v>0</v>
      </c>
      <c r="HP169" s="1936">
        <v>0</v>
      </c>
      <c r="HQ169" s="1936">
        <v>0</v>
      </c>
      <c r="HR169" s="1988">
        <f t="shared" si="1320"/>
        <v>0</v>
      </c>
      <c r="HS169" s="1936">
        <v>0</v>
      </c>
      <c r="HT169" s="1936">
        <v>0</v>
      </c>
      <c r="HU169" s="1936">
        <v>0</v>
      </c>
      <c r="HV169" s="1936">
        <v>0</v>
      </c>
      <c r="HW169" s="1936">
        <v>0</v>
      </c>
      <c r="HX169" s="1936">
        <v>0</v>
      </c>
      <c r="HY169" s="1936">
        <v>0</v>
      </c>
      <c r="HZ169" s="51"/>
      <c r="IA169" s="59">
        <f t="shared" si="1322"/>
        <v>0</v>
      </c>
      <c r="IB169" s="59"/>
      <c r="IC169" s="815">
        <f t="shared" si="1323"/>
        <v>1</v>
      </c>
      <c r="ID169" s="815"/>
      <c r="IE169" s="284">
        <f t="shared" si="1324"/>
        <v>0</v>
      </c>
      <c r="IF169" s="284"/>
      <c r="IG169" s="284">
        <f t="shared" si="1325"/>
        <v>28263.408358732613</v>
      </c>
      <c r="IH169" s="284"/>
      <c r="II169" s="1288">
        <f t="shared" si="1326"/>
        <v>1.106865597450255</v>
      </c>
      <c r="IJ169" s="1288">
        <f t="shared" si="1327"/>
        <v>0</v>
      </c>
      <c r="IK169" s="284">
        <f t="shared" si="1328"/>
        <v>1</v>
      </c>
      <c r="IL169" s="284">
        <f t="shared" si="1329"/>
        <v>0</v>
      </c>
      <c r="IM169" s="284">
        <f t="shared" si="1330"/>
        <v>0</v>
      </c>
      <c r="IN169" s="284">
        <f t="shared" si="1331"/>
        <v>0</v>
      </c>
      <c r="IO169" s="753">
        <f t="shared" si="1332"/>
        <v>-1521.4125326370756</v>
      </c>
      <c r="IP169" s="113">
        <f t="shared" si="1333"/>
        <v>-1732.9219182656564</v>
      </c>
      <c r="IQ169" s="30">
        <f t="shared" si="1334"/>
        <v>-0.19370913461498507</v>
      </c>
      <c r="IR169" s="438">
        <f t="shared" si="1335"/>
        <v>1129418</v>
      </c>
      <c r="IS169" s="438">
        <f t="shared" si="1336"/>
        <v>514706</v>
      </c>
      <c r="IT169" s="438">
        <f t="shared" si="1337"/>
        <v>1364859</v>
      </c>
      <c r="IU169" s="438">
        <f t="shared" si="1338"/>
        <v>355647</v>
      </c>
      <c r="IV169" s="438">
        <f t="shared" si="1339"/>
        <v>735346</v>
      </c>
      <c r="IW169" s="438">
        <f t="shared" si="1340"/>
        <v>353674</v>
      </c>
      <c r="IX169" s="285">
        <f t="shared" si="1341"/>
        <v>0.68694210412353329</v>
      </c>
      <c r="IY169" s="285">
        <f t="shared" si="1342"/>
        <v>0.31305789587646676</v>
      </c>
      <c r="IZ169" s="285">
        <f t="shared" si="1343"/>
        <v>0.8301435901428359</v>
      </c>
      <c r="JA169" s="285">
        <f t="shared" si="1344"/>
        <v>0.21631397631808794</v>
      </c>
      <c r="JB169" s="285">
        <f t="shared" si="1345"/>
        <v>0.44725701954353808</v>
      </c>
      <c r="JC169" s="285">
        <f t="shared" si="1346"/>
        <v>0.21511394517688448</v>
      </c>
      <c r="JD169" s="60">
        <f t="shared" si="1347"/>
        <v>6016247</v>
      </c>
      <c r="JE169" s="60">
        <f t="shared" si="1348"/>
        <v>2126799</v>
      </c>
      <c r="JF169" s="60">
        <f t="shared" si="1349"/>
        <v>0</v>
      </c>
      <c r="JG169" s="60">
        <f t="shared" si="1350"/>
        <v>358169</v>
      </c>
      <c r="JH169" s="284">
        <f t="shared" si="1351"/>
        <v>1</v>
      </c>
      <c r="JI169" s="284">
        <f t="shared" si="1352"/>
        <v>1</v>
      </c>
      <c r="JJ169" s="560">
        <f t="shared" si="1353"/>
        <v>0.81219349123872808</v>
      </c>
      <c r="JK169" s="561">
        <f t="shared" si="1354"/>
        <v>0.47813077221269407</v>
      </c>
      <c r="JL169" s="561">
        <f t="shared" si="1355"/>
        <v>7.1604382151652546E-2</v>
      </c>
      <c r="JM169" s="561">
        <f t="shared" si="1356"/>
        <v>4.6606054568805094E-2</v>
      </c>
      <c r="JN169" s="561">
        <f t="shared" si="1357"/>
        <v>0.34346910634109501</v>
      </c>
      <c r="JO169" s="561">
        <f t="shared" si="1358"/>
        <v>1.2510751427007585E-3</v>
      </c>
      <c r="JP169" s="561">
        <f t="shared" si="1359"/>
        <v>3.362566308784002E-2</v>
      </c>
      <c r="JQ169" s="561">
        <f t="shared" si="1360"/>
        <v>0.97468705350478746</v>
      </c>
      <c r="JR169" s="61">
        <f t="shared" si="1361"/>
        <v>53744.222222222219</v>
      </c>
      <c r="JS169" s="61">
        <f t="shared" si="1362"/>
        <v>10310.055555555555</v>
      </c>
      <c r="JT169" s="61">
        <f t="shared" si="1363"/>
        <v>34070.611111111109</v>
      </c>
      <c r="JU169" s="61">
        <f t="shared" si="1364"/>
        <v>5772.5</v>
      </c>
      <c r="JV169" s="61">
        <f t="shared" si="1365"/>
        <v>561.61111111111109</v>
      </c>
      <c r="JW169" s="61">
        <f t="shared" si="1366"/>
        <v>2322.2777777777778</v>
      </c>
      <c r="JX169" s="61">
        <f t="shared" si="1367"/>
        <v>40.042979166666669</v>
      </c>
      <c r="JY169" s="394">
        <f t="shared" si="1368"/>
        <v>0.1920216903469005</v>
      </c>
      <c r="JZ169" s="61">
        <f t="shared" si="1369"/>
        <v>0</v>
      </c>
      <c r="KA169" s="61">
        <f t="shared" si="1370"/>
        <v>0</v>
      </c>
      <c r="KB169" s="61">
        <f t="shared" si="1371"/>
        <v>0</v>
      </c>
      <c r="KC169" s="61">
        <f t="shared" si="1372"/>
        <v>0</v>
      </c>
      <c r="KD169" s="61">
        <f t="shared" si="1373"/>
        <v>0</v>
      </c>
      <c r="KE169" s="61">
        <f t="shared" si="1374"/>
        <v>0</v>
      </c>
      <c r="KF169" s="61">
        <f t="shared" si="1375"/>
        <v>0</v>
      </c>
      <c r="KG169" s="61">
        <f t="shared" si="1376"/>
        <v>0</v>
      </c>
      <c r="KH169" s="61">
        <f t="shared" si="1377"/>
        <v>0</v>
      </c>
      <c r="KI169" s="394">
        <f t="shared" si="1378"/>
        <v>0</v>
      </c>
      <c r="KJ169" s="438">
        <f t="shared" si="1379"/>
        <v>18</v>
      </c>
      <c r="KK169" s="438">
        <f t="shared" si="1380"/>
        <v>48000</v>
      </c>
      <c r="KL169" s="438">
        <f t="shared" si="1381"/>
        <v>68</v>
      </c>
      <c r="KM169" s="438">
        <f t="shared" si="1382"/>
        <v>106781.27777777778</v>
      </c>
      <c r="KN169" s="438">
        <f t="shared" si="1383"/>
        <v>40.042979166666669</v>
      </c>
      <c r="KO169" s="438">
        <f t="shared" si="1384"/>
        <v>28265.632352941175</v>
      </c>
      <c r="KP169" s="438">
        <f t="shared" si="1385"/>
        <v>967396</v>
      </c>
      <c r="KQ169" s="438">
        <f t="shared" si="1386"/>
        <v>185581</v>
      </c>
      <c r="KR169" s="438">
        <f t="shared" si="1387"/>
        <v>613271</v>
      </c>
      <c r="KS169" s="438">
        <f t="shared" si="1388"/>
        <v>103905</v>
      </c>
      <c r="KT169" s="438">
        <f t="shared" si="1389"/>
        <v>10109</v>
      </c>
      <c r="KU169" s="438">
        <f t="shared" si="1390"/>
        <v>41801</v>
      </c>
      <c r="KV169" s="420">
        <f t="shared" si="1391"/>
        <v>0.1920216903469005</v>
      </c>
      <c r="KW169" s="420">
        <f t="shared" si="1392"/>
        <v>-0.31253071890166745</v>
      </c>
      <c r="KX169" s="108"/>
      <c r="KY169" s="282">
        <f t="shared" si="1393"/>
        <v>0</v>
      </c>
      <c r="KZ169" s="282"/>
      <c r="LA169" s="282">
        <f t="shared" si="1394"/>
        <v>0</v>
      </c>
      <c r="LB169" s="282"/>
      <c r="LC169" s="286">
        <f t="shared" si="1321"/>
        <v>0</v>
      </c>
      <c r="LD169" s="286"/>
      <c r="LE169" s="282">
        <f t="shared" si="1395"/>
        <v>0</v>
      </c>
      <c r="LF169" s="282"/>
      <c r="LG169" s="282">
        <f t="shared" si="1396"/>
        <v>0</v>
      </c>
      <c r="LH169" s="282">
        <f t="shared" si="1397"/>
        <v>0</v>
      </c>
      <c r="LI169" s="282">
        <f t="shared" si="1398"/>
        <v>0</v>
      </c>
      <c r="LJ169" s="282">
        <f t="shared" si="1399"/>
        <v>0</v>
      </c>
      <c r="LK169" s="282"/>
      <c r="LL169" s="282">
        <f t="shared" si="1400"/>
        <v>0</v>
      </c>
      <c r="LM169" s="282">
        <f t="shared" si="1401"/>
        <v>0</v>
      </c>
      <c r="LN169" s="282">
        <f t="shared" si="1402"/>
        <v>0</v>
      </c>
      <c r="LO169" s="282">
        <f t="shared" si="1403"/>
        <v>0</v>
      </c>
      <c r="LP169" s="286">
        <f t="shared" si="1404"/>
        <v>0</v>
      </c>
      <c r="LQ169" s="282">
        <f t="shared" si="1405"/>
        <v>0</v>
      </c>
      <c r="LR169" s="282">
        <f t="shared" si="1406"/>
        <v>0</v>
      </c>
      <c r="LS169" s="282">
        <f t="shared" si="1407"/>
        <v>0</v>
      </c>
      <c r="LT169" s="286">
        <f t="shared" si="1408"/>
        <v>0</v>
      </c>
      <c r="LU169" s="286">
        <f t="shared" si="1409"/>
        <v>0</v>
      </c>
      <c r="LV169" s="286">
        <f t="shared" si="1410"/>
        <v>0</v>
      </c>
      <c r="LW169" s="286">
        <f t="shared" si="1411"/>
        <v>0</v>
      </c>
      <c r="LX169" s="286">
        <f t="shared" si="1412"/>
        <v>0</v>
      </c>
      <c r="LY169" s="286">
        <f t="shared" si="1413"/>
        <v>0</v>
      </c>
      <c r="LZ169" s="286">
        <f t="shared" si="1414"/>
        <v>0</v>
      </c>
      <c r="MA169" s="286">
        <f t="shared" si="1415"/>
        <v>0</v>
      </c>
      <c r="MB169" s="286">
        <f t="shared" si="1416"/>
        <v>0</v>
      </c>
      <c r="MC169" s="286">
        <f t="shared" si="1417"/>
        <v>0</v>
      </c>
      <c r="MD169" s="286">
        <f t="shared" si="1418"/>
        <v>0</v>
      </c>
      <c r="ME169" s="286">
        <f t="shared" si="1419"/>
        <v>0</v>
      </c>
      <c r="MF169" s="286">
        <f t="shared" si="1420"/>
        <v>0</v>
      </c>
      <c r="MG169" s="286">
        <f t="shared" si="1421"/>
        <v>0</v>
      </c>
      <c r="MH169" s="286">
        <f t="shared" si="1422"/>
        <v>0</v>
      </c>
      <c r="MI169" s="286">
        <f t="shared" si="1423"/>
        <v>0</v>
      </c>
      <c r="MJ169" s="286">
        <f t="shared" si="1424"/>
        <v>0</v>
      </c>
      <c r="MK169" s="286">
        <f t="shared" si="1425"/>
        <v>0</v>
      </c>
      <c r="ML169" s="282">
        <f t="shared" si="1426"/>
        <v>0</v>
      </c>
      <c r="MM169" s="1232">
        <f t="shared" si="1427"/>
        <v>0</v>
      </c>
      <c r="MN169" s="1232">
        <f t="shared" si="1428"/>
        <v>0</v>
      </c>
      <c r="MO169" s="1232">
        <f t="shared" si="1429"/>
        <v>0</v>
      </c>
      <c r="MP169" s="1232">
        <f t="shared" si="1430"/>
        <v>0</v>
      </c>
      <c r="MQ169" s="282">
        <f t="shared" si="1431"/>
        <v>0</v>
      </c>
      <c r="MR169" s="282">
        <f t="shared" si="1432"/>
        <v>0</v>
      </c>
      <c r="MS169" s="282">
        <f t="shared" si="1433"/>
        <v>0</v>
      </c>
      <c r="MT169" s="282">
        <f t="shared" si="1434"/>
        <v>0</v>
      </c>
      <c r="MU169" s="282">
        <f t="shared" si="1435"/>
        <v>0</v>
      </c>
      <c r="MV169" s="282">
        <f t="shared" si="1436"/>
        <v>0</v>
      </c>
      <c r="MW169" s="282">
        <f t="shared" si="1437"/>
        <v>0</v>
      </c>
      <c r="MX169" s="282">
        <f t="shared" si="1438"/>
        <v>0</v>
      </c>
      <c r="MY169" s="282">
        <f t="shared" si="1439"/>
        <v>0</v>
      </c>
      <c r="MZ169" s="282">
        <f t="shared" si="1440"/>
        <v>0</v>
      </c>
      <c r="NA169" s="282">
        <f t="shared" si="1441"/>
        <v>0</v>
      </c>
      <c r="NB169" s="282">
        <f t="shared" si="1442"/>
        <v>0</v>
      </c>
      <c r="NC169" s="282">
        <f t="shared" si="1443"/>
        <v>0</v>
      </c>
      <c r="ND169" s="282">
        <f t="shared" si="1444"/>
        <v>0</v>
      </c>
      <c r="NE169" s="282">
        <f t="shared" si="1445"/>
        <v>0</v>
      </c>
      <c r="NF169" s="282">
        <f t="shared" si="1446"/>
        <v>0</v>
      </c>
      <c r="NG169" s="282">
        <f t="shared" si="1447"/>
        <v>0</v>
      </c>
      <c r="NH169" s="282">
        <f t="shared" si="1448"/>
        <v>0</v>
      </c>
      <c r="NI169" s="282">
        <f t="shared" si="1449"/>
        <v>0</v>
      </c>
      <c r="NJ169" s="282">
        <f t="shared" si="1450"/>
        <v>0</v>
      </c>
      <c r="NK169" s="282">
        <f t="shared" si="1451"/>
        <v>0</v>
      </c>
      <c r="NL169" s="282">
        <f t="shared" si="1452"/>
        <v>0</v>
      </c>
      <c r="NM169" s="1205">
        <f t="shared" si="1453"/>
        <v>0</v>
      </c>
      <c r="NN169" s="282">
        <f t="shared" si="1454"/>
        <v>0</v>
      </c>
      <c r="NO169" s="282">
        <f t="shared" si="1455"/>
        <v>0</v>
      </c>
      <c r="NP169" s="282">
        <f t="shared" si="1456"/>
        <v>0</v>
      </c>
      <c r="NQ169" s="282">
        <f t="shared" si="1457"/>
        <v>0</v>
      </c>
      <c r="NR169" s="282">
        <f t="shared" si="1458"/>
        <v>0</v>
      </c>
      <c r="NS169" s="282">
        <f t="shared" si="1459"/>
        <v>0</v>
      </c>
      <c r="NT169" s="282">
        <f t="shared" si="1460"/>
        <v>0</v>
      </c>
      <c r="NU169" s="282">
        <f t="shared" si="1461"/>
        <v>0</v>
      </c>
      <c r="NV169" s="286">
        <f t="shared" si="1462"/>
        <v>0</v>
      </c>
      <c r="NW169" s="286">
        <f t="shared" si="1463"/>
        <v>0</v>
      </c>
      <c r="NX169" s="286">
        <f t="shared" si="1464"/>
        <v>0</v>
      </c>
      <c r="NY169" s="286">
        <f t="shared" si="1465"/>
        <v>0</v>
      </c>
      <c r="NZ169" s="286">
        <f t="shared" si="1466"/>
        <v>0</v>
      </c>
      <c r="OA169" s="286">
        <f t="shared" si="1467"/>
        <v>0</v>
      </c>
      <c r="OB169" s="286">
        <f t="shared" si="1468"/>
        <v>0</v>
      </c>
      <c r="OC169" s="286">
        <f t="shared" si="1469"/>
        <v>0</v>
      </c>
      <c r="OD169" s="286">
        <f t="shared" si="1470"/>
        <v>0</v>
      </c>
      <c r="OE169" s="282">
        <f t="shared" si="1471"/>
        <v>0</v>
      </c>
      <c r="OF169" s="282">
        <f t="shared" si="1472"/>
        <v>0</v>
      </c>
      <c r="OG169" s="286">
        <f t="shared" si="1473"/>
        <v>0</v>
      </c>
      <c r="OH169" s="286">
        <f t="shared" si="1474"/>
        <v>0</v>
      </c>
      <c r="OI169" s="286">
        <f t="shared" si="1475"/>
        <v>0</v>
      </c>
      <c r="OJ169" s="286">
        <f t="shared" si="1476"/>
        <v>0</v>
      </c>
      <c r="OK169" s="286">
        <f t="shared" si="1477"/>
        <v>0</v>
      </c>
      <c r="OL169" s="286">
        <f t="shared" si="1478"/>
        <v>0</v>
      </c>
      <c r="OM169" s="286">
        <f t="shared" si="1479"/>
        <v>0</v>
      </c>
      <c r="ON169" s="286">
        <f t="shared" si="1480"/>
        <v>0</v>
      </c>
      <c r="OO169" s="286">
        <f t="shared" si="1481"/>
        <v>0</v>
      </c>
      <c r="OP169" s="434">
        <f t="shared" si="1482"/>
        <v>0</v>
      </c>
      <c r="OQ169" s="434">
        <f t="shared" si="1483"/>
        <v>0</v>
      </c>
      <c r="OR169" s="282">
        <f t="shared" si="1484"/>
        <v>0</v>
      </c>
      <c r="OS169" s="282">
        <f t="shared" si="1485"/>
        <v>0</v>
      </c>
      <c r="OT169" s="282">
        <f t="shared" si="1486"/>
        <v>0</v>
      </c>
      <c r="OU169" s="282">
        <f t="shared" si="1487"/>
        <v>0</v>
      </c>
      <c r="OV169" s="282">
        <f t="shared" si="1488"/>
        <v>0</v>
      </c>
      <c r="OW169" s="286">
        <f t="shared" si="1489"/>
        <v>0</v>
      </c>
      <c r="OX169" s="286">
        <f t="shared" si="1490"/>
        <v>0</v>
      </c>
      <c r="OY169" s="286">
        <f t="shared" si="1491"/>
        <v>0</v>
      </c>
      <c r="OZ169" s="286">
        <f t="shared" si="1492"/>
        <v>0</v>
      </c>
      <c r="PA169" s="286">
        <f t="shared" si="1493"/>
        <v>0</v>
      </c>
      <c r="PB169" s="286">
        <f t="shared" si="1494"/>
        <v>0</v>
      </c>
      <c r="PC169" s="286">
        <f t="shared" si="1495"/>
        <v>0</v>
      </c>
      <c r="PD169" s="282">
        <f t="shared" si="1496"/>
        <v>0</v>
      </c>
      <c r="PE169" s="282">
        <f t="shared" si="1497"/>
        <v>0</v>
      </c>
      <c r="PF169" s="286">
        <f t="shared" si="1498"/>
        <v>0</v>
      </c>
      <c r="PG169" s="286">
        <f t="shared" si="1499"/>
        <v>0</v>
      </c>
      <c r="PH169" s="286">
        <f t="shared" si="1500"/>
        <v>0</v>
      </c>
      <c r="PI169" s="286">
        <f t="shared" si="1501"/>
        <v>0</v>
      </c>
      <c r="PJ169" s="286">
        <f t="shared" si="1502"/>
        <v>0</v>
      </c>
      <c r="PK169" s="286">
        <f t="shared" si="1503"/>
        <v>0</v>
      </c>
      <c r="PL169" s="286">
        <f t="shared" si="1504"/>
        <v>0</v>
      </c>
      <c r="PM169" s="562">
        <v>113</v>
      </c>
    </row>
    <row r="170" spans="1:429" s="289" customFormat="1" ht="15.75" customHeight="1">
      <c r="A170" s="1935" t="s">
        <v>708</v>
      </c>
      <c r="B170" s="1040" t="str">
        <f>VLOOKUP(A170,'Area (&amp;golfacre for lookup)'!$A$2:$B$162,2,FALSE)</f>
        <v>North&amp;Central</v>
      </c>
      <c r="C170" s="1936"/>
      <c r="D170" s="1937">
        <v>44865</v>
      </c>
      <c r="E170" s="402"/>
      <c r="F170" s="1936">
        <v>1</v>
      </c>
      <c r="G170" s="1936">
        <v>0</v>
      </c>
      <c r="H170" s="1936">
        <v>275</v>
      </c>
      <c r="I170" s="1936">
        <v>301</v>
      </c>
      <c r="J170" s="1936">
        <v>576</v>
      </c>
      <c r="K170" s="1938">
        <v>455.17669861096158</v>
      </c>
      <c r="L170" s="1939" t="s">
        <v>1208</v>
      </c>
      <c r="M170" s="1939" t="s">
        <v>1208</v>
      </c>
      <c r="N170" s="1939" t="s">
        <v>1208</v>
      </c>
      <c r="O170" s="1939" t="s">
        <v>1208</v>
      </c>
      <c r="P170" s="1939" t="s">
        <v>1208</v>
      </c>
      <c r="Q170" s="1936">
        <v>0</v>
      </c>
      <c r="R170" s="1936">
        <v>30000</v>
      </c>
      <c r="S170" s="1936">
        <v>30000</v>
      </c>
      <c r="T170" s="1939" t="s">
        <v>1208</v>
      </c>
      <c r="U170" s="1939" t="s">
        <v>1208</v>
      </c>
      <c r="V170" s="1939" t="s">
        <v>1208</v>
      </c>
      <c r="W170" s="1936">
        <v>9566</v>
      </c>
      <c r="X170" s="1936">
        <v>9287</v>
      </c>
      <c r="Y170" s="1939" t="s">
        <v>1208</v>
      </c>
      <c r="Z170" s="1939" t="s">
        <v>1208</v>
      </c>
      <c r="AA170" s="1936">
        <v>279</v>
      </c>
      <c r="AB170" s="1362">
        <v>3.004199418542048E-2</v>
      </c>
      <c r="AC170" s="1939" t="s">
        <v>1208</v>
      </c>
      <c r="AD170" s="1363" t="s">
        <v>1208</v>
      </c>
      <c r="AE170" s="1936">
        <v>1</v>
      </c>
      <c r="AF170" s="1936">
        <v>1200</v>
      </c>
      <c r="AG170" s="1939" t="s">
        <v>1208</v>
      </c>
      <c r="AH170" s="1936">
        <v>0</v>
      </c>
      <c r="AI170" s="1936">
        <v>0</v>
      </c>
      <c r="AJ170" s="1939" t="s">
        <v>1208</v>
      </c>
      <c r="AK170" s="1986">
        <v>0</v>
      </c>
      <c r="AL170" s="1938">
        <v>0</v>
      </c>
      <c r="AM170" s="1936">
        <v>10487</v>
      </c>
      <c r="AN170" s="1939" t="s">
        <v>1208</v>
      </c>
      <c r="AO170" s="1936">
        <v>1000</v>
      </c>
      <c r="AP170" s="1936">
        <v>0</v>
      </c>
      <c r="AQ170" s="1936">
        <v>11487</v>
      </c>
      <c r="AR170" s="1939" t="s">
        <v>1208</v>
      </c>
      <c r="AS170" s="1363" t="s">
        <v>1208</v>
      </c>
      <c r="AT170" s="1363" t="s">
        <v>1208</v>
      </c>
      <c r="AU170" s="1363" t="s">
        <v>1208</v>
      </c>
      <c r="AV170" s="1363" t="s">
        <v>1208</v>
      </c>
      <c r="AW170" s="1363" t="s">
        <v>1291</v>
      </c>
      <c r="AX170" s="1938">
        <v>1</v>
      </c>
      <c r="AY170" s="1938">
        <v>1</v>
      </c>
      <c r="AZ170" s="1938">
        <v>0</v>
      </c>
      <c r="BA170" s="1938">
        <v>1</v>
      </c>
      <c r="BB170" s="1938">
        <v>0</v>
      </c>
      <c r="BC170" s="1938">
        <v>0</v>
      </c>
      <c r="BD170" s="1938">
        <v>1</v>
      </c>
      <c r="BE170" s="1936">
        <v>1</v>
      </c>
      <c r="BF170" s="1936">
        <v>200000</v>
      </c>
      <c r="BG170" s="1936">
        <v>400000</v>
      </c>
      <c r="BH170" s="1936">
        <v>600000</v>
      </c>
      <c r="BI170" s="1938">
        <v>9947559</v>
      </c>
      <c r="BJ170" s="1936">
        <v>565039</v>
      </c>
      <c r="BK170" s="1936">
        <v>1141399</v>
      </c>
      <c r="BL170" s="1362">
        <v>0.49504073509789304</v>
      </c>
      <c r="BM170" s="1936">
        <v>1</v>
      </c>
      <c r="BN170" s="1936">
        <v>173862</v>
      </c>
      <c r="BO170" s="1363" t="s">
        <v>1208</v>
      </c>
      <c r="BP170" s="1938">
        <v>1414885</v>
      </c>
      <c r="BQ170" s="1938">
        <v>1351422</v>
      </c>
      <c r="BR170" s="1940">
        <v>1.0469601649225779</v>
      </c>
      <c r="BS170" s="1409">
        <v>1</v>
      </c>
      <c r="BT170" s="1938">
        <v>1464115</v>
      </c>
      <c r="BU170" s="1938">
        <v>9942734</v>
      </c>
      <c r="BV170" s="1940">
        <v>0.14725476916107783</v>
      </c>
      <c r="BW170" s="1936">
        <v>381.96594977415447</v>
      </c>
      <c r="BX170" s="1936">
        <v>1241.3618749033053</v>
      </c>
      <c r="BY170" s="1936">
        <v>1318.1694094425043</v>
      </c>
      <c r="BZ170" s="1936">
        <v>802310</v>
      </c>
      <c r="CA170" s="1936">
        <v>0</v>
      </c>
      <c r="CB170" s="1936">
        <v>457778</v>
      </c>
      <c r="CC170" s="1936">
        <v>0</v>
      </c>
      <c r="CD170" s="1936">
        <v>4227226</v>
      </c>
      <c r="CE170" s="1936">
        <v>0</v>
      </c>
      <c r="CF170" s="1936">
        <v>0</v>
      </c>
      <c r="CG170" s="1936">
        <v>1376541</v>
      </c>
      <c r="CH170" s="1936">
        <v>619391</v>
      </c>
      <c r="CI170" s="1936">
        <v>87016</v>
      </c>
      <c r="CJ170" s="1936">
        <v>7570262</v>
      </c>
      <c r="CK170" s="1366">
        <v>0.10598180089407738</v>
      </c>
      <c r="CL170" s="1366">
        <v>0</v>
      </c>
      <c r="CM170" s="1366">
        <v>6.0470562313431162E-2</v>
      </c>
      <c r="CN170" s="1366">
        <v>0</v>
      </c>
      <c r="CO170" s="1366">
        <v>0.55839890349898058</v>
      </c>
      <c r="CP170" s="1366">
        <v>0</v>
      </c>
      <c r="CQ170" s="1366">
        <v>0</v>
      </c>
      <c r="CR170" s="1366">
        <v>0.18183531824922308</v>
      </c>
      <c r="CS170" s="1366">
        <v>8.1818964786159312E-2</v>
      </c>
      <c r="CT170" s="1366">
        <v>1.1494450258128451E-2</v>
      </c>
      <c r="CU170" s="1366">
        <v>1</v>
      </c>
      <c r="CV170" s="1936">
        <v>3711348</v>
      </c>
      <c r="CW170" s="1936">
        <v>1050269</v>
      </c>
      <c r="CX170" s="1936">
        <v>215093</v>
      </c>
      <c r="CY170" s="1936">
        <v>1928244</v>
      </c>
      <c r="CZ170" s="1936">
        <v>84765</v>
      </c>
      <c r="DA170" s="1936">
        <v>183890</v>
      </c>
      <c r="DB170" s="1936">
        <v>7173609</v>
      </c>
      <c r="DC170" s="1366">
        <v>0.51736134489627184</v>
      </c>
      <c r="DD170" s="1366">
        <v>0.14640733834252745</v>
      </c>
      <c r="DE170" s="1366">
        <v>2.9983931379588713E-2</v>
      </c>
      <c r="DF170" s="1366">
        <v>0.26879691937489203</v>
      </c>
      <c r="DG170" s="1366">
        <v>1.1816228065956759E-2</v>
      </c>
      <c r="DH170" s="1366">
        <v>2.5634237940763149E-2</v>
      </c>
      <c r="DI170" s="1366">
        <v>1</v>
      </c>
      <c r="DJ170" s="1936">
        <v>396653</v>
      </c>
      <c r="DK170" s="1936">
        <v>1762.6341648163593</v>
      </c>
      <c r="DL170" s="1936">
        <v>0</v>
      </c>
      <c r="DM170" s="1936">
        <v>1005.7149265262846</v>
      </c>
      <c r="DN170" s="1936">
        <v>0</v>
      </c>
      <c r="DO170" s="1936">
        <v>9287</v>
      </c>
      <c r="DP170" s="1936">
        <v>0</v>
      </c>
      <c r="DQ170" s="1936">
        <v>0</v>
      </c>
      <c r="DR170" s="1936">
        <v>3024.190395072324</v>
      </c>
      <c r="DS170" s="1936">
        <v>1360.7704478066703</v>
      </c>
      <c r="DT170" s="1936">
        <v>191.16971555341493</v>
      </c>
      <c r="DU170" s="1936">
        <v>16631.479649775054</v>
      </c>
      <c r="DV170" s="1936">
        <v>8153.6423356593659</v>
      </c>
      <c r="DW170" s="1936">
        <v>2307.3874458096161</v>
      </c>
      <c r="DX170" s="1936">
        <v>472.54835464202762</v>
      </c>
      <c r="DY170" s="1936">
        <v>4236.2537579017535</v>
      </c>
      <c r="DZ170" s="1936">
        <v>186.22438331898979</v>
      </c>
      <c r="EA170" s="1936">
        <v>403.99695450397019</v>
      </c>
      <c r="EB170" s="1936">
        <v>15760.053231835724</v>
      </c>
      <c r="EC170" s="1936">
        <v>871.42641793932944</v>
      </c>
      <c r="ED170" s="1941">
        <v>60</v>
      </c>
      <c r="EE170" s="1936">
        <v>0</v>
      </c>
      <c r="EF170" s="1936">
        <v>0</v>
      </c>
      <c r="EG170" s="1938">
        <v>0</v>
      </c>
      <c r="EH170" s="1938">
        <v>1</v>
      </c>
      <c r="EI170" s="1368">
        <v>0.05</v>
      </c>
      <c r="EJ170" s="1936">
        <v>7.5862783101826929</v>
      </c>
      <c r="EK170" s="1936">
        <v>1</v>
      </c>
      <c r="EL170" s="1936">
        <v>1000</v>
      </c>
      <c r="EM170" s="1936">
        <v>0</v>
      </c>
      <c r="EN170" s="1362">
        <v>0</v>
      </c>
      <c r="EO170" s="1936">
        <v>0</v>
      </c>
      <c r="EP170" s="1936">
        <v>0</v>
      </c>
      <c r="EQ170" s="1936">
        <v>0</v>
      </c>
      <c r="ER170" s="1938">
        <v>1</v>
      </c>
      <c r="ES170" s="1936">
        <v>4384.9608428789943</v>
      </c>
      <c r="ET170" s="1936">
        <v>-1655.6119904637226</v>
      </c>
      <c r="EU170" s="1938">
        <v>2</v>
      </c>
      <c r="EV170" s="1936">
        <v>25000</v>
      </c>
      <c r="EW170" s="1936">
        <v>24</v>
      </c>
      <c r="EX170" s="1938">
        <v>1</v>
      </c>
      <c r="EY170" s="1936">
        <v>1376541</v>
      </c>
      <c r="EZ170" s="1936">
        <v>814823</v>
      </c>
      <c r="FA170" s="1936">
        <v>561718</v>
      </c>
      <c r="FB170" s="1936">
        <v>619391</v>
      </c>
      <c r="FC170" s="1936">
        <v>235446</v>
      </c>
      <c r="FD170" s="1936">
        <v>383945</v>
      </c>
      <c r="FE170" s="1936">
        <v>1995932</v>
      </c>
      <c r="FF170" s="1936">
        <v>1050269</v>
      </c>
      <c r="FG170" s="1936">
        <v>945663</v>
      </c>
      <c r="FH170" s="1366">
        <v>1</v>
      </c>
      <c r="FI170" s="1366">
        <v>0.59193514759095445</v>
      </c>
      <c r="FJ170" s="1366">
        <v>0.40806485240904555</v>
      </c>
      <c r="FK170" s="1366">
        <v>1</v>
      </c>
      <c r="FL170" s="1366">
        <v>0.38012499374385483</v>
      </c>
      <c r="FM170" s="1366">
        <v>0.61987500625614511</v>
      </c>
      <c r="FN170" s="1366">
        <v>1</v>
      </c>
      <c r="FO170" s="1366">
        <v>0.52620480056434793</v>
      </c>
      <c r="FP170" s="1366">
        <v>0.47379519943565213</v>
      </c>
      <c r="FQ170" s="1936">
        <v>1137361</v>
      </c>
      <c r="FR170" s="1936">
        <v>0</v>
      </c>
      <c r="FS170" s="1936">
        <v>325516</v>
      </c>
      <c r="FT170" s="1936">
        <v>0</v>
      </c>
      <c r="FU170" s="1936">
        <v>1402</v>
      </c>
      <c r="FV170" s="1936">
        <v>4151</v>
      </c>
      <c r="FW170" s="1936">
        <v>230829</v>
      </c>
      <c r="FX170" s="1936">
        <v>1699259</v>
      </c>
      <c r="FY170" s="1936">
        <v>-753596</v>
      </c>
      <c r="FZ170" s="1366">
        <v>0.56983955365212846</v>
      </c>
      <c r="GA170" s="1366">
        <v>0</v>
      </c>
      <c r="GB170" s="1366">
        <v>0.16308972449963224</v>
      </c>
      <c r="GC170" s="1366">
        <v>0</v>
      </c>
      <c r="GD170" s="1366">
        <v>7.0242874005727648E-4</v>
      </c>
      <c r="GE170" s="1366">
        <v>2.0797301711681562E-3</v>
      </c>
      <c r="GF170" s="1366">
        <v>0.1156497315539808</v>
      </c>
      <c r="GG170" s="1366">
        <v>0.85136116861696687</v>
      </c>
      <c r="GH170" s="1366">
        <v>-0.3775659691813148</v>
      </c>
      <c r="GI170" s="1942">
        <v>2.222410399892798</v>
      </c>
      <c r="GJ170" s="1943">
        <v>1</v>
      </c>
      <c r="GK170" s="1371">
        <v>0.05</v>
      </c>
      <c r="GL170" s="1943">
        <v>1</v>
      </c>
      <c r="GM170" s="1371">
        <v>0.05</v>
      </c>
      <c r="GN170" s="1943">
        <v>18</v>
      </c>
      <c r="GO170" s="1985">
        <f>IF(GN170=0,0,VLOOKUP(A170,'Area (&amp;golfacre for lookup)'!$G$2:$H$133,2,FALSE))</f>
        <v>121</v>
      </c>
      <c r="GP170" s="1943">
        <v>29840</v>
      </c>
      <c r="GQ170" s="1943">
        <v>677858</v>
      </c>
      <c r="GR170" s="1943">
        <v>155743</v>
      </c>
      <c r="GS170" s="1943">
        <v>513640</v>
      </c>
      <c r="GT170" s="1943">
        <v>167409</v>
      </c>
      <c r="GU170" s="1943">
        <v>3062</v>
      </c>
      <c r="GV170" s="1943">
        <v>161392</v>
      </c>
      <c r="GW170" s="1943">
        <v>1679104</v>
      </c>
      <c r="GX170" s="1943">
        <v>13876.892561983472</v>
      </c>
      <c r="GY170" s="1985">
        <f t="shared" si="1319"/>
        <v>13876.892561983472</v>
      </c>
      <c r="GZ170" s="1366">
        <v>0.40370221260862937</v>
      </c>
      <c r="HA170" s="1366">
        <v>9.2753635272145141E-2</v>
      </c>
      <c r="HB170" s="1366">
        <v>0.30590124256746454</v>
      </c>
      <c r="HC170" s="1366">
        <v>9.9701388359506024E-2</v>
      </c>
      <c r="HD170" s="1366">
        <v>1.8235916298216192E-3</v>
      </c>
      <c r="HE170" s="1366">
        <v>9.6117929562433299E-2</v>
      </c>
      <c r="HF170" s="1366">
        <v>1</v>
      </c>
      <c r="HG170" s="1936">
        <v>0</v>
      </c>
      <c r="HH170" s="1988">
        <f>IF(HG170=0,0,VLOOKUP(A170,'Area (&amp;golfacre for lookup)'!$G$2:$H$134,2,FALSE))</f>
        <v>0</v>
      </c>
      <c r="HI170" s="1936">
        <v>0</v>
      </c>
      <c r="HJ170" s="1936">
        <v>0</v>
      </c>
      <c r="HK170" s="1936">
        <v>0</v>
      </c>
      <c r="HL170" s="1936">
        <v>0</v>
      </c>
      <c r="HM170" s="1936">
        <v>0</v>
      </c>
      <c r="HN170" s="1936">
        <v>0</v>
      </c>
      <c r="HO170" s="1936">
        <v>0</v>
      </c>
      <c r="HP170" s="1936">
        <v>0</v>
      </c>
      <c r="HQ170" s="1936">
        <v>0</v>
      </c>
      <c r="HR170" s="1988">
        <f t="shared" si="1320"/>
        <v>0</v>
      </c>
      <c r="HS170" s="1936">
        <v>0</v>
      </c>
      <c r="HT170" s="1936">
        <v>0</v>
      </c>
      <c r="HU170" s="1936">
        <v>0</v>
      </c>
      <c r="HV170" s="1936">
        <v>0</v>
      </c>
      <c r="HW170" s="1936">
        <v>0</v>
      </c>
      <c r="HX170" s="1936">
        <v>0</v>
      </c>
      <c r="HY170" s="1936">
        <v>0</v>
      </c>
      <c r="HZ170" s="51"/>
      <c r="IA170" s="59">
        <f t="shared" si="1322"/>
        <v>0</v>
      </c>
      <c r="IB170" s="59"/>
      <c r="IC170" s="815">
        <f t="shared" si="1323"/>
        <v>1</v>
      </c>
      <c r="ID170" s="815"/>
      <c r="IE170" s="284">
        <f t="shared" si="1324"/>
        <v>0</v>
      </c>
      <c r="IF170" s="284"/>
      <c r="IG170" s="284">
        <f t="shared" si="1325"/>
        <v>21854.27995404078</v>
      </c>
      <c r="IH170" s="284"/>
      <c r="II170" s="1288">
        <f t="shared" si="1326"/>
        <v>1.0469601649225779</v>
      </c>
      <c r="IJ170" s="1288">
        <f t="shared" si="1327"/>
        <v>0</v>
      </c>
      <c r="IK170" s="284">
        <f t="shared" si="1328"/>
        <v>0</v>
      </c>
      <c r="IL170" s="284">
        <f t="shared" si="1329"/>
        <v>0</v>
      </c>
      <c r="IM170" s="284">
        <f t="shared" si="1330"/>
        <v>0</v>
      </c>
      <c r="IN170" s="284">
        <f t="shared" si="1331"/>
        <v>0</v>
      </c>
      <c r="IO170" s="753">
        <f t="shared" si="1332"/>
        <v>-1308.3263888888889</v>
      </c>
      <c r="IP170" s="113">
        <f t="shared" si="1333"/>
        <v>-1655.6119904637226</v>
      </c>
      <c r="IQ170" s="30">
        <f t="shared" si="1334"/>
        <v>-0.17827199208180494</v>
      </c>
      <c r="IR170" s="438">
        <f t="shared" si="1335"/>
        <v>1376541</v>
      </c>
      <c r="IS170" s="438">
        <f t="shared" si="1336"/>
        <v>619391</v>
      </c>
      <c r="IT170" s="438">
        <f t="shared" si="1337"/>
        <v>1137361</v>
      </c>
      <c r="IU170" s="438">
        <f t="shared" si="1338"/>
        <v>325516</v>
      </c>
      <c r="IV170" s="438">
        <f t="shared" si="1339"/>
        <v>1050269</v>
      </c>
      <c r="IW170" s="438">
        <f t="shared" si="1340"/>
        <v>236382</v>
      </c>
      <c r="IX170" s="285">
        <f t="shared" si="1341"/>
        <v>0.68967329548301248</v>
      </c>
      <c r="IY170" s="285">
        <f t="shared" si="1342"/>
        <v>0.31032670451698757</v>
      </c>
      <c r="IZ170" s="285">
        <f t="shared" si="1343"/>
        <v>0.56983955365212846</v>
      </c>
      <c r="JA170" s="285">
        <f t="shared" si="1344"/>
        <v>0.16308972449963224</v>
      </c>
      <c r="JB170" s="285">
        <f t="shared" si="1345"/>
        <v>0.52620480056434793</v>
      </c>
      <c r="JC170" s="285">
        <f t="shared" si="1346"/>
        <v>0.11843189046520623</v>
      </c>
      <c r="JD170" s="60">
        <f t="shared" si="1347"/>
        <v>4227226</v>
      </c>
      <c r="JE170" s="60">
        <f t="shared" si="1348"/>
        <v>1260088</v>
      </c>
      <c r="JF170" s="60">
        <f t="shared" si="1349"/>
        <v>0</v>
      </c>
      <c r="JG170" s="60">
        <f t="shared" si="1350"/>
        <v>268655</v>
      </c>
      <c r="JH170" s="284">
        <f t="shared" si="1351"/>
        <v>1</v>
      </c>
      <c r="JI170" s="284">
        <f t="shared" si="1352"/>
        <v>1</v>
      </c>
      <c r="JJ170" s="560">
        <f t="shared" si="1353"/>
        <v>0.46986312142566922</v>
      </c>
      <c r="JK170" s="561">
        <f t="shared" si="1354"/>
        <v>0.49025357378648188</v>
      </c>
      <c r="JL170" s="561">
        <f t="shared" si="1355"/>
        <v>0.13873614942256951</v>
      </c>
      <c r="JM170" s="561">
        <f t="shared" si="1356"/>
        <v>2.84128871629542E-2</v>
      </c>
      <c r="JN170" s="561">
        <f t="shared" si="1357"/>
        <v>0.25471298087173205</v>
      </c>
      <c r="JO170" s="561">
        <f t="shared" si="1358"/>
        <v>1.1197102557348742E-2</v>
      </c>
      <c r="JP170" s="561">
        <f t="shared" si="1359"/>
        <v>2.429110115343432E-2</v>
      </c>
      <c r="JQ170" s="561">
        <f t="shared" si="1360"/>
        <v>0.94760379495452063</v>
      </c>
      <c r="JR170" s="61">
        <f t="shared" si="1361"/>
        <v>37658.777777777781</v>
      </c>
      <c r="JS170" s="61">
        <f t="shared" si="1362"/>
        <v>8652.3888888888887</v>
      </c>
      <c r="JT170" s="61">
        <f t="shared" si="1363"/>
        <v>28535.555555555555</v>
      </c>
      <c r="JU170" s="61">
        <f t="shared" si="1364"/>
        <v>9300.5</v>
      </c>
      <c r="JV170" s="61">
        <f t="shared" si="1365"/>
        <v>170.11111111111111</v>
      </c>
      <c r="JW170" s="61">
        <f t="shared" si="1366"/>
        <v>8966.2222222222226</v>
      </c>
      <c r="JX170" s="61">
        <f t="shared" si="1367"/>
        <v>56.270241286863268</v>
      </c>
      <c r="JY170" s="394">
        <f t="shared" si="1368"/>
        <v>0.2340668413904354</v>
      </c>
      <c r="JZ170" s="61">
        <f t="shared" si="1369"/>
        <v>0</v>
      </c>
      <c r="KA170" s="61">
        <f t="shared" si="1370"/>
        <v>0</v>
      </c>
      <c r="KB170" s="61">
        <f t="shared" si="1371"/>
        <v>0</v>
      </c>
      <c r="KC170" s="61">
        <f t="shared" si="1372"/>
        <v>0</v>
      </c>
      <c r="KD170" s="61">
        <f t="shared" si="1373"/>
        <v>0</v>
      </c>
      <c r="KE170" s="61">
        <f t="shared" si="1374"/>
        <v>0</v>
      </c>
      <c r="KF170" s="61">
        <f t="shared" si="1375"/>
        <v>0</v>
      </c>
      <c r="KG170" s="61">
        <f t="shared" si="1376"/>
        <v>0</v>
      </c>
      <c r="KH170" s="61">
        <f t="shared" si="1377"/>
        <v>0</v>
      </c>
      <c r="KI170" s="394">
        <f t="shared" si="1378"/>
        <v>0</v>
      </c>
      <c r="KJ170" s="438">
        <f t="shared" si="1379"/>
        <v>18</v>
      </c>
      <c r="KK170" s="438">
        <f t="shared" si="1380"/>
        <v>29840</v>
      </c>
      <c r="KL170" s="438">
        <f t="shared" si="1381"/>
        <v>121</v>
      </c>
      <c r="KM170" s="438">
        <f t="shared" si="1382"/>
        <v>13876.892561983472</v>
      </c>
      <c r="KN170" s="438">
        <f t="shared" si="1383"/>
        <v>56.270241286863268</v>
      </c>
      <c r="KO170" s="438">
        <f t="shared" si="1384"/>
        <v>13876.892561983472</v>
      </c>
      <c r="KP170" s="438">
        <f t="shared" si="1385"/>
        <v>677858</v>
      </c>
      <c r="KQ170" s="438">
        <f t="shared" si="1386"/>
        <v>155743</v>
      </c>
      <c r="KR170" s="438">
        <f t="shared" si="1387"/>
        <v>513640</v>
      </c>
      <c r="KS170" s="438">
        <f t="shared" si="1388"/>
        <v>167409</v>
      </c>
      <c r="KT170" s="438">
        <f t="shared" si="1389"/>
        <v>3062</v>
      </c>
      <c r="KU170" s="438">
        <f t="shared" si="1390"/>
        <v>161392</v>
      </c>
      <c r="KV170" s="420">
        <f t="shared" si="1391"/>
        <v>0.2340668413904354</v>
      </c>
      <c r="KW170" s="420">
        <f t="shared" si="1392"/>
        <v>-0.35903261382287105</v>
      </c>
      <c r="KX170" s="108"/>
      <c r="KY170" s="282">
        <f t="shared" si="1393"/>
        <v>0</v>
      </c>
      <c r="KZ170" s="282"/>
      <c r="LA170" s="282">
        <f t="shared" si="1394"/>
        <v>0</v>
      </c>
      <c r="LB170" s="282"/>
      <c r="LC170" s="286">
        <f t="shared" si="1321"/>
        <v>0</v>
      </c>
      <c r="LD170" s="286"/>
      <c r="LE170" s="282">
        <f t="shared" si="1395"/>
        <v>0</v>
      </c>
      <c r="LF170" s="282"/>
      <c r="LG170" s="282">
        <f t="shared" si="1396"/>
        <v>0</v>
      </c>
      <c r="LH170" s="282">
        <f t="shared" si="1397"/>
        <v>0</v>
      </c>
      <c r="LI170" s="282">
        <f t="shared" si="1398"/>
        <v>0</v>
      </c>
      <c r="LJ170" s="282">
        <f t="shared" si="1399"/>
        <v>0</v>
      </c>
      <c r="LK170" s="282"/>
      <c r="LL170" s="282">
        <f t="shared" si="1400"/>
        <v>0</v>
      </c>
      <c r="LM170" s="282">
        <f t="shared" si="1401"/>
        <v>0</v>
      </c>
      <c r="LN170" s="282">
        <f t="shared" si="1402"/>
        <v>0</v>
      </c>
      <c r="LO170" s="282">
        <f t="shared" si="1403"/>
        <v>0</v>
      </c>
      <c r="LP170" s="286">
        <f t="shared" si="1404"/>
        <v>0</v>
      </c>
      <c r="LQ170" s="282">
        <f t="shared" si="1405"/>
        <v>0</v>
      </c>
      <c r="LR170" s="282">
        <f t="shared" si="1406"/>
        <v>0</v>
      </c>
      <c r="LS170" s="282">
        <f t="shared" si="1407"/>
        <v>0</v>
      </c>
      <c r="LT170" s="286">
        <f t="shared" si="1408"/>
        <v>0</v>
      </c>
      <c r="LU170" s="286">
        <f t="shared" si="1409"/>
        <v>0</v>
      </c>
      <c r="LV170" s="286">
        <f t="shared" si="1410"/>
        <v>0</v>
      </c>
      <c r="LW170" s="286">
        <f t="shared" si="1411"/>
        <v>0</v>
      </c>
      <c r="LX170" s="286">
        <f t="shared" si="1412"/>
        <v>0</v>
      </c>
      <c r="LY170" s="286">
        <f t="shared" si="1413"/>
        <v>0</v>
      </c>
      <c r="LZ170" s="286">
        <f t="shared" si="1414"/>
        <v>0</v>
      </c>
      <c r="MA170" s="286">
        <f t="shared" si="1415"/>
        <v>0</v>
      </c>
      <c r="MB170" s="286">
        <f t="shared" si="1416"/>
        <v>0</v>
      </c>
      <c r="MC170" s="286">
        <f t="shared" si="1417"/>
        <v>0</v>
      </c>
      <c r="MD170" s="286">
        <f t="shared" si="1418"/>
        <v>0</v>
      </c>
      <c r="ME170" s="286">
        <f t="shared" si="1419"/>
        <v>0</v>
      </c>
      <c r="MF170" s="286">
        <f t="shared" si="1420"/>
        <v>0</v>
      </c>
      <c r="MG170" s="286">
        <f t="shared" si="1421"/>
        <v>0</v>
      </c>
      <c r="MH170" s="286">
        <f t="shared" si="1422"/>
        <v>0</v>
      </c>
      <c r="MI170" s="286">
        <f t="shared" si="1423"/>
        <v>0</v>
      </c>
      <c r="MJ170" s="286">
        <f t="shared" si="1424"/>
        <v>0</v>
      </c>
      <c r="MK170" s="286">
        <f t="shared" si="1425"/>
        <v>0</v>
      </c>
      <c r="ML170" s="282">
        <f t="shared" si="1426"/>
        <v>0</v>
      </c>
      <c r="MM170" s="1232">
        <f t="shared" si="1427"/>
        <v>0</v>
      </c>
      <c r="MN170" s="1232">
        <f t="shared" si="1428"/>
        <v>0</v>
      </c>
      <c r="MO170" s="1232">
        <f t="shared" si="1429"/>
        <v>0</v>
      </c>
      <c r="MP170" s="1232">
        <f t="shared" si="1430"/>
        <v>0</v>
      </c>
      <c r="MQ170" s="282">
        <f t="shared" si="1431"/>
        <v>0</v>
      </c>
      <c r="MR170" s="282">
        <f t="shared" si="1432"/>
        <v>0</v>
      </c>
      <c r="MS170" s="282">
        <f t="shared" si="1433"/>
        <v>0</v>
      </c>
      <c r="MT170" s="282">
        <f t="shared" si="1434"/>
        <v>0</v>
      </c>
      <c r="MU170" s="282">
        <f t="shared" si="1435"/>
        <v>0</v>
      </c>
      <c r="MV170" s="282">
        <f t="shared" si="1436"/>
        <v>0</v>
      </c>
      <c r="MW170" s="282">
        <f t="shared" si="1437"/>
        <v>0</v>
      </c>
      <c r="MX170" s="282">
        <f t="shared" si="1438"/>
        <v>0</v>
      </c>
      <c r="MY170" s="282">
        <f t="shared" si="1439"/>
        <v>0</v>
      </c>
      <c r="MZ170" s="282">
        <f t="shared" si="1440"/>
        <v>0</v>
      </c>
      <c r="NA170" s="282">
        <f t="shared" si="1441"/>
        <v>0</v>
      </c>
      <c r="NB170" s="282">
        <f t="shared" si="1442"/>
        <v>0</v>
      </c>
      <c r="NC170" s="282">
        <f t="shared" si="1443"/>
        <v>0</v>
      </c>
      <c r="ND170" s="282">
        <f t="shared" si="1444"/>
        <v>0</v>
      </c>
      <c r="NE170" s="282">
        <f t="shared" si="1445"/>
        <v>0</v>
      </c>
      <c r="NF170" s="282">
        <f t="shared" si="1446"/>
        <v>0</v>
      </c>
      <c r="NG170" s="282">
        <f t="shared" si="1447"/>
        <v>0</v>
      </c>
      <c r="NH170" s="282">
        <f t="shared" si="1448"/>
        <v>0</v>
      </c>
      <c r="NI170" s="282">
        <f t="shared" si="1449"/>
        <v>0</v>
      </c>
      <c r="NJ170" s="282">
        <f t="shared" si="1450"/>
        <v>0</v>
      </c>
      <c r="NK170" s="282">
        <f t="shared" si="1451"/>
        <v>0</v>
      </c>
      <c r="NL170" s="282">
        <f t="shared" si="1452"/>
        <v>0</v>
      </c>
      <c r="NM170" s="1205">
        <f t="shared" si="1453"/>
        <v>0</v>
      </c>
      <c r="NN170" s="282">
        <f t="shared" si="1454"/>
        <v>0</v>
      </c>
      <c r="NO170" s="282">
        <f t="shared" si="1455"/>
        <v>0</v>
      </c>
      <c r="NP170" s="282">
        <f t="shared" si="1456"/>
        <v>0</v>
      </c>
      <c r="NQ170" s="282">
        <f t="shared" si="1457"/>
        <v>0</v>
      </c>
      <c r="NR170" s="282">
        <f t="shared" si="1458"/>
        <v>0</v>
      </c>
      <c r="NS170" s="282">
        <f t="shared" si="1459"/>
        <v>0</v>
      </c>
      <c r="NT170" s="282">
        <f t="shared" si="1460"/>
        <v>0</v>
      </c>
      <c r="NU170" s="282">
        <f t="shared" si="1461"/>
        <v>0</v>
      </c>
      <c r="NV170" s="286">
        <f t="shared" si="1462"/>
        <v>0</v>
      </c>
      <c r="NW170" s="286">
        <f t="shared" si="1463"/>
        <v>0</v>
      </c>
      <c r="NX170" s="286">
        <f t="shared" si="1464"/>
        <v>0</v>
      </c>
      <c r="NY170" s="286">
        <f t="shared" si="1465"/>
        <v>0</v>
      </c>
      <c r="NZ170" s="286">
        <f t="shared" si="1466"/>
        <v>0</v>
      </c>
      <c r="OA170" s="286">
        <f t="shared" si="1467"/>
        <v>0</v>
      </c>
      <c r="OB170" s="286">
        <f t="shared" si="1468"/>
        <v>0</v>
      </c>
      <c r="OC170" s="286">
        <f t="shared" si="1469"/>
        <v>0</v>
      </c>
      <c r="OD170" s="286">
        <f t="shared" si="1470"/>
        <v>0</v>
      </c>
      <c r="OE170" s="282">
        <f t="shared" si="1471"/>
        <v>0</v>
      </c>
      <c r="OF170" s="282">
        <f t="shared" si="1472"/>
        <v>0</v>
      </c>
      <c r="OG170" s="286">
        <f t="shared" si="1473"/>
        <v>0</v>
      </c>
      <c r="OH170" s="286">
        <f t="shared" si="1474"/>
        <v>0</v>
      </c>
      <c r="OI170" s="286">
        <f t="shared" si="1475"/>
        <v>0</v>
      </c>
      <c r="OJ170" s="286">
        <f t="shared" si="1476"/>
        <v>0</v>
      </c>
      <c r="OK170" s="286">
        <f t="shared" si="1477"/>
        <v>0</v>
      </c>
      <c r="OL170" s="286">
        <f t="shared" si="1478"/>
        <v>0</v>
      </c>
      <c r="OM170" s="286">
        <f t="shared" si="1479"/>
        <v>0</v>
      </c>
      <c r="ON170" s="286">
        <f t="shared" si="1480"/>
        <v>0</v>
      </c>
      <c r="OO170" s="286">
        <f t="shared" si="1481"/>
        <v>0</v>
      </c>
      <c r="OP170" s="434">
        <f t="shared" si="1482"/>
        <v>0</v>
      </c>
      <c r="OQ170" s="434">
        <f t="shared" si="1483"/>
        <v>0</v>
      </c>
      <c r="OR170" s="282">
        <f t="shared" si="1484"/>
        <v>0</v>
      </c>
      <c r="OS170" s="282">
        <f t="shared" si="1485"/>
        <v>0</v>
      </c>
      <c r="OT170" s="282">
        <f t="shared" si="1486"/>
        <v>0</v>
      </c>
      <c r="OU170" s="282">
        <f t="shared" si="1487"/>
        <v>79406.662993572085</v>
      </c>
      <c r="OV170" s="282">
        <f t="shared" si="1488"/>
        <v>0</v>
      </c>
      <c r="OW170" s="286">
        <f t="shared" si="1489"/>
        <v>0</v>
      </c>
      <c r="OX170" s="286">
        <f t="shared" si="1490"/>
        <v>0</v>
      </c>
      <c r="OY170" s="286">
        <f t="shared" si="1491"/>
        <v>0</v>
      </c>
      <c r="OZ170" s="286">
        <f t="shared" si="1492"/>
        <v>0</v>
      </c>
      <c r="PA170" s="286">
        <f t="shared" si="1493"/>
        <v>0</v>
      </c>
      <c r="PB170" s="286">
        <f t="shared" si="1494"/>
        <v>0</v>
      </c>
      <c r="PC170" s="286">
        <f t="shared" si="1495"/>
        <v>0</v>
      </c>
      <c r="PD170" s="282">
        <f t="shared" si="1496"/>
        <v>0</v>
      </c>
      <c r="PE170" s="282">
        <f t="shared" si="1497"/>
        <v>0</v>
      </c>
      <c r="PF170" s="286">
        <f t="shared" si="1498"/>
        <v>0</v>
      </c>
      <c r="PG170" s="286">
        <f t="shared" si="1499"/>
        <v>0</v>
      </c>
      <c r="PH170" s="286">
        <f t="shared" si="1500"/>
        <v>0</v>
      </c>
      <c r="PI170" s="286">
        <f t="shared" si="1501"/>
        <v>0</v>
      </c>
      <c r="PJ170" s="286">
        <f t="shared" si="1502"/>
        <v>0</v>
      </c>
      <c r="PK170" s="286">
        <f t="shared" si="1503"/>
        <v>0</v>
      </c>
      <c r="PL170" s="286">
        <f t="shared" si="1504"/>
        <v>0</v>
      </c>
      <c r="PM170" s="562">
        <v>114</v>
      </c>
    </row>
    <row r="171" spans="1:429" s="289" customFormat="1" ht="15.75" customHeight="1">
      <c r="A171" s="1935" t="s">
        <v>1630</v>
      </c>
      <c r="B171" s="1040" t="str">
        <f>VLOOKUP(A171,'Area (&amp;golfacre for lookup)'!$A$2:$B$162,2,FALSE)</f>
        <v>SW exc CIRA</v>
      </c>
      <c r="C171" s="1936" t="s">
        <v>2157</v>
      </c>
      <c r="D171" s="1937">
        <v>44834</v>
      </c>
      <c r="E171" s="402"/>
      <c r="F171" s="1936">
        <v>1</v>
      </c>
      <c r="G171" s="1979">
        <v>1</v>
      </c>
      <c r="H171" s="1936">
        <v>295</v>
      </c>
      <c r="I171" s="1936">
        <v>173</v>
      </c>
      <c r="J171" s="1936">
        <v>468</v>
      </c>
      <c r="K171" s="1938">
        <v>392.41847619047621</v>
      </c>
      <c r="L171" s="1939" t="s">
        <v>1208</v>
      </c>
      <c r="M171" s="1939" t="s">
        <v>1208</v>
      </c>
      <c r="N171" s="1939" t="s">
        <v>1208</v>
      </c>
      <c r="O171" s="1939" t="s">
        <v>1208</v>
      </c>
      <c r="P171" s="1939" t="s">
        <v>1208</v>
      </c>
      <c r="Q171" s="1936">
        <v>0</v>
      </c>
      <c r="R171" s="1936">
        <v>80000</v>
      </c>
      <c r="S171" s="1936">
        <v>80000</v>
      </c>
      <c r="T171" s="1939" t="s">
        <v>1208</v>
      </c>
      <c r="U171" s="1939" t="s">
        <v>1208</v>
      </c>
      <c r="V171" s="1939" t="s">
        <v>1208</v>
      </c>
      <c r="W171" s="1936">
        <v>11500</v>
      </c>
      <c r="X171" s="1936">
        <v>10500</v>
      </c>
      <c r="Y171" s="1939" t="s">
        <v>1208</v>
      </c>
      <c r="Z171" s="1939" t="s">
        <v>1208</v>
      </c>
      <c r="AA171" s="1936">
        <v>1000</v>
      </c>
      <c r="AB171" s="1362">
        <v>9.5238095238095233E-2</v>
      </c>
      <c r="AC171" s="1939" t="s">
        <v>1208</v>
      </c>
      <c r="AD171" s="1363" t="s">
        <v>1208</v>
      </c>
      <c r="AE171" s="1936">
        <v>1</v>
      </c>
      <c r="AF171" s="1936">
        <v>2785</v>
      </c>
      <c r="AG171" s="1939" t="s">
        <v>1208</v>
      </c>
      <c r="AH171" s="1936">
        <v>0</v>
      </c>
      <c r="AI171" s="1936">
        <v>0</v>
      </c>
      <c r="AJ171" s="1939" t="s">
        <v>1208</v>
      </c>
      <c r="AK171" s="1938">
        <v>0</v>
      </c>
      <c r="AL171" s="1938">
        <v>0</v>
      </c>
      <c r="AM171" s="1936">
        <v>13285</v>
      </c>
      <c r="AN171" s="1939" t="s">
        <v>1208</v>
      </c>
      <c r="AO171" s="1936">
        <v>1200</v>
      </c>
      <c r="AP171" s="1936">
        <v>0</v>
      </c>
      <c r="AQ171" s="1936">
        <v>14485</v>
      </c>
      <c r="AR171" s="1939" t="s">
        <v>1208</v>
      </c>
      <c r="AS171" s="1363" t="s">
        <v>1208</v>
      </c>
      <c r="AT171" s="1363" t="s">
        <v>1208</v>
      </c>
      <c r="AU171" s="1363" t="s">
        <v>1208</v>
      </c>
      <c r="AV171" s="1363" t="s">
        <v>1208</v>
      </c>
      <c r="AW171" s="1363" t="s">
        <v>1291</v>
      </c>
      <c r="AX171" s="1938">
        <v>1</v>
      </c>
      <c r="AY171" s="1938">
        <v>0</v>
      </c>
      <c r="AZ171" s="1938">
        <v>1</v>
      </c>
      <c r="BA171" s="1938">
        <v>0</v>
      </c>
      <c r="BB171" s="1938">
        <v>0</v>
      </c>
      <c r="BC171" s="1938">
        <v>0</v>
      </c>
      <c r="BD171" s="1938">
        <v>0</v>
      </c>
      <c r="BE171" s="1936">
        <v>1</v>
      </c>
      <c r="BF171" s="1936">
        <v>7965000</v>
      </c>
      <c r="BG171" s="1936">
        <v>777475</v>
      </c>
      <c r="BH171" s="1936">
        <v>8742475</v>
      </c>
      <c r="BI171" s="1938">
        <v>18302215</v>
      </c>
      <c r="BJ171" s="1936">
        <v>1160391</v>
      </c>
      <c r="BK171" s="1936">
        <v>1236431</v>
      </c>
      <c r="BL171" s="1362">
        <v>0.93850040964679793</v>
      </c>
      <c r="BM171" s="1936">
        <v>1</v>
      </c>
      <c r="BN171" s="1936">
        <v>3358236</v>
      </c>
      <c r="BO171" s="1363" t="s">
        <v>1208</v>
      </c>
      <c r="BP171" s="1938">
        <v>7546104</v>
      </c>
      <c r="BQ171" s="1938">
        <v>4436740</v>
      </c>
      <c r="BR171" s="1940">
        <v>1.7008217745461758</v>
      </c>
      <c r="BS171" s="1409">
        <v>1</v>
      </c>
      <c r="BT171" s="1938">
        <v>7180069</v>
      </c>
      <c r="BU171" s="1938">
        <v>27660911</v>
      </c>
      <c r="BV171" s="1940">
        <v>0.2595745671572422</v>
      </c>
      <c r="BW171" s="1936">
        <v>8557.7927741861567</v>
      </c>
      <c r="BX171" s="1936">
        <v>2957.0243767950346</v>
      </c>
      <c r="BY171" s="1936">
        <v>22278.448978422937</v>
      </c>
      <c r="BZ171" s="1936">
        <v>1084937</v>
      </c>
      <c r="CA171" s="1936">
        <v>0</v>
      </c>
      <c r="CB171" s="1936">
        <v>417047</v>
      </c>
      <c r="CC171" s="1936">
        <v>165827</v>
      </c>
      <c r="CD171" s="1936">
        <v>4120394</v>
      </c>
      <c r="CE171" s="1936">
        <v>0</v>
      </c>
      <c r="CF171" s="1936">
        <v>0</v>
      </c>
      <c r="CG171" s="1936">
        <v>1091268</v>
      </c>
      <c r="CH171" s="1936">
        <v>476629</v>
      </c>
      <c r="CI171" s="1936">
        <v>55778</v>
      </c>
      <c r="CJ171" s="1936">
        <v>7411880</v>
      </c>
      <c r="CK171" s="1366">
        <v>0.14637811189603717</v>
      </c>
      <c r="CL171" s="1366">
        <v>0</v>
      </c>
      <c r="CM171" s="1366">
        <v>5.6267370761534187E-2</v>
      </c>
      <c r="CN171" s="1366">
        <v>2.2373136100422564E-2</v>
      </c>
      <c r="CO171" s="1366">
        <v>0.5559175269971991</v>
      </c>
      <c r="CP171" s="1366">
        <v>0</v>
      </c>
      <c r="CQ171" s="1366">
        <v>0</v>
      </c>
      <c r="CR171" s="1366">
        <v>0.14723228114864245</v>
      </c>
      <c r="CS171" s="1366">
        <v>6.4306086984678656E-2</v>
      </c>
      <c r="CT171" s="1366">
        <v>7.5254861114858844E-3</v>
      </c>
      <c r="CU171" s="1366">
        <v>1</v>
      </c>
      <c r="CV171" s="1936">
        <v>4303421</v>
      </c>
      <c r="CW171" s="1936">
        <v>757083</v>
      </c>
      <c r="CX171" s="1936">
        <v>315788</v>
      </c>
      <c r="CY171" s="1936">
        <v>2044043</v>
      </c>
      <c r="CZ171" s="1936">
        <v>32507</v>
      </c>
      <c r="DA171" s="1936">
        <v>283533</v>
      </c>
      <c r="DB171" s="1936">
        <v>7736375</v>
      </c>
      <c r="DC171" s="1366">
        <v>0.55625806660095978</v>
      </c>
      <c r="DD171" s="1366">
        <v>9.7860173530884942E-2</v>
      </c>
      <c r="DE171" s="1366">
        <v>4.0818600442713807E-2</v>
      </c>
      <c r="DF171" s="1366">
        <v>0.26421198558756526</v>
      </c>
      <c r="DG171" s="1366">
        <v>4.2018387164531193E-3</v>
      </c>
      <c r="DH171" s="1366">
        <v>3.6649335121423147E-2</v>
      </c>
      <c r="DI171" s="1366">
        <v>1</v>
      </c>
      <c r="DJ171" s="1936">
        <v>-324495</v>
      </c>
      <c r="DK171" s="1936">
        <v>2764.7449491480666</v>
      </c>
      <c r="DL171" s="1936">
        <v>0</v>
      </c>
      <c r="DM171" s="1936">
        <v>1062.7608670432974</v>
      </c>
      <c r="DN171" s="1936">
        <v>422.57694288458822</v>
      </c>
      <c r="DO171" s="1936">
        <v>10500</v>
      </c>
      <c r="DP171" s="1936">
        <v>0</v>
      </c>
      <c r="DQ171" s="1936">
        <v>0</v>
      </c>
      <c r="DR171" s="1936">
        <v>2780.8782364016643</v>
      </c>
      <c r="DS171" s="1936">
        <v>1214.5936772065972</v>
      </c>
      <c r="DT171" s="1936">
        <v>142.13907699118093</v>
      </c>
      <c r="DU171" s="1936">
        <v>18887.693749675393</v>
      </c>
      <c r="DV171" s="1936">
        <v>10966.407702758523</v>
      </c>
      <c r="DW171" s="1936">
        <v>1929.2746033510386</v>
      </c>
      <c r="DX171" s="1936">
        <v>804.72255808546458</v>
      </c>
      <c r="DY171" s="1936">
        <v>5208.8347619183987</v>
      </c>
      <c r="DZ171" s="1936">
        <v>82.837587861743316</v>
      </c>
      <c r="EA171" s="1936">
        <v>722.52714182187424</v>
      </c>
      <c r="EB171" s="1936">
        <v>19714.604355797041</v>
      </c>
      <c r="EC171" s="1936">
        <v>-826.91060612164756</v>
      </c>
      <c r="ED171" s="1941">
        <v>65</v>
      </c>
      <c r="EE171" s="1936">
        <v>0</v>
      </c>
      <c r="EF171" s="1936">
        <v>0</v>
      </c>
      <c r="EG171" s="1938">
        <v>0</v>
      </c>
      <c r="EH171" s="1938">
        <v>1</v>
      </c>
      <c r="EI171" s="1368">
        <v>7.0000000000000007E-2</v>
      </c>
      <c r="EJ171" s="1936">
        <v>6.0372073260073265</v>
      </c>
      <c r="EK171" s="1936">
        <v>1</v>
      </c>
      <c r="EL171" s="1936">
        <v>1200</v>
      </c>
      <c r="EM171" s="1936">
        <v>1</v>
      </c>
      <c r="EN171" s="1362">
        <v>0.2</v>
      </c>
      <c r="EO171" s="1936">
        <v>0</v>
      </c>
      <c r="EP171" s="1936">
        <v>0</v>
      </c>
      <c r="EQ171" s="1936">
        <v>0</v>
      </c>
      <c r="ER171" s="1938">
        <v>0</v>
      </c>
      <c r="ES171" s="1936">
        <v>3995.4719136082617</v>
      </c>
      <c r="ET171" s="1936">
        <v>-2328.6161469024564</v>
      </c>
      <c r="EU171" s="1938">
        <v>2</v>
      </c>
      <c r="EV171" s="1936">
        <v>66883</v>
      </c>
      <c r="EW171" s="1979">
        <v>6199</v>
      </c>
      <c r="EX171" s="1938">
        <v>1</v>
      </c>
      <c r="EY171" s="1936">
        <v>1091268</v>
      </c>
      <c r="EZ171" s="1936">
        <v>598159</v>
      </c>
      <c r="FA171" s="1936">
        <v>493109</v>
      </c>
      <c r="FB171" s="1936">
        <v>476629</v>
      </c>
      <c r="FC171" s="1936">
        <v>158924</v>
      </c>
      <c r="FD171" s="1936">
        <v>317705</v>
      </c>
      <c r="FE171" s="1936">
        <v>1567897</v>
      </c>
      <c r="FF171" s="1936">
        <v>757083</v>
      </c>
      <c r="FG171" s="1936">
        <v>810814</v>
      </c>
      <c r="FH171" s="1366">
        <v>1</v>
      </c>
      <c r="FI171" s="1366">
        <v>0.5481320812119479</v>
      </c>
      <c r="FJ171" s="1366">
        <v>0.45186791878805205</v>
      </c>
      <c r="FK171" s="1366">
        <v>1</v>
      </c>
      <c r="FL171" s="1366">
        <v>0.33343334123605572</v>
      </c>
      <c r="FM171" s="1366">
        <v>0.66656665876394428</v>
      </c>
      <c r="FN171" s="1366">
        <v>1</v>
      </c>
      <c r="FO171" s="1366">
        <v>0.48286526474634495</v>
      </c>
      <c r="FP171" s="1366">
        <v>0.51713473525365505</v>
      </c>
      <c r="FQ171" s="1936">
        <v>1177946</v>
      </c>
      <c r="FR171" s="1936">
        <v>0</v>
      </c>
      <c r="FS171" s="1936">
        <v>278439</v>
      </c>
      <c r="FT171" s="1936">
        <v>26992</v>
      </c>
      <c r="FU171" s="1936">
        <v>82772</v>
      </c>
      <c r="FV171" s="1936">
        <v>6918</v>
      </c>
      <c r="FW171" s="1936">
        <v>151539</v>
      </c>
      <c r="FX171" s="1936">
        <v>1724606</v>
      </c>
      <c r="FY171" s="1936">
        <v>-913792</v>
      </c>
      <c r="FZ171" s="1366">
        <v>0.75129042277649616</v>
      </c>
      <c r="GA171" s="1366">
        <v>0</v>
      </c>
      <c r="GB171" s="1366">
        <v>0.17758755836639778</v>
      </c>
      <c r="GC171" s="1366">
        <v>1.7215416573920353E-2</v>
      </c>
      <c r="GD171" s="1366">
        <v>5.2791733130428849E-2</v>
      </c>
      <c r="GE171" s="1366">
        <v>4.4122796331646785E-3</v>
      </c>
      <c r="GF171" s="1366">
        <v>9.6651119301841892E-2</v>
      </c>
      <c r="GG171" s="1366">
        <v>1.0999485297822498</v>
      </c>
      <c r="GH171" s="1366">
        <v>-0.58281379452859472</v>
      </c>
      <c r="GI171" s="1942">
        <v>2.289554349399638</v>
      </c>
      <c r="GJ171" s="1943">
        <v>1</v>
      </c>
      <c r="GK171" s="1371">
        <v>0.05</v>
      </c>
      <c r="GL171" s="1943">
        <v>1</v>
      </c>
      <c r="GM171" s="1371">
        <v>0.05</v>
      </c>
      <c r="GN171" s="1943">
        <v>18</v>
      </c>
      <c r="GO171" s="1985">
        <f>IF(GN171=0,0,VLOOKUP(A171,'Area (&amp;golfacre for lookup)'!$G$2:$H$133,2,FALSE))</f>
        <v>127</v>
      </c>
      <c r="GP171" s="1943">
        <v>33154</v>
      </c>
      <c r="GQ171" s="1943">
        <v>803900</v>
      </c>
      <c r="GR171" s="1943">
        <v>217670</v>
      </c>
      <c r="GS171" s="1943">
        <v>253781</v>
      </c>
      <c r="GT171" s="1943">
        <v>151387</v>
      </c>
      <c r="GU171" s="1943">
        <v>26640</v>
      </c>
      <c r="GV171" s="1943">
        <v>275077</v>
      </c>
      <c r="GW171" s="1943">
        <v>1728455</v>
      </c>
      <c r="GX171" s="1943">
        <v>96025.277777777781</v>
      </c>
      <c r="GY171" s="1985">
        <f>IF(GW171=0,0,GW171/GO171)</f>
        <v>13609.881889763779</v>
      </c>
      <c r="GZ171" s="1366">
        <v>0.46509744251368995</v>
      </c>
      <c r="HA171" s="1366">
        <v>0.12593327567104726</v>
      </c>
      <c r="HB171" s="1366">
        <v>0.14682534402110556</v>
      </c>
      <c r="HC171" s="1366">
        <v>8.7585155529070757E-2</v>
      </c>
      <c r="HD171" s="1366">
        <v>1.5412608369902601E-2</v>
      </c>
      <c r="HE171" s="1366">
        <v>0.15914617389518385</v>
      </c>
      <c r="HF171" s="1366">
        <v>1</v>
      </c>
      <c r="HG171" s="1936">
        <v>0</v>
      </c>
      <c r="HH171" s="1988">
        <f>IF(HG171=0,0,VLOOKUP(A171,'Area (&amp;golfacre for lookup)'!$G$2:$H$134,2,FALSE))</f>
        <v>0</v>
      </c>
      <c r="HI171" s="1936">
        <v>0</v>
      </c>
      <c r="HJ171" s="1936">
        <v>0</v>
      </c>
      <c r="HK171" s="1936">
        <v>0</v>
      </c>
      <c r="HL171" s="1936">
        <v>0</v>
      </c>
      <c r="HM171" s="1936">
        <v>0</v>
      </c>
      <c r="HN171" s="1936">
        <v>0</v>
      </c>
      <c r="HO171" s="1936">
        <v>0</v>
      </c>
      <c r="HP171" s="1936">
        <v>0</v>
      </c>
      <c r="HQ171" s="1936">
        <v>0</v>
      </c>
      <c r="HR171" s="1988">
        <f t="shared" si="1320"/>
        <v>0</v>
      </c>
      <c r="HS171" s="1936">
        <v>0</v>
      </c>
      <c r="HT171" s="1936">
        <v>0</v>
      </c>
      <c r="HU171" s="1936">
        <v>0</v>
      </c>
      <c r="HV171" s="1936">
        <v>0</v>
      </c>
      <c r="HW171" s="1936">
        <v>0</v>
      </c>
      <c r="HX171" s="1936">
        <v>0</v>
      </c>
      <c r="HY171" s="1936">
        <v>0</v>
      </c>
      <c r="HZ171" s="51"/>
      <c r="IA171" s="59">
        <f t="shared" si="1322"/>
        <v>0</v>
      </c>
      <c r="IB171" s="59"/>
      <c r="IC171" s="815">
        <f t="shared" si="1323"/>
        <v>1</v>
      </c>
      <c r="ID171" s="815"/>
      <c r="IE171" s="284">
        <f t="shared" si="1324"/>
        <v>0</v>
      </c>
      <c r="IF171" s="284"/>
      <c r="IG171" s="284">
        <f t="shared" si="1325"/>
        <v>46639.534350355811</v>
      </c>
      <c r="IH171" s="284"/>
      <c r="II171" s="1288">
        <f t="shared" si="1326"/>
        <v>1.7008217745461758</v>
      </c>
      <c r="IJ171" s="1288">
        <f t="shared" si="1327"/>
        <v>0</v>
      </c>
      <c r="IK171" s="284">
        <f t="shared" si="1328"/>
        <v>0</v>
      </c>
      <c r="IL171" s="284">
        <f t="shared" si="1329"/>
        <v>0</v>
      </c>
      <c r="IM171" s="284">
        <f t="shared" si="1330"/>
        <v>1</v>
      </c>
      <c r="IN171" s="284">
        <f t="shared" si="1331"/>
        <v>0</v>
      </c>
      <c r="IO171" s="753">
        <f t="shared" si="1332"/>
        <v>-1952.5470085470085</v>
      </c>
      <c r="IP171" s="113">
        <f t="shared" si="1333"/>
        <v>-2328.6161469024564</v>
      </c>
      <c r="IQ171" s="30">
        <f t="shared" si="1334"/>
        <v>-0.22177296637166252</v>
      </c>
      <c r="IR171" s="438">
        <f t="shared" si="1335"/>
        <v>1091268</v>
      </c>
      <c r="IS171" s="438">
        <f t="shared" si="1336"/>
        <v>476629</v>
      </c>
      <c r="IT171" s="438">
        <f t="shared" si="1337"/>
        <v>1177946</v>
      </c>
      <c r="IU171" s="438">
        <f t="shared" si="1338"/>
        <v>305431</v>
      </c>
      <c r="IV171" s="438">
        <f t="shared" si="1339"/>
        <v>757083</v>
      </c>
      <c r="IW171" s="438">
        <f t="shared" si="1340"/>
        <v>241229</v>
      </c>
      <c r="IX171" s="285">
        <f t="shared" si="1341"/>
        <v>0.6960074545713143</v>
      </c>
      <c r="IY171" s="285">
        <f t="shared" si="1342"/>
        <v>0.3039925454286857</v>
      </c>
      <c r="IZ171" s="285">
        <f t="shared" si="1343"/>
        <v>0.75129042277649616</v>
      </c>
      <c r="JA171" s="285">
        <f t="shared" si="1344"/>
        <v>0.19480297494031815</v>
      </c>
      <c r="JB171" s="285">
        <f t="shared" si="1345"/>
        <v>0.48286526474634495</v>
      </c>
      <c r="JC171" s="285">
        <f t="shared" si="1346"/>
        <v>0.15385513206543541</v>
      </c>
      <c r="JD171" s="60">
        <f t="shared" si="1347"/>
        <v>4120394</v>
      </c>
      <c r="JE171" s="60">
        <f t="shared" si="1348"/>
        <v>1667811</v>
      </c>
      <c r="JF171" s="60">
        <f t="shared" si="1349"/>
        <v>0</v>
      </c>
      <c r="JG171" s="60">
        <f t="shared" si="1350"/>
        <v>316040</v>
      </c>
      <c r="JH171" s="284">
        <f t="shared" si="1351"/>
        <v>0</v>
      </c>
      <c r="JI171" s="284">
        <f t="shared" si="1352"/>
        <v>1</v>
      </c>
      <c r="JJ171" s="560">
        <f t="shared" si="1353"/>
        <v>0.75720002781461082</v>
      </c>
      <c r="JK171" s="561">
        <f t="shared" si="1354"/>
        <v>0.58061126192005263</v>
      </c>
      <c r="JL171" s="561">
        <f t="shared" si="1355"/>
        <v>0.10214453013270587</v>
      </c>
      <c r="JM171" s="561">
        <f t="shared" si="1356"/>
        <v>4.2605654705688709E-2</v>
      </c>
      <c r="JN171" s="561">
        <f t="shared" si="1357"/>
        <v>0.275779289465021</v>
      </c>
      <c r="JO171" s="561">
        <f t="shared" si="1358"/>
        <v>4.3857968558584327E-3</v>
      </c>
      <c r="JP171" s="561">
        <f t="shared" si="1359"/>
        <v>3.8253857320949609E-2</v>
      </c>
      <c r="JQ171" s="561">
        <f t="shared" si="1360"/>
        <v>1.0437803904002763</v>
      </c>
      <c r="JR171" s="61">
        <f t="shared" si="1361"/>
        <v>44661.111111111109</v>
      </c>
      <c r="JS171" s="61">
        <f t="shared" si="1362"/>
        <v>12092.777777777777</v>
      </c>
      <c r="JT171" s="61">
        <f t="shared" si="1363"/>
        <v>14098.944444444445</v>
      </c>
      <c r="JU171" s="61">
        <f t="shared" si="1364"/>
        <v>8410.3888888888887</v>
      </c>
      <c r="JV171" s="61">
        <f t="shared" si="1365"/>
        <v>1480</v>
      </c>
      <c r="JW171" s="61">
        <f t="shared" si="1366"/>
        <v>15282.055555555555</v>
      </c>
      <c r="JX171" s="61">
        <f t="shared" si="1367"/>
        <v>52.134131628159501</v>
      </c>
      <c r="JY171" s="394">
        <f t="shared" si="1368"/>
        <v>0.22341923704577402</v>
      </c>
      <c r="JZ171" s="61">
        <f t="shared" si="1369"/>
        <v>0</v>
      </c>
      <c r="KA171" s="61">
        <f t="shared" si="1370"/>
        <v>0</v>
      </c>
      <c r="KB171" s="61">
        <f t="shared" si="1371"/>
        <v>0</v>
      </c>
      <c r="KC171" s="61">
        <f t="shared" si="1372"/>
        <v>0</v>
      </c>
      <c r="KD171" s="61">
        <f t="shared" si="1373"/>
        <v>0</v>
      </c>
      <c r="KE171" s="61">
        <f t="shared" si="1374"/>
        <v>0</v>
      </c>
      <c r="KF171" s="61">
        <f t="shared" si="1375"/>
        <v>0</v>
      </c>
      <c r="KG171" s="61">
        <f t="shared" si="1376"/>
        <v>0</v>
      </c>
      <c r="KH171" s="61">
        <f t="shared" si="1377"/>
        <v>0</v>
      </c>
      <c r="KI171" s="394">
        <f t="shared" si="1378"/>
        <v>0</v>
      </c>
      <c r="KJ171" s="438">
        <f t="shared" si="1379"/>
        <v>18</v>
      </c>
      <c r="KK171" s="438">
        <f t="shared" si="1380"/>
        <v>33154</v>
      </c>
      <c r="KL171" s="438">
        <f t="shared" si="1381"/>
        <v>127</v>
      </c>
      <c r="KM171" s="438">
        <f t="shared" si="1382"/>
        <v>96025.277777777781</v>
      </c>
      <c r="KN171" s="438">
        <f t="shared" si="1383"/>
        <v>52.134131628159501</v>
      </c>
      <c r="KO171" s="438">
        <f t="shared" si="1384"/>
        <v>13609.881889763779</v>
      </c>
      <c r="KP171" s="438">
        <f t="shared" si="1385"/>
        <v>803900</v>
      </c>
      <c r="KQ171" s="438">
        <f t="shared" si="1386"/>
        <v>217670</v>
      </c>
      <c r="KR171" s="438">
        <f t="shared" si="1387"/>
        <v>253781</v>
      </c>
      <c r="KS171" s="438">
        <f t="shared" si="1388"/>
        <v>151387</v>
      </c>
      <c r="KT171" s="438">
        <f t="shared" si="1389"/>
        <v>26640</v>
      </c>
      <c r="KU171" s="438">
        <f t="shared" si="1390"/>
        <v>275077</v>
      </c>
      <c r="KV171" s="420">
        <f t="shared" si="1391"/>
        <v>0.22341923704577402</v>
      </c>
      <c r="KW171" s="420">
        <f t="shared" si="1392"/>
        <v>-0.3527279187378683</v>
      </c>
      <c r="KX171" s="108"/>
      <c r="KY171" s="282">
        <f t="shared" si="1393"/>
        <v>0</v>
      </c>
      <c r="KZ171" s="282"/>
      <c r="LA171" s="282">
        <f t="shared" si="1394"/>
        <v>0</v>
      </c>
      <c r="LB171" s="282"/>
      <c r="LC171" s="286">
        <f t="shared" si="1321"/>
        <v>0</v>
      </c>
      <c r="LD171" s="286"/>
      <c r="LE171" s="282">
        <f t="shared" si="1395"/>
        <v>0</v>
      </c>
      <c r="LF171" s="282"/>
      <c r="LG171" s="282">
        <f t="shared" si="1396"/>
        <v>0</v>
      </c>
      <c r="LH171" s="282">
        <f t="shared" si="1397"/>
        <v>0</v>
      </c>
      <c r="LI171" s="282">
        <f t="shared" si="1398"/>
        <v>0</v>
      </c>
      <c r="LJ171" s="282">
        <f t="shared" si="1399"/>
        <v>0</v>
      </c>
      <c r="LK171" s="282"/>
      <c r="LL171" s="282">
        <f t="shared" si="1400"/>
        <v>0</v>
      </c>
      <c r="LM171" s="282">
        <f t="shared" si="1401"/>
        <v>0</v>
      </c>
      <c r="LN171" s="282">
        <f t="shared" si="1402"/>
        <v>0</v>
      </c>
      <c r="LO171" s="282">
        <f t="shared" si="1403"/>
        <v>0</v>
      </c>
      <c r="LP171" s="286">
        <f t="shared" si="1404"/>
        <v>0</v>
      </c>
      <c r="LQ171" s="282">
        <f t="shared" si="1405"/>
        <v>0</v>
      </c>
      <c r="LR171" s="282">
        <f t="shared" si="1406"/>
        <v>0</v>
      </c>
      <c r="LS171" s="282">
        <f t="shared" si="1407"/>
        <v>0</v>
      </c>
      <c r="LT171" s="286">
        <f t="shared" si="1408"/>
        <v>0</v>
      </c>
      <c r="LU171" s="286">
        <f t="shared" si="1409"/>
        <v>0</v>
      </c>
      <c r="LV171" s="286">
        <f t="shared" si="1410"/>
        <v>0</v>
      </c>
      <c r="LW171" s="286">
        <f t="shared" si="1411"/>
        <v>0</v>
      </c>
      <c r="LX171" s="286">
        <f t="shared" si="1412"/>
        <v>0</v>
      </c>
      <c r="LY171" s="286">
        <f t="shared" si="1413"/>
        <v>0</v>
      </c>
      <c r="LZ171" s="286">
        <f t="shared" si="1414"/>
        <v>0</v>
      </c>
      <c r="MA171" s="286">
        <f t="shared" si="1415"/>
        <v>0</v>
      </c>
      <c r="MB171" s="286">
        <f t="shared" si="1416"/>
        <v>0</v>
      </c>
      <c r="MC171" s="286">
        <f t="shared" si="1417"/>
        <v>0</v>
      </c>
      <c r="MD171" s="286">
        <f t="shared" si="1418"/>
        <v>0</v>
      </c>
      <c r="ME171" s="286">
        <f t="shared" si="1419"/>
        <v>0</v>
      </c>
      <c r="MF171" s="286">
        <f t="shared" si="1420"/>
        <v>0</v>
      </c>
      <c r="MG171" s="286">
        <f t="shared" si="1421"/>
        <v>0</v>
      </c>
      <c r="MH171" s="286">
        <f t="shared" si="1422"/>
        <v>0</v>
      </c>
      <c r="MI171" s="286">
        <f t="shared" si="1423"/>
        <v>0</v>
      </c>
      <c r="MJ171" s="286">
        <f t="shared" si="1424"/>
        <v>0</v>
      </c>
      <c r="MK171" s="286">
        <f t="shared" si="1425"/>
        <v>0</v>
      </c>
      <c r="ML171" s="282">
        <f t="shared" si="1426"/>
        <v>0</v>
      </c>
      <c r="MM171" s="1232">
        <f t="shared" si="1427"/>
        <v>0</v>
      </c>
      <c r="MN171" s="1232">
        <f t="shared" si="1428"/>
        <v>0</v>
      </c>
      <c r="MO171" s="1232">
        <f t="shared" si="1429"/>
        <v>0</v>
      </c>
      <c r="MP171" s="1232">
        <f t="shared" si="1430"/>
        <v>0</v>
      </c>
      <c r="MQ171" s="282">
        <f t="shared" si="1431"/>
        <v>0</v>
      </c>
      <c r="MR171" s="282">
        <f t="shared" si="1432"/>
        <v>0</v>
      </c>
      <c r="MS171" s="282">
        <f t="shared" si="1433"/>
        <v>0</v>
      </c>
      <c r="MT171" s="282">
        <f t="shared" si="1434"/>
        <v>0</v>
      </c>
      <c r="MU171" s="282">
        <f t="shared" si="1435"/>
        <v>0</v>
      </c>
      <c r="MV171" s="282">
        <f t="shared" si="1436"/>
        <v>0</v>
      </c>
      <c r="MW171" s="282">
        <f t="shared" si="1437"/>
        <v>0</v>
      </c>
      <c r="MX171" s="282">
        <f t="shared" si="1438"/>
        <v>0</v>
      </c>
      <c r="MY171" s="282">
        <f t="shared" si="1439"/>
        <v>0</v>
      </c>
      <c r="MZ171" s="282">
        <f t="shared" si="1440"/>
        <v>0</v>
      </c>
      <c r="NA171" s="282">
        <f t="shared" si="1441"/>
        <v>0</v>
      </c>
      <c r="NB171" s="282">
        <f t="shared" si="1442"/>
        <v>0</v>
      </c>
      <c r="NC171" s="282">
        <f t="shared" si="1443"/>
        <v>0</v>
      </c>
      <c r="ND171" s="282">
        <f t="shared" si="1444"/>
        <v>0</v>
      </c>
      <c r="NE171" s="282">
        <f t="shared" si="1445"/>
        <v>0</v>
      </c>
      <c r="NF171" s="282">
        <f t="shared" si="1446"/>
        <v>0</v>
      </c>
      <c r="NG171" s="282">
        <f t="shared" si="1447"/>
        <v>0</v>
      </c>
      <c r="NH171" s="282">
        <f t="shared" si="1448"/>
        <v>0</v>
      </c>
      <c r="NI171" s="282">
        <f t="shared" si="1449"/>
        <v>0</v>
      </c>
      <c r="NJ171" s="282">
        <f t="shared" si="1450"/>
        <v>0</v>
      </c>
      <c r="NK171" s="282">
        <f t="shared" si="1451"/>
        <v>0</v>
      </c>
      <c r="NL171" s="282">
        <f t="shared" si="1452"/>
        <v>0</v>
      </c>
      <c r="NM171" s="1205">
        <f t="shared" si="1453"/>
        <v>0</v>
      </c>
      <c r="NN171" s="282">
        <f t="shared" si="1454"/>
        <v>0</v>
      </c>
      <c r="NO171" s="282">
        <f t="shared" si="1455"/>
        <v>0</v>
      </c>
      <c r="NP171" s="282">
        <f t="shared" si="1456"/>
        <v>0</v>
      </c>
      <c r="NQ171" s="282">
        <f t="shared" si="1457"/>
        <v>0</v>
      </c>
      <c r="NR171" s="282">
        <f t="shared" si="1458"/>
        <v>0</v>
      </c>
      <c r="NS171" s="282">
        <f t="shared" si="1459"/>
        <v>0</v>
      </c>
      <c r="NT171" s="282">
        <f t="shared" si="1460"/>
        <v>0</v>
      </c>
      <c r="NU171" s="282">
        <f t="shared" si="1461"/>
        <v>0</v>
      </c>
      <c r="NV171" s="286">
        <f t="shared" si="1462"/>
        <v>0</v>
      </c>
      <c r="NW171" s="286">
        <f t="shared" si="1463"/>
        <v>0</v>
      </c>
      <c r="NX171" s="286">
        <f t="shared" si="1464"/>
        <v>0</v>
      </c>
      <c r="NY171" s="286">
        <f t="shared" si="1465"/>
        <v>0</v>
      </c>
      <c r="NZ171" s="286">
        <f t="shared" si="1466"/>
        <v>0</v>
      </c>
      <c r="OA171" s="286">
        <f t="shared" si="1467"/>
        <v>0</v>
      </c>
      <c r="OB171" s="286">
        <f t="shared" si="1468"/>
        <v>0</v>
      </c>
      <c r="OC171" s="286">
        <f t="shared" si="1469"/>
        <v>0</v>
      </c>
      <c r="OD171" s="286">
        <f t="shared" si="1470"/>
        <v>0</v>
      </c>
      <c r="OE171" s="282">
        <f t="shared" si="1471"/>
        <v>0</v>
      </c>
      <c r="OF171" s="282">
        <f t="shared" si="1472"/>
        <v>0</v>
      </c>
      <c r="OG171" s="286">
        <f t="shared" si="1473"/>
        <v>0</v>
      </c>
      <c r="OH171" s="286">
        <f t="shared" si="1474"/>
        <v>0</v>
      </c>
      <c r="OI171" s="286">
        <f t="shared" si="1475"/>
        <v>0</v>
      </c>
      <c r="OJ171" s="286">
        <f t="shared" si="1476"/>
        <v>0</v>
      </c>
      <c r="OK171" s="286">
        <f t="shared" si="1477"/>
        <v>0</v>
      </c>
      <c r="OL171" s="286">
        <f t="shared" si="1478"/>
        <v>0</v>
      </c>
      <c r="OM171" s="286">
        <f t="shared" si="1479"/>
        <v>0</v>
      </c>
      <c r="ON171" s="286">
        <f t="shared" si="1480"/>
        <v>0</v>
      </c>
      <c r="OO171" s="286">
        <f t="shared" si="1481"/>
        <v>0</v>
      </c>
      <c r="OP171" s="434">
        <f t="shared" si="1482"/>
        <v>0</v>
      </c>
      <c r="OQ171" s="434">
        <f t="shared" si="1483"/>
        <v>0</v>
      </c>
      <c r="OR171" s="282">
        <f t="shared" si="1484"/>
        <v>0</v>
      </c>
      <c r="OS171" s="282">
        <f t="shared" si="1485"/>
        <v>0</v>
      </c>
      <c r="OT171" s="282">
        <f t="shared" si="1486"/>
        <v>0</v>
      </c>
      <c r="OU171" s="282">
        <f t="shared" si="1487"/>
        <v>0</v>
      </c>
      <c r="OV171" s="282">
        <f t="shared" si="1488"/>
        <v>0</v>
      </c>
      <c r="OW171" s="286">
        <f t="shared" si="1489"/>
        <v>0</v>
      </c>
      <c r="OX171" s="286">
        <f t="shared" si="1490"/>
        <v>0</v>
      </c>
      <c r="OY171" s="286">
        <f t="shared" si="1491"/>
        <v>0</v>
      </c>
      <c r="OZ171" s="286">
        <f t="shared" si="1492"/>
        <v>0</v>
      </c>
      <c r="PA171" s="286">
        <f t="shared" si="1493"/>
        <v>0</v>
      </c>
      <c r="PB171" s="286">
        <f t="shared" si="1494"/>
        <v>0</v>
      </c>
      <c r="PC171" s="286">
        <f t="shared" si="1495"/>
        <v>0</v>
      </c>
      <c r="PD171" s="282">
        <f t="shared" si="1496"/>
        <v>0</v>
      </c>
      <c r="PE171" s="282">
        <f t="shared" si="1497"/>
        <v>0</v>
      </c>
      <c r="PF171" s="286">
        <f t="shared" si="1498"/>
        <v>0</v>
      </c>
      <c r="PG171" s="286">
        <f t="shared" si="1499"/>
        <v>0</v>
      </c>
      <c r="PH171" s="286">
        <f t="shared" si="1500"/>
        <v>0</v>
      </c>
      <c r="PI171" s="286">
        <f t="shared" si="1501"/>
        <v>0</v>
      </c>
      <c r="PJ171" s="286">
        <f t="shared" si="1502"/>
        <v>0</v>
      </c>
      <c r="PK171" s="286">
        <f t="shared" si="1503"/>
        <v>0</v>
      </c>
      <c r="PL171" s="286">
        <f t="shared" si="1504"/>
        <v>0</v>
      </c>
      <c r="PM171" s="562">
        <v>115</v>
      </c>
    </row>
    <row r="172" spans="1:429" s="289" customFormat="1" ht="15.75" customHeight="1">
      <c r="A172" s="1050" t="s">
        <v>1833</v>
      </c>
      <c r="B172" s="1040" t="str">
        <f>VLOOKUP(A172,'Area (&amp;golfacre for lookup)'!$A$2:$B$162,2,FALSE)</f>
        <v>SW exc CIRA</v>
      </c>
      <c r="C172" s="1936"/>
      <c r="D172" s="1937">
        <v>44926</v>
      </c>
      <c r="E172" s="402"/>
      <c r="F172" s="1936">
        <v>1</v>
      </c>
      <c r="G172" s="1936">
        <v>1</v>
      </c>
      <c r="H172" s="1936">
        <v>300</v>
      </c>
      <c r="I172" s="1936">
        <v>0</v>
      </c>
      <c r="J172" s="1936">
        <v>300</v>
      </c>
      <c r="K172" s="1938">
        <v>299.99826074353211</v>
      </c>
      <c r="L172" s="1939" t="s">
        <v>1208</v>
      </c>
      <c r="M172" s="1939" t="s">
        <v>1208</v>
      </c>
      <c r="N172" s="1939" t="s">
        <v>1208</v>
      </c>
      <c r="O172" s="1939" t="s">
        <v>1208</v>
      </c>
      <c r="P172" s="1939" t="s">
        <v>1208</v>
      </c>
      <c r="Q172" s="1936">
        <v>0</v>
      </c>
      <c r="R172" s="1936">
        <v>90000</v>
      </c>
      <c r="S172" s="1936">
        <v>90000</v>
      </c>
      <c r="T172" s="1939" t="s">
        <v>1208</v>
      </c>
      <c r="U172" s="1939" t="s">
        <v>1208</v>
      </c>
      <c r="V172" s="1939" t="s">
        <v>1208</v>
      </c>
      <c r="W172" s="1936">
        <v>16738</v>
      </c>
      <c r="X172" s="1936">
        <v>13799</v>
      </c>
      <c r="Y172" s="1939" t="s">
        <v>1208</v>
      </c>
      <c r="Z172" s="1939" t="s">
        <v>1208</v>
      </c>
      <c r="AA172" s="1936">
        <v>2939</v>
      </c>
      <c r="AB172" s="1362">
        <v>0.21298644829335459</v>
      </c>
      <c r="AC172" s="1939" t="s">
        <v>1208</v>
      </c>
      <c r="AD172" s="1363" t="s">
        <v>1208</v>
      </c>
      <c r="AE172" s="1936">
        <v>1</v>
      </c>
      <c r="AF172" s="1936">
        <v>1313</v>
      </c>
      <c r="AG172" s="1939" t="s">
        <v>1208</v>
      </c>
      <c r="AH172" s="1936">
        <v>0</v>
      </c>
      <c r="AI172" s="1936">
        <v>0</v>
      </c>
      <c r="AJ172" s="1939" t="s">
        <v>1208</v>
      </c>
      <c r="AK172" s="1938">
        <v>1</v>
      </c>
      <c r="AL172" s="1938">
        <v>3300</v>
      </c>
      <c r="AM172" s="1936">
        <v>18412</v>
      </c>
      <c r="AN172" s="1939" t="s">
        <v>1208</v>
      </c>
      <c r="AO172" s="1936">
        <v>1200</v>
      </c>
      <c r="AP172" s="1936">
        <v>0</v>
      </c>
      <c r="AQ172" s="1936">
        <v>19612</v>
      </c>
      <c r="AR172" s="1939" t="s">
        <v>1208</v>
      </c>
      <c r="AS172" s="1363" t="s">
        <v>1208</v>
      </c>
      <c r="AT172" s="1363" t="s">
        <v>1208</v>
      </c>
      <c r="AU172" s="1363" t="s">
        <v>1208</v>
      </c>
      <c r="AV172" s="1363" t="s">
        <v>1208</v>
      </c>
      <c r="AW172" s="1363" t="s">
        <v>1291</v>
      </c>
      <c r="AX172" s="1938">
        <v>1</v>
      </c>
      <c r="AY172" s="1938">
        <v>1</v>
      </c>
      <c r="AZ172" s="1938">
        <v>0</v>
      </c>
      <c r="BA172" s="1938">
        <v>0</v>
      </c>
      <c r="BB172" s="1938">
        <v>0</v>
      </c>
      <c r="BC172" s="1938">
        <v>0</v>
      </c>
      <c r="BD172" s="1938">
        <v>0</v>
      </c>
      <c r="BE172" s="1936">
        <v>1</v>
      </c>
      <c r="BF172" s="1936">
        <v>13099974</v>
      </c>
      <c r="BG172" s="1936">
        <v>821320</v>
      </c>
      <c r="BH172" s="1936">
        <v>13921294</v>
      </c>
      <c r="BI172" s="1938">
        <v>7654106</v>
      </c>
      <c r="BJ172" s="1936">
        <v>2959400</v>
      </c>
      <c r="BK172" s="1936">
        <v>511716</v>
      </c>
      <c r="BL172" s="1362">
        <v>5.7832860414761313</v>
      </c>
      <c r="BM172" s="1936">
        <v>1</v>
      </c>
      <c r="BN172" s="1936">
        <v>509140</v>
      </c>
      <c r="BO172" s="1363" t="s">
        <v>1208</v>
      </c>
      <c r="BP172" s="1938">
        <v>1285871</v>
      </c>
      <c r="BQ172" s="1938">
        <v>2752063</v>
      </c>
      <c r="BR172" s="1940">
        <v>0.4672389403876292</v>
      </c>
      <c r="BS172" s="1409">
        <v>0</v>
      </c>
      <c r="BT172" s="1938">
        <v>3256556</v>
      </c>
      <c r="BU172" s="1938">
        <v>12754947</v>
      </c>
      <c r="BV172" s="1940">
        <v>0.2553170938303389</v>
      </c>
      <c r="BW172" s="1936">
        <v>1697.143172557466</v>
      </c>
      <c r="BX172" s="1936">
        <v>9864.7238576159107</v>
      </c>
      <c r="BY172" s="1936">
        <v>46404.582364900059</v>
      </c>
      <c r="BZ172" s="1936">
        <v>214328</v>
      </c>
      <c r="CA172" s="1936">
        <v>0</v>
      </c>
      <c r="CB172" s="1936">
        <v>288606</v>
      </c>
      <c r="CC172" s="1936">
        <v>0</v>
      </c>
      <c r="CD172" s="1936">
        <v>4139676</v>
      </c>
      <c r="CE172" s="1936">
        <v>0</v>
      </c>
      <c r="CF172" s="1936">
        <v>0</v>
      </c>
      <c r="CG172" s="1936">
        <v>459013</v>
      </c>
      <c r="CH172" s="1936">
        <v>252797</v>
      </c>
      <c r="CI172" s="1936">
        <v>927281</v>
      </c>
      <c r="CJ172" s="1936">
        <v>6281701</v>
      </c>
      <c r="CK172" s="1366">
        <v>3.4119420838400298E-2</v>
      </c>
      <c r="CL172" s="1366">
        <v>0</v>
      </c>
      <c r="CM172" s="1366">
        <v>4.5943925061062284E-2</v>
      </c>
      <c r="CN172" s="1366">
        <v>0</v>
      </c>
      <c r="CO172" s="1366">
        <v>0.65900557826614159</v>
      </c>
      <c r="CP172" s="1366">
        <v>0</v>
      </c>
      <c r="CQ172" s="1366">
        <v>0</v>
      </c>
      <c r="CR172" s="1366">
        <v>7.3071449914601155E-2</v>
      </c>
      <c r="CS172" s="1366">
        <v>4.0243399041119593E-2</v>
      </c>
      <c r="CT172" s="1366">
        <v>0.14761622687867507</v>
      </c>
      <c r="CU172" s="1366">
        <v>1</v>
      </c>
      <c r="CV172" s="1936">
        <v>3235126</v>
      </c>
      <c r="CW172" s="1936">
        <v>299585</v>
      </c>
      <c r="CX172" s="1936">
        <v>254927</v>
      </c>
      <c r="CY172" s="1936">
        <v>2650941</v>
      </c>
      <c r="CZ172" s="1936">
        <v>56070</v>
      </c>
      <c r="DA172" s="1936">
        <v>93533</v>
      </c>
      <c r="DB172" s="1936">
        <v>6590182</v>
      </c>
      <c r="DC172" s="1366">
        <v>0.49090085827675167</v>
      </c>
      <c r="DD172" s="1366">
        <v>4.5459290805625704E-2</v>
      </c>
      <c r="DE172" s="1366">
        <v>3.8682846695280951E-2</v>
      </c>
      <c r="DF172" s="1366">
        <v>0.40225611371582759</v>
      </c>
      <c r="DG172" s="1366">
        <v>8.5081110051285387E-3</v>
      </c>
      <c r="DH172" s="1366">
        <v>1.4192779501385547E-2</v>
      </c>
      <c r="DI172" s="1366">
        <v>1</v>
      </c>
      <c r="DJ172" s="1936">
        <v>-308481</v>
      </c>
      <c r="DK172" s="1936">
        <v>714.43080859468239</v>
      </c>
      <c r="DL172" s="1936">
        <v>0</v>
      </c>
      <c r="DM172" s="1936">
        <v>962.02557736402571</v>
      </c>
      <c r="DN172" s="1936">
        <v>0</v>
      </c>
      <c r="DO172" s="1936">
        <v>13799.000000000002</v>
      </c>
      <c r="DP172" s="1936">
        <v>0</v>
      </c>
      <c r="DQ172" s="1936">
        <v>0</v>
      </c>
      <c r="DR172" s="1936">
        <v>1530.0522038439724</v>
      </c>
      <c r="DS172" s="1936">
        <v>842.66155201518188</v>
      </c>
      <c r="DT172" s="1936">
        <v>3090.9545865425221</v>
      </c>
      <c r="DU172" s="1936">
        <v>20939.124728360384</v>
      </c>
      <c r="DV172" s="1936">
        <v>10783.815852738235</v>
      </c>
      <c r="DW172" s="1936">
        <v>998.62245620188639</v>
      </c>
      <c r="DX172" s="1936">
        <v>849.76159317782367</v>
      </c>
      <c r="DY172" s="1936">
        <v>8836.5212299223422</v>
      </c>
      <c r="DZ172" s="1936">
        <v>186.90108356306146</v>
      </c>
      <c r="EA172" s="1936">
        <v>311.77847420909274</v>
      </c>
      <c r="EB172" s="1936">
        <v>21967.400689812443</v>
      </c>
      <c r="EC172" s="1936">
        <v>-1028.2759614520558</v>
      </c>
      <c r="ED172" s="1941">
        <v>61</v>
      </c>
      <c r="EE172" s="1936">
        <v>0</v>
      </c>
      <c r="EF172" s="1936">
        <v>0</v>
      </c>
      <c r="EG172" s="1938">
        <v>0</v>
      </c>
      <c r="EH172" s="1938">
        <v>1</v>
      </c>
      <c r="EI172" s="1368">
        <v>0.04</v>
      </c>
      <c r="EJ172" s="1936">
        <v>4.918004274484133</v>
      </c>
      <c r="EK172" s="1936">
        <v>1</v>
      </c>
      <c r="EL172" s="1936">
        <v>1200</v>
      </c>
      <c r="EM172" s="1936">
        <v>0</v>
      </c>
      <c r="EN172" s="1362">
        <v>0</v>
      </c>
      <c r="EO172" s="1936">
        <v>0</v>
      </c>
      <c r="EP172" s="1936">
        <v>0</v>
      </c>
      <c r="EQ172" s="1936">
        <v>0</v>
      </c>
      <c r="ER172" s="1938">
        <v>1</v>
      </c>
      <c r="ES172" s="1936">
        <v>2372.7137558591544</v>
      </c>
      <c r="ET172" s="1936">
        <v>-2746.4659226953995</v>
      </c>
      <c r="EU172" s="1938">
        <v>1</v>
      </c>
      <c r="EV172" s="1936">
        <v>17652</v>
      </c>
      <c r="EW172" s="1936">
        <v>2729</v>
      </c>
      <c r="EX172" s="1938">
        <v>0</v>
      </c>
      <c r="EY172" s="1936">
        <v>459013</v>
      </c>
      <c r="EZ172" s="1936">
        <v>191449</v>
      </c>
      <c r="FA172" s="1936">
        <v>267564</v>
      </c>
      <c r="FB172" s="1936">
        <v>252797</v>
      </c>
      <c r="FC172" s="1936">
        <v>108136</v>
      </c>
      <c r="FD172" s="1936">
        <v>144661</v>
      </c>
      <c r="FE172" s="1936">
        <v>711810</v>
      </c>
      <c r="FF172" s="1936">
        <v>299585</v>
      </c>
      <c r="FG172" s="1936">
        <v>412225</v>
      </c>
      <c r="FH172" s="1366">
        <v>1</v>
      </c>
      <c r="FI172" s="1366">
        <v>0.4170884049035648</v>
      </c>
      <c r="FJ172" s="1366">
        <v>0.5829115950964352</v>
      </c>
      <c r="FK172" s="1366">
        <v>1</v>
      </c>
      <c r="FL172" s="1366">
        <v>0.42775824080190827</v>
      </c>
      <c r="FM172" s="1366">
        <v>0.57224175919809173</v>
      </c>
      <c r="FN172" s="1366">
        <v>1</v>
      </c>
      <c r="FO172" s="1366">
        <v>0.42087776232421575</v>
      </c>
      <c r="FP172" s="1366">
        <v>0.5791222376757843</v>
      </c>
      <c r="FQ172" s="1936">
        <v>929561</v>
      </c>
      <c r="FR172" s="1936">
        <v>0</v>
      </c>
      <c r="FS172" s="1936">
        <v>155153</v>
      </c>
      <c r="FT172" s="1936">
        <v>44476</v>
      </c>
      <c r="FU172" s="1936">
        <v>17875</v>
      </c>
      <c r="FV172" s="1936">
        <v>4993</v>
      </c>
      <c r="FW172" s="1936">
        <v>84102</v>
      </c>
      <c r="FX172" s="1936">
        <v>1236160</v>
      </c>
      <c r="FY172" s="1936">
        <v>-823935</v>
      </c>
      <c r="FZ172" s="1366">
        <v>1.3059116899172531</v>
      </c>
      <c r="GA172" s="1366">
        <v>0</v>
      </c>
      <c r="GB172" s="1366">
        <v>0.21796968292100419</v>
      </c>
      <c r="GC172" s="1366">
        <v>6.2482965960017421E-2</v>
      </c>
      <c r="GD172" s="1366">
        <v>2.5112038324833875E-2</v>
      </c>
      <c r="GE172" s="1366">
        <v>7.0145122996305197E-3</v>
      </c>
      <c r="GF172" s="1366">
        <v>0.118152315927003</v>
      </c>
      <c r="GG172" s="1366">
        <v>1.7366432053497423</v>
      </c>
      <c r="GH172" s="1366">
        <v>-1.157520967673958</v>
      </c>
      <c r="GI172" s="1942">
        <v>1.8157375285307975</v>
      </c>
      <c r="GJ172" s="1943">
        <v>1</v>
      </c>
      <c r="GK172" s="1371">
        <v>0.1</v>
      </c>
      <c r="GL172" s="1943">
        <v>0</v>
      </c>
      <c r="GM172" s="1371">
        <v>0</v>
      </c>
      <c r="GN172" s="1943">
        <v>18</v>
      </c>
      <c r="GO172" s="1985">
        <f>IF(GN172=0,0,VLOOKUP(A172,'Area (&amp;golfacre for lookup)'!$G$2:$H$133,2,FALSE))</f>
        <v>77</v>
      </c>
      <c r="GP172" s="1943">
        <v>26282</v>
      </c>
      <c r="GQ172" s="1943">
        <v>941351</v>
      </c>
      <c r="GR172" s="1943">
        <v>234758</v>
      </c>
      <c r="GS172" s="1943">
        <v>650881</v>
      </c>
      <c r="GT172" s="1943">
        <v>184093</v>
      </c>
      <c r="GU172" s="1943">
        <v>0</v>
      </c>
      <c r="GV172" s="1943">
        <v>439925</v>
      </c>
      <c r="GW172" s="1943">
        <v>2451008</v>
      </c>
      <c r="GX172" s="1943">
        <v>136167.11111111112</v>
      </c>
      <c r="GY172" s="1985">
        <f t="shared" si="1319"/>
        <v>31831.272727272728</v>
      </c>
      <c r="GZ172" s="1366">
        <v>0.38406688187064258</v>
      </c>
      <c r="HA172" s="1366">
        <v>9.5780185131994669E-2</v>
      </c>
      <c r="HB172" s="1366">
        <v>0.2655564567720709</v>
      </c>
      <c r="HC172" s="1366">
        <v>7.5109097971120448E-2</v>
      </c>
      <c r="HD172" s="1366">
        <v>0</v>
      </c>
      <c r="HE172" s="1366">
        <v>0.17948737825417135</v>
      </c>
      <c r="HF172" s="1366">
        <v>1</v>
      </c>
      <c r="HG172" s="1936">
        <v>0</v>
      </c>
      <c r="HH172" s="1988">
        <f>IF(HG172=0,0,VLOOKUP(A172,'Area (&amp;golfacre for lookup)'!$G$2:$H$134,2,FALSE))</f>
        <v>0</v>
      </c>
      <c r="HI172" s="1936">
        <v>0</v>
      </c>
      <c r="HJ172" s="1936">
        <v>0</v>
      </c>
      <c r="HK172" s="1936">
        <v>0</v>
      </c>
      <c r="HL172" s="1936">
        <v>0</v>
      </c>
      <c r="HM172" s="1936">
        <v>0</v>
      </c>
      <c r="HN172" s="1936">
        <v>0</v>
      </c>
      <c r="HO172" s="1936">
        <v>0</v>
      </c>
      <c r="HP172" s="1936">
        <v>0</v>
      </c>
      <c r="HQ172" s="1936">
        <v>0</v>
      </c>
      <c r="HR172" s="1988">
        <f t="shared" si="1320"/>
        <v>0</v>
      </c>
      <c r="HS172" s="1936">
        <v>0</v>
      </c>
      <c r="HT172" s="1936">
        <v>0</v>
      </c>
      <c r="HU172" s="1936">
        <v>0</v>
      </c>
      <c r="HV172" s="1936">
        <v>0</v>
      </c>
      <c r="HW172" s="1936">
        <v>0</v>
      </c>
      <c r="HX172" s="1936">
        <v>0</v>
      </c>
      <c r="HY172" s="1936">
        <v>0</v>
      </c>
      <c r="HZ172" s="51"/>
      <c r="IA172" s="59">
        <f t="shared" si="1322"/>
        <v>0</v>
      </c>
      <c r="IB172" s="59"/>
      <c r="IC172" s="815">
        <f t="shared" si="1323"/>
        <v>1</v>
      </c>
      <c r="ID172" s="815"/>
      <c r="IE172" s="284">
        <f t="shared" si="1324"/>
        <v>0</v>
      </c>
      <c r="IF172" s="284"/>
      <c r="IG172" s="284">
        <f t="shared" si="1325"/>
        <v>25513.834583672735</v>
      </c>
      <c r="IH172" s="284"/>
      <c r="II172" s="1288">
        <f t="shared" si="1326"/>
        <v>0</v>
      </c>
      <c r="IJ172" s="1288">
        <f t="shared" si="1327"/>
        <v>0.4672389403876292</v>
      </c>
      <c r="IK172" s="284">
        <f t="shared" si="1328"/>
        <v>0</v>
      </c>
      <c r="IL172" s="284">
        <f t="shared" si="1329"/>
        <v>0</v>
      </c>
      <c r="IM172" s="284">
        <f t="shared" si="1330"/>
        <v>0</v>
      </c>
      <c r="IN172" s="284">
        <f t="shared" si="1331"/>
        <v>0</v>
      </c>
      <c r="IO172" s="753">
        <f t="shared" si="1332"/>
        <v>-2746.45</v>
      </c>
      <c r="IP172" s="113">
        <f t="shared" si="1333"/>
        <v>-2746.4659226953995</v>
      </c>
      <c r="IQ172" s="30">
        <f t="shared" si="1334"/>
        <v>-0.19903369249187616</v>
      </c>
      <c r="IR172" s="438">
        <f t="shared" si="1335"/>
        <v>459013</v>
      </c>
      <c r="IS172" s="438">
        <f t="shared" si="1336"/>
        <v>252797</v>
      </c>
      <c r="IT172" s="438">
        <f t="shared" si="1337"/>
        <v>929561</v>
      </c>
      <c r="IU172" s="438">
        <f t="shared" si="1338"/>
        <v>199629</v>
      </c>
      <c r="IV172" s="438">
        <f t="shared" si="1339"/>
        <v>299585</v>
      </c>
      <c r="IW172" s="438">
        <f t="shared" si="1340"/>
        <v>106970</v>
      </c>
      <c r="IX172" s="285">
        <f t="shared" si="1341"/>
        <v>0.64485326140402632</v>
      </c>
      <c r="IY172" s="285">
        <f t="shared" si="1342"/>
        <v>0.35514673859597362</v>
      </c>
      <c r="IZ172" s="285">
        <f t="shared" si="1343"/>
        <v>1.3059116899172531</v>
      </c>
      <c r="JA172" s="285">
        <f t="shared" si="1344"/>
        <v>0.28045264888102162</v>
      </c>
      <c r="JB172" s="285">
        <f t="shared" si="1345"/>
        <v>0.42087776232421575</v>
      </c>
      <c r="JC172" s="285">
        <f t="shared" si="1346"/>
        <v>0.15027886655146738</v>
      </c>
      <c r="JD172" s="60">
        <f t="shared" si="1347"/>
        <v>4139676</v>
      </c>
      <c r="JE172" s="60">
        <f t="shared" si="1348"/>
        <v>502934</v>
      </c>
      <c r="JF172" s="60">
        <f t="shared" si="1349"/>
        <v>0</v>
      </c>
      <c r="JG172" s="60">
        <f t="shared" si="1350"/>
        <v>149603</v>
      </c>
      <c r="JH172" s="284">
        <f t="shared" si="1351"/>
        <v>0</v>
      </c>
      <c r="JI172" s="284">
        <f t="shared" si="1352"/>
        <v>1</v>
      </c>
      <c r="JJ172" s="560">
        <f t="shared" si="1353"/>
        <v>0.88330457440247256</v>
      </c>
      <c r="JK172" s="561">
        <f t="shared" si="1354"/>
        <v>0.51500795723960757</v>
      </c>
      <c r="JL172" s="561">
        <f t="shared" si="1355"/>
        <v>4.7691700066590244E-2</v>
      </c>
      <c r="JM172" s="561">
        <f t="shared" si="1356"/>
        <v>4.0582479172440712E-2</v>
      </c>
      <c r="JN172" s="561">
        <f t="shared" si="1357"/>
        <v>0.42201005746691861</v>
      </c>
      <c r="JO172" s="561">
        <f t="shared" si="1358"/>
        <v>8.9259262737911276E-3</v>
      </c>
      <c r="JP172" s="561">
        <f t="shared" si="1359"/>
        <v>1.4889756771294909E-2</v>
      </c>
      <c r="JQ172" s="561">
        <f t="shared" si="1360"/>
        <v>1.0491078769906432</v>
      </c>
      <c r="JR172" s="61">
        <f t="shared" si="1361"/>
        <v>52297.277777777781</v>
      </c>
      <c r="JS172" s="61">
        <f t="shared" si="1362"/>
        <v>13042.111111111111</v>
      </c>
      <c r="JT172" s="61">
        <f t="shared" si="1363"/>
        <v>36160.055555555555</v>
      </c>
      <c r="JU172" s="61">
        <f t="shared" si="1364"/>
        <v>10227.388888888889</v>
      </c>
      <c r="JV172" s="61">
        <f t="shared" si="1365"/>
        <v>0</v>
      </c>
      <c r="JW172" s="61">
        <f t="shared" si="1366"/>
        <v>24440.277777777777</v>
      </c>
      <c r="JX172" s="61">
        <f t="shared" si="1367"/>
        <v>93.258047332775277</v>
      </c>
      <c r="JY172" s="394">
        <f t="shared" si="1368"/>
        <v>0.37191810484141408</v>
      </c>
      <c r="JZ172" s="61">
        <f t="shared" si="1369"/>
        <v>0</v>
      </c>
      <c r="KA172" s="61">
        <f t="shared" si="1370"/>
        <v>0</v>
      </c>
      <c r="KB172" s="61">
        <f t="shared" si="1371"/>
        <v>0</v>
      </c>
      <c r="KC172" s="61">
        <f t="shared" si="1372"/>
        <v>0</v>
      </c>
      <c r="KD172" s="61">
        <f t="shared" si="1373"/>
        <v>0</v>
      </c>
      <c r="KE172" s="61">
        <f t="shared" si="1374"/>
        <v>0</v>
      </c>
      <c r="KF172" s="61">
        <f t="shared" si="1375"/>
        <v>0</v>
      </c>
      <c r="KG172" s="61">
        <f t="shared" si="1376"/>
        <v>0</v>
      </c>
      <c r="KH172" s="61">
        <f t="shared" si="1377"/>
        <v>0</v>
      </c>
      <c r="KI172" s="394">
        <f t="shared" si="1378"/>
        <v>0</v>
      </c>
      <c r="KJ172" s="438">
        <f t="shared" si="1379"/>
        <v>18</v>
      </c>
      <c r="KK172" s="438">
        <f t="shared" si="1380"/>
        <v>26282</v>
      </c>
      <c r="KL172" s="438">
        <f t="shared" si="1381"/>
        <v>77</v>
      </c>
      <c r="KM172" s="438">
        <f t="shared" si="1382"/>
        <v>136167.11111111112</v>
      </c>
      <c r="KN172" s="438">
        <f t="shared" si="1383"/>
        <v>93.258047332775277</v>
      </c>
      <c r="KO172" s="438">
        <f t="shared" si="1384"/>
        <v>31831.272727272728</v>
      </c>
      <c r="KP172" s="438">
        <f t="shared" si="1385"/>
        <v>941351</v>
      </c>
      <c r="KQ172" s="438">
        <f t="shared" si="1386"/>
        <v>234758</v>
      </c>
      <c r="KR172" s="438">
        <f t="shared" si="1387"/>
        <v>650881</v>
      </c>
      <c r="KS172" s="438">
        <f t="shared" si="1388"/>
        <v>184093</v>
      </c>
      <c r="KT172" s="438">
        <f t="shared" si="1389"/>
        <v>0</v>
      </c>
      <c r="KU172" s="438">
        <f t="shared" si="1390"/>
        <v>439925</v>
      </c>
      <c r="KV172" s="420">
        <f t="shared" si="1391"/>
        <v>0.37191810484141408</v>
      </c>
      <c r="KW172" s="420">
        <f t="shared" si="1392"/>
        <v>-0.48580686024703384</v>
      </c>
      <c r="KX172" s="108"/>
      <c r="KY172" s="282">
        <f t="shared" si="1393"/>
        <v>0</v>
      </c>
      <c r="KZ172" s="282"/>
      <c r="LA172" s="282">
        <f t="shared" si="1394"/>
        <v>0</v>
      </c>
      <c r="LB172" s="282"/>
      <c r="LC172" s="286">
        <f t="shared" si="1321"/>
        <v>0</v>
      </c>
      <c r="LD172" s="286"/>
      <c r="LE172" s="282">
        <f t="shared" si="1395"/>
        <v>0</v>
      </c>
      <c r="LF172" s="282"/>
      <c r="LG172" s="282">
        <f t="shared" si="1396"/>
        <v>0</v>
      </c>
      <c r="LH172" s="282">
        <f t="shared" si="1397"/>
        <v>0</v>
      </c>
      <c r="LI172" s="282">
        <f t="shared" si="1398"/>
        <v>0</v>
      </c>
      <c r="LJ172" s="282">
        <f t="shared" si="1399"/>
        <v>0</v>
      </c>
      <c r="LK172" s="282"/>
      <c r="LL172" s="282">
        <f t="shared" si="1400"/>
        <v>0</v>
      </c>
      <c r="LM172" s="282">
        <f t="shared" si="1401"/>
        <v>0</v>
      </c>
      <c r="LN172" s="282">
        <f t="shared" si="1402"/>
        <v>0</v>
      </c>
      <c r="LO172" s="282">
        <f t="shared" si="1403"/>
        <v>0</v>
      </c>
      <c r="LP172" s="286">
        <f t="shared" si="1404"/>
        <v>0</v>
      </c>
      <c r="LQ172" s="282">
        <f t="shared" si="1405"/>
        <v>0</v>
      </c>
      <c r="LR172" s="282">
        <f t="shared" si="1406"/>
        <v>0</v>
      </c>
      <c r="LS172" s="282">
        <f t="shared" si="1407"/>
        <v>0</v>
      </c>
      <c r="LT172" s="286">
        <f t="shared" si="1408"/>
        <v>0</v>
      </c>
      <c r="LU172" s="286">
        <f t="shared" si="1409"/>
        <v>0</v>
      </c>
      <c r="LV172" s="286">
        <f t="shared" si="1410"/>
        <v>0</v>
      </c>
      <c r="LW172" s="286">
        <f t="shared" si="1411"/>
        <v>0</v>
      </c>
      <c r="LX172" s="286">
        <f t="shared" si="1412"/>
        <v>0</v>
      </c>
      <c r="LY172" s="286">
        <f t="shared" si="1413"/>
        <v>0</v>
      </c>
      <c r="LZ172" s="286">
        <f t="shared" si="1414"/>
        <v>0</v>
      </c>
      <c r="MA172" s="286">
        <f t="shared" si="1415"/>
        <v>0</v>
      </c>
      <c r="MB172" s="286">
        <f t="shared" si="1416"/>
        <v>0</v>
      </c>
      <c r="MC172" s="286">
        <f t="shared" si="1417"/>
        <v>0</v>
      </c>
      <c r="MD172" s="286">
        <f t="shared" si="1418"/>
        <v>0</v>
      </c>
      <c r="ME172" s="286">
        <f t="shared" si="1419"/>
        <v>0</v>
      </c>
      <c r="MF172" s="286">
        <f t="shared" si="1420"/>
        <v>0</v>
      </c>
      <c r="MG172" s="286">
        <f t="shared" si="1421"/>
        <v>0</v>
      </c>
      <c r="MH172" s="286">
        <f t="shared" si="1422"/>
        <v>0</v>
      </c>
      <c r="MI172" s="286">
        <f t="shared" si="1423"/>
        <v>0</v>
      </c>
      <c r="MJ172" s="286">
        <f t="shared" si="1424"/>
        <v>0</v>
      </c>
      <c r="MK172" s="286">
        <f t="shared" si="1425"/>
        <v>0</v>
      </c>
      <c r="ML172" s="282">
        <f t="shared" si="1426"/>
        <v>0</v>
      </c>
      <c r="MM172" s="1232">
        <f t="shared" si="1427"/>
        <v>0</v>
      </c>
      <c r="MN172" s="1232">
        <f t="shared" si="1428"/>
        <v>0</v>
      </c>
      <c r="MO172" s="1232">
        <f t="shared" si="1429"/>
        <v>0</v>
      </c>
      <c r="MP172" s="1232">
        <f t="shared" si="1430"/>
        <v>0</v>
      </c>
      <c r="MQ172" s="282">
        <f t="shared" si="1431"/>
        <v>0</v>
      </c>
      <c r="MR172" s="282">
        <f t="shared" si="1432"/>
        <v>0</v>
      </c>
      <c r="MS172" s="282">
        <f t="shared" si="1433"/>
        <v>0</v>
      </c>
      <c r="MT172" s="282">
        <f t="shared" si="1434"/>
        <v>0</v>
      </c>
      <c r="MU172" s="282">
        <f t="shared" si="1435"/>
        <v>0</v>
      </c>
      <c r="MV172" s="282">
        <f t="shared" si="1436"/>
        <v>0</v>
      </c>
      <c r="MW172" s="282">
        <f t="shared" si="1437"/>
        <v>0</v>
      </c>
      <c r="MX172" s="282">
        <f t="shared" si="1438"/>
        <v>0</v>
      </c>
      <c r="MY172" s="282">
        <f t="shared" si="1439"/>
        <v>0</v>
      </c>
      <c r="MZ172" s="282">
        <f t="shared" si="1440"/>
        <v>0</v>
      </c>
      <c r="NA172" s="282">
        <f t="shared" si="1441"/>
        <v>0</v>
      </c>
      <c r="NB172" s="282">
        <f t="shared" si="1442"/>
        <v>0</v>
      </c>
      <c r="NC172" s="282">
        <f t="shared" si="1443"/>
        <v>0</v>
      </c>
      <c r="ND172" s="282">
        <f t="shared" si="1444"/>
        <v>0</v>
      </c>
      <c r="NE172" s="282">
        <f t="shared" si="1445"/>
        <v>0</v>
      </c>
      <c r="NF172" s="282">
        <f t="shared" si="1446"/>
        <v>0</v>
      </c>
      <c r="NG172" s="282">
        <f t="shared" si="1447"/>
        <v>0</v>
      </c>
      <c r="NH172" s="282">
        <f t="shared" si="1448"/>
        <v>0</v>
      </c>
      <c r="NI172" s="282">
        <f t="shared" si="1449"/>
        <v>0</v>
      </c>
      <c r="NJ172" s="282">
        <f t="shared" si="1450"/>
        <v>0</v>
      </c>
      <c r="NK172" s="282">
        <f t="shared" si="1451"/>
        <v>0</v>
      </c>
      <c r="NL172" s="282">
        <f t="shared" si="1452"/>
        <v>0</v>
      </c>
      <c r="NM172" s="1205">
        <f t="shared" si="1453"/>
        <v>0</v>
      </c>
      <c r="NN172" s="282">
        <f t="shared" si="1454"/>
        <v>0</v>
      </c>
      <c r="NO172" s="282">
        <f t="shared" si="1455"/>
        <v>0</v>
      </c>
      <c r="NP172" s="282">
        <f t="shared" si="1456"/>
        <v>0</v>
      </c>
      <c r="NQ172" s="282">
        <f t="shared" si="1457"/>
        <v>0</v>
      </c>
      <c r="NR172" s="282">
        <f t="shared" si="1458"/>
        <v>0</v>
      </c>
      <c r="NS172" s="282">
        <f t="shared" si="1459"/>
        <v>0</v>
      </c>
      <c r="NT172" s="282">
        <f t="shared" si="1460"/>
        <v>0</v>
      </c>
      <c r="NU172" s="282">
        <f t="shared" si="1461"/>
        <v>0</v>
      </c>
      <c r="NV172" s="286">
        <f t="shared" si="1462"/>
        <v>0</v>
      </c>
      <c r="NW172" s="286">
        <f t="shared" si="1463"/>
        <v>0</v>
      </c>
      <c r="NX172" s="286">
        <f t="shared" si="1464"/>
        <v>0</v>
      </c>
      <c r="NY172" s="286">
        <f t="shared" si="1465"/>
        <v>0</v>
      </c>
      <c r="NZ172" s="286">
        <f t="shared" si="1466"/>
        <v>0</v>
      </c>
      <c r="OA172" s="286">
        <f t="shared" si="1467"/>
        <v>0</v>
      </c>
      <c r="OB172" s="286">
        <f t="shared" si="1468"/>
        <v>0</v>
      </c>
      <c r="OC172" s="286">
        <f t="shared" si="1469"/>
        <v>0</v>
      </c>
      <c r="OD172" s="286">
        <f t="shared" si="1470"/>
        <v>0</v>
      </c>
      <c r="OE172" s="282">
        <f t="shared" si="1471"/>
        <v>0</v>
      </c>
      <c r="OF172" s="282">
        <f t="shared" si="1472"/>
        <v>0</v>
      </c>
      <c r="OG172" s="286">
        <f t="shared" si="1473"/>
        <v>0</v>
      </c>
      <c r="OH172" s="286">
        <f t="shared" si="1474"/>
        <v>0</v>
      </c>
      <c r="OI172" s="286">
        <f t="shared" si="1475"/>
        <v>0</v>
      </c>
      <c r="OJ172" s="286">
        <f t="shared" si="1476"/>
        <v>0</v>
      </c>
      <c r="OK172" s="286">
        <f t="shared" si="1477"/>
        <v>0</v>
      </c>
      <c r="OL172" s="286">
        <f t="shared" si="1478"/>
        <v>0</v>
      </c>
      <c r="OM172" s="286">
        <f t="shared" si="1479"/>
        <v>0</v>
      </c>
      <c r="ON172" s="286">
        <f t="shared" si="1480"/>
        <v>0</v>
      </c>
      <c r="OO172" s="286">
        <f t="shared" si="1481"/>
        <v>0</v>
      </c>
      <c r="OP172" s="434">
        <f t="shared" si="1482"/>
        <v>0</v>
      </c>
      <c r="OQ172" s="434">
        <f t="shared" si="1483"/>
        <v>0</v>
      </c>
      <c r="OR172" s="282">
        <f t="shared" si="1484"/>
        <v>0</v>
      </c>
      <c r="OS172" s="282">
        <f t="shared" si="1485"/>
        <v>0</v>
      </c>
      <c r="OT172" s="282">
        <f t="shared" si="1486"/>
        <v>0</v>
      </c>
      <c r="OU172" s="282">
        <f t="shared" si="1487"/>
        <v>0</v>
      </c>
      <c r="OV172" s="282">
        <f t="shared" si="1488"/>
        <v>0</v>
      </c>
      <c r="OW172" s="286">
        <f t="shared" si="1489"/>
        <v>0</v>
      </c>
      <c r="OX172" s="286">
        <f t="shared" si="1490"/>
        <v>0</v>
      </c>
      <c r="OY172" s="286">
        <f t="shared" si="1491"/>
        <v>0</v>
      </c>
      <c r="OZ172" s="286">
        <f t="shared" si="1492"/>
        <v>0</v>
      </c>
      <c r="PA172" s="286">
        <f t="shared" si="1493"/>
        <v>0</v>
      </c>
      <c r="PB172" s="286">
        <f t="shared" si="1494"/>
        <v>0</v>
      </c>
      <c r="PC172" s="286">
        <f t="shared" si="1495"/>
        <v>0</v>
      </c>
      <c r="PD172" s="282">
        <f t="shared" si="1496"/>
        <v>0</v>
      </c>
      <c r="PE172" s="282">
        <f t="shared" si="1497"/>
        <v>0</v>
      </c>
      <c r="PF172" s="286">
        <f t="shared" si="1498"/>
        <v>0</v>
      </c>
      <c r="PG172" s="286">
        <f t="shared" si="1499"/>
        <v>0</v>
      </c>
      <c r="PH172" s="286">
        <f t="shared" si="1500"/>
        <v>0</v>
      </c>
      <c r="PI172" s="286">
        <f t="shared" si="1501"/>
        <v>0</v>
      </c>
      <c r="PJ172" s="286">
        <f t="shared" si="1502"/>
        <v>0</v>
      </c>
      <c r="PK172" s="286">
        <f t="shared" si="1503"/>
        <v>0</v>
      </c>
      <c r="PL172" s="286">
        <f t="shared" si="1504"/>
        <v>0</v>
      </c>
      <c r="PM172" s="562">
        <v>116</v>
      </c>
    </row>
    <row r="173" spans="1:429" s="289" customFormat="1" ht="15.75" customHeight="1">
      <c r="A173" s="1935" t="s">
        <v>1333</v>
      </c>
      <c r="B173" s="1040" t="str">
        <f>VLOOKUP(A173,'Area (&amp;golfacre for lookup)'!$A$2:$B$162,2,FALSE)</f>
        <v>Yacht &amp; Beach</v>
      </c>
      <c r="C173" s="1936"/>
      <c r="D173" s="1937">
        <v>44926</v>
      </c>
      <c r="E173" s="402"/>
      <c r="F173" s="1936">
        <v>1</v>
      </c>
      <c r="G173" s="1936">
        <v>0</v>
      </c>
      <c r="H173" s="1936">
        <v>340</v>
      </c>
      <c r="I173" s="1936">
        <v>147</v>
      </c>
      <c r="J173" s="1936">
        <v>487</v>
      </c>
      <c r="K173" s="1938">
        <v>444.53266417148689</v>
      </c>
      <c r="L173" s="1939" t="s">
        <v>1208</v>
      </c>
      <c r="M173" s="1939" t="s">
        <v>1208</v>
      </c>
      <c r="N173" s="1939" t="s">
        <v>1208</v>
      </c>
      <c r="O173" s="1939" t="s">
        <v>1208</v>
      </c>
      <c r="P173" s="1939" t="s">
        <v>1208</v>
      </c>
      <c r="Q173" s="1936">
        <v>100</v>
      </c>
      <c r="R173" s="1936">
        <v>30000</v>
      </c>
      <c r="S173" s="1936">
        <v>30100</v>
      </c>
      <c r="T173" s="1939" t="s">
        <v>1208</v>
      </c>
      <c r="U173" s="1939" t="s">
        <v>1208</v>
      </c>
      <c r="V173" s="1939" t="s">
        <v>1208</v>
      </c>
      <c r="W173" s="1936">
        <v>6936</v>
      </c>
      <c r="X173" s="1936">
        <v>5878</v>
      </c>
      <c r="Y173" s="1939" t="s">
        <v>1208</v>
      </c>
      <c r="Z173" s="1939" t="s">
        <v>1208</v>
      </c>
      <c r="AA173" s="1936">
        <v>1058</v>
      </c>
      <c r="AB173" s="1362">
        <v>0.17999319496427357</v>
      </c>
      <c r="AC173" s="1939" t="s">
        <v>1208</v>
      </c>
      <c r="AD173" s="1363" t="s">
        <v>1208</v>
      </c>
      <c r="AE173" s="1936">
        <v>1</v>
      </c>
      <c r="AF173" s="1936">
        <v>922</v>
      </c>
      <c r="AG173" s="1939" t="s">
        <v>1208</v>
      </c>
      <c r="AH173" s="1936">
        <v>0</v>
      </c>
      <c r="AI173" s="1936">
        <v>0</v>
      </c>
      <c r="AJ173" s="1939" t="s">
        <v>1208</v>
      </c>
      <c r="AK173" s="1938">
        <v>1</v>
      </c>
      <c r="AL173" s="1938">
        <v>900</v>
      </c>
      <c r="AM173" s="1936">
        <v>7700</v>
      </c>
      <c r="AN173" s="1939" t="s">
        <v>1208</v>
      </c>
      <c r="AO173" s="1936">
        <v>735</v>
      </c>
      <c r="AP173" s="1936">
        <v>0</v>
      </c>
      <c r="AQ173" s="1936">
        <v>8435</v>
      </c>
      <c r="AR173" s="1939" t="s">
        <v>1208</v>
      </c>
      <c r="AS173" s="1363" t="s">
        <v>1208</v>
      </c>
      <c r="AT173" s="1363" t="s">
        <v>1208</v>
      </c>
      <c r="AU173" s="1363" t="s">
        <v>1208</v>
      </c>
      <c r="AV173" s="1363" t="s">
        <v>1208</v>
      </c>
      <c r="AW173" s="1363" t="s">
        <v>1291</v>
      </c>
      <c r="AX173" s="1938">
        <v>1</v>
      </c>
      <c r="AY173" s="1938">
        <v>0</v>
      </c>
      <c r="AZ173" s="1938">
        <v>0</v>
      </c>
      <c r="BA173" s="1938">
        <v>0</v>
      </c>
      <c r="BB173" s="1938">
        <v>0</v>
      </c>
      <c r="BC173" s="1938">
        <v>0</v>
      </c>
      <c r="BD173" s="1938">
        <v>1</v>
      </c>
      <c r="BE173" s="1936">
        <v>1</v>
      </c>
      <c r="BF173" s="1936">
        <v>300000</v>
      </c>
      <c r="BG173" s="1936">
        <v>263700</v>
      </c>
      <c r="BH173" s="1936">
        <v>563700</v>
      </c>
      <c r="BI173" s="1938">
        <v>10163643</v>
      </c>
      <c r="BJ173" s="1936">
        <v>385817</v>
      </c>
      <c r="BK173" s="1936">
        <v>864140</v>
      </c>
      <c r="BL173" s="1362">
        <v>0.4464751082000602</v>
      </c>
      <c r="BM173" s="1936">
        <v>1</v>
      </c>
      <c r="BN173" s="1936">
        <v>4578357</v>
      </c>
      <c r="BO173" s="1363" t="s">
        <v>1208</v>
      </c>
      <c r="BP173" s="1938">
        <v>891434</v>
      </c>
      <c r="BQ173" s="1938">
        <v>872611</v>
      </c>
      <c r="BR173" s="1940">
        <v>1.0215708947056592</v>
      </c>
      <c r="BS173" s="1409">
        <v>1</v>
      </c>
      <c r="BT173" s="1938">
        <v>5128775</v>
      </c>
      <c r="BU173" s="1938">
        <v>7442723</v>
      </c>
      <c r="BV173" s="1940">
        <v>0.68909927186595554</v>
      </c>
      <c r="BW173" s="1936">
        <v>10299.258904929002</v>
      </c>
      <c r="BX173" s="1936">
        <v>867.91597355186434</v>
      </c>
      <c r="BY173" s="1936">
        <v>1268.0732945701873</v>
      </c>
      <c r="BZ173" s="1936">
        <v>0</v>
      </c>
      <c r="CA173" s="1936">
        <v>495328</v>
      </c>
      <c r="CB173" s="1936">
        <v>0</v>
      </c>
      <c r="CC173" s="1936">
        <v>70577</v>
      </c>
      <c r="CD173" s="1936">
        <v>2612963</v>
      </c>
      <c r="CE173" s="1936">
        <v>0</v>
      </c>
      <c r="CF173" s="1936">
        <v>0</v>
      </c>
      <c r="CG173" s="1936">
        <v>1350322</v>
      </c>
      <c r="CH173" s="1936">
        <v>562394</v>
      </c>
      <c r="CI173" s="1936">
        <v>158333</v>
      </c>
      <c r="CJ173" s="1936">
        <v>5249917</v>
      </c>
      <c r="CK173" s="1366">
        <v>0</v>
      </c>
      <c r="CL173" s="1366">
        <v>9.4349682099736057E-2</v>
      </c>
      <c r="CM173" s="1366">
        <v>0</v>
      </c>
      <c r="CN173" s="1366">
        <v>1.344345062979091E-2</v>
      </c>
      <c r="CO173" s="1366">
        <v>0.49771510673406838</v>
      </c>
      <c r="CP173" s="1366">
        <v>0</v>
      </c>
      <c r="CQ173" s="1366">
        <v>0</v>
      </c>
      <c r="CR173" s="1366">
        <v>0.25720825681625059</v>
      </c>
      <c r="CS173" s="1366">
        <v>0.10712436025179065</v>
      </c>
      <c r="CT173" s="1366">
        <v>3.0159143468363403E-2</v>
      </c>
      <c r="CU173" s="1366">
        <v>1</v>
      </c>
      <c r="CV173" s="1936">
        <v>2958920</v>
      </c>
      <c r="CW173" s="1936">
        <v>958231</v>
      </c>
      <c r="CX173" s="1936">
        <v>0</v>
      </c>
      <c r="CY173" s="1936">
        <v>1708708</v>
      </c>
      <c r="CZ173" s="1936">
        <v>134073</v>
      </c>
      <c r="DA173" s="1936">
        <v>248501</v>
      </c>
      <c r="DB173" s="1936">
        <v>6008433</v>
      </c>
      <c r="DC173" s="1366">
        <v>0.49246117914604359</v>
      </c>
      <c r="DD173" s="1366">
        <v>0.15948101609854018</v>
      </c>
      <c r="DE173" s="1366">
        <v>0</v>
      </c>
      <c r="DF173" s="1366">
        <v>0.28438496360032639</v>
      </c>
      <c r="DG173" s="1366">
        <v>2.2314137479772182E-2</v>
      </c>
      <c r="DH173" s="1366">
        <v>4.1358703675317673E-2</v>
      </c>
      <c r="DI173" s="1366">
        <v>1</v>
      </c>
      <c r="DJ173" s="1936">
        <v>-758516</v>
      </c>
      <c r="DK173" s="1936">
        <v>0</v>
      </c>
      <c r="DL173" s="1936">
        <v>1114.2668242910443</v>
      </c>
      <c r="DM173" s="1936">
        <v>0</v>
      </c>
      <c r="DN173" s="1936">
        <v>158.76673569430565</v>
      </c>
      <c r="DO173" s="1936">
        <v>5878</v>
      </c>
      <c r="DP173" s="1936">
        <v>0</v>
      </c>
      <c r="DQ173" s="1936">
        <v>0</v>
      </c>
      <c r="DR173" s="1936">
        <v>3037.6215491761654</v>
      </c>
      <c r="DS173" s="1936">
        <v>1265.1353777301861</v>
      </c>
      <c r="DT173" s="1936">
        <v>356.17855055735578</v>
      </c>
      <c r="DU173" s="1936">
        <v>11809.969037449056</v>
      </c>
      <c r="DV173" s="1936">
        <v>6656.2487719879691</v>
      </c>
      <c r="DW173" s="1936">
        <v>2155.5918771142187</v>
      </c>
      <c r="DX173" s="1936">
        <v>0</v>
      </c>
      <c r="DY173" s="1936">
        <v>3843.8300213206235</v>
      </c>
      <c r="DZ173" s="1936">
        <v>301.60438322318379</v>
      </c>
      <c r="EA173" s="1936">
        <v>559.01628840515536</v>
      </c>
      <c r="EB173" s="1936">
        <v>13516.29134205115</v>
      </c>
      <c r="EC173" s="1936">
        <v>-1706.3223046020935</v>
      </c>
      <c r="ED173" s="1941">
        <v>30</v>
      </c>
      <c r="EE173" s="1936">
        <v>0</v>
      </c>
      <c r="EF173" s="1936">
        <v>0</v>
      </c>
      <c r="EG173" s="1938">
        <v>0</v>
      </c>
      <c r="EH173" s="1938">
        <v>1</v>
      </c>
      <c r="EI173" s="1368">
        <v>0.09</v>
      </c>
      <c r="EJ173" s="1936">
        <v>14.817755472382895</v>
      </c>
      <c r="EK173" s="1936">
        <v>1</v>
      </c>
      <c r="EL173" s="1936">
        <v>735</v>
      </c>
      <c r="EM173" s="1936">
        <v>1</v>
      </c>
      <c r="EN173" s="1362">
        <v>0.22</v>
      </c>
      <c r="EO173" s="1936">
        <v>0</v>
      </c>
      <c r="EP173" s="1936">
        <v>0</v>
      </c>
      <c r="EQ173" s="1936">
        <v>0</v>
      </c>
      <c r="ER173" s="1938">
        <v>0</v>
      </c>
      <c r="ES173" s="1936">
        <v>4302.7569269063515</v>
      </c>
      <c r="ET173" s="1936">
        <v>-1341.4739749472151</v>
      </c>
      <c r="EU173" s="1938">
        <v>1</v>
      </c>
      <c r="EV173" s="1936">
        <v>35000</v>
      </c>
      <c r="EW173" s="1936">
        <v>6000</v>
      </c>
      <c r="EX173" s="1938">
        <v>1</v>
      </c>
      <c r="EY173" s="1936">
        <v>1350322</v>
      </c>
      <c r="EZ173" s="1936">
        <v>743652</v>
      </c>
      <c r="FA173" s="1936">
        <v>606670</v>
      </c>
      <c r="FB173" s="1936">
        <v>562394</v>
      </c>
      <c r="FC173" s="1936">
        <v>214579</v>
      </c>
      <c r="FD173" s="1936">
        <v>347815</v>
      </c>
      <c r="FE173" s="1936">
        <v>1912716</v>
      </c>
      <c r="FF173" s="1936">
        <v>958231</v>
      </c>
      <c r="FG173" s="1936">
        <v>954485</v>
      </c>
      <c r="FH173" s="1366">
        <v>1</v>
      </c>
      <c r="FI173" s="1366">
        <v>0.55072197594351568</v>
      </c>
      <c r="FJ173" s="1366">
        <v>0.44927802405648432</v>
      </c>
      <c r="FK173" s="1366">
        <v>1</v>
      </c>
      <c r="FL173" s="1366">
        <v>0.38154567794108757</v>
      </c>
      <c r="FM173" s="1366">
        <v>0.61845432205891249</v>
      </c>
      <c r="FN173" s="1366">
        <v>1</v>
      </c>
      <c r="FO173" s="1366">
        <v>0.50097923580918446</v>
      </c>
      <c r="FP173" s="1366">
        <v>0.49902076419081559</v>
      </c>
      <c r="FQ173" s="1936">
        <v>1242626</v>
      </c>
      <c r="FR173" s="1936">
        <v>0</v>
      </c>
      <c r="FS173" s="1936">
        <v>196647</v>
      </c>
      <c r="FT173" s="1936">
        <v>0</v>
      </c>
      <c r="FU173" s="1936">
        <v>0</v>
      </c>
      <c r="FV173" s="1936">
        <v>5906</v>
      </c>
      <c r="FW173" s="1936">
        <v>105635</v>
      </c>
      <c r="FX173" s="1936">
        <v>1550814</v>
      </c>
      <c r="FY173" s="1936">
        <v>-596329</v>
      </c>
      <c r="FZ173" s="1366">
        <v>0.64966571095761205</v>
      </c>
      <c r="GA173" s="1366">
        <v>0</v>
      </c>
      <c r="GB173" s="1366">
        <v>0.10281034926251466</v>
      </c>
      <c r="GC173" s="1366">
        <v>0</v>
      </c>
      <c r="GD173" s="1366">
        <v>0</v>
      </c>
      <c r="GE173" s="1366">
        <v>3.0877558403861315E-3</v>
      </c>
      <c r="GF173" s="1366">
        <v>5.5227749441108871E-2</v>
      </c>
      <c r="GG173" s="1366">
        <v>0.81079156550162179</v>
      </c>
      <c r="GH173" s="1366">
        <v>-0.3117708013108062</v>
      </c>
      <c r="GI173" s="1942">
        <v>2.4010249042486227</v>
      </c>
      <c r="GJ173" s="1943">
        <v>1</v>
      </c>
      <c r="GK173" s="1371">
        <v>0.03</v>
      </c>
      <c r="GL173" s="1943">
        <v>1</v>
      </c>
      <c r="GM173" s="1371">
        <v>0.03</v>
      </c>
      <c r="GN173" s="1943">
        <v>0</v>
      </c>
      <c r="GO173" s="1985">
        <f>IF(GN173=0,0,VLOOKUP(A173,'Area (&amp;golfacre for lookup)'!$G$2:$H$133,2,FALSE))</f>
        <v>0</v>
      </c>
      <c r="GP173" s="1943">
        <v>0</v>
      </c>
      <c r="GQ173" s="1943">
        <v>0</v>
      </c>
      <c r="GR173" s="1943">
        <v>0</v>
      </c>
      <c r="GS173" s="1943">
        <v>0</v>
      </c>
      <c r="GT173" s="1943">
        <v>0</v>
      </c>
      <c r="GU173" s="1943">
        <v>0</v>
      </c>
      <c r="GV173" s="1943">
        <v>0</v>
      </c>
      <c r="GW173" s="1943">
        <v>0</v>
      </c>
      <c r="GX173" s="1936">
        <v>0</v>
      </c>
      <c r="GY173" s="1985">
        <f t="shared" si="1319"/>
        <v>0</v>
      </c>
      <c r="GZ173" s="1936">
        <v>0</v>
      </c>
      <c r="HA173" s="1936">
        <v>0</v>
      </c>
      <c r="HB173" s="1936">
        <v>0</v>
      </c>
      <c r="HC173" s="1936">
        <v>0</v>
      </c>
      <c r="HD173" s="1936">
        <v>0</v>
      </c>
      <c r="HE173" s="1936">
        <v>0</v>
      </c>
      <c r="HF173" s="1936">
        <v>0</v>
      </c>
      <c r="HG173" s="1936">
        <v>0</v>
      </c>
      <c r="HH173" s="1988">
        <f>IF(HG173=0,0,VLOOKUP(A173,'Area (&amp;golfacre for lookup)'!$G$2:$H$134,2,FALSE))</f>
        <v>0</v>
      </c>
      <c r="HI173" s="1936">
        <v>0</v>
      </c>
      <c r="HJ173" s="1936">
        <v>0</v>
      </c>
      <c r="HK173" s="1936">
        <v>0</v>
      </c>
      <c r="HL173" s="1936">
        <v>0</v>
      </c>
      <c r="HM173" s="1936">
        <v>0</v>
      </c>
      <c r="HN173" s="1936">
        <v>0</v>
      </c>
      <c r="HO173" s="1936">
        <v>0</v>
      </c>
      <c r="HP173" s="1936">
        <v>0</v>
      </c>
      <c r="HQ173" s="1936">
        <v>0</v>
      </c>
      <c r="HR173" s="1988">
        <f t="shared" si="1320"/>
        <v>0</v>
      </c>
      <c r="HS173" s="1936">
        <v>0</v>
      </c>
      <c r="HT173" s="1936">
        <v>0</v>
      </c>
      <c r="HU173" s="1936">
        <v>0</v>
      </c>
      <c r="HV173" s="1936">
        <v>0</v>
      </c>
      <c r="HW173" s="1936">
        <v>0</v>
      </c>
      <c r="HX173" s="1936">
        <v>0</v>
      </c>
      <c r="HY173" s="1936">
        <v>0</v>
      </c>
      <c r="HZ173" s="51"/>
      <c r="IA173" s="59">
        <f t="shared" si="1322"/>
        <v>0</v>
      </c>
      <c r="IB173" s="59"/>
      <c r="IC173" s="815">
        <f t="shared" si="1323"/>
        <v>1</v>
      </c>
      <c r="ID173" s="815"/>
      <c r="IE173" s="284">
        <f t="shared" si="1324"/>
        <v>0</v>
      </c>
      <c r="IF173" s="284"/>
      <c r="IG173" s="284">
        <f t="shared" si="1325"/>
        <v>22863.658442159343</v>
      </c>
      <c r="IH173" s="284"/>
      <c r="II173" s="1288">
        <f t="shared" si="1326"/>
        <v>1.0215708947056592</v>
      </c>
      <c r="IJ173" s="1288">
        <f t="shared" si="1327"/>
        <v>0</v>
      </c>
      <c r="IK173" s="284">
        <f t="shared" si="1328"/>
        <v>0</v>
      </c>
      <c r="IL173" s="284">
        <f t="shared" si="1329"/>
        <v>0</v>
      </c>
      <c r="IM173" s="284">
        <f t="shared" si="1330"/>
        <v>1</v>
      </c>
      <c r="IN173" s="284">
        <f t="shared" si="1331"/>
        <v>0</v>
      </c>
      <c r="IO173" s="753">
        <f t="shared" si="1332"/>
        <v>-1224.4948665297741</v>
      </c>
      <c r="IP173" s="113">
        <f t="shared" si="1333"/>
        <v>-1341.4739749472151</v>
      </c>
      <c r="IQ173" s="30">
        <f t="shared" si="1334"/>
        <v>-0.22821945814005021</v>
      </c>
      <c r="IR173" s="438">
        <f t="shared" si="1335"/>
        <v>1350322</v>
      </c>
      <c r="IS173" s="438">
        <f t="shared" si="1336"/>
        <v>562394</v>
      </c>
      <c r="IT173" s="438">
        <f t="shared" si="1337"/>
        <v>1242626</v>
      </c>
      <c r="IU173" s="438">
        <f t="shared" si="1338"/>
        <v>196647</v>
      </c>
      <c r="IV173" s="438">
        <f t="shared" si="1339"/>
        <v>958231</v>
      </c>
      <c r="IW173" s="438">
        <f t="shared" si="1340"/>
        <v>111541</v>
      </c>
      <c r="IX173" s="285">
        <f t="shared" si="1341"/>
        <v>0.7059709857605625</v>
      </c>
      <c r="IY173" s="285">
        <f t="shared" si="1342"/>
        <v>0.29402901423943756</v>
      </c>
      <c r="IZ173" s="285">
        <f t="shared" si="1343"/>
        <v>0.64966571095761205</v>
      </c>
      <c r="JA173" s="285">
        <f t="shared" si="1344"/>
        <v>0.10281034926251466</v>
      </c>
      <c r="JB173" s="285">
        <f t="shared" si="1345"/>
        <v>0.50097923580918446</v>
      </c>
      <c r="JC173" s="285">
        <f t="shared" si="1346"/>
        <v>5.8315505281495005E-2</v>
      </c>
      <c r="JD173" s="60">
        <f t="shared" si="1347"/>
        <v>2612963</v>
      </c>
      <c r="JE173" s="60">
        <f t="shared" si="1348"/>
        <v>565905</v>
      </c>
      <c r="JF173" s="60">
        <f t="shared" si="1349"/>
        <v>0</v>
      </c>
      <c r="JG173" s="60">
        <f t="shared" si="1350"/>
        <v>382574</v>
      </c>
      <c r="JH173" s="284">
        <f t="shared" si="1351"/>
        <v>0</v>
      </c>
      <c r="JI173" s="284" t="str">
        <f t="shared" si="1352"/>
        <v/>
      </c>
      <c r="JJ173" s="560">
        <f t="shared" si="1353"/>
        <v>0</v>
      </c>
      <c r="JK173" s="561">
        <f t="shared" si="1354"/>
        <v>0.56361271997252527</v>
      </c>
      <c r="JL173" s="561">
        <f t="shared" si="1355"/>
        <v>0.18252307607910753</v>
      </c>
      <c r="JM173" s="561">
        <f t="shared" si="1356"/>
        <v>0</v>
      </c>
      <c r="JN173" s="561">
        <f t="shared" si="1357"/>
        <v>0.32547333605464618</v>
      </c>
      <c r="JO173" s="561">
        <f t="shared" si="1358"/>
        <v>2.5538118031199351E-2</v>
      </c>
      <c r="JP173" s="561">
        <f t="shared" si="1359"/>
        <v>4.7334272141826242E-2</v>
      </c>
      <c r="JQ173" s="561">
        <f t="shared" si="1360"/>
        <v>1.1444815222793046</v>
      </c>
      <c r="JR173" s="61">
        <f t="shared" si="1361"/>
        <v>0</v>
      </c>
      <c r="JS173" s="61">
        <f t="shared" si="1362"/>
        <v>0</v>
      </c>
      <c r="JT173" s="61">
        <f t="shared" si="1363"/>
        <v>0</v>
      </c>
      <c r="JU173" s="61">
        <f t="shared" si="1364"/>
        <v>0</v>
      </c>
      <c r="JV173" s="61">
        <f t="shared" si="1365"/>
        <v>0</v>
      </c>
      <c r="JW173" s="61">
        <f t="shared" si="1366"/>
        <v>0</v>
      </c>
      <c r="JX173" s="61">
        <f t="shared" si="1367"/>
        <v>0</v>
      </c>
      <c r="JY173" s="394">
        <f t="shared" si="1368"/>
        <v>0</v>
      </c>
      <c r="JZ173" s="61">
        <f t="shared" si="1369"/>
        <v>0</v>
      </c>
      <c r="KA173" s="61">
        <f t="shared" si="1370"/>
        <v>0</v>
      </c>
      <c r="KB173" s="61">
        <f t="shared" si="1371"/>
        <v>0</v>
      </c>
      <c r="KC173" s="61">
        <f t="shared" si="1372"/>
        <v>0</v>
      </c>
      <c r="KD173" s="61">
        <f t="shared" si="1373"/>
        <v>0</v>
      </c>
      <c r="KE173" s="61">
        <f t="shared" si="1374"/>
        <v>0</v>
      </c>
      <c r="KF173" s="61">
        <f t="shared" si="1375"/>
        <v>0</v>
      </c>
      <c r="KG173" s="61">
        <f t="shared" si="1376"/>
        <v>0</v>
      </c>
      <c r="KH173" s="61">
        <f t="shared" si="1377"/>
        <v>0</v>
      </c>
      <c r="KI173" s="394">
        <f t="shared" si="1378"/>
        <v>0</v>
      </c>
      <c r="KJ173" s="438">
        <f t="shared" si="1379"/>
        <v>0</v>
      </c>
      <c r="KK173" s="438">
        <f t="shared" si="1380"/>
        <v>0</v>
      </c>
      <c r="KL173" s="438">
        <f t="shared" si="1381"/>
        <v>0</v>
      </c>
      <c r="KM173" s="438">
        <f t="shared" si="1382"/>
        <v>0</v>
      </c>
      <c r="KN173" s="438">
        <f t="shared" si="1383"/>
        <v>0</v>
      </c>
      <c r="KO173" s="438">
        <f t="shared" si="1384"/>
        <v>0</v>
      </c>
      <c r="KP173" s="438">
        <f t="shared" si="1385"/>
        <v>0</v>
      </c>
      <c r="KQ173" s="438">
        <f t="shared" si="1386"/>
        <v>0</v>
      </c>
      <c r="KR173" s="438">
        <f t="shared" si="1387"/>
        <v>0</v>
      </c>
      <c r="KS173" s="438">
        <f t="shared" si="1388"/>
        <v>0</v>
      </c>
      <c r="KT173" s="438">
        <f t="shared" si="1389"/>
        <v>0</v>
      </c>
      <c r="KU173" s="438">
        <f t="shared" si="1390"/>
        <v>0</v>
      </c>
      <c r="KV173" s="420">
        <f t="shared" si="1391"/>
        <v>0</v>
      </c>
      <c r="KW173" s="420">
        <f t="shared" si="1392"/>
        <v>0</v>
      </c>
      <c r="KX173" s="108"/>
      <c r="KY173" s="282">
        <f t="shared" si="1393"/>
        <v>0</v>
      </c>
      <c r="KZ173" s="282"/>
      <c r="LA173" s="282">
        <f t="shared" si="1394"/>
        <v>0</v>
      </c>
      <c r="LB173" s="282"/>
      <c r="LC173" s="286">
        <f t="shared" si="1321"/>
        <v>0</v>
      </c>
      <c r="LD173" s="286"/>
      <c r="LE173" s="282">
        <f t="shared" si="1395"/>
        <v>0</v>
      </c>
      <c r="LF173" s="282"/>
      <c r="LG173" s="282">
        <f t="shared" si="1396"/>
        <v>0</v>
      </c>
      <c r="LH173" s="282">
        <f t="shared" si="1397"/>
        <v>0</v>
      </c>
      <c r="LI173" s="282">
        <f t="shared" si="1398"/>
        <v>0</v>
      </c>
      <c r="LJ173" s="282">
        <f t="shared" si="1399"/>
        <v>0</v>
      </c>
      <c r="LK173" s="282"/>
      <c r="LL173" s="282">
        <f t="shared" si="1400"/>
        <v>0</v>
      </c>
      <c r="LM173" s="282">
        <f t="shared" si="1401"/>
        <v>0</v>
      </c>
      <c r="LN173" s="282">
        <f t="shared" si="1402"/>
        <v>0</v>
      </c>
      <c r="LO173" s="282">
        <f t="shared" si="1403"/>
        <v>0</v>
      </c>
      <c r="LP173" s="286">
        <f t="shared" si="1404"/>
        <v>0</v>
      </c>
      <c r="LQ173" s="282">
        <f t="shared" si="1405"/>
        <v>0</v>
      </c>
      <c r="LR173" s="282">
        <f t="shared" si="1406"/>
        <v>0</v>
      </c>
      <c r="LS173" s="282">
        <f t="shared" si="1407"/>
        <v>0</v>
      </c>
      <c r="LT173" s="286">
        <f t="shared" si="1408"/>
        <v>0</v>
      </c>
      <c r="LU173" s="286">
        <f t="shared" si="1409"/>
        <v>0</v>
      </c>
      <c r="LV173" s="286">
        <f t="shared" si="1410"/>
        <v>0</v>
      </c>
      <c r="LW173" s="286">
        <f t="shared" si="1411"/>
        <v>0</v>
      </c>
      <c r="LX173" s="286">
        <f t="shared" si="1412"/>
        <v>0</v>
      </c>
      <c r="LY173" s="286">
        <f t="shared" si="1413"/>
        <v>0</v>
      </c>
      <c r="LZ173" s="286">
        <f t="shared" si="1414"/>
        <v>0</v>
      </c>
      <c r="MA173" s="286">
        <f t="shared" si="1415"/>
        <v>0</v>
      </c>
      <c r="MB173" s="286">
        <f t="shared" si="1416"/>
        <v>0</v>
      </c>
      <c r="MC173" s="286">
        <f t="shared" si="1417"/>
        <v>0</v>
      </c>
      <c r="MD173" s="286">
        <f t="shared" si="1418"/>
        <v>0</v>
      </c>
      <c r="ME173" s="286">
        <f t="shared" si="1419"/>
        <v>0</v>
      </c>
      <c r="MF173" s="286">
        <f t="shared" si="1420"/>
        <v>0</v>
      </c>
      <c r="MG173" s="286">
        <f t="shared" si="1421"/>
        <v>0</v>
      </c>
      <c r="MH173" s="286">
        <f t="shared" si="1422"/>
        <v>0</v>
      </c>
      <c r="MI173" s="286">
        <f t="shared" si="1423"/>
        <v>0</v>
      </c>
      <c r="MJ173" s="286">
        <f t="shared" si="1424"/>
        <v>0</v>
      </c>
      <c r="MK173" s="286">
        <f t="shared" si="1425"/>
        <v>0</v>
      </c>
      <c r="ML173" s="282">
        <f t="shared" si="1426"/>
        <v>0</v>
      </c>
      <c r="MM173" s="1232">
        <f t="shared" si="1427"/>
        <v>0</v>
      </c>
      <c r="MN173" s="1232">
        <f t="shared" si="1428"/>
        <v>0</v>
      </c>
      <c r="MO173" s="1232">
        <f t="shared" si="1429"/>
        <v>0</v>
      </c>
      <c r="MP173" s="1232">
        <f t="shared" si="1430"/>
        <v>0</v>
      </c>
      <c r="MQ173" s="282">
        <f t="shared" si="1431"/>
        <v>0</v>
      </c>
      <c r="MR173" s="282">
        <f t="shared" si="1432"/>
        <v>0</v>
      </c>
      <c r="MS173" s="282">
        <f t="shared" si="1433"/>
        <v>0</v>
      </c>
      <c r="MT173" s="282">
        <f t="shared" si="1434"/>
        <v>0</v>
      </c>
      <c r="MU173" s="282">
        <f t="shared" si="1435"/>
        <v>0</v>
      </c>
      <c r="MV173" s="282">
        <f t="shared" si="1436"/>
        <v>0</v>
      </c>
      <c r="MW173" s="282">
        <f t="shared" si="1437"/>
        <v>0</v>
      </c>
      <c r="MX173" s="282">
        <f t="shared" si="1438"/>
        <v>0</v>
      </c>
      <c r="MY173" s="282">
        <f t="shared" si="1439"/>
        <v>0</v>
      </c>
      <c r="MZ173" s="282">
        <f t="shared" si="1440"/>
        <v>0</v>
      </c>
      <c r="NA173" s="282">
        <f t="shared" si="1441"/>
        <v>0</v>
      </c>
      <c r="NB173" s="282">
        <f t="shared" si="1442"/>
        <v>0</v>
      </c>
      <c r="NC173" s="282">
        <f t="shared" si="1443"/>
        <v>0</v>
      </c>
      <c r="ND173" s="282">
        <f t="shared" si="1444"/>
        <v>0</v>
      </c>
      <c r="NE173" s="282">
        <f t="shared" si="1445"/>
        <v>0</v>
      </c>
      <c r="NF173" s="282">
        <f t="shared" si="1446"/>
        <v>0</v>
      </c>
      <c r="NG173" s="282">
        <f t="shared" si="1447"/>
        <v>0</v>
      </c>
      <c r="NH173" s="282">
        <f t="shared" si="1448"/>
        <v>0</v>
      </c>
      <c r="NI173" s="282">
        <f t="shared" si="1449"/>
        <v>0</v>
      </c>
      <c r="NJ173" s="282">
        <f t="shared" si="1450"/>
        <v>0</v>
      </c>
      <c r="NK173" s="282">
        <f t="shared" si="1451"/>
        <v>0</v>
      </c>
      <c r="NL173" s="282">
        <f t="shared" si="1452"/>
        <v>0</v>
      </c>
      <c r="NM173" s="1205">
        <f t="shared" si="1453"/>
        <v>0</v>
      </c>
      <c r="NN173" s="282">
        <f t="shared" si="1454"/>
        <v>0</v>
      </c>
      <c r="NO173" s="282">
        <f t="shared" si="1455"/>
        <v>0</v>
      </c>
      <c r="NP173" s="282">
        <f t="shared" si="1456"/>
        <v>0</v>
      </c>
      <c r="NQ173" s="282">
        <f t="shared" si="1457"/>
        <v>0</v>
      </c>
      <c r="NR173" s="282">
        <f t="shared" si="1458"/>
        <v>0</v>
      </c>
      <c r="NS173" s="282">
        <f t="shared" si="1459"/>
        <v>0</v>
      </c>
      <c r="NT173" s="282">
        <f t="shared" si="1460"/>
        <v>0</v>
      </c>
      <c r="NU173" s="282">
        <f t="shared" si="1461"/>
        <v>0</v>
      </c>
      <c r="NV173" s="286">
        <f t="shared" si="1462"/>
        <v>0</v>
      </c>
      <c r="NW173" s="286">
        <f t="shared" si="1463"/>
        <v>0</v>
      </c>
      <c r="NX173" s="286">
        <f t="shared" si="1464"/>
        <v>0</v>
      </c>
      <c r="NY173" s="286">
        <f t="shared" si="1465"/>
        <v>0</v>
      </c>
      <c r="NZ173" s="286">
        <f t="shared" si="1466"/>
        <v>0</v>
      </c>
      <c r="OA173" s="286">
        <f t="shared" si="1467"/>
        <v>0</v>
      </c>
      <c r="OB173" s="286">
        <f t="shared" si="1468"/>
        <v>0</v>
      </c>
      <c r="OC173" s="286">
        <f t="shared" si="1469"/>
        <v>0</v>
      </c>
      <c r="OD173" s="286">
        <f t="shared" si="1470"/>
        <v>0</v>
      </c>
      <c r="OE173" s="282">
        <f t="shared" si="1471"/>
        <v>0</v>
      </c>
      <c r="OF173" s="282">
        <f t="shared" si="1472"/>
        <v>0</v>
      </c>
      <c r="OG173" s="286">
        <f t="shared" si="1473"/>
        <v>0</v>
      </c>
      <c r="OH173" s="286">
        <f t="shared" si="1474"/>
        <v>0</v>
      </c>
      <c r="OI173" s="286">
        <f t="shared" si="1475"/>
        <v>0</v>
      </c>
      <c r="OJ173" s="286">
        <f t="shared" si="1476"/>
        <v>0</v>
      </c>
      <c r="OK173" s="286">
        <f t="shared" si="1477"/>
        <v>0</v>
      </c>
      <c r="OL173" s="286">
        <f t="shared" si="1478"/>
        <v>0</v>
      </c>
      <c r="OM173" s="286">
        <f t="shared" si="1479"/>
        <v>0</v>
      </c>
      <c r="ON173" s="286">
        <f t="shared" si="1480"/>
        <v>0</v>
      </c>
      <c r="OO173" s="286">
        <f t="shared" si="1481"/>
        <v>0</v>
      </c>
      <c r="OP173" s="434">
        <f t="shared" si="1482"/>
        <v>0</v>
      </c>
      <c r="OQ173" s="434">
        <f t="shared" si="1483"/>
        <v>0</v>
      </c>
      <c r="OR173" s="282">
        <f t="shared" si="1484"/>
        <v>0</v>
      </c>
      <c r="OS173" s="282">
        <f t="shared" si="1485"/>
        <v>0</v>
      </c>
      <c r="OT173" s="282">
        <f t="shared" si="1486"/>
        <v>0</v>
      </c>
      <c r="OU173" s="282">
        <f t="shared" si="1487"/>
        <v>0</v>
      </c>
      <c r="OV173" s="282">
        <f t="shared" si="1488"/>
        <v>0</v>
      </c>
      <c r="OW173" s="286">
        <f t="shared" si="1489"/>
        <v>0</v>
      </c>
      <c r="OX173" s="286">
        <f t="shared" si="1490"/>
        <v>0</v>
      </c>
      <c r="OY173" s="286">
        <f t="shared" si="1491"/>
        <v>0</v>
      </c>
      <c r="OZ173" s="286">
        <f t="shared" si="1492"/>
        <v>0</v>
      </c>
      <c r="PA173" s="286">
        <f t="shared" si="1493"/>
        <v>0</v>
      </c>
      <c r="PB173" s="286">
        <f t="shared" si="1494"/>
        <v>0</v>
      </c>
      <c r="PC173" s="286">
        <f t="shared" si="1495"/>
        <v>0</v>
      </c>
      <c r="PD173" s="282">
        <f t="shared" si="1496"/>
        <v>0</v>
      </c>
      <c r="PE173" s="282">
        <f t="shared" si="1497"/>
        <v>0</v>
      </c>
      <c r="PF173" s="286">
        <f t="shared" si="1498"/>
        <v>0</v>
      </c>
      <c r="PG173" s="286">
        <f t="shared" si="1499"/>
        <v>0</v>
      </c>
      <c r="PH173" s="286">
        <f t="shared" si="1500"/>
        <v>0</v>
      </c>
      <c r="PI173" s="286">
        <f t="shared" si="1501"/>
        <v>0</v>
      </c>
      <c r="PJ173" s="286">
        <f t="shared" si="1502"/>
        <v>0</v>
      </c>
      <c r="PK173" s="286">
        <f t="shared" si="1503"/>
        <v>0</v>
      </c>
      <c r="PL173" s="286">
        <f t="shared" si="1504"/>
        <v>0</v>
      </c>
      <c r="PM173" s="562">
        <v>117</v>
      </c>
    </row>
    <row r="174" spans="1:429" s="289" customFormat="1" ht="15.75" customHeight="1">
      <c r="A174" s="1935" t="s">
        <v>722</v>
      </c>
      <c r="B174" s="1040" t="str">
        <f>VLOOKUP(A174,'Area (&amp;golfacre for lookup)'!$A$2:$B$162,2,FALSE)</f>
        <v>BOCA</v>
      </c>
      <c r="C174" s="1936"/>
      <c r="D174" s="1937">
        <v>44926</v>
      </c>
      <c r="E174" s="402"/>
      <c r="F174" s="1936">
        <v>0</v>
      </c>
      <c r="G174" s="1936">
        <v>1</v>
      </c>
      <c r="H174" s="1936">
        <v>695</v>
      </c>
      <c r="I174" s="1936">
        <v>305</v>
      </c>
      <c r="J174" s="1936">
        <v>1000</v>
      </c>
      <c r="K174" s="1938">
        <v>940.83280187714342</v>
      </c>
      <c r="L174" s="1939" t="s">
        <v>1208</v>
      </c>
      <c r="M174" s="1939" t="s">
        <v>1208</v>
      </c>
      <c r="N174" s="1939" t="s">
        <v>1208</v>
      </c>
      <c r="O174" s="1939" t="s">
        <v>1208</v>
      </c>
      <c r="P174" s="1939" t="s">
        <v>1208</v>
      </c>
      <c r="Q174" s="1936">
        <v>1000</v>
      </c>
      <c r="R174" s="1936">
        <v>94000</v>
      </c>
      <c r="S174" s="1936">
        <v>95000</v>
      </c>
      <c r="T174" s="1939" t="s">
        <v>1208</v>
      </c>
      <c r="U174" s="1939" t="s">
        <v>1208</v>
      </c>
      <c r="V174" s="1939" t="s">
        <v>1208</v>
      </c>
      <c r="W174" s="1936">
        <v>18678</v>
      </c>
      <c r="X174" s="1936">
        <v>16621</v>
      </c>
      <c r="Y174" s="1939" t="s">
        <v>1208</v>
      </c>
      <c r="Z174" s="1939" t="s">
        <v>1208</v>
      </c>
      <c r="AA174" s="1936">
        <v>2057</v>
      </c>
      <c r="AB174" s="1362">
        <v>0.12375909993381866</v>
      </c>
      <c r="AC174" s="1939" t="s">
        <v>1208</v>
      </c>
      <c r="AD174" s="1363" t="s">
        <v>1208</v>
      </c>
      <c r="AE174" s="1936">
        <v>1</v>
      </c>
      <c r="AF174" s="1936">
        <v>1828</v>
      </c>
      <c r="AG174" s="1939" t="s">
        <v>1208</v>
      </c>
      <c r="AH174" s="1936">
        <v>0</v>
      </c>
      <c r="AI174" s="1936">
        <v>0</v>
      </c>
      <c r="AJ174" s="1939" t="s">
        <v>1208</v>
      </c>
      <c r="AK174" s="1938">
        <v>1</v>
      </c>
      <c r="AL174" s="1938">
        <v>1524</v>
      </c>
      <c r="AM174" s="1936">
        <v>19973</v>
      </c>
      <c r="AN174" s="1939" t="s">
        <v>1208</v>
      </c>
      <c r="AO174" s="1936">
        <v>900</v>
      </c>
      <c r="AP174" s="1936">
        <v>1008</v>
      </c>
      <c r="AQ174" s="1936">
        <v>21881</v>
      </c>
      <c r="AR174" s="1939" t="s">
        <v>1208</v>
      </c>
      <c r="AS174" s="1363" t="s">
        <v>1208</v>
      </c>
      <c r="AT174" s="1363" t="s">
        <v>1208</v>
      </c>
      <c r="AU174" s="1363" t="s">
        <v>1208</v>
      </c>
      <c r="AV174" s="1363" t="s">
        <v>1208</v>
      </c>
      <c r="AW174" s="1363" t="s">
        <v>1291</v>
      </c>
      <c r="AX174" s="1938">
        <v>1</v>
      </c>
      <c r="AY174" s="1938">
        <v>0</v>
      </c>
      <c r="AZ174" s="1938">
        <v>1</v>
      </c>
      <c r="BA174" s="1938">
        <v>0</v>
      </c>
      <c r="BB174" s="1938">
        <v>0</v>
      </c>
      <c r="BC174" s="1938">
        <v>0</v>
      </c>
      <c r="BD174" s="1938">
        <v>0</v>
      </c>
      <c r="BE174" s="1936">
        <v>0</v>
      </c>
      <c r="BF174" s="1936">
        <v>0</v>
      </c>
      <c r="BG174" s="1936">
        <v>2874994</v>
      </c>
      <c r="BH174" s="1936">
        <v>2874994</v>
      </c>
      <c r="BI174" s="1938">
        <v>49898482</v>
      </c>
      <c r="BJ174" s="1936">
        <v>6630243</v>
      </c>
      <c r="BK174" s="1936">
        <v>3380952</v>
      </c>
      <c r="BL174" s="1362">
        <v>1.9610580096966772</v>
      </c>
      <c r="BM174" s="1936">
        <v>1</v>
      </c>
      <c r="BN174" s="1936">
        <v>9230702</v>
      </c>
      <c r="BO174" s="1363" t="s">
        <v>1208</v>
      </c>
      <c r="BP174" s="1938">
        <v>8553523</v>
      </c>
      <c r="BQ174" s="1938">
        <v>7189958</v>
      </c>
      <c r="BR174" s="1940">
        <v>1.1896485348036803</v>
      </c>
      <c r="BS174" s="1409">
        <v>1</v>
      </c>
      <c r="BT174" s="1938">
        <v>16278843</v>
      </c>
      <c r="BU174" s="1938">
        <v>47684292</v>
      </c>
      <c r="BV174" s="1940">
        <v>0.3413879564364718</v>
      </c>
      <c r="BW174" s="1936">
        <v>9811.2034163593835</v>
      </c>
      <c r="BX174" s="1936">
        <v>7047.2064608837854</v>
      </c>
      <c r="BY174" s="1936">
        <v>3055.796943159115</v>
      </c>
      <c r="BZ174" s="1936">
        <v>1292786</v>
      </c>
      <c r="CA174" s="1936">
        <v>136073</v>
      </c>
      <c r="CB174" s="1936">
        <v>455791</v>
      </c>
      <c r="CC174" s="1936">
        <v>837377</v>
      </c>
      <c r="CD174" s="1936">
        <v>15637582</v>
      </c>
      <c r="CE174" s="1936">
        <v>0</v>
      </c>
      <c r="CF174" s="1936">
        <v>0</v>
      </c>
      <c r="CG174" s="1936">
        <v>3379192</v>
      </c>
      <c r="CH174" s="1936">
        <v>502961</v>
      </c>
      <c r="CI174" s="1936">
        <v>281543</v>
      </c>
      <c r="CJ174" s="1936">
        <v>22523305</v>
      </c>
      <c r="CK174" s="1366">
        <v>5.7397704288957595E-2</v>
      </c>
      <c r="CL174" s="1366">
        <v>6.041431308593477E-3</v>
      </c>
      <c r="CM174" s="1366">
        <v>2.0236417346388553E-2</v>
      </c>
      <c r="CN174" s="1366">
        <v>3.7178247153337396E-2</v>
      </c>
      <c r="CO174" s="1366">
        <v>0.6942845199672073</v>
      </c>
      <c r="CP174" s="1366">
        <v>0</v>
      </c>
      <c r="CQ174" s="1366">
        <v>0</v>
      </c>
      <c r="CR174" s="1366">
        <v>0.1500309124260405</v>
      </c>
      <c r="CS174" s="1366">
        <v>2.2330692587078139E-2</v>
      </c>
      <c r="CT174" s="1366">
        <v>1.2500074922397046E-2</v>
      </c>
      <c r="CU174" s="1366">
        <v>1</v>
      </c>
      <c r="CV174" s="1936">
        <v>12990567</v>
      </c>
      <c r="CW174" s="1936">
        <v>2227045</v>
      </c>
      <c r="CX174" s="1936">
        <v>363394</v>
      </c>
      <c r="CY174" s="1936">
        <v>6264598</v>
      </c>
      <c r="CZ174" s="1936">
        <v>83107</v>
      </c>
      <c r="DA174" s="1936">
        <v>619742</v>
      </c>
      <c r="DB174" s="1936">
        <v>22548453</v>
      </c>
      <c r="DC174" s="1366">
        <v>0.57611788267691799</v>
      </c>
      <c r="DD174" s="1366">
        <v>9.8767086149989983E-2</v>
      </c>
      <c r="DE174" s="1366">
        <v>1.6116138876578361E-2</v>
      </c>
      <c r="DF174" s="1366">
        <v>0.27782828382949376</v>
      </c>
      <c r="DG174" s="1366">
        <v>3.6857073964231602E-3</v>
      </c>
      <c r="DH174" s="1366">
        <v>2.7484901070596729E-2</v>
      </c>
      <c r="DI174" s="1366">
        <v>1</v>
      </c>
      <c r="DJ174" s="1936">
        <v>-25148</v>
      </c>
      <c r="DK174" s="1936">
        <v>1374.0868700800418</v>
      </c>
      <c r="DL174" s="1936">
        <v>144.63037399260318</v>
      </c>
      <c r="DM174" s="1936">
        <v>484.45483521685128</v>
      </c>
      <c r="DN174" s="1936">
        <v>890.03805812177347</v>
      </c>
      <c r="DO174" s="1936">
        <v>16621</v>
      </c>
      <c r="DP174" s="1936">
        <v>0</v>
      </c>
      <c r="DQ174" s="1936">
        <v>0</v>
      </c>
      <c r="DR174" s="1936">
        <v>3591.7030031880886</v>
      </c>
      <c r="DS174" s="1936">
        <v>534.59126743508045</v>
      </c>
      <c r="DT174" s="1936">
        <v>299.2487075687277</v>
      </c>
      <c r="DU174" s="1936">
        <v>23939.753115603165</v>
      </c>
      <c r="DV174" s="1936">
        <v>13807.519225606618</v>
      </c>
      <c r="DW174" s="1936">
        <v>2367.0996542176404</v>
      </c>
      <c r="DX174" s="1936">
        <v>386.24716238098699</v>
      </c>
      <c r="DY174" s="1936">
        <v>6658.5667373638707</v>
      </c>
      <c r="DZ174" s="1936">
        <v>88.333442280270688</v>
      </c>
      <c r="EA174" s="1936">
        <v>658.71640398112697</v>
      </c>
      <c r="EB174" s="1936">
        <v>23966.482625830515</v>
      </c>
      <c r="EC174" s="1936">
        <v>-26.729510227348445</v>
      </c>
      <c r="ED174" s="1941">
        <v>270</v>
      </c>
      <c r="EE174" s="1936">
        <v>1</v>
      </c>
      <c r="EF174" s="1936">
        <v>58</v>
      </c>
      <c r="EG174" s="1938">
        <v>379379</v>
      </c>
      <c r="EH174" s="1938">
        <v>1</v>
      </c>
      <c r="EI174" s="1368">
        <v>7.0000000000000007E-2</v>
      </c>
      <c r="EJ174" s="1936">
        <v>3.4845659328783092</v>
      </c>
      <c r="EK174" s="1936">
        <v>1</v>
      </c>
      <c r="EL174" s="1936">
        <v>900</v>
      </c>
      <c r="EM174" s="1936">
        <v>0</v>
      </c>
      <c r="EN174" s="1362">
        <v>0</v>
      </c>
      <c r="EO174" s="1936">
        <v>1</v>
      </c>
      <c r="EP174" s="1936">
        <v>84</v>
      </c>
      <c r="EQ174" s="1936">
        <v>1</v>
      </c>
      <c r="ER174" s="1938">
        <v>0</v>
      </c>
      <c r="ES174" s="1936">
        <v>4126.2942706231688</v>
      </c>
      <c r="ET174" s="1936">
        <v>-5059.3244522330888</v>
      </c>
      <c r="EU174" s="1938">
        <v>3</v>
      </c>
      <c r="EV174" s="1936">
        <v>110466</v>
      </c>
      <c r="EW174" s="1936">
        <v>6431</v>
      </c>
      <c r="EX174" s="1938">
        <v>0</v>
      </c>
      <c r="EY174" s="1936">
        <v>3379192</v>
      </c>
      <c r="EZ174" s="1936">
        <v>2003994</v>
      </c>
      <c r="FA174" s="1936">
        <v>1375198</v>
      </c>
      <c r="FB174" s="1936">
        <v>502961</v>
      </c>
      <c r="FC174" s="1936">
        <v>223051</v>
      </c>
      <c r="FD174" s="1936">
        <v>279910</v>
      </c>
      <c r="FE174" s="1936">
        <v>3882153</v>
      </c>
      <c r="FF174" s="1936">
        <v>2227045</v>
      </c>
      <c r="FG174" s="1936">
        <v>1655108</v>
      </c>
      <c r="FH174" s="1366">
        <v>1</v>
      </c>
      <c r="FI174" s="1366">
        <v>0.59303940113494591</v>
      </c>
      <c r="FJ174" s="1366">
        <v>0.40696059886505415</v>
      </c>
      <c r="FK174" s="1366">
        <v>1</v>
      </c>
      <c r="FL174" s="1366">
        <v>0.44347573668733759</v>
      </c>
      <c r="FM174" s="1366">
        <v>0.55652426331266236</v>
      </c>
      <c r="FN174" s="1366">
        <v>1</v>
      </c>
      <c r="FO174" s="1366">
        <v>0.57366234664115501</v>
      </c>
      <c r="FP174" s="1366">
        <v>0.42633765335884494</v>
      </c>
      <c r="FQ174" s="1936">
        <v>4732129</v>
      </c>
      <c r="FR174" s="1936">
        <v>-776430.60000000009</v>
      </c>
      <c r="FS174" s="1936">
        <v>708926</v>
      </c>
      <c r="FT174" s="1936">
        <v>69966</v>
      </c>
      <c r="FU174" s="1936">
        <v>112637</v>
      </c>
      <c r="FV174" s="1936">
        <v>45431</v>
      </c>
      <c r="FW174" s="1936">
        <v>1522428</v>
      </c>
      <c r="FX174" s="1936">
        <v>6415086.4000000004</v>
      </c>
      <c r="FY174" s="1936">
        <v>-4759978.4000000004</v>
      </c>
      <c r="FZ174" s="1366">
        <v>1.2189444877623319</v>
      </c>
      <c r="GA174" s="1366">
        <v>-0.2</v>
      </c>
      <c r="GB174" s="1366">
        <v>0.18261155601028606</v>
      </c>
      <c r="GC174" s="1366">
        <v>1.8022473611936471E-2</v>
      </c>
      <c r="GD174" s="1366">
        <v>2.9014054829884346E-2</v>
      </c>
      <c r="GE174" s="1366">
        <v>1.1702526922560755E-2</v>
      </c>
      <c r="GF174" s="1366">
        <v>0.39216074173274468</v>
      </c>
      <c r="GG174" s="1366">
        <v>1.6524558408697443</v>
      </c>
      <c r="GH174" s="1366">
        <v>-1.2261181875108993</v>
      </c>
      <c r="GI174" s="1942">
        <v>6.7185964716946245</v>
      </c>
      <c r="GJ174" s="1943">
        <v>1</v>
      </c>
      <c r="GK174" s="1371">
        <v>0.05</v>
      </c>
      <c r="GL174" s="1943">
        <v>1</v>
      </c>
      <c r="GM174" s="1371">
        <v>0.1</v>
      </c>
      <c r="GN174" s="1943">
        <v>0</v>
      </c>
      <c r="GO174" s="1985">
        <v>0</v>
      </c>
      <c r="GP174" s="1943">
        <v>0</v>
      </c>
      <c r="GQ174" s="1943">
        <v>0</v>
      </c>
      <c r="GR174" s="1943">
        <v>0</v>
      </c>
      <c r="GS174" s="1943">
        <v>0</v>
      </c>
      <c r="GT174" s="1943">
        <v>0</v>
      </c>
      <c r="GU174" s="1943">
        <v>0</v>
      </c>
      <c r="GV174" s="1943">
        <v>0</v>
      </c>
      <c r="GW174" s="1943">
        <v>0</v>
      </c>
      <c r="GX174" s="1936">
        <v>0</v>
      </c>
      <c r="GY174" s="1985">
        <v>0</v>
      </c>
      <c r="GZ174" s="1936">
        <v>0</v>
      </c>
      <c r="HA174" s="1936">
        <v>0</v>
      </c>
      <c r="HB174" s="1936">
        <v>0</v>
      </c>
      <c r="HC174" s="1936">
        <v>0</v>
      </c>
      <c r="HD174" s="1936">
        <v>0</v>
      </c>
      <c r="HE174" s="1936">
        <v>0</v>
      </c>
      <c r="HF174" s="1936">
        <v>0</v>
      </c>
      <c r="HG174" s="1936">
        <v>36</v>
      </c>
      <c r="HH174" s="1988">
        <f>IF(HG174=0,0,VLOOKUP(A174,'Area (&amp;golfacre for lookup)'!$G$2:$H$134,2,FALSE))</f>
        <v>212</v>
      </c>
      <c r="HI174" s="1936">
        <v>51520</v>
      </c>
      <c r="HJ174" s="1936">
        <v>1621919</v>
      </c>
      <c r="HK174" s="1936">
        <v>286304</v>
      </c>
      <c r="HL174" s="1936">
        <v>678027</v>
      </c>
      <c r="HM174" s="1936">
        <v>321294</v>
      </c>
      <c r="HN174" s="1936">
        <v>2725</v>
      </c>
      <c r="HO174" s="1936">
        <v>154642</v>
      </c>
      <c r="HP174" s="1936">
        <v>3064911</v>
      </c>
      <c r="HQ174" s="1936">
        <v>85136.416666666672</v>
      </c>
      <c r="HR174" s="1988">
        <v>14457.127358490567</v>
      </c>
      <c r="HS174" s="1366">
        <v>0.52918959147590261</v>
      </c>
      <c r="HT174" s="1366">
        <v>9.3413479216851641E-2</v>
      </c>
      <c r="HU174" s="1366">
        <v>0.22122241069969079</v>
      </c>
      <c r="HV174" s="1366">
        <v>0.10482979766786051</v>
      </c>
      <c r="HW174" s="1366">
        <v>8.8909596396110691E-4</v>
      </c>
      <c r="HX174" s="1366">
        <v>5.0455624975733387E-2</v>
      </c>
      <c r="HY174" s="1366">
        <v>1</v>
      </c>
      <c r="HZ174" s="51"/>
      <c r="IA174" s="59">
        <f t="shared" si="1322"/>
        <v>0.01</v>
      </c>
      <c r="IB174" s="59"/>
      <c r="IC174" s="815">
        <f t="shared" si="1323"/>
        <v>1</v>
      </c>
      <c r="ID174" s="815"/>
      <c r="IE174" s="284">
        <f t="shared" si="1324"/>
        <v>0</v>
      </c>
      <c r="IF174" s="284"/>
      <c r="IG174" s="284">
        <f t="shared" si="1325"/>
        <v>53036.50329839997</v>
      </c>
      <c r="IH174" s="284"/>
      <c r="II174" s="1288">
        <f t="shared" si="1326"/>
        <v>1.1896485348036803</v>
      </c>
      <c r="IJ174" s="1288">
        <f t="shared" si="1327"/>
        <v>0</v>
      </c>
      <c r="IK174" s="284">
        <f t="shared" si="1328"/>
        <v>0</v>
      </c>
      <c r="IL174" s="284">
        <f t="shared" si="1329"/>
        <v>1</v>
      </c>
      <c r="IM174" s="284">
        <f t="shared" si="1330"/>
        <v>0</v>
      </c>
      <c r="IN174" s="284">
        <f t="shared" si="1331"/>
        <v>0</v>
      </c>
      <c r="IO174" s="753">
        <f t="shared" si="1332"/>
        <v>-4759.9784</v>
      </c>
      <c r="IP174" s="113">
        <f t="shared" si="1333"/>
        <v>-5059.3244522330888</v>
      </c>
      <c r="IQ174" s="30">
        <f t="shared" si="1334"/>
        <v>-0.30439350533861309</v>
      </c>
      <c r="IR174" s="438">
        <f t="shared" si="1335"/>
        <v>3379192</v>
      </c>
      <c r="IS174" s="438">
        <f t="shared" si="1336"/>
        <v>502961</v>
      </c>
      <c r="IT174" s="438">
        <f t="shared" si="1337"/>
        <v>4732129</v>
      </c>
      <c r="IU174" s="438">
        <f t="shared" si="1338"/>
        <v>778892</v>
      </c>
      <c r="IV174" s="438">
        <f t="shared" si="1339"/>
        <v>2227045</v>
      </c>
      <c r="IW174" s="438">
        <f t="shared" si="1340"/>
        <v>904065.39999999991</v>
      </c>
      <c r="IX174" s="285">
        <f t="shared" si="1341"/>
        <v>0.87044276719644997</v>
      </c>
      <c r="IY174" s="285">
        <f t="shared" si="1342"/>
        <v>0.12955723280355</v>
      </c>
      <c r="IZ174" s="285">
        <f t="shared" si="1343"/>
        <v>1.2189444877623319</v>
      </c>
      <c r="JA174" s="285">
        <f t="shared" si="1344"/>
        <v>0.20063402962222252</v>
      </c>
      <c r="JB174" s="285">
        <f t="shared" si="1345"/>
        <v>0.57366234664115501</v>
      </c>
      <c r="JC174" s="285">
        <f t="shared" si="1346"/>
        <v>0.23287732348518977</v>
      </c>
      <c r="JD174" s="60">
        <f t="shared" si="1347"/>
        <v>15637582</v>
      </c>
      <c r="JE174" s="60">
        <f t="shared" si="1348"/>
        <v>2722027</v>
      </c>
      <c r="JF174" s="60">
        <f t="shared" si="1349"/>
        <v>0</v>
      </c>
      <c r="JG174" s="60">
        <f t="shared" si="1350"/>
        <v>702849</v>
      </c>
      <c r="JH174" s="284">
        <f t="shared" si="1351"/>
        <v>0</v>
      </c>
      <c r="JI174" s="284">
        <f t="shared" si="1352"/>
        <v>1</v>
      </c>
      <c r="JJ174" s="560">
        <f t="shared" si="1353"/>
        <v>0.79728208762349406</v>
      </c>
      <c r="JK174" s="561">
        <f t="shared" si="1354"/>
        <v>0.57676113696457953</v>
      </c>
      <c r="JL174" s="561">
        <f t="shared" si="1355"/>
        <v>9.8877362802661503E-2</v>
      </c>
      <c r="JM174" s="561">
        <f t="shared" si="1356"/>
        <v>1.6134133067948954E-2</v>
      </c>
      <c r="JN174" s="561">
        <f t="shared" si="1357"/>
        <v>0.27813848811264597</v>
      </c>
      <c r="JO174" s="561">
        <f t="shared" si="1358"/>
        <v>3.6898226081829464E-3</v>
      </c>
      <c r="JP174" s="561">
        <f t="shared" si="1359"/>
        <v>2.7515588853412053E-2</v>
      </c>
      <c r="JQ174" s="561">
        <f t="shared" si="1360"/>
        <v>1.0011165324094309</v>
      </c>
      <c r="JR174" s="61">
        <f t="shared" si="1361"/>
        <v>0</v>
      </c>
      <c r="JS174" s="61">
        <f t="shared" si="1362"/>
        <v>0</v>
      </c>
      <c r="JT174" s="61">
        <f t="shared" si="1363"/>
        <v>0</v>
      </c>
      <c r="JU174" s="61">
        <f t="shared" si="1364"/>
        <v>0</v>
      </c>
      <c r="JV174" s="61">
        <f t="shared" si="1365"/>
        <v>0</v>
      </c>
      <c r="JW174" s="61">
        <f t="shared" si="1366"/>
        <v>0</v>
      </c>
      <c r="JX174" s="61">
        <f t="shared" si="1367"/>
        <v>0</v>
      </c>
      <c r="JY174" s="394">
        <f t="shared" si="1368"/>
        <v>0</v>
      </c>
      <c r="JZ174" s="61">
        <f t="shared" si="1369"/>
        <v>45053.305555555555</v>
      </c>
      <c r="KA174" s="61">
        <f t="shared" si="1370"/>
        <v>7952.8888888888887</v>
      </c>
      <c r="KB174" s="61">
        <f t="shared" si="1371"/>
        <v>18834.083333333332</v>
      </c>
      <c r="KC174" s="61">
        <f t="shared" si="1372"/>
        <v>8924.8333333333339</v>
      </c>
      <c r="KD174" s="61">
        <f t="shared" si="1373"/>
        <v>75.694444444444443</v>
      </c>
      <c r="KE174" s="61">
        <f t="shared" si="1374"/>
        <v>4295.6111111111113</v>
      </c>
      <c r="KF174" s="61">
        <f t="shared" si="1375"/>
        <v>25800</v>
      </c>
      <c r="KG174" s="61">
        <f t="shared" si="1376"/>
        <v>212</v>
      </c>
      <c r="KH174" s="61">
        <f t="shared" si="1377"/>
        <v>59.489732142857143</v>
      </c>
      <c r="KI174" s="394">
        <f t="shared" si="1378"/>
        <v>0.13592555551371971</v>
      </c>
      <c r="KJ174" s="438">
        <f t="shared" si="1379"/>
        <v>36</v>
      </c>
      <c r="KK174" s="438">
        <f t="shared" si="1380"/>
        <v>51520</v>
      </c>
      <c r="KL174" s="438">
        <f t="shared" si="1381"/>
        <v>212</v>
      </c>
      <c r="KM174" s="438">
        <f t="shared" si="1382"/>
        <v>85136.416666666672</v>
      </c>
      <c r="KN174" s="438">
        <f t="shared" si="1383"/>
        <v>59.489732142857143</v>
      </c>
      <c r="KO174" s="438">
        <f t="shared" si="1384"/>
        <v>14457.127358490567</v>
      </c>
      <c r="KP174" s="438">
        <f t="shared" si="1385"/>
        <v>1621919</v>
      </c>
      <c r="KQ174" s="438">
        <f t="shared" si="1386"/>
        <v>286304</v>
      </c>
      <c r="KR174" s="438">
        <f t="shared" si="1387"/>
        <v>678027</v>
      </c>
      <c r="KS174" s="438">
        <f t="shared" si="1388"/>
        <v>321294</v>
      </c>
      <c r="KT174" s="438">
        <f t="shared" si="1389"/>
        <v>2725</v>
      </c>
      <c r="KU174" s="438">
        <f t="shared" si="1390"/>
        <v>154642</v>
      </c>
      <c r="KV174" s="420">
        <f t="shared" si="1391"/>
        <v>0.13592555551371971</v>
      </c>
      <c r="KW174" s="420">
        <f t="shared" si="1392"/>
        <v>-0.18610735342586854</v>
      </c>
      <c r="KX174" s="108"/>
      <c r="KY174" s="282">
        <f t="shared" si="1393"/>
        <v>0</v>
      </c>
      <c r="KZ174" s="282"/>
      <c r="LA174" s="282">
        <f t="shared" si="1394"/>
        <v>0</v>
      </c>
      <c r="LB174" s="282"/>
      <c r="LC174" s="286">
        <f t="shared" si="1321"/>
        <v>0</v>
      </c>
      <c r="LD174" s="286"/>
      <c r="LE174" s="282">
        <f t="shared" si="1395"/>
        <v>0</v>
      </c>
      <c r="LF174" s="282"/>
      <c r="LG174" s="282">
        <f t="shared" si="1396"/>
        <v>0</v>
      </c>
      <c r="LH174" s="282">
        <f t="shared" si="1397"/>
        <v>0</v>
      </c>
      <c r="LI174" s="282">
        <f t="shared" si="1398"/>
        <v>0</v>
      </c>
      <c r="LJ174" s="282">
        <f t="shared" si="1399"/>
        <v>0</v>
      </c>
      <c r="LK174" s="282"/>
      <c r="LL174" s="282">
        <f t="shared" si="1400"/>
        <v>0</v>
      </c>
      <c r="LM174" s="282">
        <f t="shared" si="1401"/>
        <v>0</v>
      </c>
      <c r="LN174" s="282">
        <f t="shared" si="1402"/>
        <v>0</v>
      </c>
      <c r="LO174" s="282">
        <f t="shared" si="1403"/>
        <v>0</v>
      </c>
      <c r="LP174" s="286">
        <f t="shared" si="1404"/>
        <v>0</v>
      </c>
      <c r="LQ174" s="282">
        <f t="shared" si="1405"/>
        <v>0</v>
      </c>
      <c r="LR174" s="282">
        <f t="shared" si="1406"/>
        <v>0</v>
      </c>
      <c r="LS174" s="282">
        <f t="shared" si="1407"/>
        <v>0</v>
      </c>
      <c r="LT174" s="286">
        <f t="shared" si="1408"/>
        <v>0</v>
      </c>
      <c r="LU174" s="286">
        <f t="shared" si="1409"/>
        <v>0</v>
      </c>
      <c r="LV174" s="286">
        <f t="shared" si="1410"/>
        <v>0</v>
      </c>
      <c r="LW174" s="286">
        <f t="shared" si="1411"/>
        <v>0</v>
      </c>
      <c r="LX174" s="286">
        <f t="shared" si="1412"/>
        <v>0</v>
      </c>
      <c r="LY174" s="286">
        <f t="shared" si="1413"/>
        <v>0</v>
      </c>
      <c r="LZ174" s="286">
        <f t="shared" si="1414"/>
        <v>0</v>
      </c>
      <c r="MA174" s="286">
        <f t="shared" si="1415"/>
        <v>0</v>
      </c>
      <c r="MB174" s="286">
        <f t="shared" si="1416"/>
        <v>0</v>
      </c>
      <c r="MC174" s="286">
        <f t="shared" si="1417"/>
        <v>0</v>
      </c>
      <c r="MD174" s="286">
        <f t="shared" si="1418"/>
        <v>0</v>
      </c>
      <c r="ME174" s="286">
        <f t="shared" si="1419"/>
        <v>0</v>
      </c>
      <c r="MF174" s="286">
        <f t="shared" si="1420"/>
        <v>0</v>
      </c>
      <c r="MG174" s="286">
        <f t="shared" si="1421"/>
        <v>0</v>
      </c>
      <c r="MH174" s="286">
        <f t="shared" si="1422"/>
        <v>0</v>
      </c>
      <c r="MI174" s="286">
        <f t="shared" si="1423"/>
        <v>0</v>
      </c>
      <c r="MJ174" s="286">
        <f t="shared" si="1424"/>
        <v>0</v>
      </c>
      <c r="MK174" s="286">
        <f t="shared" si="1425"/>
        <v>0</v>
      </c>
      <c r="ML174" s="282">
        <f t="shared" si="1426"/>
        <v>0</v>
      </c>
      <c r="MM174" s="1232">
        <f t="shared" si="1427"/>
        <v>0</v>
      </c>
      <c r="MN174" s="1232">
        <f t="shared" si="1428"/>
        <v>0</v>
      </c>
      <c r="MO174" s="1232">
        <f t="shared" si="1429"/>
        <v>0</v>
      </c>
      <c r="MP174" s="1232">
        <f t="shared" si="1430"/>
        <v>0</v>
      </c>
      <c r="MQ174" s="282">
        <f t="shared" si="1431"/>
        <v>0</v>
      </c>
      <c r="MR174" s="282">
        <f t="shared" si="1432"/>
        <v>0</v>
      </c>
      <c r="MS174" s="282">
        <f t="shared" si="1433"/>
        <v>0</v>
      </c>
      <c r="MT174" s="282">
        <f t="shared" si="1434"/>
        <v>0</v>
      </c>
      <c r="MU174" s="282">
        <f t="shared" si="1435"/>
        <v>0</v>
      </c>
      <c r="MV174" s="282">
        <f t="shared" si="1436"/>
        <v>0</v>
      </c>
      <c r="MW174" s="282">
        <f t="shared" si="1437"/>
        <v>0</v>
      </c>
      <c r="MX174" s="282">
        <f t="shared" si="1438"/>
        <v>0</v>
      </c>
      <c r="MY174" s="282">
        <f t="shared" si="1439"/>
        <v>0</v>
      </c>
      <c r="MZ174" s="282">
        <f t="shared" si="1440"/>
        <v>0</v>
      </c>
      <c r="NA174" s="282">
        <f t="shared" si="1441"/>
        <v>0</v>
      </c>
      <c r="NB174" s="282">
        <f t="shared" si="1442"/>
        <v>0</v>
      </c>
      <c r="NC174" s="282">
        <f t="shared" si="1443"/>
        <v>0</v>
      </c>
      <c r="ND174" s="282">
        <f t="shared" si="1444"/>
        <v>0</v>
      </c>
      <c r="NE174" s="282">
        <f t="shared" si="1445"/>
        <v>0</v>
      </c>
      <c r="NF174" s="282">
        <f t="shared" si="1446"/>
        <v>0</v>
      </c>
      <c r="NG174" s="282">
        <f t="shared" si="1447"/>
        <v>0</v>
      </c>
      <c r="NH174" s="282">
        <f t="shared" si="1448"/>
        <v>0</v>
      </c>
      <c r="NI174" s="282">
        <f t="shared" si="1449"/>
        <v>0</v>
      </c>
      <c r="NJ174" s="282">
        <f t="shared" si="1450"/>
        <v>0</v>
      </c>
      <c r="NK174" s="282">
        <f t="shared" si="1451"/>
        <v>0</v>
      </c>
      <c r="NL174" s="282">
        <f t="shared" si="1452"/>
        <v>0</v>
      </c>
      <c r="NM174" s="1205">
        <f t="shared" si="1453"/>
        <v>0</v>
      </c>
      <c r="NN174" s="282">
        <f t="shared" si="1454"/>
        <v>0</v>
      </c>
      <c r="NO174" s="282">
        <f t="shared" si="1455"/>
        <v>0</v>
      </c>
      <c r="NP174" s="282">
        <f t="shared" si="1456"/>
        <v>0</v>
      </c>
      <c r="NQ174" s="282">
        <f t="shared" si="1457"/>
        <v>0</v>
      </c>
      <c r="NR174" s="282">
        <f t="shared" si="1458"/>
        <v>0</v>
      </c>
      <c r="NS174" s="282">
        <f t="shared" si="1459"/>
        <v>0</v>
      </c>
      <c r="NT174" s="282">
        <f t="shared" si="1460"/>
        <v>0</v>
      </c>
      <c r="NU174" s="282">
        <f t="shared" si="1461"/>
        <v>0</v>
      </c>
      <c r="NV174" s="286">
        <f t="shared" si="1462"/>
        <v>0</v>
      </c>
      <c r="NW174" s="286">
        <f t="shared" si="1463"/>
        <v>0</v>
      </c>
      <c r="NX174" s="286">
        <f t="shared" si="1464"/>
        <v>0</v>
      </c>
      <c r="NY174" s="286">
        <f t="shared" si="1465"/>
        <v>0</v>
      </c>
      <c r="NZ174" s="286">
        <f t="shared" si="1466"/>
        <v>0</v>
      </c>
      <c r="OA174" s="286">
        <f t="shared" si="1467"/>
        <v>0</v>
      </c>
      <c r="OB174" s="286">
        <f t="shared" si="1468"/>
        <v>0</v>
      </c>
      <c r="OC174" s="286">
        <f t="shared" si="1469"/>
        <v>0</v>
      </c>
      <c r="OD174" s="286">
        <f t="shared" si="1470"/>
        <v>0</v>
      </c>
      <c r="OE174" s="282">
        <f t="shared" si="1471"/>
        <v>0</v>
      </c>
      <c r="OF174" s="282">
        <f t="shared" si="1472"/>
        <v>0</v>
      </c>
      <c r="OG174" s="286">
        <f t="shared" si="1473"/>
        <v>0</v>
      </c>
      <c r="OH174" s="286">
        <f t="shared" si="1474"/>
        <v>0</v>
      </c>
      <c r="OI174" s="286">
        <f t="shared" si="1475"/>
        <v>0</v>
      </c>
      <c r="OJ174" s="286">
        <f t="shared" si="1476"/>
        <v>0</v>
      </c>
      <c r="OK174" s="286">
        <f t="shared" si="1477"/>
        <v>0</v>
      </c>
      <c r="OL174" s="286">
        <f t="shared" si="1478"/>
        <v>0</v>
      </c>
      <c r="OM174" s="286">
        <f t="shared" si="1479"/>
        <v>0</v>
      </c>
      <c r="ON174" s="286">
        <f t="shared" si="1480"/>
        <v>0</v>
      </c>
      <c r="OO174" s="286">
        <f t="shared" si="1481"/>
        <v>0</v>
      </c>
      <c r="OP174" s="434">
        <f t="shared" si="1482"/>
        <v>0</v>
      </c>
      <c r="OQ174" s="434">
        <f t="shared" si="1483"/>
        <v>0</v>
      </c>
      <c r="OR174" s="282">
        <f t="shared" si="1484"/>
        <v>0</v>
      </c>
      <c r="OS174" s="282">
        <f t="shared" si="1485"/>
        <v>0</v>
      </c>
      <c r="OT174" s="282">
        <f t="shared" si="1486"/>
        <v>0</v>
      </c>
      <c r="OU174" s="282">
        <f t="shared" si="1487"/>
        <v>0</v>
      </c>
      <c r="OV174" s="282">
        <f t="shared" si="1488"/>
        <v>0</v>
      </c>
      <c r="OW174" s="286">
        <f t="shared" si="1489"/>
        <v>0</v>
      </c>
      <c r="OX174" s="286">
        <f t="shared" si="1490"/>
        <v>0</v>
      </c>
      <c r="OY174" s="286">
        <f t="shared" si="1491"/>
        <v>0</v>
      </c>
      <c r="OZ174" s="286">
        <f t="shared" si="1492"/>
        <v>0</v>
      </c>
      <c r="PA174" s="286">
        <f t="shared" si="1493"/>
        <v>0</v>
      </c>
      <c r="PB174" s="286">
        <f t="shared" si="1494"/>
        <v>0</v>
      </c>
      <c r="PC174" s="286">
        <f t="shared" si="1495"/>
        <v>0</v>
      </c>
      <c r="PD174" s="282">
        <f t="shared" si="1496"/>
        <v>0</v>
      </c>
      <c r="PE174" s="282">
        <f t="shared" si="1497"/>
        <v>0</v>
      </c>
      <c r="PF174" s="286">
        <f t="shared" si="1498"/>
        <v>0</v>
      </c>
      <c r="PG174" s="286">
        <f t="shared" si="1499"/>
        <v>0</v>
      </c>
      <c r="PH174" s="286">
        <f t="shared" si="1500"/>
        <v>0</v>
      </c>
      <c r="PI174" s="286">
        <f t="shared" si="1501"/>
        <v>0</v>
      </c>
      <c r="PJ174" s="286">
        <f t="shared" si="1502"/>
        <v>0</v>
      </c>
      <c r="PK174" s="286">
        <f t="shared" si="1503"/>
        <v>0</v>
      </c>
      <c r="PL174" s="286">
        <f t="shared" si="1504"/>
        <v>0</v>
      </c>
      <c r="PM174" s="562">
        <v>118</v>
      </c>
    </row>
    <row r="175" spans="1:429" s="289" customFormat="1" ht="15.75" customHeight="1">
      <c r="A175" s="1935" t="s">
        <v>697</v>
      </c>
      <c r="B175" s="1040" t="str">
        <f>VLOOKUP(A175,'Area (&amp;golfacre for lookup)'!$A$2:$B$162,2,FALSE)</f>
        <v>SW exc CIRA</v>
      </c>
      <c r="C175" s="1936"/>
      <c r="D175" s="1937">
        <v>44804</v>
      </c>
      <c r="E175" s="402"/>
      <c r="F175" s="1936">
        <v>1</v>
      </c>
      <c r="G175" s="1936">
        <v>1</v>
      </c>
      <c r="H175" s="1936">
        <v>578</v>
      </c>
      <c r="I175" s="1936">
        <v>148</v>
      </c>
      <c r="J175" s="1936">
        <v>726</v>
      </c>
      <c r="K175" s="1938">
        <v>673.19529969028963</v>
      </c>
      <c r="L175" s="1939" t="s">
        <v>1208</v>
      </c>
      <c r="M175" s="1939" t="s">
        <v>1208</v>
      </c>
      <c r="N175" s="1939" t="s">
        <v>1208</v>
      </c>
      <c r="O175" s="1939" t="s">
        <v>1208</v>
      </c>
      <c r="P175" s="1939" t="s">
        <v>1208</v>
      </c>
      <c r="Q175" s="1936">
        <v>0</v>
      </c>
      <c r="R175" s="1936">
        <v>125000</v>
      </c>
      <c r="S175" s="1936">
        <v>125000</v>
      </c>
      <c r="T175" s="1939" t="s">
        <v>1208</v>
      </c>
      <c r="U175" s="1939" t="s">
        <v>1208</v>
      </c>
      <c r="V175" s="1939" t="s">
        <v>1208</v>
      </c>
      <c r="W175" s="1936">
        <v>12688</v>
      </c>
      <c r="X175" s="1936">
        <v>10978</v>
      </c>
      <c r="Y175" s="1939" t="s">
        <v>1208</v>
      </c>
      <c r="Z175" s="1939" t="s">
        <v>1208</v>
      </c>
      <c r="AA175" s="1936">
        <v>1710</v>
      </c>
      <c r="AB175" s="1362">
        <v>0.15576607760976499</v>
      </c>
      <c r="AC175" s="1939" t="s">
        <v>1208</v>
      </c>
      <c r="AD175" s="1363" t="s">
        <v>1208</v>
      </c>
      <c r="AE175" s="1936">
        <v>1</v>
      </c>
      <c r="AF175" s="1936">
        <v>2663</v>
      </c>
      <c r="AG175" s="1939" t="s">
        <v>1208</v>
      </c>
      <c r="AH175" s="1936">
        <v>0</v>
      </c>
      <c r="AI175" s="1936">
        <v>0</v>
      </c>
      <c r="AJ175" s="1939" t="s">
        <v>1208</v>
      </c>
      <c r="AK175" s="1938">
        <v>1</v>
      </c>
      <c r="AL175" s="1938">
        <v>2400</v>
      </c>
      <c r="AM175" s="1936">
        <v>16041</v>
      </c>
      <c r="AN175" s="1939" t="s">
        <v>1208</v>
      </c>
      <c r="AO175" s="1936">
        <v>1200</v>
      </c>
      <c r="AP175" s="1936">
        <v>0</v>
      </c>
      <c r="AQ175" s="1936">
        <v>17241</v>
      </c>
      <c r="AR175" s="1939" t="s">
        <v>1208</v>
      </c>
      <c r="AS175" s="1363" t="s">
        <v>1208</v>
      </c>
      <c r="AT175" s="1363" t="s">
        <v>1208</v>
      </c>
      <c r="AU175" s="1363" t="s">
        <v>1208</v>
      </c>
      <c r="AV175" s="1363" t="s">
        <v>1208</v>
      </c>
      <c r="AW175" s="1363" t="s">
        <v>1291</v>
      </c>
      <c r="AX175" s="1938">
        <v>1</v>
      </c>
      <c r="AY175" s="1938">
        <v>1</v>
      </c>
      <c r="AZ175" s="1938">
        <v>0</v>
      </c>
      <c r="BA175" s="1938">
        <v>1</v>
      </c>
      <c r="BB175" s="1938">
        <v>0</v>
      </c>
      <c r="BC175" s="1938">
        <v>1</v>
      </c>
      <c r="BD175" s="1938">
        <v>1</v>
      </c>
      <c r="BE175" s="1936">
        <v>0</v>
      </c>
      <c r="BF175" s="1936">
        <v>0</v>
      </c>
      <c r="BG175" s="1936">
        <v>1092000</v>
      </c>
      <c r="BH175" s="1936">
        <v>1092000</v>
      </c>
      <c r="BI175" s="1938">
        <v>40268621</v>
      </c>
      <c r="BJ175" s="1936">
        <v>16697665</v>
      </c>
      <c r="BK175" s="1936">
        <v>3022890</v>
      </c>
      <c r="BL175" s="1362">
        <v>5.5237421804961473</v>
      </c>
      <c r="BM175" s="1936">
        <v>1</v>
      </c>
      <c r="BN175" s="1936">
        <v>13500000</v>
      </c>
      <c r="BO175" s="1363" t="s">
        <v>1208</v>
      </c>
      <c r="BP175" s="1938">
        <v>2455912</v>
      </c>
      <c r="BQ175" s="1938">
        <v>3206789</v>
      </c>
      <c r="BR175" s="1940">
        <v>0.76584770622576037</v>
      </c>
      <c r="BS175" s="1409">
        <v>0</v>
      </c>
      <c r="BT175" s="1938">
        <v>16489251</v>
      </c>
      <c r="BU175" s="1938">
        <v>32436312</v>
      </c>
      <c r="BV175" s="1940">
        <v>0.50835776274442046</v>
      </c>
      <c r="BW175" s="1936">
        <v>20053.61595098898</v>
      </c>
      <c r="BX175" s="1936">
        <v>24803.597125057069</v>
      </c>
      <c r="BY175" s="1936">
        <v>1622.1147124799977</v>
      </c>
      <c r="BZ175" s="1936">
        <v>1598564</v>
      </c>
      <c r="CA175" s="1936">
        <v>96303</v>
      </c>
      <c r="CB175" s="1936">
        <v>528736</v>
      </c>
      <c r="CC175" s="1936">
        <v>94984</v>
      </c>
      <c r="CD175" s="1936">
        <v>7390338</v>
      </c>
      <c r="CE175" s="1936">
        <v>0</v>
      </c>
      <c r="CF175" s="1936">
        <v>0</v>
      </c>
      <c r="CG175" s="1936">
        <v>1631017</v>
      </c>
      <c r="CH175" s="1936">
        <v>631636</v>
      </c>
      <c r="CI175" s="1936">
        <v>333170</v>
      </c>
      <c r="CJ175" s="1936">
        <v>12304748</v>
      </c>
      <c r="CK175" s="1366">
        <v>0.12991440377324265</v>
      </c>
      <c r="CL175" s="1366">
        <v>7.8264910423195989E-3</v>
      </c>
      <c r="CM175" s="1366">
        <v>4.2970079517272518E-2</v>
      </c>
      <c r="CN175" s="1366">
        <v>7.7192966487407951E-3</v>
      </c>
      <c r="CO175" s="1366">
        <v>0.60060864310264628</v>
      </c>
      <c r="CP175" s="1366">
        <v>0</v>
      </c>
      <c r="CQ175" s="1366">
        <v>0</v>
      </c>
      <c r="CR175" s="1366">
        <v>0.13255184096415465</v>
      </c>
      <c r="CS175" s="1366">
        <v>5.1332705066369499E-2</v>
      </c>
      <c r="CT175" s="1366">
        <v>2.7076539885254051E-2</v>
      </c>
      <c r="CU175" s="1366">
        <v>1</v>
      </c>
      <c r="CV175" s="1936">
        <v>6681073</v>
      </c>
      <c r="CW175" s="1936">
        <v>1041334</v>
      </c>
      <c r="CX175" s="1936">
        <v>355276</v>
      </c>
      <c r="CY175" s="1936">
        <v>3801604</v>
      </c>
      <c r="CZ175" s="1936">
        <v>214612</v>
      </c>
      <c r="DA175" s="1936">
        <v>303063</v>
      </c>
      <c r="DB175" s="1936">
        <v>12396962</v>
      </c>
      <c r="DC175" s="1366">
        <v>0.53892824709795839</v>
      </c>
      <c r="DD175" s="1366">
        <v>8.3999128173499277E-2</v>
      </c>
      <c r="DE175" s="1366">
        <v>2.8658311608924833E-2</v>
      </c>
      <c r="DF175" s="1366">
        <v>0.30665609848606457</v>
      </c>
      <c r="DG175" s="1366">
        <v>1.731166071171308E-2</v>
      </c>
      <c r="DH175" s="1366">
        <v>2.4446553921839882E-2</v>
      </c>
      <c r="DI175" s="1366">
        <v>1</v>
      </c>
      <c r="DJ175" s="1936">
        <v>-92214</v>
      </c>
      <c r="DK175" s="1936">
        <v>2374.5917428945741</v>
      </c>
      <c r="DL175" s="1936">
        <v>143.05358347615496</v>
      </c>
      <c r="DM175" s="1936">
        <v>785.41249507126747</v>
      </c>
      <c r="DN175" s="1936">
        <v>141.09427092509165</v>
      </c>
      <c r="DO175" s="1936">
        <v>10978</v>
      </c>
      <c r="DP175" s="1936">
        <v>0</v>
      </c>
      <c r="DQ175" s="1936">
        <v>0</v>
      </c>
      <c r="DR175" s="1936">
        <v>2422.7991501877182</v>
      </c>
      <c r="DS175" s="1936">
        <v>938.26561220880569</v>
      </c>
      <c r="DT175" s="1936">
        <v>494.90838714007401</v>
      </c>
      <c r="DU175" s="1936">
        <v>18278.125241903686</v>
      </c>
      <c r="DV175" s="1936">
        <v>9924.4201542608753</v>
      </c>
      <c r="DW175" s="1936">
        <v>1546.8527490894194</v>
      </c>
      <c r="DX175" s="1936">
        <v>527.7458118965601</v>
      </c>
      <c r="DY175" s="1936">
        <v>5647.1041936106312</v>
      </c>
      <c r="DZ175" s="1936">
        <v>318.79604640545534</v>
      </c>
      <c r="EA175" s="1936">
        <v>450.18585266330177</v>
      </c>
      <c r="EB175" s="1936">
        <v>18415.104807926244</v>
      </c>
      <c r="EC175" s="1936">
        <v>-136.97956602255542</v>
      </c>
      <c r="ED175" s="1941">
        <v>110</v>
      </c>
      <c r="EE175" s="1936">
        <v>1</v>
      </c>
      <c r="EF175" s="1936">
        <v>15</v>
      </c>
      <c r="EG175" s="1938">
        <v>147560</v>
      </c>
      <c r="EH175" s="1938">
        <v>1</v>
      </c>
      <c r="EI175" s="1368">
        <v>0.05</v>
      </c>
      <c r="EJ175" s="1936">
        <v>6.1199572699117235</v>
      </c>
      <c r="EK175" s="1936">
        <v>1</v>
      </c>
      <c r="EL175" s="1936">
        <v>1200</v>
      </c>
      <c r="EM175" s="1936">
        <v>1</v>
      </c>
      <c r="EN175" s="1362">
        <v>0.2</v>
      </c>
      <c r="EO175" s="1936">
        <v>0</v>
      </c>
      <c r="EP175" s="1936">
        <v>0</v>
      </c>
      <c r="EQ175" s="1936">
        <v>0</v>
      </c>
      <c r="ER175" s="1938">
        <v>0</v>
      </c>
      <c r="ES175" s="1936">
        <v>3361.0647623965237</v>
      </c>
      <c r="ET175" s="1936">
        <v>-1974.6038045891812</v>
      </c>
      <c r="EU175" s="1938">
        <v>2</v>
      </c>
      <c r="EV175" s="1936">
        <v>70124</v>
      </c>
      <c r="EW175" s="1936">
        <v>0</v>
      </c>
      <c r="EX175" s="1938">
        <v>0</v>
      </c>
      <c r="EY175" s="1936">
        <v>1631017</v>
      </c>
      <c r="EZ175" s="1936">
        <v>854508</v>
      </c>
      <c r="FA175" s="1936">
        <v>776509</v>
      </c>
      <c r="FB175" s="1936">
        <v>631636</v>
      </c>
      <c r="FC175" s="1936">
        <v>186826</v>
      </c>
      <c r="FD175" s="1936">
        <v>444810</v>
      </c>
      <c r="FE175" s="1936">
        <v>2262653</v>
      </c>
      <c r="FF175" s="1936">
        <v>1041334</v>
      </c>
      <c r="FG175" s="1936">
        <v>1221319</v>
      </c>
      <c r="FH175" s="1366">
        <v>1</v>
      </c>
      <c r="FI175" s="1366">
        <v>0.52391115481935502</v>
      </c>
      <c r="FJ175" s="1366">
        <v>0.47608884518064498</v>
      </c>
      <c r="FK175" s="1366">
        <v>1</v>
      </c>
      <c r="FL175" s="1366">
        <v>0.29578111443932897</v>
      </c>
      <c r="FM175" s="1366">
        <v>0.70421888556067103</v>
      </c>
      <c r="FN175" s="1366">
        <v>1</v>
      </c>
      <c r="FO175" s="1366">
        <v>0.46022699901398934</v>
      </c>
      <c r="FP175" s="1366">
        <v>0.53977300098601066</v>
      </c>
      <c r="FQ175" s="1936">
        <v>1534928</v>
      </c>
      <c r="FR175" s="1936">
        <v>0</v>
      </c>
      <c r="FS175" s="1936">
        <v>339869</v>
      </c>
      <c r="FT175" s="1936">
        <v>43867</v>
      </c>
      <c r="FU175" s="1936">
        <v>21832</v>
      </c>
      <c r="FV175" s="1936">
        <v>18857</v>
      </c>
      <c r="FW175" s="1936">
        <v>591260</v>
      </c>
      <c r="FX175" s="1936">
        <v>2550613</v>
      </c>
      <c r="FY175" s="1936">
        <v>-1329294</v>
      </c>
      <c r="FZ175" s="1366">
        <v>0.67837534080568251</v>
      </c>
      <c r="GA175" s="1366">
        <v>0</v>
      </c>
      <c r="GB175" s="1366">
        <v>0.15020818481667317</v>
      </c>
      <c r="GC175" s="1366">
        <v>1.9387418220999861E-2</v>
      </c>
      <c r="GD175" s="1366">
        <v>9.6488502655952997E-3</v>
      </c>
      <c r="GE175" s="1366">
        <v>8.3340220528733307E-3</v>
      </c>
      <c r="GF175" s="1366">
        <v>0.26131271564840036</v>
      </c>
      <c r="GG175" s="1366">
        <v>1.1272665318102246</v>
      </c>
      <c r="GH175" s="1366">
        <v>-0.58749353082421385</v>
      </c>
      <c r="GI175" s="1942">
        <v>2.5822103236674288</v>
      </c>
      <c r="GJ175" s="1943">
        <v>1</v>
      </c>
      <c r="GK175" s="1371">
        <v>0.1</v>
      </c>
      <c r="GL175" s="1943">
        <v>1</v>
      </c>
      <c r="GM175" s="1371">
        <v>0.08</v>
      </c>
      <c r="GN175" s="1943">
        <v>0</v>
      </c>
      <c r="GO175" s="1985">
        <f>IF(GN175=0,0,VLOOKUP(A175,'Area (&amp;golfacre for lookup)'!$G$2:$H$133,2,FALSE))</f>
        <v>0</v>
      </c>
      <c r="GP175" s="1943">
        <v>0</v>
      </c>
      <c r="GQ175" s="1943">
        <v>0</v>
      </c>
      <c r="GR175" s="1943">
        <v>0</v>
      </c>
      <c r="GS175" s="1943">
        <v>0</v>
      </c>
      <c r="GT175" s="1943">
        <v>0</v>
      </c>
      <c r="GU175" s="1943">
        <v>0</v>
      </c>
      <c r="GV175" s="1943">
        <v>0</v>
      </c>
      <c r="GW175" s="1943">
        <v>0</v>
      </c>
      <c r="GX175" s="1936">
        <v>0</v>
      </c>
      <c r="GY175" s="1985">
        <f t="shared" si="1319"/>
        <v>0</v>
      </c>
      <c r="GZ175" s="1936">
        <v>0</v>
      </c>
      <c r="HA175" s="1936">
        <v>0</v>
      </c>
      <c r="HB175" s="1936">
        <v>0</v>
      </c>
      <c r="HC175" s="1936">
        <v>0</v>
      </c>
      <c r="HD175" s="1936">
        <v>0</v>
      </c>
      <c r="HE175" s="1936">
        <v>0</v>
      </c>
      <c r="HF175" s="1936">
        <v>0</v>
      </c>
      <c r="HG175" s="1936">
        <v>27</v>
      </c>
      <c r="HH175" s="1988">
        <f>IF(HG175=0,0,VLOOKUP(A175,'Area (&amp;golfacre for lookup)'!$G$2:$H$134,2,FALSE))</f>
        <v>175</v>
      </c>
      <c r="HI175" s="1936">
        <v>49997</v>
      </c>
      <c r="HJ175" s="1936">
        <v>1325926</v>
      </c>
      <c r="HK175" s="1936">
        <v>201321</v>
      </c>
      <c r="HL175" s="1936">
        <v>730224</v>
      </c>
      <c r="HM175" s="1936">
        <v>298020</v>
      </c>
      <c r="HN175" s="1936">
        <v>0</v>
      </c>
      <c r="HO175" s="1936">
        <v>196011</v>
      </c>
      <c r="HP175" s="1936">
        <v>2751502</v>
      </c>
      <c r="HQ175" s="1936">
        <v>101907.48148148147</v>
      </c>
      <c r="HR175" s="1988">
        <f t="shared" si="1320"/>
        <v>15722.868571428571</v>
      </c>
      <c r="HS175" s="1366">
        <v>0.48189170860133845</v>
      </c>
      <c r="HT175" s="1366">
        <v>7.3167673510686163E-2</v>
      </c>
      <c r="HU175" s="1366">
        <v>0.26539104823474596</v>
      </c>
      <c r="HV175" s="1366">
        <v>0.10831175118171821</v>
      </c>
      <c r="HW175" s="1366">
        <v>0</v>
      </c>
      <c r="HX175" s="1366">
        <v>7.12378184715112E-2</v>
      </c>
      <c r="HY175" s="1366">
        <v>1</v>
      </c>
      <c r="HZ175" s="51"/>
      <c r="IA175" s="59">
        <f t="shared" si="1322"/>
        <v>0</v>
      </c>
      <c r="IB175" s="59"/>
      <c r="IC175" s="815">
        <f t="shared" si="1323"/>
        <v>1</v>
      </c>
      <c r="ID175" s="815"/>
      <c r="IE175" s="284">
        <f t="shared" si="1324"/>
        <v>0</v>
      </c>
      <c r="IF175" s="284"/>
      <c r="IG175" s="284">
        <f t="shared" si="1325"/>
        <v>59817.145215550365</v>
      </c>
      <c r="IH175" s="284"/>
      <c r="II175" s="1288">
        <f t="shared" si="1326"/>
        <v>0</v>
      </c>
      <c r="IJ175" s="1288">
        <f t="shared" si="1327"/>
        <v>0.76584770622576037</v>
      </c>
      <c r="IK175" s="284">
        <f t="shared" si="1328"/>
        <v>0</v>
      </c>
      <c r="IL175" s="284">
        <f t="shared" si="1329"/>
        <v>0</v>
      </c>
      <c r="IM175" s="284">
        <f t="shared" si="1330"/>
        <v>1</v>
      </c>
      <c r="IN175" s="284">
        <f t="shared" si="1331"/>
        <v>0</v>
      </c>
      <c r="IO175" s="753">
        <f t="shared" si="1332"/>
        <v>-1830.9834710743801</v>
      </c>
      <c r="IP175" s="113">
        <f t="shared" si="1333"/>
        <v>-1974.6038045891812</v>
      </c>
      <c r="IQ175" s="30">
        <f t="shared" si="1334"/>
        <v>-0.17986917513109685</v>
      </c>
      <c r="IR175" s="438">
        <f t="shared" si="1335"/>
        <v>1631017</v>
      </c>
      <c r="IS175" s="438">
        <f t="shared" si="1336"/>
        <v>631636</v>
      </c>
      <c r="IT175" s="438">
        <f t="shared" si="1337"/>
        <v>1534928</v>
      </c>
      <c r="IU175" s="438">
        <f t="shared" si="1338"/>
        <v>383736</v>
      </c>
      <c r="IV175" s="438">
        <f t="shared" si="1339"/>
        <v>1041334</v>
      </c>
      <c r="IW175" s="438">
        <f t="shared" si="1340"/>
        <v>631949</v>
      </c>
      <c r="IX175" s="285">
        <f t="shared" si="1341"/>
        <v>0.72084274521988123</v>
      </c>
      <c r="IY175" s="285">
        <f t="shared" si="1342"/>
        <v>0.27915725478011871</v>
      </c>
      <c r="IZ175" s="285">
        <f t="shared" si="1343"/>
        <v>0.67837534080568251</v>
      </c>
      <c r="JA175" s="285">
        <f t="shared" si="1344"/>
        <v>0.16959560303767304</v>
      </c>
      <c r="JB175" s="285">
        <f t="shared" si="1345"/>
        <v>0.46022699901398934</v>
      </c>
      <c r="JC175" s="285">
        <f t="shared" si="1346"/>
        <v>0.27929558796686899</v>
      </c>
      <c r="JD175" s="60">
        <f t="shared" si="1347"/>
        <v>7390338</v>
      </c>
      <c r="JE175" s="60">
        <f t="shared" si="1348"/>
        <v>2318587</v>
      </c>
      <c r="JF175" s="60">
        <f t="shared" si="1349"/>
        <v>0</v>
      </c>
      <c r="JG175" s="60">
        <f t="shared" si="1350"/>
        <v>517675</v>
      </c>
      <c r="JH175" s="284">
        <f t="shared" si="1351"/>
        <v>0</v>
      </c>
      <c r="JI175" s="284">
        <f t="shared" si="1352"/>
        <v>1</v>
      </c>
      <c r="JJ175" s="560">
        <f t="shared" si="1353"/>
        <v>0.67193457604551232</v>
      </c>
      <c r="JK175" s="561">
        <f t="shared" si="1354"/>
        <v>0.54296707254793031</v>
      </c>
      <c r="JL175" s="561">
        <f t="shared" si="1355"/>
        <v>8.4628632784677915E-2</v>
      </c>
      <c r="JM175" s="561">
        <f t="shared" si="1356"/>
        <v>2.8873082163080464E-2</v>
      </c>
      <c r="JN175" s="561">
        <f t="shared" si="1357"/>
        <v>0.30895423457676663</v>
      </c>
      <c r="JO175" s="561">
        <f t="shared" si="1358"/>
        <v>1.7441397418297391E-2</v>
      </c>
      <c r="JP175" s="561">
        <f t="shared" si="1359"/>
        <v>2.4629760804528462E-2</v>
      </c>
      <c r="JQ175" s="561">
        <f t="shared" si="1360"/>
        <v>1.0074941802952813</v>
      </c>
      <c r="JR175" s="61">
        <f t="shared" si="1361"/>
        <v>0</v>
      </c>
      <c r="JS175" s="61">
        <f t="shared" si="1362"/>
        <v>0</v>
      </c>
      <c r="JT175" s="61">
        <f t="shared" si="1363"/>
        <v>0</v>
      </c>
      <c r="JU175" s="61">
        <f t="shared" si="1364"/>
        <v>0</v>
      </c>
      <c r="JV175" s="61">
        <f t="shared" si="1365"/>
        <v>0</v>
      </c>
      <c r="JW175" s="61">
        <f t="shared" si="1366"/>
        <v>0</v>
      </c>
      <c r="JX175" s="61">
        <f t="shared" si="1367"/>
        <v>0</v>
      </c>
      <c r="JY175" s="394">
        <f t="shared" si="1368"/>
        <v>0</v>
      </c>
      <c r="JZ175" s="61">
        <f t="shared" si="1369"/>
        <v>49108.370370370372</v>
      </c>
      <c r="KA175" s="61">
        <f t="shared" si="1370"/>
        <v>7456.333333333333</v>
      </c>
      <c r="KB175" s="61">
        <f t="shared" si="1371"/>
        <v>27045.333333333332</v>
      </c>
      <c r="KC175" s="61">
        <f t="shared" si="1372"/>
        <v>11037.777777777777</v>
      </c>
      <c r="KD175" s="61">
        <f t="shared" si="1373"/>
        <v>0</v>
      </c>
      <c r="KE175" s="61">
        <f t="shared" si="1374"/>
        <v>7259.666666666667</v>
      </c>
      <c r="KF175" s="61">
        <f t="shared" si="1375"/>
        <v>33300</v>
      </c>
      <c r="KG175" s="61">
        <f t="shared" si="1376"/>
        <v>233.33333333333334</v>
      </c>
      <c r="KH175" s="61">
        <f t="shared" si="1377"/>
        <v>55.03334200052003</v>
      </c>
      <c r="KI175" s="394">
        <f t="shared" si="1378"/>
        <v>0.22194970025720817</v>
      </c>
      <c r="KJ175" s="438">
        <f t="shared" si="1379"/>
        <v>27</v>
      </c>
      <c r="KK175" s="438">
        <f t="shared" si="1380"/>
        <v>49997</v>
      </c>
      <c r="KL175" s="438">
        <f t="shared" si="1381"/>
        <v>175</v>
      </c>
      <c r="KM175" s="438">
        <f t="shared" si="1382"/>
        <v>101907.48148148147</v>
      </c>
      <c r="KN175" s="438">
        <f t="shared" si="1383"/>
        <v>55.03334200052003</v>
      </c>
      <c r="KO175" s="438">
        <f t="shared" si="1384"/>
        <v>15722.868571428571</v>
      </c>
      <c r="KP175" s="438">
        <f t="shared" si="1385"/>
        <v>1325926</v>
      </c>
      <c r="KQ175" s="438">
        <f t="shared" si="1386"/>
        <v>201321</v>
      </c>
      <c r="KR175" s="438">
        <f t="shared" si="1387"/>
        <v>730224</v>
      </c>
      <c r="KS175" s="438">
        <f t="shared" si="1388"/>
        <v>298020</v>
      </c>
      <c r="KT175" s="438">
        <f t="shared" si="1389"/>
        <v>0</v>
      </c>
      <c r="KU175" s="438">
        <f t="shared" si="1390"/>
        <v>196011</v>
      </c>
      <c r="KV175" s="420">
        <f t="shared" si="1391"/>
        <v>0.22194970025720817</v>
      </c>
      <c r="KW175" s="420">
        <f t="shared" si="1392"/>
        <v>-0.34578810874414673</v>
      </c>
      <c r="KX175" s="108"/>
      <c r="KY175" s="282">
        <f t="shared" si="1393"/>
        <v>0</v>
      </c>
      <c r="KZ175" s="282"/>
      <c r="LA175" s="282">
        <f t="shared" si="1394"/>
        <v>0</v>
      </c>
      <c r="LB175" s="282"/>
      <c r="LC175" s="286">
        <f t="shared" si="1321"/>
        <v>0</v>
      </c>
      <c r="LD175" s="286"/>
      <c r="LE175" s="282">
        <f t="shared" si="1395"/>
        <v>0</v>
      </c>
      <c r="LF175" s="282"/>
      <c r="LG175" s="282">
        <f t="shared" si="1396"/>
        <v>0</v>
      </c>
      <c r="LH175" s="282">
        <f t="shared" si="1397"/>
        <v>0</v>
      </c>
      <c r="LI175" s="282">
        <f t="shared" si="1398"/>
        <v>0</v>
      </c>
      <c r="LJ175" s="282">
        <f t="shared" si="1399"/>
        <v>0</v>
      </c>
      <c r="LK175" s="282"/>
      <c r="LL175" s="282">
        <f t="shared" si="1400"/>
        <v>0</v>
      </c>
      <c r="LM175" s="282">
        <f t="shared" si="1401"/>
        <v>0</v>
      </c>
      <c r="LN175" s="282">
        <f t="shared" si="1402"/>
        <v>0</v>
      </c>
      <c r="LO175" s="282">
        <f t="shared" si="1403"/>
        <v>0</v>
      </c>
      <c r="LP175" s="286">
        <f t="shared" si="1404"/>
        <v>0</v>
      </c>
      <c r="LQ175" s="282">
        <f t="shared" si="1405"/>
        <v>0</v>
      </c>
      <c r="LR175" s="282">
        <f t="shared" si="1406"/>
        <v>0</v>
      </c>
      <c r="LS175" s="282">
        <f t="shared" si="1407"/>
        <v>0</v>
      </c>
      <c r="LT175" s="286">
        <f t="shared" si="1408"/>
        <v>0</v>
      </c>
      <c r="LU175" s="286">
        <f t="shared" si="1409"/>
        <v>0</v>
      </c>
      <c r="LV175" s="286">
        <f t="shared" si="1410"/>
        <v>0</v>
      </c>
      <c r="LW175" s="286">
        <f t="shared" si="1411"/>
        <v>0</v>
      </c>
      <c r="LX175" s="286">
        <f t="shared" si="1412"/>
        <v>0</v>
      </c>
      <c r="LY175" s="286">
        <f t="shared" si="1413"/>
        <v>0</v>
      </c>
      <c r="LZ175" s="286">
        <f t="shared" si="1414"/>
        <v>0</v>
      </c>
      <c r="MA175" s="286">
        <f t="shared" si="1415"/>
        <v>0</v>
      </c>
      <c r="MB175" s="286">
        <f t="shared" si="1416"/>
        <v>0</v>
      </c>
      <c r="MC175" s="286">
        <f t="shared" si="1417"/>
        <v>0</v>
      </c>
      <c r="MD175" s="286">
        <f t="shared" si="1418"/>
        <v>0</v>
      </c>
      <c r="ME175" s="286">
        <f t="shared" si="1419"/>
        <v>0</v>
      </c>
      <c r="MF175" s="286">
        <f t="shared" si="1420"/>
        <v>0</v>
      </c>
      <c r="MG175" s="286">
        <f t="shared" si="1421"/>
        <v>0</v>
      </c>
      <c r="MH175" s="286">
        <f t="shared" si="1422"/>
        <v>0</v>
      </c>
      <c r="MI175" s="286">
        <f t="shared" si="1423"/>
        <v>0</v>
      </c>
      <c r="MJ175" s="286">
        <f t="shared" si="1424"/>
        <v>0</v>
      </c>
      <c r="MK175" s="286">
        <f t="shared" si="1425"/>
        <v>0</v>
      </c>
      <c r="ML175" s="282">
        <f t="shared" si="1426"/>
        <v>0</v>
      </c>
      <c r="MM175" s="1232">
        <f t="shared" si="1427"/>
        <v>0</v>
      </c>
      <c r="MN175" s="1232">
        <f t="shared" si="1428"/>
        <v>0</v>
      </c>
      <c r="MO175" s="1232">
        <f t="shared" si="1429"/>
        <v>0</v>
      </c>
      <c r="MP175" s="1232">
        <f t="shared" si="1430"/>
        <v>0</v>
      </c>
      <c r="MQ175" s="282">
        <f t="shared" si="1431"/>
        <v>0</v>
      </c>
      <c r="MR175" s="282">
        <f t="shared" si="1432"/>
        <v>0</v>
      </c>
      <c r="MS175" s="282">
        <f t="shared" si="1433"/>
        <v>0</v>
      </c>
      <c r="MT175" s="282">
        <f t="shared" si="1434"/>
        <v>0</v>
      </c>
      <c r="MU175" s="282">
        <f t="shared" si="1435"/>
        <v>0</v>
      </c>
      <c r="MV175" s="282">
        <f t="shared" si="1436"/>
        <v>0</v>
      </c>
      <c r="MW175" s="282">
        <f t="shared" si="1437"/>
        <v>0</v>
      </c>
      <c r="MX175" s="282">
        <f t="shared" si="1438"/>
        <v>0</v>
      </c>
      <c r="MY175" s="282">
        <f t="shared" si="1439"/>
        <v>0</v>
      </c>
      <c r="MZ175" s="282">
        <f t="shared" si="1440"/>
        <v>0</v>
      </c>
      <c r="NA175" s="282">
        <f t="shared" si="1441"/>
        <v>0</v>
      </c>
      <c r="NB175" s="282">
        <f t="shared" si="1442"/>
        <v>0</v>
      </c>
      <c r="NC175" s="282">
        <f t="shared" si="1443"/>
        <v>0</v>
      </c>
      <c r="ND175" s="282">
        <f t="shared" si="1444"/>
        <v>0</v>
      </c>
      <c r="NE175" s="282">
        <f t="shared" si="1445"/>
        <v>0</v>
      </c>
      <c r="NF175" s="282">
        <f t="shared" si="1446"/>
        <v>0</v>
      </c>
      <c r="NG175" s="282">
        <f t="shared" si="1447"/>
        <v>0</v>
      </c>
      <c r="NH175" s="282">
        <f t="shared" si="1448"/>
        <v>0</v>
      </c>
      <c r="NI175" s="282">
        <f t="shared" si="1449"/>
        <v>0</v>
      </c>
      <c r="NJ175" s="282">
        <f t="shared" si="1450"/>
        <v>0</v>
      </c>
      <c r="NK175" s="282">
        <f t="shared" si="1451"/>
        <v>0</v>
      </c>
      <c r="NL175" s="282">
        <f t="shared" si="1452"/>
        <v>0</v>
      </c>
      <c r="NM175" s="1205">
        <f t="shared" si="1453"/>
        <v>0</v>
      </c>
      <c r="NN175" s="282">
        <f t="shared" si="1454"/>
        <v>0</v>
      </c>
      <c r="NO175" s="282">
        <f t="shared" si="1455"/>
        <v>0</v>
      </c>
      <c r="NP175" s="282">
        <f t="shared" si="1456"/>
        <v>0</v>
      </c>
      <c r="NQ175" s="282">
        <f t="shared" si="1457"/>
        <v>0</v>
      </c>
      <c r="NR175" s="282">
        <f t="shared" si="1458"/>
        <v>0</v>
      </c>
      <c r="NS175" s="282">
        <f t="shared" si="1459"/>
        <v>0</v>
      </c>
      <c r="NT175" s="282">
        <f t="shared" si="1460"/>
        <v>0</v>
      </c>
      <c r="NU175" s="282">
        <f t="shared" si="1461"/>
        <v>0</v>
      </c>
      <c r="NV175" s="286">
        <f t="shared" si="1462"/>
        <v>0</v>
      </c>
      <c r="NW175" s="286">
        <f t="shared" si="1463"/>
        <v>0</v>
      </c>
      <c r="NX175" s="286">
        <f t="shared" si="1464"/>
        <v>0</v>
      </c>
      <c r="NY175" s="286">
        <f t="shared" si="1465"/>
        <v>0</v>
      </c>
      <c r="NZ175" s="286">
        <f t="shared" si="1466"/>
        <v>0</v>
      </c>
      <c r="OA175" s="286">
        <f t="shared" si="1467"/>
        <v>0</v>
      </c>
      <c r="OB175" s="286">
        <f t="shared" si="1468"/>
        <v>0</v>
      </c>
      <c r="OC175" s="286">
        <f t="shared" si="1469"/>
        <v>0</v>
      </c>
      <c r="OD175" s="286">
        <f t="shared" si="1470"/>
        <v>0</v>
      </c>
      <c r="OE175" s="282">
        <f t="shared" si="1471"/>
        <v>0</v>
      </c>
      <c r="OF175" s="282">
        <f t="shared" si="1472"/>
        <v>0</v>
      </c>
      <c r="OG175" s="286">
        <f t="shared" si="1473"/>
        <v>0</v>
      </c>
      <c r="OH175" s="286">
        <f t="shared" si="1474"/>
        <v>0</v>
      </c>
      <c r="OI175" s="286">
        <f t="shared" si="1475"/>
        <v>0</v>
      </c>
      <c r="OJ175" s="286">
        <f t="shared" si="1476"/>
        <v>0</v>
      </c>
      <c r="OK175" s="286">
        <f t="shared" si="1477"/>
        <v>0</v>
      </c>
      <c r="OL175" s="286">
        <f t="shared" si="1478"/>
        <v>0</v>
      </c>
      <c r="OM175" s="286">
        <f t="shared" si="1479"/>
        <v>0</v>
      </c>
      <c r="ON175" s="286">
        <f t="shared" si="1480"/>
        <v>0</v>
      </c>
      <c r="OO175" s="286">
        <f t="shared" si="1481"/>
        <v>0</v>
      </c>
      <c r="OP175" s="434">
        <f t="shared" si="1482"/>
        <v>0</v>
      </c>
      <c r="OQ175" s="434">
        <f t="shared" si="1483"/>
        <v>0</v>
      </c>
      <c r="OR175" s="282">
        <f t="shared" si="1484"/>
        <v>0</v>
      </c>
      <c r="OS175" s="282">
        <f t="shared" si="1485"/>
        <v>0</v>
      </c>
      <c r="OT175" s="282">
        <f t="shared" si="1486"/>
        <v>0</v>
      </c>
      <c r="OU175" s="282">
        <f t="shared" si="1487"/>
        <v>0</v>
      </c>
      <c r="OV175" s="282">
        <f t="shared" si="1488"/>
        <v>0</v>
      </c>
      <c r="OW175" s="286">
        <f t="shared" si="1489"/>
        <v>0</v>
      </c>
      <c r="OX175" s="286">
        <f t="shared" si="1490"/>
        <v>0</v>
      </c>
      <c r="OY175" s="286">
        <f t="shared" si="1491"/>
        <v>0</v>
      </c>
      <c r="OZ175" s="286">
        <f t="shared" si="1492"/>
        <v>0</v>
      </c>
      <c r="PA175" s="286">
        <f t="shared" si="1493"/>
        <v>0</v>
      </c>
      <c r="PB175" s="286">
        <f t="shared" si="1494"/>
        <v>0</v>
      </c>
      <c r="PC175" s="286">
        <f t="shared" si="1495"/>
        <v>0</v>
      </c>
      <c r="PD175" s="282">
        <f t="shared" si="1496"/>
        <v>0</v>
      </c>
      <c r="PE175" s="282">
        <f t="shared" si="1497"/>
        <v>0</v>
      </c>
      <c r="PF175" s="286">
        <f t="shared" si="1498"/>
        <v>0</v>
      </c>
      <c r="PG175" s="286">
        <f t="shared" si="1499"/>
        <v>0</v>
      </c>
      <c r="PH175" s="286">
        <f t="shared" si="1500"/>
        <v>0</v>
      </c>
      <c r="PI175" s="286">
        <f t="shared" si="1501"/>
        <v>0</v>
      </c>
      <c r="PJ175" s="286">
        <f t="shared" si="1502"/>
        <v>0</v>
      </c>
      <c r="PK175" s="286">
        <f t="shared" si="1503"/>
        <v>0</v>
      </c>
      <c r="PL175" s="286">
        <f t="shared" si="1504"/>
        <v>0</v>
      </c>
      <c r="PM175" s="562">
        <v>119</v>
      </c>
    </row>
    <row r="176" spans="1:429" s="289" customFormat="1" ht="15.75" customHeight="1">
      <c r="A176" s="1640"/>
      <c r="B176" s="1040"/>
      <c r="C176" s="1409"/>
      <c r="D176" s="1410"/>
      <c r="E176" s="671"/>
      <c r="F176" s="1409"/>
      <c r="G176" s="1409"/>
      <c r="H176" s="1409"/>
      <c r="I176" s="1409"/>
      <c r="J176" s="1409"/>
      <c r="K176" s="1411"/>
      <c r="L176" s="1412"/>
      <c r="M176" s="1412"/>
      <c r="N176" s="1412"/>
      <c r="O176" s="1412"/>
      <c r="P176" s="1412"/>
      <c r="Q176" s="1409"/>
      <c r="R176" s="1409"/>
      <c r="S176" s="1409"/>
      <c r="T176" s="1412"/>
      <c r="U176" s="1412"/>
      <c r="V176" s="1412"/>
      <c r="W176" s="1409"/>
      <c r="X176" s="1409"/>
      <c r="Y176" s="1412"/>
      <c r="Z176" s="1412"/>
      <c r="AA176" s="1409"/>
      <c r="AB176" s="1331"/>
      <c r="AC176" s="1412"/>
      <c r="AD176" s="1200"/>
      <c r="AE176" s="1409"/>
      <c r="AF176" s="1409"/>
      <c r="AG176" s="1412"/>
      <c r="AH176" s="1409"/>
      <c r="AI176" s="1409"/>
      <c r="AJ176" s="1412"/>
      <c r="AK176" s="1411"/>
      <c r="AL176" s="1411"/>
      <c r="AM176" s="1409"/>
      <c r="AN176" s="1412"/>
      <c r="AO176" s="1409"/>
      <c r="AP176" s="1409"/>
      <c r="AQ176" s="1409"/>
      <c r="AR176" s="1412"/>
      <c r="AS176" s="1200"/>
      <c r="AT176" s="1200"/>
      <c r="AU176" s="1200"/>
      <c r="AV176" s="1200"/>
      <c r="AW176" s="1200"/>
      <c r="AX176" s="1411"/>
      <c r="AY176" s="1411"/>
      <c r="AZ176" s="1411"/>
      <c r="BA176" s="1411"/>
      <c r="BB176" s="1411"/>
      <c r="BC176" s="1411"/>
      <c r="BD176" s="1411"/>
      <c r="BE176" s="1409"/>
      <c r="BF176" s="1409"/>
      <c r="BG176" s="1409"/>
      <c r="BH176" s="1409"/>
      <c r="BI176" s="1411"/>
      <c r="BJ176" s="1409"/>
      <c r="BK176" s="1409"/>
      <c r="BL176" s="1331"/>
      <c r="BM176" s="1409"/>
      <c r="BN176" s="1409"/>
      <c r="BO176" s="1200"/>
      <c r="BP176" s="1411"/>
      <c r="BQ176" s="1411"/>
      <c r="BR176" s="1413"/>
      <c r="BS176" s="1409"/>
      <c r="BT176" s="1411"/>
      <c r="BU176" s="1411"/>
      <c r="BV176" s="1413"/>
      <c r="BW176" s="1409"/>
      <c r="BX176" s="1409"/>
      <c r="BY176" s="1409"/>
      <c r="BZ176" s="1409"/>
      <c r="CA176" s="1409"/>
      <c r="CB176" s="1409"/>
      <c r="CC176" s="1409"/>
      <c r="CD176" s="1409"/>
      <c r="CE176" s="1409"/>
      <c r="CF176" s="1409"/>
      <c r="CG176" s="1409"/>
      <c r="CH176" s="1409"/>
      <c r="CI176" s="1409"/>
      <c r="CJ176" s="1409"/>
      <c r="CK176" s="30"/>
      <c r="CL176" s="30"/>
      <c r="CM176" s="30"/>
      <c r="CN176" s="30"/>
      <c r="CO176" s="30"/>
      <c r="CP176" s="30"/>
      <c r="CQ176" s="30"/>
      <c r="CR176" s="30"/>
      <c r="CS176" s="30"/>
      <c r="CT176" s="30"/>
      <c r="CU176" s="30"/>
      <c r="CV176" s="1409"/>
      <c r="CW176" s="1409"/>
      <c r="CX176" s="1409"/>
      <c r="CY176" s="1409"/>
      <c r="CZ176" s="1409"/>
      <c r="DA176" s="1409"/>
      <c r="DB176" s="1409"/>
      <c r="DC176" s="30"/>
      <c r="DD176" s="30"/>
      <c r="DE176" s="30"/>
      <c r="DF176" s="30"/>
      <c r="DG176" s="30"/>
      <c r="DH176" s="30"/>
      <c r="DI176" s="30"/>
      <c r="DJ176" s="1409"/>
      <c r="DK176" s="1409"/>
      <c r="DL176" s="1409"/>
      <c r="DM176" s="1409"/>
      <c r="DN176" s="1409"/>
      <c r="DO176" s="1409"/>
      <c r="DP176" s="1409"/>
      <c r="DQ176" s="1409"/>
      <c r="DR176" s="1409"/>
      <c r="DS176" s="1409"/>
      <c r="DT176" s="1409"/>
      <c r="DU176" s="1409"/>
      <c r="DV176" s="1409"/>
      <c r="DW176" s="1409"/>
      <c r="DX176" s="1409"/>
      <c r="DY176" s="1409"/>
      <c r="DZ176" s="1409"/>
      <c r="EA176" s="1409"/>
      <c r="EB176" s="1409"/>
      <c r="EC176" s="1409"/>
      <c r="ED176" s="1414"/>
      <c r="EE176" s="1409"/>
      <c r="EF176" s="1409"/>
      <c r="EG176" s="1411"/>
      <c r="EH176" s="1411"/>
      <c r="EI176" s="1203"/>
      <c r="EJ176" s="1409"/>
      <c r="EK176" s="1409"/>
      <c r="EL176" s="1409"/>
      <c r="EM176" s="1409"/>
      <c r="EN176" s="1331"/>
      <c r="EO176" s="1409"/>
      <c r="EP176" s="1409"/>
      <c r="EQ176" s="1409"/>
      <c r="ER176" s="1411"/>
      <c r="ES176" s="1409"/>
      <c r="ET176" s="1409"/>
      <c r="EU176" s="1411"/>
      <c r="EV176" s="1409"/>
      <c r="EW176" s="1409"/>
      <c r="EX176" s="1411"/>
      <c r="EY176" s="1409"/>
      <c r="EZ176" s="1409"/>
      <c r="FA176" s="1409"/>
      <c r="FB176" s="1409"/>
      <c r="FC176" s="1409"/>
      <c r="FD176" s="1409"/>
      <c r="FE176" s="1409"/>
      <c r="FF176" s="1409"/>
      <c r="FG176" s="1409"/>
      <c r="FH176" s="30"/>
      <c r="FI176" s="30"/>
      <c r="FJ176" s="30"/>
      <c r="FK176" s="30"/>
      <c r="FL176" s="30"/>
      <c r="FM176" s="30"/>
      <c r="FN176" s="30"/>
      <c r="FO176" s="30"/>
      <c r="FP176" s="30"/>
      <c r="FQ176" s="1409"/>
      <c r="FR176" s="1409"/>
      <c r="FS176" s="1409"/>
      <c r="FT176" s="1409"/>
      <c r="FU176" s="1409"/>
      <c r="FV176" s="1409"/>
      <c r="FW176" s="1409"/>
      <c r="FX176" s="1409"/>
      <c r="FY176" s="1409"/>
      <c r="FZ176" s="30"/>
      <c r="GA176" s="30"/>
      <c r="GB176" s="30"/>
      <c r="GC176" s="30"/>
      <c r="GD176" s="30"/>
      <c r="GE176" s="30"/>
      <c r="GF176" s="30"/>
      <c r="GG176" s="30"/>
      <c r="GH176" s="30"/>
      <c r="GI176" s="1415"/>
      <c r="GJ176" s="1416"/>
      <c r="GK176" s="622"/>
      <c r="GL176" s="1416"/>
      <c r="GM176" s="622"/>
      <c r="GN176" s="1416"/>
      <c r="GO176" s="1793"/>
      <c r="GP176" s="1416"/>
      <c r="GQ176" s="1416"/>
      <c r="GR176" s="1416"/>
      <c r="GS176" s="1416"/>
      <c r="GT176" s="1416"/>
      <c r="GU176" s="1416"/>
      <c r="GV176" s="1416"/>
      <c r="GW176" s="1416"/>
      <c r="GX176" s="1416"/>
      <c r="GY176" s="1793"/>
      <c r="GZ176" s="30"/>
      <c r="HA176" s="30"/>
      <c r="HB176" s="30"/>
      <c r="HC176" s="30"/>
      <c r="HD176" s="30"/>
      <c r="HE176" s="30"/>
      <c r="HF176" s="30"/>
      <c r="HG176" s="1409"/>
      <c r="HH176" s="1793"/>
      <c r="HI176" s="1409"/>
      <c r="HJ176" s="1409"/>
      <c r="HK176" s="1409"/>
      <c r="HL176" s="1409"/>
      <c r="HM176" s="1409"/>
      <c r="HN176" s="1409"/>
      <c r="HO176" s="1409"/>
      <c r="HP176" s="1409"/>
      <c r="HQ176" s="1409"/>
      <c r="HR176" s="1733"/>
      <c r="HS176" s="1409"/>
      <c r="HT176" s="1409"/>
      <c r="HU176" s="1409"/>
      <c r="HV176" s="1409"/>
      <c r="HW176" s="1409"/>
      <c r="HX176" s="1409"/>
      <c r="HY176" s="1409"/>
      <c r="HZ176" s="51"/>
      <c r="IA176" s="59"/>
      <c r="IB176" s="59"/>
      <c r="IC176" s="815"/>
      <c r="ID176" s="815"/>
      <c r="IE176" s="284"/>
      <c r="IF176" s="284"/>
      <c r="IG176" s="284"/>
      <c r="IH176" s="284"/>
      <c r="II176" s="1288"/>
      <c r="IJ176" s="1288"/>
      <c r="IK176" s="284"/>
      <c r="IL176" s="284"/>
      <c r="IM176" s="284"/>
      <c r="IN176" s="284"/>
      <c r="IO176" s="753"/>
      <c r="IP176" s="113"/>
      <c r="IQ176" s="30"/>
      <c r="IR176" s="438"/>
      <c r="IS176" s="438"/>
      <c r="IT176" s="438"/>
      <c r="IU176" s="438"/>
      <c r="IV176" s="438"/>
      <c r="IW176" s="438"/>
      <c r="IX176" s="285"/>
      <c r="IY176" s="285"/>
      <c r="IZ176" s="285"/>
      <c r="JA176" s="285"/>
      <c r="JB176" s="285"/>
      <c r="JC176" s="285"/>
      <c r="JD176" s="60"/>
      <c r="JE176" s="60"/>
      <c r="JF176" s="60"/>
      <c r="JG176" s="60"/>
      <c r="JH176" s="284"/>
      <c r="JI176" s="284"/>
      <c r="JJ176" s="560"/>
      <c r="JK176" s="561"/>
      <c r="JL176" s="561"/>
      <c r="JM176" s="561"/>
      <c r="JN176" s="561"/>
      <c r="JO176" s="561"/>
      <c r="JP176" s="561"/>
      <c r="JQ176" s="561"/>
      <c r="JR176" s="61"/>
      <c r="JS176" s="61"/>
      <c r="JT176" s="61"/>
      <c r="JU176" s="61"/>
      <c r="JV176" s="61"/>
      <c r="JW176" s="61"/>
      <c r="JX176" s="61"/>
      <c r="JY176" s="394"/>
      <c r="JZ176" s="61"/>
      <c r="KA176" s="61"/>
      <c r="KB176" s="61"/>
      <c r="KC176" s="61"/>
      <c r="KD176" s="61"/>
      <c r="KE176" s="61"/>
      <c r="KF176" s="61"/>
      <c r="KG176" s="61"/>
      <c r="KH176" s="61"/>
      <c r="KI176" s="394"/>
      <c r="KJ176" s="438"/>
      <c r="KK176" s="438"/>
      <c r="KL176" s="438"/>
      <c r="KM176" s="438"/>
      <c r="KN176" s="438"/>
      <c r="KO176" s="438"/>
      <c r="KP176" s="438"/>
      <c r="KQ176" s="438"/>
      <c r="KR176" s="438"/>
      <c r="KS176" s="438"/>
      <c r="KT176" s="438"/>
      <c r="KU176" s="438"/>
      <c r="KV176" s="420"/>
      <c r="KW176" s="420"/>
      <c r="KX176" s="108"/>
      <c r="KY176" s="282"/>
      <c r="KZ176" s="282"/>
      <c r="LA176" s="282"/>
      <c r="LB176" s="282"/>
      <c r="LC176" s="286"/>
      <c r="LD176" s="286"/>
      <c r="LE176" s="282"/>
      <c r="LF176" s="282"/>
      <c r="LG176" s="282"/>
      <c r="LH176" s="282"/>
      <c r="LI176" s="282"/>
      <c r="LJ176" s="282"/>
      <c r="LK176" s="282"/>
      <c r="LL176" s="282"/>
      <c r="LM176" s="282"/>
      <c r="LN176" s="282"/>
      <c r="LO176" s="282"/>
      <c r="LP176" s="286"/>
      <c r="LQ176" s="282"/>
      <c r="LR176" s="282"/>
      <c r="LS176" s="282"/>
      <c r="LT176" s="286"/>
      <c r="LU176" s="286"/>
      <c r="LV176" s="286"/>
      <c r="LW176" s="286"/>
      <c r="LX176" s="286"/>
      <c r="LY176" s="286"/>
      <c r="LZ176" s="286"/>
      <c r="MA176" s="286"/>
      <c r="MB176" s="286"/>
      <c r="MC176" s="286"/>
      <c r="MD176" s="286"/>
      <c r="ME176" s="286"/>
      <c r="MF176" s="286"/>
      <c r="MG176" s="286"/>
      <c r="MH176" s="286"/>
      <c r="MI176" s="286"/>
      <c r="MJ176" s="286"/>
      <c r="MK176" s="286"/>
      <c r="ML176" s="282"/>
      <c r="MM176" s="1232"/>
      <c r="MN176" s="1232"/>
      <c r="MO176" s="1232"/>
      <c r="MP176" s="1232"/>
      <c r="MQ176" s="282"/>
      <c r="MR176" s="282"/>
      <c r="MS176" s="282"/>
      <c r="MT176" s="282"/>
      <c r="MU176" s="282"/>
      <c r="MV176" s="282"/>
      <c r="MW176" s="282"/>
      <c r="MX176" s="282"/>
      <c r="MY176" s="282"/>
      <c r="MZ176" s="282"/>
      <c r="NA176" s="282"/>
      <c r="NB176" s="282"/>
      <c r="NC176" s="282"/>
      <c r="ND176" s="282"/>
      <c r="NE176" s="282"/>
      <c r="NF176" s="282"/>
      <c r="NG176" s="282"/>
      <c r="NH176" s="282"/>
      <c r="NI176" s="282"/>
      <c r="NJ176" s="282"/>
      <c r="NK176" s="282"/>
      <c r="NL176" s="282"/>
      <c r="NM176" s="1205"/>
      <c r="NN176" s="282"/>
      <c r="NO176" s="282"/>
      <c r="NP176" s="282"/>
      <c r="NQ176" s="282"/>
      <c r="NR176" s="282"/>
      <c r="NS176" s="282"/>
      <c r="NT176" s="282"/>
      <c r="NU176" s="282"/>
      <c r="NV176" s="286"/>
      <c r="NW176" s="286"/>
      <c r="NX176" s="286"/>
      <c r="NY176" s="286"/>
      <c r="NZ176" s="286"/>
      <c r="OA176" s="286"/>
      <c r="OB176" s="286"/>
      <c r="OC176" s="286"/>
      <c r="OD176" s="286"/>
      <c r="OE176" s="282"/>
      <c r="OF176" s="282"/>
      <c r="OG176" s="286"/>
      <c r="OH176" s="286"/>
      <c r="OI176" s="286"/>
      <c r="OJ176" s="286"/>
      <c r="OK176" s="286"/>
      <c r="OL176" s="286"/>
      <c r="OM176" s="286"/>
      <c r="ON176" s="286"/>
      <c r="OO176" s="286"/>
      <c r="OP176" s="434"/>
      <c r="OQ176" s="434"/>
      <c r="OR176" s="282"/>
      <c r="OS176" s="282"/>
      <c r="OT176" s="282"/>
      <c r="OU176" s="282"/>
      <c r="OV176" s="282"/>
      <c r="OW176" s="286"/>
      <c r="OX176" s="286"/>
      <c r="OY176" s="286"/>
      <c r="OZ176" s="286"/>
      <c r="PA176" s="286"/>
      <c r="PB176" s="286"/>
      <c r="PC176" s="286"/>
      <c r="PD176" s="282"/>
      <c r="PE176" s="282"/>
      <c r="PF176" s="286"/>
      <c r="PG176" s="286"/>
      <c r="PH176" s="286"/>
      <c r="PI176" s="286"/>
      <c r="PJ176" s="286"/>
      <c r="PK176" s="286"/>
      <c r="PL176" s="286"/>
      <c r="PM176" s="562"/>
    </row>
    <row r="177" spans="1:429" s="289" customFormat="1" ht="15.75" customHeight="1">
      <c r="A177" s="1640"/>
      <c r="B177" s="1040"/>
      <c r="C177" s="1340"/>
      <c r="D177" s="1410"/>
      <c r="E177" s="671"/>
      <c r="F177" s="1409"/>
      <c r="G177" s="1409"/>
      <c r="H177" s="1409"/>
      <c r="I177" s="1409"/>
      <c r="J177" s="1409"/>
      <c r="K177" s="1411"/>
      <c r="L177" s="1412"/>
      <c r="M177" s="1412"/>
      <c r="N177" s="1412"/>
      <c r="O177" s="1412"/>
      <c r="P177" s="1412"/>
      <c r="Q177" s="1409"/>
      <c r="R177" s="1409"/>
      <c r="S177" s="1409"/>
      <c r="T177" s="1412"/>
      <c r="U177" s="1412"/>
      <c r="V177" s="1412"/>
      <c r="W177" s="1409"/>
      <c r="X177" s="1409"/>
      <c r="Y177" s="1412"/>
      <c r="Z177" s="1412"/>
      <c r="AA177" s="1409"/>
      <c r="AB177" s="1331"/>
      <c r="AC177" s="1412"/>
      <c r="AD177" s="1200"/>
      <c r="AE177" s="1409"/>
      <c r="AF177" s="1409"/>
      <c r="AG177" s="1412"/>
      <c r="AH177" s="1409"/>
      <c r="AI177" s="1409"/>
      <c r="AJ177" s="1412"/>
      <c r="AK177" s="1411"/>
      <c r="AL177" s="1411"/>
      <c r="AM177" s="1409"/>
      <c r="AN177" s="1412"/>
      <c r="AO177" s="1409"/>
      <c r="AP177" s="1409"/>
      <c r="AQ177" s="1409"/>
      <c r="AR177" s="1412"/>
      <c r="AS177" s="1200"/>
      <c r="AT177" s="1200"/>
      <c r="AU177" s="1200"/>
      <c r="AV177" s="1200"/>
      <c r="AW177" s="1200"/>
      <c r="AX177" s="1411"/>
      <c r="AY177" s="1411"/>
      <c r="AZ177" s="1411"/>
      <c r="BA177" s="1411"/>
      <c r="BB177" s="1411"/>
      <c r="BC177" s="1411"/>
      <c r="BD177" s="1411"/>
      <c r="BE177" s="1409"/>
      <c r="BF177" s="1409"/>
      <c r="BG177" s="1409"/>
      <c r="BH177" s="1409"/>
      <c r="BI177" s="1411"/>
      <c r="BJ177" s="1409"/>
      <c r="BK177" s="1409"/>
      <c r="BL177" s="1331"/>
      <c r="BM177" s="1409"/>
      <c r="BN177" s="1409"/>
      <c r="BO177" s="1200"/>
      <c r="BP177" s="1411"/>
      <c r="BQ177" s="1411"/>
      <c r="BR177" s="1413"/>
      <c r="BS177" s="1409"/>
      <c r="BT177" s="1411"/>
      <c r="BU177" s="1411"/>
      <c r="BV177" s="1413"/>
      <c r="BW177" s="1409"/>
      <c r="BX177" s="1409"/>
      <c r="BY177" s="1409"/>
      <c r="BZ177" s="1409"/>
      <c r="CA177" s="1409"/>
      <c r="CB177" s="1409"/>
      <c r="CC177" s="1409"/>
      <c r="CD177" s="1409"/>
      <c r="CE177" s="1409"/>
      <c r="CF177" s="1409"/>
      <c r="CG177" s="1409"/>
      <c r="CH177" s="1409"/>
      <c r="CI177" s="1409"/>
      <c r="CJ177" s="1409"/>
      <c r="CK177" s="30"/>
      <c r="CL177" s="30"/>
      <c r="CM177" s="30"/>
      <c r="CN177" s="30"/>
      <c r="CO177" s="30"/>
      <c r="CP177" s="30"/>
      <c r="CQ177" s="30"/>
      <c r="CR177" s="30"/>
      <c r="CS177" s="30"/>
      <c r="CT177" s="30"/>
      <c r="CU177" s="30"/>
      <c r="CV177" s="1409"/>
      <c r="CW177" s="1409"/>
      <c r="CX177" s="1409"/>
      <c r="CY177" s="1409"/>
      <c r="CZ177" s="1409"/>
      <c r="DA177" s="1409"/>
      <c r="DB177" s="1409"/>
      <c r="DC177" s="30"/>
      <c r="DD177" s="30"/>
      <c r="DE177" s="30"/>
      <c r="DF177" s="30"/>
      <c r="DG177" s="30"/>
      <c r="DH177" s="30"/>
      <c r="DI177" s="30"/>
      <c r="DJ177" s="1409"/>
      <c r="DK177" s="1409"/>
      <c r="DL177" s="1409"/>
      <c r="DM177" s="1409"/>
      <c r="DN177" s="1409"/>
      <c r="DO177" s="1409"/>
      <c r="DP177" s="1409"/>
      <c r="DQ177" s="1409"/>
      <c r="DR177" s="1409"/>
      <c r="DS177" s="1409"/>
      <c r="DT177" s="1409"/>
      <c r="DU177" s="1409"/>
      <c r="DV177" s="1409"/>
      <c r="DW177" s="1409"/>
      <c r="DX177" s="1409"/>
      <c r="DY177" s="1409"/>
      <c r="DZ177" s="1409"/>
      <c r="EA177" s="1409"/>
      <c r="EB177" s="1409"/>
      <c r="EC177" s="1409"/>
      <c r="ED177" s="1414"/>
      <c r="EE177" s="1409"/>
      <c r="EF177" s="1409"/>
      <c r="EG177" s="1411"/>
      <c r="EH177" s="1411"/>
      <c r="EI177" s="1203"/>
      <c r="EJ177" s="1409"/>
      <c r="EK177" s="1409"/>
      <c r="EL177" s="1409"/>
      <c r="EM177" s="1409"/>
      <c r="EN177" s="1331"/>
      <c r="EO177" s="1409"/>
      <c r="EP177" s="1409"/>
      <c r="EQ177" s="1409"/>
      <c r="ER177" s="1411"/>
      <c r="ES177" s="1409"/>
      <c r="ET177" s="1409"/>
      <c r="EU177" s="1411"/>
      <c r="EV177" s="1409"/>
      <c r="EW177" s="1409"/>
      <c r="EX177" s="1411"/>
      <c r="EY177" s="1409"/>
      <c r="EZ177" s="1409"/>
      <c r="FA177" s="1409"/>
      <c r="FB177" s="1409"/>
      <c r="FC177" s="1409"/>
      <c r="FD177" s="1409"/>
      <c r="FE177" s="1409"/>
      <c r="FF177" s="1409"/>
      <c r="FG177" s="1409"/>
      <c r="FH177" s="30"/>
      <c r="FI177" s="30"/>
      <c r="FJ177" s="30"/>
      <c r="FK177" s="30"/>
      <c r="FL177" s="30"/>
      <c r="FM177" s="30"/>
      <c r="FN177" s="30"/>
      <c r="FO177" s="30"/>
      <c r="FP177" s="30"/>
      <c r="FQ177" s="1409"/>
      <c r="FR177" s="1409"/>
      <c r="FS177" s="1409"/>
      <c r="FT177" s="1409"/>
      <c r="FU177" s="1409"/>
      <c r="FV177" s="1409"/>
      <c r="FW177" s="1409"/>
      <c r="FX177" s="1409"/>
      <c r="FY177" s="1409"/>
      <c r="FZ177" s="30"/>
      <c r="GA177" s="30"/>
      <c r="GB177" s="30"/>
      <c r="GC177" s="30"/>
      <c r="GD177" s="30"/>
      <c r="GE177" s="30"/>
      <c r="GF177" s="30"/>
      <c r="GG177" s="30"/>
      <c r="GH177" s="30"/>
      <c r="GI177" s="1415"/>
      <c r="GJ177" s="1416"/>
      <c r="GK177" s="622"/>
      <c r="GL177" s="1416"/>
      <c r="GM177" s="622"/>
      <c r="GN177" s="1416"/>
      <c r="GO177" s="1793"/>
      <c r="GP177" s="1416"/>
      <c r="GQ177" s="1416"/>
      <c r="GR177" s="1416"/>
      <c r="GS177" s="1416"/>
      <c r="GT177" s="1416"/>
      <c r="GU177" s="1416"/>
      <c r="GV177" s="1416"/>
      <c r="GW177" s="1416"/>
      <c r="GX177" s="1416"/>
      <c r="GY177" s="1793"/>
      <c r="GZ177" s="30"/>
      <c r="HA177" s="30"/>
      <c r="HB177" s="30"/>
      <c r="HC177" s="30"/>
      <c r="HD177" s="30"/>
      <c r="HE177" s="30"/>
      <c r="HF177" s="30"/>
      <c r="HG177" s="1409"/>
      <c r="HH177" s="1793"/>
      <c r="HI177" s="1409"/>
      <c r="HJ177" s="1409"/>
      <c r="HK177" s="1409"/>
      <c r="HL177" s="1409"/>
      <c r="HM177" s="1409"/>
      <c r="HN177" s="1409"/>
      <c r="HO177" s="1409"/>
      <c r="HP177" s="1409"/>
      <c r="HQ177" s="1409"/>
      <c r="HR177" s="1733"/>
      <c r="HS177" s="1409"/>
      <c r="HT177" s="1409"/>
      <c r="HU177" s="1409"/>
      <c r="HV177" s="1409"/>
      <c r="HW177" s="1409"/>
      <c r="HX177" s="1409"/>
      <c r="HY177" s="1409"/>
      <c r="HZ177" s="51"/>
      <c r="IA177" s="59"/>
      <c r="IB177" s="59"/>
      <c r="IC177" s="815"/>
      <c r="ID177" s="815"/>
      <c r="IE177" s="284"/>
      <c r="IF177" s="284"/>
      <c r="IG177" s="284"/>
      <c r="IH177" s="284"/>
      <c r="II177" s="1288"/>
      <c r="IJ177" s="1288"/>
      <c r="IK177" s="284"/>
      <c r="IL177" s="284"/>
      <c r="IM177" s="284"/>
      <c r="IN177" s="284"/>
      <c r="IO177" s="753"/>
      <c r="IP177" s="113"/>
      <c r="IQ177" s="30"/>
      <c r="IR177" s="438"/>
      <c r="IS177" s="438"/>
      <c r="IT177" s="438"/>
      <c r="IU177" s="438"/>
      <c r="IV177" s="438"/>
      <c r="IW177" s="438"/>
      <c r="IX177" s="285"/>
      <c r="IY177" s="285"/>
      <c r="IZ177" s="285"/>
      <c r="JA177" s="285"/>
      <c r="JB177" s="285"/>
      <c r="JC177" s="285"/>
      <c r="JD177" s="60"/>
      <c r="JE177" s="60"/>
      <c r="JF177" s="60"/>
      <c r="JG177" s="60"/>
      <c r="JH177" s="284"/>
      <c r="JI177" s="284"/>
      <c r="JJ177" s="560"/>
      <c r="JK177" s="561"/>
      <c r="JL177" s="561"/>
      <c r="JM177" s="561"/>
      <c r="JN177" s="561"/>
      <c r="JO177" s="561"/>
      <c r="JP177" s="561"/>
      <c r="JQ177" s="561"/>
      <c r="JR177" s="61"/>
      <c r="JS177" s="61"/>
      <c r="JT177" s="61"/>
      <c r="JU177" s="61"/>
      <c r="JV177" s="61"/>
      <c r="JW177" s="61"/>
      <c r="JX177" s="61"/>
      <c r="JY177" s="394"/>
      <c r="JZ177" s="61"/>
      <c r="KA177" s="61"/>
      <c r="KB177" s="61"/>
      <c r="KC177" s="61"/>
      <c r="KD177" s="61"/>
      <c r="KE177" s="61"/>
      <c r="KF177" s="61"/>
      <c r="KG177" s="61"/>
      <c r="KH177" s="61"/>
      <c r="KI177" s="394"/>
      <c r="KJ177" s="438"/>
      <c r="KK177" s="438"/>
      <c r="KL177" s="438"/>
      <c r="KM177" s="438"/>
      <c r="KN177" s="438"/>
      <c r="KO177" s="438"/>
      <c r="KP177" s="438"/>
      <c r="KQ177" s="438"/>
      <c r="KR177" s="438"/>
      <c r="KS177" s="438"/>
      <c r="KT177" s="438"/>
      <c r="KU177" s="438"/>
      <c r="KV177" s="420"/>
      <c r="KW177" s="420"/>
      <c r="KX177" s="108"/>
      <c r="KY177" s="282"/>
      <c r="KZ177" s="282"/>
      <c r="LA177" s="282"/>
      <c r="LB177" s="282"/>
      <c r="LC177" s="286"/>
      <c r="LD177" s="286"/>
      <c r="LE177" s="282"/>
      <c r="LF177" s="282"/>
      <c r="LG177" s="282"/>
      <c r="LH177" s="282"/>
      <c r="LI177" s="282"/>
      <c r="LJ177" s="282"/>
      <c r="LK177" s="282"/>
      <c r="LL177" s="282"/>
      <c r="LM177" s="282"/>
      <c r="LN177" s="282"/>
      <c r="LO177" s="282"/>
      <c r="LP177" s="286"/>
      <c r="LQ177" s="282"/>
      <c r="LR177" s="282"/>
      <c r="LS177" s="282"/>
      <c r="LT177" s="286"/>
      <c r="LU177" s="286"/>
      <c r="LV177" s="286"/>
      <c r="LW177" s="286"/>
      <c r="LX177" s="286"/>
      <c r="LY177" s="286"/>
      <c r="LZ177" s="286"/>
      <c r="MA177" s="286"/>
      <c r="MB177" s="286"/>
      <c r="MC177" s="286"/>
      <c r="MD177" s="286"/>
      <c r="ME177" s="286"/>
      <c r="MF177" s="286"/>
      <c r="MG177" s="286"/>
      <c r="MH177" s="286"/>
      <c r="MI177" s="286"/>
      <c r="MJ177" s="286"/>
      <c r="MK177" s="286"/>
      <c r="ML177" s="282"/>
      <c r="MM177" s="1232"/>
      <c r="MN177" s="1232"/>
      <c r="MO177" s="1232"/>
      <c r="MP177" s="1232"/>
      <c r="MQ177" s="282"/>
      <c r="MR177" s="282"/>
      <c r="MS177" s="282"/>
      <c r="MT177" s="282"/>
      <c r="MU177" s="282"/>
      <c r="MV177" s="282"/>
      <c r="MW177" s="282"/>
      <c r="MX177" s="282"/>
      <c r="MY177" s="282"/>
      <c r="MZ177" s="282"/>
      <c r="NA177" s="282"/>
      <c r="NB177" s="282"/>
      <c r="NC177" s="282"/>
      <c r="ND177" s="282"/>
      <c r="NE177" s="282"/>
      <c r="NF177" s="282"/>
      <c r="NG177" s="282"/>
      <c r="NH177" s="282"/>
      <c r="NI177" s="282"/>
      <c r="NJ177" s="282"/>
      <c r="NK177" s="282"/>
      <c r="NL177" s="282"/>
      <c r="NM177" s="1205"/>
      <c r="NN177" s="282"/>
      <c r="NO177" s="282"/>
      <c r="NP177" s="282"/>
      <c r="NQ177" s="282"/>
      <c r="NR177" s="282"/>
      <c r="NS177" s="282"/>
      <c r="NT177" s="282"/>
      <c r="NU177" s="282"/>
      <c r="NV177" s="286"/>
      <c r="NW177" s="286"/>
      <c r="NX177" s="286"/>
      <c r="NY177" s="286"/>
      <c r="NZ177" s="286"/>
      <c r="OA177" s="286"/>
      <c r="OB177" s="286"/>
      <c r="OC177" s="286"/>
      <c r="OD177" s="286"/>
      <c r="OE177" s="282"/>
      <c r="OF177" s="282"/>
      <c r="OG177" s="286"/>
      <c r="OH177" s="286"/>
      <c r="OI177" s="286"/>
      <c r="OJ177" s="286"/>
      <c r="OK177" s="286"/>
      <c r="OL177" s="286"/>
      <c r="OM177" s="286"/>
      <c r="ON177" s="286"/>
      <c r="OO177" s="286"/>
      <c r="OP177" s="434"/>
      <c r="OQ177" s="434"/>
      <c r="OR177" s="282"/>
      <c r="OS177" s="282"/>
      <c r="OT177" s="282"/>
      <c r="OU177" s="282"/>
      <c r="OV177" s="282"/>
      <c r="OW177" s="286"/>
      <c r="OX177" s="286"/>
      <c r="OY177" s="286"/>
      <c r="OZ177" s="286"/>
      <c r="PA177" s="286"/>
      <c r="PB177" s="286"/>
      <c r="PC177" s="286"/>
      <c r="PD177" s="282"/>
      <c r="PE177" s="282"/>
      <c r="PF177" s="286"/>
      <c r="PG177" s="286"/>
      <c r="PH177" s="286"/>
      <c r="PI177" s="286"/>
      <c r="PJ177" s="286"/>
      <c r="PK177" s="286"/>
      <c r="PL177" s="286"/>
      <c r="PM177" s="562"/>
    </row>
    <row r="178" spans="1:429" s="289" customFormat="1" ht="15.75" customHeight="1">
      <c r="A178" s="1050"/>
      <c r="B178" s="1040"/>
      <c r="C178" s="1409"/>
      <c r="D178" s="1410"/>
      <c r="E178" s="671"/>
      <c r="F178" s="1409"/>
      <c r="G178" s="1409"/>
      <c r="H178" s="1409"/>
      <c r="I178" s="1409"/>
      <c r="J178" s="1409"/>
      <c r="K178" s="1411"/>
      <c r="L178" s="1412"/>
      <c r="M178" s="1412"/>
      <c r="N178" s="1412"/>
      <c r="O178" s="1412"/>
      <c r="P178" s="1412"/>
      <c r="Q178" s="1409"/>
      <c r="R178" s="1409"/>
      <c r="S178" s="1409"/>
      <c r="T178" s="1412"/>
      <c r="U178" s="1412"/>
      <c r="V178" s="1412"/>
      <c r="W178" s="1409"/>
      <c r="X178" s="1409"/>
      <c r="Y178" s="1412"/>
      <c r="Z178" s="1412"/>
      <c r="AA178" s="1409"/>
      <c r="AB178" s="1331"/>
      <c r="AC178" s="1412"/>
      <c r="AD178" s="1200"/>
      <c r="AE178" s="1409"/>
      <c r="AF178" s="1409"/>
      <c r="AG178" s="1412"/>
      <c r="AH178" s="1409"/>
      <c r="AI178" s="1409"/>
      <c r="AJ178" s="1412"/>
      <c r="AK178" s="1411"/>
      <c r="AL178" s="1411"/>
      <c r="AM178" s="1409"/>
      <c r="AN178" s="1412"/>
      <c r="AO178" s="1409"/>
      <c r="AP178" s="1409"/>
      <c r="AQ178" s="1409"/>
      <c r="AR178" s="1412"/>
      <c r="AS178" s="1200"/>
      <c r="AT178" s="1200"/>
      <c r="AU178" s="1200"/>
      <c r="AV178" s="1200"/>
      <c r="AW178" s="1200"/>
      <c r="AX178" s="1411"/>
      <c r="AY178" s="1411"/>
      <c r="AZ178" s="1411"/>
      <c r="BA178" s="1411"/>
      <c r="BB178" s="1411"/>
      <c r="BC178" s="1411"/>
      <c r="BD178" s="1411"/>
      <c r="BE178" s="1409"/>
      <c r="BF178" s="1409"/>
      <c r="BG178" s="1409"/>
      <c r="BH178" s="1409"/>
      <c r="BI178" s="1411"/>
      <c r="BJ178" s="1409"/>
      <c r="BK178" s="1409"/>
      <c r="BL178" s="1331"/>
      <c r="BM178" s="1409"/>
      <c r="BN178" s="1409"/>
      <c r="BO178" s="1200"/>
      <c r="BP178" s="1411"/>
      <c r="BQ178" s="1411"/>
      <c r="BR178" s="1413"/>
      <c r="BS178" s="1409"/>
      <c r="BT178" s="1411"/>
      <c r="BU178" s="1411"/>
      <c r="BV178" s="1413"/>
      <c r="BW178" s="1409"/>
      <c r="BX178" s="1409"/>
      <c r="BY178" s="1409"/>
      <c r="BZ178" s="1409"/>
      <c r="CA178" s="1409"/>
      <c r="CB178" s="1409"/>
      <c r="CC178" s="1409"/>
      <c r="CD178" s="1409"/>
      <c r="CE178" s="1409"/>
      <c r="CF178" s="1409"/>
      <c r="CG178" s="1409"/>
      <c r="CH178" s="1409"/>
      <c r="CI178" s="1409"/>
      <c r="CJ178" s="1409"/>
      <c r="CK178" s="30"/>
      <c r="CL178" s="30"/>
      <c r="CM178" s="30"/>
      <c r="CN178" s="30"/>
      <c r="CO178" s="30"/>
      <c r="CP178" s="30"/>
      <c r="CQ178" s="30"/>
      <c r="CR178" s="30"/>
      <c r="CS178" s="30"/>
      <c r="CT178" s="30"/>
      <c r="CU178" s="30"/>
      <c r="CV178" s="1409"/>
      <c r="CW178" s="1409"/>
      <c r="CX178" s="1409"/>
      <c r="CY178" s="1409"/>
      <c r="CZ178" s="1409"/>
      <c r="DA178" s="1409"/>
      <c r="DB178" s="1409"/>
      <c r="DC178" s="30"/>
      <c r="DD178" s="30"/>
      <c r="DE178" s="30"/>
      <c r="DF178" s="30"/>
      <c r="DG178" s="30"/>
      <c r="DH178" s="30"/>
      <c r="DI178" s="30"/>
      <c r="DJ178" s="1409"/>
      <c r="DK178" s="1409"/>
      <c r="DL178" s="1409"/>
      <c r="DM178" s="1409"/>
      <c r="DN178" s="1409"/>
      <c r="DO178" s="1409"/>
      <c r="DP178" s="1409"/>
      <c r="DQ178" s="1409"/>
      <c r="DR178" s="1409"/>
      <c r="DS178" s="1409"/>
      <c r="DT178" s="1409"/>
      <c r="DU178" s="1409"/>
      <c r="DV178" s="1409"/>
      <c r="DW178" s="1409"/>
      <c r="DX178" s="1409"/>
      <c r="DY178" s="1409"/>
      <c r="DZ178" s="1409"/>
      <c r="EA178" s="1409"/>
      <c r="EB178" s="1409"/>
      <c r="EC178" s="1409"/>
      <c r="ED178" s="1414"/>
      <c r="EE178" s="1409"/>
      <c r="EF178" s="1409"/>
      <c r="EG178" s="1411"/>
      <c r="EH178" s="1411"/>
      <c r="EI178" s="1203"/>
      <c r="EJ178" s="1409"/>
      <c r="EK178" s="1409"/>
      <c r="EL178" s="1409"/>
      <c r="EM178" s="1409"/>
      <c r="EN178" s="1331"/>
      <c r="EO178" s="1409"/>
      <c r="EP178" s="1409"/>
      <c r="EQ178" s="1409"/>
      <c r="ER178" s="1411"/>
      <c r="ES178" s="1409"/>
      <c r="ET178" s="1409"/>
      <c r="EU178" s="1411"/>
      <c r="EV178" s="1409"/>
      <c r="EW178" s="1409"/>
      <c r="EX178" s="1411"/>
      <c r="EY178" s="1409"/>
      <c r="EZ178" s="1409"/>
      <c r="FA178" s="1409"/>
      <c r="FB178" s="1409"/>
      <c r="FC178" s="1409"/>
      <c r="FD178" s="1409"/>
      <c r="FE178" s="1409"/>
      <c r="FF178" s="1409"/>
      <c r="FG178" s="1409"/>
      <c r="FH178" s="30"/>
      <c r="FI178" s="30"/>
      <c r="FJ178" s="30"/>
      <c r="FK178" s="30"/>
      <c r="FL178" s="30"/>
      <c r="FM178" s="30"/>
      <c r="FN178" s="30"/>
      <c r="FO178" s="30"/>
      <c r="FP178" s="30"/>
      <c r="FQ178" s="1409"/>
      <c r="FR178" s="1409"/>
      <c r="FS178" s="1409"/>
      <c r="FT178" s="1409"/>
      <c r="FU178" s="1409"/>
      <c r="FV178" s="1409"/>
      <c r="FW178" s="1409"/>
      <c r="FX178" s="1409"/>
      <c r="FY178" s="1409"/>
      <c r="FZ178" s="30"/>
      <c r="GA178" s="30"/>
      <c r="GB178" s="30"/>
      <c r="GC178" s="30"/>
      <c r="GD178" s="30"/>
      <c r="GE178" s="30"/>
      <c r="GF178" s="30"/>
      <c r="GG178" s="30"/>
      <c r="GH178" s="30"/>
      <c r="GI178" s="1415"/>
      <c r="GJ178" s="1416"/>
      <c r="GK178" s="622"/>
      <c r="GL178" s="1416"/>
      <c r="GM178" s="622"/>
      <c r="GN178" s="1416"/>
      <c r="GO178" s="1793"/>
      <c r="GP178" s="1416"/>
      <c r="GQ178" s="1416"/>
      <c r="GR178" s="1416"/>
      <c r="GS178" s="1416"/>
      <c r="GT178" s="1416"/>
      <c r="GU178" s="1416"/>
      <c r="GV178" s="1416"/>
      <c r="GW178" s="1416"/>
      <c r="GX178" s="1416"/>
      <c r="GY178" s="1793"/>
      <c r="GZ178" s="30"/>
      <c r="HA178" s="30"/>
      <c r="HB178" s="30"/>
      <c r="HC178" s="30"/>
      <c r="HD178" s="30"/>
      <c r="HE178" s="30"/>
      <c r="HF178" s="30"/>
      <c r="HG178" s="1409"/>
      <c r="HH178" s="1793"/>
      <c r="HI178" s="1409"/>
      <c r="HJ178" s="1409"/>
      <c r="HK178" s="1409"/>
      <c r="HL178" s="1409"/>
      <c r="HM178" s="1409"/>
      <c r="HN178" s="1409"/>
      <c r="HO178" s="1409"/>
      <c r="HP178" s="1409"/>
      <c r="HQ178" s="1409"/>
      <c r="HR178" s="1733"/>
      <c r="HS178" s="1409"/>
      <c r="HT178" s="1409"/>
      <c r="HU178" s="1409"/>
      <c r="HV178" s="1409"/>
      <c r="HW178" s="1409"/>
      <c r="HX178" s="1409"/>
      <c r="HY178" s="1409"/>
      <c r="HZ178" s="51"/>
      <c r="IA178" s="59"/>
      <c r="IB178" s="59"/>
      <c r="IC178" s="815"/>
      <c r="ID178" s="815"/>
      <c r="IE178" s="284"/>
      <c r="IF178" s="284"/>
      <c r="IG178" s="284"/>
      <c r="IH178" s="284"/>
      <c r="II178" s="1288"/>
      <c r="IJ178" s="1288"/>
      <c r="IK178" s="284"/>
      <c r="IL178" s="284"/>
      <c r="IM178" s="284"/>
      <c r="IN178" s="284"/>
      <c r="IO178" s="753"/>
      <c r="IP178" s="113"/>
      <c r="IQ178" s="30"/>
      <c r="IR178" s="438"/>
      <c r="IS178" s="438"/>
      <c r="IT178" s="438"/>
      <c r="IU178" s="438"/>
      <c r="IV178" s="438"/>
      <c r="IW178" s="438"/>
      <c r="IX178" s="285"/>
      <c r="IY178" s="285"/>
      <c r="IZ178" s="285"/>
      <c r="JA178" s="285"/>
      <c r="JB178" s="285"/>
      <c r="JC178" s="285"/>
      <c r="JD178" s="60"/>
      <c r="JE178" s="60"/>
      <c r="JF178" s="60"/>
      <c r="JG178" s="60"/>
      <c r="JH178" s="284"/>
      <c r="JI178" s="284"/>
      <c r="JJ178" s="560"/>
      <c r="JK178" s="561"/>
      <c r="JL178" s="561"/>
      <c r="JM178" s="561"/>
      <c r="JN178" s="561"/>
      <c r="JO178" s="561"/>
      <c r="JP178" s="561"/>
      <c r="JQ178" s="561"/>
      <c r="JR178" s="61"/>
      <c r="JS178" s="61"/>
      <c r="JT178" s="61"/>
      <c r="JU178" s="61"/>
      <c r="JV178" s="61"/>
      <c r="JW178" s="61"/>
      <c r="JX178" s="61"/>
      <c r="JY178" s="394"/>
      <c r="JZ178" s="61"/>
      <c r="KA178" s="61"/>
      <c r="KB178" s="61"/>
      <c r="KC178" s="61"/>
      <c r="KD178" s="61"/>
      <c r="KE178" s="61"/>
      <c r="KF178" s="61"/>
      <c r="KG178" s="61"/>
      <c r="KH178" s="61"/>
      <c r="KI178" s="394"/>
      <c r="KJ178" s="438"/>
      <c r="KK178" s="438"/>
      <c r="KL178" s="438"/>
      <c r="KM178" s="438"/>
      <c r="KN178" s="438"/>
      <c r="KO178" s="438"/>
      <c r="KP178" s="438"/>
      <c r="KQ178" s="438"/>
      <c r="KR178" s="438"/>
      <c r="KS178" s="438"/>
      <c r="KT178" s="438"/>
      <c r="KU178" s="438"/>
      <c r="KV178" s="420"/>
      <c r="KW178" s="420"/>
      <c r="KX178" s="108"/>
      <c r="KY178" s="282"/>
      <c r="KZ178" s="282"/>
      <c r="LA178" s="282"/>
      <c r="LB178" s="282"/>
      <c r="LC178" s="286"/>
      <c r="LD178" s="286"/>
      <c r="LE178" s="282"/>
      <c r="LF178" s="282"/>
      <c r="LG178" s="282"/>
      <c r="LH178" s="282"/>
      <c r="LI178" s="282"/>
      <c r="LJ178" s="282"/>
      <c r="LK178" s="282"/>
      <c r="LL178" s="282"/>
      <c r="LM178" s="282"/>
      <c r="LN178" s="282"/>
      <c r="LO178" s="282"/>
      <c r="LP178" s="286"/>
      <c r="LQ178" s="282"/>
      <c r="LR178" s="282"/>
      <c r="LS178" s="282"/>
      <c r="LT178" s="286"/>
      <c r="LU178" s="286"/>
      <c r="LV178" s="286"/>
      <c r="LW178" s="286"/>
      <c r="LX178" s="286"/>
      <c r="LY178" s="286"/>
      <c r="LZ178" s="286"/>
      <c r="MA178" s="286"/>
      <c r="MB178" s="286"/>
      <c r="MC178" s="286"/>
      <c r="MD178" s="286"/>
      <c r="ME178" s="286"/>
      <c r="MF178" s="286"/>
      <c r="MG178" s="286"/>
      <c r="MH178" s="286"/>
      <c r="MI178" s="286"/>
      <c r="MJ178" s="286"/>
      <c r="MK178" s="286"/>
      <c r="ML178" s="282"/>
      <c r="MM178" s="1232"/>
      <c r="MN178" s="1232"/>
      <c r="MO178" s="1232"/>
      <c r="MP178" s="1232"/>
      <c r="MQ178" s="282"/>
      <c r="MR178" s="282"/>
      <c r="MS178" s="282"/>
      <c r="MT178" s="282"/>
      <c r="MU178" s="282"/>
      <c r="MV178" s="282"/>
      <c r="MW178" s="282"/>
      <c r="MX178" s="282"/>
      <c r="MY178" s="282"/>
      <c r="MZ178" s="282"/>
      <c r="NA178" s="282"/>
      <c r="NB178" s="282"/>
      <c r="NC178" s="282"/>
      <c r="ND178" s="282"/>
      <c r="NE178" s="282"/>
      <c r="NF178" s="282"/>
      <c r="NG178" s="282"/>
      <c r="NH178" s="282"/>
      <c r="NI178" s="282"/>
      <c r="NJ178" s="282"/>
      <c r="NK178" s="282"/>
      <c r="NL178" s="282"/>
      <c r="NM178" s="1205"/>
      <c r="NN178" s="282"/>
      <c r="NO178" s="282"/>
      <c r="NP178" s="282"/>
      <c r="NQ178" s="282"/>
      <c r="NR178" s="282"/>
      <c r="NS178" s="282"/>
      <c r="NT178" s="282"/>
      <c r="NU178" s="282"/>
      <c r="NV178" s="286"/>
      <c r="NW178" s="286"/>
      <c r="NX178" s="286"/>
      <c r="NY178" s="286"/>
      <c r="NZ178" s="286"/>
      <c r="OA178" s="286"/>
      <c r="OB178" s="286"/>
      <c r="OC178" s="286"/>
      <c r="OD178" s="286"/>
      <c r="OE178" s="282"/>
      <c r="OF178" s="282"/>
      <c r="OG178" s="286"/>
      <c r="OH178" s="286"/>
      <c r="OI178" s="286"/>
      <c r="OJ178" s="286"/>
      <c r="OK178" s="286"/>
      <c r="OL178" s="286"/>
      <c r="OM178" s="286"/>
      <c r="ON178" s="286"/>
      <c r="OO178" s="286"/>
      <c r="OP178" s="434"/>
      <c r="OQ178" s="434"/>
      <c r="OR178" s="282"/>
      <c r="OS178" s="282"/>
      <c r="OT178" s="282"/>
      <c r="OU178" s="282"/>
      <c r="OV178" s="282"/>
      <c r="OW178" s="286"/>
      <c r="OX178" s="286"/>
      <c r="OY178" s="286"/>
      <c r="OZ178" s="286"/>
      <c r="PA178" s="286"/>
      <c r="PB178" s="286"/>
      <c r="PC178" s="286"/>
      <c r="PD178" s="282"/>
      <c r="PE178" s="282"/>
      <c r="PF178" s="286"/>
      <c r="PG178" s="286"/>
      <c r="PH178" s="286"/>
      <c r="PI178" s="286"/>
      <c r="PJ178" s="286"/>
      <c r="PK178" s="286"/>
      <c r="PL178" s="286"/>
      <c r="PM178" s="562"/>
    </row>
    <row r="179" spans="1:429" s="289" customFormat="1" ht="15.75" customHeight="1">
      <c r="A179" s="1640"/>
      <c r="B179" s="1040"/>
      <c r="C179" s="1409"/>
      <c r="D179" s="1410"/>
      <c r="E179" s="671"/>
      <c r="F179" s="1409"/>
      <c r="G179" s="1409"/>
      <c r="H179" s="1409"/>
      <c r="I179" s="1409"/>
      <c r="J179" s="1409"/>
      <c r="K179" s="1411"/>
      <c r="L179" s="1412"/>
      <c r="M179" s="1412"/>
      <c r="N179" s="1412"/>
      <c r="O179" s="1412"/>
      <c r="P179" s="1412"/>
      <c r="Q179" s="1409"/>
      <c r="R179" s="1409"/>
      <c r="S179" s="1409"/>
      <c r="T179" s="1412"/>
      <c r="U179" s="1412"/>
      <c r="V179" s="1412"/>
      <c r="W179" s="1409"/>
      <c r="X179" s="1409"/>
      <c r="Y179" s="1412"/>
      <c r="Z179" s="1412"/>
      <c r="AA179" s="1409"/>
      <c r="AB179" s="1331"/>
      <c r="AC179" s="1412"/>
      <c r="AD179" s="1200"/>
      <c r="AE179" s="1409"/>
      <c r="AF179" s="1409"/>
      <c r="AG179" s="1412"/>
      <c r="AH179" s="1409"/>
      <c r="AI179" s="1409"/>
      <c r="AJ179" s="1412"/>
      <c r="AK179" s="1411"/>
      <c r="AL179" s="1411"/>
      <c r="AM179" s="1409"/>
      <c r="AN179" s="1412"/>
      <c r="AO179" s="1409"/>
      <c r="AP179" s="1409"/>
      <c r="AQ179" s="1409"/>
      <c r="AR179" s="1412"/>
      <c r="AS179" s="1200"/>
      <c r="AT179" s="1200"/>
      <c r="AU179" s="1200"/>
      <c r="AV179" s="1200"/>
      <c r="AW179" s="1200"/>
      <c r="AX179" s="1411"/>
      <c r="AY179" s="1411"/>
      <c r="AZ179" s="1411"/>
      <c r="BA179" s="1411"/>
      <c r="BB179" s="1411"/>
      <c r="BC179" s="1411"/>
      <c r="BD179" s="1411"/>
      <c r="BE179" s="1409"/>
      <c r="BF179" s="1409"/>
      <c r="BG179" s="1409"/>
      <c r="BH179" s="1409"/>
      <c r="BI179" s="1411"/>
      <c r="BJ179" s="1409"/>
      <c r="BK179" s="1409"/>
      <c r="BL179" s="1331"/>
      <c r="BM179" s="1409"/>
      <c r="BN179" s="1409"/>
      <c r="BO179" s="1200"/>
      <c r="BP179" s="1411"/>
      <c r="BQ179" s="1411"/>
      <c r="BR179" s="1413"/>
      <c r="BS179" s="1409"/>
      <c r="BT179" s="1411"/>
      <c r="BU179" s="1411"/>
      <c r="BV179" s="1413"/>
      <c r="BW179" s="1409"/>
      <c r="BX179" s="1409"/>
      <c r="BY179" s="1409"/>
      <c r="BZ179" s="1409"/>
      <c r="CA179" s="1409"/>
      <c r="CB179" s="1409"/>
      <c r="CC179" s="1409"/>
      <c r="CD179" s="1409"/>
      <c r="CE179" s="1409"/>
      <c r="CF179" s="1409"/>
      <c r="CG179" s="1409"/>
      <c r="CH179" s="1409"/>
      <c r="CI179" s="1409"/>
      <c r="CJ179" s="1409"/>
      <c r="CK179" s="30"/>
      <c r="CL179" s="30"/>
      <c r="CM179" s="30"/>
      <c r="CN179" s="30"/>
      <c r="CO179" s="30"/>
      <c r="CP179" s="30"/>
      <c r="CQ179" s="30"/>
      <c r="CR179" s="30"/>
      <c r="CS179" s="30"/>
      <c r="CT179" s="30"/>
      <c r="CU179" s="30"/>
      <c r="CV179" s="1409"/>
      <c r="CW179" s="1409"/>
      <c r="CX179" s="1409"/>
      <c r="CY179" s="1409"/>
      <c r="CZ179" s="1409"/>
      <c r="DA179" s="1409"/>
      <c r="DB179" s="1409"/>
      <c r="DC179" s="30"/>
      <c r="DD179" s="30"/>
      <c r="DE179" s="30"/>
      <c r="DF179" s="30"/>
      <c r="DG179" s="30"/>
      <c r="DH179" s="30"/>
      <c r="DI179" s="30"/>
      <c r="DJ179" s="1409"/>
      <c r="DK179" s="1409"/>
      <c r="DL179" s="1409"/>
      <c r="DM179" s="1409"/>
      <c r="DN179" s="1409"/>
      <c r="DO179" s="1409"/>
      <c r="DP179" s="1409"/>
      <c r="DQ179" s="1409"/>
      <c r="DR179" s="1409"/>
      <c r="DS179" s="1409"/>
      <c r="DT179" s="1409"/>
      <c r="DU179" s="1409"/>
      <c r="DV179" s="1409"/>
      <c r="DW179" s="1409"/>
      <c r="DX179" s="1409"/>
      <c r="DY179" s="1409"/>
      <c r="DZ179" s="1409"/>
      <c r="EA179" s="1409"/>
      <c r="EB179" s="1409"/>
      <c r="EC179" s="1409"/>
      <c r="ED179" s="1414"/>
      <c r="EE179" s="1409"/>
      <c r="EF179" s="1409"/>
      <c r="EG179" s="1411"/>
      <c r="EH179" s="1411"/>
      <c r="EI179" s="1203"/>
      <c r="EJ179" s="1409"/>
      <c r="EK179" s="1409"/>
      <c r="EL179" s="1409"/>
      <c r="EM179" s="1409"/>
      <c r="EN179" s="1331"/>
      <c r="EO179" s="1409"/>
      <c r="EP179" s="1409"/>
      <c r="EQ179" s="1409"/>
      <c r="ER179" s="1411"/>
      <c r="ES179" s="1409"/>
      <c r="ET179" s="1409"/>
      <c r="EU179" s="1411"/>
      <c r="EV179" s="1409"/>
      <c r="EW179" s="1409"/>
      <c r="EX179" s="1411"/>
      <c r="EY179" s="1409"/>
      <c r="EZ179" s="1409"/>
      <c r="FA179" s="1409"/>
      <c r="FB179" s="1409"/>
      <c r="FC179" s="1409"/>
      <c r="FD179" s="1409"/>
      <c r="FE179" s="1409"/>
      <c r="FF179" s="1409"/>
      <c r="FG179" s="1409"/>
      <c r="FH179" s="30"/>
      <c r="FI179" s="30"/>
      <c r="FJ179" s="30"/>
      <c r="FK179" s="30"/>
      <c r="FL179" s="30"/>
      <c r="FM179" s="30"/>
      <c r="FN179" s="30"/>
      <c r="FO179" s="30"/>
      <c r="FP179" s="30"/>
      <c r="FQ179" s="1409"/>
      <c r="FR179" s="1409"/>
      <c r="FS179" s="1409"/>
      <c r="FT179" s="1409"/>
      <c r="FU179" s="1409"/>
      <c r="FV179" s="1409"/>
      <c r="FW179" s="1409"/>
      <c r="FX179" s="1409"/>
      <c r="FY179" s="1409"/>
      <c r="FZ179" s="30"/>
      <c r="GA179" s="30"/>
      <c r="GB179" s="30"/>
      <c r="GC179" s="30"/>
      <c r="GD179" s="30"/>
      <c r="GE179" s="30"/>
      <c r="GF179" s="30"/>
      <c r="GG179" s="30"/>
      <c r="GH179" s="30"/>
      <c r="GI179" s="1415"/>
      <c r="GJ179" s="1416"/>
      <c r="GK179" s="622"/>
      <c r="GL179" s="1416"/>
      <c r="GM179" s="622"/>
      <c r="GN179" s="1416"/>
      <c r="GO179" s="1793"/>
      <c r="GP179" s="1416"/>
      <c r="GQ179" s="1416"/>
      <c r="GR179" s="1416"/>
      <c r="GS179" s="1416"/>
      <c r="GT179" s="1416"/>
      <c r="GU179" s="1416"/>
      <c r="GV179" s="1416"/>
      <c r="GW179" s="1416"/>
      <c r="GX179" s="1052"/>
      <c r="GY179" s="1793"/>
      <c r="GZ179" s="1052"/>
      <c r="HA179" s="1052"/>
      <c r="HB179" s="1052"/>
      <c r="HC179" s="1052"/>
      <c r="HD179" s="1052"/>
      <c r="HE179" s="1052"/>
      <c r="HF179" s="1052"/>
      <c r="HG179" s="1409"/>
      <c r="HH179" s="1793"/>
      <c r="HI179" s="1409"/>
      <c r="HJ179" s="1409"/>
      <c r="HK179" s="1409"/>
      <c r="HL179" s="1409"/>
      <c r="HM179" s="1409"/>
      <c r="HN179" s="1409"/>
      <c r="HO179" s="1409"/>
      <c r="HP179" s="1409"/>
      <c r="HQ179" s="1409"/>
      <c r="HR179" s="1733"/>
      <c r="HS179" s="1409"/>
      <c r="HT179" s="1409"/>
      <c r="HU179" s="1409"/>
      <c r="HV179" s="1409"/>
      <c r="HW179" s="1409"/>
      <c r="HX179" s="1409"/>
      <c r="HY179" s="1409"/>
      <c r="HZ179" s="51"/>
      <c r="IA179" s="59"/>
      <c r="IB179" s="59"/>
      <c r="IC179" s="815"/>
      <c r="ID179" s="815"/>
      <c r="IE179" s="284"/>
      <c r="IF179" s="284"/>
      <c r="IG179" s="284"/>
      <c r="IH179" s="284"/>
      <c r="II179" s="1288"/>
      <c r="IJ179" s="1288"/>
      <c r="IK179" s="284"/>
      <c r="IL179" s="284"/>
      <c r="IM179" s="284"/>
      <c r="IN179" s="284"/>
      <c r="IO179" s="753"/>
      <c r="IP179" s="113"/>
      <c r="IQ179" s="30"/>
      <c r="IR179" s="438"/>
      <c r="IS179" s="438"/>
      <c r="IT179" s="438"/>
      <c r="IU179" s="438"/>
      <c r="IV179" s="438"/>
      <c r="IW179" s="438"/>
      <c r="IX179" s="285"/>
      <c r="IY179" s="285"/>
      <c r="IZ179" s="285"/>
      <c r="JA179" s="285"/>
      <c r="JB179" s="285"/>
      <c r="JC179" s="285"/>
      <c r="JD179" s="60"/>
      <c r="JE179" s="60"/>
      <c r="JF179" s="60"/>
      <c r="JG179" s="60"/>
      <c r="JH179" s="284"/>
      <c r="JI179" s="284"/>
      <c r="JJ179" s="560"/>
      <c r="JK179" s="561"/>
      <c r="JL179" s="561"/>
      <c r="JM179" s="561"/>
      <c r="JN179" s="561"/>
      <c r="JO179" s="561"/>
      <c r="JP179" s="561"/>
      <c r="JQ179" s="561"/>
      <c r="JR179" s="61"/>
      <c r="JS179" s="61"/>
      <c r="JT179" s="61"/>
      <c r="JU179" s="61"/>
      <c r="JV179" s="61"/>
      <c r="JW179" s="61"/>
      <c r="JX179" s="61"/>
      <c r="JY179" s="394"/>
      <c r="JZ179" s="61"/>
      <c r="KA179" s="61"/>
      <c r="KB179" s="61"/>
      <c r="KC179" s="61"/>
      <c r="KD179" s="61"/>
      <c r="KE179" s="61"/>
      <c r="KF179" s="61"/>
      <c r="KG179" s="61"/>
      <c r="KH179" s="61"/>
      <c r="KI179" s="394"/>
      <c r="KJ179" s="438"/>
      <c r="KK179" s="438"/>
      <c r="KL179" s="438"/>
      <c r="KM179" s="438"/>
      <c r="KN179" s="438"/>
      <c r="KO179" s="438"/>
      <c r="KP179" s="438"/>
      <c r="KQ179" s="438"/>
      <c r="KR179" s="438"/>
      <c r="KS179" s="438"/>
      <c r="KT179" s="438"/>
      <c r="KU179" s="438"/>
      <c r="KV179" s="420"/>
      <c r="KW179" s="420"/>
      <c r="KX179" s="108"/>
      <c r="KY179" s="282"/>
      <c r="KZ179" s="282"/>
      <c r="LA179" s="282"/>
      <c r="LB179" s="282"/>
      <c r="LC179" s="286"/>
      <c r="LD179" s="286"/>
      <c r="LE179" s="282"/>
      <c r="LF179" s="282"/>
      <c r="LG179" s="282"/>
      <c r="LH179" s="282"/>
      <c r="LI179" s="282"/>
      <c r="LJ179" s="282"/>
      <c r="LK179" s="282"/>
      <c r="LL179" s="282"/>
      <c r="LM179" s="282"/>
      <c r="LN179" s="282"/>
      <c r="LO179" s="282"/>
      <c r="LP179" s="286"/>
      <c r="LQ179" s="282"/>
      <c r="LR179" s="282"/>
      <c r="LS179" s="282"/>
      <c r="LT179" s="286"/>
      <c r="LU179" s="286"/>
      <c r="LV179" s="286"/>
      <c r="LW179" s="286"/>
      <c r="LX179" s="286"/>
      <c r="LY179" s="286"/>
      <c r="LZ179" s="286"/>
      <c r="MA179" s="286"/>
      <c r="MB179" s="286"/>
      <c r="MC179" s="286"/>
      <c r="MD179" s="286"/>
      <c r="ME179" s="286"/>
      <c r="MF179" s="286"/>
      <c r="MG179" s="286"/>
      <c r="MH179" s="286"/>
      <c r="MI179" s="286"/>
      <c r="MJ179" s="286"/>
      <c r="MK179" s="286"/>
      <c r="ML179" s="282"/>
      <c r="MM179" s="1232"/>
      <c r="MN179" s="1232"/>
      <c r="MO179" s="1232"/>
      <c r="MP179" s="1232"/>
      <c r="MQ179" s="282"/>
      <c r="MR179" s="282"/>
      <c r="MS179" s="282"/>
      <c r="MT179" s="282"/>
      <c r="MU179" s="282"/>
      <c r="MV179" s="282"/>
      <c r="MW179" s="282"/>
      <c r="MX179" s="282"/>
      <c r="MY179" s="282"/>
      <c r="MZ179" s="282"/>
      <c r="NA179" s="282"/>
      <c r="NB179" s="282"/>
      <c r="NC179" s="282"/>
      <c r="ND179" s="282"/>
      <c r="NE179" s="282"/>
      <c r="NF179" s="282"/>
      <c r="NG179" s="282"/>
      <c r="NH179" s="282"/>
      <c r="NI179" s="282"/>
      <c r="NJ179" s="282"/>
      <c r="NK179" s="282"/>
      <c r="NL179" s="282"/>
      <c r="NM179" s="1205"/>
      <c r="NN179" s="282"/>
      <c r="NO179" s="282"/>
      <c r="NP179" s="282"/>
      <c r="NQ179" s="282"/>
      <c r="NR179" s="282"/>
      <c r="NS179" s="282"/>
      <c r="NT179" s="282"/>
      <c r="NU179" s="282"/>
      <c r="NV179" s="286"/>
      <c r="NW179" s="286"/>
      <c r="NX179" s="286"/>
      <c r="NY179" s="286"/>
      <c r="NZ179" s="286"/>
      <c r="OA179" s="286"/>
      <c r="OB179" s="286"/>
      <c r="OC179" s="286"/>
      <c r="OD179" s="286"/>
      <c r="OE179" s="282"/>
      <c r="OF179" s="282"/>
      <c r="OG179" s="286"/>
      <c r="OH179" s="286"/>
      <c r="OI179" s="286"/>
      <c r="OJ179" s="286"/>
      <c r="OK179" s="286"/>
      <c r="OL179" s="286"/>
      <c r="OM179" s="286"/>
      <c r="ON179" s="286"/>
      <c r="OO179" s="286"/>
      <c r="OP179" s="434"/>
      <c r="OQ179" s="434"/>
      <c r="OR179" s="282"/>
      <c r="OS179" s="282"/>
      <c r="OT179" s="282"/>
      <c r="OU179" s="282"/>
      <c r="OV179" s="282"/>
      <c r="OW179" s="286"/>
      <c r="OX179" s="286"/>
      <c r="OY179" s="286"/>
      <c r="OZ179" s="286"/>
      <c r="PA179" s="286"/>
      <c r="PB179" s="286"/>
      <c r="PC179" s="286"/>
      <c r="PD179" s="282"/>
      <c r="PE179" s="282"/>
      <c r="PF179" s="286"/>
      <c r="PG179" s="286"/>
      <c r="PH179" s="286"/>
      <c r="PI179" s="286"/>
      <c r="PJ179" s="286"/>
      <c r="PK179" s="286"/>
      <c r="PL179" s="286"/>
      <c r="PM179" s="562"/>
    </row>
    <row r="180" spans="1:429" s="1526" customFormat="1" ht="15.75" customHeight="1">
      <c r="A180" s="1640"/>
      <c r="B180" s="1040"/>
      <c r="C180" s="1340"/>
      <c r="D180" s="1410"/>
      <c r="E180" s="671"/>
      <c r="F180" s="1409"/>
      <c r="G180" s="1409"/>
      <c r="H180" s="1409"/>
      <c r="I180" s="1409"/>
      <c r="J180" s="1409"/>
      <c r="K180" s="1411"/>
      <c r="L180" s="1412"/>
      <c r="M180" s="1412"/>
      <c r="N180" s="1412"/>
      <c r="O180" s="1412"/>
      <c r="P180" s="1412"/>
      <c r="Q180" s="1409"/>
      <c r="R180" s="1409"/>
      <c r="S180" s="1409"/>
      <c r="T180" s="1412"/>
      <c r="U180" s="1412"/>
      <c r="V180" s="1412"/>
      <c r="W180" s="1409"/>
      <c r="X180" s="1409"/>
      <c r="Y180" s="1412"/>
      <c r="Z180" s="1412"/>
      <c r="AA180" s="1409"/>
      <c r="AB180" s="1331"/>
      <c r="AC180" s="1412"/>
      <c r="AD180" s="1200"/>
      <c r="AE180" s="1409"/>
      <c r="AF180" s="1409"/>
      <c r="AG180" s="1412"/>
      <c r="AH180" s="1409"/>
      <c r="AI180" s="1409"/>
      <c r="AJ180" s="1412"/>
      <c r="AK180" s="1411"/>
      <c r="AL180" s="1411"/>
      <c r="AM180" s="1409"/>
      <c r="AN180" s="1412"/>
      <c r="AO180" s="1409"/>
      <c r="AP180" s="1409"/>
      <c r="AQ180" s="1409"/>
      <c r="AR180" s="1412"/>
      <c r="AS180" s="1200"/>
      <c r="AT180" s="1200"/>
      <c r="AU180" s="1200"/>
      <c r="AV180" s="1200"/>
      <c r="AW180" s="1200"/>
      <c r="AX180" s="1411"/>
      <c r="AY180" s="1411"/>
      <c r="AZ180" s="1411"/>
      <c r="BA180" s="1411"/>
      <c r="BB180" s="1411"/>
      <c r="BC180" s="1411"/>
      <c r="BD180" s="1411"/>
      <c r="BE180" s="1409"/>
      <c r="BF180" s="1409"/>
      <c r="BG180" s="1409"/>
      <c r="BH180" s="1409"/>
      <c r="BI180" s="1411"/>
      <c r="BJ180" s="1409"/>
      <c r="BK180" s="1409"/>
      <c r="BL180" s="1331"/>
      <c r="BM180" s="1409"/>
      <c r="BN180" s="1409"/>
      <c r="BO180" s="1200"/>
      <c r="BP180" s="1411"/>
      <c r="BQ180" s="1411"/>
      <c r="BR180" s="1413"/>
      <c r="BS180" s="1409"/>
      <c r="BT180" s="1411"/>
      <c r="BU180" s="1411"/>
      <c r="BV180" s="1413"/>
      <c r="BW180" s="1409"/>
      <c r="BX180" s="1409"/>
      <c r="BY180" s="1409"/>
      <c r="BZ180" s="1409"/>
      <c r="CA180" s="1409"/>
      <c r="CB180" s="1409"/>
      <c r="CC180" s="1409"/>
      <c r="CD180" s="1409"/>
      <c r="CE180" s="1409"/>
      <c r="CF180" s="1409"/>
      <c r="CG180" s="1409"/>
      <c r="CH180" s="1409"/>
      <c r="CI180" s="1409"/>
      <c r="CJ180" s="1409"/>
      <c r="CK180" s="30"/>
      <c r="CL180" s="30"/>
      <c r="CM180" s="30"/>
      <c r="CN180" s="30"/>
      <c r="CO180" s="30"/>
      <c r="CP180" s="30"/>
      <c r="CQ180" s="30"/>
      <c r="CR180" s="30"/>
      <c r="CS180" s="30"/>
      <c r="CT180" s="30"/>
      <c r="CU180" s="30"/>
      <c r="CV180" s="1409"/>
      <c r="CW180" s="1409"/>
      <c r="CX180" s="1409"/>
      <c r="CY180" s="1409"/>
      <c r="CZ180" s="1409"/>
      <c r="DA180" s="1409"/>
      <c r="DB180" s="1409"/>
      <c r="DC180" s="30"/>
      <c r="DD180" s="30"/>
      <c r="DE180" s="30"/>
      <c r="DF180" s="30"/>
      <c r="DG180" s="30"/>
      <c r="DH180" s="30"/>
      <c r="DI180" s="30"/>
      <c r="DJ180" s="1409"/>
      <c r="DK180" s="1409"/>
      <c r="DL180" s="1409"/>
      <c r="DM180" s="1409"/>
      <c r="DN180" s="1409"/>
      <c r="DO180" s="1409"/>
      <c r="DP180" s="1409"/>
      <c r="DQ180" s="1409"/>
      <c r="DR180" s="1409"/>
      <c r="DS180" s="1409"/>
      <c r="DT180" s="1409"/>
      <c r="DU180" s="1409"/>
      <c r="DV180" s="1409"/>
      <c r="DW180" s="1409"/>
      <c r="DX180" s="1409"/>
      <c r="DY180" s="1409"/>
      <c r="DZ180" s="1409"/>
      <c r="EA180" s="1409"/>
      <c r="EB180" s="1409"/>
      <c r="EC180" s="1409"/>
      <c r="ED180" s="1414"/>
      <c r="EE180" s="1409"/>
      <c r="EF180" s="1409"/>
      <c r="EG180" s="1411"/>
      <c r="EH180" s="1411"/>
      <c r="EI180" s="1203"/>
      <c r="EJ180" s="1409"/>
      <c r="EK180" s="1409"/>
      <c r="EL180" s="1409"/>
      <c r="EM180" s="1409"/>
      <c r="EN180" s="1331"/>
      <c r="EO180" s="1409"/>
      <c r="EP180" s="1409"/>
      <c r="EQ180" s="1409"/>
      <c r="ER180" s="1411"/>
      <c r="ES180" s="1409"/>
      <c r="ET180" s="1409"/>
      <c r="EU180" s="1411"/>
      <c r="EV180" s="1409"/>
      <c r="EW180" s="1409"/>
      <c r="EX180" s="1411"/>
      <c r="EY180" s="1409"/>
      <c r="EZ180" s="1409"/>
      <c r="FA180" s="1409"/>
      <c r="FB180" s="1409"/>
      <c r="FC180" s="1409"/>
      <c r="FD180" s="1409"/>
      <c r="FE180" s="1409"/>
      <c r="FF180" s="1409"/>
      <c r="FG180" s="1409"/>
      <c r="FH180" s="30"/>
      <c r="FI180" s="30"/>
      <c r="FJ180" s="30"/>
      <c r="FK180" s="30"/>
      <c r="FL180" s="30"/>
      <c r="FM180" s="30"/>
      <c r="FN180" s="30"/>
      <c r="FO180" s="30"/>
      <c r="FP180" s="30"/>
      <c r="FQ180" s="1409"/>
      <c r="FR180" s="1409"/>
      <c r="FS180" s="1409"/>
      <c r="FT180" s="1409"/>
      <c r="FU180" s="1409"/>
      <c r="FV180" s="1409"/>
      <c r="FW180" s="1409"/>
      <c r="FX180" s="1409"/>
      <c r="FY180" s="1409"/>
      <c r="FZ180" s="30"/>
      <c r="GA180" s="30"/>
      <c r="GB180" s="30"/>
      <c r="GC180" s="30"/>
      <c r="GD180" s="30"/>
      <c r="GE180" s="30"/>
      <c r="GF180" s="30"/>
      <c r="GG180" s="30"/>
      <c r="GH180" s="30"/>
      <c r="GI180" s="1415"/>
      <c r="GJ180" s="1416"/>
      <c r="GK180" s="622"/>
      <c r="GL180" s="1416"/>
      <c r="GM180" s="622"/>
      <c r="GN180" s="1416"/>
      <c r="GO180" s="1793"/>
      <c r="GP180" s="1416"/>
      <c r="GQ180" s="1416"/>
      <c r="GR180" s="1416"/>
      <c r="GS180" s="1416"/>
      <c r="GT180" s="1416"/>
      <c r="GU180" s="1416"/>
      <c r="GV180" s="1416"/>
      <c r="GW180" s="1416"/>
      <c r="GX180" s="1416"/>
      <c r="GY180" s="1793"/>
      <c r="GZ180" s="30"/>
      <c r="HA180" s="30"/>
      <c r="HB180" s="30"/>
      <c r="HC180" s="30"/>
      <c r="HD180" s="30"/>
      <c r="HE180" s="30"/>
      <c r="HF180" s="30"/>
      <c r="HG180" s="1409"/>
      <c r="HH180" s="1793"/>
      <c r="HI180" s="1409"/>
      <c r="HJ180" s="1409"/>
      <c r="HK180" s="1409"/>
      <c r="HL180" s="1409"/>
      <c r="HM180" s="1409"/>
      <c r="HN180" s="1409"/>
      <c r="HO180" s="1409"/>
      <c r="HP180" s="1409"/>
      <c r="HQ180" s="1409"/>
      <c r="HR180" s="1733"/>
      <c r="HS180" s="1409"/>
      <c r="HT180" s="1409"/>
      <c r="HU180" s="1409"/>
      <c r="HV180" s="1409"/>
      <c r="HW180" s="1409"/>
      <c r="HX180" s="1409"/>
      <c r="HY180" s="1409"/>
      <c r="HZ180" s="51"/>
      <c r="IA180" s="59"/>
      <c r="IB180" s="59"/>
      <c r="IC180" s="815"/>
      <c r="ID180" s="815"/>
      <c r="IE180" s="284"/>
      <c r="IF180" s="284"/>
      <c r="IG180" s="284"/>
      <c r="IH180" s="284"/>
      <c r="II180" s="1288"/>
      <c r="IJ180" s="1288"/>
      <c r="IK180" s="284"/>
      <c r="IL180" s="284"/>
      <c r="IM180" s="284"/>
      <c r="IN180" s="284"/>
      <c r="IO180" s="753"/>
      <c r="IP180" s="113"/>
      <c r="IQ180" s="30"/>
      <c r="IR180" s="438"/>
      <c r="IS180" s="438"/>
      <c r="IT180" s="438"/>
      <c r="IU180" s="438"/>
      <c r="IV180" s="438"/>
      <c r="IW180" s="438"/>
      <c r="IX180" s="285"/>
      <c r="IY180" s="285"/>
      <c r="IZ180" s="285"/>
      <c r="JA180" s="285"/>
      <c r="JB180" s="285"/>
      <c r="JC180" s="285"/>
      <c r="JD180" s="60"/>
      <c r="JE180" s="60"/>
      <c r="JF180" s="60"/>
      <c r="JG180" s="60"/>
      <c r="JH180" s="284"/>
      <c r="JI180" s="284"/>
      <c r="JJ180" s="560"/>
      <c r="JK180" s="561"/>
      <c r="JL180" s="561"/>
      <c r="JM180" s="561"/>
      <c r="JN180" s="561"/>
      <c r="JO180" s="561"/>
      <c r="JP180" s="561"/>
      <c r="JQ180" s="561"/>
      <c r="JR180" s="61"/>
      <c r="JS180" s="61"/>
      <c r="JT180" s="61"/>
      <c r="JU180" s="61"/>
      <c r="JV180" s="61"/>
      <c r="JW180" s="61"/>
      <c r="JX180" s="61"/>
      <c r="JY180" s="394"/>
      <c r="JZ180" s="61"/>
      <c r="KA180" s="61"/>
      <c r="KB180" s="61"/>
      <c r="KC180" s="61"/>
      <c r="KD180" s="61"/>
      <c r="KE180" s="61"/>
      <c r="KF180" s="61"/>
      <c r="KG180" s="61"/>
      <c r="KH180" s="61"/>
      <c r="KI180" s="394"/>
      <c r="KJ180" s="438"/>
      <c r="KK180" s="438"/>
      <c r="KL180" s="438"/>
      <c r="KM180" s="438"/>
      <c r="KN180" s="438"/>
      <c r="KO180" s="438"/>
      <c r="KP180" s="438"/>
      <c r="KQ180" s="438"/>
      <c r="KR180" s="438"/>
      <c r="KS180" s="438"/>
      <c r="KT180" s="438"/>
      <c r="KU180" s="438"/>
      <c r="KV180" s="420"/>
      <c r="KW180" s="420"/>
      <c r="KX180" s="108"/>
      <c r="KY180" s="282"/>
      <c r="KZ180" s="282"/>
      <c r="LA180" s="282"/>
      <c r="LB180" s="282"/>
      <c r="LC180" s="286"/>
      <c r="LD180" s="286"/>
      <c r="LE180" s="282"/>
      <c r="LF180" s="282"/>
      <c r="LG180" s="282"/>
      <c r="LH180" s="282"/>
      <c r="LI180" s="282"/>
      <c r="LJ180" s="282"/>
      <c r="LK180" s="282"/>
      <c r="LL180" s="282"/>
      <c r="LM180" s="282"/>
      <c r="LN180" s="282"/>
      <c r="LO180" s="282"/>
      <c r="LP180" s="286"/>
      <c r="LQ180" s="282"/>
      <c r="LR180" s="282"/>
      <c r="LS180" s="282"/>
      <c r="LT180" s="286"/>
      <c r="LU180" s="286"/>
      <c r="LV180" s="286"/>
      <c r="LW180" s="286"/>
      <c r="LX180" s="286"/>
      <c r="LY180" s="286"/>
      <c r="LZ180" s="286"/>
      <c r="MA180" s="286"/>
      <c r="MB180" s="286"/>
      <c r="MC180" s="286"/>
      <c r="MD180" s="286"/>
      <c r="ME180" s="286"/>
      <c r="MF180" s="286"/>
      <c r="MG180" s="286"/>
      <c r="MH180" s="286"/>
      <c r="MI180" s="286"/>
      <c r="MJ180" s="286"/>
      <c r="MK180" s="286"/>
      <c r="ML180" s="282"/>
      <c r="MM180" s="1232"/>
      <c r="MN180" s="1232"/>
      <c r="MO180" s="1232"/>
      <c r="MP180" s="1232"/>
      <c r="MQ180" s="282"/>
      <c r="MR180" s="282"/>
      <c r="MS180" s="282"/>
      <c r="MT180" s="282"/>
      <c r="MU180" s="282"/>
      <c r="MV180" s="282"/>
      <c r="MW180" s="282"/>
      <c r="MX180" s="282"/>
      <c r="MY180" s="282"/>
      <c r="MZ180" s="282"/>
      <c r="NA180" s="282"/>
      <c r="NB180" s="282"/>
      <c r="NC180" s="282"/>
      <c r="ND180" s="282"/>
      <c r="NE180" s="282"/>
      <c r="NF180" s="282"/>
      <c r="NG180" s="282"/>
      <c r="NH180" s="282"/>
      <c r="NI180" s="282"/>
      <c r="NJ180" s="282"/>
      <c r="NK180" s="282"/>
      <c r="NL180" s="282"/>
      <c r="NM180" s="1205"/>
      <c r="NN180" s="282"/>
      <c r="NO180" s="282"/>
      <c r="NP180" s="282"/>
      <c r="NQ180" s="282"/>
      <c r="NR180" s="282"/>
      <c r="NS180" s="282"/>
      <c r="NT180" s="282"/>
      <c r="NU180" s="282"/>
      <c r="NV180" s="286"/>
      <c r="NW180" s="286"/>
      <c r="NX180" s="286"/>
      <c r="NY180" s="286"/>
      <c r="NZ180" s="286"/>
      <c r="OA180" s="286"/>
      <c r="OB180" s="286"/>
      <c r="OC180" s="286"/>
      <c r="OD180" s="286"/>
      <c r="OE180" s="282"/>
      <c r="OF180" s="282"/>
      <c r="OG180" s="286"/>
      <c r="OH180" s="286"/>
      <c r="OI180" s="286"/>
      <c r="OJ180" s="286"/>
      <c r="OK180" s="286"/>
      <c r="OL180" s="286"/>
      <c r="OM180" s="286"/>
      <c r="ON180" s="286"/>
      <c r="OO180" s="286"/>
      <c r="OP180" s="434"/>
      <c r="OQ180" s="434"/>
      <c r="OR180" s="282"/>
      <c r="OS180" s="282"/>
      <c r="OT180" s="282"/>
      <c r="OU180" s="282"/>
      <c r="OV180" s="282"/>
      <c r="OW180" s="286"/>
      <c r="OX180" s="286"/>
      <c r="OY180" s="286"/>
      <c r="OZ180" s="286"/>
      <c r="PA180" s="286"/>
      <c r="PB180" s="286"/>
      <c r="PC180" s="286"/>
      <c r="PD180" s="282"/>
      <c r="PE180" s="282"/>
      <c r="PF180" s="286"/>
      <c r="PG180" s="286"/>
      <c r="PH180" s="286"/>
      <c r="PI180" s="286"/>
      <c r="PJ180" s="286"/>
      <c r="PK180" s="286"/>
      <c r="PL180" s="286"/>
      <c r="PM180" s="562"/>
    </row>
    <row r="181" spans="1:429" s="289" customFormat="1" ht="17.25" customHeight="1">
      <c r="A181" s="1640"/>
      <c r="B181" s="1040"/>
      <c r="C181" s="1409"/>
      <c r="D181" s="1410"/>
      <c r="E181" s="671"/>
      <c r="F181" s="1409"/>
      <c r="G181" s="1409"/>
      <c r="H181" s="1409"/>
      <c r="I181" s="1409"/>
      <c r="J181" s="1409"/>
      <c r="K181" s="1411"/>
      <c r="L181" s="1412"/>
      <c r="M181" s="1412"/>
      <c r="N181" s="1412"/>
      <c r="O181" s="1412"/>
      <c r="P181" s="1412"/>
      <c r="Q181" s="1409"/>
      <c r="R181" s="1409"/>
      <c r="S181" s="1409"/>
      <c r="T181" s="1412"/>
      <c r="U181" s="1412"/>
      <c r="V181" s="1412"/>
      <c r="W181" s="1409"/>
      <c r="X181" s="1409"/>
      <c r="Y181" s="1412"/>
      <c r="Z181" s="1412"/>
      <c r="AA181" s="1409"/>
      <c r="AB181" s="1331"/>
      <c r="AC181" s="1412"/>
      <c r="AD181" s="1200"/>
      <c r="AE181" s="1409"/>
      <c r="AF181" s="1409"/>
      <c r="AG181" s="1412"/>
      <c r="AH181" s="1409"/>
      <c r="AI181" s="1409"/>
      <c r="AJ181" s="1412"/>
      <c r="AK181" s="1411"/>
      <c r="AL181" s="1411"/>
      <c r="AM181" s="1409"/>
      <c r="AN181" s="1412"/>
      <c r="AO181" s="1409"/>
      <c r="AP181" s="1409"/>
      <c r="AQ181" s="1409"/>
      <c r="AR181" s="1412"/>
      <c r="AS181" s="1200"/>
      <c r="AT181" s="1200"/>
      <c r="AU181" s="1200"/>
      <c r="AV181" s="1200"/>
      <c r="AW181" s="1200"/>
      <c r="AX181" s="1411"/>
      <c r="AY181" s="1411"/>
      <c r="AZ181" s="1411"/>
      <c r="BA181" s="1411"/>
      <c r="BB181" s="1411"/>
      <c r="BC181" s="1411"/>
      <c r="BD181" s="1411"/>
      <c r="BE181" s="1409"/>
      <c r="BF181" s="1409"/>
      <c r="BG181" s="1409"/>
      <c r="BH181" s="1409"/>
      <c r="BI181" s="1411"/>
      <c r="BJ181" s="1409"/>
      <c r="BK181" s="1409"/>
      <c r="BL181" s="1331"/>
      <c r="BM181" s="1409"/>
      <c r="BN181" s="1409"/>
      <c r="BO181" s="1200"/>
      <c r="BP181" s="1411"/>
      <c r="BQ181" s="1411"/>
      <c r="BR181" s="1413"/>
      <c r="BS181" s="1409"/>
      <c r="BT181" s="1411"/>
      <c r="BU181" s="1411"/>
      <c r="BV181" s="1413"/>
      <c r="BW181" s="1409"/>
      <c r="BX181" s="1409"/>
      <c r="BY181" s="1409"/>
      <c r="BZ181" s="1409"/>
      <c r="CA181" s="1409"/>
      <c r="CB181" s="1409"/>
      <c r="CC181" s="1409"/>
      <c r="CD181" s="1409"/>
      <c r="CE181" s="1409"/>
      <c r="CF181" s="1409"/>
      <c r="CG181" s="1409"/>
      <c r="CH181" s="1409"/>
      <c r="CI181" s="1409"/>
      <c r="CJ181" s="1409"/>
      <c r="CK181" s="30"/>
      <c r="CL181" s="30"/>
      <c r="CM181" s="30"/>
      <c r="CN181" s="30"/>
      <c r="CO181" s="30"/>
      <c r="CP181" s="30"/>
      <c r="CQ181" s="30"/>
      <c r="CR181" s="30"/>
      <c r="CS181" s="30"/>
      <c r="CT181" s="30"/>
      <c r="CU181" s="30"/>
      <c r="CV181" s="1409"/>
      <c r="CW181" s="1409"/>
      <c r="CX181" s="1409"/>
      <c r="CY181" s="1409"/>
      <c r="CZ181" s="1409"/>
      <c r="DA181" s="1409"/>
      <c r="DB181" s="1409"/>
      <c r="DC181" s="30"/>
      <c r="DD181" s="30"/>
      <c r="DE181" s="30"/>
      <c r="DF181" s="30"/>
      <c r="DG181" s="30"/>
      <c r="DH181" s="30"/>
      <c r="DI181" s="30"/>
      <c r="DJ181" s="1409"/>
      <c r="DK181" s="1409"/>
      <c r="DL181" s="1409"/>
      <c r="DM181" s="1409"/>
      <c r="DN181" s="1409"/>
      <c r="DO181" s="1409"/>
      <c r="DP181" s="1409"/>
      <c r="DQ181" s="1409"/>
      <c r="DR181" s="1409"/>
      <c r="DS181" s="1409"/>
      <c r="DT181" s="1409"/>
      <c r="DU181" s="1409"/>
      <c r="DV181" s="1409"/>
      <c r="DW181" s="1409"/>
      <c r="DX181" s="1409"/>
      <c r="DY181" s="1409"/>
      <c r="DZ181" s="1409"/>
      <c r="EA181" s="1409"/>
      <c r="EB181" s="1409"/>
      <c r="EC181" s="1409"/>
      <c r="ED181" s="1414"/>
      <c r="EE181" s="1409"/>
      <c r="EF181" s="1409"/>
      <c r="EG181" s="1411"/>
      <c r="EH181" s="1411"/>
      <c r="EI181" s="1203"/>
      <c r="EJ181" s="1409"/>
      <c r="EK181" s="1409"/>
      <c r="EL181" s="1409"/>
      <c r="EM181" s="1409"/>
      <c r="EN181" s="1331"/>
      <c r="EO181" s="1409"/>
      <c r="EP181" s="1409"/>
      <c r="EQ181" s="1409"/>
      <c r="ER181" s="1411"/>
      <c r="ES181" s="1409"/>
      <c r="ET181" s="1409"/>
      <c r="EU181" s="1411"/>
      <c r="EV181" s="1409"/>
      <c r="EW181" s="1409"/>
      <c r="EX181" s="1411"/>
      <c r="EY181" s="1409"/>
      <c r="EZ181" s="1409"/>
      <c r="FA181" s="1409"/>
      <c r="FB181" s="1409"/>
      <c r="FC181" s="1409"/>
      <c r="FD181" s="1409"/>
      <c r="FE181" s="1409"/>
      <c r="FF181" s="1409"/>
      <c r="FG181" s="1409"/>
      <c r="FH181" s="30"/>
      <c r="FI181" s="30"/>
      <c r="FJ181" s="30"/>
      <c r="FK181" s="30"/>
      <c r="FL181" s="30"/>
      <c r="FM181" s="30"/>
      <c r="FN181" s="30"/>
      <c r="FO181" s="30"/>
      <c r="FP181" s="30"/>
      <c r="FQ181" s="1409"/>
      <c r="FR181" s="1409"/>
      <c r="FS181" s="1409"/>
      <c r="FT181" s="1409"/>
      <c r="FU181" s="1409"/>
      <c r="FV181" s="1409"/>
      <c r="FW181" s="1409"/>
      <c r="FX181" s="1409"/>
      <c r="FY181" s="1409"/>
      <c r="FZ181" s="30"/>
      <c r="GA181" s="30"/>
      <c r="GB181" s="30"/>
      <c r="GC181" s="30"/>
      <c r="GD181" s="30"/>
      <c r="GE181" s="30"/>
      <c r="GF181" s="30"/>
      <c r="GG181" s="30"/>
      <c r="GH181" s="30"/>
      <c r="GI181" s="1415"/>
      <c r="GJ181" s="1416"/>
      <c r="GK181" s="622"/>
      <c r="GL181" s="1416"/>
      <c r="GM181" s="622"/>
      <c r="GN181" s="1416"/>
      <c r="GO181" s="1793"/>
      <c r="GP181" s="1416"/>
      <c r="GQ181" s="1416"/>
      <c r="GR181" s="1416"/>
      <c r="GS181" s="1416"/>
      <c r="GT181" s="1416"/>
      <c r="GU181" s="1416"/>
      <c r="GV181" s="1416"/>
      <c r="GW181" s="1416"/>
      <c r="GX181" s="1052"/>
      <c r="GY181" s="1793"/>
      <c r="GZ181" s="1052"/>
      <c r="HA181" s="1052"/>
      <c r="HB181" s="1052"/>
      <c r="HC181" s="1052"/>
      <c r="HD181" s="1052"/>
      <c r="HE181" s="1052"/>
      <c r="HF181" s="1052"/>
      <c r="HG181" s="1409"/>
      <c r="HH181" s="1793"/>
      <c r="HI181" s="1409"/>
      <c r="HJ181" s="1409"/>
      <c r="HK181" s="1409"/>
      <c r="HL181" s="1409"/>
      <c r="HM181" s="1409"/>
      <c r="HN181" s="1409"/>
      <c r="HO181" s="1409"/>
      <c r="HP181" s="1409"/>
      <c r="HQ181" s="1409"/>
      <c r="HR181" s="1733"/>
      <c r="HS181" s="30"/>
      <c r="HT181" s="30"/>
      <c r="HU181" s="30"/>
      <c r="HV181" s="30"/>
      <c r="HW181" s="30"/>
      <c r="HX181" s="30"/>
      <c r="HY181" s="30"/>
      <c r="HZ181" s="51"/>
      <c r="IA181" s="59"/>
      <c r="IB181" s="59"/>
      <c r="IC181" s="815"/>
      <c r="ID181" s="815"/>
      <c r="IE181" s="284"/>
      <c r="IF181" s="284"/>
      <c r="IG181" s="284"/>
      <c r="IH181" s="284"/>
      <c r="II181" s="1288"/>
      <c r="IJ181" s="1288"/>
      <c r="IK181" s="284"/>
      <c r="IL181" s="284"/>
      <c r="IM181" s="284"/>
      <c r="IN181" s="284"/>
      <c r="IO181" s="753"/>
      <c r="IP181" s="113"/>
      <c r="IQ181" s="30"/>
      <c r="IR181" s="438"/>
      <c r="IS181" s="438"/>
      <c r="IT181" s="438"/>
      <c r="IU181" s="438"/>
      <c r="IV181" s="438"/>
      <c r="IW181" s="438"/>
      <c r="IX181" s="285"/>
      <c r="IY181" s="285"/>
      <c r="IZ181" s="285"/>
      <c r="JA181" s="285"/>
      <c r="JB181" s="285"/>
      <c r="JC181" s="285"/>
      <c r="JD181" s="60"/>
      <c r="JE181" s="60"/>
      <c r="JF181" s="60"/>
      <c r="JG181" s="60"/>
      <c r="JH181" s="284"/>
      <c r="JI181" s="284"/>
      <c r="JJ181" s="560"/>
      <c r="JK181" s="561"/>
      <c r="JL181" s="561"/>
      <c r="JM181" s="561"/>
      <c r="JN181" s="561"/>
      <c r="JO181" s="561"/>
      <c r="JP181" s="561"/>
      <c r="JQ181" s="561"/>
      <c r="JR181" s="61"/>
      <c r="JS181" s="61"/>
      <c r="JT181" s="61"/>
      <c r="JU181" s="61"/>
      <c r="JV181" s="61"/>
      <c r="JW181" s="61"/>
      <c r="JX181" s="61"/>
      <c r="JY181" s="394"/>
      <c r="JZ181" s="61"/>
      <c r="KA181" s="61"/>
      <c r="KB181" s="61"/>
      <c r="KC181" s="61"/>
      <c r="KD181" s="61"/>
      <c r="KE181" s="61"/>
      <c r="KF181" s="61"/>
      <c r="KG181" s="61"/>
      <c r="KH181" s="61"/>
      <c r="KI181" s="394"/>
      <c r="KJ181" s="438"/>
      <c r="KK181" s="438"/>
      <c r="KL181" s="438"/>
      <c r="KM181" s="438"/>
      <c r="KN181" s="438"/>
      <c r="KO181" s="438"/>
      <c r="KP181" s="438"/>
      <c r="KQ181" s="438"/>
      <c r="KR181" s="438"/>
      <c r="KS181" s="438"/>
      <c r="KT181" s="438"/>
      <c r="KU181" s="438"/>
      <c r="KV181" s="420"/>
      <c r="KW181" s="420"/>
      <c r="KX181" s="108"/>
      <c r="KY181" s="282"/>
      <c r="KZ181" s="282"/>
      <c r="LA181" s="282"/>
      <c r="LB181" s="282"/>
      <c r="LC181" s="286"/>
      <c r="LD181" s="286"/>
      <c r="LE181" s="282"/>
      <c r="LF181" s="282"/>
      <c r="LG181" s="282"/>
      <c r="LH181" s="282"/>
      <c r="LI181" s="282"/>
      <c r="LJ181" s="282"/>
      <c r="LK181" s="282"/>
      <c r="LL181" s="282"/>
      <c r="LM181" s="282"/>
      <c r="LN181" s="282"/>
      <c r="LO181" s="282"/>
      <c r="LP181" s="286"/>
      <c r="LQ181" s="282"/>
      <c r="LR181" s="282"/>
      <c r="LS181" s="282"/>
      <c r="LT181" s="286"/>
      <c r="LU181" s="286"/>
      <c r="LV181" s="286"/>
      <c r="LW181" s="286"/>
      <c r="LX181" s="286"/>
      <c r="LY181" s="286"/>
      <c r="LZ181" s="286"/>
      <c r="MA181" s="286"/>
      <c r="MB181" s="286"/>
      <c r="MC181" s="286"/>
      <c r="MD181" s="286"/>
      <c r="ME181" s="286"/>
      <c r="MF181" s="286"/>
      <c r="MG181" s="286"/>
      <c r="MH181" s="286"/>
      <c r="MI181" s="286"/>
      <c r="MJ181" s="286"/>
      <c r="MK181" s="286"/>
      <c r="ML181" s="282"/>
      <c r="MM181" s="1232"/>
      <c r="MN181" s="1232"/>
      <c r="MO181" s="1232"/>
      <c r="MP181" s="1232"/>
      <c r="MQ181" s="282"/>
      <c r="MR181" s="282"/>
      <c r="MS181" s="282"/>
      <c r="MT181" s="282"/>
      <c r="MU181" s="282"/>
      <c r="MV181" s="282"/>
      <c r="MW181" s="282"/>
      <c r="MX181" s="282"/>
      <c r="MY181" s="282"/>
      <c r="MZ181" s="282"/>
      <c r="NA181" s="282"/>
      <c r="NB181" s="282"/>
      <c r="NC181" s="282"/>
      <c r="ND181" s="282"/>
      <c r="NE181" s="282"/>
      <c r="NF181" s="282"/>
      <c r="NG181" s="282"/>
      <c r="NH181" s="282"/>
      <c r="NI181" s="282"/>
      <c r="NJ181" s="282"/>
      <c r="NK181" s="282"/>
      <c r="NL181" s="282"/>
      <c r="NM181" s="1205"/>
      <c r="NN181" s="282"/>
      <c r="NO181" s="282"/>
      <c r="NP181" s="282"/>
      <c r="NQ181" s="282"/>
      <c r="NR181" s="282"/>
      <c r="NS181" s="282"/>
      <c r="NT181" s="282"/>
      <c r="NU181" s="282"/>
      <c r="NV181" s="286"/>
      <c r="NW181" s="286"/>
      <c r="NX181" s="286"/>
      <c r="NY181" s="286"/>
      <c r="NZ181" s="286"/>
      <c r="OA181" s="286"/>
      <c r="OB181" s="286"/>
      <c r="OC181" s="286"/>
      <c r="OD181" s="286"/>
      <c r="OE181" s="282"/>
      <c r="OF181" s="282"/>
      <c r="OG181" s="286"/>
      <c r="OH181" s="286"/>
      <c r="OI181" s="286"/>
      <c r="OJ181" s="286"/>
      <c r="OK181" s="286"/>
      <c r="OL181" s="286"/>
      <c r="OM181" s="286"/>
      <c r="ON181" s="286"/>
      <c r="OO181" s="286"/>
      <c r="OP181" s="434"/>
      <c r="OQ181" s="434"/>
      <c r="OR181" s="282"/>
      <c r="OS181" s="282"/>
      <c r="OT181" s="282"/>
      <c r="OU181" s="282"/>
      <c r="OV181" s="282"/>
      <c r="OW181" s="286"/>
      <c r="OX181" s="286"/>
      <c r="OY181" s="286"/>
      <c r="OZ181" s="286"/>
      <c r="PA181" s="286"/>
      <c r="PB181" s="286"/>
      <c r="PC181" s="286"/>
      <c r="PD181" s="282"/>
      <c r="PE181" s="282"/>
      <c r="PF181" s="286"/>
      <c r="PG181" s="286"/>
      <c r="PH181" s="286"/>
      <c r="PI181" s="286"/>
      <c r="PJ181" s="286"/>
      <c r="PK181" s="286"/>
      <c r="PL181" s="286"/>
      <c r="PM181" s="562"/>
    </row>
    <row r="182" spans="1:429" s="289" customFormat="1" ht="15.75" customHeight="1">
      <c r="A182" s="1640"/>
      <c r="B182" s="1040"/>
      <c r="C182" s="1409"/>
      <c r="D182" s="1410"/>
      <c r="E182" s="671"/>
      <c r="F182" s="1409"/>
      <c r="G182" s="1409"/>
      <c r="H182" s="1409"/>
      <c r="I182" s="1409"/>
      <c r="J182" s="1409"/>
      <c r="K182" s="1411"/>
      <c r="L182" s="1412"/>
      <c r="M182" s="1412"/>
      <c r="N182" s="1412"/>
      <c r="O182" s="1412"/>
      <c r="P182" s="1412"/>
      <c r="Q182" s="1409"/>
      <c r="R182" s="1409"/>
      <c r="S182" s="1409"/>
      <c r="T182" s="1412"/>
      <c r="U182" s="1412"/>
      <c r="V182" s="1412"/>
      <c r="W182" s="1409"/>
      <c r="X182" s="1409"/>
      <c r="Y182" s="1412"/>
      <c r="Z182" s="1412"/>
      <c r="AA182" s="1409"/>
      <c r="AB182" s="1331"/>
      <c r="AC182" s="1412"/>
      <c r="AD182" s="1200"/>
      <c r="AE182" s="1409"/>
      <c r="AF182" s="1409"/>
      <c r="AG182" s="1412"/>
      <c r="AH182" s="1409"/>
      <c r="AI182" s="1409"/>
      <c r="AJ182" s="1412"/>
      <c r="AK182" s="1411"/>
      <c r="AL182" s="1411"/>
      <c r="AM182" s="1409"/>
      <c r="AN182" s="1412"/>
      <c r="AO182" s="1409"/>
      <c r="AP182" s="1409"/>
      <c r="AQ182" s="1409"/>
      <c r="AR182" s="1412"/>
      <c r="AS182" s="1200"/>
      <c r="AT182" s="1200"/>
      <c r="AU182" s="1200"/>
      <c r="AV182" s="1200"/>
      <c r="AW182" s="1200"/>
      <c r="AX182" s="1411"/>
      <c r="AY182" s="1411"/>
      <c r="AZ182" s="1411"/>
      <c r="BA182" s="1411"/>
      <c r="BB182" s="1411"/>
      <c r="BC182" s="1411"/>
      <c r="BD182" s="1411"/>
      <c r="BE182" s="1409"/>
      <c r="BF182" s="1409"/>
      <c r="BG182" s="1409"/>
      <c r="BH182" s="1409"/>
      <c r="BI182" s="1411"/>
      <c r="BJ182" s="1409"/>
      <c r="BK182" s="1409"/>
      <c r="BL182" s="1331"/>
      <c r="BM182" s="1409"/>
      <c r="BN182" s="1409"/>
      <c r="BO182" s="1200"/>
      <c r="BP182" s="1411"/>
      <c r="BQ182" s="1411"/>
      <c r="BR182" s="1413"/>
      <c r="BS182" s="1409"/>
      <c r="BT182" s="1411"/>
      <c r="BU182" s="1411"/>
      <c r="BV182" s="1413"/>
      <c r="BW182" s="1409"/>
      <c r="BX182" s="1409"/>
      <c r="BY182" s="1409"/>
      <c r="BZ182" s="1409"/>
      <c r="CA182" s="1409"/>
      <c r="CB182" s="1409"/>
      <c r="CC182" s="1409"/>
      <c r="CD182" s="1409"/>
      <c r="CE182" s="1409"/>
      <c r="CF182" s="1409"/>
      <c r="CG182" s="1409"/>
      <c r="CH182" s="1409"/>
      <c r="CI182" s="1409"/>
      <c r="CJ182" s="1409"/>
      <c r="CK182" s="30"/>
      <c r="CL182" s="30"/>
      <c r="CM182" s="30"/>
      <c r="CN182" s="30"/>
      <c r="CO182" s="30"/>
      <c r="CP182" s="30"/>
      <c r="CQ182" s="30"/>
      <c r="CR182" s="30"/>
      <c r="CS182" s="30"/>
      <c r="CT182" s="30"/>
      <c r="CU182" s="30"/>
      <c r="CV182" s="1409"/>
      <c r="CW182" s="1409"/>
      <c r="CX182" s="1409"/>
      <c r="CY182" s="1409"/>
      <c r="CZ182" s="1409"/>
      <c r="DA182" s="1409"/>
      <c r="DB182" s="1409"/>
      <c r="DC182" s="30"/>
      <c r="DD182" s="30"/>
      <c r="DE182" s="30"/>
      <c r="DF182" s="30"/>
      <c r="DG182" s="30"/>
      <c r="DH182" s="30"/>
      <c r="DI182" s="30"/>
      <c r="DJ182" s="1409"/>
      <c r="DK182" s="1409"/>
      <c r="DL182" s="1409"/>
      <c r="DM182" s="1409"/>
      <c r="DN182" s="1409"/>
      <c r="DO182" s="1409"/>
      <c r="DP182" s="1409"/>
      <c r="DQ182" s="1409"/>
      <c r="DR182" s="1409"/>
      <c r="DS182" s="1409"/>
      <c r="DT182" s="1409"/>
      <c r="DU182" s="1409"/>
      <c r="DV182" s="1409"/>
      <c r="DW182" s="1409"/>
      <c r="DX182" s="1409"/>
      <c r="DY182" s="1409"/>
      <c r="DZ182" s="1409"/>
      <c r="EA182" s="1409"/>
      <c r="EB182" s="1409"/>
      <c r="EC182" s="1409"/>
      <c r="ED182" s="1414"/>
      <c r="EE182" s="1409"/>
      <c r="EF182" s="1409"/>
      <c r="EG182" s="1411"/>
      <c r="EH182" s="1411"/>
      <c r="EI182" s="1203"/>
      <c r="EJ182" s="1409"/>
      <c r="EK182" s="1409"/>
      <c r="EL182" s="1409"/>
      <c r="EM182" s="1409"/>
      <c r="EN182" s="1331"/>
      <c r="EO182" s="1409"/>
      <c r="EP182" s="1409"/>
      <c r="EQ182" s="1409"/>
      <c r="ER182" s="1411"/>
      <c r="ES182" s="1409"/>
      <c r="ET182" s="1409"/>
      <c r="EU182" s="1411"/>
      <c r="EV182" s="1409"/>
      <c r="EW182" s="1409"/>
      <c r="EX182" s="1411"/>
      <c r="EY182" s="1409"/>
      <c r="EZ182" s="1409"/>
      <c r="FA182" s="1409"/>
      <c r="FB182" s="1409"/>
      <c r="FC182" s="1409"/>
      <c r="FD182" s="1409"/>
      <c r="FE182" s="1409"/>
      <c r="FF182" s="1409"/>
      <c r="FG182" s="1409"/>
      <c r="FH182" s="30"/>
      <c r="FI182" s="30"/>
      <c r="FJ182" s="30"/>
      <c r="FK182" s="30"/>
      <c r="FL182" s="30"/>
      <c r="FM182" s="30"/>
      <c r="FN182" s="30"/>
      <c r="FO182" s="30"/>
      <c r="FP182" s="30"/>
      <c r="FQ182" s="1409"/>
      <c r="FR182" s="1409"/>
      <c r="FS182" s="1409"/>
      <c r="FT182" s="1409"/>
      <c r="FU182" s="1409"/>
      <c r="FV182" s="1409"/>
      <c r="FW182" s="1409"/>
      <c r="FX182" s="1409"/>
      <c r="FY182" s="1409"/>
      <c r="FZ182" s="30"/>
      <c r="GA182" s="30"/>
      <c r="GB182" s="30"/>
      <c r="GC182" s="30"/>
      <c r="GD182" s="30"/>
      <c r="GE182" s="30"/>
      <c r="GF182" s="30"/>
      <c r="GG182" s="30"/>
      <c r="GH182" s="30"/>
      <c r="GI182" s="1415"/>
      <c r="GJ182" s="1416"/>
      <c r="GK182" s="622"/>
      <c r="GL182" s="1416"/>
      <c r="GM182" s="622"/>
      <c r="GN182" s="1416"/>
      <c r="GO182" s="1793"/>
      <c r="GP182" s="1416"/>
      <c r="GQ182" s="1416"/>
      <c r="GR182" s="1416"/>
      <c r="GS182" s="1416"/>
      <c r="GT182" s="1416"/>
      <c r="GU182" s="1416"/>
      <c r="GV182" s="1416"/>
      <c r="GW182" s="1416"/>
      <c r="GX182" s="1052"/>
      <c r="GY182" s="1793"/>
      <c r="GZ182" s="1052"/>
      <c r="HA182" s="1052"/>
      <c r="HB182" s="1052"/>
      <c r="HC182" s="1052"/>
      <c r="HD182" s="1052"/>
      <c r="HE182" s="1052"/>
      <c r="HF182" s="1052"/>
      <c r="HG182" s="1409"/>
      <c r="HH182" s="1793"/>
      <c r="HI182" s="1409"/>
      <c r="HJ182" s="1409"/>
      <c r="HK182" s="1409"/>
      <c r="HL182" s="1409"/>
      <c r="HM182" s="1409"/>
      <c r="HN182" s="1409"/>
      <c r="HO182" s="1409"/>
      <c r="HP182" s="1409"/>
      <c r="HQ182" s="1409"/>
      <c r="HR182" s="1733"/>
      <c r="HS182" s="30"/>
      <c r="HT182" s="30"/>
      <c r="HU182" s="30"/>
      <c r="HV182" s="30"/>
      <c r="HW182" s="30"/>
      <c r="HX182" s="30"/>
      <c r="HY182" s="30"/>
      <c r="HZ182" s="1525"/>
      <c r="IA182" s="59"/>
      <c r="IB182" s="59"/>
      <c r="IC182" s="815"/>
      <c r="ID182" s="815"/>
      <c r="IE182" s="284"/>
      <c r="IF182" s="284"/>
      <c r="IG182" s="284"/>
      <c r="IH182" s="284"/>
      <c r="II182" s="1288"/>
      <c r="IJ182" s="1288"/>
      <c r="IK182" s="284"/>
      <c r="IL182" s="284"/>
      <c r="IM182" s="284"/>
      <c r="IN182" s="284"/>
      <c r="IO182" s="753"/>
      <c r="IP182" s="113"/>
      <c r="IQ182" s="30"/>
      <c r="IR182" s="438"/>
      <c r="IS182" s="438"/>
      <c r="IT182" s="438"/>
      <c r="IU182" s="438"/>
      <c r="IV182" s="438"/>
      <c r="IW182" s="438"/>
      <c r="IX182" s="285"/>
      <c r="IY182" s="285"/>
      <c r="IZ182" s="285"/>
      <c r="JA182" s="285"/>
      <c r="JB182" s="285"/>
      <c r="JC182" s="285"/>
      <c r="JD182" s="60"/>
      <c r="JE182" s="60"/>
      <c r="JF182" s="60"/>
      <c r="JG182" s="60"/>
      <c r="JH182" s="284"/>
      <c r="JI182" s="284"/>
      <c r="JJ182" s="560"/>
      <c r="JK182" s="561"/>
      <c r="JL182" s="561"/>
      <c r="JM182" s="561"/>
      <c r="JN182" s="561"/>
      <c r="JO182" s="561"/>
      <c r="JP182" s="561"/>
      <c r="JQ182" s="561"/>
      <c r="JR182" s="61"/>
      <c r="JS182" s="61"/>
      <c r="JT182" s="61"/>
      <c r="JU182" s="61"/>
      <c r="JV182" s="61"/>
      <c r="JW182" s="61"/>
      <c r="JX182" s="61"/>
      <c r="JY182" s="394"/>
      <c r="JZ182" s="61"/>
      <c r="KA182" s="61"/>
      <c r="KB182" s="61"/>
      <c r="KC182" s="61"/>
      <c r="KD182" s="61"/>
      <c r="KE182" s="61"/>
      <c r="KF182" s="61"/>
      <c r="KG182" s="61"/>
      <c r="KH182" s="61"/>
      <c r="KI182" s="394"/>
      <c r="KJ182" s="438"/>
      <c r="KK182" s="438"/>
      <c r="KL182" s="438"/>
      <c r="KM182" s="438"/>
      <c r="KN182" s="438"/>
      <c r="KO182" s="438"/>
      <c r="KP182" s="438"/>
      <c r="KQ182" s="438"/>
      <c r="KR182" s="438"/>
      <c r="KS182" s="438"/>
      <c r="KT182" s="438"/>
      <c r="KU182" s="438"/>
      <c r="KV182" s="420"/>
      <c r="KW182" s="420"/>
      <c r="KX182" s="108"/>
      <c r="KY182" s="282"/>
      <c r="KZ182" s="282"/>
      <c r="LA182" s="282"/>
      <c r="LB182" s="282"/>
      <c r="LC182" s="286"/>
      <c r="LD182" s="286"/>
      <c r="LE182" s="282"/>
      <c r="LF182" s="282"/>
      <c r="LG182" s="282"/>
      <c r="LH182" s="282"/>
      <c r="LI182" s="282"/>
      <c r="LJ182" s="282"/>
      <c r="LK182" s="282"/>
      <c r="LL182" s="282"/>
      <c r="LM182" s="282"/>
      <c r="LN182" s="282"/>
      <c r="LO182" s="282"/>
      <c r="LP182" s="286"/>
      <c r="LQ182" s="282"/>
      <c r="LR182" s="282"/>
      <c r="LS182" s="282"/>
      <c r="LT182" s="286"/>
      <c r="LU182" s="286"/>
      <c r="LV182" s="286"/>
      <c r="LW182" s="286"/>
      <c r="LX182" s="286"/>
      <c r="LY182" s="286"/>
      <c r="LZ182" s="286"/>
      <c r="MA182" s="286"/>
      <c r="MB182" s="286"/>
      <c r="MC182" s="286"/>
      <c r="MD182" s="286"/>
      <c r="ME182" s="286"/>
      <c r="MF182" s="286"/>
      <c r="MG182" s="286"/>
      <c r="MH182" s="286"/>
      <c r="MI182" s="286"/>
      <c r="MJ182" s="286"/>
      <c r="MK182" s="286"/>
      <c r="ML182" s="282"/>
      <c r="MM182" s="1232"/>
      <c r="MN182" s="1232"/>
      <c r="MO182" s="1232"/>
      <c r="MP182" s="1232"/>
      <c r="MQ182" s="282"/>
      <c r="MR182" s="282"/>
      <c r="MS182" s="282"/>
      <c r="MT182" s="282"/>
      <c r="MU182" s="282"/>
      <c r="MV182" s="282"/>
      <c r="MW182" s="282"/>
      <c r="MX182" s="282"/>
      <c r="MY182" s="282"/>
      <c r="MZ182" s="282"/>
      <c r="NA182" s="282"/>
      <c r="NB182" s="282"/>
      <c r="NC182" s="282"/>
      <c r="ND182" s="282"/>
      <c r="NE182" s="282"/>
      <c r="NF182" s="282"/>
      <c r="NG182" s="282"/>
      <c r="NH182" s="282"/>
      <c r="NI182" s="282"/>
      <c r="NJ182" s="282"/>
      <c r="NK182" s="282"/>
      <c r="NL182" s="282"/>
      <c r="NM182" s="1205"/>
      <c r="NN182" s="282"/>
      <c r="NO182" s="282"/>
      <c r="NP182" s="282"/>
      <c r="NQ182" s="282"/>
      <c r="NR182" s="282"/>
      <c r="NS182" s="282"/>
      <c r="NT182" s="282"/>
      <c r="NU182" s="282"/>
      <c r="NV182" s="286"/>
      <c r="NW182" s="286"/>
      <c r="NX182" s="286"/>
      <c r="NY182" s="286"/>
      <c r="NZ182" s="286"/>
      <c r="OA182" s="286"/>
      <c r="OB182" s="286"/>
      <c r="OC182" s="286"/>
      <c r="OD182" s="286"/>
      <c r="OE182" s="282"/>
      <c r="OF182" s="282"/>
      <c r="OG182" s="286"/>
      <c r="OH182" s="286"/>
      <c r="OI182" s="286"/>
      <c r="OJ182" s="286"/>
      <c r="OK182" s="286"/>
      <c r="OL182" s="286"/>
      <c r="OM182" s="286"/>
      <c r="ON182" s="286"/>
      <c r="OO182" s="286"/>
      <c r="OP182" s="434"/>
      <c r="OQ182" s="434"/>
      <c r="OR182" s="282"/>
      <c r="OS182" s="282"/>
      <c r="OT182" s="282"/>
      <c r="OU182" s="282"/>
      <c r="OV182" s="282"/>
      <c r="OW182" s="286"/>
      <c r="OX182" s="286"/>
      <c r="OY182" s="286"/>
      <c r="OZ182" s="286"/>
      <c r="PA182" s="286"/>
      <c r="PB182" s="286"/>
      <c r="PC182" s="286"/>
      <c r="PD182" s="282"/>
      <c r="PE182" s="282"/>
      <c r="PF182" s="286"/>
      <c r="PG182" s="286"/>
      <c r="PH182" s="286"/>
      <c r="PI182" s="286"/>
      <c r="PJ182" s="286"/>
      <c r="PK182" s="286"/>
      <c r="PL182" s="286"/>
      <c r="PM182" s="562"/>
    </row>
    <row r="183" spans="1:429" s="289" customFormat="1" ht="15.75" customHeight="1">
      <c r="A183" s="1034"/>
      <c r="B183" s="1040"/>
      <c r="C183" s="1358"/>
      <c r="D183" s="1359"/>
      <c r="E183" s="402"/>
      <c r="F183" s="1358"/>
      <c r="G183" s="1358"/>
      <c r="H183" s="1358"/>
      <c r="I183" s="1358"/>
      <c r="J183" s="1358"/>
      <c r="K183" s="1360"/>
      <c r="L183" s="1361"/>
      <c r="M183" s="1361"/>
      <c r="N183" s="1361"/>
      <c r="O183" s="1361"/>
      <c r="P183" s="1361"/>
      <c r="Q183" s="1358"/>
      <c r="R183" s="1358"/>
      <c r="S183" s="1358"/>
      <c r="T183" s="1361"/>
      <c r="U183" s="1361"/>
      <c r="V183" s="1361"/>
      <c r="W183" s="1358"/>
      <c r="X183" s="1358"/>
      <c r="Y183" s="1361"/>
      <c r="Z183" s="1361"/>
      <c r="AA183" s="1358"/>
      <c r="AB183" s="1362"/>
      <c r="AC183" s="1361"/>
      <c r="AD183" s="1363"/>
      <c r="AE183" s="1358"/>
      <c r="AF183" s="1358"/>
      <c r="AG183" s="1361"/>
      <c r="AH183" s="1358"/>
      <c r="AI183" s="1358"/>
      <c r="AJ183" s="1361"/>
      <c r="AK183" s="1360"/>
      <c r="AL183" s="1360"/>
      <c r="AM183" s="1358"/>
      <c r="AN183" s="1361"/>
      <c r="AO183" s="1358"/>
      <c r="AP183" s="1358"/>
      <c r="AQ183" s="1358"/>
      <c r="AR183" s="1361"/>
      <c r="AS183" s="1363"/>
      <c r="AT183" s="1363"/>
      <c r="AU183" s="1363"/>
      <c r="AV183" s="1363"/>
      <c r="AW183" s="1363"/>
      <c r="AX183" s="1360"/>
      <c r="AY183" s="1360"/>
      <c r="AZ183" s="1360"/>
      <c r="BA183" s="1360"/>
      <c r="BB183" s="1360"/>
      <c r="BC183" s="1360"/>
      <c r="BD183" s="1360"/>
      <c r="BE183" s="1358"/>
      <c r="BF183" s="1358"/>
      <c r="BG183" s="1358"/>
      <c r="BH183" s="1358"/>
      <c r="BI183" s="1360"/>
      <c r="BJ183" s="1358"/>
      <c r="BK183" s="1358"/>
      <c r="BL183" s="1362"/>
      <c r="BM183" s="1358"/>
      <c r="BN183" s="1358"/>
      <c r="BO183" s="1363"/>
      <c r="BP183" s="1360"/>
      <c r="BQ183" s="1360"/>
      <c r="BR183" s="1364"/>
      <c r="BS183" s="1358"/>
      <c r="BT183" s="1365"/>
      <c r="BU183" s="1365"/>
      <c r="BV183" s="1364"/>
      <c r="BW183" s="1358"/>
      <c r="BX183" s="1358"/>
      <c r="BY183" s="1358"/>
      <c r="BZ183" s="1358"/>
      <c r="CA183" s="1358"/>
      <c r="CB183" s="1358"/>
      <c r="CC183" s="1358"/>
      <c r="CD183" s="1358"/>
      <c r="CE183" s="1358"/>
      <c r="CF183" s="1358"/>
      <c r="CG183" s="1358"/>
      <c r="CH183" s="1358"/>
      <c r="CI183" s="1358"/>
      <c r="CJ183" s="1358"/>
      <c r="CK183" s="1366"/>
      <c r="CL183" s="1366"/>
      <c r="CM183" s="1366"/>
      <c r="CN183" s="1366"/>
      <c r="CO183" s="1366"/>
      <c r="CP183" s="1366"/>
      <c r="CQ183" s="1366"/>
      <c r="CR183" s="1366"/>
      <c r="CS183" s="1366"/>
      <c r="CT183" s="1366"/>
      <c r="CU183" s="1366"/>
      <c r="CV183" s="1358"/>
      <c r="CW183" s="1358"/>
      <c r="CX183" s="1358"/>
      <c r="CY183" s="1358"/>
      <c r="CZ183" s="1358"/>
      <c r="DA183" s="1358"/>
      <c r="DB183" s="1358"/>
      <c r="DC183" s="1366"/>
      <c r="DD183" s="1366"/>
      <c r="DE183" s="1366"/>
      <c r="DF183" s="1366"/>
      <c r="DG183" s="1366"/>
      <c r="DH183" s="1366"/>
      <c r="DI183" s="1366"/>
      <c r="DJ183" s="1358"/>
      <c r="DK183" s="1358"/>
      <c r="DL183" s="1358"/>
      <c r="DM183" s="1358"/>
      <c r="DN183" s="1358"/>
      <c r="DO183" s="1358"/>
      <c r="DP183" s="1358"/>
      <c r="DQ183" s="1358"/>
      <c r="DR183" s="1358"/>
      <c r="DS183" s="1358"/>
      <c r="DT183" s="1358"/>
      <c r="DU183" s="1358"/>
      <c r="DV183" s="1358"/>
      <c r="DW183" s="1358"/>
      <c r="DX183" s="1358"/>
      <c r="DY183" s="1358"/>
      <c r="DZ183" s="1358"/>
      <c r="EA183" s="1358"/>
      <c r="EB183" s="1358"/>
      <c r="EC183" s="1358"/>
      <c r="ED183" s="1367"/>
      <c r="EE183" s="1358"/>
      <c r="EF183" s="1358"/>
      <c r="EG183" s="1360"/>
      <c r="EH183" s="1360"/>
      <c r="EI183" s="1368"/>
      <c r="EJ183" s="1358"/>
      <c r="EK183" s="1358"/>
      <c r="EL183" s="1358"/>
      <c r="EM183" s="1358"/>
      <c r="EN183" s="1362"/>
      <c r="EO183" s="1358"/>
      <c r="EP183" s="1358"/>
      <c r="EQ183" s="1358"/>
      <c r="ER183" s="1360"/>
      <c r="ES183" s="1358"/>
      <c r="ET183" s="1358"/>
      <c r="EU183" s="1360"/>
      <c r="EV183" s="1358"/>
      <c r="EW183" s="1358"/>
      <c r="EX183" s="1360"/>
      <c r="EY183" s="1358"/>
      <c r="EZ183" s="1358"/>
      <c r="FA183" s="1358"/>
      <c r="FB183" s="1358"/>
      <c r="FC183" s="1358"/>
      <c r="FD183" s="1358"/>
      <c r="FE183" s="1358"/>
      <c r="FF183" s="1358"/>
      <c r="FG183" s="1358"/>
      <c r="FH183" s="1366"/>
      <c r="FI183" s="1366"/>
      <c r="FJ183" s="1366"/>
      <c r="FK183" s="1366"/>
      <c r="FL183" s="1366"/>
      <c r="FM183" s="1366"/>
      <c r="FN183" s="1366"/>
      <c r="FO183" s="1366"/>
      <c r="FP183" s="1366"/>
      <c r="FQ183" s="1358"/>
      <c r="FR183" s="1358"/>
      <c r="FS183" s="1358"/>
      <c r="FT183" s="1358"/>
      <c r="FU183" s="1358"/>
      <c r="FV183" s="1358"/>
      <c r="FW183" s="1358"/>
      <c r="FX183" s="1358"/>
      <c r="FY183" s="1358"/>
      <c r="FZ183" s="1366"/>
      <c r="GA183" s="1366"/>
      <c r="GB183" s="1366"/>
      <c r="GC183" s="1366"/>
      <c r="GD183" s="1366"/>
      <c r="GE183" s="1366"/>
      <c r="GF183" s="1366"/>
      <c r="GG183" s="1366"/>
      <c r="GH183" s="1366"/>
      <c r="GI183" s="1369"/>
      <c r="GJ183" s="1370"/>
      <c r="GK183" s="1371"/>
      <c r="GL183" s="1370"/>
      <c r="GM183" s="1371"/>
      <c r="GN183" s="1370"/>
      <c r="GO183" s="1370"/>
      <c r="GP183" s="1370"/>
      <c r="GQ183" s="1370"/>
      <c r="GR183" s="1370"/>
      <c r="GS183" s="1370"/>
      <c r="GT183" s="1370"/>
      <c r="GU183" s="1370"/>
      <c r="GV183" s="1370"/>
      <c r="GW183" s="1370"/>
      <c r="GX183" s="1370"/>
      <c r="GY183" s="1370"/>
      <c r="GZ183" s="1370"/>
      <c r="HA183" s="1370"/>
      <c r="HB183" s="1370"/>
      <c r="HC183" s="1370"/>
      <c r="HD183" s="1370"/>
      <c r="HE183" s="1370"/>
      <c r="HF183" s="1370"/>
      <c r="HG183" s="1358"/>
      <c r="HH183" s="1358"/>
      <c r="HI183" s="1358"/>
      <c r="HJ183" s="1358"/>
      <c r="HK183" s="1358"/>
      <c r="HL183" s="1358"/>
      <c r="HM183" s="1358"/>
      <c r="HN183" s="1358"/>
      <c r="HO183" s="1358"/>
      <c r="HP183" s="1358"/>
      <c r="HQ183" s="1358"/>
      <c r="HR183" s="1358"/>
      <c r="HS183" s="1366"/>
      <c r="HT183" s="1366"/>
      <c r="HU183" s="1366"/>
      <c r="HV183" s="1366"/>
      <c r="HW183" s="1366"/>
      <c r="HX183" s="1366"/>
      <c r="HY183" s="1366"/>
      <c r="HZ183" s="51"/>
      <c r="IA183" s="59"/>
      <c r="IB183" s="59"/>
      <c r="IC183" s="815"/>
      <c r="ID183" s="815"/>
      <c r="IE183" s="284"/>
      <c r="IF183" s="284"/>
      <c r="IG183" s="284"/>
      <c r="IH183" s="284"/>
      <c r="II183" s="1288"/>
      <c r="IJ183" s="1288"/>
      <c r="IK183" s="284"/>
      <c r="IL183" s="284"/>
      <c r="IM183" s="284"/>
      <c r="IN183" s="284"/>
      <c r="IO183" s="753"/>
      <c r="IP183" s="113"/>
      <c r="IQ183" s="30"/>
      <c r="IR183" s="438"/>
      <c r="IS183" s="438"/>
      <c r="IT183" s="438"/>
      <c r="IU183" s="438"/>
      <c r="IV183" s="438"/>
      <c r="IW183" s="438"/>
      <c r="IX183" s="285"/>
      <c r="IY183" s="285"/>
      <c r="IZ183" s="285"/>
      <c r="JA183" s="285"/>
      <c r="JB183" s="285"/>
      <c r="JC183" s="285"/>
      <c r="JD183" s="60"/>
      <c r="JE183" s="60"/>
      <c r="JF183" s="60"/>
      <c r="JG183" s="60"/>
      <c r="JH183" s="284"/>
      <c r="JI183" s="284"/>
      <c r="JJ183" s="560"/>
      <c r="JK183" s="561"/>
      <c r="JL183" s="561"/>
      <c r="JM183" s="561"/>
      <c r="JN183" s="561"/>
      <c r="JO183" s="561"/>
      <c r="JP183" s="561"/>
      <c r="JQ183" s="561"/>
      <c r="JR183" s="61"/>
      <c r="JS183" s="61"/>
      <c r="JT183" s="61"/>
      <c r="JU183" s="61"/>
      <c r="JV183" s="61"/>
      <c r="JW183" s="61"/>
      <c r="JX183" s="61"/>
      <c r="JY183" s="394"/>
      <c r="JZ183" s="61"/>
      <c r="KA183" s="61"/>
      <c r="KB183" s="61"/>
      <c r="KC183" s="61"/>
      <c r="KD183" s="61"/>
      <c r="KE183" s="61"/>
      <c r="KF183" s="61"/>
      <c r="KG183" s="61"/>
      <c r="KH183" s="61"/>
      <c r="KI183" s="394"/>
      <c r="KJ183" s="438"/>
      <c r="KK183" s="438"/>
      <c r="KL183" s="438"/>
      <c r="KM183" s="438"/>
      <c r="KN183" s="438"/>
      <c r="KO183" s="438"/>
      <c r="KP183" s="438"/>
      <c r="KQ183" s="438"/>
      <c r="KR183" s="438"/>
      <c r="KS183" s="438"/>
      <c r="KT183" s="438"/>
      <c r="KU183" s="438"/>
      <c r="KV183" s="420"/>
      <c r="KW183" s="420"/>
      <c r="KX183" s="108"/>
      <c r="KY183" s="282"/>
      <c r="KZ183" s="282"/>
      <c r="LA183" s="282"/>
      <c r="LB183" s="282"/>
      <c r="LC183" s="286"/>
      <c r="LD183" s="286"/>
      <c r="LE183" s="282"/>
      <c r="LF183" s="282"/>
      <c r="LG183" s="282"/>
      <c r="LH183" s="282"/>
      <c r="LI183" s="282"/>
      <c r="LJ183" s="282"/>
      <c r="LK183" s="282"/>
      <c r="LL183" s="282"/>
      <c r="LM183" s="282"/>
      <c r="LN183" s="282"/>
      <c r="LO183" s="282"/>
      <c r="LP183" s="286"/>
      <c r="LQ183" s="282"/>
      <c r="LR183" s="282"/>
      <c r="LS183" s="282"/>
      <c r="LT183" s="286"/>
      <c r="LU183" s="286"/>
      <c r="LV183" s="286"/>
      <c r="LW183" s="286"/>
      <c r="LX183" s="286"/>
      <c r="LY183" s="286"/>
      <c r="LZ183" s="286"/>
      <c r="MA183" s="286"/>
      <c r="MB183" s="286"/>
      <c r="MC183" s="286"/>
      <c r="MD183" s="286"/>
      <c r="ME183" s="286"/>
      <c r="MF183" s="286"/>
      <c r="MG183" s="286"/>
      <c r="MH183" s="286"/>
      <c r="MI183" s="286"/>
      <c r="MJ183" s="286"/>
      <c r="MK183" s="286"/>
      <c r="ML183" s="282"/>
      <c r="MM183" s="1232"/>
      <c r="MN183" s="1232"/>
      <c r="MO183" s="1232"/>
      <c r="MP183" s="1232"/>
      <c r="MQ183" s="282"/>
      <c r="MR183" s="282"/>
      <c r="MS183" s="282"/>
      <c r="MT183" s="282"/>
      <c r="MU183" s="282"/>
      <c r="MV183" s="282"/>
      <c r="MW183" s="282"/>
      <c r="MX183" s="282"/>
      <c r="MY183" s="282"/>
      <c r="MZ183" s="282"/>
      <c r="NA183" s="282"/>
      <c r="NB183" s="282"/>
      <c r="NC183" s="282"/>
      <c r="ND183" s="282"/>
      <c r="NE183" s="282"/>
      <c r="NF183" s="282"/>
      <c r="NG183" s="282"/>
      <c r="NH183" s="282"/>
      <c r="NI183" s="282"/>
      <c r="NJ183" s="282"/>
      <c r="NK183" s="282"/>
      <c r="NL183" s="282"/>
      <c r="NM183" s="1205"/>
      <c r="NN183" s="282"/>
      <c r="NO183" s="282"/>
      <c r="NP183" s="282"/>
      <c r="NQ183" s="282"/>
      <c r="NR183" s="282"/>
      <c r="NS183" s="282"/>
      <c r="NT183" s="282"/>
      <c r="NU183" s="282"/>
      <c r="NV183" s="286"/>
      <c r="NW183" s="286"/>
      <c r="NX183" s="286"/>
      <c r="NY183" s="286"/>
      <c r="NZ183" s="286"/>
      <c r="OA183" s="286"/>
      <c r="OB183" s="286"/>
      <c r="OC183" s="286"/>
      <c r="OD183" s="286"/>
      <c r="OE183" s="282"/>
      <c r="OF183" s="282"/>
      <c r="OG183" s="286"/>
      <c r="OH183" s="286"/>
      <c r="OI183" s="286"/>
      <c r="OJ183" s="286"/>
      <c r="OK183" s="286"/>
      <c r="OL183" s="286"/>
      <c r="OM183" s="286"/>
      <c r="ON183" s="286"/>
      <c r="OO183" s="286"/>
      <c r="OP183" s="434"/>
      <c r="OQ183" s="434"/>
      <c r="OR183" s="282"/>
      <c r="OS183" s="282"/>
      <c r="OT183" s="282"/>
      <c r="OU183" s="282"/>
      <c r="OV183" s="282"/>
      <c r="OW183" s="286"/>
      <c r="OX183" s="286"/>
      <c r="OY183" s="286"/>
      <c r="OZ183" s="286"/>
      <c r="PA183" s="286"/>
      <c r="PB183" s="286"/>
      <c r="PC183" s="286"/>
      <c r="PD183" s="282"/>
      <c r="PE183" s="282"/>
      <c r="PF183" s="286"/>
      <c r="PG183" s="286"/>
      <c r="PH183" s="286"/>
      <c r="PI183" s="286"/>
      <c r="PJ183" s="286"/>
      <c r="PK183" s="286"/>
      <c r="PL183" s="286"/>
      <c r="PM183" s="562"/>
    </row>
    <row r="184" spans="1:429" s="289" customFormat="1" ht="15.75" customHeight="1">
      <c r="A184" s="1040"/>
      <c r="B184" s="1040"/>
      <c r="C184" s="1340"/>
      <c r="D184" s="279"/>
      <c r="E184" s="1533"/>
      <c r="F184" s="1340"/>
      <c r="G184" s="1340"/>
      <c r="H184" s="1340"/>
      <c r="I184" s="1340"/>
      <c r="J184" s="1340"/>
      <c r="K184" s="1348"/>
      <c r="L184" s="1199"/>
      <c r="M184" s="1199"/>
      <c r="N184" s="1199"/>
      <c r="O184" s="1199"/>
      <c r="P184" s="1199"/>
      <c r="Q184" s="1340"/>
      <c r="R184" s="1340"/>
      <c r="S184" s="1340"/>
      <c r="T184" s="1199"/>
      <c r="U184" s="1199"/>
      <c r="V184" s="1199"/>
      <c r="W184" s="1340"/>
      <c r="X184" s="1340"/>
      <c r="Y184" s="1199"/>
      <c r="Z184" s="1199"/>
      <c r="AA184" s="1340"/>
      <c r="AB184" s="1331"/>
      <c r="AC184" s="1199"/>
      <c r="AD184" s="1200"/>
      <c r="AE184" s="1340"/>
      <c r="AF184" s="1340"/>
      <c r="AG184" s="1199"/>
      <c r="AH184" s="1340"/>
      <c r="AI184" s="1340"/>
      <c r="AJ184" s="1199"/>
      <c r="AK184" s="1348"/>
      <c r="AL184" s="1348"/>
      <c r="AM184" s="1639"/>
      <c r="AN184" s="1199"/>
      <c r="AO184" s="1340"/>
      <c r="AP184" s="1340"/>
      <c r="AQ184" s="1639"/>
      <c r="AR184" s="1199"/>
      <c r="AS184" s="1200"/>
      <c r="AT184" s="1200"/>
      <c r="AU184" s="1200"/>
      <c r="AV184" s="1200"/>
      <c r="AW184" s="1200"/>
      <c r="AX184" s="1348"/>
      <c r="AY184" s="1348"/>
      <c r="AZ184" s="1348"/>
      <c r="BA184" s="1348"/>
      <c r="BB184" s="1348"/>
      <c r="BC184" s="1348"/>
      <c r="BD184" s="1348"/>
      <c r="BE184" s="1340"/>
      <c r="BF184" s="1340"/>
      <c r="BG184" s="1340"/>
      <c r="BH184" s="1340"/>
      <c r="BI184" s="1348"/>
      <c r="BJ184" s="1340"/>
      <c r="BK184" s="1340"/>
      <c r="BL184" s="1331"/>
      <c r="BM184" s="1340"/>
      <c r="BN184" s="1340"/>
      <c r="BO184" s="1200"/>
      <c r="BP184" s="1348"/>
      <c r="BQ184" s="1348"/>
      <c r="BR184" s="1349"/>
      <c r="BS184" s="1422"/>
      <c r="BT184" s="1350"/>
      <c r="BU184" s="1350"/>
      <c r="BV184" s="1349"/>
      <c r="BW184" s="1340"/>
      <c r="BX184" s="1340"/>
      <c r="BY184" s="1340"/>
      <c r="BZ184" s="1340"/>
      <c r="CA184" s="1340"/>
      <c r="CB184" s="1340"/>
      <c r="CC184" s="1340"/>
      <c r="CD184" s="1340"/>
      <c r="CE184" s="1340"/>
      <c r="CF184" s="1340"/>
      <c r="CG184" s="1340"/>
      <c r="CH184" s="1340"/>
      <c r="CI184" s="1340"/>
      <c r="CJ184" s="1340"/>
      <c r="CK184" s="30"/>
      <c r="CL184" s="30"/>
      <c r="CM184" s="30"/>
      <c r="CN184" s="30"/>
      <c r="CO184" s="30"/>
      <c r="CP184" s="30"/>
      <c r="CQ184" s="30"/>
      <c r="CR184" s="30"/>
      <c r="CS184" s="30"/>
      <c r="CT184" s="30"/>
      <c r="CU184" s="30"/>
      <c r="CV184" s="1340"/>
      <c r="CW184" s="1340"/>
      <c r="CX184" s="1340"/>
      <c r="CY184" s="1340"/>
      <c r="CZ184" s="1340"/>
      <c r="DA184" s="1340"/>
      <c r="DB184" s="1340"/>
      <c r="DC184" s="30"/>
      <c r="DD184" s="30"/>
      <c r="DE184" s="30"/>
      <c r="DF184" s="30"/>
      <c r="DG184" s="30"/>
      <c r="DH184" s="30"/>
      <c r="DI184" s="30"/>
      <c r="DJ184" s="1340"/>
      <c r="DK184" s="1340"/>
      <c r="DL184" s="1340"/>
      <c r="DM184" s="1340"/>
      <c r="DN184" s="1340"/>
      <c r="DO184" s="1340"/>
      <c r="DP184" s="1340"/>
      <c r="DQ184" s="1340"/>
      <c r="DR184" s="1340"/>
      <c r="DS184" s="1340"/>
      <c r="DT184" s="1340"/>
      <c r="DU184" s="1340"/>
      <c r="DV184" s="1340"/>
      <c r="DW184" s="1340"/>
      <c r="DX184" s="1340"/>
      <c r="DY184" s="1340"/>
      <c r="DZ184" s="1340"/>
      <c r="EA184" s="1340"/>
      <c r="EB184" s="1340"/>
      <c r="EC184" s="1340"/>
      <c r="ED184" s="1337"/>
      <c r="EE184" s="1340"/>
      <c r="EF184" s="1340"/>
      <c r="EG184" s="1348"/>
      <c r="EH184" s="1348"/>
      <c r="EI184" s="1203"/>
      <c r="EJ184" s="1340"/>
      <c r="EK184" s="1340"/>
      <c r="EL184" s="1340"/>
      <c r="EM184" s="1340"/>
      <c r="EN184" s="1331"/>
      <c r="EO184" s="1340"/>
      <c r="EP184" s="1340"/>
      <c r="EQ184" s="1340"/>
      <c r="ER184" s="1348"/>
      <c r="ES184" s="1340"/>
      <c r="ET184" s="1340"/>
      <c r="EU184" s="1348"/>
      <c r="EV184" s="1340"/>
      <c r="EW184" s="1340"/>
      <c r="EX184" s="1348"/>
      <c r="EY184" s="1340"/>
      <c r="EZ184" s="1340"/>
      <c r="FA184" s="1340"/>
      <c r="FB184" s="1340"/>
      <c r="FC184" s="1340"/>
      <c r="FD184" s="1340"/>
      <c r="FE184" s="1340"/>
      <c r="FF184" s="1340"/>
      <c r="FG184" s="1340"/>
      <c r="FH184" s="30"/>
      <c r="FI184" s="30"/>
      <c r="FJ184" s="30"/>
      <c r="FK184" s="30"/>
      <c r="FL184" s="30"/>
      <c r="FM184" s="30"/>
      <c r="FN184" s="30"/>
      <c r="FO184" s="30"/>
      <c r="FP184" s="30"/>
      <c r="FQ184" s="1340"/>
      <c r="FR184" s="1340"/>
      <c r="FS184" s="1340"/>
      <c r="FT184" s="1340"/>
      <c r="FU184" s="1340"/>
      <c r="FV184" s="1340"/>
      <c r="FW184" s="1340"/>
      <c r="FX184" s="1340"/>
      <c r="FY184" s="1340"/>
      <c r="FZ184" s="30"/>
      <c r="GA184" s="30"/>
      <c r="GB184" s="30"/>
      <c r="GC184" s="30"/>
      <c r="GD184" s="30"/>
      <c r="GE184" s="30"/>
      <c r="GF184" s="30"/>
      <c r="GG184" s="30"/>
      <c r="GH184" s="30"/>
      <c r="GI184" s="281"/>
      <c r="GJ184" s="1052"/>
      <c r="GK184" s="622"/>
      <c r="GL184" s="1052"/>
      <c r="GM184" s="622"/>
      <c r="GN184" s="1370"/>
      <c r="GO184" s="1370"/>
      <c r="GP184" s="1370"/>
      <c r="GQ184" s="1370"/>
      <c r="GR184" s="1370"/>
      <c r="GS184" s="1370"/>
      <c r="GT184" s="1370"/>
      <c r="GU184" s="1370"/>
      <c r="GV184" s="1370"/>
      <c r="GW184" s="1370"/>
      <c r="GX184" s="1370"/>
      <c r="GY184" s="1370"/>
      <c r="GZ184" s="1370"/>
      <c r="HA184" s="1370"/>
      <c r="HB184" s="1370"/>
      <c r="HC184" s="1370"/>
      <c r="HD184" s="1370"/>
      <c r="HE184" s="1370"/>
      <c r="HF184" s="1370"/>
      <c r="HG184" s="1340"/>
      <c r="HH184" s="1340"/>
      <c r="HI184" s="1340"/>
      <c r="HJ184" s="1340"/>
      <c r="HK184" s="1340"/>
      <c r="HL184" s="1340"/>
      <c r="HM184" s="1340"/>
      <c r="HN184" s="1340"/>
      <c r="HO184" s="1340"/>
      <c r="HP184" s="1052"/>
      <c r="HQ184" s="1052"/>
      <c r="HR184" s="1052"/>
      <c r="HS184" s="1052"/>
      <c r="HT184" s="1052"/>
      <c r="HU184" s="1052"/>
      <c r="HV184" s="1052"/>
      <c r="HW184" s="1052"/>
      <c r="HX184" s="1052"/>
      <c r="HY184" s="1052"/>
      <c r="HZ184" s="51"/>
      <c r="IA184" s="59"/>
      <c r="IB184" s="59"/>
      <c r="IC184" s="815"/>
      <c r="ID184" s="815"/>
      <c r="IE184" s="284"/>
      <c r="IF184" s="284"/>
      <c r="IG184" s="284"/>
      <c r="IH184" s="284"/>
      <c r="II184" s="1288"/>
      <c r="IJ184" s="1288"/>
      <c r="IK184" s="284"/>
      <c r="IL184" s="284"/>
      <c r="IM184" s="284"/>
      <c r="IN184" s="284"/>
      <c r="IO184" s="753"/>
      <c r="IP184" s="113"/>
      <c r="IQ184" s="30"/>
      <c r="IR184" s="438"/>
      <c r="IS184" s="438"/>
      <c r="IT184" s="438"/>
      <c r="IU184" s="438"/>
      <c r="IV184" s="438"/>
      <c r="IW184" s="438"/>
      <c r="IX184" s="285"/>
      <c r="IY184" s="285"/>
      <c r="IZ184" s="285"/>
      <c r="JA184" s="285"/>
      <c r="JB184" s="285"/>
      <c r="JC184" s="285"/>
      <c r="JD184" s="60"/>
      <c r="JE184" s="60"/>
      <c r="JF184" s="60"/>
      <c r="JG184" s="60"/>
      <c r="JH184" s="284"/>
      <c r="JI184" s="284"/>
      <c r="JJ184" s="560"/>
      <c r="JK184" s="561"/>
      <c r="JL184" s="561"/>
      <c r="JM184" s="561"/>
      <c r="JN184" s="561"/>
      <c r="JO184" s="561"/>
      <c r="JP184" s="561"/>
      <c r="JQ184" s="561"/>
      <c r="JR184" s="61"/>
      <c r="JS184" s="61"/>
      <c r="JT184" s="61"/>
      <c r="JU184" s="61"/>
      <c r="JV184" s="61"/>
      <c r="JW184" s="61"/>
      <c r="JX184" s="61"/>
      <c r="JY184" s="394"/>
      <c r="JZ184" s="61"/>
      <c r="KA184" s="61"/>
      <c r="KB184" s="61"/>
      <c r="KC184" s="61"/>
      <c r="KD184" s="61"/>
      <c r="KE184" s="61"/>
      <c r="KF184" s="61"/>
      <c r="KG184" s="61"/>
      <c r="KH184" s="61"/>
      <c r="KI184" s="394"/>
      <c r="KJ184" s="438"/>
      <c r="KK184" s="438"/>
      <c r="KL184" s="438"/>
      <c r="KM184" s="438"/>
      <c r="KN184" s="438"/>
      <c r="KO184" s="438"/>
      <c r="KP184" s="438"/>
      <c r="KQ184" s="438"/>
      <c r="KR184" s="438"/>
      <c r="KS184" s="438"/>
      <c r="KT184" s="438"/>
      <c r="KU184" s="438"/>
      <c r="KV184" s="420"/>
      <c r="KW184" s="420"/>
      <c r="KX184" s="108"/>
      <c r="KY184" s="282"/>
      <c r="KZ184" s="282"/>
      <c r="LA184" s="282"/>
      <c r="LB184" s="282"/>
      <c r="LC184" s="286"/>
      <c r="LD184" s="286"/>
      <c r="LE184" s="282"/>
      <c r="LF184" s="282"/>
      <c r="LG184" s="282"/>
      <c r="LH184" s="282"/>
      <c r="LI184" s="282"/>
      <c r="LJ184" s="282"/>
      <c r="LK184" s="282"/>
      <c r="LL184" s="282"/>
      <c r="LM184" s="282"/>
      <c r="LN184" s="282"/>
      <c r="LO184" s="282"/>
      <c r="LP184" s="286"/>
      <c r="LQ184" s="282"/>
      <c r="LR184" s="282"/>
      <c r="LS184" s="282"/>
      <c r="LT184" s="286"/>
      <c r="LU184" s="286"/>
      <c r="LV184" s="286"/>
      <c r="LW184" s="286"/>
      <c r="LX184" s="286"/>
      <c r="LY184" s="286"/>
      <c r="LZ184" s="286"/>
      <c r="MA184" s="286"/>
      <c r="MB184" s="286"/>
      <c r="MC184" s="286"/>
      <c r="MD184" s="286"/>
      <c r="ME184" s="286"/>
      <c r="MF184" s="286"/>
      <c r="MG184" s="286"/>
      <c r="MH184" s="286"/>
      <c r="MI184" s="286"/>
      <c r="MJ184" s="286"/>
      <c r="MK184" s="286"/>
      <c r="ML184" s="282"/>
      <c r="MM184" s="1232"/>
      <c r="MN184" s="1232"/>
      <c r="MO184" s="1232"/>
      <c r="MP184" s="1232"/>
      <c r="MQ184" s="282"/>
      <c r="MR184" s="282"/>
      <c r="MS184" s="282"/>
      <c r="MT184" s="282"/>
      <c r="MU184" s="282"/>
      <c r="MV184" s="282"/>
      <c r="MW184" s="282"/>
      <c r="MX184" s="282"/>
      <c r="MY184" s="282"/>
      <c r="MZ184" s="282"/>
      <c r="NA184" s="282"/>
      <c r="NB184" s="282"/>
      <c r="NC184" s="282"/>
      <c r="ND184" s="282"/>
      <c r="NE184" s="282"/>
      <c r="NF184" s="282"/>
      <c r="NG184" s="282"/>
      <c r="NH184" s="282"/>
      <c r="NI184" s="282"/>
      <c r="NJ184" s="282"/>
      <c r="NK184" s="282"/>
      <c r="NL184" s="282"/>
      <c r="NM184" s="1205"/>
      <c r="NN184" s="282"/>
      <c r="NO184" s="282"/>
      <c r="NP184" s="282"/>
      <c r="NQ184" s="282"/>
      <c r="NR184" s="282"/>
      <c r="NS184" s="282"/>
      <c r="NT184" s="282"/>
      <c r="NU184" s="282"/>
      <c r="NV184" s="286"/>
      <c r="NW184" s="286"/>
      <c r="NX184" s="286"/>
      <c r="NY184" s="286"/>
      <c r="NZ184" s="286"/>
      <c r="OA184" s="286"/>
      <c r="OB184" s="286"/>
      <c r="OC184" s="286"/>
      <c r="OD184" s="286"/>
      <c r="OE184" s="282"/>
      <c r="OF184" s="282"/>
      <c r="OG184" s="286"/>
      <c r="OH184" s="286"/>
      <c r="OI184" s="286"/>
      <c r="OJ184" s="286"/>
      <c r="OK184" s="286"/>
      <c r="OL184" s="286"/>
      <c r="OM184" s="286"/>
      <c r="ON184" s="286"/>
      <c r="OO184" s="286"/>
      <c r="OP184" s="434"/>
      <c r="OQ184" s="434"/>
      <c r="OR184" s="282"/>
      <c r="OS184" s="282"/>
      <c r="OT184" s="282"/>
      <c r="OU184" s="282"/>
      <c r="OV184" s="282"/>
      <c r="OW184" s="286"/>
      <c r="OX184" s="286"/>
      <c r="OY184" s="286"/>
      <c r="OZ184" s="286"/>
      <c r="PA184" s="286"/>
      <c r="PB184" s="286"/>
      <c r="PC184" s="286"/>
      <c r="PD184" s="282"/>
      <c r="PE184" s="282"/>
      <c r="PF184" s="286"/>
      <c r="PG184" s="286"/>
      <c r="PH184" s="286"/>
      <c r="PI184" s="286"/>
      <c r="PJ184" s="286"/>
      <c r="PK184" s="286"/>
      <c r="PL184" s="286"/>
      <c r="PM184" s="562"/>
    </row>
    <row r="185" spans="1:429" s="289" customFormat="1" ht="15.75" customHeight="1">
      <c r="A185" s="1040"/>
      <c r="B185" s="1040"/>
      <c r="C185" s="1340"/>
      <c r="D185" s="279"/>
      <c r="E185" s="1533"/>
      <c r="F185" s="1340"/>
      <c r="G185" s="1340"/>
      <c r="H185" s="1340"/>
      <c r="I185" s="1340"/>
      <c r="J185" s="1340"/>
      <c r="K185" s="1348"/>
      <c r="L185" s="1199"/>
      <c r="M185" s="1199"/>
      <c r="N185" s="1199"/>
      <c r="O185" s="1199"/>
      <c r="P185" s="1199"/>
      <c r="Q185" s="1340"/>
      <c r="R185" s="1340"/>
      <c r="S185" s="1340"/>
      <c r="T185" s="1199"/>
      <c r="U185" s="1199"/>
      <c r="V185" s="1199"/>
      <c r="W185" s="1340"/>
      <c r="X185" s="1340"/>
      <c r="Y185" s="1199"/>
      <c r="Z185" s="1199"/>
      <c r="AA185" s="1340"/>
      <c r="AB185" s="1331"/>
      <c r="AC185" s="1199"/>
      <c r="AD185" s="1200"/>
      <c r="AE185" s="1340"/>
      <c r="AF185" s="1340"/>
      <c r="AG185" s="1199"/>
      <c r="AH185" s="1340"/>
      <c r="AI185" s="1340"/>
      <c r="AJ185" s="1199"/>
      <c r="AK185" s="1348"/>
      <c r="AL185" s="1348"/>
      <c r="AM185" s="1639"/>
      <c r="AN185" s="1199"/>
      <c r="AO185" s="1340"/>
      <c r="AP185" s="1340"/>
      <c r="AQ185" s="1639"/>
      <c r="AR185" s="1199"/>
      <c r="AS185" s="1200"/>
      <c r="AT185" s="1200"/>
      <c r="AU185" s="1200"/>
      <c r="AV185" s="1200"/>
      <c r="AW185" s="1200"/>
      <c r="AX185" s="1348"/>
      <c r="AY185" s="1348"/>
      <c r="AZ185" s="1348"/>
      <c r="BA185" s="1348"/>
      <c r="BB185" s="1348"/>
      <c r="BC185" s="1348"/>
      <c r="BD185" s="1348"/>
      <c r="BE185" s="1340"/>
      <c r="BF185" s="1340"/>
      <c r="BG185" s="1340"/>
      <c r="BH185" s="1340"/>
      <c r="BI185" s="1348"/>
      <c r="BJ185" s="1340"/>
      <c r="BK185" s="1340"/>
      <c r="BL185" s="1331"/>
      <c r="BM185" s="1340"/>
      <c r="BN185" s="1340"/>
      <c r="BO185" s="1200"/>
      <c r="BP185" s="1348"/>
      <c r="BQ185" s="1348"/>
      <c r="BR185" s="1349"/>
      <c r="BS185" s="1422"/>
      <c r="BT185" s="1350"/>
      <c r="BU185" s="1350"/>
      <c r="BV185" s="1349"/>
      <c r="BW185" s="1340"/>
      <c r="BX185" s="1340"/>
      <c r="BY185" s="1340"/>
      <c r="BZ185" s="1340"/>
      <c r="CA185" s="1340"/>
      <c r="CB185" s="1340"/>
      <c r="CC185" s="1340"/>
      <c r="CD185" s="1340"/>
      <c r="CE185" s="1340"/>
      <c r="CF185" s="1340"/>
      <c r="CG185" s="1340"/>
      <c r="CH185" s="1340"/>
      <c r="CI185" s="1340"/>
      <c r="CJ185" s="1340"/>
      <c r="CK185" s="30"/>
      <c r="CL185" s="30"/>
      <c r="CM185" s="30"/>
      <c r="CN185" s="30"/>
      <c r="CO185" s="30"/>
      <c r="CP185" s="30"/>
      <c r="CQ185" s="30"/>
      <c r="CR185" s="30"/>
      <c r="CS185" s="30"/>
      <c r="CT185" s="30"/>
      <c r="CU185" s="30"/>
      <c r="CV185" s="1340"/>
      <c r="CW185" s="1340"/>
      <c r="CX185" s="1340"/>
      <c r="CY185" s="1340"/>
      <c r="CZ185" s="1340"/>
      <c r="DA185" s="1340"/>
      <c r="DB185" s="1340"/>
      <c r="DC185" s="30"/>
      <c r="DD185" s="30"/>
      <c r="DE185" s="30"/>
      <c r="DF185" s="30"/>
      <c r="DG185" s="30"/>
      <c r="DH185" s="30"/>
      <c r="DI185" s="30"/>
      <c r="DJ185" s="1340"/>
      <c r="DK185" s="1340"/>
      <c r="DL185" s="1340"/>
      <c r="DM185" s="1340"/>
      <c r="DN185" s="1340"/>
      <c r="DO185" s="1340"/>
      <c r="DP185" s="1340"/>
      <c r="DQ185" s="1340"/>
      <c r="DR185" s="1340"/>
      <c r="DS185" s="1340"/>
      <c r="DT185" s="1340"/>
      <c r="DU185" s="1340"/>
      <c r="DV185" s="1340"/>
      <c r="DW185" s="1340"/>
      <c r="DX185" s="1340"/>
      <c r="DY185" s="1340"/>
      <c r="DZ185" s="1340"/>
      <c r="EA185" s="1340"/>
      <c r="EB185" s="1340"/>
      <c r="EC185" s="1340"/>
      <c r="ED185" s="1337"/>
      <c r="EE185" s="1340"/>
      <c r="EF185" s="1340"/>
      <c r="EG185" s="1348"/>
      <c r="EH185" s="1348"/>
      <c r="EI185" s="1203"/>
      <c r="EJ185" s="1340"/>
      <c r="EK185" s="1340"/>
      <c r="EL185" s="1340"/>
      <c r="EM185" s="1340"/>
      <c r="EN185" s="1331"/>
      <c r="EO185" s="1340"/>
      <c r="EP185" s="1340"/>
      <c r="EQ185" s="1340"/>
      <c r="ER185" s="1348"/>
      <c r="ES185" s="1340"/>
      <c r="ET185" s="1340"/>
      <c r="EU185" s="1348"/>
      <c r="EV185" s="1340"/>
      <c r="EW185" s="1340"/>
      <c r="EX185" s="1348"/>
      <c r="EY185" s="1340"/>
      <c r="EZ185" s="1340"/>
      <c r="FA185" s="1340"/>
      <c r="FB185" s="1340"/>
      <c r="FC185" s="1340"/>
      <c r="FD185" s="1340"/>
      <c r="FE185" s="1340"/>
      <c r="FF185" s="1340"/>
      <c r="FG185" s="1340"/>
      <c r="FH185" s="30"/>
      <c r="FI185" s="30"/>
      <c r="FJ185" s="30"/>
      <c r="FK185" s="30"/>
      <c r="FL185" s="30"/>
      <c r="FM185" s="30"/>
      <c r="FN185" s="30"/>
      <c r="FO185" s="30"/>
      <c r="FP185" s="30"/>
      <c r="FQ185" s="1340"/>
      <c r="FR185" s="1340"/>
      <c r="FS185" s="1340"/>
      <c r="FT185" s="1340"/>
      <c r="FU185" s="1340"/>
      <c r="FV185" s="1340"/>
      <c r="FW185" s="1340"/>
      <c r="FX185" s="1340"/>
      <c r="FY185" s="1340"/>
      <c r="FZ185" s="30"/>
      <c r="GA185" s="30"/>
      <c r="GB185" s="30"/>
      <c r="GC185" s="30"/>
      <c r="GD185" s="30"/>
      <c r="GE185" s="30"/>
      <c r="GF185" s="30"/>
      <c r="GG185" s="30"/>
      <c r="GH185" s="30"/>
      <c r="GI185" s="281"/>
      <c r="GJ185" s="1052"/>
      <c r="GK185" s="622"/>
      <c r="GL185" s="1052"/>
      <c r="GM185" s="622"/>
      <c r="GN185" s="1052"/>
      <c r="GO185" s="1052"/>
      <c r="GP185" s="1052"/>
      <c r="GQ185" s="1052"/>
      <c r="GR185" s="1052"/>
      <c r="GS185" s="1052"/>
      <c r="GT185" s="1052"/>
      <c r="GU185" s="1052"/>
      <c r="GV185" s="1052"/>
      <c r="GW185" s="1052"/>
      <c r="GX185" s="1052"/>
      <c r="GY185" s="1052"/>
      <c r="GZ185" s="30"/>
      <c r="HA185" s="30"/>
      <c r="HB185" s="30"/>
      <c r="HC185" s="30"/>
      <c r="HD185" s="30"/>
      <c r="HE185" s="30"/>
      <c r="HF185" s="1527"/>
      <c r="HG185" s="1340"/>
      <c r="HH185" s="1340"/>
      <c r="HI185" s="1340"/>
      <c r="HJ185" s="1340"/>
      <c r="HK185" s="1340"/>
      <c r="HL185" s="1340"/>
      <c r="HM185" s="1340"/>
      <c r="HN185" s="1340"/>
      <c r="HO185" s="1340"/>
      <c r="HP185" s="1052"/>
      <c r="HQ185" s="1052"/>
      <c r="HR185" s="1052"/>
      <c r="HS185" s="1052"/>
      <c r="HT185" s="1052"/>
      <c r="HU185" s="1052"/>
      <c r="HV185" s="1052"/>
      <c r="HW185" s="1052"/>
      <c r="HX185" s="1052"/>
      <c r="HY185" s="1052"/>
      <c r="HZ185" s="51"/>
      <c r="IA185" s="59"/>
      <c r="IB185" s="59"/>
      <c r="IC185" s="815"/>
      <c r="ID185" s="815"/>
      <c r="IE185" s="284"/>
      <c r="IF185" s="284"/>
      <c r="IG185" s="284"/>
      <c r="IH185" s="284"/>
      <c r="II185" s="1288"/>
      <c r="IJ185" s="1288"/>
      <c r="IK185" s="284"/>
      <c r="IL185" s="284"/>
      <c r="IM185" s="284"/>
      <c r="IN185" s="284"/>
      <c r="IO185" s="753"/>
      <c r="IP185" s="113"/>
      <c r="IQ185" s="30"/>
      <c r="IR185" s="438"/>
      <c r="IS185" s="438"/>
      <c r="IT185" s="438"/>
      <c r="IU185" s="438"/>
      <c r="IV185" s="438"/>
      <c r="IW185" s="438"/>
      <c r="IX185" s="285"/>
      <c r="IY185" s="285"/>
      <c r="IZ185" s="285"/>
      <c r="JA185" s="285"/>
      <c r="JB185" s="285"/>
      <c r="JC185" s="285"/>
      <c r="JD185" s="60"/>
      <c r="JE185" s="60"/>
      <c r="JF185" s="60"/>
      <c r="JG185" s="60"/>
      <c r="JH185" s="284"/>
      <c r="JI185" s="284"/>
      <c r="JJ185" s="560"/>
      <c r="JK185" s="561"/>
      <c r="JL185" s="561"/>
      <c r="JM185" s="561"/>
      <c r="JN185" s="561"/>
      <c r="JO185" s="561"/>
      <c r="JP185" s="561"/>
      <c r="JQ185" s="561"/>
      <c r="JR185" s="61"/>
      <c r="JS185" s="61"/>
      <c r="JT185" s="61"/>
      <c r="JU185" s="61"/>
      <c r="JV185" s="61"/>
      <c r="JW185" s="61"/>
      <c r="JX185" s="61"/>
      <c r="JY185" s="394"/>
      <c r="JZ185" s="61"/>
      <c r="KA185" s="61"/>
      <c r="KB185" s="61"/>
      <c r="KC185" s="61"/>
      <c r="KD185" s="61"/>
      <c r="KE185" s="61"/>
      <c r="KF185" s="61"/>
      <c r="KG185" s="61"/>
      <c r="KH185" s="61"/>
      <c r="KI185" s="394"/>
      <c r="KJ185" s="438"/>
      <c r="KK185" s="438"/>
      <c r="KL185" s="438"/>
      <c r="KM185" s="438"/>
      <c r="KN185" s="438"/>
      <c r="KO185" s="438"/>
      <c r="KP185" s="438"/>
      <c r="KQ185" s="438"/>
      <c r="KR185" s="438"/>
      <c r="KS185" s="438"/>
      <c r="KT185" s="438"/>
      <c r="KU185" s="438"/>
      <c r="KV185" s="420"/>
      <c r="KW185" s="420"/>
      <c r="KX185" s="108"/>
      <c r="KY185" s="282"/>
      <c r="KZ185" s="282"/>
      <c r="LA185" s="282"/>
      <c r="LB185" s="282"/>
      <c r="LC185" s="286"/>
      <c r="LD185" s="286"/>
      <c r="LE185" s="282"/>
      <c r="LF185" s="282"/>
      <c r="LG185" s="282"/>
      <c r="LH185" s="282"/>
      <c r="LI185" s="282"/>
      <c r="LJ185" s="282"/>
      <c r="LK185" s="282"/>
      <c r="LL185" s="282"/>
      <c r="LM185" s="282"/>
      <c r="LN185" s="282"/>
      <c r="LO185" s="282"/>
      <c r="LP185" s="286"/>
      <c r="LQ185" s="282"/>
      <c r="LR185" s="282"/>
      <c r="LS185" s="282"/>
      <c r="LT185" s="286"/>
      <c r="LU185" s="286"/>
      <c r="LV185" s="286"/>
      <c r="LW185" s="286"/>
      <c r="LX185" s="286"/>
      <c r="LY185" s="286"/>
      <c r="LZ185" s="286"/>
      <c r="MA185" s="286"/>
      <c r="MB185" s="286"/>
      <c r="MC185" s="286"/>
      <c r="MD185" s="286"/>
      <c r="ME185" s="286"/>
      <c r="MF185" s="286"/>
      <c r="MG185" s="286"/>
      <c r="MH185" s="286"/>
      <c r="MI185" s="286"/>
      <c r="MJ185" s="286"/>
      <c r="MK185" s="286"/>
      <c r="ML185" s="282"/>
      <c r="MM185" s="1232"/>
      <c r="MN185" s="1232"/>
      <c r="MO185" s="1232"/>
      <c r="MP185" s="1232"/>
      <c r="MQ185" s="282"/>
      <c r="MR185" s="282"/>
      <c r="MS185" s="282"/>
      <c r="MT185" s="282"/>
      <c r="MU185" s="282"/>
      <c r="MV185" s="282"/>
      <c r="MW185" s="282"/>
      <c r="MX185" s="282"/>
      <c r="MY185" s="282"/>
      <c r="MZ185" s="282"/>
      <c r="NA185" s="282"/>
      <c r="NB185" s="282"/>
      <c r="NC185" s="282"/>
      <c r="ND185" s="282"/>
      <c r="NE185" s="282"/>
      <c r="NF185" s="282"/>
      <c r="NG185" s="282"/>
      <c r="NH185" s="282"/>
      <c r="NI185" s="282"/>
      <c r="NJ185" s="282"/>
      <c r="NK185" s="282"/>
      <c r="NL185" s="282"/>
      <c r="NM185" s="1205"/>
      <c r="NN185" s="282"/>
      <c r="NO185" s="282"/>
      <c r="NP185" s="282"/>
      <c r="NQ185" s="282"/>
      <c r="NR185" s="282"/>
      <c r="NS185" s="282"/>
      <c r="NT185" s="282"/>
      <c r="NU185" s="282"/>
      <c r="NV185" s="286"/>
      <c r="NW185" s="286"/>
      <c r="NX185" s="286"/>
      <c r="NY185" s="286"/>
      <c r="NZ185" s="286"/>
      <c r="OA185" s="286"/>
      <c r="OB185" s="286"/>
      <c r="OC185" s="286"/>
      <c r="OD185" s="286"/>
      <c r="OE185" s="282"/>
      <c r="OF185" s="282"/>
      <c r="OG185" s="286"/>
      <c r="OH185" s="286"/>
      <c r="OI185" s="286"/>
      <c r="OJ185" s="286"/>
      <c r="OK185" s="286"/>
      <c r="OL185" s="286"/>
      <c r="OM185" s="286"/>
      <c r="ON185" s="286"/>
      <c r="OO185" s="286"/>
      <c r="OP185" s="434"/>
      <c r="OQ185" s="434"/>
      <c r="OR185" s="282"/>
      <c r="OS185" s="282"/>
      <c r="OT185" s="282"/>
      <c r="OU185" s="282"/>
      <c r="OV185" s="282"/>
      <c r="OW185" s="286"/>
      <c r="OX185" s="286"/>
      <c r="OY185" s="286"/>
      <c r="OZ185" s="286"/>
      <c r="PA185" s="286"/>
      <c r="PB185" s="286"/>
      <c r="PC185" s="286"/>
      <c r="PD185" s="282"/>
      <c r="PE185" s="282"/>
      <c r="PF185" s="286"/>
      <c r="PG185" s="286"/>
      <c r="PH185" s="286"/>
      <c r="PI185" s="286"/>
      <c r="PJ185" s="286"/>
      <c r="PK185" s="286"/>
      <c r="PL185" s="286"/>
      <c r="PM185" s="562"/>
    </row>
    <row r="186" spans="1:429" s="289" customFormat="1" ht="15.75" customHeight="1">
      <c r="A186" s="1040"/>
      <c r="B186" s="1040"/>
      <c r="C186" s="1340"/>
      <c r="D186" s="279"/>
      <c r="E186" s="1533"/>
      <c r="F186" s="1340"/>
      <c r="G186" s="1340"/>
      <c r="H186" s="1340"/>
      <c r="I186" s="1340"/>
      <c r="J186" s="1340"/>
      <c r="K186" s="1348"/>
      <c r="L186" s="1199"/>
      <c r="M186" s="1199"/>
      <c r="N186" s="1199"/>
      <c r="O186" s="1199"/>
      <c r="P186" s="1199"/>
      <c r="Q186" s="1340"/>
      <c r="R186" s="1340"/>
      <c r="S186" s="1340"/>
      <c r="T186" s="1199"/>
      <c r="U186" s="1199"/>
      <c r="V186" s="1199"/>
      <c r="W186" s="1340"/>
      <c r="X186" s="1340"/>
      <c r="Y186" s="1199"/>
      <c r="Z186" s="1199"/>
      <c r="AA186" s="1340"/>
      <c r="AB186" s="1331"/>
      <c r="AC186" s="1199"/>
      <c r="AD186" s="1200"/>
      <c r="AE186" s="1340"/>
      <c r="AF186" s="1340"/>
      <c r="AG186" s="1199"/>
      <c r="AH186" s="1340"/>
      <c r="AI186" s="1340"/>
      <c r="AJ186" s="1199"/>
      <c r="AK186" s="1348"/>
      <c r="AL186" s="1348"/>
      <c r="AM186" s="1639"/>
      <c r="AN186" s="1199"/>
      <c r="AO186" s="1340"/>
      <c r="AP186" s="1340"/>
      <c r="AQ186" s="1639"/>
      <c r="AR186" s="1199"/>
      <c r="AS186" s="1200"/>
      <c r="AT186" s="1200"/>
      <c r="AU186" s="1200"/>
      <c r="AV186" s="1200"/>
      <c r="AW186" s="1200"/>
      <c r="AX186" s="1348"/>
      <c r="AY186" s="1348"/>
      <c r="AZ186" s="1348"/>
      <c r="BA186" s="1348"/>
      <c r="BB186" s="1348"/>
      <c r="BC186" s="1348"/>
      <c r="BD186" s="1348"/>
      <c r="BE186" s="1340"/>
      <c r="BF186" s="1340"/>
      <c r="BG186" s="1340"/>
      <c r="BH186" s="1340"/>
      <c r="BI186" s="1348"/>
      <c r="BJ186" s="1340"/>
      <c r="BK186" s="1340"/>
      <c r="BL186" s="1331"/>
      <c r="BM186" s="1340"/>
      <c r="BN186" s="1340"/>
      <c r="BO186" s="1200"/>
      <c r="BP186" s="1348"/>
      <c r="BQ186" s="1348"/>
      <c r="BR186" s="1349"/>
      <c r="BS186" s="1422"/>
      <c r="BT186" s="1350"/>
      <c r="BU186" s="1350"/>
      <c r="BV186" s="1349"/>
      <c r="BW186" s="1340"/>
      <c r="BX186" s="1340"/>
      <c r="BY186" s="1340"/>
      <c r="BZ186" s="1340"/>
      <c r="CA186" s="1340"/>
      <c r="CB186" s="1340"/>
      <c r="CC186" s="1340"/>
      <c r="CD186" s="1340"/>
      <c r="CE186" s="1340"/>
      <c r="CF186" s="1340"/>
      <c r="CG186" s="1340"/>
      <c r="CH186" s="1340"/>
      <c r="CI186" s="1340"/>
      <c r="CJ186" s="1340"/>
      <c r="CK186" s="30"/>
      <c r="CL186" s="30"/>
      <c r="CM186" s="30"/>
      <c r="CN186" s="30"/>
      <c r="CO186" s="30"/>
      <c r="CP186" s="30"/>
      <c r="CQ186" s="30"/>
      <c r="CR186" s="30"/>
      <c r="CS186" s="30"/>
      <c r="CT186" s="30"/>
      <c r="CU186" s="30"/>
      <c r="CV186" s="1340"/>
      <c r="CW186" s="1340"/>
      <c r="CX186" s="1340"/>
      <c r="CY186" s="1340"/>
      <c r="CZ186" s="1340"/>
      <c r="DA186" s="1340"/>
      <c r="DB186" s="1340"/>
      <c r="DC186" s="30"/>
      <c r="DD186" s="30"/>
      <c r="DE186" s="30"/>
      <c r="DF186" s="30"/>
      <c r="DG186" s="30"/>
      <c r="DH186" s="30"/>
      <c r="DI186" s="30"/>
      <c r="DJ186" s="1340"/>
      <c r="DK186" s="1340"/>
      <c r="DL186" s="1340"/>
      <c r="DM186" s="1340"/>
      <c r="DN186" s="1340"/>
      <c r="DO186" s="1340"/>
      <c r="DP186" s="1340"/>
      <c r="DQ186" s="1340"/>
      <c r="DR186" s="1340"/>
      <c r="DS186" s="1340"/>
      <c r="DT186" s="1340"/>
      <c r="DU186" s="1340"/>
      <c r="DV186" s="1340"/>
      <c r="DW186" s="1340"/>
      <c r="DX186" s="1340"/>
      <c r="DY186" s="1340"/>
      <c r="DZ186" s="1340"/>
      <c r="EA186" s="1340"/>
      <c r="EB186" s="1340"/>
      <c r="EC186" s="1340"/>
      <c r="ED186" s="1337"/>
      <c r="EE186" s="1340"/>
      <c r="EF186" s="1340"/>
      <c r="EG186" s="1348"/>
      <c r="EH186" s="1348"/>
      <c r="EI186" s="1203"/>
      <c r="EJ186" s="1340"/>
      <c r="EK186" s="1340"/>
      <c r="EL186" s="1340"/>
      <c r="EM186" s="1340"/>
      <c r="EN186" s="1331"/>
      <c r="EO186" s="1340"/>
      <c r="EP186" s="1340"/>
      <c r="EQ186" s="1340"/>
      <c r="ER186" s="1348"/>
      <c r="ES186" s="1340"/>
      <c r="ET186" s="1340"/>
      <c r="EU186" s="1348"/>
      <c r="EV186" s="1340"/>
      <c r="EW186" s="1340"/>
      <c r="EX186" s="1348"/>
      <c r="EY186" s="1340"/>
      <c r="EZ186" s="1340"/>
      <c r="FA186" s="1340"/>
      <c r="FB186" s="1340"/>
      <c r="FC186" s="1340"/>
      <c r="FD186" s="1340"/>
      <c r="FE186" s="1340"/>
      <c r="FF186" s="1340"/>
      <c r="FG186" s="1340"/>
      <c r="FH186" s="30"/>
      <c r="FI186" s="30"/>
      <c r="FJ186" s="30"/>
      <c r="FK186" s="30"/>
      <c r="FL186" s="30"/>
      <c r="FM186" s="30"/>
      <c r="FN186" s="30"/>
      <c r="FO186" s="30"/>
      <c r="FP186" s="30"/>
      <c r="FQ186" s="1340"/>
      <c r="FR186" s="1340"/>
      <c r="FS186" s="1340"/>
      <c r="FT186" s="1340"/>
      <c r="FU186" s="1340"/>
      <c r="FV186" s="1340"/>
      <c r="FW186" s="1340"/>
      <c r="FX186" s="1340"/>
      <c r="FY186" s="1340"/>
      <c r="FZ186" s="30"/>
      <c r="GA186" s="30"/>
      <c r="GB186" s="30"/>
      <c r="GC186" s="30"/>
      <c r="GD186" s="30"/>
      <c r="GE186" s="30"/>
      <c r="GF186" s="30"/>
      <c r="GG186" s="30"/>
      <c r="GH186" s="30"/>
      <c r="GI186" s="281"/>
      <c r="GJ186" s="1052"/>
      <c r="GK186" s="622"/>
      <c r="GL186" s="1052"/>
      <c r="GM186" s="622"/>
      <c r="GN186" s="1052"/>
      <c r="GO186" s="1052"/>
      <c r="GP186" s="1052"/>
      <c r="GQ186" s="1052"/>
      <c r="GR186" s="1052"/>
      <c r="GS186" s="1052"/>
      <c r="GT186" s="1052"/>
      <c r="GU186" s="1052"/>
      <c r="GV186" s="1052"/>
      <c r="GW186" s="1052"/>
      <c r="GX186" s="1052"/>
      <c r="GY186" s="1052"/>
      <c r="GZ186" s="30"/>
      <c r="HA186" s="30"/>
      <c r="HB186" s="30"/>
      <c r="HC186" s="30"/>
      <c r="HD186" s="30"/>
      <c r="HE186" s="30"/>
      <c r="HF186" s="1527"/>
      <c r="HG186" s="1340"/>
      <c r="HH186" s="1340"/>
      <c r="HI186" s="1340"/>
      <c r="HJ186" s="1340"/>
      <c r="HK186" s="1340"/>
      <c r="HL186" s="1340"/>
      <c r="HM186" s="1340"/>
      <c r="HN186" s="1340"/>
      <c r="HO186" s="1340"/>
      <c r="HP186" s="1052"/>
      <c r="HQ186" s="1052"/>
      <c r="HR186" s="1052"/>
      <c r="HS186" s="1052"/>
      <c r="HT186" s="1052"/>
      <c r="HU186" s="1052"/>
      <c r="HV186" s="1052"/>
      <c r="HW186" s="1052"/>
      <c r="HX186" s="1052"/>
      <c r="HY186" s="1052"/>
      <c r="HZ186" s="51"/>
      <c r="IA186" s="59"/>
      <c r="IB186" s="59"/>
      <c r="IC186" s="815"/>
      <c r="ID186" s="815"/>
      <c r="IE186" s="284"/>
      <c r="IF186" s="284"/>
      <c r="IG186" s="284"/>
      <c r="IH186" s="284"/>
      <c r="II186" s="1288"/>
      <c r="IJ186" s="1288"/>
      <c r="IK186" s="284"/>
      <c r="IL186" s="284"/>
      <c r="IM186" s="284"/>
      <c r="IN186" s="284"/>
      <c r="IO186" s="753"/>
      <c r="IP186" s="113"/>
      <c r="IQ186" s="30"/>
      <c r="IR186" s="438"/>
      <c r="IS186" s="438"/>
      <c r="IT186" s="438"/>
      <c r="IU186" s="438"/>
      <c r="IV186" s="438"/>
      <c r="IW186" s="438"/>
      <c r="IX186" s="285"/>
      <c r="IY186" s="285"/>
      <c r="IZ186" s="285"/>
      <c r="JA186" s="285"/>
      <c r="JB186" s="285"/>
      <c r="JC186" s="285"/>
      <c r="JD186" s="60"/>
      <c r="JE186" s="60"/>
      <c r="JF186" s="60"/>
      <c r="JG186" s="60"/>
      <c r="JH186" s="284"/>
      <c r="JI186" s="284"/>
      <c r="JJ186" s="560"/>
      <c r="JK186" s="561"/>
      <c r="JL186" s="561"/>
      <c r="JM186" s="561"/>
      <c r="JN186" s="561"/>
      <c r="JO186" s="561"/>
      <c r="JP186" s="561"/>
      <c r="JQ186" s="561"/>
      <c r="JR186" s="61"/>
      <c r="JS186" s="61"/>
      <c r="JT186" s="61"/>
      <c r="JU186" s="61"/>
      <c r="JV186" s="61"/>
      <c r="JW186" s="61"/>
      <c r="JX186" s="61"/>
      <c r="JY186" s="394"/>
      <c r="JZ186" s="61"/>
      <c r="KA186" s="61"/>
      <c r="KB186" s="61"/>
      <c r="KC186" s="61"/>
      <c r="KD186" s="61"/>
      <c r="KE186" s="61"/>
      <c r="KF186" s="61"/>
      <c r="KG186" s="61"/>
      <c r="KH186" s="61"/>
      <c r="KI186" s="394"/>
      <c r="KJ186" s="438"/>
      <c r="KK186" s="438"/>
      <c r="KL186" s="438"/>
      <c r="KM186" s="438"/>
      <c r="KN186" s="438"/>
      <c r="KO186" s="438"/>
      <c r="KP186" s="438"/>
      <c r="KQ186" s="438"/>
      <c r="KR186" s="438"/>
      <c r="KS186" s="438"/>
      <c r="KT186" s="438"/>
      <c r="KU186" s="438"/>
      <c r="KV186" s="420"/>
      <c r="KW186" s="420"/>
      <c r="KX186" s="108"/>
      <c r="KY186" s="282"/>
      <c r="KZ186" s="282"/>
      <c r="LA186" s="282"/>
      <c r="LB186" s="282"/>
      <c r="LC186" s="286"/>
      <c r="LD186" s="286"/>
      <c r="LE186" s="282"/>
      <c r="LF186" s="282"/>
      <c r="LG186" s="282"/>
      <c r="LH186" s="282"/>
      <c r="LI186" s="282"/>
      <c r="LJ186" s="282"/>
      <c r="LK186" s="282"/>
      <c r="LL186" s="282"/>
      <c r="LM186" s="282"/>
      <c r="LN186" s="282"/>
      <c r="LO186" s="282"/>
      <c r="LP186" s="286"/>
      <c r="LQ186" s="282"/>
      <c r="LR186" s="282"/>
      <c r="LS186" s="282"/>
      <c r="LT186" s="286"/>
      <c r="LU186" s="286"/>
      <c r="LV186" s="286"/>
      <c r="LW186" s="286"/>
      <c r="LX186" s="286"/>
      <c r="LY186" s="286"/>
      <c r="LZ186" s="286"/>
      <c r="MA186" s="286"/>
      <c r="MB186" s="286"/>
      <c r="MC186" s="286"/>
      <c r="MD186" s="286"/>
      <c r="ME186" s="286"/>
      <c r="MF186" s="286"/>
      <c r="MG186" s="286"/>
      <c r="MH186" s="286"/>
      <c r="MI186" s="286"/>
      <c r="MJ186" s="286"/>
      <c r="MK186" s="286"/>
      <c r="ML186" s="282"/>
      <c r="MM186" s="1232"/>
      <c r="MN186" s="1232"/>
      <c r="MO186" s="1232"/>
      <c r="MP186" s="1232"/>
      <c r="MQ186" s="282"/>
      <c r="MR186" s="282"/>
      <c r="MS186" s="282"/>
      <c r="MT186" s="282"/>
      <c r="MU186" s="282"/>
      <c r="MV186" s="282"/>
      <c r="MW186" s="282"/>
      <c r="MX186" s="282"/>
      <c r="MY186" s="282"/>
      <c r="MZ186" s="282"/>
      <c r="NA186" s="282"/>
      <c r="NB186" s="282"/>
      <c r="NC186" s="282"/>
      <c r="ND186" s="282"/>
      <c r="NE186" s="282"/>
      <c r="NF186" s="282"/>
      <c r="NG186" s="282"/>
      <c r="NH186" s="282"/>
      <c r="NI186" s="282"/>
      <c r="NJ186" s="282"/>
      <c r="NK186" s="282"/>
      <c r="NL186" s="282"/>
      <c r="NM186" s="1205"/>
      <c r="NN186" s="282"/>
      <c r="NO186" s="282"/>
      <c r="NP186" s="282"/>
      <c r="NQ186" s="282"/>
      <c r="NR186" s="282"/>
      <c r="NS186" s="282"/>
      <c r="NT186" s="282"/>
      <c r="NU186" s="282"/>
      <c r="NV186" s="286"/>
      <c r="NW186" s="286"/>
      <c r="NX186" s="286"/>
      <c r="NY186" s="286"/>
      <c r="NZ186" s="286"/>
      <c r="OA186" s="286"/>
      <c r="OB186" s="286"/>
      <c r="OC186" s="286"/>
      <c r="OD186" s="286"/>
      <c r="OE186" s="282"/>
      <c r="OF186" s="282"/>
      <c r="OG186" s="286"/>
      <c r="OH186" s="286"/>
      <c r="OI186" s="286"/>
      <c r="OJ186" s="286"/>
      <c r="OK186" s="286"/>
      <c r="OL186" s="286"/>
      <c r="OM186" s="286"/>
      <c r="ON186" s="286"/>
      <c r="OO186" s="286"/>
      <c r="OP186" s="434"/>
      <c r="OQ186" s="434"/>
      <c r="OR186" s="282"/>
      <c r="OS186" s="282"/>
      <c r="OT186" s="282"/>
      <c r="OU186" s="282"/>
      <c r="OV186" s="282"/>
      <c r="OW186" s="286"/>
      <c r="OX186" s="286"/>
      <c r="OY186" s="286"/>
      <c r="OZ186" s="286"/>
      <c r="PA186" s="286"/>
      <c r="PB186" s="286"/>
      <c r="PC186" s="286"/>
      <c r="PD186" s="282"/>
      <c r="PE186" s="282"/>
      <c r="PF186" s="286"/>
      <c r="PG186" s="286"/>
      <c r="PH186" s="286"/>
      <c r="PI186" s="286"/>
      <c r="PJ186" s="286"/>
      <c r="PK186" s="286"/>
      <c r="PL186" s="286"/>
      <c r="PM186" s="562"/>
    </row>
    <row r="187" spans="1:429" s="289" customFormat="1" ht="15.75" customHeight="1">
      <c r="A187" s="1040"/>
      <c r="B187" s="1040"/>
      <c r="C187" s="1340"/>
      <c r="D187" s="279"/>
      <c r="E187" s="1533"/>
      <c r="F187" s="1340"/>
      <c r="G187" s="1340"/>
      <c r="H187" s="1340"/>
      <c r="I187" s="1340"/>
      <c r="J187" s="1340"/>
      <c r="K187" s="1348"/>
      <c r="L187" s="1199"/>
      <c r="M187" s="1199"/>
      <c r="N187" s="1199"/>
      <c r="O187" s="1199"/>
      <c r="P187" s="1199"/>
      <c r="Q187" s="1340"/>
      <c r="R187" s="1340"/>
      <c r="S187" s="1340"/>
      <c r="T187" s="1199"/>
      <c r="U187" s="1199"/>
      <c r="V187" s="1199"/>
      <c r="W187" s="1340"/>
      <c r="X187" s="1340"/>
      <c r="Y187" s="1199"/>
      <c r="Z187" s="1199"/>
      <c r="AA187" s="1340"/>
      <c r="AB187" s="1331"/>
      <c r="AC187" s="1199"/>
      <c r="AD187" s="1200"/>
      <c r="AE187" s="1340"/>
      <c r="AF187" s="1340"/>
      <c r="AG187" s="1199"/>
      <c r="AH187" s="1340"/>
      <c r="AI187" s="1340"/>
      <c r="AJ187" s="1199"/>
      <c r="AK187" s="1348"/>
      <c r="AL187" s="1348"/>
      <c r="AM187" s="1639"/>
      <c r="AN187" s="1199"/>
      <c r="AO187" s="1340"/>
      <c r="AP187" s="1340"/>
      <c r="AQ187" s="1639"/>
      <c r="AR187" s="1199"/>
      <c r="AS187" s="1200"/>
      <c r="AT187" s="1200"/>
      <c r="AU187" s="1200"/>
      <c r="AV187" s="1200"/>
      <c r="AW187" s="1200"/>
      <c r="AX187" s="1348"/>
      <c r="AY187" s="1348"/>
      <c r="AZ187" s="1348"/>
      <c r="BA187" s="1348"/>
      <c r="BB187" s="1348"/>
      <c r="BC187" s="1348"/>
      <c r="BD187" s="1348"/>
      <c r="BE187" s="1340"/>
      <c r="BF187" s="1340"/>
      <c r="BG187" s="1340"/>
      <c r="BH187" s="1340"/>
      <c r="BI187" s="1348"/>
      <c r="BJ187" s="1340"/>
      <c r="BK187" s="1340"/>
      <c r="BL187" s="1331"/>
      <c r="BM187" s="1340"/>
      <c r="BN187" s="1340"/>
      <c r="BO187" s="1200"/>
      <c r="BP187" s="1348"/>
      <c r="BQ187" s="1348"/>
      <c r="BR187" s="1349"/>
      <c r="BS187" s="1422"/>
      <c r="BT187" s="1350"/>
      <c r="BU187" s="1350"/>
      <c r="BV187" s="1349"/>
      <c r="BW187" s="1340"/>
      <c r="BX187" s="1340"/>
      <c r="BY187" s="1340"/>
      <c r="BZ187" s="1340"/>
      <c r="CA187" s="1340"/>
      <c r="CB187" s="1340"/>
      <c r="CC187" s="1340"/>
      <c r="CD187" s="1340"/>
      <c r="CE187" s="1340"/>
      <c r="CF187" s="1340"/>
      <c r="CG187" s="1340"/>
      <c r="CH187" s="1340"/>
      <c r="CI187" s="1340"/>
      <c r="CJ187" s="1340"/>
      <c r="CK187" s="30"/>
      <c r="CL187" s="30"/>
      <c r="CM187" s="30"/>
      <c r="CN187" s="30"/>
      <c r="CO187" s="30"/>
      <c r="CP187" s="30"/>
      <c r="CQ187" s="30"/>
      <c r="CR187" s="30"/>
      <c r="CS187" s="30"/>
      <c r="CT187" s="30"/>
      <c r="CU187" s="30"/>
      <c r="CV187" s="1340"/>
      <c r="CW187" s="1340"/>
      <c r="CX187" s="1340"/>
      <c r="CY187" s="1340"/>
      <c r="CZ187" s="1340"/>
      <c r="DA187" s="1340"/>
      <c r="DB187" s="1340"/>
      <c r="DC187" s="30"/>
      <c r="DD187" s="30"/>
      <c r="DE187" s="30"/>
      <c r="DF187" s="30"/>
      <c r="DG187" s="30"/>
      <c r="DH187" s="30"/>
      <c r="DI187" s="30"/>
      <c r="DJ187" s="1340"/>
      <c r="DK187" s="1340"/>
      <c r="DL187" s="1340"/>
      <c r="DM187" s="1340"/>
      <c r="DN187" s="1340"/>
      <c r="DO187" s="1340"/>
      <c r="DP187" s="1340"/>
      <c r="DQ187" s="1340"/>
      <c r="DR187" s="1340"/>
      <c r="DS187" s="1340"/>
      <c r="DT187" s="1340"/>
      <c r="DU187" s="1340"/>
      <c r="DV187" s="1340"/>
      <c r="DW187" s="1340"/>
      <c r="DX187" s="1340"/>
      <c r="DY187" s="1340"/>
      <c r="DZ187" s="1340"/>
      <c r="EA187" s="1340"/>
      <c r="EB187" s="1340"/>
      <c r="EC187" s="1340"/>
      <c r="ED187" s="1337"/>
      <c r="EE187" s="1340"/>
      <c r="EF187" s="1340"/>
      <c r="EG187" s="1348"/>
      <c r="EH187" s="1348"/>
      <c r="EI187" s="1203"/>
      <c r="EJ187" s="1340"/>
      <c r="EK187" s="1340"/>
      <c r="EL187" s="1340"/>
      <c r="EM187" s="1340"/>
      <c r="EN187" s="1331"/>
      <c r="EO187" s="1340"/>
      <c r="EP187" s="1340"/>
      <c r="EQ187" s="1340"/>
      <c r="ER187" s="1348"/>
      <c r="ES187" s="1340"/>
      <c r="ET187" s="1340"/>
      <c r="EU187" s="1348"/>
      <c r="EV187" s="1340"/>
      <c r="EW187" s="1340"/>
      <c r="EX187" s="1348"/>
      <c r="EY187" s="1340"/>
      <c r="EZ187" s="1340"/>
      <c r="FA187" s="1340"/>
      <c r="FB187" s="1340"/>
      <c r="FC187" s="1340"/>
      <c r="FD187" s="1340"/>
      <c r="FE187" s="1340"/>
      <c r="FF187" s="1340"/>
      <c r="FG187" s="1340"/>
      <c r="FH187" s="30"/>
      <c r="FI187" s="30"/>
      <c r="FJ187" s="30"/>
      <c r="FK187" s="30"/>
      <c r="FL187" s="30"/>
      <c r="FM187" s="30"/>
      <c r="FN187" s="30"/>
      <c r="FO187" s="30"/>
      <c r="FP187" s="30"/>
      <c r="FQ187" s="1340"/>
      <c r="FR187" s="1340"/>
      <c r="FS187" s="1340"/>
      <c r="FT187" s="1340"/>
      <c r="FU187" s="1340"/>
      <c r="FV187" s="1340"/>
      <c r="FW187" s="1340"/>
      <c r="FX187" s="1340"/>
      <c r="FY187" s="1340"/>
      <c r="FZ187" s="30"/>
      <c r="GA187" s="30"/>
      <c r="GB187" s="30"/>
      <c r="GC187" s="30"/>
      <c r="GD187" s="30"/>
      <c r="GE187" s="30"/>
      <c r="GF187" s="30"/>
      <c r="GG187" s="30"/>
      <c r="GH187" s="30"/>
      <c r="GI187" s="281"/>
      <c r="GJ187" s="1052"/>
      <c r="GK187" s="622"/>
      <c r="GL187" s="1052"/>
      <c r="GM187" s="622"/>
      <c r="GN187" s="1052"/>
      <c r="GO187" s="1052"/>
      <c r="GP187" s="1052"/>
      <c r="GQ187" s="1052"/>
      <c r="GR187" s="1052"/>
      <c r="GS187" s="1052"/>
      <c r="GT187" s="1052"/>
      <c r="GU187" s="1052"/>
      <c r="GV187" s="1052"/>
      <c r="GW187" s="1052"/>
      <c r="GX187" s="1052"/>
      <c r="GY187" s="1052"/>
      <c r="GZ187" s="30"/>
      <c r="HA187" s="30"/>
      <c r="HB187" s="30"/>
      <c r="HC187" s="30"/>
      <c r="HD187" s="30"/>
      <c r="HE187" s="30"/>
      <c r="HF187" s="1527"/>
      <c r="HG187" s="1340"/>
      <c r="HH187" s="1340"/>
      <c r="HI187" s="1340"/>
      <c r="HJ187" s="1340"/>
      <c r="HK187" s="1340"/>
      <c r="HL187" s="1340"/>
      <c r="HM187" s="1340"/>
      <c r="HN187" s="1340"/>
      <c r="HO187" s="1340"/>
      <c r="HP187" s="1052"/>
      <c r="HQ187" s="1052"/>
      <c r="HR187" s="1052"/>
      <c r="HS187" s="1052"/>
      <c r="HT187" s="1052"/>
      <c r="HU187" s="1052"/>
      <c r="HV187" s="1052"/>
      <c r="HW187" s="1052"/>
      <c r="HX187" s="1052"/>
      <c r="HY187" s="1052"/>
      <c r="HZ187" s="51"/>
      <c r="IA187" s="59"/>
      <c r="IB187" s="59"/>
      <c r="IC187" s="815"/>
      <c r="ID187" s="815"/>
      <c r="IE187" s="284"/>
      <c r="IF187" s="284"/>
      <c r="IG187" s="284"/>
      <c r="IH187" s="284"/>
      <c r="II187" s="1288"/>
      <c r="IJ187" s="1288"/>
      <c r="IK187" s="284"/>
      <c r="IL187" s="284"/>
      <c r="IM187" s="284"/>
      <c r="IN187" s="284"/>
      <c r="IO187" s="753"/>
      <c r="IP187" s="113"/>
      <c r="IQ187" s="30"/>
      <c r="IR187" s="438"/>
      <c r="IS187" s="438"/>
      <c r="IT187" s="438"/>
      <c r="IU187" s="438"/>
      <c r="IV187" s="438"/>
      <c r="IW187" s="438"/>
      <c r="IX187" s="285"/>
      <c r="IY187" s="285"/>
      <c r="IZ187" s="285"/>
      <c r="JA187" s="285"/>
      <c r="JB187" s="285"/>
      <c r="JC187" s="285"/>
      <c r="JD187" s="60"/>
      <c r="JE187" s="60"/>
      <c r="JF187" s="60"/>
      <c r="JG187" s="60"/>
      <c r="JH187" s="284"/>
      <c r="JI187" s="284"/>
      <c r="JJ187" s="560"/>
      <c r="JK187" s="561"/>
      <c r="JL187" s="561"/>
      <c r="JM187" s="561"/>
      <c r="JN187" s="561"/>
      <c r="JO187" s="561"/>
      <c r="JP187" s="561"/>
      <c r="JQ187" s="561"/>
      <c r="JR187" s="61"/>
      <c r="JS187" s="61"/>
      <c r="JT187" s="61"/>
      <c r="JU187" s="61"/>
      <c r="JV187" s="61"/>
      <c r="JW187" s="61"/>
      <c r="JX187" s="61"/>
      <c r="JY187" s="394"/>
      <c r="JZ187" s="61"/>
      <c r="KA187" s="61"/>
      <c r="KB187" s="61"/>
      <c r="KC187" s="61"/>
      <c r="KD187" s="61"/>
      <c r="KE187" s="61"/>
      <c r="KF187" s="61"/>
      <c r="KG187" s="61"/>
      <c r="KH187" s="61"/>
      <c r="KI187" s="394"/>
      <c r="KJ187" s="438"/>
      <c r="KK187" s="438"/>
      <c r="KL187" s="438"/>
      <c r="KM187" s="438"/>
      <c r="KN187" s="438"/>
      <c r="KO187" s="438"/>
      <c r="KP187" s="438"/>
      <c r="KQ187" s="438"/>
      <c r="KR187" s="438"/>
      <c r="KS187" s="438"/>
      <c r="KT187" s="438"/>
      <c r="KU187" s="438"/>
      <c r="KV187" s="420"/>
      <c r="KW187" s="420"/>
      <c r="KX187" s="108"/>
      <c r="KY187" s="282"/>
      <c r="KZ187" s="282"/>
      <c r="LA187" s="282"/>
      <c r="LB187" s="282"/>
      <c r="LC187" s="286"/>
      <c r="LD187" s="286"/>
      <c r="LE187" s="282"/>
      <c r="LF187" s="282"/>
      <c r="LG187" s="282"/>
      <c r="LH187" s="282"/>
      <c r="LI187" s="282"/>
      <c r="LJ187" s="282"/>
      <c r="LK187" s="282"/>
      <c r="LL187" s="282"/>
      <c r="LM187" s="282"/>
      <c r="LN187" s="282"/>
      <c r="LO187" s="282"/>
      <c r="LP187" s="286"/>
      <c r="LQ187" s="282"/>
      <c r="LR187" s="282"/>
      <c r="LS187" s="282"/>
      <c r="LT187" s="286"/>
      <c r="LU187" s="286"/>
      <c r="LV187" s="286"/>
      <c r="LW187" s="286"/>
      <c r="LX187" s="286"/>
      <c r="LY187" s="286"/>
      <c r="LZ187" s="286"/>
      <c r="MA187" s="286"/>
      <c r="MB187" s="286"/>
      <c r="MC187" s="286"/>
      <c r="MD187" s="286"/>
      <c r="ME187" s="286"/>
      <c r="MF187" s="286"/>
      <c r="MG187" s="286"/>
      <c r="MH187" s="286"/>
      <c r="MI187" s="286"/>
      <c r="MJ187" s="286"/>
      <c r="MK187" s="286"/>
      <c r="ML187" s="282"/>
      <c r="MM187" s="1232"/>
      <c r="MN187" s="1232"/>
      <c r="MO187" s="1232"/>
      <c r="MP187" s="1232"/>
      <c r="MQ187" s="282"/>
      <c r="MR187" s="282"/>
      <c r="MS187" s="282"/>
      <c r="MT187" s="282"/>
      <c r="MU187" s="282"/>
      <c r="MV187" s="282"/>
      <c r="MW187" s="282"/>
      <c r="MX187" s="282"/>
      <c r="MY187" s="282"/>
      <c r="MZ187" s="282"/>
      <c r="NA187" s="282"/>
      <c r="NB187" s="282"/>
      <c r="NC187" s="282"/>
      <c r="ND187" s="282"/>
      <c r="NE187" s="282"/>
      <c r="NF187" s="282"/>
      <c r="NG187" s="282"/>
      <c r="NH187" s="282"/>
      <c r="NI187" s="282"/>
      <c r="NJ187" s="282"/>
      <c r="NK187" s="282"/>
      <c r="NL187" s="282"/>
      <c r="NM187" s="1205"/>
      <c r="NN187" s="282"/>
      <c r="NO187" s="282"/>
      <c r="NP187" s="282"/>
      <c r="NQ187" s="282"/>
      <c r="NR187" s="282"/>
      <c r="NS187" s="282"/>
      <c r="NT187" s="282"/>
      <c r="NU187" s="282"/>
      <c r="NV187" s="286"/>
      <c r="NW187" s="286"/>
      <c r="NX187" s="286"/>
      <c r="NY187" s="286"/>
      <c r="NZ187" s="286"/>
      <c r="OA187" s="286"/>
      <c r="OB187" s="286"/>
      <c r="OC187" s="286"/>
      <c r="OD187" s="286"/>
      <c r="OE187" s="282"/>
      <c r="OF187" s="282"/>
      <c r="OG187" s="286"/>
      <c r="OH187" s="286"/>
      <c r="OI187" s="286"/>
      <c r="OJ187" s="286"/>
      <c r="OK187" s="286"/>
      <c r="OL187" s="286"/>
      <c r="OM187" s="286"/>
      <c r="ON187" s="286"/>
      <c r="OO187" s="286"/>
      <c r="OP187" s="434"/>
      <c r="OQ187" s="434"/>
      <c r="OR187" s="282"/>
      <c r="OS187" s="282"/>
      <c r="OT187" s="282"/>
      <c r="OU187" s="282"/>
      <c r="OV187" s="282"/>
      <c r="OW187" s="286"/>
      <c r="OX187" s="286"/>
      <c r="OY187" s="286"/>
      <c r="OZ187" s="286"/>
      <c r="PA187" s="286"/>
      <c r="PB187" s="286"/>
      <c r="PC187" s="286"/>
      <c r="PD187" s="282"/>
      <c r="PE187" s="282"/>
      <c r="PF187" s="286"/>
      <c r="PG187" s="286"/>
      <c r="PH187" s="286"/>
      <c r="PI187" s="286"/>
      <c r="PJ187" s="286"/>
      <c r="PK187" s="286"/>
      <c r="PL187" s="286"/>
      <c r="PM187" s="562"/>
    </row>
    <row r="188" spans="1:429" s="289" customFormat="1" ht="15.75" customHeight="1">
      <c r="A188" s="1040"/>
      <c r="B188" s="1040"/>
      <c r="C188" s="1340"/>
      <c r="D188" s="279"/>
      <c r="E188" s="1533"/>
      <c r="F188" s="1340"/>
      <c r="G188" s="1340"/>
      <c r="H188" s="1340"/>
      <c r="I188" s="1340"/>
      <c r="J188" s="1340"/>
      <c r="K188" s="1348"/>
      <c r="L188" s="1199"/>
      <c r="M188" s="1199"/>
      <c r="N188" s="1199"/>
      <c r="O188" s="1199"/>
      <c r="P188" s="1199"/>
      <c r="Q188" s="1340"/>
      <c r="R188" s="1340"/>
      <c r="S188" s="1340"/>
      <c r="T188" s="1199"/>
      <c r="U188" s="1199"/>
      <c r="V188" s="1199"/>
      <c r="W188" s="1340"/>
      <c r="X188" s="1340"/>
      <c r="Y188" s="1199"/>
      <c r="Z188" s="1199"/>
      <c r="AA188" s="1340"/>
      <c r="AB188" s="1331"/>
      <c r="AC188" s="1199"/>
      <c r="AD188" s="1200"/>
      <c r="AE188" s="1340"/>
      <c r="AF188" s="1340"/>
      <c r="AG188" s="1199"/>
      <c r="AH188" s="1340"/>
      <c r="AI188" s="1340"/>
      <c r="AJ188" s="1199"/>
      <c r="AK188" s="1348"/>
      <c r="AL188" s="1348"/>
      <c r="AM188" s="1639"/>
      <c r="AN188" s="1199"/>
      <c r="AO188" s="1340"/>
      <c r="AP188" s="1340"/>
      <c r="AQ188" s="1639"/>
      <c r="AR188" s="1199"/>
      <c r="AS188" s="1200"/>
      <c r="AT188" s="1200"/>
      <c r="AU188" s="1200"/>
      <c r="AV188" s="1200"/>
      <c r="AW188" s="1200"/>
      <c r="AX188" s="1348"/>
      <c r="AY188" s="1348"/>
      <c r="AZ188" s="1348"/>
      <c r="BA188" s="1348"/>
      <c r="BB188" s="1348"/>
      <c r="BC188" s="1348"/>
      <c r="BD188" s="1348"/>
      <c r="BE188" s="1340"/>
      <c r="BF188" s="1340"/>
      <c r="BG188" s="1340"/>
      <c r="BH188" s="1340"/>
      <c r="BI188" s="1348"/>
      <c r="BJ188" s="1340"/>
      <c r="BK188" s="1340"/>
      <c r="BL188" s="1331"/>
      <c r="BM188" s="1340"/>
      <c r="BN188" s="1340"/>
      <c r="BO188" s="1200"/>
      <c r="BP188" s="1348"/>
      <c r="BQ188" s="1348"/>
      <c r="BR188" s="1349"/>
      <c r="BS188" s="1422"/>
      <c r="BT188" s="1350"/>
      <c r="BU188" s="1350"/>
      <c r="BV188" s="1349"/>
      <c r="BW188" s="1340"/>
      <c r="BX188" s="1340"/>
      <c r="BY188" s="1340"/>
      <c r="BZ188" s="1340"/>
      <c r="CA188" s="1340"/>
      <c r="CB188" s="1340"/>
      <c r="CC188" s="1340"/>
      <c r="CD188" s="1340"/>
      <c r="CE188" s="1340"/>
      <c r="CF188" s="1340"/>
      <c r="CG188" s="1340"/>
      <c r="CH188" s="1340"/>
      <c r="CI188" s="1340"/>
      <c r="CJ188" s="1340"/>
      <c r="CK188" s="30"/>
      <c r="CL188" s="30"/>
      <c r="CM188" s="30"/>
      <c r="CN188" s="30"/>
      <c r="CO188" s="30"/>
      <c r="CP188" s="30"/>
      <c r="CQ188" s="30"/>
      <c r="CR188" s="30"/>
      <c r="CS188" s="30"/>
      <c r="CT188" s="30"/>
      <c r="CU188" s="30"/>
      <c r="CV188" s="1340"/>
      <c r="CW188" s="1340"/>
      <c r="CX188" s="1340"/>
      <c r="CY188" s="1340"/>
      <c r="CZ188" s="1340"/>
      <c r="DA188" s="1340"/>
      <c r="DB188" s="1340"/>
      <c r="DC188" s="30"/>
      <c r="DD188" s="30"/>
      <c r="DE188" s="30"/>
      <c r="DF188" s="30"/>
      <c r="DG188" s="30"/>
      <c r="DH188" s="30"/>
      <c r="DI188" s="30"/>
      <c r="DJ188" s="1340"/>
      <c r="DK188" s="1340"/>
      <c r="DL188" s="1340"/>
      <c r="DM188" s="1340"/>
      <c r="DN188" s="1340"/>
      <c r="DO188" s="1340"/>
      <c r="DP188" s="1340"/>
      <c r="DQ188" s="1340"/>
      <c r="DR188" s="1340"/>
      <c r="DS188" s="1340"/>
      <c r="DT188" s="1340"/>
      <c r="DU188" s="1340"/>
      <c r="DV188" s="1340"/>
      <c r="DW188" s="1340"/>
      <c r="DX188" s="1340"/>
      <c r="DY188" s="1340"/>
      <c r="DZ188" s="1340"/>
      <c r="EA188" s="1340"/>
      <c r="EB188" s="1340"/>
      <c r="EC188" s="1340"/>
      <c r="ED188" s="1337"/>
      <c r="EE188" s="1340"/>
      <c r="EF188" s="1340"/>
      <c r="EG188" s="1348"/>
      <c r="EH188" s="1348"/>
      <c r="EI188" s="1203"/>
      <c r="EJ188" s="1340"/>
      <c r="EK188" s="1340"/>
      <c r="EL188" s="1340"/>
      <c r="EM188" s="1340"/>
      <c r="EN188" s="1331"/>
      <c r="EO188" s="1340"/>
      <c r="EP188" s="1340"/>
      <c r="EQ188" s="1340"/>
      <c r="ER188" s="1348"/>
      <c r="ES188" s="1340"/>
      <c r="ET188" s="1340"/>
      <c r="EU188" s="1348"/>
      <c r="EV188" s="1340"/>
      <c r="EW188" s="1340"/>
      <c r="EX188" s="1348"/>
      <c r="EY188" s="1340"/>
      <c r="EZ188" s="1340"/>
      <c r="FA188" s="1340"/>
      <c r="FB188" s="1340"/>
      <c r="FC188" s="1340"/>
      <c r="FD188" s="1340"/>
      <c r="FE188" s="1340"/>
      <c r="FF188" s="1340"/>
      <c r="FG188" s="1340"/>
      <c r="FH188" s="30"/>
      <c r="FI188" s="30"/>
      <c r="FJ188" s="30"/>
      <c r="FK188" s="30"/>
      <c r="FL188" s="30"/>
      <c r="FM188" s="30"/>
      <c r="FN188" s="30"/>
      <c r="FO188" s="30"/>
      <c r="FP188" s="30"/>
      <c r="FQ188" s="1340"/>
      <c r="FR188" s="1340"/>
      <c r="FS188" s="1340"/>
      <c r="FT188" s="1340"/>
      <c r="FU188" s="1340"/>
      <c r="FV188" s="1340"/>
      <c r="FW188" s="1340"/>
      <c r="FX188" s="1340"/>
      <c r="FY188" s="1340"/>
      <c r="FZ188" s="30"/>
      <c r="GA188" s="30"/>
      <c r="GB188" s="30"/>
      <c r="GC188" s="30"/>
      <c r="GD188" s="30"/>
      <c r="GE188" s="30"/>
      <c r="GF188" s="30"/>
      <c r="GG188" s="30"/>
      <c r="GH188" s="30"/>
      <c r="GI188" s="281"/>
      <c r="GJ188" s="1052"/>
      <c r="GK188" s="622"/>
      <c r="GL188" s="1052"/>
      <c r="GM188" s="622"/>
      <c r="GN188" s="1052"/>
      <c r="GO188" s="1052"/>
      <c r="GP188" s="1052"/>
      <c r="GQ188" s="1052"/>
      <c r="GR188" s="1052"/>
      <c r="GS188" s="1052"/>
      <c r="GT188" s="1052"/>
      <c r="GU188" s="1052"/>
      <c r="GV188" s="1052"/>
      <c r="GW188" s="1052"/>
      <c r="GX188" s="1052"/>
      <c r="GY188" s="1052"/>
      <c r="GZ188" s="30"/>
      <c r="HA188" s="30"/>
      <c r="HB188" s="30"/>
      <c r="HC188" s="30"/>
      <c r="HD188" s="30"/>
      <c r="HE188" s="30"/>
      <c r="HF188" s="1527"/>
      <c r="HG188" s="1340"/>
      <c r="HH188" s="1340"/>
      <c r="HI188" s="1340"/>
      <c r="HJ188" s="1340"/>
      <c r="HK188" s="1340"/>
      <c r="HL188" s="1340"/>
      <c r="HM188" s="1340"/>
      <c r="HN188" s="1340"/>
      <c r="HO188" s="1340"/>
      <c r="HP188" s="1052"/>
      <c r="HQ188" s="1052"/>
      <c r="HR188" s="1052"/>
      <c r="HS188" s="1052"/>
      <c r="HT188" s="1052"/>
      <c r="HU188" s="1052"/>
      <c r="HV188" s="1052"/>
      <c r="HW188" s="1052"/>
      <c r="HX188" s="1052"/>
      <c r="HY188" s="1052"/>
      <c r="HZ188" s="51"/>
      <c r="IA188" s="59"/>
      <c r="IB188" s="59"/>
      <c r="IC188" s="815"/>
      <c r="ID188" s="815"/>
      <c r="IE188" s="284"/>
      <c r="IF188" s="284"/>
      <c r="IG188" s="284"/>
      <c r="IH188" s="284"/>
      <c r="II188" s="1288"/>
      <c r="IJ188" s="1288"/>
      <c r="IK188" s="284"/>
      <c r="IL188" s="284"/>
      <c r="IM188" s="284"/>
      <c r="IN188" s="284"/>
      <c r="IO188" s="753"/>
      <c r="IP188" s="113"/>
      <c r="IQ188" s="30"/>
      <c r="IR188" s="438"/>
      <c r="IS188" s="438"/>
      <c r="IT188" s="438"/>
      <c r="IU188" s="438"/>
      <c r="IV188" s="438"/>
      <c r="IW188" s="438"/>
      <c r="IX188" s="285"/>
      <c r="IY188" s="285"/>
      <c r="IZ188" s="285"/>
      <c r="JA188" s="285"/>
      <c r="JB188" s="285"/>
      <c r="JC188" s="285"/>
      <c r="JD188" s="60"/>
      <c r="JE188" s="60"/>
      <c r="JF188" s="60"/>
      <c r="JG188" s="60"/>
      <c r="JH188" s="284"/>
      <c r="JI188" s="284"/>
      <c r="JJ188" s="560"/>
      <c r="JK188" s="561"/>
      <c r="JL188" s="561"/>
      <c r="JM188" s="561"/>
      <c r="JN188" s="561"/>
      <c r="JO188" s="561"/>
      <c r="JP188" s="561"/>
      <c r="JQ188" s="561"/>
      <c r="JR188" s="61"/>
      <c r="JS188" s="61"/>
      <c r="JT188" s="61"/>
      <c r="JU188" s="61"/>
      <c r="JV188" s="61"/>
      <c r="JW188" s="61"/>
      <c r="JX188" s="61"/>
      <c r="JY188" s="394"/>
      <c r="JZ188" s="61"/>
      <c r="KA188" s="61"/>
      <c r="KB188" s="61"/>
      <c r="KC188" s="61"/>
      <c r="KD188" s="61"/>
      <c r="KE188" s="61"/>
      <c r="KF188" s="61"/>
      <c r="KG188" s="61"/>
      <c r="KH188" s="61"/>
      <c r="KI188" s="394"/>
      <c r="KJ188" s="438"/>
      <c r="KK188" s="438"/>
      <c r="KL188" s="438"/>
      <c r="KM188" s="438"/>
      <c r="KN188" s="438"/>
      <c r="KO188" s="438"/>
      <c r="KP188" s="438"/>
      <c r="KQ188" s="438"/>
      <c r="KR188" s="438"/>
      <c r="KS188" s="438"/>
      <c r="KT188" s="438"/>
      <c r="KU188" s="438"/>
      <c r="KV188" s="420"/>
      <c r="KW188" s="420"/>
      <c r="KX188" s="108"/>
      <c r="KY188" s="282"/>
      <c r="KZ188" s="282"/>
      <c r="LA188" s="282"/>
      <c r="LB188" s="282"/>
      <c r="LC188" s="286"/>
      <c r="LD188" s="286"/>
      <c r="LE188" s="282"/>
      <c r="LF188" s="282"/>
      <c r="LG188" s="282"/>
      <c r="LH188" s="282"/>
      <c r="LI188" s="282"/>
      <c r="LJ188" s="282"/>
      <c r="LK188" s="282"/>
      <c r="LL188" s="282"/>
      <c r="LM188" s="282"/>
      <c r="LN188" s="282"/>
      <c r="LO188" s="282"/>
      <c r="LP188" s="286"/>
      <c r="LQ188" s="282"/>
      <c r="LR188" s="282"/>
      <c r="LS188" s="282"/>
      <c r="LT188" s="286"/>
      <c r="LU188" s="286"/>
      <c r="LV188" s="286"/>
      <c r="LW188" s="286"/>
      <c r="LX188" s="286"/>
      <c r="LY188" s="286"/>
      <c r="LZ188" s="286"/>
      <c r="MA188" s="286"/>
      <c r="MB188" s="286"/>
      <c r="MC188" s="286"/>
      <c r="MD188" s="286"/>
      <c r="ME188" s="286"/>
      <c r="MF188" s="286"/>
      <c r="MG188" s="286"/>
      <c r="MH188" s="286"/>
      <c r="MI188" s="286"/>
      <c r="MJ188" s="286"/>
      <c r="MK188" s="286"/>
      <c r="ML188" s="282"/>
      <c r="MM188" s="1232"/>
      <c r="MN188" s="1232"/>
      <c r="MO188" s="1232"/>
      <c r="MP188" s="1232"/>
      <c r="MQ188" s="282"/>
      <c r="MR188" s="282"/>
      <c r="MS188" s="282"/>
      <c r="MT188" s="282"/>
      <c r="MU188" s="282"/>
      <c r="MV188" s="282"/>
      <c r="MW188" s="282"/>
      <c r="MX188" s="282"/>
      <c r="MY188" s="282"/>
      <c r="MZ188" s="282"/>
      <c r="NA188" s="282"/>
      <c r="NB188" s="282"/>
      <c r="NC188" s="282"/>
      <c r="ND188" s="282"/>
      <c r="NE188" s="282"/>
      <c r="NF188" s="282"/>
      <c r="NG188" s="282"/>
      <c r="NH188" s="282"/>
      <c r="NI188" s="282"/>
      <c r="NJ188" s="282"/>
      <c r="NK188" s="282"/>
      <c r="NL188" s="282"/>
      <c r="NM188" s="1205"/>
      <c r="NN188" s="282"/>
      <c r="NO188" s="282"/>
      <c r="NP188" s="282"/>
      <c r="NQ188" s="282"/>
      <c r="NR188" s="282"/>
      <c r="NS188" s="282"/>
      <c r="NT188" s="282"/>
      <c r="NU188" s="282"/>
      <c r="NV188" s="286"/>
      <c r="NW188" s="286"/>
      <c r="NX188" s="286"/>
      <c r="NY188" s="286"/>
      <c r="NZ188" s="286"/>
      <c r="OA188" s="286"/>
      <c r="OB188" s="286"/>
      <c r="OC188" s="286"/>
      <c r="OD188" s="286"/>
      <c r="OE188" s="282"/>
      <c r="OF188" s="282"/>
      <c r="OG188" s="286"/>
      <c r="OH188" s="286"/>
      <c r="OI188" s="286"/>
      <c r="OJ188" s="286"/>
      <c r="OK188" s="286"/>
      <c r="OL188" s="286"/>
      <c r="OM188" s="286"/>
      <c r="ON188" s="286"/>
      <c r="OO188" s="286"/>
      <c r="OP188" s="434"/>
      <c r="OQ188" s="434"/>
      <c r="OR188" s="282"/>
      <c r="OS188" s="282"/>
      <c r="OT188" s="282"/>
      <c r="OU188" s="282"/>
      <c r="OV188" s="282"/>
      <c r="OW188" s="286"/>
      <c r="OX188" s="286"/>
      <c r="OY188" s="286"/>
      <c r="OZ188" s="286"/>
      <c r="PA188" s="286"/>
      <c r="PB188" s="286"/>
      <c r="PC188" s="286"/>
      <c r="PD188" s="282"/>
      <c r="PE188" s="282"/>
      <c r="PF188" s="286"/>
      <c r="PG188" s="286"/>
      <c r="PH188" s="286"/>
      <c r="PI188" s="286"/>
      <c r="PJ188" s="286"/>
      <c r="PK188" s="286"/>
      <c r="PL188" s="286"/>
      <c r="PM188" s="562"/>
    </row>
    <row r="189" spans="1:429" s="289" customFormat="1" ht="15.75" customHeight="1">
      <c r="A189" s="1040"/>
      <c r="B189" s="1040"/>
      <c r="C189" s="1340"/>
      <c r="D189" s="279"/>
      <c r="E189" s="1533"/>
      <c r="F189" s="1340"/>
      <c r="G189" s="1340"/>
      <c r="H189" s="1340"/>
      <c r="I189" s="1340"/>
      <c r="J189" s="1340"/>
      <c r="K189" s="1348"/>
      <c r="L189" s="1199"/>
      <c r="M189" s="1199"/>
      <c r="N189" s="1199"/>
      <c r="O189" s="1199"/>
      <c r="P189" s="1199"/>
      <c r="Q189" s="1340"/>
      <c r="R189" s="1340"/>
      <c r="S189" s="1340"/>
      <c r="T189" s="1199"/>
      <c r="U189" s="1199"/>
      <c r="V189" s="1199"/>
      <c r="W189" s="1340"/>
      <c r="X189" s="1340"/>
      <c r="Y189" s="1199"/>
      <c r="Z189" s="1199"/>
      <c r="AA189" s="1340"/>
      <c r="AB189" s="1331"/>
      <c r="AC189" s="1199"/>
      <c r="AD189" s="1200"/>
      <c r="AE189" s="1340"/>
      <c r="AF189" s="1340"/>
      <c r="AG189" s="1199"/>
      <c r="AH189" s="1340"/>
      <c r="AI189" s="1340"/>
      <c r="AJ189" s="1199"/>
      <c r="AK189" s="1348"/>
      <c r="AL189" s="1348"/>
      <c r="AM189" s="1639"/>
      <c r="AN189" s="1199"/>
      <c r="AO189" s="1340"/>
      <c r="AP189" s="1340"/>
      <c r="AQ189" s="1639"/>
      <c r="AR189" s="1199"/>
      <c r="AS189" s="1200"/>
      <c r="AT189" s="1200"/>
      <c r="AU189" s="1200"/>
      <c r="AV189" s="1200"/>
      <c r="AW189" s="1200"/>
      <c r="AX189" s="1348"/>
      <c r="AY189" s="1348"/>
      <c r="AZ189" s="1348"/>
      <c r="BA189" s="1348"/>
      <c r="BB189" s="1348"/>
      <c r="BC189" s="1348"/>
      <c r="BD189" s="1348"/>
      <c r="BE189" s="1340"/>
      <c r="BF189" s="1340"/>
      <c r="BG189" s="1340"/>
      <c r="BH189" s="1340"/>
      <c r="BI189" s="1348"/>
      <c r="BJ189" s="1340"/>
      <c r="BK189" s="1340"/>
      <c r="BL189" s="1331"/>
      <c r="BM189" s="1340"/>
      <c r="BN189" s="1340"/>
      <c r="BO189" s="1200"/>
      <c r="BP189" s="1348"/>
      <c r="BQ189" s="1348"/>
      <c r="BR189" s="1349"/>
      <c r="BS189" s="1422"/>
      <c r="BT189" s="1350"/>
      <c r="BU189" s="1350"/>
      <c r="BV189" s="1349"/>
      <c r="BW189" s="1340"/>
      <c r="BX189" s="1340"/>
      <c r="BY189" s="1340"/>
      <c r="BZ189" s="1340"/>
      <c r="CA189" s="1340"/>
      <c r="CB189" s="1340"/>
      <c r="CC189" s="1340"/>
      <c r="CD189" s="1340"/>
      <c r="CE189" s="1340"/>
      <c r="CF189" s="1340"/>
      <c r="CG189" s="1340"/>
      <c r="CH189" s="1340"/>
      <c r="CI189" s="1340"/>
      <c r="CJ189" s="1340"/>
      <c r="CK189" s="30"/>
      <c r="CL189" s="30"/>
      <c r="CM189" s="30"/>
      <c r="CN189" s="30"/>
      <c r="CO189" s="30"/>
      <c r="CP189" s="30"/>
      <c r="CQ189" s="30"/>
      <c r="CR189" s="30"/>
      <c r="CS189" s="30"/>
      <c r="CT189" s="30"/>
      <c r="CU189" s="30"/>
      <c r="CV189" s="1340"/>
      <c r="CW189" s="1340"/>
      <c r="CX189" s="1340"/>
      <c r="CY189" s="1340"/>
      <c r="CZ189" s="1340"/>
      <c r="DA189" s="1340"/>
      <c r="DB189" s="1340"/>
      <c r="DC189" s="30"/>
      <c r="DD189" s="30"/>
      <c r="DE189" s="30"/>
      <c r="DF189" s="30"/>
      <c r="DG189" s="30"/>
      <c r="DH189" s="30"/>
      <c r="DI189" s="30"/>
      <c r="DJ189" s="1340"/>
      <c r="DK189" s="1340"/>
      <c r="DL189" s="1340"/>
      <c r="DM189" s="1340"/>
      <c r="DN189" s="1340"/>
      <c r="DO189" s="1340"/>
      <c r="DP189" s="1340"/>
      <c r="DQ189" s="1340"/>
      <c r="DR189" s="1340"/>
      <c r="DS189" s="1340"/>
      <c r="DT189" s="1340"/>
      <c r="DU189" s="1340"/>
      <c r="DV189" s="1340"/>
      <c r="DW189" s="1340"/>
      <c r="DX189" s="1340"/>
      <c r="DY189" s="1340"/>
      <c r="DZ189" s="1340"/>
      <c r="EA189" s="1340"/>
      <c r="EB189" s="1340"/>
      <c r="EC189" s="1340"/>
      <c r="ED189" s="1337"/>
      <c r="EE189" s="1340"/>
      <c r="EF189" s="1340"/>
      <c r="EG189" s="1348"/>
      <c r="EH189" s="1348"/>
      <c r="EI189" s="1203"/>
      <c r="EJ189" s="1340"/>
      <c r="EK189" s="1340"/>
      <c r="EL189" s="1340"/>
      <c r="EM189" s="1340"/>
      <c r="EN189" s="1331"/>
      <c r="EO189" s="1340"/>
      <c r="EP189" s="1340"/>
      <c r="EQ189" s="1340"/>
      <c r="ER189" s="1348"/>
      <c r="ES189" s="1340"/>
      <c r="ET189" s="1340"/>
      <c r="EU189" s="1348"/>
      <c r="EV189" s="1340"/>
      <c r="EW189" s="1340"/>
      <c r="EX189" s="1348"/>
      <c r="EY189" s="1340"/>
      <c r="EZ189" s="1340"/>
      <c r="FA189" s="1340"/>
      <c r="FB189" s="1340"/>
      <c r="FC189" s="1340"/>
      <c r="FD189" s="1340"/>
      <c r="FE189" s="1340"/>
      <c r="FF189" s="1340"/>
      <c r="FG189" s="1340"/>
      <c r="FH189" s="30"/>
      <c r="FI189" s="30"/>
      <c r="FJ189" s="30"/>
      <c r="FK189" s="30"/>
      <c r="FL189" s="30"/>
      <c r="FM189" s="30"/>
      <c r="FN189" s="30"/>
      <c r="FO189" s="30"/>
      <c r="FP189" s="30"/>
      <c r="FQ189" s="1340"/>
      <c r="FR189" s="1340"/>
      <c r="FS189" s="1340"/>
      <c r="FT189" s="1340"/>
      <c r="FU189" s="1340"/>
      <c r="FV189" s="1340"/>
      <c r="FW189" s="1340"/>
      <c r="FX189" s="1340"/>
      <c r="FY189" s="1340"/>
      <c r="FZ189" s="30"/>
      <c r="GA189" s="30"/>
      <c r="GB189" s="30"/>
      <c r="GC189" s="30"/>
      <c r="GD189" s="30"/>
      <c r="GE189" s="30"/>
      <c r="GF189" s="30"/>
      <c r="GG189" s="30"/>
      <c r="GH189" s="30"/>
      <c r="GI189" s="281"/>
      <c r="GJ189" s="1052"/>
      <c r="GK189" s="622"/>
      <c r="GL189" s="1052"/>
      <c r="GM189" s="622"/>
      <c r="GN189" s="1052"/>
      <c r="GO189" s="1052"/>
      <c r="GP189" s="1052"/>
      <c r="GQ189" s="1052"/>
      <c r="GR189" s="1052"/>
      <c r="GS189" s="1052"/>
      <c r="GT189" s="1052"/>
      <c r="GU189" s="1052"/>
      <c r="GV189" s="1052"/>
      <c r="GW189" s="1052"/>
      <c r="GX189" s="1052"/>
      <c r="GY189" s="1052"/>
      <c r="GZ189" s="1052"/>
      <c r="HA189" s="1052"/>
      <c r="HB189" s="1052"/>
      <c r="HC189" s="1052"/>
      <c r="HD189" s="1052"/>
      <c r="HE189" s="1052"/>
      <c r="HF189" s="1527"/>
      <c r="HG189" s="1340"/>
      <c r="HH189" s="1340"/>
      <c r="HI189" s="1340"/>
      <c r="HJ189" s="1340"/>
      <c r="HK189" s="1340"/>
      <c r="HL189" s="1340"/>
      <c r="HM189" s="1340"/>
      <c r="HN189" s="1340"/>
      <c r="HO189" s="1340"/>
      <c r="HP189" s="1340"/>
      <c r="HQ189" s="1340"/>
      <c r="HR189" s="1052"/>
      <c r="HS189" s="30"/>
      <c r="HT189" s="30"/>
      <c r="HU189" s="30"/>
      <c r="HV189" s="30"/>
      <c r="HW189" s="30"/>
      <c r="HX189" s="30"/>
      <c r="HY189" s="30"/>
      <c r="HZ189" s="51"/>
      <c r="IA189" s="59"/>
      <c r="IB189" s="59"/>
      <c r="IC189" s="815"/>
      <c r="ID189" s="815"/>
      <c r="IE189" s="284"/>
      <c r="IF189" s="284"/>
      <c r="IG189" s="284"/>
      <c r="IH189" s="284"/>
      <c r="II189" s="1288"/>
      <c r="IJ189" s="1288"/>
      <c r="IK189" s="284"/>
      <c r="IL189" s="284"/>
      <c r="IM189" s="284"/>
      <c r="IN189" s="284"/>
      <c r="IO189" s="753"/>
      <c r="IP189" s="113"/>
      <c r="IQ189" s="30"/>
      <c r="IR189" s="438"/>
      <c r="IS189" s="438"/>
      <c r="IT189" s="438"/>
      <c r="IU189" s="438"/>
      <c r="IV189" s="438"/>
      <c r="IW189" s="438"/>
      <c r="IX189" s="285"/>
      <c r="IY189" s="285"/>
      <c r="IZ189" s="285"/>
      <c r="JA189" s="285"/>
      <c r="JB189" s="285"/>
      <c r="JC189" s="285"/>
      <c r="JD189" s="60"/>
      <c r="JE189" s="60"/>
      <c r="JF189" s="60"/>
      <c r="JG189" s="60"/>
      <c r="JH189" s="284"/>
      <c r="JI189" s="284"/>
      <c r="JJ189" s="560"/>
      <c r="JK189" s="561"/>
      <c r="JL189" s="561"/>
      <c r="JM189" s="561"/>
      <c r="JN189" s="561"/>
      <c r="JO189" s="561"/>
      <c r="JP189" s="561"/>
      <c r="JQ189" s="561"/>
      <c r="JR189" s="61"/>
      <c r="JS189" s="61"/>
      <c r="JT189" s="61"/>
      <c r="JU189" s="61"/>
      <c r="JV189" s="61"/>
      <c r="JW189" s="61"/>
      <c r="JX189" s="61"/>
      <c r="JY189" s="394"/>
      <c r="JZ189" s="61"/>
      <c r="KA189" s="61"/>
      <c r="KB189" s="61"/>
      <c r="KC189" s="61"/>
      <c r="KD189" s="61"/>
      <c r="KE189" s="61"/>
      <c r="KF189" s="61"/>
      <c r="KG189" s="61"/>
      <c r="KH189" s="61"/>
      <c r="KI189" s="394"/>
      <c r="KJ189" s="438"/>
      <c r="KK189" s="438"/>
      <c r="KL189" s="438"/>
      <c r="KM189" s="438"/>
      <c r="KN189" s="438"/>
      <c r="KO189" s="438"/>
      <c r="KP189" s="438"/>
      <c r="KQ189" s="438"/>
      <c r="KR189" s="438"/>
      <c r="KS189" s="438"/>
      <c r="KT189" s="438"/>
      <c r="KU189" s="438"/>
      <c r="KV189" s="420"/>
      <c r="KW189" s="420"/>
      <c r="KX189" s="108"/>
      <c r="KY189" s="282"/>
      <c r="KZ189" s="282"/>
      <c r="LA189" s="282"/>
      <c r="LB189" s="282"/>
      <c r="LC189" s="286"/>
      <c r="LD189" s="286"/>
      <c r="LE189" s="282"/>
      <c r="LF189" s="282"/>
      <c r="LG189" s="282"/>
      <c r="LH189" s="282"/>
      <c r="LI189" s="282"/>
      <c r="LJ189" s="282"/>
      <c r="LK189" s="282"/>
      <c r="LL189" s="282"/>
      <c r="LM189" s="282"/>
      <c r="LN189" s="282"/>
      <c r="LO189" s="282"/>
      <c r="LP189" s="286"/>
      <c r="LQ189" s="282"/>
      <c r="LR189" s="282"/>
      <c r="LS189" s="282"/>
      <c r="LT189" s="286"/>
      <c r="LU189" s="286"/>
      <c r="LV189" s="286"/>
      <c r="LW189" s="286"/>
      <c r="LX189" s="286"/>
      <c r="LY189" s="286"/>
      <c r="LZ189" s="286"/>
      <c r="MA189" s="286"/>
      <c r="MB189" s="286"/>
      <c r="MC189" s="286"/>
      <c r="MD189" s="286"/>
      <c r="ME189" s="286"/>
      <c r="MF189" s="286"/>
      <c r="MG189" s="286"/>
      <c r="MH189" s="286"/>
      <c r="MI189" s="286"/>
      <c r="MJ189" s="286"/>
      <c r="MK189" s="286"/>
      <c r="ML189" s="282"/>
      <c r="MM189" s="1232"/>
      <c r="MN189" s="1232"/>
      <c r="MO189" s="1232"/>
      <c r="MP189" s="1232"/>
      <c r="MQ189" s="282"/>
      <c r="MR189" s="282"/>
      <c r="MS189" s="282"/>
      <c r="MT189" s="282"/>
      <c r="MU189" s="282"/>
      <c r="MV189" s="282"/>
      <c r="MW189" s="282"/>
      <c r="MX189" s="282"/>
      <c r="MY189" s="282"/>
      <c r="MZ189" s="282"/>
      <c r="NA189" s="282"/>
      <c r="NB189" s="282"/>
      <c r="NC189" s="282"/>
      <c r="ND189" s="282"/>
      <c r="NE189" s="282"/>
      <c r="NF189" s="282"/>
      <c r="NG189" s="282"/>
      <c r="NH189" s="282"/>
      <c r="NI189" s="282"/>
      <c r="NJ189" s="282"/>
      <c r="NK189" s="282"/>
      <c r="NL189" s="282"/>
      <c r="NM189" s="1205"/>
      <c r="NN189" s="282"/>
      <c r="NO189" s="282"/>
      <c r="NP189" s="282"/>
      <c r="NQ189" s="282"/>
      <c r="NR189" s="282"/>
      <c r="NS189" s="282"/>
      <c r="NT189" s="282"/>
      <c r="NU189" s="282"/>
      <c r="NV189" s="286"/>
      <c r="NW189" s="286"/>
      <c r="NX189" s="286"/>
      <c r="NY189" s="286"/>
      <c r="NZ189" s="286"/>
      <c r="OA189" s="286"/>
      <c r="OB189" s="286"/>
      <c r="OC189" s="286"/>
      <c r="OD189" s="286"/>
      <c r="OE189" s="282"/>
      <c r="OF189" s="282"/>
      <c r="OG189" s="286"/>
      <c r="OH189" s="286"/>
      <c r="OI189" s="286"/>
      <c r="OJ189" s="286"/>
      <c r="OK189" s="286"/>
      <c r="OL189" s="286"/>
      <c r="OM189" s="286"/>
      <c r="ON189" s="286"/>
      <c r="OO189" s="286"/>
      <c r="OP189" s="434"/>
      <c r="OQ189" s="434"/>
      <c r="OR189" s="282"/>
      <c r="OS189" s="282"/>
      <c r="OT189" s="282"/>
      <c r="OU189" s="282"/>
      <c r="OV189" s="282"/>
      <c r="OW189" s="286"/>
      <c r="OX189" s="286"/>
      <c r="OY189" s="286"/>
      <c r="OZ189" s="286"/>
      <c r="PA189" s="286"/>
      <c r="PB189" s="286"/>
      <c r="PC189" s="286"/>
      <c r="PD189" s="282"/>
      <c r="PE189" s="282"/>
      <c r="PF189" s="286"/>
      <c r="PG189" s="286"/>
      <c r="PH189" s="286"/>
      <c r="PI189" s="286"/>
      <c r="PJ189" s="286"/>
      <c r="PK189" s="286"/>
      <c r="PL189" s="286"/>
      <c r="PM189" s="562"/>
    </row>
    <row r="190" spans="1:429" s="289" customFormat="1" ht="15.75" customHeight="1">
      <c r="A190" s="1040"/>
      <c r="B190" s="1040"/>
      <c r="C190" s="1340"/>
      <c r="D190" s="279"/>
      <c r="E190" s="1533"/>
      <c r="F190" s="1340"/>
      <c r="G190" s="1340"/>
      <c r="H190" s="1340"/>
      <c r="I190" s="1340"/>
      <c r="J190" s="1340"/>
      <c r="K190" s="1348"/>
      <c r="L190" s="1199"/>
      <c r="M190" s="1199"/>
      <c r="N190" s="1199"/>
      <c r="O190" s="1199"/>
      <c r="P190" s="1199"/>
      <c r="Q190" s="1340"/>
      <c r="R190" s="1340"/>
      <c r="S190" s="1340"/>
      <c r="T190" s="1199"/>
      <c r="U190" s="1199"/>
      <c r="V190" s="1199"/>
      <c r="W190" s="1340"/>
      <c r="X190" s="1340"/>
      <c r="Y190" s="1199"/>
      <c r="Z190" s="1199"/>
      <c r="AA190" s="1340"/>
      <c r="AB190" s="1331"/>
      <c r="AC190" s="1199"/>
      <c r="AD190" s="1200"/>
      <c r="AE190" s="1340"/>
      <c r="AF190" s="1340"/>
      <c r="AG190" s="1199"/>
      <c r="AH190" s="1340"/>
      <c r="AI190" s="1340"/>
      <c r="AJ190" s="1199"/>
      <c r="AK190" s="1348"/>
      <c r="AL190" s="1348"/>
      <c r="AM190" s="1639"/>
      <c r="AN190" s="1199"/>
      <c r="AO190" s="1340"/>
      <c r="AP190" s="1340"/>
      <c r="AQ190" s="1639"/>
      <c r="AR190" s="1199"/>
      <c r="AS190" s="1200"/>
      <c r="AT190" s="1200"/>
      <c r="AU190" s="1200"/>
      <c r="AV190" s="1200"/>
      <c r="AW190" s="1200"/>
      <c r="AX190" s="1348"/>
      <c r="AY190" s="1348"/>
      <c r="AZ190" s="1348"/>
      <c r="BA190" s="1348"/>
      <c r="BB190" s="1348"/>
      <c r="BC190" s="1348"/>
      <c r="BD190" s="1348"/>
      <c r="BE190" s="1340"/>
      <c r="BF190" s="1340"/>
      <c r="BG190" s="1340"/>
      <c r="BH190" s="1340"/>
      <c r="BI190" s="1348"/>
      <c r="BJ190" s="1340"/>
      <c r="BK190" s="1340"/>
      <c r="BL190" s="1331"/>
      <c r="BM190" s="1340"/>
      <c r="BN190" s="1340"/>
      <c r="BO190" s="1200"/>
      <c r="BP190" s="1348"/>
      <c r="BQ190" s="1348"/>
      <c r="BR190" s="1349"/>
      <c r="BS190" s="1422"/>
      <c r="BT190" s="1350"/>
      <c r="BU190" s="1350"/>
      <c r="BV190" s="1349"/>
      <c r="BW190" s="1340"/>
      <c r="BX190" s="1340"/>
      <c r="BY190" s="1340"/>
      <c r="BZ190" s="1340"/>
      <c r="CA190" s="1340"/>
      <c r="CB190" s="1340"/>
      <c r="CC190" s="1340"/>
      <c r="CD190" s="1340"/>
      <c r="CE190" s="1340"/>
      <c r="CF190" s="1340"/>
      <c r="CG190" s="1340"/>
      <c r="CH190" s="1340"/>
      <c r="CI190" s="1340"/>
      <c r="CJ190" s="1340"/>
      <c r="CK190" s="30"/>
      <c r="CL190" s="30"/>
      <c r="CM190" s="30"/>
      <c r="CN190" s="30"/>
      <c r="CO190" s="30"/>
      <c r="CP190" s="30"/>
      <c r="CQ190" s="30"/>
      <c r="CR190" s="30"/>
      <c r="CS190" s="30"/>
      <c r="CT190" s="30"/>
      <c r="CU190" s="30"/>
      <c r="CV190" s="1340"/>
      <c r="CW190" s="1340"/>
      <c r="CX190" s="1340"/>
      <c r="CY190" s="1340"/>
      <c r="CZ190" s="1340"/>
      <c r="DA190" s="1340"/>
      <c r="DB190" s="1340"/>
      <c r="DC190" s="30"/>
      <c r="DD190" s="30"/>
      <c r="DE190" s="30"/>
      <c r="DF190" s="30"/>
      <c r="DG190" s="30"/>
      <c r="DH190" s="30"/>
      <c r="DI190" s="30"/>
      <c r="DJ190" s="1340"/>
      <c r="DK190" s="1340"/>
      <c r="DL190" s="1340"/>
      <c r="DM190" s="1340"/>
      <c r="DN190" s="1340"/>
      <c r="DO190" s="1340"/>
      <c r="DP190" s="1340"/>
      <c r="DQ190" s="1340"/>
      <c r="DR190" s="1340"/>
      <c r="DS190" s="1340"/>
      <c r="DT190" s="1340"/>
      <c r="DU190" s="1340"/>
      <c r="DV190" s="1340"/>
      <c r="DW190" s="1340"/>
      <c r="DX190" s="1340"/>
      <c r="DY190" s="1340"/>
      <c r="DZ190" s="1340"/>
      <c r="EA190" s="1340"/>
      <c r="EB190" s="1340"/>
      <c r="EC190" s="1340"/>
      <c r="ED190" s="1337"/>
      <c r="EE190" s="1340"/>
      <c r="EF190" s="1340"/>
      <c r="EG190" s="1348"/>
      <c r="EH190" s="1348"/>
      <c r="EI190" s="1203"/>
      <c r="EJ190" s="1340"/>
      <c r="EK190" s="1340"/>
      <c r="EL190" s="1340"/>
      <c r="EM190" s="1340"/>
      <c r="EN190" s="1331"/>
      <c r="EO190" s="1340"/>
      <c r="EP190" s="1340"/>
      <c r="EQ190" s="1340"/>
      <c r="ER190" s="1348"/>
      <c r="ES190" s="1340"/>
      <c r="ET190" s="1340"/>
      <c r="EU190" s="1348"/>
      <c r="EV190" s="1340"/>
      <c r="EW190" s="1340"/>
      <c r="EX190" s="1348"/>
      <c r="EY190" s="1340"/>
      <c r="EZ190" s="1340"/>
      <c r="FA190" s="1340"/>
      <c r="FB190" s="1340"/>
      <c r="FC190" s="1340"/>
      <c r="FD190" s="1340"/>
      <c r="FE190" s="1340"/>
      <c r="FF190" s="1340"/>
      <c r="FG190" s="1340"/>
      <c r="FH190" s="30"/>
      <c r="FI190" s="30"/>
      <c r="FJ190" s="30"/>
      <c r="FK190" s="30"/>
      <c r="FL190" s="30"/>
      <c r="FM190" s="30"/>
      <c r="FN190" s="30"/>
      <c r="FO190" s="30"/>
      <c r="FP190" s="30"/>
      <c r="FQ190" s="1340"/>
      <c r="FR190" s="1340"/>
      <c r="FS190" s="1340"/>
      <c r="FT190" s="1340"/>
      <c r="FU190" s="1340"/>
      <c r="FV190" s="1340"/>
      <c r="FW190" s="1340"/>
      <c r="FX190" s="1340"/>
      <c r="FY190" s="1340"/>
      <c r="FZ190" s="30"/>
      <c r="GA190" s="30"/>
      <c r="GB190" s="30"/>
      <c r="GC190" s="30"/>
      <c r="GD190" s="30"/>
      <c r="GE190" s="30"/>
      <c r="GF190" s="30"/>
      <c r="GG190" s="30"/>
      <c r="GH190" s="30"/>
      <c r="GI190" s="281"/>
      <c r="GJ190" s="1052"/>
      <c r="GK190" s="622"/>
      <c r="GL190" s="1052"/>
      <c r="GM190" s="622"/>
      <c r="GN190" s="1052"/>
      <c r="GO190" s="1052"/>
      <c r="GP190" s="1052"/>
      <c r="GQ190" s="1052"/>
      <c r="GR190" s="1052"/>
      <c r="GS190" s="1052"/>
      <c r="GT190" s="1052"/>
      <c r="GU190" s="1052"/>
      <c r="GV190" s="1052"/>
      <c r="GW190" s="1052"/>
      <c r="GX190" s="1052"/>
      <c r="GY190" s="1052"/>
      <c r="GZ190" s="1052"/>
      <c r="HA190" s="1052"/>
      <c r="HB190" s="1052"/>
      <c r="HC190" s="1052"/>
      <c r="HD190" s="1052"/>
      <c r="HE190" s="1052"/>
      <c r="HF190" s="1527"/>
      <c r="HG190" s="1052"/>
      <c r="HH190" s="1340"/>
      <c r="HI190" s="1052"/>
      <c r="HJ190" s="1052"/>
      <c r="HK190" s="1052"/>
      <c r="HL190" s="1052"/>
      <c r="HM190" s="1052"/>
      <c r="HN190" s="1052"/>
      <c r="HO190" s="1052"/>
      <c r="HP190" s="1052"/>
      <c r="HQ190" s="1052"/>
      <c r="HR190" s="1052"/>
      <c r="HS190" s="30"/>
      <c r="HT190" s="30"/>
      <c r="HU190" s="30"/>
      <c r="HV190" s="30"/>
      <c r="HW190" s="30"/>
      <c r="HX190" s="30"/>
      <c r="HY190" s="30"/>
      <c r="HZ190" s="51"/>
      <c r="IA190" s="59"/>
      <c r="IB190" s="59"/>
      <c r="IC190" s="815"/>
      <c r="ID190" s="815"/>
      <c r="IE190" s="284"/>
      <c r="IF190" s="284"/>
      <c r="IG190" s="284"/>
      <c r="IH190" s="284"/>
      <c r="II190" s="1288"/>
      <c r="IJ190" s="1288"/>
      <c r="IK190" s="284"/>
      <c r="IL190" s="284"/>
      <c r="IM190" s="284"/>
      <c r="IN190" s="284"/>
      <c r="IO190" s="753"/>
      <c r="IP190" s="113"/>
      <c r="IQ190" s="30"/>
      <c r="IR190" s="438"/>
      <c r="IS190" s="438"/>
      <c r="IT190" s="438"/>
      <c r="IU190" s="438"/>
      <c r="IV190" s="438"/>
      <c r="IW190" s="438"/>
      <c r="IX190" s="285"/>
      <c r="IY190" s="285"/>
      <c r="IZ190" s="285"/>
      <c r="JA190" s="285"/>
      <c r="JB190" s="285"/>
      <c r="JC190" s="285"/>
      <c r="JD190" s="60"/>
      <c r="JE190" s="60"/>
      <c r="JF190" s="60"/>
      <c r="JG190" s="60"/>
      <c r="JH190" s="284"/>
      <c r="JI190" s="284"/>
      <c r="JJ190" s="560"/>
      <c r="JK190" s="561"/>
      <c r="JL190" s="561"/>
      <c r="JM190" s="561"/>
      <c r="JN190" s="561"/>
      <c r="JO190" s="561"/>
      <c r="JP190" s="561"/>
      <c r="JQ190" s="561"/>
      <c r="JR190" s="61"/>
      <c r="JS190" s="61"/>
      <c r="JT190" s="61"/>
      <c r="JU190" s="61"/>
      <c r="JV190" s="61"/>
      <c r="JW190" s="61"/>
      <c r="JX190" s="61"/>
      <c r="JY190" s="394"/>
      <c r="JZ190" s="61"/>
      <c r="KA190" s="61"/>
      <c r="KB190" s="61"/>
      <c r="KC190" s="61"/>
      <c r="KD190" s="61"/>
      <c r="KE190" s="61"/>
      <c r="KF190" s="61"/>
      <c r="KG190" s="61"/>
      <c r="KH190" s="61"/>
      <c r="KI190" s="394"/>
      <c r="KJ190" s="438"/>
      <c r="KK190" s="438"/>
      <c r="KL190" s="438"/>
      <c r="KM190" s="438"/>
      <c r="KN190" s="438"/>
      <c r="KO190" s="438"/>
      <c r="KP190" s="438"/>
      <c r="KQ190" s="438"/>
      <c r="KR190" s="438"/>
      <c r="KS190" s="438"/>
      <c r="KT190" s="438"/>
      <c r="KU190" s="438"/>
      <c r="KV190" s="420"/>
      <c r="KW190" s="420"/>
      <c r="KX190" s="108"/>
      <c r="KY190" s="282"/>
      <c r="KZ190" s="282"/>
      <c r="LA190" s="282"/>
      <c r="LB190" s="282"/>
      <c r="LC190" s="286"/>
      <c r="LD190" s="286"/>
      <c r="LE190" s="282"/>
      <c r="LF190" s="282"/>
      <c r="LG190" s="282"/>
      <c r="LH190" s="282"/>
      <c r="LI190" s="282"/>
      <c r="LJ190" s="282"/>
      <c r="LK190" s="282"/>
      <c r="LL190" s="282"/>
      <c r="LM190" s="282"/>
      <c r="LN190" s="282"/>
      <c r="LO190" s="282"/>
      <c r="LP190" s="286"/>
      <c r="LQ190" s="282"/>
      <c r="LR190" s="282"/>
      <c r="LS190" s="282"/>
      <c r="LT190" s="286"/>
      <c r="LU190" s="286"/>
      <c r="LV190" s="286"/>
      <c r="LW190" s="286"/>
      <c r="LX190" s="286"/>
      <c r="LY190" s="286"/>
      <c r="LZ190" s="286"/>
      <c r="MA190" s="286"/>
      <c r="MB190" s="286"/>
      <c r="MC190" s="286"/>
      <c r="MD190" s="286"/>
      <c r="ME190" s="286"/>
      <c r="MF190" s="286"/>
      <c r="MG190" s="286"/>
      <c r="MH190" s="286"/>
      <c r="MI190" s="286"/>
      <c r="MJ190" s="286"/>
      <c r="MK190" s="286"/>
      <c r="ML190" s="282"/>
      <c r="MM190" s="1232"/>
      <c r="MN190" s="1232"/>
      <c r="MO190" s="1232"/>
      <c r="MP190" s="1232"/>
      <c r="MQ190" s="282"/>
      <c r="MR190" s="282"/>
      <c r="MS190" s="282"/>
      <c r="MT190" s="282"/>
      <c r="MU190" s="282"/>
      <c r="MV190" s="282"/>
      <c r="MW190" s="282"/>
      <c r="MX190" s="282"/>
      <c r="MY190" s="282"/>
      <c r="MZ190" s="282"/>
      <c r="NA190" s="282"/>
      <c r="NB190" s="282"/>
      <c r="NC190" s="282"/>
      <c r="ND190" s="282"/>
      <c r="NE190" s="282"/>
      <c r="NF190" s="282"/>
      <c r="NG190" s="282"/>
      <c r="NH190" s="282"/>
      <c r="NI190" s="282"/>
      <c r="NJ190" s="282"/>
      <c r="NK190" s="282"/>
      <c r="NL190" s="282"/>
      <c r="NM190" s="1205"/>
      <c r="NN190" s="282"/>
      <c r="NO190" s="282"/>
      <c r="NP190" s="282"/>
      <c r="NQ190" s="282"/>
      <c r="NR190" s="282"/>
      <c r="NS190" s="282"/>
      <c r="NT190" s="282"/>
      <c r="NU190" s="282"/>
      <c r="NV190" s="286"/>
      <c r="NW190" s="286"/>
      <c r="NX190" s="286"/>
      <c r="NY190" s="286"/>
      <c r="NZ190" s="286"/>
      <c r="OA190" s="286"/>
      <c r="OB190" s="286"/>
      <c r="OC190" s="286"/>
      <c r="OD190" s="286"/>
      <c r="OE190" s="282"/>
      <c r="OF190" s="282"/>
      <c r="OG190" s="286"/>
      <c r="OH190" s="286"/>
      <c r="OI190" s="286"/>
      <c r="OJ190" s="286"/>
      <c r="OK190" s="286"/>
      <c r="OL190" s="286"/>
      <c r="OM190" s="286"/>
      <c r="ON190" s="286"/>
      <c r="OO190" s="286"/>
      <c r="OP190" s="434"/>
      <c r="OQ190" s="434"/>
      <c r="OR190" s="282"/>
      <c r="OS190" s="282"/>
      <c r="OT190" s="282"/>
      <c r="OU190" s="282"/>
      <c r="OV190" s="282"/>
      <c r="OW190" s="286"/>
      <c r="OX190" s="286"/>
      <c r="OY190" s="286"/>
      <c r="OZ190" s="286"/>
      <c r="PA190" s="286"/>
      <c r="PB190" s="286"/>
      <c r="PC190" s="286"/>
      <c r="PD190" s="282"/>
      <c r="PE190" s="282"/>
      <c r="PF190" s="286"/>
      <c r="PG190" s="286"/>
      <c r="PH190" s="286"/>
      <c r="PI190" s="286"/>
      <c r="PJ190" s="286"/>
      <c r="PK190" s="286"/>
      <c r="PL190" s="286"/>
      <c r="PM190" s="562"/>
    </row>
    <row r="191" spans="1:429" s="289" customFormat="1" ht="15.75" customHeight="1">
      <c r="A191" s="1040"/>
      <c r="B191" s="1040"/>
      <c r="C191" s="1420"/>
      <c r="D191" s="279"/>
      <c r="E191" s="1533"/>
      <c r="F191" s="1340"/>
      <c r="G191" s="1340"/>
      <c r="H191" s="1340"/>
      <c r="I191" s="1340"/>
      <c r="J191" s="1340"/>
      <c r="K191" s="1348"/>
      <c r="L191" s="1199"/>
      <c r="M191" s="1199"/>
      <c r="N191" s="1199"/>
      <c r="O191" s="1199"/>
      <c r="P191" s="1199"/>
      <c r="Q191" s="1340"/>
      <c r="R191" s="1340"/>
      <c r="S191" s="1340"/>
      <c r="T191" s="1199"/>
      <c r="U191" s="1199"/>
      <c r="V191" s="1199"/>
      <c r="W191" s="1340"/>
      <c r="X191" s="1340"/>
      <c r="Y191" s="1199"/>
      <c r="Z191" s="1199"/>
      <c r="AA191" s="1340"/>
      <c r="AB191" s="1331"/>
      <c r="AC191" s="1199"/>
      <c r="AD191" s="1200"/>
      <c r="AE191" s="1340"/>
      <c r="AF191" s="1340"/>
      <c r="AG191" s="1199"/>
      <c r="AH191" s="1340"/>
      <c r="AI191" s="1340"/>
      <c r="AJ191" s="1199"/>
      <c r="AK191" s="1348"/>
      <c r="AL191" s="1348"/>
      <c r="AM191" s="1639"/>
      <c r="AN191" s="1199"/>
      <c r="AO191" s="1340"/>
      <c r="AP191" s="1340"/>
      <c r="AQ191" s="1639"/>
      <c r="AR191" s="1199"/>
      <c r="AS191" s="1200"/>
      <c r="AT191" s="1200"/>
      <c r="AU191" s="1200"/>
      <c r="AV191" s="1200"/>
      <c r="AW191" s="1200"/>
      <c r="AX191" s="1348"/>
      <c r="AY191" s="1348"/>
      <c r="AZ191" s="1348"/>
      <c r="BA191" s="1348"/>
      <c r="BB191" s="1348"/>
      <c r="BC191" s="1348"/>
      <c r="BD191" s="1348"/>
      <c r="BE191" s="1340"/>
      <c r="BF191" s="1340"/>
      <c r="BG191" s="1340"/>
      <c r="BH191" s="1340"/>
      <c r="BI191" s="1348"/>
      <c r="BJ191" s="1340"/>
      <c r="BK191" s="1340"/>
      <c r="BL191" s="1331"/>
      <c r="BM191" s="1340"/>
      <c r="BN191" s="1340"/>
      <c r="BO191" s="1200"/>
      <c r="BP191" s="1348"/>
      <c r="BQ191" s="1348"/>
      <c r="BR191" s="1349"/>
      <c r="BS191" s="1422"/>
      <c r="BT191" s="1350"/>
      <c r="BU191" s="1350"/>
      <c r="BV191" s="1349"/>
      <c r="BW191" s="1340"/>
      <c r="BX191" s="1340"/>
      <c r="BY191" s="1340"/>
      <c r="BZ191" s="1340"/>
      <c r="CA191" s="1340"/>
      <c r="CB191" s="1340"/>
      <c r="CC191" s="1340"/>
      <c r="CD191" s="1340"/>
      <c r="CE191" s="1340"/>
      <c r="CF191" s="1340"/>
      <c r="CG191" s="1340"/>
      <c r="CH191" s="1340"/>
      <c r="CI191" s="1340"/>
      <c r="CJ191" s="1340"/>
      <c r="CK191" s="30"/>
      <c r="CL191" s="30"/>
      <c r="CM191" s="30"/>
      <c r="CN191" s="30"/>
      <c r="CO191" s="30"/>
      <c r="CP191" s="30"/>
      <c r="CQ191" s="30"/>
      <c r="CR191" s="30"/>
      <c r="CS191" s="30"/>
      <c r="CT191" s="30"/>
      <c r="CU191" s="30"/>
      <c r="CV191" s="1340"/>
      <c r="CW191" s="1340"/>
      <c r="CX191" s="1340"/>
      <c r="CY191" s="1340"/>
      <c r="CZ191" s="1340"/>
      <c r="DA191" s="1340"/>
      <c r="DB191" s="1340"/>
      <c r="DC191" s="30"/>
      <c r="DD191" s="30"/>
      <c r="DE191" s="30"/>
      <c r="DF191" s="30"/>
      <c r="DG191" s="30"/>
      <c r="DH191" s="30"/>
      <c r="DI191" s="30"/>
      <c r="DJ191" s="1340"/>
      <c r="DK191" s="1340"/>
      <c r="DL191" s="1340"/>
      <c r="DM191" s="1340"/>
      <c r="DN191" s="1340"/>
      <c r="DO191" s="1340"/>
      <c r="DP191" s="1340"/>
      <c r="DQ191" s="1340"/>
      <c r="DR191" s="1340"/>
      <c r="DS191" s="1340"/>
      <c r="DT191" s="1340"/>
      <c r="DU191" s="1340"/>
      <c r="DV191" s="1340"/>
      <c r="DW191" s="1340"/>
      <c r="DX191" s="1340"/>
      <c r="DY191" s="1340"/>
      <c r="DZ191" s="1340"/>
      <c r="EA191" s="1340"/>
      <c r="EB191" s="1340"/>
      <c r="EC191" s="1340"/>
      <c r="ED191" s="1337"/>
      <c r="EE191" s="1340"/>
      <c r="EF191" s="1340"/>
      <c r="EG191" s="1348"/>
      <c r="EH191" s="1348"/>
      <c r="EI191" s="1203"/>
      <c r="EJ191" s="1340"/>
      <c r="EK191" s="1340"/>
      <c r="EL191" s="1340"/>
      <c r="EM191" s="1340"/>
      <c r="EN191" s="1340"/>
      <c r="EO191" s="1340"/>
      <c r="EP191" s="1340"/>
      <c r="EQ191" s="1340"/>
      <c r="ER191" s="1340"/>
      <c r="ES191" s="1340"/>
      <c r="ET191" s="1340"/>
      <c r="EU191" s="1340"/>
      <c r="EV191" s="1340"/>
      <c r="EW191" s="1340"/>
      <c r="EX191" s="1340"/>
      <c r="EY191" s="1340"/>
      <c r="EZ191" s="1340"/>
      <c r="FA191" s="1340"/>
      <c r="FB191" s="1340"/>
      <c r="FC191" s="1340"/>
      <c r="FD191" s="1340"/>
      <c r="FE191" s="1340"/>
      <c r="FF191" s="1340"/>
      <c r="FG191" s="1340"/>
      <c r="FH191" s="30"/>
      <c r="FI191" s="30"/>
      <c r="FJ191" s="30"/>
      <c r="FK191" s="30"/>
      <c r="FL191" s="30"/>
      <c r="FM191" s="30"/>
      <c r="FN191" s="30"/>
      <c r="FO191" s="30"/>
      <c r="FP191" s="30"/>
      <c r="FQ191" s="1340"/>
      <c r="FR191" s="1340"/>
      <c r="FS191" s="1340"/>
      <c r="FT191" s="1340"/>
      <c r="FU191" s="1340"/>
      <c r="FV191" s="1340"/>
      <c r="FW191" s="1340"/>
      <c r="FX191" s="1340"/>
      <c r="FY191" s="1340"/>
      <c r="FZ191" s="1340"/>
      <c r="GA191" s="1340"/>
      <c r="GB191" s="1340"/>
      <c r="GC191" s="1340"/>
      <c r="GD191" s="1340"/>
      <c r="GE191" s="1340"/>
      <c r="GF191" s="1340"/>
      <c r="GG191" s="1340"/>
      <c r="GH191" s="1340"/>
      <c r="GI191" s="1340"/>
      <c r="GJ191" s="1340"/>
      <c r="GK191" s="1340"/>
      <c r="GL191" s="1340"/>
      <c r="GM191" s="1340"/>
      <c r="GN191" s="1052"/>
      <c r="GO191" s="1052"/>
      <c r="GP191" s="1052"/>
      <c r="GQ191" s="1052"/>
      <c r="GR191" s="1052"/>
      <c r="GS191" s="1052"/>
      <c r="GT191" s="1052"/>
      <c r="GU191" s="1052"/>
      <c r="GV191" s="1052"/>
      <c r="GW191" s="1052"/>
      <c r="GX191" s="1052"/>
      <c r="GY191" s="1052"/>
      <c r="GZ191" s="30"/>
      <c r="HA191" s="30"/>
      <c r="HB191" s="30"/>
      <c r="HC191" s="30"/>
      <c r="HD191" s="30"/>
      <c r="HE191" s="30"/>
      <c r="HF191" s="1527"/>
      <c r="HG191" s="1340"/>
      <c r="HH191" s="1340"/>
      <c r="HI191" s="1340"/>
      <c r="HJ191" s="1340"/>
      <c r="HK191" s="1340"/>
      <c r="HL191" s="1340"/>
      <c r="HM191" s="1340"/>
      <c r="HN191" s="1340"/>
      <c r="HO191" s="1340"/>
      <c r="HP191" s="1052"/>
      <c r="HQ191" s="1052"/>
      <c r="HR191" s="1052"/>
      <c r="HS191" s="1052"/>
      <c r="HT191" s="1052"/>
      <c r="HU191" s="1052"/>
      <c r="HV191" s="1052"/>
      <c r="HW191" s="1052"/>
      <c r="HX191" s="1052"/>
      <c r="HY191" s="1052"/>
      <c r="HZ191" s="51"/>
      <c r="IA191" s="59"/>
      <c r="IB191" s="59"/>
      <c r="IC191" s="815"/>
      <c r="ID191" s="815"/>
      <c r="IE191" s="284"/>
      <c r="IF191" s="284"/>
      <c r="IG191" s="284"/>
      <c r="IH191" s="284"/>
      <c r="II191" s="1288"/>
      <c r="IJ191" s="1288"/>
      <c r="IK191" s="284"/>
      <c r="IL191" s="284"/>
      <c r="IM191" s="284"/>
      <c r="IN191" s="284"/>
      <c r="IO191" s="753"/>
      <c r="IP191" s="113"/>
      <c r="IQ191" s="30"/>
      <c r="IR191" s="438"/>
      <c r="IS191" s="438"/>
      <c r="IT191" s="438"/>
      <c r="IU191" s="438"/>
      <c r="IV191" s="438"/>
      <c r="IW191" s="438"/>
      <c r="IX191" s="285"/>
      <c r="IY191" s="285"/>
      <c r="IZ191" s="285"/>
      <c r="JA191" s="285"/>
      <c r="JB191" s="285"/>
      <c r="JC191" s="285"/>
      <c r="JD191" s="60"/>
      <c r="JE191" s="60"/>
      <c r="JF191" s="60"/>
      <c r="JG191" s="60"/>
      <c r="JH191" s="284"/>
      <c r="JI191" s="284"/>
      <c r="JJ191" s="560"/>
      <c r="JK191" s="561"/>
      <c r="JL191" s="561"/>
      <c r="JM191" s="561"/>
      <c r="JN191" s="561"/>
      <c r="JO191" s="561"/>
      <c r="JP191" s="561"/>
      <c r="JQ191" s="561"/>
      <c r="JR191" s="61"/>
      <c r="JS191" s="61"/>
      <c r="JT191" s="61"/>
      <c r="JU191" s="61"/>
      <c r="JV191" s="61"/>
      <c r="JW191" s="61"/>
      <c r="JX191" s="61"/>
      <c r="JY191" s="394"/>
      <c r="JZ191" s="61"/>
      <c r="KA191" s="61"/>
      <c r="KB191" s="61"/>
      <c r="KC191" s="61"/>
      <c r="KD191" s="61"/>
      <c r="KE191" s="61"/>
      <c r="KF191" s="61"/>
      <c r="KG191" s="61"/>
      <c r="KH191" s="61"/>
      <c r="KI191" s="394"/>
      <c r="KJ191" s="438"/>
      <c r="KK191" s="438"/>
      <c r="KL191" s="438"/>
      <c r="KM191" s="438"/>
      <c r="KN191" s="438"/>
      <c r="KO191" s="438"/>
      <c r="KP191" s="438"/>
      <c r="KQ191" s="438"/>
      <c r="KR191" s="438"/>
      <c r="KS191" s="438"/>
      <c r="KT191" s="438"/>
      <c r="KU191" s="438"/>
      <c r="KV191" s="420"/>
      <c r="KW191" s="420"/>
      <c r="KX191" s="108"/>
      <c r="KY191" s="282"/>
      <c r="KZ191" s="282"/>
      <c r="LA191" s="282"/>
      <c r="LB191" s="282"/>
      <c r="LC191" s="286"/>
      <c r="LD191" s="286"/>
      <c r="LE191" s="282"/>
      <c r="LF191" s="282"/>
      <c r="LG191" s="282"/>
      <c r="LH191" s="282"/>
      <c r="LI191" s="282"/>
      <c r="LJ191" s="282"/>
      <c r="LK191" s="282"/>
      <c r="LL191" s="282"/>
      <c r="LM191" s="282"/>
      <c r="LN191" s="282"/>
      <c r="LO191" s="282"/>
      <c r="LP191" s="286"/>
      <c r="LQ191" s="282"/>
      <c r="LR191" s="282"/>
      <c r="LS191" s="282"/>
      <c r="LT191" s="286"/>
      <c r="LU191" s="286"/>
      <c r="LV191" s="286"/>
      <c r="LW191" s="286"/>
      <c r="LX191" s="286"/>
      <c r="LY191" s="286"/>
      <c r="LZ191" s="286"/>
      <c r="MA191" s="286"/>
      <c r="MB191" s="286"/>
      <c r="MC191" s="286"/>
      <c r="MD191" s="286"/>
      <c r="ME191" s="286"/>
      <c r="MF191" s="286"/>
      <c r="MG191" s="286"/>
      <c r="MH191" s="286"/>
      <c r="MI191" s="286"/>
      <c r="MJ191" s="286"/>
      <c r="MK191" s="286"/>
      <c r="ML191" s="282"/>
      <c r="MM191" s="1232"/>
      <c r="MN191" s="1232"/>
      <c r="MO191" s="1232"/>
      <c r="MP191" s="1232"/>
      <c r="MQ191" s="282"/>
      <c r="MR191" s="282"/>
      <c r="MS191" s="282"/>
      <c r="MT191" s="282"/>
      <c r="MU191" s="282"/>
      <c r="MV191" s="282"/>
      <c r="MW191" s="282"/>
      <c r="MX191" s="282"/>
      <c r="MY191" s="282"/>
      <c r="MZ191" s="282"/>
      <c r="NA191" s="282"/>
      <c r="NB191" s="282"/>
      <c r="NC191" s="282"/>
      <c r="ND191" s="282"/>
      <c r="NE191" s="282"/>
      <c r="NF191" s="282"/>
      <c r="NG191" s="282"/>
      <c r="NH191" s="282"/>
      <c r="NI191" s="282"/>
      <c r="NJ191" s="282"/>
      <c r="NK191" s="282"/>
      <c r="NL191" s="282"/>
      <c r="NM191" s="1205"/>
      <c r="NN191" s="282"/>
      <c r="NO191" s="282"/>
      <c r="NP191" s="282"/>
      <c r="NQ191" s="282"/>
      <c r="NR191" s="282"/>
      <c r="NS191" s="282"/>
      <c r="NT191" s="282"/>
      <c r="NU191" s="282"/>
      <c r="NV191" s="286"/>
      <c r="NW191" s="286"/>
      <c r="NX191" s="286"/>
      <c r="NY191" s="286"/>
      <c r="NZ191" s="286"/>
      <c r="OA191" s="286"/>
      <c r="OB191" s="286"/>
      <c r="OC191" s="286"/>
      <c r="OD191" s="286"/>
      <c r="OE191" s="282"/>
      <c r="OF191" s="282"/>
      <c r="OG191" s="286"/>
      <c r="OH191" s="286"/>
      <c r="OI191" s="286"/>
      <c r="OJ191" s="286"/>
      <c r="OK191" s="286"/>
      <c r="OL191" s="286"/>
      <c r="OM191" s="286"/>
      <c r="ON191" s="286"/>
      <c r="OO191" s="286"/>
      <c r="OP191" s="434"/>
      <c r="OQ191" s="434"/>
      <c r="OR191" s="282"/>
      <c r="OS191" s="282"/>
      <c r="OT191" s="282"/>
      <c r="OU191" s="282"/>
      <c r="OV191" s="282"/>
      <c r="OW191" s="286"/>
      <c r="OX191" s="286"/>
      <c r="OY191" s="286"/>
      <c r="OZ191" s="286"/>
      <c r="PA191" s="286"/>
      <c r="PB191" s="286"/>
      <c r="PC191" s="286"/>
      <c r="PD191" s="282"/>
      <c r="PE191" s="282"/>
      <c r="PF191" s="286"/>
      <c r="PG191" s="286"/>
      <c r="PH191" s="286"/>
      <c r="PI191" s="286"/>
      <c r="PJ191" s="286"/>
      <c r="PK191" s="286"/>
      <c r="PL191" s="286"/>
      <c r="PM191" s="562"/>
    </row>
    <row r="192" spans="1:429" s="289" customFormat="1" ht="15.75" customHeight="1">
      <c r="A192" s="1040"/>
      <c r="B192" s="1040"/>
      <c r="C192" s="1340"/>
      <c r="D192" s="279"/>
      <c r="E192" s="1533"/>
      <c r="F192" s="1340"/>
      <c r="G192" s="1340"/>
      <c r="H192" s="1340"/>
      <c r="I192" s="1340"/>
      <c r="J192" s="1340"/>
      <c r="K192" s="1348"/>
      <c r="L192" s="1199"/>
      <c r="M192" s="1199"/>
      <c r="N192" s="1199"/>
      <c r="O192" s="1199"/>
      <c r="P192" s="1199"/>
      <c r="Q192" s="1340"/>
      <c r="R192" s="1340"/>
      <c r="S192" s="1340"/>
      <c r="T192" s="1199"/>
      <c r="U192" s="1199"/>
      <c r="V192" s="1199"/>
      <c r="W192" s="1340"/>
      <c r="X192" s="1340"/>
      <c r="Y192" s="1199"/>
      <c r="Z192" s="1199"/>
      <c r="AA192" s="1340"/>
      <c r="AB192" s="1331"/>
      <c r="AC192" s="1199"/>
      <c r="AD192" s="1200"/>
      <c r="AE192" s="1340"/>
      <c r="AF192" s="1340"/>
      <c r="AG192" s="1199"/>
      <c r="AH192" s="1340"/>
      <c r="AI192" s="1340"/>
      <c r="AJ192" s="1199"/>
      <c r="AK192" s="1348"/>
      <c r="AL192" s="1348"/>
      <c r="AM192" s="1639"/>
      <c r="AN192" s="1199"/>
      <c r="AO192" s="1340"/>
      <c r="AP192" s="1340"/>
      <c r="AQ192" s="1639"/>
      <c r="AR192" s="1199"/>
      <c r="AS192" s="1200"/>
      <c r="AT192" s="1200"/>
      <c r="AU192" s="1200"/>
      <c r="AV192" s="1200"/>
      <c r="AW192" s="1200"/>
      <c r="AX192" s="1348"/>
      <c r="AY192" s="1348"/>
      <c r="AZ192" s="1348"/>
      <c r="BA192" s="1348"/>
      <c r="BB192" s="1348"/>
      <c r="BC192" s="1348"/>
      <c r="BD192" s="1348"/>
      <c r="BE192" s="1340"/>
      <c r="BF192" s="1340"/>
      <c r="BG192" s="1340"/>
      <c r="BH192" s="1340"/>
      <c r="BI192" s="1348"/>
      <c r="BJ192" s="1340"/>
      <c r="BK192" s="1340"/>
      <c r="BL192" s="1331"/>
      <c r="BM192" s="1340"/>
      <c r="BN192" s="1340"/>
      <c r="BO192" s="1200"/>
      <c r="BP192" s="1348"/>
      <c r="BQ192" s="1348"/>
      <c r="BR192" s="1349"/>
      <c r="BS192" s="1422"/>
      <c r="BT192" s="1350"/>
      <c r="BU192" s="1350"/>
      <c r="BV192" s="1349"/>
      <c r="BW192" s="1340"/>
      <c r="BX192" s="1340"/>
      <c r="BY192" s="1340"/>
      <c r="BZ192" s="1340"/>
      <c r="CA192" s="1340"/>
      <c r="CB192" s="1340"/>
      <c r="CC192" s="1340"/>
      <c r="CD192" s="1340"/>
      <c r="CE192" s="1340"/>
      <c r="CF192" s="1340"/>
      <c r="CG192" s="1340"/>
      <c r="CH192" s="1340"/>
      <c r="CI192" s="1340"/>
      <c r="CJ192" s="1340"/>
      <c r="CK192" s="30"/>
      <c r="CL192" s="30"/>
      <c r="CM192" s="30"/>
      <c r="CN192" s="30"/>
      <c r="CO192" s="30"/>
      <c r="CP192" s="30"/>
      <c r="CQ192" s="30"/>
      <c r="CR192" s="30"/>
      <c r="CS192" s="30"/>
      <c r="CT192" s="30"/>
      <c r="CU192" s="30"/>
      <c r="CV192" s="1340"/>
      <c r="CW192" s="1340"/>
      <c r="CX192" s="1340"/>
      <c r="CY192" s="1340"/>
      <c r="CZ192" s="1340"/>
      <c r="DA192" s="1340"/>
      <c r="DB192" s="1340"/>
      <c r="DC192" s="30"/>
      <c r="DD192" s="30"/>
      <c r="DE192" s="30"/>
      <c r="DF192" s="30"/>
      <c r="DG192" s="30"/>
      <c r="DH192" s="30"/>
      <c r="DI192" s="30"/>
      <c r="DJ192" s="1340"/>
      <c r="DK192" s="1340"/>
      <c r="DL192" s="1340"/>
      <c r="DM192" s="1340"/>
      <c r="DN192" s="1340"/>
      <c r="DO192" s="1340"/>
      <c r="DP192" s="1340"/>
      <c r="DQ192" s="1340"/>
      <c r="DR192" s="1340"/>
      <c r="DS192" s="1340"/>
      <c r="DT192" s="1340"/>
      <c r="DU192" s="1340"/>
      <c r="DV192" s="1340"/>
      <c r="DW192" s="1340"/>
      <c r="DX192" s="1340"/>
      <c r="DY192" s="1340"/>
      <c r="DZ192" s="1340"/>
      <c r="EA192" s="1340"/>
      <c r="EB192" s="1340"/>
      <c r="EC192" s="1340"/>
      <c r="ED192" s="1337"/>
      <c r="EE192" s="1340"/>
      <c r="EF192" s="1340"/>
      <c r="EG192" s="1348"/>
      <c r="EH192" s="1348"/>
      <c r="EI192" s="1203"/>
      <c r="EJ192" s="1340"/>
      <c r="EK192" s="1340"/>
      <c r="EL192" s="1340"/>
      <c r="EM192" s="1340"/>
      <c r="EN192" s="1331"/>
      <c r="EO192" s="1340"/>
      <c r="EP192" s="1340"/>
      <c r="EQ192" s="1340"/>
      <c r="ER192" s="1348"/>
      <c r="ES192" s="1340"/>
      <c r="ET192" s="1340"/>
      <c r="EU192" s="1348"/>
      <c r="EV192" s="1340"/>
      <c r="EW192" s="1340"/>
      <c r="EX192" s="1348"/>
      <c r="EY192" s="1340"/>
      <c r="EZ192" s="1340"/>
      <c r="FA192" s="1340"/>
      <c r="FB192" s="1340"/>
      <c r="FC192" s="1340"/>
      <c r="FD192" s="1340"/>
      <c r="FE192" s="1340"/>
      <c r="FF192" s="1340"/>
      <c r="FG192" s="1340"/>
      <c r="FH192" s="30"/>
      <c r="FI192" s="30"/>
      <c r="FJ192" s="30"/>
      <c r="FK192" s="30"/>
      <c r="FL192" s="30"/>
      <c r="FM192" s="30"/>
      <c r="FN192" s="30"/>
      <c r="FO192" s="30"/>
      <c r="FP192" s="30"/>
      <c r="FQ192" s="1340"/>
      <c r="FR192" s="1340"/>
      <c r="FS192" s="1340"/>
      <c r="FT192" s="1340"/>
      <c r="FU192" s="1340"/>
      <c r="FV192" s="1340"/>
      <c r="FW192" s="1340"/>
      <c r="FX192" s="1340"/>
      <c r="FY192" s="1340"/>
      <c r="FZ192" s="30"/>
      <c r="GA192" s="30"/>
      <c r="GB192" s="30"/>
      <c r="GC192" s="30"/>
      <c r="GD192" s="30"/>
      <c r="GE192" s="30"/>
      <c r="GF192" s="30"/>
      <c r="GG192" s="30"/>
      <c r="GH192" s="30"/>
      <c r="GI192" s="281"/>
      <c r="GJ192" s="1052"/>
      <c r="GK192" s="622"/>
      <c r="GL192" s="1052"/>
      <c r="GM192" s="622"/>
      <c r="GN192" s="1052"/>
      <c r="GO192" s="1052"/>
      <c r="GP192" s="1052"/>
      <c r="GQ192" s="1052"/>
      <c r="GR192" s="1052"/>
      <c r="GS192" s="1052"/>
      <c r="GT192" s="1052"/>
      <c r="GU192" s="1052"/>
      <c r="GV192" s="1052"/>
      <c r="GW192" s="1052"/>
      <c r="GX192" s="1052"/>
      <c r="GY192" s="1052"/>
      <c r="GZ192" s="1052"/>
      <c r="HA192" s="1052"/>
      <c r="HB192" s="1052"/>
      <c r="HC192" s="1052"/>
      <c r="HD192" s="1052"/>
      <c r="HE192" s="1052"/>
      <c r="HF192" s="1527"/>
      <c r="HG192" s="1340"/>
      <c r="HH192" s="1340"/>
      <c r="HI192" s="1340"/>
      <c r="HJ192" s="1340"/>
      <c r="HK192" s="1340"/>
      <c r="HL192" s="1340"/>
      <c r="HM192" s="1340"/>
      <c r="HN192" s="1340"/>
      <c r="HO192" s="1340"/>
      <c r="HP192" s="1340"/>
      <c r="HQ192" s="1340"/>
      <c r="HR192" s="1052"/>
      <c r="HS192" s="30"/>
      <c r="HT192" s="30"/>
      <c r="HU192" s="30"/>
      <c r="HV192" s="30"/>
      <c r="HW192" s="30"/>
      <c r="HX192" s="30"/>
      <c r="HY192" s="30"/>
      <c r="HZ192" s="51"/>
      <c r="IA192" s="59"/>
      <c r="IB192" s="59"/>
      <c r="IC192" s="815"/>
      <c r="ID192" s="815"/>
      <c r="IE192" s="284"/>
      <c r="IF192" s="284"/>
      <c r="IG192" s="284"/>
      <c r="IH192" s="284"/>
      <c r="II192" s="1288"/>
      <c r="IJ192" s="1288"/>
      <c r="IK192" s="284"/>
      <c r="IL192" s="284"/>
      <c r="IM192" s="284"/>
      <c r="IN192" s="284"/>
      <c r="IO192" s="753"/>
      <c r="IP192" s="113"/>
      <c r="IQ192" s="30"/>
      <c r="IR192" s="438"/>
      <c r="IS192" s="438"/>
      <c r="IT192" s="438"/>
      <c r="IU192" s="438"/>
      <c r="IV192" s="438"/>
      <c r="IW192" s="438"/>
      <c r="IX192" s="285"/>
      <c r="IY192" s="285"/>
      <c r="IZ192" s="285"/>
      <c r="JA192" s="285"/>
      <c r="JB192" s="285"/>
      <c r="JC192" s="285"/>
      <c r="JD192" s="60"/>
      <c r="JE192" s="60"/>
      <c r="JF192" s="60"/>
      <c r="JG192" s="60"/>
      <c r="JH192" s="284"/>
      <c r="JI192" s="284"/>
      <c r="JJ192" s="560"/>
      <c r="JK192" s="561"/>
      <c r="JL192" s="561"/>
      <c r="JM192" s="561"/>
      <c r="JN192" s="561"/>
      <c r="JO192" s="561"/>
      <c r="JP192" s="561"/>
      <c r="JQ192" s="561"/>
      <c r="JR192" s="61"/>
      <c r="JS192" s="61"/>
      <c r="JT192" s="61"/>
      <c r="JU192" s="61"/>
      <c r="JV192" s="61"/>
      <c r="JW192" s="61"/>
      <c r="JX192" s="61"/>
      <c r="JY192" s="394"/>
      <c r="JZ192" s="61"/>
      <c r="KA192" s="61"/>
      <c r="KB192" s="61"/>
      <c r="KC192" s="61"/>
      <c r="KD192" s="61"/>
      <c r="KE192" s="61"/>
      <c r="KF192" s="61"/>
      <c r="KG192" s="61"/>
      <c r="KH192" s="61"/>
      <c r="KI192" s="394"/>
      <c r="KJ192" s="438"/>
      <c r="KK192" s="438"/>
      <c r="KL192" s="438"/>
      <c r="KM192" s="438"/>
      <c r="KN192" s="438"/>
      <c r="KO192" s="438"/>
      <c r="KP192" s="438"/>
      <c r="KQ192" s="438"/>
      <c r="KR192" s="438"/>
      <c r="KS192" s="438"/>
      <c r="KT192" s="438"/>
      <c r="KU192" s="438"/>
      <c r="KV192" s="420"/>
      <c r="KW192" s="420"/>
      <c r="KX192" s="108"/>
      <c r="KY192" s="282"/>
      <c r="KZ192" s="282"/>
      <c r="LA192" s="282"/>
      <c r="LB192" s="282"/>
      <c r="LC192" s="286"/>
      <c r="LD192" s="286"/>
      <c r="LE192" s="282"/>
      <c r="LF192" s="282"/>
      <c r="LG192" s="282"/>
      <c r="LH192" s="282"/>
      <c r="LI192" s="282"/>
      <c r="LJ192" s="282"/>
      <c r="LK192" s="282"/>
      <c r="LL192" s="282"/>
      <c r="LM192" s="282"/>
      <c r="LN192" s="282"/>
      <c r="LO192" s="282"/>
      <c r="LP192" s="286"/>
      <c r="LQ192" s="282"/>
      <c r="LR192" s="282"/>
      <c r="LS192" s="282"/>
      <c r="LT192" s="286"/>
      <c r="LU192" s="286"/>
      <c r="LV192" s="286"/>
      <c r="LW192" s="286"/>
      <c r="LX192" s="286"/>
      <c r="LY192" s="286"/>
      <c r="LZ192" s="286"/>
      <c r="MA192" s="286"/>
      <c r="MB192" s="286"/>
      <c r="MC192" s="286"/>
      <c r="MD192" s="286"/>
      <c r="ME192" s="286"/>
      <c r="MF192" s="286"/>
      <c r="MG192" s="286"/>
      <c r="MH192" s="286"/>
      <c r="MI192" s="286"/>
      <c r="MJ192" s="286"/>
      <c r="MK192" s="286"/>
      <c r="ML192" s="282"/>
      <c r="MM192" s="1232"/>
      <c r="MN192" s="1232"/>
      <c r="MO192" s="1232"/>
      <c r="MP192" s="1232"/>
      <c r="MQ192" s="282"/>
      <c r="MR192" s="282"/>
      <c r="MS192" s="282"/>
      <c r="MT192" s="282"/>
      <c r="MU192" s="282"/>
      <c r="MV192" s="282"/>
      <c r="MW192" s="282"/>
      <c r="MX192" s="282"/>
      <c r="MY192" s="282"/>
      <c r="MZ192" s="282"/>
      <c r="NA192" s="282"/>
      <c r="NB192" s="282"/>
      <c r="NC192" s="282"/>
      <c r="ND192" s="282"/>
      <c r="NE192" s="282"/>
      <c r="NF192" s="282"/>
      <c r="NG192" s="282"/>
      <c r="NH192" s="282"/>
      <c r="NI192" s="282"/>
      <c r="NJ192" s="282"/>
      <c r="NK192" s="282"/>
      <c r="NL192" s="282"/>
      <c r="NM192" s="1205"/>
      <c r="NN192" s="282"/>
      <c r="NO192" s="282"/>
      <c r="NP192" s="282"/>
      <c r="NQ192" s="282"/>
      <c r="NR192" s="282"/>
      <c r="NS192" s="282"/>
      <c r="NT192" s="282"/>
      <c r="NU192" s="282"/>
      <c r="NV192" s="286"/>
      <c r="NW192" s="286"/>
      <c r="NX192" s="286"/>
      <c r="NY192" s="286"/>
      <c r="NZ192" s="286"/>
      <c r="OA192" s="286"/>
      <c r="OB192" s="286"/>
      <c r="OC192" s="286"/>
      <c r="OD192" s="286"/>
      <c r="OE192" s="282"/>
      <c r="OF192" s="282"/>
      <c r="OG192" s="286"/>
      <c r="OH192" s="286"/>
      <c r="OI192" s="286"/>
      <c r="OJ192" s="286"/>
      <c r="OK192" s="286"/>
      <c r="OL192" s="286"/>
      <c r="OM192" s="286"/>
      <c r="ON192" s="286"/>
      <c r="OO192" s="286"/>
      <c r="OP192" s="434"/>
      <c r="OQ192" s="434"/>
      <c r="OR192" s="282"/>
      <c r="OS192" s="282"/>
      <c r="OT192" s="282"/>
      <c r="OU192" s="282"/>
      <c r="OV192" s="282"/>
      <c r="OW192" s="286"/>
      <c r="OX192" s="286"/>
      <c r="OY192" s="286"/>
      <c r="OZ192" s="286"/>
      <c r="PA192" s="286"/>
      <c r="PB192" s="286"/>
      <c r="PC192" s="286"/>
      <c r="PD192" s="282"/>
      <c r="PE192" s="282"/>
      <c r="PF192" s="286"/>
      <c r="PG192" s="286"/>
      <c r="PH192" s="286"/>
      <c r="PI192" s="286"/>
      <c r="PJ192" s="286"/>
      <c r="PK192" s="286"/>
      <c r="PL192" s="286"/>
      <c r="PM192" s="562"/>
    </row>
    <row r="193" spans="1:429" s="289" customFormat="1" ht="15.75" customHeight="1">
      <c r="A193" s="1040"/>
      <c r="B193" s="1040"/>
      <c r="C193" s="1340"/>
      <c r="D193" s="279"/>
      <c r="E193" s="1533"/>
      <c r="F193" s="1340"/>
      <c r="G193" s="1340"/>
      <c r="H193" s="1340"/>
      <c r="I193" s="1340"/>
      <c r="J193" s="1340"/>
      <c r="K193" s="1348"/>
      <c r="L193" s="1199"/>
      <c r="M193" s="1199"/>
      <c r="N193" s="1199"/>
      <c r="O193" s="1199"/>
      <c r="P193" s="1199"/>
      <c r="Q193" s="1340"/>
      <c r="R193" s="1340"/>
      <c r="S193" s="1340"/>
      <c r="T193" s="1199"/>
      <c r="U193" s="1199"/>
      <c r="V193" s="1199"/>
      <c r="W193" s="1340"/>
      <c r="X193" s="1340"/>
      <c r="Y193" s="1199"/>
      <c r="Z193" s="1199"/>
      <c r="AA193" s="1340"/>
      <c r="AB193" s="1331"/>
      <c r="AC193" s="1199"/>
      <c r="AD193" s="1200"/>
      <c r="AE193" s="1340"/>
      <c r="AF193" s="1340"/>
      <c r="AG193" s="1199"/>
      <c r="AH193" s="1340"/>
      <c r="AI193" s="1340"/>
      <c r="AJ193" s="1199"/>
      <c r="AK193" s="1348"/>
      <c r="AL193" s="1348"/>
      <c r="AM193" s="1639"/>
      <c r="AN193" s="1199"/>
      <c r="AO193" s="1340"/>
      <c r="AP193" s="1340"/>
      <c r="AQ193" s="1639"/>
      <c r="AR193" s="1199"/>
      <c r="AS193" s="1200"/>
      <c r="AT193" s="1200"/>
      <c r="AU193" s="1200"/>
      <c r="AV193" s="1200"/>
      <c r="AW193" s="1200"/>
      <c r="AX193" s="1348"/>
      <c r="AY193" s="1348"/>
      <c r="AZ193" s="1348"/>
      <c r="BA193" s="1348"/>
      <c r="BB193" s="1348"/>
      <c r="BC193" s="1348"/>
      <c r="BD193" s="1348"/>
      <c r="BE193" s="1340"/>
      <c r="BF193" s="1340"/>
      <c r="BG193" s="1340"/>
      <c r="BH193" s="1340"/>
      <c r="BI193" s="1348"/>
      <c r="BJ193" s="1340"/>
      <c r="BK193" s="1340"/>
      <c r="BL193" s="1331"/>
      <c r="BM193" s="1340"/>
      <c r="BN193" s="1340"/>
      <c r="BO193" s="1200"/>
      <c r="BP193" s="1348"/>
      <c r="BQ193" s="1348"/>
      <c r="BR193" s="1349"/>
      <c r="BS193" s="1422"/>
      <c r="BT193" s="1350"/>
      <c r="BU193" s="1350"/>
      <c r="BV193" s="1349"/>
      <c r="BW193" s="1340"/>
      <c r="BX193" s="1340"/>
      <c r="BY193" s="1340"/>
      <c r="BZ193" s="1340"/>
      <c r="CA193" s="1340"/>
      <c r="CB193" s="1340"/>
      <c r="CC193" s="1340"/>
      <c r="CD193" s="1340"/>
      <c r="CE193" s="1340"/>
      <c r="CF193" s="1340"/>
      <c r="CG193" s="1340"/>
      <c r="CH193" s="1340"/>
      <c r="CI193" s="1340"/>
      <c r="CJ193" s="1340"/>
      <c r="CK193" s="30"/>
      <c r="CL193" s="30"/>
      <c r="CM193" s="30"/>
      <c r="CN193" s="30"/>
      <c r="CO193" s="30"/>
      <c r="CP193" s="30"/>
      <c r="CQ193" s="30"/>
      <c r="CR193" s="30"/>
      <c r="CS193" s="30"/>
      <c r="CT193" s="30"/>
      <c r="CU193" s="30"/>
      <c r="CV193" s="1340"/>
      <c r="CW193" s="1340"/>
      <c r="CX193" s="1340"/>
      <c r="CY193" s="1340"/>
      <c r="CZ193" s="1340"/>
      <c r="DA193" s="1340"/>
      <c r="DB193" s="1340"/>
      <c r="DC193" s="30"/>
      <c r="DD193" s="30"/>
      <c r="DE193" s="30"/>
      <c r="DF193" s="30"/>
      <c r="DG193" s="30"/>
      <c r="DH193" s="30"/>
      <c r="DI193" s="30"/>
      <c r="DJ193" s="1340"/>
      <c r="DK193" s="1340"/>
      <c r="DL193" s="1340"/>
      <c r="DM193" s="1340"/>
      <c r="DN193" s="1340"/>
      <c r="DO193" s="1340"/>
      <c r="DP193" s="1340"/>
      <c r="DQ193" s="1340"/>
      <c r="DR193" s="1340"/>
      <c r="DS193" s="1340"/>
      <c r="DT193" s="1340"/>
      <c r="DU193" s="1340"/>
      <c r="DV193" s="1340"/>
      <c r="DW193" s="1340"/>
      <c r="DX193" s="1340"/>
      <c r="DY193" s="1340"/>
      <c r="DZ193" s="1340"/>
      <c r="EA193" s="1340"/>
      <c r="EB193" s="1340"/>
      <c r="EC193" s="1340"/>
      <c r="ED193" s="1337"/>
      <c r="EE193" s="1340"/>
      <c r="EF193" s="1340"/>
      <c r="EG193" s="1348"/>
      <c r="EH193" s="1348"/>
      <c r="EI193" s="1203"/>
      <c r="EJ193" s="1340"/>
      <c r="EK193" s="1340"/>
      <c r="EL193" s="1340"/>
      <c r="EM193" s="1340"/>
      <c r="EN193" s="1340"/>
      <c r="EO193" s="1340"/>
      <c r="EP193" s="1340"/>
      <c r="EQ193" s="1340"/>
      <c r="ER193" s="1340"/>
      <c r="ES193" s="1340"/>
      <c r="ET193" s="1340"/>
      <c r="EU193" s="1340"/>
      <c r="EV193" s="1340"/>
      <c r="EW193" s="1340"/>
      <c r="EX193" s="1340"/>
      <c r="EY193" s="1340"/>
      <c r="EZ193" s="1340"/>
      <c r="FA193" s="1340"/>
      <c r="FB193" s="1340"/>
      <c r="FC193" s="1340"/>
      <c r="FD193" s="1340"/>
      <c r="FE193" s="1340"/>
      <c r="FF193" s="1340"/>
      <c r="FG193" s="1340"/>
      <c r="FH193" s="1340"/>
      <c r="FI193" s="1340"/>
      <c r="FJ193" s="1340"/>
      <c r="FK193" s="1340"/>
      <c r="FL193" s="1340"/>
      <c r="FM193" s="1340"/>
      <c r="FN193" s="1340"/>
      <c r="FO193" s="1340"/>
      <c r="FP193" s="1340"/>
      <c r="FQ193" s="1340"/>
      <c r="FR193" s="1340"/>
      <c r="FS193" s="1340"/>
      <c r="FT193" s="1340"/>
      <c r="FU193" s="1340"/>
      <c r="FV193" s="1340"/>
      <c r="FW193" s="1340"/>
      <c r="FX193" s="1340"/>
      <c r="FY193" s="1340"/>
      <c r="FZ193" s="1340"/>
      <c r="GA193" s="1340"/>
      <c r="GB193" s="1340"/>
      <c r="GC193" s="1340"/>
      <c r="GD193" s="1340"/>
      <c r="GE193" s="1340"/>
      <c r="GF193" s="1340"/>
      <c r="GG193" s="1340"/>
      <c r="GH193" s="1340"/>
      <c r="GI193" s="1340"/>
      <c r="GJ193" s="1340"/>
      <c r="GK193" s="1340"/>
      <c r="GL193" s="1340"/>
      <c r="GM193" s="1340"/>
      <c r="GN193" s="1052"/>
      <c r="GO193" s="1052"/>
      <c r="GP193" s="1052"/>
      <c r="GQ193" s="1052"/>
      <c r="GR193" s="1052"/>
      <c r="GS193" s="1052"/>
      <c r="GT193" s="1052"/>
      <c r="GU193" s="1052"/>
      <c r="GV193" s="1052"/>
      <c r="GW193" s="1052"/>
      <c r="GX193" s="1052"/>
      <c r="GY193" s="1052"/>
      <c r="GZ193" s="1052"/>
      <c r="HA193" s="1052"/>
      <c r="HB193" s="1052"/>
      <c r="HC193" s="1052"/>
      <c r="HD193" s="1052"/>
      <c r="HE193" s="1052"/>
      <c r="HF193" s="1527"/>
      <c r="HG193" s="1340"/>
      <c r="HH193" s="1340"/>
      <c r="HI193" s="1340"/>
      <c r="HJ193" s="1340"/>
      <c r="HK193" s="1340"/>
      <c r="HL193" s="1340"/>
      <c r="HM193" s="1340"/>
      <c r="HN193" s="1340"/>
      <c r="HO193" s="1340"/>
      <c r="HP193" s="1340"/>
      <c r="HQ193" s="1340"/>
      <c r="HR193" s="1052"/>
      <c r="HS193" s="30"/>
      <c r="HT193" s="30"/>
      <c r="HU193" s="30"/>
      <c r="HV193" s="30"/>
      <c r="HW193" s="30"/>
      <c r="HX193" s="30"/>
      <c r="HY193" s="30"/>
      <c r="HZ193" s="51"/>
      <c r="IA193" s="59"/>
      <c r="IB193" s="59"/>
      <c r="IC193" s="815"/>
      <c r="ID193" s="815"/>
      <c r="IE193" s="284"/>
      <c r="IF193" s="284"/>
      <c r="IG193" s="284"/>
      <c r="IH193" s="284"/>
      <c r="II193" s="1288"/>
      <c r="IJ193" s="1288"/>
      <c r="IK193" s="284"/>
      <c r="IL193" s="284"/>
      <c r="IM193" s="284"/>
      <c r="IN193" s="284"/>
      <c r="IO193" s="753"/>
      <c r="IP193" s="113"/>
      <c r="IQ193" s="30"/>
      <c r="IR193" s="438"/>
      <c r="IS193" s="438"/>
      <c r="IT193" s="438"/>
      <c r="IU193" s="438"/>
      <c r="IV193" s="438"/>
      <c r="IW193" s="438"/>
      <c r="IX193" s="285"/>
      <c r="IY193" s="285"/>
      <c r="IZ193" s="285"/>
      <c r="JA193" s="285"/>
      <c r="JB193" s="285"/>
      <c r="JC193" s="285"/>
      <c r="JD193" s="60"/>
      <c r="JE193" s="60"/>
      <c r="JF193" s="60"/>
      <c r="JG193" s="60"/>
      <c r="JH193" s="284"/>
      <c r="JI193" s="284"/>
      <c r="JJ193" s="560"/>
      <c r="JK193" s="561"/>
      <c r="JL193" s="561"/>
      <c r="JM193" s="561"/>
      <c r="JN193" s="561"/>
      <c r="JO193" s="561"/>
      <c r="JP193" s="561"/>
      <c r="JQ193" s="561"/>
      <c r="JR193" s="61"/>
      <c r="JS193" s="61"/>
      <c r="JT193" s="61"/>
      <c r="JU193" s="61"/>
      <c r="JV193" s="61"/>
      <c r="JW193" s="61"/>
      <c r="JX193" s="61"/>
      <c r="JY193" s="394"/>
      <c r="JZ193" s="61"/>
      <c r="KA193" s="61"/>
      <c r="KB193" s="61"/>
      <c r="KC193" s="61"/>
      <c r="KD193" s="61"/>
      <c r="KE193" s="61"/>
      <c r="KF193" s="61"/>
      <c r="KG193" s="61"/>
      <c r="KH193" s="61"/>
      <c r="KI193" s="394"/>
      <c r="KJ193" s="438"/>
      <c r="KK193" s="438"/>
      <c r="KL193" s="438"/>
      <c r="KM193" s="438"/>
      <c r="KN193" s="438"/>
      <c r="KO193" s="438"/>
      <c r="KP193" s="438"/>
      <c r="KQ193" s="438"/>
      <c r="KR193" s="438"/>
      <c r="KS193" s="438"/>
      <c r="KT193" s="438"/>
      <c r="KU193" s="438"/>
      <c r="KV193" s="420"/>
      <c r="KW193" s="420"/>
      <c r="KX193" s="108"/>
      <c r="KY193" s="282"/>
      <c r="KZ193" s="282"/>
      <c r="LA193" s="282"/>
      <c r="LB193" s="282"/>
      <c r="LC193" s="286"/>
      <c r="LD193" s="286"/>
      <c r="LE193" s="282"/>
      <c r="LF193" s="282"/>
      <c r="LG193" s="282"/>
      <c r="LH193" s="282"/>
      <c r="LI193" s="282"/>
      <c r="LJ193" s="282"/>
      <c r="LK193" s="282"/>
      <c r="LL193" s="282"/>
      <c r="LM193" s="282"/>
      <c r="LN193" s="282"/>
      <c r="LO193" s="282"/>
      <c r="LP193" s="286"/>
      <c r="LQ193" s="282"/>
      <c r="LR193" s="282"/>
      <c r="LS193" s="282"/>
      <c r="LT193" s="286"/>
      <c r="LU193" s="286"/>
      <c r="LV193" s="286"/>
      <c r="LW193" s="286"/>
      <c r="LX193" s="286"/>
      <c r="LY193" s="286"/>
      <c r="LZ193" s="286"/>
      <c r="MA193" s="286"/>
      <c r="MB193" s="286"/>
      <c r="MC193" s="286"/>
      <c r="MD193" s="286"/>
      <c r="ME193" s="286"/>
      <c r="MF193" s="286"/>
      <c r="MG193" s="286"/>
      <c r="MH193" s="286"/>
      <c r="MI193" s="286"/>
      <c r="MJ193" s="286"/>
      <c r="MK193" s="286"/>
      <c r="ML193" s="282"/>
      <c r="MM193" s="1232"/>
      <c r="MN193" s="1232"/>
      <c r="MO193" s="1232"/>
      <c r="MP193" s="1232"/>
      <c r="MQ193" s="282"/>
      <c r="MR193" s="282"/>
      <c r="MS193" s="282"/>
      <c r="MT193" s="282"/>
      <c r="MU193" s="282"/>
      <c r="MV193" s="282"/>
      <c r="MW193" s="282"/>
      <c r="MX193" s="282"/>
      <c r="MY193" s="282"/>
      <c r="MZ193" s="282"/>
      <c r="NA193" s="282"/>
      <c r="NB193" s="282"/>
      <c r="NC193" s="282"/>
      <c r="ND193" s="282"/>
      <c r="NE193" s="282"/>
      <c r="NF193" s="282"/>
      <c r="NG193" s="282"/>
      <c r="NH193" s="282"/>
      <c r="NI193" s="282"/>
      <c r="NJ193" s="282"/>
      <c r="NK193" s="282"/>
      <c r="NL193" s="282"/>
      <c r="NM193" s="1205"/>
      <c r="NN193" s="282"/>
      <c r="NO193" s="282"/>
      <c r="NP193" s="282"/>
      <c r="NQ193" s="282"/>
      <c r="NR193" s="282"/>
      <c r="NS193" s="282"/>
      <c r="NT193" s="282"/>
      <c r="NU193" s="282"/>
      <c r="NV193" s="286"/>
      <c r="NW193" s="286"/>
      <c r="NX193" s="286"/>
      <c r="NY193" s="286"/>
      <c r="NZ193" s="286"/>
      <c r="OA193" s="286"/>
      <c r="OB193" s="286"/>
      <c r="OC193" s="286"/>
      <c r="OD193" s="286"/>
      <c r="OE193" s="282"/>
      <c r="OF193" s="282"/>
      <c r="OG193" s="286"/>
      <c r="OH193" s="286"/>
      <c r="OI193" s="286"/>
      <c r="OJ193" s="286"/>
      <c r="OK193" s="286"/>
      <c r="OL193" s="286"/>
      <c r="OM193" s="286"/>
      <c r="ON193" s="286"/>
      <c r="OO193" s="286"/>
      <c r="OP193" s="434"/>
      <c r="OQ193" s="434"/>
      <c r="OR193" s="282"/>
      <c r="OS193" s="282"/>
      <c r="OT193" s="282"/>
      <c r="OU193" s="282"/>
      <c r="OV193" s="282"/>
      <c r="OW193" s="286"/>
      <c r="OX193" s="286"/>
      <c r="OY193" s="286"/>
      <c r="OZ193" s="286"/>
      <c r="PA193" s="286"/>
      <c r="PB193" s="286"/>
      <c r="PC193" s="286"/>
      <c r="PD193" s="282"/>
      <c r="PE193" s="282"/>
      <c r="PF193" s="286"/>
      <c r="PG193" s="286"/>
      <c r="PH193" s="286"/>
      <c r="PI193" s="286"/>
      <c r="PJ193" s="286"/>
      <c r="PK193" s="286"/>
      <c r="PL193" s="286"/>
      <c r="PM193" s="562"/>
    </row>
    <row r="194" spans="1:429" s="289" customFormat="1" ht="15.75" customHeight="1">
      <c r="A194" s="1040"/>
      <c r="B194" s="1040"/>
      <c r="C194" s="1340"/>
      <c r="D194" s="279"/>
      <c r="E194" s="1533"/>
      <c r="F194" s="1340"/>
      <c r="G194" s="1340"/>
      <c r="H194" s="1340"/>
      <c r="I194" s="1340"/>
      <c r="J194" s="1340"/>
      <c r="K194" s="1348"/>
      <c r="L194" s="1199"/>
      <c r="M194" s="1199"/>
      <c r="N194" s="1199"/>
      <c r="O194" s="1199"/>
      <c r="P194" s="1199"/>
      <c r="Q194" s="1340"/>
      <c r="R194" s="1340"/>
      <c r="S194" s="1340"/>
      <c r="T194" s="1199"/>
      <c r="U194" s="1199"/>
      <c r="V194" s="1199"/>
      <c r="W194" s="1340"/>
      <c r="X194" s="1340"/>
      <c r="Y194" s="1199"/>
      <c r="Z194" s="1199"/>
      <c r="AA194" s="1340"/>
      <c r="AB194" s="1331"/>
      <c r="AC194" s="1199"/>
      <c r="AD194" s="1200"/>
      <c r="AE194" s="1340"/>
      <c r="AF194" s="1340"/>
      <c r="AG194" s="1199"/>
      <c r="AH194" s="1340"/>
      <c r="AI194" s="1340"/>
      <c r="AJ194" s="1199"/>
      <c r="AK194" s="1348"/>
      <c r="AL194" s="1348"/>
      <c r="AM194" s="1340"/>
      <c r="AN194" s="1199"/>
      <c r="AO194" s="1340"/>
      <c r="AP194" s="1340"/>
      <c r="AQ194" s="1340"/>
      <c r="AR194" s="1199"/>
      <c r="AS194" s="1200"/>
      <c r="AT194" s="1200"/>
      <c r="AU194" s="1200"/>
      <c r="AV194" s="1200"/>
      <c r="AW194" s="1200"/>
      <c r="AX194" s="1348"/>
      <c r="AY194" s="1348"/>
      <c r="AZ194" s="1348"/>
      <c r="BA194" s="1348"/>
      <c r="BB194" s="1348"/>
      <c r="BC194" s="1348"/>
      <c r="BD194" s="1348"/>
      <c r="BE194" s="1340"/>
      <c r="BF194" s="1340"/>
      <c r="BG194" s="1340"/>
      <c r="BH194" s="1340"/>
      <c r="BI194" s="1348"/>
      <c r="BJ194" s="1340"/>
      <c r="BK194" s="1340"/>
      <c r="BL194" s="1331"/>
      <c r="BM194" s="1340"/>
      <c r="BN194" s="1340"/>
      <c r="BO194" s="1200"/>
      <c r="BP194" s="1348"/>
      <c r="BQ194" s="1348"/>
      <c r="BR194" s="1349"/>
      <c r="BS194" s="1422"/>
      <c r="BT194" s="1350"/>
      <c r="BU194" s="1350"/>
      <c r="BV194" s="1349"/>
      <c r="BW194" s="1340"/>
      <c r="BX194" s="1340"/>
      <c r="BY194" s="1340"/>
      <c r="BZ194" s="1340"/>
      <c r="CA194" s="1340"/>
      <c r="CB194" s="1340"/>
      <c r="CC194" s="1340"/>
      <c r="CD194" s="1340"/>
      <c r="CE194" s="1340"/>
      <c r="CF194" s="1340"/>
      <c r="CG194" s="1340"/>
      <c r="CH194" s="1340"/>
      <c r="CI194" s="1340"/>
      <c r="CJ194" s="1340"/>
      <c r="CK194" s="30"/>
      <c r="CL194" s="30"/>
      <c r="CM194" s="30"/>
      <c r="CN194" s="30"/>
      <c r="CO194" s="30"/>
      <c r="CP194" s="30"/>
      <c r="CQ194" s="30"/>
      <c r="CR194" s="30"/>
      <c r="CS194" s="30"/>
      <c r="CT194" s="30"/>
      <c r="CU194" s="30"/>
      <c r="CV194" s="1340"/>
      <c r="CW194" s="1340"/>
      <c r="CX194" s="1340"/>
      <c r="CY194" s="1340"/>
      <c r="CZ194" s="1340"/>
      <c r="DA194" s="1340"/>
      <c r="DB194" s="1340"/>
      <c r="DC194" s="30"/>
      <c r="DD194" s="30"/>
      <c r="DE194" s="30"/>
      <c r="DF194" s="30"/>
      <c r="DG194" s="30"/>
      <c r="DH194" s="30"/>
      <c r="DI194" s="30"/>
      <c r="DJ194" s="1340"/>
      <c r="DK194" s="1340"/>
      <c r="DL194" s="1340"/>
      <c r="DM194" s="1340"/>
      <c r="DN194" s="1340"/>
      <c r="DO194" s="1340"/>
      <c r="DP194" s="1340"/>
      <c r="DQ194" s="1340"/>
      <c r="DR194" s="1340"/>
      <c r="DS194" s="1340"/>
      <c r="DT194" s="1340"/>
      <c r="DU194" s="1340"/>
      <c r="DV194" s="1340"/>
      <c r="DW194" s="1340"/>
      <c r="DX194" s="1340"/>
      <c r="DY194" s="1340"/>
      <c r="DZ194" s="1340"/>
      <c r="EA194" s="1340"/>
      <c r="EB194" s="1340"/>
      <c r="EC194" s="1340"/>
      <c r="ED194" s="1337"/>
      <c r="EE194" s="1340"/>
      <c r="EF194" s="1340"/>
      <c r="EG194" s="1348"/>
      <c r="EH194" s="1348"/>
      <c r="EI194" s="1203"/>
      <c r="EJ194" s="1340"/>
      <c r="EK194" s="1340"/>
      <c r="EL194" s="1340"/>
      <c r="EM194" s="1340"/>
      <c r="EN194" s="1331"/>
      <c r="EO194" s="1340"/>
      <c r="EP194" s="1340"/>
      <c r="EQ194" s="1340"/>
      <c r="ER194" s="1348"/>
      <c r="ES194" s="1340"/>
      <c r="ET194" s="1340"/>
      <c r="EU194" s="1348"/>
      <c r="EV194" s="1340"/>
      <c r="EW194" s="1340"/>
      <c r="EX194" s="1348"/>
      <c r="EY194" s="1340"/>
      <c r="EZ194" s="1340"/>
      <c r="FA194" s="1340"/>
      <c r="FB194" s="1340"/>
      <c r="FC194" s="1340"/>
      <c r="FD194" s="1340"/>
      <c r="FE194" s="1340"/>
      <c r="FF194" s="1340"/>
      <c r="FG194" s="1340"/>
      <c r="FH194" s="30"/>
      <c r="FI194" s="30"/>
      <c r="FJ194" s="30"/>
      <c r="FK194" s="30"/>
      <c r="FL194" s="30"/>
      <c r="FM194" s="30"/>
      <c r="FN194" s="30"/>
      <c r="FO194" s="30"/>
      <c r="FP194" s="30"/>
      <c r="FQ194" s="1340"/>
      <c r="FR194" s="1340"/>
      <c r="FS194" s="1340"/>
      <c r="FT194" s="1340"/>
      <c r="FU194" s="1340"/>
      <c r="FV194" s="1340"/>
      <c r="FW194" s="1340"/>
      <c r="FX194" s="1340"/>
      <c r="FY194" s="1340"/>
      <c r="FZ194" s="30"/>
      <c r="GA194" s="30"/>
      <c r="GB194" s="30"/>
      <c r="GC194" s="30"/>
      <c r="GD194" s="30"/>
      <c r="GE194" s="30"/>
      <c r="GF194" s="30"/>
      <c r="GG194" s="30"/>
      <c r="GH194" s="30"/>
      <c r="GI194" s="281"/>
      <c r="GJ194" s="1052"/>
      <c r="GK194" s="622"/>
      <c r="GL194" s="1052"/>
      <c r="GM194" s="622"/>
      <c r="GN194" s="1052"/>
      <c r="GO194" s="1052"/>
      <c r="GP194" s="1052"/>
      <c r="GQ194" s="1052"/>
      <c r="GR194" s="1052"/>
      <c r="GS194" s="1052"/>
      <c r="GT194" s="1052"/>
      <c r="GU194" s="1052"/>
      <c r="GV194" s="1052"/>
      <c r="GW194" s="1052"/>
      <c r="GX194" s="1052"/>
      <c r="GY194" s="1052"/>
      <c r="GZ194" s="1052"/>
      <c r="HA194" s="1052"/>
      <c r="HB194" s="1052"/>
      <c r="HC194" s="1052"/>
      <c r="HD194" s="1052"/>
      <c r="HE194" s="1052"/>
      <c r="HF194" s="1052"/>
      <c r="HG194" s="1340"/>
      <c r="HH194" s="1340"/>
      <c r="HI194" s="1340"/>
      <c r="HJ194" s="1340"/>
      <c r="HK194" s="1340"/>
      <c r="HL194" s="1340"/>
      <c r="HM194" s="1340"/>
      <c r="HN194" s="1340"/>
      <c r="HO194" s="1340"/>
      <c r="HP194" s="1052"/>
      <c r="HQ194" s="1052"/>
      <c r="HR194" s="1052"/>
      <c r="HS194" s="1052"/>
      <c r="HT194" s="1052"/>
      <c r="HU194" s="1052"/>
      <c r="HV194" s="1052"/>
      <c r="HW194" s="1052"/>
      <c r="HX194" s="1052"/>
      <c r="HY194" s="1052"/>
      <c r="HZ194" s="51"/>
      <c r="IA194" s="59"/>
      <c r="IB194" s="59"/>
      <c r="IC194" s="284"/>
      <c r="ID194" s="815"/>
      <c r="IE194" s="284"/>
      <c r="IF194" s="284"/>
      <c r="IG194" s="284"/>
      <c r="IH194" s="284"/>
      <c r="II194" s="1288"/>
      <c r="IJ194" s="1288"/>
      <c r="IK194" s="284"/>
      <c r="IL194" s="284"/>
      <c r="IM194" s="284"/>
      <c r="IN194" s="284"/>
      <c r="IO194" s="753"/>
      <c r="IP194" s="113"/>
      <c r="IQ194" s="30"/>
      <c r="IR194" s="438"/>
      <c r="IS194" s="438"/>
      <c r="IT194" s="438"/>
      <c r="IU194" s="438"/>
      <c r="IV194" s="438"/>
      <c r="IW194" s="438"/>
      <c r="IX194" s="285"/>
      <c r="IY194" s="285"/>
      <c r="IZ194" s="285"/>
      <c r="JA194" s="285"/>
      <c r="JB194" s="285"/>
      <c r="JC194" s="285"/>
      <c r="JD194" s="60"/>
      <c r="JE194" s="60"/>
      <c r="JF194" s="60"/>
      <c r="JG194" s="60"/>
      <c r="JH194" s="284"/>
      <c r="JI194" s="284"/>
      <c r="JJ194" s="560"/>
      <c r="JK194" s="561"/>
      <c r="JL194" s="561"/>
      <c r="JM194" s="561"/>
      <c r="JN194" s="561"/>
      <c r="JO194" s="561"/>
      <c r="JP194" s="561"/>
      <c r="JQ194" s="561"/>
      <c r="JR194" s="61"/>
      <c r="JS194" s="61"/>
      <c r="JT194" s="61"/>
      <c r="JU194" s="61"/>
      <c r="JV194" s="61"/>
      <c r="JW194" s="61"/>
      <c r="JX194" s="61"/>
      <c r="JY194" s="394"/>
      <c r="JZ194" s="61"/>
      <c r="KA194" s="61"/>
      <c r="KB194" s="61"/>
      <c r="KC194" s="61"/>
      <c r="KD194" s="61"/>
      <c r="KE194" s="61"/>
      <c r="KF194" s="61"/>
      <c r="KG194" s="61"/>
      <c r="KH194" s="61"/>
      <c r="KI194" s="394"/>
      <c r="KJ194" s="438"/>
      <c r="KK194" s="438"/>
      <c r="KL194" s="438"/>
      <c r="KM194" s="438"/>
      <c r="KN194" s="438"/>
      <c r="KO194" s="438"/>
      <c r="KP194" s="438"/>
      <c r="KQ194" s="438"/>
      <c r="KR194" s="438"/>
      <c r="KS194" s="438"/>
      <c r="KT194" s="438"/>
      <c r="KU194" s="438"/>
      <c r="KV194" s="420"/>
      <c r="KW194" s="420"/>
      <c r="KX194" s="108"/>
      <c r="KY194" s="282"/>
      <c r="KZ194" s="282"/>
      <c r="LA194" s="282"/>
      <c r="LB194" s="282"/>
      <c r="LC194" s="286"/>
      <c r="LD194" s="286"/>
      <c r="LE194" s="282"/>
      <c r="LF194" s="282"/>
      <c r="LG194" s="282"/>
      <c r="LH194" s="282"/>
      <c r="LI194" s="282"/>
      <c r="LJ194" s="282"/>
      <c r="LK194" s="282"/>
      <c r="LL194" s="282"/>
      <c r="LM194" s="282"/>
      <c r="LN194" s="282"/>
      <c r="LO194" s="282"/>
      <c r="LP194" s="286"/>
      <c r="LQ194" s="282"/>
      <c r="LR194" s="282"/>
      <c r="LS194" s="282"/>
      <c r="LT194" s="286"/>
      <c r="LU194" s="286"/>
      <c r="LV194" s="286"/>
      <c r="LW194" s="286"/>
      <c r="LX194" s="286"/>
      <c r="LY194" s="286"/>
      <c r="LZ194" s="286"/>
      <c r="MA194" s="286"/>
      <c r="MB194" s="286"/>
      <c r="MC194" s="286"/>
      <c r="MD194" s="286"/>
      <c r="ME194" s="286"/>
      <c r="MF194" s="286"/>
      <c r="MG194" s="286"/>
      <c r="MH194" s="286"/>
      <c r="MI194" s="286"/>
      <c r="MJ194" s="286"/>
      <c r="MK194" s="286"/>
      <c r="ML194" s="282"/>
      <c r="MM194" s="1232"/>
      <c r="MN194" s="1232"/>
      <c r="MO194" s="1232"/>
      <c r="MP194" s="1232"/>
      <c r="MQ194" s="282"/>
      <c r="MR194" s="282"/>
      <c r="MS194" s="282"/>
      <c r="MT194" s="282"/>
      <c r="MU194" s="282"/>
      <c r="MV194" s="282"/>
      <c r="MW194" s="282"/>
      <c r="MX194" s="282"/>
      <c r="MY194" s="282"/>
      <c r="MZ194" s="282"/>
      <c r="NA194" s="282"/>
      <c r="NB194" s="282"/>
      <c r="NC194" s="282"/>
      <c r="ND194" s="282"/>
      <c r="NE194" s="282"/>
      <c r="NF194" s="282"/>
      <c r="NG194" s="282"/>
      <c r="NH194" s="282"/>
      <c r="NI194" s="282"/>
      <c r="NJ194" s="282"/>
      <c r="NK194" s="282"/>
      <c r="NL194" s="282"/>
      <c r="NM194" s="1205"/>
      <c r="NN194" s="282"/>
      <c r="NO194" s="282"/>
      <c r="NP194" s="282"/>
      <c r="NQ194" s="282"/>
      <c r="NR194" s="282"/>
      <c r="NS194" s="282"/>
      <c r="NT194" s="282"/>
      <c r="NU194" s="282"/>
      <c r="NV194" s="286"/>
      <c r="NW194" s="286"/>
      <c r="NX194" s="286"/>
      <c r="NY194" s="286"/>
      <c r="NZ194" s="286"/>
      <c r="OA194" s="286"/>
      <c r="OB194" s="286"/>
      <c r="OC194" s="286"/>
      <c r="OD194" s="286"/>
      <c r="OE194" s="282"/>
      <c r="OF194" s="282"/>
      <c r="OG194" s="286"/>
      <c r="OH194" s="286"/>
      <c r="OI194" s="286"/>
      <c r="OJ194" s="286"/>
      <c r="OK194" s="286"/>
      <c r="OL194" s="286"/>
      <c r="OM194" s="286"/>
      <c r="ON194" s="286"/>
      <c r="OO194" s="286"/>
      <c r="OP194" s="434"/>
      <c r="OQ194" s="434"/>
      <c r="OR194" s="282"/>
      <c r="OS194" s="282"/>
      <c r="OT194" s="282"/>
      <c r="OU194" s="282"/>
      <c r="OV194" s="282"/>
      <c r="OW194" s="286"/>
      <c r="OX194" s="286"/>
      <c r="OY194" s="286"/>
      <c r="OZ194" s="286"/>
      <c r="PA194" s="286"/>
      <c r="PB194" s="286"/>
      <c r="PC194" s="286"/>
      <c r="PD194" s="282"/>
      <c r="PE194" s="282"/>
      <c r="PF194" s="286"/>
      <c r="PG194" s="286"/>
      <c r="PH194" s="286"/>
      <c r="PI194" s="286"/>
      <c r="PJ194" s="286"/>
      <c r="PK194" s="286"/>
      <c r="PL194" s="286"/>
      <c r="PM194" s="562"/>
    </row>
    <row r="195" spans="1:429" s="289" customFormat="1" ht="15.75" customHeight="1">
      <c r="A195" s="1040"/>
      <c r="B195" s="1040"/>
      <c r="C195" s="1340"/>
      <c r="D195" s="279"/>
      <c r="E195" s="671"/>
      <c r="F195" s="1340"/>
      <c r="G195" s="1340"/>
      <c r="H195" s="1340"/>
      <c r="I195" s="1340"/>
      <c r="J195" s="1340"/>
      <c r="K195" s="1348"/>
      <c r="L195" s="1199"/>
      <c r="M195" s="1199"/>
      <c r="N195" s="1199"/>
      <c r="O195" s="1199"/>
      <c r="P195" s="1199"/>
      <c r="Q195" s="1340"/>
      <c r="R195" s="1340"/>
      <c r="S195" s="1340"/>
      <c r="T195" s="1199"/>
      <c r="U195" s="1199"/>
      <c r="V195" s="1199"/>
      <c r="W195" s="1340"/>
      <c r="X195" s="1340"/>
      <c r="Y195" s="1199"/>
      <c r="Z195" s="1199"/>
      <c r="AA195" s="1340"/>
      <c r="AB195" s="1331"/>
      <c r="AC195" s="1199"/>
      <c r="AD195" s="1200"/>
      <c r="AE195" s="1340"/>
      <c r="AF195" s="1340"/>
      <c r="AG195" s="1199"/>
      <c r="AH195" s="1340"/>
      <c r="AI195" s="1340"/>
      <c r="AJ195" s="1199"/>
      <c r="AK195" s="1348"/>
      <c r="AL195" s="1348"/>
      <c r="AM195" s="1340"/>
      <c r="AN195" s="1199"/>
      <c r="AO195" s="1340"/>
      <c r="AP195" s="1340"/>
      <c r="AQ195" s="1340"/>
      <c r="AR195" s="1199"/>
      <c r="AS195" s="1200"/>
      <c r="AT195" s="1200"/>
      <c r="AU195" s="1200"/>
      <c r="AV195" s="1200"/>
      <c r="AW195" s="1200"/>
      <c r="AX195" s="1348"/>
      <c r="AY195" s="1348"/>
      <c r="AZ195" s="1348"/>
      <c r="BA195" s="1348"/>
      <c r="BB195" s="1348"/>
      <c r="BC195" s="1348"/>
      <c r="BD195" s="1348"/>
      <c r="BE195" s="1340"/>
      <c r="BF195" s="1340"/>
      <c r="BG195" s="1340"/>
      <c r="BH195" s="1340"/>
      <c r="BI195" s="1348"/>
      <c r="BJ195" s="1340"/>
      <c r="BK195" s="1340"/>
      <c r="BL195" s="1331"/>
      <c r="BM195" s="1340"/>
      <c r="BN195" s="1340"/>
      <c r="BO195" s="1200"/>
      <c r="BP195" s="1348"/>
      <c r="BQ195" s="1348"/>
      <c r="BR195" s="1349"/>
      <c r="BS195" s="1422"/>
      <c r="BT195" s="1350"/>
      <c r="BU195" s="1350"/>
      <c r="BV195" s="1349"/>
      <c r="BW195" s="1340"/>
      <c r="BX195" s="1340"/>
      <c r="BY195" s="1340"/>
      <c r="BZ195" s="1340"/>
      <c r="CA195" s="1340"/>
      <c r="CB195" s="1340"/>
      <c r="CC195" s="1340"/>
      <c r="CD195" s="1340"/>
      <c r="CE195" s="1340"/>
      <c r="CF195" s="1340"/>
      <c r="CG195" s="1340"/>
      <c r="CH195" s="1340"/>
      <c r="CI195" s="1340"/>
      <c r="CJ195" s="1340"/>
      <c r="CK195" s="30"/>
      <c r="CL195" s="30"/>
      <c r="CM195" s="30"/>
      <c r="CN195" s="30"/>
      <c r="CO195" s="30"/>
      <c r="CP195" s="30"/>
      <c r="CQ195" s="30"/>
      <c r="CR195" s="30"/>
      <c r="CS195" s="30"/>
      <c r="CT195" s="30"/>
      <c r="CU195" s="30"/>
      <c r="CV195" s="1340"/>
      <c r="CW195" s="1340"/>
      <c r="CX195" s="1340"/>
      <c r="CY195" s="1340"/>
      <c r="CZ195" s="1340"/>
      <c r="DA195" s="1340"/>
      <c r="DB195" s="1340"/>
      <c r="DC195" s="30"/>
      <c r="DD195" s="30"/>
      <c r="DE195" s="30"/>
      <c r="DF195" s="30"/>
      <c r="DG195" s="30"/>
      <c r="DH195" s="30"/>
      <c r="DI195" s="30"/>
      <c r="DJ195" s="1340"/>
      <c r="DK195" s="1340"/>
      <c r="DL195" s="1340"/>
      <c r="DM195" s="1340"/>
      <c r="DN195" s="1340"/>
      <c r="DO195" s="1340"/>
      <c r="DP195" s="1340"/>
      <c r="DQ195" s="1340"/>
      <c r="DR195" s="1340"/>
      <c r="DS195" s="1340"/>
      <c r="DT195" s="1340"/>
      <c r="DU195" s="1340"/>
      <c r="DV195" s="1340"/>
      <c r="DW195" s="1340"/>
      <c r="DX195" s="1340"/>
      <c r="DY195" s="1340"/>
      <c r="DZ195" s="1340"/>
      <c r="EA195" s="1340"/>
      <c r="EB195" s="1340"/>
      <c r="EC195" s="1340"/>
      <c r="ED195" s="1337"/>
      <c r="EE195" s="1340"/>
      <c r="EF195" s="1340"/>
      <c r="EG195" s="1348"/>
      <c r="EH195" s="1348"/>
      <c r="EI195" s="1203"/>
      <c r="EJ195" s="1340"/>
      <c r="EK195" s="1340"/>
      <c r="EL195" s="1340"/>
      <c r="EM195" s="1340"/>
      <c r="EN195" s="1331"/>
      <c r="EO195" s="1340"/>
      <c r="EP195" s="1340"/>
      <c r="EQ195" s="1340"/>
      <c r="ER195" s="1348"/>
      <c r="ES195" s="1340"/>
      <c r="ET195" s="1340"/>
      <c r="EU195" s="1348"/>
      <c r="EV195" s="1340"/>
      <c r="EW195" s="1340"/>
      <c r="EX195" s="1348"/>
      <c r="EY195" s="1340"/>
      <c r="EZ195" s="1340"/>
      <c r="FA195" s="1340"/>
      <c r="FB195" s="1340"/>
      <c r="FC195" s="1340"/>
      <c r="FD195" s="1340"/>
      <c r="FE195" s="1340"/>
      <c r="FF195" s="1340"/>
      <c r="FG195" s="1340"/>
      <c r="FH195" s="30"/>
      <c r="FI195" s="30"/>
      <c r="FJ195" s="30"/>
      <c r="FK195" s="30"/>
      <c r="FL195" s="30"/>
      <c r="FM195" s="30"/>
      <c r="FN195" s="30"/>
      <c r="FO195" s="30"/>
      <c r="FP195" s="30"/>
      <c r="FQ195" s="1340"/>
      <c r="FR195" s="1340"/>
      <c r="FS195" s="1340"/>
      <c r="FT195" s="1340"/>
      <c r="FU195" s="1340"/>
      <c r="FV195" s="1340"/>
      <c r="FW195" s="1340"/>
      <c r="FX195" s="1340"/>
      <c r="FY195" s="1340"/>
      <c r="FZ195" s="30"/>
      <c r="GA195" s="30"/>
      <c r="GB195" s="30"/>
      <c r="GC195" s="30"/>
      <c r="GD195" s="30"/>
      <c r="GE195" s="30"/>
      <c r="GF195" s="30"/>
      <c r="GG195" s="30"/>
      <c r="GH195" s="30"/>
      <c r="GI195" s="281"/>
      <c r="GJ195" s="1052"/>
      <c r="GK195" s="622"/>
      <c r="GL195" s="1052"/>
      <c r="GM195" s="622"/>
      <c r="GN195" s="1052"/>
      <c r="GO195" s="1052"/>
      <c r="GP195" s="1052"/>
      <c r="GQ195" s="1052"/>
      <c r="GR195" s="1052"/>
      <c r="GS195" s="1052"/>
      <c r="GT195" s="1052"/>
      <c r="GU195" s="1052"/>
      <c r="GV195" s="1052"/>
      <c r="GW195" s="1052"/>
      <c r="GX195" s="1052"/>
      <c r="GY195" s="1052"/>
      <c r="GZ195" s="1052"/>
      <c r="HA195" s="1052"/>
      <c r="HB195" s="1052"/>
      <c r="HC195" s="1052"/>
      <c r="HD195" s="1052"/>
      <c r="HE195" s="1052"/>
      <c r="HF195" s="1052"/>
      <c r="HG195" s="1340"/>
      <c r="HH195" s="1340"/>
      <c r="HI195" s="1340"/>
      <c r="HJ195" s="1340"/>
      <c r="HK195" s="1340"/>
      <c r="HL195" s="1340"/>
      <c r="HM195" s="1340"/>
      <c r="HN195" s="1340"/>
      <c r="HO195" s="1340"/>
      <c r="HP195" s="1052"/>
      <c r="HQ195" s="1052"/>
      <c r="HR195" s="1052"/>
      <c r="HS195" s="1052"/>
      <c r="HT195" s="1052"/>
      <c r="HU195" s="1052"/>
      <c r="HV195" s="1052"/>
      <c r="HW195" s="1052"/>
      <c r="HX195" s="1052"/>
      <c r="HY195" s="1052"/>
      <c r="HZ195" s="51"/>
      <c r="IA195" s="59"/>
      <c r="IB195" s="59"/>
      <c r="IC195" s="284"/>
      <c r="ID195" s="815"/>
      <c r="IE195" s="284"/>
      <c r="IF195" s="284"/>
      <c r="IG195" s="284"/>
      <c r="IH195" s="284"/>
      <c r="II195" s="1288"/>
      <c r="IJ195" s="1288"/>
      <c r="IK195" s="284"/>
      <c r="IL195" s="284"/>
      <c r="IM195" s="284"/>
      <c r="IN195" s="284"/>
      <c r="IO195" s="753"/>
      <c r="IP195" s="113"/>
      <c r="IQ195" s="30"/>
      <c r="IR195" s="438"/>
      <c r="IS195" s="438"/>
      <c r="IT195" s="438"/>
      <c r="IU195" s="438"/>
      <c r="IV195" s="438"/>
      <c r="IW195" s="438"/>
      <c r="IX195" s="285"/>
      <c r="IY195" s="285"/>
      <c r="IZ195" s="285"/>
      <c r="JA195" s="285"/>
      <c r="JB195" s="285"/>
      <c r="JC195" s="285"/>
      <c r="JD195" s="60"/>
      <c r="JE195" s="60"/>
      <c r="JF195" s="60"/>
      <c r="JG195" s="60"/>
      <c r="JH195" s="284"/>
      <c r="JI195" s="284"/>
      <c r="JJ195" s="560"/>
      <c r="JK195" s="561"/>
      <c r="JL195" s="561"/>
      <c r="JM195" s="561"/>
      <c r="JN195" s="561"/>
      <c r="JO195" s="561"/>
      <c r="JP195" s="561"/>
      <c r="JQ195" s="561"/>
      <c r="JR195" s="61"/>
      <c r="JS195" s="61"/>
      <c r="JT195" s="61"/>
      <c r="JU195" s="61"/>
      <c r="JV195" s="61"/>
      <c r="JW195" s="61"/>
      <c r="JX195" s="61"/>
      <c r="JY195" s="394"/>
      <c r="JZ195" s="61"/>
      <c r="KA195" s="61"/>
      <c r="KB195" s="61"/>
      <c r="KC195" s="61"/>
      <c r="KD195" s="61"/>
      <c r="KE195" s="61"/>
      <c r="KF195" s="61"/>
      <c r="KG195" s="61"/>
      <c r="KH195" s="61"/>
      <c r="KI195" s="394"/>
      <c r="KJ195" s="438"/>
      <c r="KK195" s="438"/>
      <c r="KL195" s="438"/>
      <c r="KM195" s="438"/>
      <c r="KN195" s="438"/>
      <c r="KO195" s="438"/>
      <c r="KP195" s="438"/>
      <c r="KQ195" s="438"/>
      <c r="KR195" s="438"/>
      <c r="KS195" s="438"/>
      <c r="KT195" s="438"/>
      <c r="KU195" s="438"/>
      <c r="KV195" s="420"/>
      <c r="KW195" s="420"/>
      <c r="KX195" s="108"/>
      <c r="KY195" s="282"/>
      <c r="KZ195" s="282"/>
      <c r="LA195" s="282"/>
      <c r="LB195" s="282"/>
      <c r="LC195" s="286"/>
      <c r="LD195" s="286"/>
      <c r="LE195" s="282"/>
      <c r="LF195" s="282"/>
      <c r="LG195" s="282"/>
      <c r="LH195" s="282"/>
      <c r="LI195" s="282"/>
      <c r="LJ195" s="282"/>
      <c r="LK195" s="282"/>
      <c r="LL195" s="282"/>
      <c r="LM195" s="282"/>
      <c r="LN195" s="282"/>
      <c r="LO195" s="282"/>
      <c r="LP195" s="286"/>
      <c r="LQ195" s="282"/>
      <c r="LR195" s="282"/>
      <c r="LS195" s="282"/>
      <c r="LT195" s="286"/>
      <c r="LU195" s="286"/>
      <c r="LV195" s="286"/>
      <c r="LW195" s="286"/>
      <c r="LX195" s="286"/>
      <c r="LY195" s="286"/>
      <c r="LZ195" s="286"/>
      <c r="MA195" s="286"/>
      <c r="MB195" s="286"/>
      <c r="MC195" s="286"/>
      <c r="MD195" s="286"/>
      <c r="ME195" s="286"/>
      <c r="MF195" s="286"/>
      <c r="MG195" s="286"/>
      <c r="MH195" s="286"/>
      <c r="MI195" s="286"/>
      <c r="MJ195" s="286"/>
      <c r="MK195" s="286"/>
      <c r="ML195" s="282"/>
      <c r="MM195" s="1232"/>
      <c r="MN195" s="1232"/>
      <c r="MO195" s="1232"/>
      <c r="MP195" s="1232"/>
      <c r="MQ195" s="282"/>
      <c r="MR195" s="282"/>
      <c r="MS195" s="282"/>
      <c r="MT195" s="282"/>
      <c r="MU195" s="282"/>
      <c r="MV195" s="282"/>
      <c r="MW195" s="282"/>
      <c r="MX195" s="282"/>
      <c r="MY195" s="282"/>
      <c r="MZ195" s="282"/>
      <c r="NA195" s="282"/>
      <c r="NB195" s="282"/>
      <c r="NC195" s="282"/>
      <c r="ND195" s="282"/>
      <c r="NE195" s="282"/>
      <c r="NF195" s="282"/>
      <c r="NG195" s="282"/>
      <c r="NH195" s="282"/>
      <c r="NI195" s="282"/>
      <c r="NJ195" s="282"/>
      <c r="NK195" s="282"/>
      <c r="NL195" s="282"/>
      <c r="NM195" s="1205"/>
      <c r="NN195" s="282"/>
      <c r="NO195" s="282"/>
      <c r="NP195" s="282"/>
      <c r="NQ195" s="282"/>
      <c r="NR195" s="282"/>
      <c r="NS195" s="282"/>
      <c r="NT195" s="282"/>
      <c r="NU195" s="282"/>
      <c r="NV195" s="286"/>
      <c r="NW195" s="286"/>
      <c r="NX195" s="286"/>
      <c r="NY195" s="286"/>
      <c r="NZ195" s="286"/>
      <c r="OA195" s="286"/>
      <c r="OB195" s="286"/>
      <c r="OC195" s="286"/>
      <c r="OD195" s="286"/>
      <c r="OE195" s="282"/>
      <c r="OF195" s="282"/>
      <c r="OG195" s="286"/>
      <c r="OH195" s="286"/>
      <c r="OI195" s="286"/>
      <c r="OJ195" s="286"/>
      <c r="OK195" s="286"/>
      <c r="OL195" s="286"/>
      <c r="OM195" s="286"/>
      <c r="ON195" s="286"/>
      <c r="OO195" s="286"/>
      <c r="OP195" s="434"/>
      <c r="OQ195" s="434"/>
      <c r="OR195" s="282"/>
      <c r="OS195" s="282"/>
      <c r="OT195" s="282"/>
      <c r="OU195" s="282"/>
      <c r="OV195" s="282"/>
      <c r="OW195" s="286"/>
      <c r="OX195" s="286"/>
      <c r="OY195" s="286"/>
      <c r="OZ195" s="286"/>
      <c r="PA195" s="286"/>
      <c r="PB195" s="286"/>
      <c r="PC195" s="286"/>
      <c r="PD195" s="282"/>
      <c r="PE195" s="282"/>
      <c r="PF195" s="286"/>
      <c r="PG195" s="286"/>
      <c r="PH195" s="286"/>
      <c r="PI195" s="286"/>
      <c r="PJ195" s="286"/>
      <c r="PK195" s="286"/>
      <c r="PL195" s="286"/>
      <c r="PM195" s="562"/>
    </row>
    <row r="196" spans="1:429" s="289" customFormat="1" ht="15.75" customHeight="1">
      <c r="A196" s="1040"/>
      <c r="B196" s="1040"/>
      <c r="C196" s="1340"/>
      <c r="D196" s="279"/>
      <c r="E196" s="671"/>
      <c r="F196" s="1340"/>
      <c r="G196" s="1340"/>
      <c r="H196" s="1340"/>
      <c r="I196" s="1340"/>
      <c r="J196" s="1340"/>
      <c r="K196" s="1348"/>
      <c r="L196" s="1199"/>
      <c r="M196" s="1199"/>
      <c r="N196" s="1199"/>
      <c r="O196" s="1199"/>
      <c r="P196" s="1199"/>
      <c r="Q196" s="1340"/>
      <c r="R196" s="1340"/>
      <c r="S196" s="1340"/>
      <c r="T196" s="1199"/>
      <c r="U196" s="1199"/>
      <c r="V196" s="1199"/>
      <c r="W196" s="1340"/>
      <c r="X196" s="1340"/>
      <c r="Y196" s="1199"/>
      <c r="Z196" s="1199"/>
      <c r="AA196" s="1340"/>
      <c r="AB196" s="1331"/>
      <c r="AC196" s="1199"/>
      <c r="AD196" s="1200"/>
      <c r="AE196" s="1340"/>
      <c r="AF196" s="1340"/>
      <c r="AG196" s="1199"/>
      <c r="AH196" s="1340"/>
      <c r="AI196" s="1340"/>
      <c r="AJ196" s="1199"/>
      <c r="AK196" s="1348"/>
      <c r="AL196" s="1348"/>
      <c r="AM196" s="1340"/>
      <c r="AN196" s="1199"/>
      <c r="AO196" s="1340"/>
      <c r="AP196" s="1340"/>
      <c r="AQ196" s="1340"/>
      <c r="AR196" s="1199"/>
      <c r="AS196" s="1200"/>
      <c r="AT196" s="1200"/>
      <c r="AU196" s="1200"/>
      <c r="AV196" s="1200"/>
      <c r="AW196" s="1200"/>
      <c r="AX196" s="1348"/>
      <c r="AY196" s="1348"/>
      <c r="AZ196" s="1348"/>
      <c r="BA196" s="1348"/>
      <c r="BB196" s="1348"/>
      <c r="BC196" s="1348"/>
      <c r="BD196" s="1348"/>
      <c r="BE196" s="1340"/>
      <c r="BF196" s="1340"/>
      <c r="BG196" s="1340"/>
      <c r="BH196" s="1340"/>
      <c r="BI196" s="1348"/>
      <c r="BJ196" s="1340"/>
      <c r="BK196" s="1340"/>
      <c r="BL196" s="1331"/>
      <c r="BM196" s="1340"/>
      <c r="BN196" s="1340"/>
      <c r="BO196" s="1200"/>
      <c r="BP196" s="1348"/>
      <c r="BQ196" s="1348"/>
      <c r="BR196" s="1349"/>
      <c r="BS196" s="1422"/>
      <c r="BT196" s="1350"/>
      <c r="BU196" s="1350"/>
      <c r="BV196" s="1349"/>
      <c r="BW196" s="1340"/>
      <c r="BX196" s="1340"/>
      <c r="BY196" s="1340"/>
      <c r="BZ196" s="1340"/>
      <c r="CA196" s="1340"/>
      <c r="CB196" s="1340"/>
      <c r="CC196" s="1340"/>
      <c r="CD196" s="1340"/>
      <c r="CE196" s="1340"/>
      <c r="CF196" s="1340"/>
      <c r="CG196" s="1340"/>
      <c r="CH196" s="1340"/>
      <c r="CI196" s="1340"/>
      <c r="CJ196" s="1340"/>
      <c r="CK196" s="30"/>
      <c r="CL196" s="30"/>
      <c r="CM196" s="30"/>
      <c r="CN196" s="30"/>
      <c r="CO196" s="30"/>
      <c r="CP196" s="30"/>
      <c r="CQ196" s="30"/>
      <c r="CR196" s="30"/>
      <c r="CS196" s="30"/>
      <c r="CT196" s="30"/>
      <c r="CU196" s="30"/>
      <c r="CV196" s="1340"/>
      <c r="CW196" s="1340"/>
      <c r="CX196" s="1340"/>
      <c r="CY196" s="1340"/>
      <c r="CZ196" s="1340"/>
      <c r="DA196" s="1340"/>
      <c r="DB196" s="1340"/>
      <c r="DC196" s="30"/>
      <c r="DD196" s="30"/>
      <c r="DE196" s="30"/>
      <c r="DF196" s="30"/>
      <c r="DG196" s="30"/>
      <c r="DH196" s="30"/>
      <c r="DI196" s="30"/>
      <c r="DJ196" s="1340"/>
      <c r="DK196" s="1340"/>
      <c r="DL196" s="1340"/>
      <c r="DM196" s="1340"/>
      <c r="DN196" s="1340"/>
      <c r="DO196" s="1340"/>
      <c r="DP196" s="1340"/>
      <c r="DQ196" s="1340"/>
      <c r="DR196" s="1340"/>
      <c r="DS196" s="1340"/>
      <c r="DT196" s="1340"/>
      <c r="DU196" s="1340"/>
      <c r="DV196" s="1340"/>
      <c r="DW196" s="1340"/>
      <c r="DX196" s="1340"/>
      <c r="DY196" s="1340"/>
      <c r="DZ196" s="1340"/>
      <c r="EA196" s="1340"/>
      <c r="EB196" s="1340"/>
      <c r="EC196" s="1340"/>
      <c r="ED196" s="1337"/>
      <c r="EE196" s="1340"/>
      <c r="EF196" s="1340"/>
      <c r="EG196" s="1348"/>
      <c r="EH196" s="1348"/>
      <c r="EI196" s="1203"/>
      <c r="EJ196" s="1340"/>
      <c r="EK196" s="1340"/>
      <c r="EL196" s="1340"/>
      <c r="EM196" s="1340"/>
      <c r="EN196" s="1331"/>
      <c r="EO196" s="1340"/>
      <c r="EP196" s="1340"/>
      <c r="EQ196" s="1340"/>
      <c r="ER196" s="1348"/>
      <c r="ES196" s="1340"/>
      <c r="ET196" s="1340"/>
      <c r="EU196" s="1348"/>
      <c r="EV196" s="1340"/>
      <c r="EW196" s="1340"/>
      <c r="EX196" s="1348"/>
      <c r="EY196" s="1340"/>
      <c r="EZ196" s="1340"/>
      <c r="FA196" s="1340"/>
      <c r="FB196" s="1340"/>
      <c r="FC196" s="1340"/>
      <c r="FD196" s="1340"/>
      <c r="FE196" s="1340"/>
      <c r="FF196" s="1340"/>
      <c r="FG196" s="1340"/>
      <c r="FH196" s="30"/>
      <c r="FI196" s="30"/>
      <c r="FJ196" s="30"/>
      <c r="FK196" s="30"/>
      <c r="FL196" s="30"/>
      <c r="FM196" s="30"/>
      <c r="FN196" s="30"/>
      <c r="FO196" s="30"/>
      <c r="FP196" s="30"/>
      <c r="FQ196" s="1340"/>
      <c r="FR196" s="1340"/>
      <c r="FS196" s="1340"/>
      <c r="FT196" s="1340"/>
      <c r="FU196" s="1340"/>
      <c r="FV196" s="1340"/>
      <c r="FW196" s="1340"/>
      <c r="FX196" s="1340"/>
      <c r="FY196" s="1340"/>
      <c r="FZ196" s="30"/>
      <c r="GA196" s="30"/>
      <c r="GB196" s="30"/>
      <c r="GC196" s="30"/>
      <c r="GD196" s="30"/>
      <c r="GE196" s="30"/>
      <c r="GF196" s="30"/>
      <c r="GG196" s="30"/>
      <c r="GH196" s="30"/>
      <c r="GI196" s="281"/>
      <c r="GJ196" s="1052"/>
      <c r="GK196" s="622"/>
      <c r="GL196" s="1052"/>
      <c r="GM196" s="622"/>
      <c r="GN196" s="1052"/>
      <c r="GO196" s="1052"/>
      <c r="GP196" s="1052"/>
      <c r="GQ196" s="1052"/>
      <c r="GR196" s="1052"/>
      <c r="GS196" s="1052"/>
      <c r="GT196" s="1052"/>
      <c r="GU196" s="1052"/>
      <c r="GV196" s="1052"/>
      <c r="GW196" s="1052"/>
      <c r="GX196" s="1052"/>
      <c r="GY196" s="1052"/>
      <c r="GZ196" s="30"/>
      <c r="HA196" s="30"/>
      <c r="HB196" s="30"/>
      <c r="HC196" s="30"/>
      <c r="HD196" s="30"/>
      <c r="HE196" s="30"/>
      <c r="HF196" s="30"/>
      <c r="HG196" s="1340"/>
      <c r="HH196" s="1340"/>
      <c r="HI196" s="1340"/>
      <c r="HJ196" s="1340"/>
      <c r="HK196" s="1340"/>
      <c r="HL196" s="1340"/>
      <c r="HM196" s="1340"/>
      <c r="HN196" s="1340"/>
      <c r="HO196" s="1340"/>
      <c r="HP196" s="1052"/>
      <c r="HQ196" s="1052"/>
      <c r="HR196" s="1052"/>
      <c r="HS196" s="1052"/>
      <c r="HT196" s="1052"/>
      <c r="HU196" s="1052"/>
      <c r="HV196" s="1052"/>
      <c r="HW196" s="1052"/>
      <c r="HX196" s="1052"/>
      <c r="HY196" s="1052"/>
      <c r="HZ196" s="51"/>
      <c r="IA196" s="59"/>
      <c r="IB196" s="59"/>
      <c r="IC196" s="284"/>
      <c r="ID196" s="815"/>
      <c r="IE196" s="284"/>
      <c r="IF196" s="284"/>
      <c r="IG196" s="284"/>
      <c r="IH196" s="284"/>
      <c r="II196" s="1288"/>
      <c r="IJ196" s="1288"/>
      <c r="IK196" s="284"/>
      <c r="IL196" s="284"/>
      <c r="IM196" s="284"/>
      <c r="IN196" s="284"/>
      <c r="IO196" s="753"/>
      <c r="IP196" s="113"/>
      <c r="IQ196" s="30"/>
      <c r="IR196" s="438"/>
      <c r="IS196" s="438"/>
      <c r="IT196" s="438"/>
      <c r="IU196" s="438"/>
      <c r="IV196" s="438"/>
      <c r="IW196" s="438"/>
      <c r="IX196" s="285"/>
      <c r="IY196" s="285"/>
      <c r="IZ196" s="285"/>
      <c r="JA196" s="285"/>
      <c r="JB196" s="285"/>
      <c r="JC196" s="285"/>
      <c r="JD196" s="60"/>
      <c r="JE196" s="60"/>
      <c r="JF196" s="60"/>
      <c r="JG196" s="60"/>
      <c r="JH196" s="284"/>
      <c r="JI196" s="284"/>
      <c r="JJ196" s="560"/>
      <c r="JK196" s="561"/>
      <c r="JL196" s="561"/>
      <c r="JM196" s="561"/>
      <c r="JN196" s="561"/>
      <c r="JO196" s="561"/>
      <c r="JP196" s="561"/>
      <c r="JQ196" s="561"/>
      <c r="JR196" s="61"/>
      <c r="JS196" s="61"/>
      <c r="JT196" s="61"/>
      <c r="JU196" s="61"/>
      <c r="JV196" s="61"/>
      <c r="JW196" s="61"/>
      <c r="JX196" s="61"/>
      <c r="JY196" s="394"/>
      <c r="JZ196" s="61"/>
      <c r="KA196" s="61"/>
      <c r="KB196" s="61"/>
      <c r="KC196" s="61"/>
      <c r="KD196" s="61"/>
      <c r="KE196" s="61"/>
      <c r="KF196" s="61"/>
      <c r="KG196" s="61"/>
      <c r="KH196" s="61"/>
      <c r="KI196" s="394"/>
      <c r="KJ196" s="438"/>
      <c r="KK196" s="438"/>
      <c r="KL196" s="438"/>
      <c r="KM196" s="438"/>
      <c r="KN196" s="438"/>
      <c r="KO196" s="438"/>
      <c r="KP196" s="438"/>
      <c r="KQ196" s="438"/>
      <c r="KR196" s="438"/>
      <c r="KS196" s="438"/>
      <c r="KT196" s="438"/>
      <c r="KU196" s="438"/>
      <c r="KV196" s="420"/>
      <c r="KW196" s="420"/>
      <c r="KX196" s="108"/>
      <c r="KY196" s="282"/>
      <c r="KZ196" s="282"/>
      <c r="LA196" s="282"/>
      <c r="LB196" s="282"/>
      <c r="LC196" s="286"/>
      <c r="LD196" s="286"/>
      <c r="LE196" s="282"/>
      <c r="LF196" s="282"/>
      <c r="LG196" s="282"/>
      <c r="LH196" s="282"/>
      <c r="LI196" s="282"/>
      <c r="LJ196" s="282"/>
      <c r="LK196" s="282"/>
      <c r="LL196" s="282"/>
      <c r="LM196" s="282"/>
      <c r="LN196" s="282"/>
      <c r="LO196" s="282"/>
      <c r="LP196" s="286"/>
      <c r="LQ196" s="282"/>
      <c r="LR196" s="282"/>
      <c r="LS196" s="282"/>
      <c r="LT196" s="286"/>
      <c r="LU196" s="286"/>
      <c r="LV196" s="286"/>
      <c r="LW196" s="286"/>
      <c r="LX196" s="286"/>
      <c r="LY196" s="286"/>
      <c r="LZ196" s="286"/>
      <c r="MA196" s="286"/>
      <c r="MB196" s="286"/>
      <c r="MC196" s="286"/>
      <c r="MD196" s="286"/>
      <c r="ME196" s="286"/>
      <c r="MF196" s="286"/>
      <c r="MG196" s="286"/>
      <c r="MH196" s="286"/>
      <c r="MI196" s="286"/>
      <c r="MJ196" s="286"/>
      <c r="MK196" s="286"/>
      <c r="ML196" s="282"/>
      <c r="MM196" s="1232"/>
      <c r="MN196" s="1232"/>
      <c r="MO196" s="1232"/>
      <c r="MP196" s="1232"/>
      <c r="MQ196" s="282"/>
      <c r="MR196" s="282"/>
      <c r="MS196" s="282"/>
      <c r="MT196" s="282"/>
      <c r="MU196" s="282"/>
      <c r="MV196" s="282"/>
      <c r="MW196" s="282"/>
      <c r="MX196" s="282"/>
      <c r="MY196" s="282"/>
      <c r="MZ196" s="282"/>
      <c r="NA196" s="282"/>
      <c r="NB196" s="282"/>
      <c r="NC196" s="282"/>
      <c r="ND196" s="282"/>
      <c r="NE196" s="282"/>
      <c r="NF196" s="282"/>
      <c r="NG196" s="282"/>
      <c r="NH196" s="282"/>
      <c r="NI196" s="282"/>
      <c r="NJ196" s="282"/>
      <c r="NK196" s="282"/>
      <c r="NL196" s="282"/>
      <c r="NM196" s="1205"/>
      <c r="NN196" s="282"/>
      <c r="NO196" s="282"/>
      <c r="NP196" s="282"/>
      <c r="NQ196" s="282"/>
      <c r="NR196" s="282"/>
      <c r="NS196" s="282"/>
      <c r="NT196" s="282"/>
      <c r="NU196" s="282"/>
      <c r="NV196" s="286"/>
      <c r="NW196" s="286"/>
      <c r="NX196" s="286"/>
      <c r="NY196" s="286"/>
      <c r="NZ196" s="286"/>
      <c r="OA196" s="286"/>
      <c r="OB196" s="286"/>
      <c r="OC196" s="286"/>
      <c r="OD196" s="286"/>
      <c r="OE196" s="282"/>
      <c r="OF196" s="282"/>
      <c r="OG196" s="286"/>
      <c r="OH196" s="286"/>
      <c r="OI196" s="286"/>
      <c r="OJ196" s="286"/>
      <c r="OK196" s="286"/>
      <c r="OL196" s="286"/>
      <c r="OM196" s="286"/>
      <c r="ON196" s="286"/>
      <c r="OO196" s="286"/>
      <c r="OP196" s="434"/>
      <c r="OQ196" s="434"/>
      <c r="OR196" s="282"/>
      <c r="OS196" s="282"/>
      <c r="OT196" s="282"/>
      <c r="OU196" s="282"/>
      <c r="OV196" s="282"/>
      <c r="OW196" s="286"/>
      <c r="OX196" s="286"/>
      <c r="OY196" s="286"/>
      <c r="OZ196" s="286"/>
      <c r="PA196" s="286"/>
      <c r="PB196" s="286"/>
      <c r="PC196" s="286"/>
      <c r="PD196" s="282"/>
      <c r="PE196" s="282"/>
      <c r="PF196" s="286"/>
      <c r="PG196" s="286"/>
      <c r="PH196" s="286"/>
      <c r="PI196" s="286"/>
      <c r="PJ196" s="286"/>
      <c r="PK196" s="286"/>
      <c r="PL196" s="286"/>
      <c r="PM196" s="562"/>
    </row>
    <row r="197" spans="1:429" s="289" customFormat="1" ht="15.75" customHeight="1">
      <c r="A197" s="1040"/>
      <c r="B197" s="1040"/>
      <c r="C197" s="1340"/>
      <c r="D197" s="279"/>
      <c r="E197" s="671"/>
      <c r="F197" s="1340"/>
      <c r="G197" s="1340"/>
      <c r="H197" s="1340"/>
      <c r="I197" s="1340"/>
      <c r="J197" s="1340"/>
      <c r="K197" s="1348"/>
      <c r="L197" s="1199"/>
      <c r="M197" s="1199"/>
      <c r="N197" s="1199"/>
      <c r="O197" s="1199"/>
      <c r="P197" s="1199"/>
      <c r="Q197" s="1340"/>
      <c r="R197" s="1340"/>
      <c r="S197" s="1340"/>
      <c r="T197" s="1199"/>
      <c r="U197" s="1199"/>
      <c r="V197" s="1199"/>
      <c r="W197" s="1340"/>
      <c r="X197" s="1340"/>
      <c r="Y197" s="1199"/>
      <c r="Z197" s="1199"/>
      <c r="AA197" s="1340"/>
      <c r="AB197" s="1331"/>
      <c r="AC197" s="1199"/>
      <c r="AD197" s="1200"/>
      <c r="AE197" s="1340"/>
      <c r="AF197" s="1340"/>
      <c r="AG197" s="1199"/>
      <c r="AH197" s="1340"/>
      <c r="AI197" s="1340"/>
      <c r="AJ197" s="1199"/>
      <c r="AK197" s="1348"/>
      <c r="AL197" s="1348"/>
      <c r="AM197" s="1340"/>
      <c r="AN197" s="1199"/>
      <c r="AO197" s="1340"/>
      <c r="AP197" s="1340"/>
      <c r="AQ197" s="1340"/>
      <c r="AR197" s="1199"/>
      <c r="AS197" s="1200"/>
      <c r="AT197" s="1200"/>
      <c r="AU197" s="1200"/>
      <c r="AV197" s="1200"/>
      <c r="AW197" s="1200"/>
      <c r="AX197" s="1348"/>
      <c r="AY197" s="1348"/>
      <c r="AZ197" s="1348"/>
      <c r="BA197" s="1348"/>
      <c r="BB197" s="1348"/>
      <c r="BC197" s="1348"/>
      <c r="BD197" s="1348"/>
      <c r="BE197" s="1340"/>
      <c r="BF197" s="1340"/>
      <c r="BG197" s="1340"/>
      <c r="BH197" s="1340"/>
      <c r="BI197" s="1348"/>
      <c r="BJ197" s="1340"/>
      <c r="BK197" s="1340"/>
      <c r="BL197" s="1331"/>
      <c r="BM197" s="1340"/>
      <c r="BN197" s="1340"/>
      <c r="BO197" s="1200"/>
      <c r="BP197" s="1348"/>
      <c r="BQ197" s="1348"/>
      <c r="BR197" s="1349"/>
      <c r="BS197" s="1422"/>
      <c r="BT197" s="1350"/>
      <c r="BU197" s="1350"/>
      <c r="BV197" s="1349"/>
      <c r="BW197" s="1340"/>
      <c r="BX197" s="1340"/>
      <c r="BY197" s="1340"/>
      <c r="BZ197" s="1340"/>
      <c r="CA197" s="1340"/>
      <c r="CB197" s="1340"/>
      <c r="CC197" s="1340"/>
      <c r="CD197" s="1340"/>
      <c r="CE197" s="1340"/>
      <c r="CF197" s="1340"/>
      <c r="CG197" s="1340"/>
      <c r="CH197" s="1340"/>
      <c r="CI197" s="1340"/>
      <c r="CJ197" s="1340"/>
      <c r="CK197" s="30"/>
      <c r="CL197" s="30"/>
      <c r="CM197" s="30"/>
      <c r="CN197" s="30"/>
      <c r="CO197" s="30"/>
      <c r="CP197" s="30"/>
      <c r="CQ197" s="30"/>
      <c r="CR197" s="30"/>
      <c r="CS197" s="30"/>
      <c r="CT197" s="30"/>
      <c r="CU197" s="30"/>
      <c r="CV197" s="1340"/>
      <c r="CW197" s="1340"/>
      <c r="CX197" s="1340"/>
      <c r="CY197" s="1340"/>
      <c r="CZ197" s="1340"/>
      <c r="DA197" s="1340"/>
      <c r="DB197" s="1340"/>
      <c r="DC197" s="30"/>
      <c r="DD197" s="30"/>
      <c r="DE197" s="30"/>
      <c r="DF197" s="30"/>
      <c r="DG197" s="30"/>
      <c r="DH197" s="30"/>
      <c r="DI197" s="30"/>
      <c r="DJ197" s="1340"/>
      <c r="DK197" s="1340"/>
      <c r="DL197" s="1340"/>
      <c r="DM197" s="1340"/>
      <c r="DN197" s="1340"/>
      <c r="DO197" s="1340"/>
      <c r="DP197" s="1340"/>
      <c r="DQ197" s="1340"/>
      <c r="DR197" s="1340"/>
      <c r="DS197" s="1340"/>
      <c r="DT197" s="1340"/>
      <c r="DU197" s="1340"/>
      <c r="DV197" s="1340"/>
      <c r="DW197" s="1340"/>
      <c r="DX197" s="1340"/>
      <c r="DY197" s="1340"/>
      <c r="DZ197" s="1340"/>
      <c r="EA197" s="1340"/>
      <c r="EB197" s="1340"/>
      <c r="EC197" s="1340"/>
      <c r="ED197" s="1337"/>
      <c r="EE197" s="1340"/>
      <c r="EF197" s="1340"/>
      <c r="EG197" s="1348"/>
      <c r="EH197" s="1348"/>
      <c r="EI197" s="1203"/>
      <c r="EJ197" s="1340"/>
      <c r="EK197" s="1340"/>
      <c r="EL197" s="1340"/>
      <c r="EM197" s="1340"/>
      <c r="EN197" s="1331"/>
      <c r="EO197" s="1340"/>
      <c r="EP197" s="1340"/>
      <c r="EQ197" s="1340"/>
      <c r="ER197" s="1348"/>
      <c r="ES197" s="1340"/>
      <c r="ET197" s="1340"/>
      <c r="EU197" s="1348"/>
      <c r="EV197" s="1340"/>
      <c r="EW197" s="1340"/>
      <c r="EX197" s="1348"/>
      <c r="EY197" s="1340"/>
      <c r="EZ197" s="1340"/>
      <c r="FA197" s="1340"/>
      <c r="FB197" s="1340"/>
      <c r="FC197" s="1340"/>
      <c r="FD197" s="1340"/>
      <c r="FE197" s="1340"/>
      <c r="FF197" s="1340"/>
      <c r="FG197" s="1340"/>
      <c r="FH197" s="30"/>
      <c r="FI197" s="30"/>
      <c r="FJ197" s="30"/>
      <c r="FK197" s="30"/>
      <c r="FL197" s="30"/>
      <c r="FM197" s="30"/>
      <c r="FN197" s="30"/>
      <c r="FO197" s="30"/>
      <c r="FP197" s="30"/>
      <c r="FQ197" s="1340"/>
      <c r="FR197" s="1340"/>
      <c r="FS197" s="1340"/>
      <c r="FT197" s="1340"/>
      <c r="FU197" s="1340"/>
      <c r="FV197" s="1340"/>
      <c r="FW197" s="1340"/>
      <c r="FX197" s="1340"/>
      <c r="FY197" s="1340"/>
      <c r="FZ197" s="30"/>
      <c r="GA197" s="30"/>
      <c r="GB197" s="30"/>
      <c r="GC197" s="30"/>
      <c r="GD197" s="30"/>
      <c r="GE197" s="30"/>
      <c r="GF197" s="30"/>
      <c r="GG197" s="30"/>
      <c r="GH197" s="30"/>
      <c r="GI197" s="281"/>
      <c r="GJ197" s="1052"/>
      <c r="GK197" s="622"/>
      <c r="GL197" s="1052"/>
      <c r="GM197" s="622"/>
      <c r="GN197" s="1052"/>
      <c r="GO197" s="1052"/>
      <c r="GP197" s="1052"/>
      <c r="GQ197" s="1052"/>
      <c r="GR197" s="1052"/>
      <c r="GS197" s="1052"/>
      <c r="GT197" s="1052"/>
      <c r="GU197" s="1052"/>
      <c r="GV197" s="1052"/>
      <c r="GW197" s="1052"/>
      <c r="GX197" s="1052"/>
      <c r="GY197" s="1052"/>
      <c r="GZ197" s="30"/>
      <c r="HA197" s="30"/>
      <c r="HB197" s="30"/>
      <c r="HC197" s="30"/>
      <c r="HD197" s="30"/>
      <c r="HE197" s="30"/>
      <c r="HF197" s="30"/>
      <c r="HG197" s="1340"/>
      <c r="HH197" s="1340"/>
      <c r="HI197" s="1340"/>
      <c r="HJ197" s="1340"/>
      <c r="HK197" s="1340"/>
      <c r="HL197" s="1340"/>
      <c r="HM197" s="1340"/>
      <c r="HN197" s="1340"/>
      <c r="HO197" s="1340"/>
      <c r="HP197" s="1052"/>
      <c r="HQ197" s="1052"/>
      <c r="HR197" s="1052"/>
      <c r="HS197" s="1052"/>
      <c r="HT197" s="1052"/>
      <c r="HU197" s="1052"/>
      <c r="HV197" s="1052"/>
      <c r="HW197" s="1052"/>
      <c r="HX197" s="1052"/>
      <c r="HY197" s="1052"/>
      <c r="HZ197" s="51"/>
      <c r="IA197" s="59"/>
      <c r="IB197" s="59"/>
      <c r="IC197" s="284"/>
      <c r="ID197" s="815"/>
      <c r="IE197" s="284"/>
      <c r="IF197" s="284"/>
      <c r="IG197" s="284"/>
      <c r="IH197" s="284"/>
      <c r="II197" s="1288"/>
      <c r="IJ197" s="1288"/>
      <c r="IK197" s="284"/>
      <c r="IL197" s="284"/>
      <c r="IM197" s="284"/>
      <c r="IN197" s="284"/>
      <c r="IO197" s="753"/>
      <c r="IP197" s="113"/>
      <c r="IQ197" s="30"/>
      <c r="IR197" s="438"/>
      <c r="IS197" s="438"/>
      <c r="IT197" s="438"/>
      <c r="IU197" s="438"/>
      <c r="IV197" s="438"/>
      <c r="IW197" s="438"/>
      <c r="IX197" s="285"/>
      <c r="IY197" s="285"/>
      <c r="IZ197" s="285"/>
      <c r="JA197" s="285"/>
      <c r="JB197" s="285"/>
      <c r="JC197" s="285"/>
      <c r="JD197" s="60"/>
      <c r="JE197" s="60"/>
      <c r="JF197" s="60"/>
      <c r="JG197" s="60"/>
      <c r="JH197" s="284"/>
      <c r="JI197" s="284"/>
      <c r="JJ197" s="560"/>
      <c r="JK197" s="561"/>
      <c r="JL197" s="561"/>
      <c r="JM197" s="561"/>
      <c r="JN197" s="561"/>
      <c r="JO197" s="561"/>
      <c r="JP197" s="561"/>
      <c r="JQ197" s="561"/>
      <c r="JR197" s="61"/>
      <c r="JS197" s="61"/>
      <c r="JT197" s="61"/>
      <c r="JU197" s="61"/>
      <c r="JV197" s="61"/>
      <c r="JW197" s="61"/>
      <c r="JX197" s="61"/>
      <c r="JY197" s="394"/>
      <c r="JZ197" s="61"/>
      <c r="KA197" s="61"/>
      <c r="KB197" s="61"/>
      <c r="KC197" s="61"/>
      <c r="KD197" s="61"/>
      <c r="KE197" s="61"/>
      <c r="KF197" s="61"/>
      <c r="KG197" s="61"/>
      <c r="KH197" s="61"/>
      <c r="KI197" s="394"/>
      <c r="KJ197" s="438"/>
      <c r="KK197" s="438"/>
      <c r="KL197" s="438"/>
      <c r="KM197" s="438"/>
      <c r="KN197" s="438"/>
      <c r="KO197" s="438"/>
      <c r="KP197" s="438"/>
      <c r="KQ197" s="438"/>
      <c r="KR197" s="438"/>
      <c r="KS197" s="438"/>
      <c r="KT197" s="438"/>
      <c r="KU197" s="438"/>
      <c r="KV197" s="420"/>
      <c r="KW197" s="420"/>
      <c r="KX197" s="108"/>
      <c r="KY197" s="282"/>
      <c r="KZ197" s="282"/>
      <c r="LA197" s="282"/>
      <c r="LB197" s="282"/>
      <c r="LC197" s="286"/>
      <c r="LD197" s="286"/>
      <c r="LE197" s="282"/>
      <c r="LF197" s="282"/>
      <c r="LG197" s="282"/>
      <c r="LH197" s="282"/>
      <c r="LI197" s="282"/>
      <c r="LJ197" s="282"/>
      <c r="LK197" s="282"/>
      <c r="LL197" s="282"/>
      <c r="LM197" s="282"/>
      <c r="LN197" s="282"/>
      <c r="LO197" s="282"/>
      <c r="LP197" s="286"/>
      <c r="LQ197" s="282"/>
      <c r="LR197" s="282"/>
      <c r="LS197" s="282"/>
      <c r="LT197" s="286"/>
      <c r="LU197" s="286"/>
      <c r="LV197" s="286"/>
      <c r="LW197" s="286"/>
      <c r="LX197" s="286"/>
      <c r="LY197" s="286"/>
      <c r="LZ197" s="286"/>
      <c r="MA197" s="286"/>
      <c r="MB197" s="286"/>
      <c r="MC197" s="286"/>
      <c r="MD197" s="286"/>
      <c r="ME197" s="286"/>
      <c r="MF197" s="286"/>
      <c r="MG197" s="286"/>
      <c r="MH197" s="286"/>
      <c r="MI197" s="286"/>
      <c r="MJ197" s="286"/>
      <c r="MK197" s="286"/>
      <c r="ML197" s="282"/>
      <c r="MM197" s="1232"/>
      <c r="MN197" s="1232"/>
      <c r="MO197" s="1232"/>
      <c r="MP197" s="1232"/>
      <c r="MQ197" s="282"/>
      <c r="MR197" s="282"/>
      <c r="MS197" s="282"/>
      <c r="MT197" s="282"/>
      <c r="MU197" s="282"/>
      <c r="MV197" s="282"/>
      <c r="MW197" s="282"/>
      <c r="MX197" s="282"/>
      <c r="MY197" s="282"/>
      <c r="MZ197" s="282"/>
      <c r="NA197" s="282"/>
      <c r="NB197" s="282"/>
      <c r="NC197" s="282"/>
      <c r="ND197" s="282"/>
      <c r="NE197" s="282"/>
      <c r="NF197" s="282"/>
      <c r="NG197" s="282"/>
      <c r="NH197" s="282"/>
      <c r="NI197" s="282"/>
      <c r="NJ197" s="282"/>
      <c r="NK197" s="282"/>
      <c r="NL197" s="282"/>
      <c r="NM197" s="1205"/>
      <c r="NN197" s="282"/>
      <c r="NO197" s="282"/>
      <c r="NP197" s="282"/>
      <c r="NQ197" s="282"/>
      <c r="NR197" s="282"/>
      <c r="NS197" s="282"/>
      <c r="NT197" s="282"/>
      <c r="NU197" s="282"/>
      <c r="NV197" s="286"/>
      <c r="NW197" s="286"/>
      <c r="NX197" s="286"/>
      <c r="NY197" s="286"/>
      <c r="NZ197" s="286"/>
      <c r="OA197" s="286"/>
      <c r="OB197" s="286"/>
      <c r="OC197" s="286"/>
      <c r="OD197" s="286"/>
      <c r="OE197" s="282"/>
      <c r="OF197" s="282"/>
      <c r="OG197" s="286"/>
      <c r="OH197" s="286"/>
      <c r="OI197" s="286"/>
      <c r="OJ197" s="286"/>
      <c r="OK197" s="286"/>
      <c r="OL197" s="286"/>
      <c r="OM197" s="286"/>
      <c r="ON197" s="286"/>
      <c r="OO197" s="286"/>
      <c r="OP197" s="434"/>
      <c r="OQ197" s="434"/>
      <c r="OR197" s="282"/>
      <c r="OS197" s="282"/>
      <c r="OT197" s="282"/>
      <c r="OU197" s="282"/>
      <c r="OV197" s="282"/>
      <c r="OW197" s="286"/>
      <c r="OX197" s="286"/>
      <c r="OY197" s="286"/>
      <c r="OZ197" s="286"/>
      <c r="PA197" s="286"/>
      <c r="PB197" s="286"/>
      <c r="PC197" s="286"/>
      <c r="PD197" s="282"/>
      <c r="PE197" s="282"/>
      <c r="PF197" s="286"/>
      <c r="PG197" s="286"/>
      <c r="PH197" s="286"/>
      <c r="PI197" s="286"/>
      <c r="PJ197" s="286"/>
      <c r="PK197" s="286"/>
      <c r="PL197" s="286"/>
      <c r="PM197" s="562"/>
    </row>
    <row r="198" spans="1:429" s="289" customFormat="1" ht="15.75" customHeight="1">
      <c r="A198" s="1040"/>
      <c r="B198" s="1040"/>
      <c r="C198" s="1340"/>
      <c r="D198" s="279"/>
      <c r="E198" s="671"/>
      <c r="F198" s="1340"/>
      <c r="G198" s="1340"/>
      <c r="H198" s="1340"/>
      <c r="I198" s="1340"/>
      <c r="J198" s="1340"/>
      <c r="K198" s="1348"/>
      <c r="L198" s="1199"/>
      <c r="M198" s="1199"/>
      <c r="N198" s="1199"/>
      <c r="O198" s="1199"/>
      <c r="P198" s="1199"/>
      <c r="Q198" s="1340"/>
      <c r="R198" s="1340"/>
      <c r="S198" s="1340"/>
      <c r="T198" s="1199"/>
      <c r="U198" s="1199"/>
      <c r="V198" s="1199"/>
      <c r="W198" s="1340"/>
      <c r="X198" s="1340"/>
      <c r="Y198" s="1199"/>
      <c r="Z198" s="1199"/>
      <c r="AA198" s="1340"/>
      <c r="AB198" s="1331"/>
      <c r="AC198" s="1199"/>
      <c r="AD198" s="1200"/>
      <c r="AE198" s="1340"/>
      <c r="AF198" s="1340"/>
      <c r="AG198" s="1199"/>
      <c r="AH198" s="1340"/>
      <c r="AI198" s="1340"/>
      <c r="AJ198" s="1199"/>
      <c r="AK198" s="1348"/>
      <c r="AL198" s="1348"/>
      <c r="AM198" s="1340"/>
      <c r="AN198" s="1199"/>
      <c r="AO198" s="1340"/>
      <c r="AP198" s="1340"/>
      <c r="AQ198" s="1340"/>
      <c r="AR198" s="1199"/>
      <c r="AS198" s="1200"/>
      <c r="AT198" s="1200"/>
      <c r="AU198" s="1200"/>
      <c r="AV198" s="1200"/>
      <c r="AW198" s="1200"/>
      <c r="AX198" s="1348"/>
      <c r="AY198" s="1348"/>
      <c r="AZ198" s="1348"/>
      <c r="BA198" s="1348"/>
      <c r="BB198" s="1348"/>
      <c r="BC198" s="1348"/>
      <c r="BD198" s="1348"/>
      <c r="BE198" s="1340"/>
      <c r="BF198" s="1340"/>
      <c r="BG198" s="1340"/>
      <c r="BH198" s="1340"/>
      <c r="BI198" s="1348"/>
      <c r="BJ198" s="1340"/>
      <c r="BK198" s="1340"/>
      <c r="BL198" s="1331"/>
      <c r="BM198" s="1340"/>
      <c r="BN198" s="1340"/>
      <c r="BO198" s="1200"/>
      <c r="BP198" s="1348"/>
      <c r="BQ198" s="1348"/>
      <c r="BR198" s="1349"/>
      <c r="BS198" s="1422"/>
      <c r="BT198" s="1350"/>
      <c r="BU198" s="1350"/>
      <c r="BV198" s="1349"/>
      <c r="BW198" s="1340"/>
      <c r="BX198" s="1340"/>
      <c r="BY198" s="1340"/>
      <c r="BZ198" s="1340"/>
      <c r="CA198" s="1340"/>
      <c r="CB198" s="1340"/>
      <c r="CC198" s="1340"/>
      <c r="CD198" s="1340"/>
      <c r="CE198" s="1340"/>
      <c r="CF198" s="1340"/>
      <c r="CG198" s="1340"/>
      <c r="CH198" s="1340"/>
      <c r="CI198" s="1340"/>
      <c r="CJ198" s="1340"/>
      <c r="CK198" s="30"/>
      <c r="CL198" s="30"/>
      <c r="CM198" s="30"/>
      <c r="CN198" s="30"/>
      <c r="CO198" s="30"/>
      <c r="CP198" s="30"/>
      <c r="CQ198" s="30"/>
      <c r="CR198" s="30"/>
      <c r="CS198" s="30"/>
      <c r="CT198" s="30"/>
      <c r="CU198" s="30"/>
      <c r="CV198" s="1340"/>
      <c r="CW198" s="1340"/>
      <c r="CX198" s="1340"/>
      <c r="CY198" s="1340"/>
      <c r="CZ198" s="1340"/>
      <c r="DA198" s="1340"/>
      <c r="DB198" s="1340"/>
      <c r="DC198" s="30"/>
      <c r="DD198" s="30"/>
      <c r="DE198" s="30"/>
      <c r="DF198" s="30"/>
      <c r="DG198" s="30"/>
      <c r="DH198" s="30"/>
      <c r="DI198" s="30"/>
      <c r="DJ198" s="1340"/>
      <c r="DK198" s="1340"/>
      <c r="DL198" s="1340"/>
      <c r="DM198" s="1340"/>
      <c r="DN198" s="1340"/>
      <c r="DO198" s="1340"/>
      <c r="DP198" s="1340"/>
      <c r="DQ198" s="1340"/>
      <c r="DR198" s="1340"/>
      <c r="DS198" s="1340"/>
      <c r="DT198" s="1340"/>
      <c r="DU198" s="1340"/>
      <c r="DV198" s="1340"/>
      <c r="DW198" s="1340"/>
      <c r="DX198" s="1340"/>
      <c r="DY198" s="1340"/>
      <c r="DZ198" s="1340"/>
      <c r="EA198" s="1340"/>
      <c r="EB198" s="1340"/>
      <c r="EC198" s="1340"/>
      <c r="ED198" s="1337"/>
      <c r="EE198" s="1340"/>
      <c r="EF198" s="1340"/>
      <c r="EG198" s="1348"/>
      <c r="EH198" s="1348"/>
      <c r="EI198" s="1203"/>
      <c r="EJ198" s="1340"/>
      <c r="EK198" s="1340"/>
      <c r="EL198" s="1340"/>
      <c r="EM198" s="1340"/>
      <c r="EN198" s="1331"/>
      <c r="EO198" s="1340"/>
      <c r="EP198" s="1340"/>
      <c r="EQ198" s="1340"/>
      <c r="ER198" s="1348"/>
      <c r="ES198" s="1340"/>
      <c r="ET198" s="1340"/>
      <c r="EU198" s="1348"/>
      <c r="EV198" s="1340"/>
      <c r="EW198" s="1340"/>
      <c r="EX198" s="1348"/>
      <c r="EY198" s="1340"/>
      <c r="EZ198" s="1340"/>
      <c r="FA198" s="1340"/>
      <c r="FB198" s="1340"/>
      <c r="FC198" s="1340"/>
      <c r="FD198" s="1340"/>
      <c r="FE198" s="1340"/>
      <c r="FF198" s="1340"/>
      <c r="FG198" s="1340"/>
      <c r="FH198" s="30"/>
      <c r="FI198" s="30"/>
      <c r="FJ198" s="30"/>
      <c r="FK198" s="30"/>
      <c r="FL198" s="30"/>
      <c r="FM198" s="30"/>
      <c r="FN198" s="30"/>
      <c r="FO198" s="30"/>
      <c r="FP198" s="30"/>
      <c r="FQ198" s="1340"/>
      <c r="FR198" s="1340"/>
      <c r="FS198" s="1340"/>
      <c r="FT198" s="1340"/>
      <c r="FU198" s="1340"/>
      <c r="FV198" s="1340"/>
      <c r="FW198" s="1340"/>
      <c r="FX198" s="1340"/>
      <c r="FY198" s="1340"/>
      <c r="FZ198" s="30"/>
      <c r="GA198" s="30"/>
      <c r="GB198" s="30"/>
      <c r="GC198" s="30"/>
      <c r="GD198" s="30"/>
      <c r="GE198" s="30"/>
      <c r="GF198" s="30"/>
      <c r="GG198" s="30"/>
      <c r="GH198" s="30"/>
      <c r="GI198" s="281"/>
      <c r="GJ198" s="1052"/>
      <c r="GK198" s="622"/>
      <c r="GL198" s="1052"/>
      <c r="GM198" s="622"/>
      <c r="GN198" s="1052"/>
      <c r="GO198" s="1052"/>
      <c r="GP198" s="1052"/>
      <c r="GQ198" s="1052"/>
      <c r="GR198" s="1052"/>
      <c r="GS198" s="1052"/>
      <c r="GT198" s="1052"/>
      <c r="GU198" s="1052"/>
      <c r="GV198" s="1052"/>
      <c r="GW198" s="1052"/>
      <c r="GX198" s="1052"/>
      <c r="GY198" s="1052"/>
      <c r="GZ198" s="30"/>
      <c r="HA198" s="30"/>
      <c r="HB198" s="30"/>
      <c r="HC198" s="30"/>
      <c r="HD198" s="30"/>
      <c r="HE198" s="30"/>
      <c r="HF198" s="30"/>
      <c r="HG198" s="1340"/>
      <c r="HH198" s="1340"/>
      <c r="HI198" s="1340"/>
      <c r="HJ198" s="1340"/>
      <c r="HK198" s="1340"/>
      <c r="HL198" s="1340"/>
      <c r="HM198" s="1340"/>
      <c r="HN198" s="1340"/>
      <c r="HO198" s="1340"/>
      <c r="HP198" s="1052"/>
      <c r="HQ198" s="1052"/>
      <c r="HR198" s="1052"/>
      <c r="HS198" s="1052"/>
      <c r="HT198" s="1052"/>
      <c r="HU198" s="1052"/>
      <c r="HV198" s="1052"/>
      <c r="HW198" s="1052"/>
      <c r="HX198" s="1052"/>
      <c r="HY198" s="1052"/>
      <c r="HZ198" s="51"/>
      <c r="IA198" s="59"/>
      <c r="IB198" s="59"/>
      <c r="IC198" s="284"/>
      <c r="ID198" s="815"/>
      <c r="IE198" s="284"/>
      <c r="IF198" s="284"/>
      <c r="IG198" s="284"/>
      <c r="IH198" s="284"/>
      <c r="II198" s="1288"/>
      <c r="IJ198" s="1288"/>
      <c r="IK198" s="284"/>
      <c r="IL198" s="284"/>
      <c r="IM198" s="284"/>
      <c r="IN198" s="284"/>
      <c r="IO198" s="753"/>
      <c r="IP198" s="113"/>
      <c r="IQ198" s="30"/>
      <c r="IR198" s="438"/>
      <c r="IS198" s="438"/>
      <c r="IT198" s="438"/>
      <c r="IU198" s="438"/>
      <c r="IV198" s="438"/>
      <c r="IW198" s="438"/>
      <c r="IX198" s="285"/>
      <c r="IY198" s="285"/>
      <c r="IZ198" s="285"/>
      <c r="JA198" s="285"/>
      <c r="JB198" s="285"/>
      <c r="JC198" s="285"/>
      <c r="JD198" s="60"/>
      <c r="JE198" s="60"/>
      <c r="JF198" s="60"/>
      <c r="JG198" s="60"/>
      <c r="JH198" s="284"/>
      <c r="JI198" s="284"/>
      <c r="JJ198" s="560"/>
      <c r="JK198" s="561"/>
      <c r="JL198" s="561"/>
      <c r="JM198" s="561"/>
      <c r="JN198" s="561"/>
      <c r="JO198" s="561"/>
      <c r="JP198" s="561"/>
      <c r="JQ198" s="561"/>
      <c r="JR198" s="61"/>
      <c r="JS198" s="61"/>
      <c r="JT198" s="61"/>
      <c r="JU198" s="61"/>
      <c r="JV198" s="61"/>
      <c r="JW198" s="61"/>
      <c r="JX198" s="61"/>
      <c r="JY198" s="394"/>
      <c r="JZ198" s="61"/>
      <c r="KA198" s="61"/>
      <c r="KB198" s="61"/>
      <c r="KC198" s="61"/>
      <c r="KD198" s="61"/>
      <c r="KE198" s="61"/>
      <c r="KF198" s="61"/>
      <c r="KG198" s="61"/>
      <c r="KH198" s="61"/>
      <c r="KI198" s="394"/>
      <c r="KJ198" s="438"/>
      <c r="KK198" s="438"/>
      <c r="KL198" s="438"/>
      <c r="KM198" s="438"/>
      <c r="KN198" s="438"/>
      <c r="KO198" s="438"/>
      <c r="KP198" s="438"/>
      <c r="KQ198" s="438"/>
      <c r="KR198" s="438"/>
      <c r="KS198" s="438"/>
      <c r="KT198" s="438"/>
      <c r="KU198" s="438"/>
      <c r="KV198" s="420"/>
      <c r="KW198" s="420"/>
      <c r="KX198" s="108"/>
      <c r="KY198" s="282"/>
      <c r="KZ198" s="282"/>
      <c r="LA198" s="282"/>
      <c r="LB198" s="282"/>
      <c r="LC198" s="286"/>
      <c r="LD198" s="286"/>
      <c r="LE198" s="282"/>
      <c r="LF198" s="282"/>
      <c r="LG198" s="282"/>
      <c r="LH198" s="282"/>
      <c r="LI198" s="282"/>
      <c r="LJ198" s="282"/>
      <c r="LK198" s="282"/>
      <c r="LL198" s="282"/>
      <c r="LM198" s="282"/>
      <c r="LN198" s="282"/>
      <c r="LO198" s="282"/>
      <c r="LP198" s="286"/>
      <c r="LQ198" s="282"/>
      <c r="LR198" s="282"/>
      <c r="LS198" s="282"/>
      <c r="LT198" s="286"/>
      <c r="LU198" s="286"/>
      <c r="LV198" s="286"/>
      <c r="LW198" s="286"/>
      <c r="LX198" s="286"/>
      <c r="LY198" s="286"/>
      <c r="LZ198" s="286"/>
      <c r="MA198" s="286"/>
      <c r="MB198" s="286"/>
      <c r="MC198" s="286"/>
      <c r="MD198" s="286"/>
      <c r="ME198" s="286"/>
      <c r="MF198" s="286"/>
      <c r="MG198" s="286"/>
      <c r="MH198" s="286"/>
      <c r="MI198" s="286"/>
      <c r="MJ198" s="286"/>
      <c r="MK198" s="286"/>
      <c r="ML198" s="282"/>
      <c r="MM198" s="1232"/>
      <c r="MN198" s="1232"/>
      <c r="MO198" s="1232"/>
      <c r="MP198" s="1232"/>
      <c r="MQ198" s="282"/>
      <c r="MR198" s="282"/>
      <c r="MS198" s="282"/>
      <c r="MT198" s="282"/>
      <c r="MU198" s="282"/>
      <c r="MV198" s="282"/>
      <c r="MW198" s="282"/>
      <c r="MX198" s="282"/>
      <c r="MY198" s="282"/>
      <c r="MZ198" s="282"/>
      <c r="NA198" s="282"/>
      <c r="NB198" s="282"/>
      <c r="NC198" s="282"/>
      <c r="ND198" s="282"/>
      <c r="NE198" s="282"/>
      <c r="NF198" s="282"/>
      <c r="NG198" s="282"/>
      <c r="NH198" s="282"/>
      <c r="NI198" s="282"/>
      <c r="NJ198" s="282"/>
      <c r="NK198" s="282"/>
      <c r="NL198" s="282"/>
      <c r="NM198" s="1205"/>
      <c r="NN198" s="282"/>
      <c r="NO198" s="282"/>
      <c r="NP198" s="282"/>
      <c r="NQ198" s="282"/>
      <c r="NR198" s="282"/>
      <c r="NS198" s="282"/>
      <c r="NT198" s="282"/>
      <c r="NU198" s="282"/>
      <c r="NV198" s="286"/>
      <c r="NW198" s="286"/>
      <c r="NX198" s="286"/>
      <c r="NY198" s="286"/>
      <c r="NZ198" s="286"/>
      <c r="OA198" s="286"/>
      <c r="OB198" s="286"/>
      <c r="OC198" s="286"/>
      <c r="OD198" s="286"/>
      <c r="OE198" s="282"/>
      <c r="OF198" s="282"/>
      <c r="OG198" s="286"/>
      <c r="OH198" s="286"/>
      <c r="OI198" s="286"/>
      <c r="OJ198" s="286"/>
      <c r="OK198" s="286"/>
      <c r="OL198" s="286"/>
      <c r="OM198" s="286"/>
      <c r="ON198" s="286"/>
      <c r="OO198" s="286"/>
      <c r="OP198" s="434"/>
      <c r="OQ198" s="434"/>
      <c r="OR198" s="282"/>
      <c r="OS198" s="282"/>
      <c r="OT198" s="282"/>
      <c r="OU198" s="282"/>
      <c r="OV198" s="282"/>
      <c r="OW198" s="286"/>
      <c r="OX198" s="286"/>
      <c r="OY198" s="286"/>
      <c r="OZ198" s="286"/>
      <c r="PA198" s="286"/>
      <c r="PB198" s="286"/>
      <c r="PC198" s="286"/>
      <c r="PD198" s="282"/>
      <c r="PE198" s="282"/>
      <c r="PF198" s="286"/>
      <c r="PG198" s="286"/>
      <c r="PH198" s="286"/>
      <c r="PI198" s="286"/>
      <c r="PJ198" s="286"/>
      <c r="PK198" s="286"/>
      <c r="PL198" s="286"/>
      <c r="PM198" s="562"/>
    </row>
    <row r="199" spans="1:429" s="289" customFormat="1" ht="15.75" customHeight="1">
      <c r="A199" s="1040"/>
      <c r="B199" s="1040"/>
      <c r="C199" s="1340"/>
      <c r="D199" s="279"/>
      <c r="E199" s="671"/>
      <c r="F199" s="1340"/>
      <c r="G199" s="1340"/>
      <c r="H199" s="1340"/>
      <c r="I199" s="1340"/>
      <c r="J199" s="1340"/>
      <c r="K199" s="1348"/>
      <c r="L199" s="1199"/>
      <c r="M199" s="1199"/>
      <c r="N199" s="1199"/>
      <c r="O199" s="1199"/>
      <c r="P199" s="1199"/>
      <c r="Q199" s="1340"/>
      <c r="R199" s="1340"/>
      <c r="S199" s="1340"/>
      <c r="T199" s="1199"/>
      <c r="U199" s="1199"/>
      <c r="V199" s="1199"/>
      <c r="W199" s="1340"/>
      <c r="X199" s="1340"/>
      <c r="Y199" s="1199"/>
      <c r="Z199" s="1199"/>
      <c r="AA199" s="1340"/>
      <c r="AB199" s="1331"/>
      <c r="AC199" s="1199"/>
      <c r="AD199" s="1200"/>
      <c r="AE199" s="1340"/>
      <c r="AF199" s="1340"/>
      <c r="AG199" s="1199"/>
      <c r="AH199" s="1340"/>
      <c r="AI199" s="1340"/>
      <c r="AJ199" s="1199"/>
      <c r="AK199" s="1348"/>
      <c r="AL199" s="1348"/>
      <c r="AM199" s="1340"/>
      <c r="AN199" s="1199"/>
      <c r="AO199" s="1340"/>
      <c r="AP199" s="1340"/>
      <c r="AQ199" s="1340"/>
      <c r="AR199" s="1199"/>
      <c r="AS199" s="1200"/>
      <c r="AT199" s="1200"/>
      <c r="AU199" s="1200"/>
      <c r="AV199" s="1200"/>
      <c r="AW199" s="1200"/>
      <c r="AX199" s="1348"/>
      <c r="AY199" s="1348"/>
      <c r="AZ199" s="1348"/>
      <c r="BA199" s="1348"/>
      <c r="BB199" s="1348"/>
      <c r="BC199" s="1348"/>
      <c r="BD199" s="1348"/>
      <c r="BE199" s="1340"/>
      <c r="BF199" s="1340"/>
      <c r="BG199" s="1340"/>
      <c r="BH199" s="1340"/>
      <c r="BI199" s="1348"/>
      <c r="BJ199" s="1340"/>
      <c r="BK199" s="1340"/>
      <c r="BL199" s="1331"/>
      <c r="BM199" s="1340"/>
      <c r="BN199" s="1340"/>
      <c r="BO199" s="1200"/>
      <c r="BP199" s="1348"/>
      <c r="BQ199" s="1348"/>
      <c r="BR199" s="1349"/>
      <c r="BS199" s="1422"/>
      <c r="BT199" s="1350"/>
      <c r="BU199" s="1350"/>
      <c r="BV199" s="1349"/>
      <c r="BW199" s="1340"/>
      <c r="BX199" s="1340"/>
      <c r="BY199" s="1340"/>
      <c r="BZ199" s="1340"/>
      <c r="CA199" s="1340"/>
      <c r="CB199" s="1340"/>
      <c r="CC199" s="1340"/>
      <c r="CD199" s="1340"/>
      <c r="CE199" s="1340"/>
      <c r="CF199" s="1340"/>
      <c r="CG199" s="1340"/>
      <c r="CH199" s="1340"/>
      <c r="CI199" s="1340"/>
      <c r="CJ199" s="1340"/>
      <c r="CK199" s="30"/>
      <c r="CL199" s="30"/>
      <c r="CM199" s="30"/>
      <c r="CN199" s="30"/>
      <c r="CO199" s="30"/>
      <c r="CP199" s="30"/>
      <c r="CQ199" s="30"/>
      <c r="CR199" s="30"/>
      <c r="CS199" s="30"/>
      <c r="CT199" s="30"/>
      <c r="CU199" s="30"/>
      <c r="CV199" s="1340"/>
      <c r="CW199" s="1340"/>
      <c r="CX199" s="1340"/>
      <c r="CY199" s="1340"/>
      <c r="CZ199" s="1340"/>
      <c r="DA199" s="1340"/>
      <c r="DB199" s="1340"/>
      <c r="DC199" s="30"/>
      <c r="DD199" s="30"/>
      <c r="DE199" s="30"/>
      <c r="DF199" s="30"/>
      <c r="DG199" s="30"/>
      <c r="DH199" s="30"/>
      <c r="DI199" s="30"/>
      <c r="DJ199" s="1340"/>
      <c r="DK199" s="1340"/>
      <c r="DL199" s="1340"/>
      <c r="DM199" s="1340"/>
      <c r="DN199" s="1340"/>
      <c r="DO199" s="1340"/>
      <c r="DP199" s="1340"/>
      <c r="DQ199" s="1340"/>
      <c r="DR199" s="1340"/>
      <c r="DS199" s="1340"/>
      <c r="DT199" s="1340"/>
      <c r="DU199" s="1340"/>
      <c r="DV199" s="1340"/>
      <c r="DW199" s="1340"/>
      <c r="DX199" s="1340"/>
      <c r="DY199" s="1340"/>
      <c r="DZ199" s="1340"/>
      <c r="EA199" s="1340"/>
      <c r="EB199" s="1340"/>
      <c r="EC199" s="1340"/>
      <c r="ED199" s="1337"/>
      <c r="EE199" s="1340"/>
      <c r="EF199" s="1340"/>
      <c r="EG199" s="1348"/>
      <c r="EH199" s="1348"/>
      <c r="EI199" s="1203"/>
      <c r="EJ199" s="1340"/>
      <c r="EK199" s="1340"/>
      <c r="EL199" s="1340"/>
      <c r="EM199" s="1340"/>
      <c r="EN199" s="1331"/>
      <c r="EO199" s="1340"/>
      <c r="EP199" s="1340"/>
      <c r="EQ199" s="1340"/>
      <c r="ER199" s="1348"/>
      <c r="ES199" s="1340"/>
      <c r="ET199" s="1340"/>
      <c r="EU199" s="1348"/>
      <c r="EV199" s="1340"/>
      <c r="EW199" s="1340"/>
      <c r="EX199" s="1348"/>
      <c r="EY199" s="1340"/>
      <c r="EZ199" s="1340"/>
      <c r="FA199" s="1340"/>
      <c r="FB199" s="1340"/>
      <c r="FC199" s="1340"/>
      <c r="FD199" s="1340"/>
      <c r="FE199" s="1340"/>
      <c r="FF199" s="1340"/>
      <c r="FG199" s="1340"/>
      <c r="FH199" s="30"/>
      <c r="FI199" s="30"/>
      <c r="FJ199" s="30"/>
      <c r="FK199" s="30"/>
      <c r="FL199" s="30"/>
      <c r="FM199" s="30"/>
      <c r="FN199" s="30"/>
      <c r="FO199" s="30"/>
      <c r="FP199" s="30"/>
      <c r="FQ199" s="1340"/>
      <c r="FR199" s="1340"/>
      <c r="FS199" s="1340"/>
      <c r="FT199" s="1340"/>
      <c r="FU199" s="1340"/>
      <c r="FV199" s="1340"/>
      <c r="FW199" s="1340"/>
      <c r="FX199" s="1340"/>
      <c r="FY199" s="1340"/>
      <c r="FZ199" s="30"/>
      <c r="GA199" s="30"/>
      <c r="GB199" s="30"/>
      <c r="GC199" s="30"/>
      <c r="GD199" s="30"/>
      <c r="GE199" s="30"/>
      <c r="GF199" s="30"/>
      <c r="GG199" s="30"/>
      <c r="GH199" s="30"/>
      <c r="GI199" s="281"/>
      <c r="GJ199" s="1052"/>
      <c r="GK199" s="622"/>
      <c r="GL199" s="1052"/>
      <c r="GM199" s="622"/>
      <c r="GN199" s="1052"/>
      <c r="GO199" s="1052"/>
      <c r="GP199" s="1052"/>
      <c r="GQ199" s="1052"/>
      <c r="GR199" s="1052"/>
      <c r="GS199" s="1052"/>
      <c r="GT199" s="1052"/>
      <c r="GU199" s="1052"/>
      <c r="GV199" s="1052"/>
      <c r="GW199" s="1052"/>
      <c r="GX199" s="1052"/>
      <c r="GY199" s="1052"/>
      <c r="GZ199" s="30"/>
      <c r="HA199" s="30"/>
      <c r="HB199" s="30"/>
      <c r="HC199" s="30"/>
      <c r="HD199" s="30"/>
      <c r="HE199" s="30"/>
      <c r="HF199" s="30"/>
      <c r="HG199" s="1340"/>
      <c r="HH199" s="1340"/>
      <c r="HI199" s="1340"/>
      <c r="HJ199" s="1340"/>
      <c r="HK199" s="1340"/>
      <c r="HL199" s="1340"/>
      <c r="HM199" s="1340"/>
      <c r="HN199" s="1340"/>
      <c r="HO199" s="1340"/>
      <c r="HP199" s="1052"/>
      <c r="HQ199" s="1052"/>
      <c r="HR199" s="1052"/>
      <c r="HS199" s="1052"/>
      <c r="HT199" s="1052"/>
      <c r="HU199" s="1052"/>
      <c r="HV199" s="1052"/>
      <c r="HW199" s="1052"/>
      <c r="HX199" s="1052"/>
      <c r="HY199" s="1052"/>
      <c r="HZ199" s="51"/>
      <c r="IA199" s="59"/>
      <c r="IB199" s="59"/>
      <c r="IC199" s="284"/>
      <c r="ID199" s="815"/>
      <c r="IE199" s="284"/>
      <c r="IF199" s="284"/>
      <c r="IG199" s="284"/>
      <c r="IH199" s="284"/>
      <c r="II199" s="1288"/>
      <c r="IJ199" s="1288"/>
      <c r="IK199" s="284"/>
      <c r="IL199" s="284"/>
      <c r="IM199" s="284"/>
      <c r="IN199" s="284"/>
      <c r="IO199" s="753"/>
      <c r="IP199" s="113"/>
      <c r="IQ199" s="30"/>
      <c r="IR199" s="438"/>
      <c r="IS199" s="438"/>
      <c r="IT199" s="438"/>
      <c r="IU199" s="438"/>
      <c r="IV199" s="438"/>
      <c r="IW199" s="438"/>
      <c r="IX199" s="285"/>
      <c r="IY199" s="285"/>
      <c r="IZ199" s="285"/>
      <c r="JA199" s="285"/>
      <c r="JB199" s="285"/>
      <c r="JC199" s="285"/>
      <c r="JD199" s="60"/>
      <c r="JE199" s="60"/>
      <c r="JF199" s="60"/>
      <c r="JG199" s="60"/>
      <c r="JH199" s="284"/>
      <c r="JI199" s="284"/>
      <c r="JJ199" s="560"/>
      <c r="JK199" s="561"/>
      <c r="JL199" s="561"/>
      <c r="JM199" s="561"/>
      <c r="JN199" s="561"/>
      <c r="JO199" s="561"/>
      <c r="JP199" s="561"/>
      <c r="JQ199" s="561"/>
      <c r="JR199" s="61"/>
      <c r="JS199" s="61"/>
      <c r="JT199" s="61"/>
      <c r="JU199" s="61"/>
      <c r="JV199" s="61"/>
      <c r="JW199" s="61"/>
      <c r="JX199" s="61"/>
      <c r="JY199" s="394"/>
      <c r="JZ199" s="61"/>
      <c r="KA199" s="61"/>
      <c r="KB199" s="61"/>
      <c r="KC199" s="61"/>
      <c r="KD199" s="61"/>
      <c r="KE199" s="61"/>
      <c r="KF199" s="61"/>
      <c r="KG199" s="61"/>
      <c r="KH199" s="61"/>
      <c r="KI199" s="394"/>
      <c r="KJ199" s="438"/>
      <c r="KK199" s="438"/>
      <c r="KL199" s="438"/>
      <c r="KM199" s="438"/>
      <c r="KN199" s="438"/>
      <c r="KO199" s="438"/>
      <c r="KP199" s="438"/>
      <c r="KQ199" s="438"/>
      <c r="KR199" s="438"/>
      <c r="KS199" s="438"/>
      <c r="KT199" s="438"/>
      <c r="KU199" s="438"/>
      <c r="KV199" s="420"/>
      <c r="KW199" s="420"/>
      <c r="KX199" s="108"/>
      <c r="KY199" s="282"/>
      <c r="KZ199" s="282"/>
      <c r="LA199" s="282"/>
      <c r="LB199" s="282"/>
      <c r="LC199" s="286"/>
      <c r="LD199" s="286"/>
      <c r="LE199" s="282"/>
      <c r="LF199" s="282"/>
      <c r="LG199" s="282"/>
      <c r="LH199" s="282"/>
      <c r="LI199" s="282"/>
      <c r="LJ199" s="282"/>
      <c r="LK199" s="282"/>
      <c r="LL199" s="282"/>
      <c r="LM199" s="282"/>
      <c r="LN199" s="282"/>
      <c r="LO199" s="282"/>
      <c r="LP199" s="286"/>
      <c r="LQ199" s="282"/>
      <c r="LR199" s="282"/>
      <c r="LS199" s="282"/>
      <c r="LT199" s="286"/>
      <c r="LU199" s="286"/>
      <c r="LV199" s="286"/>
      <c r="LW199" s="286"/>
      <c r="LX199" s="286"/>
      <c r="LY199" s="286"/>
      <c r="LZ199" s="286"/>
      <c r="MA199" s="286"/>
      <c r="MB199" s="286"/>
      <c r="MC199" s="286"/>
      <c r="MD199" s="286"/>
      <c r="ME199" s="286"/>
      <c r="MF199" s="286"/>
      <c r="MG199" s="286"/>
      <c r="MH199" s="286"/>
      <c r="MI199" s="286"/>
      <c r="MJ199" s="286"/>
      <c r="MK199" s="286"/>
      <c r="ML199" s="282"/>
      <c r="MM199" s="1232"/>
      <c r="MN199" s="1232"/>
      <c r="MO199" s="1232"/>
      <c r="MP199" s="1232"/>
      <c r="MQ199" s="282"/>
      <c r="MR199" s="282"/>
      <c r="MS199" s="282"/>
      <c r="MT199" s="282"/>
      <c r="MU199" s="282"/>
      <c r="MV199" s="282"/>
      <c r="MW199" s="282"/>
      <c r="MX199" s="282"/>
      <c r="MY199" s="282"/>
      <c r="MZ199" s="282"/>
      <c r="NA199" s="282"/>
      <c r="NB199" s="282"/>
      <c r="NC199" s="282"/>
      <c r="ND199" s="282"/>
      <c r="NE199" s="282"/>
      <c r="NF199" s="282"/>
      <c r="NG199" s="282"/>
      <c r="NH199" s="282"/>
      <c r="NI199" s="282"/>
      <c r="NJ199" s="282"/>
      <c r="NK199" s="282"/>
      <c r="NL199" s="282"/>
      <c r="NM199" s="1205"/>
      <c r="NN199" s="282"/>
      <c r="NO199" s="282"/>
      <c r="NP199" s="282"/>
      <c r="NQ199" s="282"/>
      <c r="NR199" s="282"/>
      <c r="NS199" s="282"/>
      <c r="NT199" s="282"/>
      <c r="NU199" s="282"/>
      <c r="NV199" s="286"/>
      <c r="NW199" s="286"/>
      <c r="NX199" s="286"/>
      <c r="NY199" s="286"/>
      <c r="NZ199" s="286"/>
      <c r="OA199" s="286"/>
      <c r="OB199" s="286"/>
      <c r="OC199" s="286"/>
      <c r="OD199" s="286"/>
      <c r="OE199" s="282"/>
      <c r="OF199" s="282"/>
      <c r="OG199" s="286"/>
      <c r="OH199" s="286"/>
      <c r="OI199" s="286"/>
      <c r="OJ199" s="286"/>
      <c r="OK199" s="286"/>
      <c r="OL199" s="286"/>
      <c r="OM199" s="286"/>
      <c r="ON199" s="286"/>
      <c r="OO199" s="286"/>
      <c r="OP199" s="434"/>
      <c r="OQ199" s="434"/>
      <c r="OR199" s="282"/>
      <c r="OS199" s="282"/>
      <c r="OT199" s="282"/>
      <c r="OU199" s="282"/>
      <c r="OV199" s="282"/>
      <c r="OW199" s="286"/>
      <c r="OX199" s="286"/>
      <c r="OY199" s="286"/>
      <c r="OZ199" s="286"/>
      <c r="PA199" s="286"/>
      <c r="PB199" s="286"/>
      <c r="PC199" s="286"/>
      <c r="PD199" s="282"/>
      <c r="PE199" s="282"/>
      <c r="PF199" s="286"/>
      <c r="PG199" s="286"/>
      <c r="PH199" s="286"/>
      <c r="PI199" s="286"/>
      <c r="PJ199" s="286"/>
      <c r="PK199" s="286"/>
      <c r="PL199" s="286"/>
      <c r="PM199" s="562"/>
    </row>
    <row r="200" spans="1:429" s="289" customFormat="1" ht="15.75" customHeight="1">
      <c r="A200" s="1040"/>
      <c r="B200" s="1040"/>
      <c r="C200" s="1340"/>
      <c r="D200" s="279"/>
      <c r="E200" s="671"/>
      <c r="F200" s="1340"/>
      <c r="G200" s="1340"/>
      <c r="H200" s="1340"/>
      <c r="I200" s="1340"/>
      <c r="J200" s="1340"/>
      <c r="K200" s="1348"/>
      <c r="L200" s="1199"/>
      <c r="M200" s="1199"/>
      <c r="N200" s="1199"/>
      <c r="O200" s="1199"/>
      <c r="P200" s="1199"/>
      <c r="Q200" s="1340"/>
      <c r="R200" s="1340"/>
      <c r="S200" s="1340"/>
      <c r="T200" s="1199"/>
      <c r="U200" s="1199"/>
      <c r="V200" s="1199"/>
      <c r="W200" s="1340"/>
      <c r="X200" s="1340"/>
      <c r="Y200" s="1199"/>
      <c r="Z200" s="1199"/>
      <c r="AA200" s="1340"/>
      <c r="AB200" s="1331"/>
      <c r="AC200" s="1199"/>
      <c r="AD200" s="1200"/>
      <c r="AE200" s="1340"/>
      <c r="AF200" s="1340"/>
      <c r="AG200" s="1199"/>
      <c r="AH200" s="1340"/>
      <c r="AI200" s="1340"/>
      <c r="AJ200" s="1199"/>
      <c r="AK200" s="1348"/>
      <c r="AL200" s="1348"/>
      <c r="AM200" s="1340"/>
      <c r="AN200" s="1199"/>
      <c r="AO200" s="1340"/>
      <c r="AP200" s="1340"/>
      <c r="AQ200" s="1340"/>
      <c r="AR200" s="1199"/>
      <c r="AS200" s="1200"/>
      <c r="AT200" s="1200"/>
      <c r="AU200" s="1200"/>
      <c r="AV200" s="1200"/>
      <c r="AW200" s="1200"/>
      <c r="AX200" s="1348"/>
      <c r="AY200" s="1348"/>
      <c r="AZ200" s="1348"/>
      <c r="BA200" s="1348"/>
      <c r="BB200" s="1348"/>
      <c r="BC200" s="1348"/>
      <c r="BD200" s="1348"/>
      <c r="BE200" s="1340"/>
      <c r="BF200" s="1340"/>
      <c r="BG200" s="1340"/>
      <c r="BH200" s="1340"/>
      <c r="BI200" s="1348"/>
      <c r="BJ200" s="1340"/>
      <c r="BK200" s="1340"/>
      <c r="BL200" s="1331"/>
      <c r="BM200" s="1340"/>
      <c r="BN200" s="1340"/>
      <c r="BO200" s="1200"/>
      <c r="BP200" s="1348"/>
      <c r="BQ200" s="1348"/>
      <c r="BR200" s="1349"/>
      <c r="BS200" s="1422"/>
      <c r="BT200" s="1350"/>
      <c r="BU200" s="1350"/>
      <c r="BV200" s="1349"/>
      <c r="BW200" s="1340"/>
      <c r="BX200" s="1340"/>
      <c r="BY200" s="1340"/>
      <c r="BZ200" s="1340"/>
      <c r="CA200" s="1340"/>
      <c r="CB200" s="1340"/>
      <c r="CC200" s="1340"/>
      <c r="CD200" s="1340"/>
      <c r="CE200" s="1340"/>
      <c r="CF200" s="1340"/>
      <c r="CG200" s="1340"/>
      <c r="CH200" s="1340"/>
      <c r="CI200" s="1340"/>
      <c r="CJ200" s="1340"/>
      <c r="CK200" s="30"/>
      <c r="CL200" s="30"/>
      <c r="CM200" s="30"/>
      <c r="CN200" s="30"/>
      <c r="CO200" s="30"/>
      <c r="CP200" s="30"/>
      <c r="CQ200" s="30"/>
      <c r="CR200" s="30"/>
      <c r="CS200" s="30"/>
      <c r="CT200" s="30"/>
      <c r="CU200" s="30"/>
      <c r="CV200" s="1340"/>
      <c r="CW200" s="1340"/>
      <c r="CX200" s="1340"/>
      <c r="CY200" s="1340"/>
      <c r="CZ200" s="1340"/>
      <c r="DA200" s="1340"/>
      <c r="DB200" s="1340"/>
      <c r="DC200" s="30"/>
      <c r="DD200" s="30"/>
      <c r="DE200" s="30"/>
      <c r="DF200" s="30"/>
      <c r="DG200" s="30"/>
      <c r="DH200" s="30"/>
      <c r="DI200" s="30"/>
      <c r="DJ200" s="1340"/>
      <c r="DK200" s="1340"/>
      <c r="DL200" s="1340"/>
      <c r="DM200" s="1340"/>
      <c r="DN200" s="1340"/>
      <c r="DO200" s="1340"/>
      <c r="DP200" s="1340"/>
      <c r="DQ200" s="1340"/>
      <c r="DR200" s="1340"/>
      <c r="DS200" s="1340"/>
      <c r="DT200" s="1340"/>
      <c r="DU200" s="1340"/>
      <c r="DV200" s="1340"/>
      <c r="DW200" s="1340"/>
      <c r="DX200" s="1340"/>
      <c r="DY200" s="1340"/>
      <c r="DZ200" s="1340"/>
      <c r="EA200" s="1340"/>
      <c r="EB200" s="1340"/>
      <c r="EC200" s="1340"/>
      <c r="ED200" s="1337"/>
      <c r="EE200" s="1340"/>
      <c r="EF200" s="1340"/>
      <c r="EG200" s="1348"/>
      <c r="EH200" s="1348"/>
      <c r="EI200" s="1203"/>
      <c r="EJ200" s="1340"/>
      <c r="EK200" s="1340"/>
      <c r="EL200" s="1340"/>
      <c r="EM200" s="1340"/>
      <c r="EN200" s="1331"/>
      <c r="EO200" s="1340"/>
      <c r="EP200" s="1340"/>
      <c r="EQ200" s="1340"/>
      <c r="ER200" s="1348"/>
      <c r="ES200" s="1340"/>
      <c r="ET200" s="1340"/>
      <c r="EU200" s="1348"/>
      <c r="EV200" s="1340"/>
      <c r="EW200" s="1340"/>
      <c r="EX200" s="1348"/>
      <c r="EY200" s="1340"/>
      <c r="EZ200" s="1340"/>
      <c r="FA200" s="1340"/>
      <c r="FB200" s="1340"/>
      <c r="FC200" s="1340"/>
      <c r="FD200" s="1340"/>
      <c r="FE200" s="1340"/>
      <c r="FF200" s="1340"/>
      <c r="FG200" s="1340"/>
      <c r="FH200" s="30"/>
      <c r="FI200" s="30"/>
      <c r="FJ200" s="30"/>
      <c r="FK200" s="30"/>
      <c r="FL200" s="30"/>
      <c r="FM200" s="30"/>
      <c r="FN200" s="30"/>
      <c r="FO200" s="30"/>
      <c r="FP200" s="30"/>
      <c r="FQ200" s="1340"/>
      <c r="FR200" s="1340"/>
      <c r="FS200" s="1340"/>
      <c r="FT200" s="1340"/>
      <c r="FU200" s="1340"/>
      <c r="FV200" s="1340"/>
      <c r="FW200" s="1340"/>
      <c r="FX200" s="1340"/>
      <c r="FY200" s="1340"/>
      <c r="FZ200" s="30"/>
      <c r="GA200" s="30"/>
      <c r="GB200" s="30"/>
      <c r="GC200" s="30"/>
      <c r="GD200" s="30"/>
      <c r="GE200" s="30"/>
      <c r="GF200" s="30"/>
      <c r="GG200" s="30"/>
      <c r="GH200" s="30"/>
      <c r="GI200" s="281"/>
      <c r="GJ200" s="1052"/>
      <c r="GK200" s="622"/>
      <c r="GL200" s="1052"/>
      <c r="GM200" s="622"/>
      <c r="GN200" s="1052"/>
      <c r="GO200" s="1052"/>
      <c r="GP200" s="1052"/>
      <c r="GQ200" s="1052"/>
      <c r="GR200" s="1052"/>
      <c r="GS200" s="1052"/>
      <c r="GT200" s="1052"/>
      <c r="GU200" s="1052"/>
      <c r="GV200" s="1052"/>
      <c r="GW200" s="1052"/>
      <c r="GX200" s="1052"/>
      <c r="GY200" s="1052"/>
      <c r="GZ200" s="30"/>
      <c r="HA200" s="30"/>
      <c r="HB200" s="30"/>
      <c r="HC200" s="30"/>
      <c r="HD200" s="30"/>
      <c r="HE200" s="30"/>
      <c r="HF200" s="30"/>
      <c r="HG200" s="1340"/>
      <c r="HH200" s="1340"/>
      <c r="HI200" s="1340"/>
      <c r="HJ200" s="1340"/>
      <c r="HK200" s="1340"/>
      <c r="HL200" s="1340"/>
      <c r="HM200" s="1340"/>
      <c r="HN200" s="1340"/>
      <c r="HO200" s="1340"/>
      <c r="HP200" s="1052"/>
      <c r="HQ200" s="1052"/>
      <c r="HR200" s="1052"/>
      <c r="HS200" s="1052"/>
      <c r="HT200" s="1052"/>
      <c r="HU200" s="1052"/>
      <c r="HV200" s="1052"/>
      <c r="HW200" s="1052"/>
      <c r="HX200" s="1052"/>
      <c r="HY200" s="1052"/>
      <c r="HZ200" s="51"/>
      <c r="IA200" s="59"/>
      <c r="IB200" s="59"/>
      <c r="IC200" s="284"/>
      <c r="ID200" s="815"/>
      <c r="IE200" s="284"/>
      <c r="IF200" s="284"/>
      <c r="IG200" s="284"/>
      <c r="IH200" s="284"/>
      <c r="II200" s="1288"/>
      <c r="IJ200" s="1288"/>
      <c r="IK200" s="284"/>
      <c r="IL200" s="284"/>
      <c r="IM200" s="284"/>
      <c r="IN200" s="284"/>
      <c r="IO200" s="753"/>
      <c r="IP200" s="113"/>
      <c r="IQ200" s="30"/>
      <c r="IR200" s="438"/>
      <c r="IS200" s="438"/>
      <c r="IT200" s="438"/>
      <c r="IU200" s="438"/>
      <c r="IV200" s="438"/>
      <c r="IW200" s="438"/>
      <c r="IX200" s="285"/>
      <c r="IY200" s="285"/>
      <c r="IZ200" s="285"/>
      <c r="JA200" s="285"/>
      <c r="JB200" s="285"/>
      <c r="JC200" s="285"/>
      <c r="JD200" s="60"/>
      <c r="JE200" s="60"/>
      <c r="JF200" s="60"/>
      <c r="JG200" s="60"/>
      <c r="JH200" s="284"/>
      <c r="JI200" s="284"/>
      <c r="JJ200" s="560"/>
      <c r="JK200" s="561"/>
      <c r="JL200" s="561"/>
      <c r="JM200" s="561"/>
      <c r="JN200" s="561"/>
      <c r="JO200" s="561"/>
      <c r="JP200" s="561"/>
      <c r="JQ200" s="561"/>
      <c r="JR200" s="61"/>
      <c r="JS200" s="61"/>
      <c r="JT200" s="61"/>
      <c r="JU200" s="61"/>
      <c r="JV200" s="61"/>
      <c r="JW200" s="61"/>
      <c r="JX200" s="61"/>
      <c r="JY200" s="394"/>
      <c r="JZ200" s="61"/>
      <c r="KA200" s="61"/>
      <c r="KB200" s="61"/>
      <c r="KC200" s="61"/>
      <c r="KD200" s="61"/>
      <c r="KE200" s="61"/>
      <c r="KF200" s="61"/>
      <c r="KG200" s="61"/>
      <c r="KH200" s="61"/>
      <c r="KI200" s="394"/>
      <c r="KJ200" s="438"/>
      <c r="KK200" s="438"/>
      <c r="KL200" s="438"/>
      <c r="KM200" s="438"/>
      <c r="KN200" s="438"/>
      <c r="KO200" s="438"/>
      <c r="KP200" s="438"/>
      <c r="KQ200" s="438"/>
      <c r="KR200" s="438"/>
      <c r="KS200" s="438"/>
      <c r="KT200" s="438"/>
      <c r="KU200" s="438"/>
      <c r="KV200" s="420"/>
      <c r="KW200" s="420"/>
      <c r="KX200" s="108"/>
      <c r="KY200" s="282"/>
      <c r="KZ200" s="282"/>
      <c r="LA200" s="282"/>
      <c r="LB200" s="282"/>
      <c r="LC200" s="286"/>
      <c r="LD200" s="286"/>
      <c r="LE200" s="282"/>
      <c r="LF200" s="282"/>
      <c r="LG200" s="282"/>
      <c r="LH200" s="282"/>
      <c r="LI200" s="282"/>
      <c r="LJ200" s="282"/>
      <c r="LK200" s="282"/>
      <c r="LL200" s="282"/>
      <c r="LM200" s="282"/>
      <c r="LN200" s="282"/>
      <c r="LO200" s="282"/>
      <c r="LP200" s="286"/>
      <c r="LQ200" s="282"/>
      <c r="LR200" s="282"/>
      <c r="LS200" s="282"/>
      <c r="LT200" s="286"/>
      <c r="LU200" s="286"/>
      <c r="LV200" s="286"/>
      <c r="LW200" s="286"/>
      <c r="LX200" s="286"/>
      <c r="LY200" s="286"/>
      <c r="LZ200" s="286"/>
      <c r="MA200" s="286"/>
      <c r="MB200" s="286"/>
      <c r="MC200" s="286"/>
      <c r="MD200" s="286"/>
      <c r="ME200" s="286"/>
      <c r="MF200" s="286"/>
      <c r="MG200" s="286"/>
      <c r="MH200" s="286"/>
      <c r="MI200" s="286"/>
      <c r="MJ200" s="286"/>
      <c r="MK200" s="286"/>
      <c r="ML200" s="282"/>
      <c r="MM200" s="1232"/>
      <c r="MN200" s="1232"/>
      <c r="MO200" s="1232"/>
      <c r="MP200" s="1232"/>
      <c r="MQ200" s="282"/>
      <c r="MR200" s="282"/>
      <c r="MS200" s="282"/>
      <c r="MT200" s="282"/>
      <c r="MU200" s="282"/>
      <c r="MV200" s="282"/>
      <c r="MW200" s="282"/>
      <c r="MX200" s="282"/>
      <c r="MY200" s="282"/>
      <c r="MZ200" s="282"/>
      <c r="NA200" s="282"/>
      <c r="NB200" s="282"/>
      <c r="NC200" s="282"/>
      <c r="ND200" s="282"/>
      <c r="NE200" s="282"/>
      <c r="NF200" s="282"/>
      <c r="NG200" s="282"/>
      <c r="NH200" s="282"/>
      <c r="NI200" s="282"/>
      <c r="NJ200" s="282"/>
      <c r="NK200" s="282"/>
      <c r="NL200" s="282"/>
      <c r="NM200" s="1205"/>
      <c r="NN200" s="282"/>
      <c r="NO200" s="282"/>
      <c r="NP200" s="282"/>
      <c r="NQ200" s="282"/>
      <c r="NR200" s="282"/>
      <c r="NS200" s="282"/>
      <c r="NT200" s="282"/>
      <c r="NU200" s="282"/>
      <c r="NV200" s="286"/>
      <c r="NW200" s="286"/>
      <c r="NX200" s="286"/>
      <c r="NY200" s="286"/>
      <c r="NZ200" s="286"/>
      <c r="OA200" s="286"/>
      <c r="OB200" s="286"/>
      <c r="OC200" s="286"/>
      <c r="OD200" s="286"/>
      <c r="OE200" s="282"/>
      <c r="OF200" s="282"/>
      <c r="OG200" s="286"/>
      <c r="OH200" s="286"/>
      <c r="OI200" s="286"/>
      <c r="OJ200" s="286"/>
      <c r="OK200" s="286"/>
      <c r="OL200" s="286"/>
      <c r="OM200" s="286"/>
      <c r="ON200" s="286"/>
      <c r="OO200" s="286"/>
      <c r="OP200" s="434"/>
      <c r="OQ200" s="434"/>
      <c r="OR200" s="282"/>
      <c r="OS200" s="282"/>
      <c r="OT200" s="282"/>
      <c r="OU200" s="282"/>
      <c r="OV200" s="282"/>
      <c r="OW200" s="286"/>
      <c r="OX200" s="286"/>
      <c r="OY200" s="286"/>
      <c r="OZ200" s="286"/>
      <c r="PA200" s="286"/>
      <c r="PB200" s="286"/>
      <c r="PC200" s="286"/>
      <c r="PD200" s="282"/>
      <c r="PE200" s="282"/>
      <c r="PF200" s="286"/>
      <c r="PG200" s="286"/>
      <c r="PH200" s="286"/>
      <c r="PI200" s="286"/>
      <c r="PJ200" s="286"/>
      <c r="PK200" s="286"/>
      <c r="PL200" s="286"/>
      <c r="PM200" s="562"/>
    </row>
    <row r="201" spans="1:429" s="289" customFormat="1" ht="15.75" customHeight="1">
      <c r="A201" s="1040"/>
      <c r="B201" s="1040"/>
      <c r="C201" s="1340"/>
      <c r="D201" s="279"/>
      <c r="E201" s="671"/>
      <c r="F201" s="1340"/>
      <c r="G201" s="1340"/>
      <c r="H201" s="1340"/>
      <c r="I201" s="1340"/>
      <c r="J201" s="1340"/>
      <c r="K201" s="1348"/>
      <c r="L201" s="1199"/>
      <c r="M201" s="1199"/>
      <c r="N201" s="1199"/>
      <c r="O201" s="1199"/>
      <c r="P201" s="1199"/>
      <c r="Q201" s="1340"/>
      <c r="R201" s="1340"/>
      <c r="S201" s="1340"/>
      <c r="T201" s="1199"/>
      <c r="U201" s="1199"/>
      <c r="V201" s="1199"/>
      <c r="W201" s="1340"/>
      <c r="X201" s="1340"/>
      <c r="Y201" s="1199"/>
      <c r="Z201" s="1199"/>
      <c r="AA201" s="1340"/>
      <c r="AB201" s="1331"/>
      <c r="AC201" s="1199"/>
      <c r="AD201" s="1200"/>
      <c r="AE201" s="1340"/>
      <c r="AF201" s="1340"/>
      <c r="AG201" s="1199"/>
      <c r="AH201" s="1340"/>
      <c r="AI201" s="1340"/>
      <c r="AJ201" s="1199"/>
      <c r="AK201" s="1348"/>
      <c r="AL201" s="1348"/>
      <c r="AM201" s="1340"/>
      <c r="AN201" s="1199"/>
      <c r="AO201" s="1340"/>
      <c r="AP201" s="1340"/>
      <c r="AQ201" s="1340"/>
      <c r="AR201" s="1199"/>
      <c r="AS201" s="1200"/>
      <c r="AT201" s="1200"/>
      <c r="AU201" s="1200"/>
      <c r="AV201" s="1200"/>
      <c r="AW201" s="1200"/>
      <c r="AX201" s="1348"/>
      <c r="AY201" s="1348"/>
      <c r="AZ201" s="1348"/>
      <c r="BA201" s="1348"/>
      <c r="BB201" s="1348"/>
      <c r="BC201" s="1348"/>
      <c r="BD201" s="1348"/>
      <c r="BE201" s="1340"/>
      <c r="BF201" s="1340"/>
      <c r="BG201" s="1340"/>
      <c r="BH201" s="1340"/>
      <c r="BI201" s="1348"/>
      <c r="BJ201" s="1340"/>
      <c r="BK201" s="1340"/>
      <c r="BL201" s="1331"/>
      <c r="BM201" s="1340"/>
      <c r="BN201" s="1340"/>
      <c r="BO201" s="1200"/>
      <c r="BP201" s="1348"/>
      <c r="BQ201" s="1348"/>
      <c r="BR201" s="1349"/>
      <c r="BS201" s="1422"/>
      <c r="BT201" s="1350"/>
      <c r="BU201" s="1350"/>
      <c r="BV201" s="1349"/>
      <c r="BW201" s="1340"/>
      <c r="BX201" s="1340"/>
      <c r="BY201" s="1340"/>
      <c r="BZ201" s="1340"/>
      <c r="CA201" s="1340"/>
      <c r="CB201" s="1340"/>
      <c r="CC201" s="1340"/>
      <c r="CD201" s="1340"/>
      <c r="CE201" s="1340"/>
      <c r="CF201" s="1340"/>
      <c r="CG201" s="1340"/>
      <c r="CH201" s="1340"/>
      <c r="CI201" s="1340"/>
      <c r="CJ201" s="1340"/>
      <c r="CK201" s="30"/>
      <c r="CL201" s="30"/>
      <c r="CM201" s="30"/>
      <c r="CN201" s="30"/>
      <c r="CO201" s="30"/>
      <c r="CP201" s="30"/>
      <c r="CQ201" s="30"/>
      <c r="CR201" s="30"/>
      <c r="CS201" s="30"/>
      <c r="CT201" s="30"/>
      <c r="CU201" s="30"/>
      <c r="CV201" s="1340"/>
      <c r="CW201" s="1340"/>
      <c r="CX201" s="1340"/>
      <c r="CY201" s="1340"/>
      <c r="CZ201" s="1340"/>
      <c r="DA201" s="1340"/>
      <c r="DB201" s="1340"/>
      <c r="DC201" s="30"/>
      <c r="DD201" s="30"/>
      <c r="DE201" s="30"/>
      <c r="DF201" s="30"/>
      <c r="DG201" s="30"/>
      <c r="DH201" s="30"/>
      <c r="DI201" s="30"/>
      <c r="DJ201" s="1340"/>
      <c r="DK201" s="1340"/>
      <c r="DL201" s="1340"/>
      <c r="DM201" s="1340"/>
      <c r="DN201" s="1340"/>
      <c r="DO201" s="1340"/>
      <c r="DP201" s="1340"/>
      <c r="DQ201" s="1340"/>
      <c r="DR201" s="1340"/>
      <c r="DS201" s="1340"/>
      <c r="DT201" s="1340"/>
      <c r="DU201" s="1340"/>
      <c r="DV201" s="1340"/>
      <c r="DW201" s="1340"/>
      <c r="DX201" s="1340"/>
      <c r="DY201" s="1340"/>
      <c r="DZ201" s="1340"/>
      <c r="EA201" s="1340"/>
      <c r="EB201" s="1340"/>
      <c r="EC201" s="1340"/>
      <c r="ED201" s="1337"/>
      <c r="EE201" s="1340"/>
      <c r="EF201" s="1340"/>
      <c r="EG201" s="1348"/>
      <c r="EH201" s="1348"/>
      <c r="EI201" s="1203"/>
      <c r="EJ201" s="1340"/>
      <c r="EK201" s="1340"/>
      <c r="EL201" s="1340"/>
      <c r="EM201" s="1340"/>
      <c r="EN201" s="1331"/>
      <c r="EO201" s="1340"/>
      <c r="EP201" s="1340"/>
      <c r="EQ201" s="1340"/>
      <c r="ER201" s="1348"/>
      <c r="ES201" s="1340"/>
      <c r="ET201" s="1340"/>
      <c r="EU201" s="1348"/>
      <c r="EV201" s="1340"/>
      <c r="EW201" s="1340"/>
      <c r="EX201" s="1348"/>
      <c r="EY201" s="1340"/>
      <c r="EZ201" s="1340"/>
      <c r="FA201" s="1340"/>
      <c r="FB201" s="1340"/>
      <c r="FC201" s="1340"/>
      <c r="FD201" s="1340"/>
      <c r="FE201" s="1340"/>
      <c r="FF201" s="1340"/>
      <c r="FG201" s="1340"/>
      <c r="FH201" s="30"/>
      <c r="FI201" s="30"/>
      <c r="FJ201" s="30"/>
      <c r="FK201" s="30"/>
      <c r="FL201" s="30"/>
      <c r="FM201" s="30"/>
      <c r="FN201" s="30"/>
      <c r="FO201" s="30"/>
      <c r="FP201" s="30"/>
      <c r="FQ201" s="1340"/>
      <c r="FR201" s="1340"/>
      <c r="FS201" s="1340"/>
      <c r="FT201" s="1340"/>
      <c r="FU201" s="1340"/>
      <c r="FV201" s="1340"/>
      <c r="FW201" s="1340"/>
      <c r="FX201" s="1340"/>
      <c r="FY201" s="1340"/>
      <c r="FZ201" s="30"/>
      <c r="GA201" s="30"/>
      <c r="GB201" s="30"/>
      <c r="GC201" s="30"/>
      <c r="GD201" s="30"/>
      <c r="GE201" s="30"/>
      <c r="GF201" s="30"/>
      <c r="GG201" s="30"/>
      <c r="GH201" s="30"/>
      <c r="GI201" s="281"/>
      <c r="GJ201" s="1052"/>
      <c r="GK201" s="622"/>
      <c r="GL201" s="1052"/>
      <c r="GM201" s="622"/>
      <c r="GN201" s="1052"/>
      <c r="GO201" s="1052"/>
      <c r="GP201" s="1052"/>
      <c r="GQ201" s="1052"/>
      <c r="GR201" s="1052"/>
      <c r="GS201" s="1052"/>
      <c r="GT201" s="1052"/>
      <c r="GU201" s="1052"/>
      <c r="GV201" s="1052"/>
      <c r="GW201" s="1052"/>
      <c r="GX201" s="1052"/>
      <c r="GY201" s="1052"/>
      <c r="GZ201" s="1052"/>
      <c r="HA201" s="1052"/>
      <c r="HB201" s="1052"/>
      <c r="HC201" s="1052"/>
      <c r="HD201" s="1052"/>
      <c r="HE201" s="1052"/>
      <c r="HF201" s="1052"/>
      <c r="HG201" s="1340"/>
      <c r="HH201" s="1340"/>
      <c r="HI201" s="1340"/>
      <c r="HJ201" s="1340"/>
      <c r="HK201" s="1340"/>
      <c r="HL201" s="1340"/>
      <c r="HM201" s="1340"/>
      <c r="HN201" s="1340"/>
      <c r="HO201" s="1340"/>
      <c r="HP201" s="1052"/>
      <c r="HQ201" s="1052"/>
      <c r="HR201" s="1052"/>
      <c r="HS201" s="1052"/>
      <c r="HT201" s="1052"/>
      <c r="HU201" s="1052"/>
      <c r="HV201" s="1052"/>
      <c r="HW201" s="1052"/>
      <c r="HX201" s="1052"/>
      <c r="HY201" s="1052"/>
      <c r="HZ201" s="51"/>
      <c r="IA201" s="59"/>
      <c r="IB201" s="59"/>
      <c r="IC201" s="284"/>
      <c r="ID201" s="815"/>
      <c r="IE201" s="284"/>
      <c r="IF201" s="284"/>
      <c r="IG201" s="284"/>
      <c r="IH201" s="284"/>
      <c r="II201" s="1288"/>
      <c r="IJ201" s="1288"/>
      <c r="IK201" s="284"/>
      <c r="IL201" s="284"/>
      <c r="IM201" s="284"/>
      <c r="IN201" s="284"/>
      <c r="IO201" s="753"/>
      <c r="IP201" s="113"/>
      <c r="IQ201" s="30"/>
      <c r="IR201" s="438"/>
      <c r="IS201" s="438"/>
      <c r="IT201" s="438"/>
      <c r="IU201" s="438"/>
      <c r="IV201" s="438"/>
      <c r="IW201" s="438"/>
      <c r="IX201" s="285"/>
      <c r="IY201" s="285"/>
      <c r="IZ201" s="285"/>
      <c r="JA201" s="285"/>
      <c r="JB201" s="285"/>
      <c r="JC201" s="285"/>
      <c r="JD201" s="60"/>
      <c r="JE201" s="60"/>
      <c r="JF201" s="60"/>
      <c r="JG201" s="60"/>
      <c r="JH201" s="284"/>
      <c r="JI201" s="284"/>
      <c r="JJ201" s="560"/>
      <c r="JK201" s="561"/>
      <c r="JL201" s="561"/>
      <c r="JM201" s="561"/>
      <c r="JN201" s="561"/>
      <c r="JO201" s="561"/>
      <c r="JP201" s="561"/>
      <c r="JQ201" s="561"/>
      <c r="JR201" s="61"/>
      <c r="JS201" s="61"/>
      <c r="JT201" s="61"/>
      <c r="JU201" s="61"/>
      <c r="JV201" s="61"/>
      <c r="JW201" s="61"/>
      <c r="JX201" s="61"/>
      <c r="JY201" s="394"/>
      <c r="JZ201" s="61"/>
      <c r="KA201" s="61"/>
      <c r="KB201" s="61"/>
      <c r="KC201" s="61"/>
      <c r="KD201" s="61"/>
      <c r="KE201" s="61"/>
      <c r="KF201" s="61"/>
      <c r="KG201" s="61"/>
      <c r="KH201" s="61"/>
      <c r="KI201" s="394"/>
      <c r="KJ201" s="438"/>
      <c r="KK201" s="438"/>
      <c r="KL201" s="438"/>
      <c r="KM201" s="438"/>
      <c r="KN201" s="438"/>
      <c r="KO201" s="438"/>
      <c r="KP201" s="438"/>
      <c r="KQ201" s="438"/>
      <c r="KR201" s="438"/>
      <c r="KS201" s="438"/>
      <c r="KT201" s="438"/>
      <c r="KU201" s="438"/>
      <c r="KV201" s="420"/>
      <c r="KW201" s="420"/>
      <c r="KX201" s="108"/>
      <c r="KY201" s="282"/>
      <c r="KZ201" s="282"/>
      <c r="LA201" s="282"/>
      <c r="LB201" s="282"/>
      <c r="LC201" s="286"/>
      <c r="LD201" s="286"/>
      <c r="LE201" s="282"/>
      <c r="LF201" s="282"/>
      <c r="LG201" s="282"/>
      <c r="LH201" s="282"/>
      <c r="LI201" s="282"/>
      <c r="LJ201" s="282"/>
      <c r="LK201" s="282"/>
      <c r="LL201" s="282"/>
      <c r="LM201" s="282"/>
      <c r="LN201" s="282"/>
      <c r="LO201" s="282"/>
      <c r="LP201" s="286"/>
      <c r="LQ201" s="282"/>
      <c r="LR201" s="282"/>
      <c r="LS201" s="282"/>
      <c r="LT201" s="286"/>
      <c r="LU201" s="286"/>
      <c r="LV201" s="286"/>
      <c r="LW201" s="286"/>
      <c r="LX201" s="286"/>
      <c r="LY201" s="286"/>
      <c r="LZ201" s="286"/>
      <c r="MA201" s="286"/>
      <c r="MB201" s="286"/>
      <c r="MC201" s="286"/>
      <c r="MD201" s="286"/>
      <c r="ME201" s="286"/>
      <c r="MF201" s="286"/>
      <c r="MG201" s="286"/>
      <c r="MH201" s="286"/>
      <c r="MI201" s="286"/>
      <c r="MJ201" s="286"/>
      <c r="MK201" s="286"/>
      <c r="ML201" s="282"/>
      <c r="MM201" s="1232"/>
      <c r="MN201" s="1232"/>
      <c r="MO201" s="1232"/>
      <c r="MP201" s="1232"/>
      <c r="MQ201" s="282"/>
      <c r="MR201" s="282"/>
      <c r="MS201" s="282"/>
      <c r="MT201" s="282"/>
      <c r="MU201" s="282"/>
      <c r="MV201" s="282"/>
      <c r="MW201" s="282"/>
      <c r="MX201" s="282"/>
      <c r="MY201" s="282"/>
      <c r="MZ201" s="282"/>
      <c r="NA201" s="282"/>
      <c r="NB201" s="282"/>
      <c r="NC201" s="282"/>
      <c r="ND201" s="282"/>
      <c r="NE201" s="282"/>
      <c r="NF201" s="282"/>
      <c r="NG201" s="282"/>
      <c r="NH201" s="282"/>
      <c r="NI201" s="282"/>
      <c r="NJ201" s="282"/>
      <c r="NK201" s="282"/>
      <c r="NL201" s="282"/>
      <c r="NM201" s="1205"/>
      <c r="NN201" s="282"/>
      <c r="NO201" s="282"/>
      <c r="NP201" s="282"/>
      <c r="NQ201" s="282"/>
      <c r="NR201" s="282"/>
      <c r="NS201" s="282"/>
      <c r="NT201" s="282"/>
      <c r="NU201" s="282"/>
      <c r="NV201" s="286"/>
      <c r="NW201" s="286"/>
      <c r="NX201" s="286"/>
      <c r="NY201" s="286"/>
      <c r="NZ201" s="286"/>
      <c r="OA201" s="286"/>
      <c r="OB201" s="286"/>
      <c r="OC201" s="286"/>
      <c r="OD201" s="286"/>
      <c r="OE201" s="282"/>
      <c r="OF201" s="282"/>
      <c r="OG201" s="286"/>
      <c r="OH201" s="286"/>
      <c r="OI201" s="286"/>
      <c r="OJ201" s="286"/>
      <c r="OK201" s="286"/>
      <c r="OL201" s="286"/>
      <c r="OM201" s="286"/>
      <c r="ON201" s="286"/>
      <c r="OO201" s="286"/>
      <c r="OP201" s="434"/>
      <c r="OQ201" s="434"/>
      <c r="OR201" s="282"/>
      <c r="OS201" s="282"/>
      <c r="OT201" s="282"/>
      <c r="OU201" s="282"/>
      <c r="OV201" s="282"/>
      <c r="OW201" s="286"/>
      <c r="OX201" s="286"/>
      <c r="OY201" s="286"/>
      <c r="OZ201" s="286"/>
      <c r="PA201" s="286"/>
      <c r="PB201" s="286"/>
      <c r="PC201" s="286"/>
      <c r="PD201" s="282"/>
      <c r="PE201" s="282"/>
      <c r="PF201" s="286"/>
      <c r="PG201" s="286"/>
      <c r="PH201" s="286"/>
      <c r="PI201" s="286"/>
      <c r="PJ201" s="286"/>
      <c r="PK201" s="286"/>
      <c r="PL201" s="286"/>
      <c r="PM201" s="562"/>
    </row>
    <row r="202" spans="1:429" s="289" customFormat="1" ht="15.75" customHeight="1">
      <c r="A202" s="1040"/>
      <c r="B202" s="1040"/>
      <c r="C202" s="1358"/>
      <c r="D202" s="1359"/>
      <c r="E202" s="402"/>
      <c r="F202" s="1358"/>
      <c r="G202" s="1358"/>
      <c r="H202" s="1358"/>
      <c r="I202" s="1358"/>
      <c r="J202" s="1358"/>
      <c r="K202" s="1360"/>
      <c r="L202" s="1361"/>
      <c r="M202" s="1361"/>
      <c r="N202" s="1361"/>
      <c r="O202" s="1361"/>
      <c r="P202" s="1361"/>
      <c r="Q202" s="1358"/>
      <c r="R202" s="1358"/>
      <c r="S202" s="1358"/>
      <c r="T202" s="1361"/>
      <c r="U202" s="1361"/>
      <c r="V202" s="1361"/>
      <c r="W202" s="1358"/>
      <c r="X202" s="1358"/>
      <c r="Y202" s="1361"/>
      <c r="Z202" s="1361"/>
      <c r="AA202" s="1358"/>
      <c r="AB202" s="1362"/>
      <c r="AC202" s="1361"/>
      <c r="AD202" s="1363"/>
      <c r="AE202" s="1358"/>
      <c r="AF202" s="1358"/>
      <c r="AG202" s="1361"/>
      <c r="AH202" s="1358"/>
      <c r="AI202" s="1358"/>
      <c r="AJ202" s="1361"/>
      <c r="AK202" s="1360"/>
      <c r="AL202" s="1360"/>
      <c r="AM202" s="1340"/>
      <c r="AN202" s="1361"/>
      <c r="AO202" s="1358"/>
      <c r="AP202" s="1358"/>
      <c r="AQ202" s="1358"/>
      <c r="AR202" s="1361"/>
      <c r="AS202" s="1363"/>
      <c r="AT202" s="1363"/>
      <c r="AU202" s="1363"/>
      <c r="AV202" s="1363"/>
      <c r="AW202" s="1363"/>
      <c r="AX202" s="1360"/>
      <c r="AY202" s="1360"/>
      <c r="AZ202" s="1360"/>
      <c r="BA202" s="1360"/>
      <c r="BB202" s="1360"/>
      <c r="BC202" s="1360"/>
      <c r="BD202" s="1360"/>
      <c r="BE202" s="1358"/>
      <c r="BF202" s="1358"/>
      <c r="BG202" s="1358"/>
      <c r="BH202" s="1358"/>
      <c r="BI202" s="1360"/>
      <c r="BJ202" s="1358"/>
      <c r="BK202" s="1358"/>
      <c r="BL202" s="1362"/>
      <c r="BM202" s="1358"/>
      <c r="BN202" s="1358"/>
      <c r="BO202" s="1363"/>
      <c r="BP202" s="1360"/>
      <c r="BQ202" s="1360"/>
      <c r="BR202" s="1364"/>
      <c r="BS202" s="1404"/>
      <c r="BT202" s="1365"/>
      <c r="BU202" s="1365"/>
      <c r="BV202" s="1364"/>
      <c r="BW202" s="1358"/>
      <c r="BX202" s="1358"/>
      <c r="BY202" s="1358"/>
      <c r="BZ202" s="1358"/>
      <c r="CA202" s="1358"/>
      <c r="CB202" s="1358"/>
      <c r="CC202" s="1358"/>
      <c r="CD202" s="1358"/>
      <c r="CE202" s="1358"/>
      <c r="CF202" s="1358"/>
      <c r="CG202" s="1358"/>
      <c r="CH202" s="1358"/>
      <c r="CI202" s="1358"/>
      <c r="CJ202" s="1358"/>
      <c r="CK202" s="1366"/>
      <c r="CL202" s="1366"/>
      <c r="CM202" s="1366"/>
      <c r="CN202" s="1366"/>
      <c r="CO202" s="1366"/>
      <c r="CP202" s="1366"/>
      <c r="CQ202" s="1366"/>
      <c r="CR202" s="1366"/>
      <c r="CS202" s="1366"/>
      <c r="CT202" s="1366"/>
      <c r="CU202" s="1366"/>
      <c r="CV202" s="1358"/>
      <c r="CW202" s="1358"/>
      <c r="CX202" s="1358"/>
      <c r="CY202" s="1358"/>
      <c r="CZ202" s="1358"/>
      <c r="DA202" s="1358"/>
      <c r="DB202" s="1358"/>
      <c r="DC202" s="1366"/>
      <c r="DD202" s="1366"/>
      <c r="DE202" s="1366"/>
      <c r="DF202" s="1366"/>
      <c r="DG202" s="1366"/>
      <c r="DH202" s="1366"/>
      <c r="DI202" s="1366"/>
      <c r="DJ202" s="1358"/>
      <c r="DK202" s="1358"/>
      <c r="DL202" s="1358"/>
      <c r="DM202" s="1358"/>
      <c r="DN202" s="1358"/>
      <c r="DO202" s="1358"/>
      <c r="DP202" s="1358"/>
      <c r="DQ202" s="1358"/>
      <c r="DR202" s="1358"/>
      <c r="DS202" s="1358"/>
      <c r="DT202" s="1358"/>
      <c r="DU202" s="1358"/>
      <c r="DV202" s="1358"/>
      <c r="DW202" s="1358"/>
      <c r="DX202" s="1358"/>
      <c r="DY202" s="1358"/>
      <c r="DZ202" s="1358"/>
      <c r="EA202" s="1358"/>
      <c r="EB202" s="1358"/>
      <c r="EC202" s="1358"/>
      <c r="ED202" s="1367"/>
      <c r="EE202" s="1358"/>
      <c r="EF202" s="1358"/>
      <c r="EG202" s="1360"/>
      <c r="EH202" s="1360"/>
      <c r="EI202" s="1368"/>
      <c r="EJ202" s="1358"/>
      <c r="EK202" s="1358"/>
      <c r="EL202" s="1358"/>
      <c r="EM202" s="1358"/>
      <c r="EN202" s="1362"/>
      <c r="EO202" s="1358"/>
      <c r="EP202" s="1358"/>
      <c r="EQ202" s="1358"/>
      <c r="ER202" s="1360"/>
      <c r="ES202" s="1358"/>
      <c r="ET202" s="1358"/>
      <c r="EU202" s="1360"/>
      <c r="EV202" s="1358"/>
      <c r="EW202" s="1358"/>
      <c r="EX202" s="1360"/>
      <c r="EY202" s="1358"/>
      <c r="EZ202" s="1358"/>
      <c r="FA202" s="1358"/>
      <c r="FB202" s="1358"/>
      <c r="FC202" s="1358"/>
      <c r="FD202" s="1358"/>
      <c r="FE202" s="1358"/>
      <c r="FF202" s="1358"/>
      <c r="FG202" s="1358"/>
      <c r="FH202" s="1366"/>
      <c r="FI202" s="1366"/>
      <c r="FJ202" s="1366"/>
      <c r="FK202" s="1366"/>
      <c r="FL202" s="1366"/>
      <c r="FM202" s="1366"/>
      <c r="FN202" s="1366"/>
      <c r="FO202" s="1366"/>
      <c r="FP202" s="1366"/>
      <c r="FQ202" s="1358"/>
      <c r="FR202" s="1358"/>
      <c r="FS202" s="1358"/>
      <c r="FT202" s="1358"/>
      <c r="FU202" s="1358"/>
      <c r="FV202" s="1358"/>
      <c r="FW202" s="1358"/>
      <c r="FX202" s="1358"/>
      <c r="FY202" s="1358"/>
      <c r="FZ202" s="1366"/>
      <c r="GA202" s="1366"/>
      <c r="GB202" s="1366"/>
      <c r="GC202" s="1366"/>
      <c r="GD202" s="1366"/>
      <c r="GE202" s="1366"/>
      <c r="GF202" s="1366"/>
      <c r="GG202" s="1366"/>
      <c r="GH202" s="1366"/>
      <c r="GI202" s="1369"/>
      <c r="GJ202" s="1370"/>
      <c r="GK202" s="1371"/>
      <c r="GL202" s="1370"/>
      <c r="GM202" s="1371"/>
      <c r="GN202" s="1370"/>
      <c r="GO202" s="1370"/>
      <c r="GP202" s="1370"/>
      <c r="GQ202" s="1370"/>
      <c r="GR202" s="1370"/>
      <c r="GS202" s="1370"/>
      <c r="GT202" s="1370"/>
      <c r="GU202" s="1370"/>
      <c r="GV202" s="1370"/>
      <c r="GW202" s="1370"/>
      <c r="GX202" s="1370"/>
      <c r="GY202" s="1370"/>
      <c r="GZ202" s="1366"/>
      <c r="HA202" s="1366"/>
      <c r="HB202" s="1366"/>
      <c r="HC202" s="1366"/>
      <c r="HD202" s="1366"/>
      <c r="HE202" s="1366"/>
      <c r="HF202" s="1366"/>
      <c r="HG202" s="1358"/>
      <c r="HH202" s="1358"/>
      <c r="HI202" s="1358"/>
      <c r="HJ202" s="1358"/>
      <c r="HK202" s="1358"/>
      <c r="HL202" s="1358"/>
      <c r="HM202" s="1358"/>
      <c r="HN202" s="1358"/>
      <c r="HO202" s="1358"/>
      <c r="HP202" s="1358"/>
      <c r="HQ202" s="1358"/>
      <c r="HR202" s="1358"/>
      <c r="HS202" s="1358"/>
      <c r="HT202" s="1358"/>
      <c r="HU202" s="1358"/>
      <c r="HV202" s="1358"/>
      <c r="HW202" s="1358"/>
      <c r="HX202" s="1358"/>
      <c r="HY202" s="1358"/>
      <c r="HZ202" s="51"/>
      <c r="IA202" s="59"/>
      <c r="IB202" s="59"/>
      <c r="IC202" s="284"/>
      <c r="ID202" s="815"/>
      <c r="IE202" s="284"/>
      <c r="IF202" s="284"/>
      <c r="IG202" s="284"/>
      <c r="IH202" s="284"/>
      <c r="II202" s="1288"/>
      <c r="IJ202" s="1288"/>
      <c r="IK202" s="284"/>
      <c r="IL202" s="284"/>
      <c r="IM202" s="284"/>
      <c r="IN202" s="284"/>
      <c r="IO202" s="753"/>
      <c r="IP202" s="113"/>
      <c r="IQ202" s="30"/>
      <c r="IR202" s="438"/>
      <c r="IS202" s="438"/>
      <c r="IT202" s="438"/>
      <c r="IU202" s="438"/>
      <c r="IV202" s="438"/>
      <c r="IW202" s="438"/>
      <c r="IX202" s="285"/>
      <c r="IY202" s="285"/>
      <c r="IZ202" s="285"/>
      <c r="JA202" s="285"/>
      <c r="JB202" s="285"/>
      <c r="JC202" s="285"/>
      <c r="JD202" s="60"/>
      <c r="JE202" s="60"/>
      <c r="JF202" s="60"/>
      <c r="JG202" s="60"/>
      <c r="JH202" s="284"/>
      <c r="JI202" s="284"/>
      <c r="JJ202" s="560"/>
      <c r="JK202" s="561"/>
      <c r="JL202" s="561"/>
      <c r="JM202" s="561"/>
      <c r="JN202" s="561"/>
      <c r="JO202" s="561"/>
      <c r="JP202" s="561"/>
      <c r="JQ202" s="561"/>
      <c r="JR202" s="61"/>
      <c r="JS202" s="61"/>
      <c r="JT202" s="61"/>
      <c r="JU202" s="61"/>
      <c r="JV202" s="61"/>
      <c r="JW202" s="61"/>
      <c r="JX202" s="61"/>
      <c r="JY202" s="394"/>
      <c r="JZ202" s="61"/>
      <c r="KA202" s="61"/>
      <c r="KB202" s="61"/>
      <c r="KC202" s="61"/>
      <c r="KD202" s="61"/>
      <c r="KE202" s="61"/>
      <c r="KF202" s="61"/>
      <c r="KG202" s="61"/>
      <c r="KH202" s="61"/>
      <c r="KI202" s="394"/>
      <c r="KJ202" s="438"/>
      <c r="KK202" s="438"/>
      <c r="KL202" s="438"/>
      <c r="KM202" s="438"/>
      <c r="KN202" s="438"/>
      <c r="KO202" s="438"/>
      <c r="KP202" s="438"/>
      <c r="KQ202" s="438"/>
      <c r="KR202" s="438"/>
      <c r="KS202" s="438"/>
      <c r="KT202" s="438"/>
      <c r="KU202" s="438"/>
      <c r="KV202" s="420"/>
      <c r="KW202" s="420"/>
      <c r="KX202" s="108"/>
      <c r="KY202" s="282"/>
      <c r="KZ202" s="282"/>
      <c r="LA202" s="282"/>
      <c r="LB202" s="282"/>
      <c r="LC202" s="286"/>
      <c r="LD202" s="286"/>
      <c r="LE202" s="282"/>
      <c r="LF202" s="282"/>
      <c r="LG202" s="282"/>
      <c r="LH202" s="282"/>
      <c r="LI202" s="282"/>
      <c r="LJ202" s="282"/>
      <c r="LK202" s="282"/>
      <c r="LL202" s="282"/>
      <c r="LM202" s="282"/>
      <c r="LN202" s="282"/>
      <c r="LO202" s="282"/>
      <c r="LP202" s="286"/>
      <c r="LQ202" s="282"/>
      <c r="LR202" s="282"/>
      <c r="LS202" s="282"/>
      <c r="LT202" s="286"/>
      <c r="LU202" s="286"/>
      <c r="LV202" s="286"/>
      <c r="LW202" s="286"/>
      <c r="LX202" s="286"/>
      <c r="LY202" s="286"/>
      <c r="LZ202" s="286"/>
      <c r="MA202" s="286"/>
      <c r="MB202" s="286"/>
      <c r="MC202" s="286"/>
      <c r="MD202" s="286"/>
      <c r="ME202" s="286"/>
      <c r="MF202" s="286"/>
      <c r="MG202" s="286"/>
      <c r="MH202" s="286"/>
      <c r="MI202" s="286"/>
      <c r="MJ202" s="286"/>
      <c r="MK202" s="286"/>
      <c r="ML202" s="282"/>
      <c r="MM202" s="1232"/>
      <c r="MN202" s="1232"/>
      <c r="MO202" s="1232"/>
      <c r="MP202" s="1232"/>
      <c r="MQ202" s="282"/>
      <c r="MR202" s="282"/>
      <c r="MS202" s="282"/>
      <c r="MT202" s="282"/>
      <c r="MU202" s="282"/>
      <c r="MV202" s="282"/>
      <c r="MW202" s="282"/>
      <c r="MX202" s="282"/>
      <c r="MY202" s="282"/>
      <c r="MZ202" s="282"/>
      <c r="NA202" s="282"/>
      <c r="NB202" s="282"/>
      <c r="NC202" s="282"/>
      <c r="ND202" s="282"/>
      <c r="NE202" s="282"/>
      <c r="NF202" s="282"/>
      <c r="NG202" s="282"/>
      <c r="NH202" s="282"/>
      <c r="NI202" s="282"/>
      <c r="NJ202" s="282"/>
      <c r="NK202" s="282"/>
      <c r="NL202" s="282"/>
      <c r="NM202" s="1205"/>
      <c r="NN202" s="282"/>
      <c r="NO202" s="282"/>
      <c r="NP202" s="282"/>
      <c r="NQ202" s="282"/>
      <c r="NR202" s="282"/>
      <c r="NS202" s="282"/>
      <c r="NT202" s="282"/>
      <c r="NU202" s="282"/>
      <c r="NV202" s="286"/>
      <c r="NW202" s="286"/>
      <c r="NX202" s="286"/>
      <c r="NY202" s="286"/>
      <c r="NZ202" s="286"/>
      <c r="OA202" s="286"/>
      <c r="OB202" s="286"/>
      <c r="OC202" s="286"/>
      <c r="OD202" s="286"/>
      <c r="OE202" s="282"/>
      <c r="OF202" s="282"/>
      <c r="OG202" s="286"/>
      <c r="OH202" s="286"/>
      <c r="OI202" s="286"/>
      <c r="OJ202" s="286"/>
      <c r="OK202" s="286"/>
      <c r="OL202" s="286"/>
      <c r="OM202" s="286"/>
      <c r="ON202" s="286"/>
      <c r="OO202" s="286"/>
      <c r="OP202" s="434"/>
      <c r="OQ202" s="434"/>
      <c r="OR202" s="282"/>
      <c r="OS202" s="282"/>
      <c r="OT202" s="282"/>
      <c r="OU202" s="282"/>
      <c r="OV202" s="282"/>
      <c r="OW202" s="286"/>
      <c r="OX202" s="286"/>
      <c r="OY202" s="286"/>
      <c r="OZ202" s="286"/>
      <c r="PA202" s="286"/>
      <c r="PB202" s="286"/>
      <c r="PC202" s="286"/>
      <c r="PD202" s="282"/>
      <c r="PE202" s="282"/>
      <c r="PF202" s="286"/>
      <c r="PG202" s="286"/>
      <c r="PH202" s="286"/>
      <c r="PI202" s="286"/>
      <c r="PJ202" s="286"/>
      <c r="PK202" s="286"/>
      <c r="PL202" s="286"/>
      <c r="PM202" s="562"/>
    </row>
    <row r="203" spans="1:429" s="289" customFormat="1" ht="15.75" customHeight="1">
      <c r="A203" s="1040"/>
      <c r="B203" s="670"/>
      <c r="C203" s="1051"/>
      <c r="D203" s="279"/>
      <c r="E203" s="671"/>
      <c r="F203" s="1051"/>
      <c r="G203" s="1051"/>
      <c r="H203" s="1051"/>
      <c r="I203" s="1051"/>
      <c r="J203" s="1051"/>
      <c r="K203" s="1198"/>
      <c r="L203" s="1199"/>
      <c r="M203" s="1199"/>
      <c r="N203" s="1199"/>
      <c r="O203" s="1199"/>
      <c r="P203" s="1199"/>
      <c r="Q203" s="1051"/>
      <c r="R203" s="1051"/>
      <c r="S203" s="1051"/>
      <c r="T203" s="1199"/>
      <c r="U203" s="1199"/>
      <c r="V203" s="1199"/>
      <c r="W203" s="1051"/>
      <c r="X203" s="1051"/>
      <c r="Y203" s="1199"/>
      <c r="Z203" s="1199"/>
      <c r="AA203" s="1051"/>
      <c r="AB203" s="280"/>
      <c r="AC203" s="1199"/>
      <c r="AD203" s="1200"/>
      <c r="AE203" s="1051"/>
      <c r="AF203" s="1051"/>
      <c r="AG203" s="1199"/>
      <c r="AH203" s="1051"/>
      <c r="AI203" s="1051"/>
      <c r="AJ203" s="1199"/>
      <c r="AK203" s="1198"/>
      <c r="AL203" s="1198"/>
      <c r="AM203" s="1340"/>
      <c r="AN203" s="1199"/>
      <c r="AO203" s="1051"/>
      <c r="AP203" s="1051"/>
      <c r="AQ203" s="1051"/>
      <c r="AR203" s="1199"/>
      <c r="AS203" s="1200"/>
      <c r="AT203" s="1200"/>
      <c r="AU203" s="1200"/>
      <c r="AV203" s="1200"/>
      <c r="AW203" s="1200"/>
      <c r="AX203" s="1198"/>
      <c r="AY203" s="1198"/>
      <c r="AZ203" s="1198"/>
      <c r="BA203" s="1198"/>
      <c r="BB203" s="1198"/>
      <c r="BC203" s="1198"/>
      <c r="BD203" s="1198"/>
      <c r="BE203" s="1051"/>
      <c r="BF203" s="1051"/>
      <c r="BG203" s="1051"/>
      <c r="BH203" s="1051"/>
      <c r="BI203" s="1198"/>
      <c r="BJ203" s="1051"/>
      <c r="BK203" s="1051"/>
      <c r="BL203" s="280"/>
      <c r="BM203" s="1051"/>
      <c r="BN203" s="1051"/>
      <c r="BO203" s="1200"/>
      <c r="BP203" s="1198"/>
      <c r="BQ203" s="1198"/>
      <c r="BR203" s="1349"/>
      <c r="BS203" s="1372"/>
      <c r="BT203" s="1202"/>
      <c r="BU203" s="1202"/>
      <c r="BV203" s="1201"/>
      <c r="BW203" s="1051"/>
      <c r="BX203" s="1051"/>
      <c r="BY203" s="1051"/>
      <c r="BZ203" s="1051"/>
      <c r="CA203" s="1051"/>
      <c r="CB203" s="1051"/>
      <c r="CC203" s="1051"/>
      <c r="CD203" s="1051"/>
      <c r="CE203" s="1051"/>
      <c r="CF203" s="1051"/>
      <c r="CG203" s="1051"/>
      <c r="CH203" s="1051"/>
      <c r="CI203" s="1051"/>
      <c r="CJ203" s="1051"/>
      <c r="CK203" s="30"/>
      <c r="CL203" s="30"/>
      <c r="CM203" s="30"/>
      <c r="CN203" s="30"/>
      <c r="CO203" s="30"/>
      <c r="CP203" s="30"/>
      <c r="CQ203" s="30"/>
      <c r="CR203" s="30"/>
      <c r="CS203" s="30"/>
      <c r="CT203" s="30"/>
      <c r="CU203" s="30"/>
      <c r="CV203" s="1051"/>
      <c r="CW203" s="1051"/>
      <c r="CX203" s="1051"/>
      <c r="CY203" s="1051"/>
      <c r="CZ203" s="1051"/>
      <c r="DA203" s="1051"/>
      <c r="DB203" s="1051"/>
      <c r="DC203" s="30"/>
      <c r="DD203" s="30"/>
      <c r="DE203" s="30"/>
      <c r="DF203" s="30"/>
      <c r="DG203" s="30"/>
      <c r="DH203" s="30"/>
      <c r="DI203" s="30"/>
      <c r="DJ203" s="1051"/>
      <c r="DK203" s="1051"/>
      <c r="DL203" s="1051"/>
      <c r="DM203" s="1051"/>
      <c r="DN203" s="1051"/>
      <c r="DO203" s="1051"/>
      <c r="DP203" s="1051"/>
      <c r="DQ203" s="1051"/>
      <c r="DR203" s="1051"/>
      <c r="DS203" s="1051"/>
      <c r="DT203" s="1051"/>
      <c r="DU203" s="1051"/>
      <c r="DV203" s="1051"/>
      <c r="DW203" s="1051"/>
      <c r="DX203" s="1051"/>
      <c r="DY203" s="1051"/>
      <c r="DZ203" s="1051"/>
      <c r="EA203" s="1051"/>
      <c r="EB203" s="1051"/>
      <c r="EC203" s="1051"/>
      <c r="ED203" s="818"/>
      <c r="EE203" s="1051"/>
      <c r="EF203" s="1051"/>
      <c r="EG203" s="1198"/>
      <c r="EH203" s="1198"/>
      <c r="EI203" s="1203"/>
      <c r="EJ203" s="1051"/>
      <c r="EK203" s="1051"/>
      <c r="EL203" s="1051"/>
      <c r="EM203" s="1051"/>
      <c r="EN203" s="280"/>
      <c r="EO203" s="1051"/>
      <c r="EP203" s="1051"/>
      <c r="EQ203" s="1051"/>
      <c r="ER203" s="1198"/>
      <c r="ES203" s="1051"/>
      <c r="ET203" s="1051"/>
      <c r="EU203" s="1198"/>
      <c r="EV203" s="1051"/>
      <c r="EW203" s="1051"/>
      <c r="EX203" s="1198"/>
      <c r="EY203" s="1051"/>
      <c r="EZ203" s="1051"/>
      <c r="FA203" s="1051"/>
      <c r="FB203" s="1051"/>
      <c r="FC203" s="1051"/>
      <c r="FD203" s="1051"/>
      <c r="FE203" s="1051"/>
      <c r="FF203" s="1051"/>
      <c r="FG203" s="1051"/>
      <c r="FH203" s="30"/>
      <c r="FI203" s="30"/>
      <c r="FJ203" s="30"/>
      <c r="FK203" s="30"/>
      <c r="FL203" s="30"/>
      <c r="FM203" s="30"/>
      <c r="FN203" s="30"/>
      <c r="FO203" s="30"/>
      <c r="FP203" s="30"/>
      <c r="FQ203" s="1051"/>
      <c r="FR203" s="1051"/>
      <c r="FS203" s="1051"/>
      <c r="FT203" s="1051"/>
      <c r="FU203" s="1051"/>
      <c r="FV203" s="1051"/>
      <c r="FW203" s="1051"/>
      <c r="FX203" s="1051"/>
      <c r="FY203" s="1051"/>
      <c r="FZ203" s="30"/>
      <c r="GA203" s="30"/>
      <c r="GB203" s="30"/>
      <c r="GC203" s="30"/>
      <c r="GD203" s="30"/>
      <c r="GE203" s="30"/>
      <c r="GF203" s="30"/>
      <c r="GG203" s="30"/>
      <c r="GH203" s="30"/>
      <c r="GI203" s="281"/>
      <c r="GJ203" s="1052"/>
      <c r="GK203" s="622"/>
      <c r="GL203" s="1052"/>
      <c r="GM203" s="622"/>
      <c r="GN203" s="1052"/>
      <c r="GO203" s="1052"/>
      <c r="GP203" s="1052"/>
      <c r="GQ203" s="1052"/>
      <c r="GR203" s="1052"/>
      <c r="GS203" s="1052"/>
      <c r="GT203" s="1052"/>
      <c r="GU203" s="1052"/>
      <c r="GV203" s="1052"/>
      <c r="GW203" s="1052"/>
      <c r="GX203" s="1052"/>
      <c r="GY203" s="1052"/>
      <c r="GZ203" s="1052"/>
      <c r="HA203" s="1052"/>
      <c r="HB203" s="1052"/>
      <c r="HC203" s="1052"/>
      <c r="HD203" s="1052"/>
      <c r="HE203" s="1052"/>
      <c r="HF203" s="1052"/>
      <c r="HG203" s="1051"/>
      <c r="HH203" s="1051"/>
      <c r="HI203" s="1051"/>
      <c r="HJ203" s="1051"/>
      <c r="HK203" s="1051"/>
      <c r="HL203" s="1051"/>
      <c r="HM203" s="1051"/>
      <c r="HN203" s="1051"/>
      <c r="HO203" s="1051"/>
      <c r="HP203" s="1052"/>
      <c r="HQ203" s="1052"/>
      <c r="HR203" s="1052"/>
      <c r="HS203" s="1052"/>
      <c r="HT203" s="1052"/>
      <c r="HU203" s="1052"/>
      <c r="HV203" s="1052"/>
      <c r="HW203" s="1052"/>
      <c r="HX203" s="1052"/>
      <c r="HY203" s="1052"/>
      <c r="HZ203" s="51"/>
      <c r="IA203" s="59"/>
      <c r="IB203" s="59"/>
      <c r="IC203" s="815"/>
      <c r="ID203" s="815"/>
      <c r="IE203" s="284"/>
      <c r="IF203" s="284"/>
      <c r="IG203" s="284"/>
      <c r="IH203" s="284"/>
      <c r="II203" s="1288"/>
      <c r="IJ203" s="1288"/>
      <c r="IK203" s="284"/>
      <c r="IL203" s="284"/>
      <c r="IM203" s="284"/>
      <c r="IN203" s="284"/>
      <c r="IO203" s="753"/>
      <c r="IP203" s="113"/>
      <c r="IQ203" s="30"/>
      <c r="IR203" s="438"/>
      <c r="IS203" s="438"/>
      <c r="IT203" s="438"/>
      <c r="IU203" s="438"/>
      <c r="IV203" s="438"/>
      <c r="IW203" s="438"/>
      <c r="IX203" s="285"/>
      <c r="IY203" s="285"/>
      <c r="IZ203" s="285"/>
      <c r="JA203" s="285"/>
      <c r="JB203" s="285"/>
      <c r="JC203" s="285"/>
      <c r="JD203" s="60"/>
      <c r="JE203" s="60"/>
      <c r="JF203" s="60"/>
      <c r="JG203" s="60"/>
      <c r="JH203" s="284"/>
      <c r="JI203" s="284"/>
      <c r="JJ203" s="560"/>
      <c r="JK203" s="561"/>
      <c r="JL203" s="561"/>
      <c r="JM203" s="561"/>
      <c r="JN203" s="561"/>
      <c r="JO203" s="561"/>
      <c r="JP203" s="561"/>
      <c r="JQ203" s="561"/>
      <c r="JR203" s="61"/>
      <c r="JS203" s="61"/>
      <c r="JT203" s="61"/>
      <c r="JU203" s="61"/>
      <c r="JV203" s="61"/>
      <c r="JW203" s="61"/>
      <c r="JX203" s="61"/>
      <c r="JY203" s="394"/>
      <c r="JZ203" s="61"/>
      <c r="KA203" s="61"/>
      <c r="KB203" s="61"/>
      <c r="KC203" s="61"/>
      <c r="KD203" s="61"/>
      <c r="KE203" s="61"/>
      <c r="KF203" s="61"/>
      <c r="KG203" s="61"/>
      <c r="KH203" s="61"/>
      <c r="KI203" s="394"/>
      <c r="KJ203" s="438"/>
      <c r="KK203" s="438"/>
      <c r="KL203" s="438"/>
      <c r="KM203" s="438"/>
      <c r="KN203" s="438"/>
      <c r="KO203" s="438"/>
      <c r="KP203" s="438"/>
      <c r="KQ203" s="438"/>
      <c r="KR203" s="438"/>
      <c r="KS203" s="438"/>
      <c r="KT203" s="438"/>
      <c r="KU203" s="438"/>
      <c r="KV203" s="420"/>
      <c r="KW203" s="420"/>
      <c r="KX203" s="108"/>
      <c r="KY203" s="282"/>
      <c r="KZ203" s="282"/>
      <c r="LA203" s="282"/>
      <c r="LB203" s="282"/>
      <c r="LC203" s="286"/>
      <c r="LD203" s="286"/>
      <c r="LE203" s="282"/>
      <c r="LF203" s="282"/>
      <c r="LG203" s="282"/>
      <c r="LH203" s="282"/>
      <c r="LI203" s="282"/>
      <c r="LJ203" s="282"/>
      <c r="LK203" s="282"/>
      <c r="LL203" s="282"/>
      <c r="LM203" s="282"/>
      <c r="LN203" s="282"/>
      <c r="LO203" s="282"/>
      <c r="LP203" s="286"/>
      <c r="LQ203" s="282"/>
      <c r="LR203" s="282"/>
      <c r="LS203" s="282"/>
      <c r="LT203" s="286"/>
      <c r="LU203" s="286"/>
      <c r="LV203" s="286"/>
      <c r="LW203" s="286"/>
      <c r="LX203" s="286"/>
      <c r="LY203" s="286"/>
      <c r="LZ203" s="286"/>
      <c r="MA203" s="286"/>
      <c r="MB203" s="286"/>
      <c r="MC203" s="286"/>
      <c r="MD203" s="286"/>
      <c r="ME203" s="286"/>
      <c r="MF203" s="286"/>
      <c r="MG203" s="286"/>
      <c r="MH203" s="286"/>
      <c r="MI203" s="286"/>
      <c r="MJ203" s="286"/>
      <c r="MK203" s="286"/>
      <c r="ML203" s="282"/>
      <c r="MM203" s="1232"/>
      <c r="MN203" s="1232"/>
      <c r="MO203" s="1232"/>
      <c r="MP203" s="1232"/>
      <c r="MQ203" s="282"/>
      <c r="MR203" s="282"/>
      <c r="MS203" s="282"/>
      <c r="MT203" s="282"/>
      <c r="MU203" s="282"/>
      <c r="MV203" s="282"/>
      <c r="MW203" s="282"/>
      <c r="MX203" s="282"/>
      <c r="MY203" s="282"/>
      <c r="MZ203" s="282"/>
      <c r="NA203" s="282"/>
      <c r="NB203" s="282"/>
      <c r="NC203" s="282"/>
      <c r="ND203" s="282"/>
      <c r="NE203" s="282"/>
      <c r="NF203" s="282"/>
      <c r="NG203" s="282"/>
      <c r="NH203" s="282"/>
      <c r="NI203" s="282"/>
      <c r="NJ203" s="282"/>
      <c r="NK203" s="282"/>
      <c r="NL203" s="282"/>
      <c r="NM203" s="1205"/>
      <c r="NN203" s="282"/>
      <c r="NO203" s="282"/>
      <c r="NP203" s="282"/>
      <c r="NQ203" s="282"/>
      <c r="NR203" s="282"/>
      <c r="NS203" s="282"/>
      <c r="NT203" s="282"/>
      <c r="NU203" s="282"/>
      <c r="NV203" s="286"/>
      <c r="NW203" s="286"/>
      <c r="NX203" s="286"/>
      <c r="NY203" s="286"/>
      <c r="NZ203" s="286"/>
      <c r="OA203" s="286"/>
      <c r="OB203" s="286"/>
      <c r="OC203" s="286"/>
      <c r="OD203" s="286"/>
      <c r="OE203" s="282"/>
      <c r="OF203" s="282"/>
      <c r="OG203" s="286"/>
      <c r="OH203" s="286"/>
      <c r="OI203" s="286"/>
      <c r="OJ203" s="286"/>
      <c r="OK203" s="286"/>
      <c r="OL203" s="286"/>
      <c r="OM203" s="286"/>
      <c r="ON203" s="286"/>
      <c r="OO203" s="286"/>
      <c r="OP203" s="434"/>
      <c r="OQ203" s="434"/>
      <c r="OR203" s="282"/>
      <c r="OS203" s="282"/>
      <c r="OT203" s="282"/>
      <c r="OU203" s="282"/>
      <c r="OV203" s="282"/>
      <c r="OW203" s="286"/>
      <c r="OX203" s="286"/>
      <c r="OY203" s="286"/>
      <c r="OZ203" s="286"/>
      <c r="PA203" s="286"/>
      <c r="PB203" s="286"/>
      <c r="PC203" s="286"/>
      <c r="PD203" s="282"/>
      <c r="PE203" s="282"/>
      <c r="PF203" s="286"/>
      <c r="PG203" s="286"/>
      <c r="PH203" s="286"/>
      <c r="PI203" s="286"/>
      <c r="PJ203" s="286"/>
      <c r="PK203" s="286"/>
      <c r="PL203" s="286"/>
      <c r="PM203" s="562"/>
    </row>
    <row r="204" spans="1:429" s="289" customFormat="1" ht="15.75" customHeight="1">
      <c r="A204" s="1040"/>
      <c r="B204" s="670"/>
      <c r="C204" s="1051"/>
      <c r="D204" s="279"/>
      <c r="E204" s="671"/>
      <c r="F204" s="1051"/>
      <c r="G204" s="1051"/>
      <c r="H204" s="1051"/>
      <c r="I204" s="1051"/>
      <c r="J204" s="1051"/>
      <c r="K204" s="1198"/>
      <c r="L204" s="1199"/>
      <c r="M204" s="1199"/>
      <c r="N204" s="1199"/>
      <c r="O204" s="1199"/>
      <c r="P204" s="1199"/>
      <c r="Q204" s="1051"/>
      <c r="R204" s="1051"/>
      <c r="S204" s="1051"/>
      <c r="T204" s="1199"/>
      <c r="U204" s="1199"/>
      <c r="V204" s="1199"/>
      <c r="W204" s="1051"/>
      <c r="X204" s="1051"/>
      <c r="Y204" s="1199"/>
      <c r="Z204" s="1199"/>
      <c r="AA204" s="1051"/>
      <c r="AB204" s="280"/>
      <c r="AC204" s="1199"/>
      <c r="AD204" s="1200"/>
      <c r="AE204" s="1051"/>
      <c r="AF204" s="1051"/>
      <c r="AG204" s="1199"/>
      <c r="AH204" s="1051"/>
      <c r="AI204" s="1051"/>
      <c r="AJ204" s="1199"/>
      <c r="AK204" s="1198"/>
      <c r="AL204" s="1198"/>
      <c r="AM204" s="1340"/>
      <c r="AN204" s="1199"/>
      <c r="AO204" s="1051"/>
      <c r="AP204" s="1051"/>
      <c r="AQ204" s="1051"/>
      <c r="AR204" s="1199"/>
      <c r="AS204" s="1200"/>
      <c r="AT204" s="1200"/>
      <c r="AU204" s="1200"/>
      <c r="AV204" s="1200"/>
      <c r="AW204" s="1200"/>
      <c r="AX204" s="1198"/>
      <c r="AY204" s="1198"/>
      <c r="AZ204" s="1198"/>
      <c r="BA204" s="1198"/>
      <c r="BB204" s="1198"/>
      <c r="BC204" s="1198"/>
      <c r="BD204" s="1198"/>
      <c r="BE204" s="1051"/>
      <c r="BF204" s="1051"/>
      <c r="BG204" s="1051"/>
      <c r="BH204" s="1051"/>
      <c r="BI204" s="1198"/>
      <c r="BJ204" s="1051"/>
      <c r="BK204" s="1051"/>
      <c r="BL204" s="280"/>
      <c r="BM204" s="1051"/>
      <c r="BN204" s="1051"/>
      <c r="BO204" s="1200"/>
      <c r="BP204" s="1198"/>
      <c r="BQ204" s="1198"/>
      <c r="BR204" s="1349"/>
      <c r="BS204" s="1404"/>
      <c r="BT204" s="1202"/>
      <c r="BU204" s="1202"/>
      <c r="BV204" s="1201"/>
      <c r="BW204" s="1051"/>
      <c r="BX204" s="1051"/>
      <c r="BY204" s="1051"/>
      <c r="BZ204" s="1051"/>
      <c r="CA204" s="1051"/>
      <c r="CB204" s="1051"/>
      <c r="CC204" s="1051"/>
      <c r="CD204" s="1051"/>
      <c r="CE204" s="1051"/>
      <c r="CF204" s="1051"/>
      <c r="CG204" s="1051"/>
      <c r="CH204" s="1051"/>
      <c r="CI204" s="1051"/>
      <c r="CJ204" s="1051"/>
      <c r="CK204" s="30"/>
      <c r="CL204" s="30"/>
      <c r="CM204" s="30"/>
      <c r="CN204" s="30"/>
      <c r="CO204" s="30"/>
      <c r="CP204" s="30"/>
      <c r="CQ204" s="30"/>
      <c r="CR204" s="30"/>
      <c r="CS204" s="30"/>
      <c r="CT204" s="30"/>
      <c r="CU204" s="30"/>
      <c r="CV204" s="1051"/>
      <c r="CW204" s="1051"/>
      <c r="CX204" s="1051"/>
      <c r="CY204" s="1051"/>
      <c r="CZ204" s="1051"/>
      <c r="DA204" s="1051"/>
      <c r="DB204" s="1051"/>
      <c r="DC204" s="30"/>
      <c r="DD204" s="30"/>
      <c r="DE204" s="30"/>
      <c r="DF204" s="30"/>
      <c r="DG204" s="30"/>
      <c r="DH204" s="30"/>
      <c r="DI204" s="30"/>
      <c r="DJ204" s="1051"/>
      <c r="DK204" s="1051"/>
      <c r="DL204" s="1051"/>
      <c r="DM204" s="1051"/>
      <c r="DN204" s="1051"/>
      <c r="DO204" s="1051"/>
      <c r="DP204" s="1051"/>
      <c r="DQ204" s="1051"/>
      <c r="DR204" s="1051"/>
      <c r="DS204" s="1051"/>
      <c r="DT204" s="1051"/>
      <c r="DU204" s="1051"/>
      <c r="DV204" s="1051"/>
      <c r="DW204" s="1051"/>
      <c r="DX204" s="1051"/>
      <c r="DY204" s="1051"/>
      <c r="DZ204" s="1051"/>
      <c r="EA204" s="1051"/>
      <c r="EB204" s="1051"/>
      <c r="EC204" s="1051"/>
      <c r="ED204" s="818"/>
      <c r="EE204" s="1051"/>
      <c r="EF204" s="1051"/>
      <c r="EG204" s="1198"/>
      <c r="EH204" s="1198"/>
      <c r="EI204" s="1203"/>
      <c r="EJ204" s="1051"/>
      <c r="EK204" s="1051"/>
      <c r="EL204" s="1051"/>
      <c r="EM204" s="1051"/>
      <c r="EN204" s="280"/>
      <c r="EO204" s="1051"/>
      <c r="EP204" s="1051"/>
      <c r="EQ204" s="1051"/>
      <c r="ER204" s="1198"/>
      <c r="ES204" s="1051"/>
      <c r="ET204" s="1051"/>
      <c r="EU204" s="1198"/>
      <c r="EV204" s="1051"/>
      <c r="EW204" s="1051"/>
      <c r="EX204" s="1198"/>
      <c r="EY204" s="1051"/>
      <c r="EZ204" s="1051"/>
      <c r="FA204" s="1051"/>
      <c r="FB204" s="1051"/>
      <c r="FC204" s="1051"/>
      <c r="FD204" s="1051"/>
      <c r="FE204" s="1051"/>
      <c r="FF204" s="1051"/>
      <c r="FG204" s="1051"/>
      <c r="FH204" s="30"/>
      <c r="FI204" s="30"/>
      <c r="FJ204" s="30"/>
      <c r="FK204" s="30"/>
      <c r="FL204" s="30"/>
      <c r="FM204" s="30"/>
      <c r="FN204" s="30"/>
      <c r="FO204" s="30"/>
      <c r="FP204" s="30"/>
      <c r="FQ204" s="1051"/>
      <c r="FR204" s="1051"/>
      <c r="FS204" s="1051"/>
      <c r="FT204" s="1051"/>
      <c r="FU204" s="1051"/>
      <c r="FV204" s="1051"/>
      <c r="FW204" s="1051"/>
      <c r="FX204" s="1051"/>
      <c r="FY204" s="1051"/>
      <c r="FZ204" s="30"/>
      <c r="GA204" s="30"/>
      <c r="GB204" s="30"/>
      <c r="GC204" s="30"/>
      <c r="GD204" s="30"/>
      <c r="GE204" s="30"/>
      <c r="GF204" s="30"/>
      <c r="GG204" s="30"/>
      <c r="GH204" s="30"/>
      <c r="GI204" s="281"/>
      <c r="GJ204" s="1052"/>
      <c r="GK204" s="622"/>
      <c r="GL204" s="1052"/>
      <c r="GM204" s="622"/>
      <c r="GN204" s="1052"/>
      <c r="GO204" s="1052"/>
      <c r="GP204" s="1052"/>
      <c r="GQ204" s="1052"/>
      <c r="GR204" s="1052"/>
      <c r="GS204" s="1052"/>
      <c r="GT204" s="1052"/>
      <c r="GU204" s="1052"/>
      <c r="GV204" s="1052"/>
      <c r="GW204" s="1052"/>
      <c r="GX204" s="1052"/>
      <c r="GY204" s="1052"/>
      <c r="GZ204" s="30"/>
      <c r="HA204" s="30"/>
      <c r="HB204" s="30"/>
      <c r="HC204" s="30"/>
      <c r="HD204" s="30"/>
      <c r="HE204" s="30"/>
      <c r="HF204" s="30"/>
      <c r="HG204" s="1051"/>
      <c r="HH204" s="1051"/>
      <c r="HI204" s="1051"/>
      <c r="HJ204" s="1051"/>
      <c r="HK204" s="1051"/>
      <c r="HL204" s="1051"/>
      <c r="HM204" s="1051"/>
      <c r="HN204" s="1051"/>
      <c r="HO204" s="1051"/>
      <c r="HP204" s="1052"/>
      <c r="HQ204" s="1052"/>
      <c r="HR204" s="1052"/>
      <c r="HS204" s="1052"/>
      <c r="HT204" s="1052"/>
      <c r="HU204" s="1052"/>
      <c r="HV204" s="1052"/>
      <c r="HW204" s="1052"/>
      <c r="HX204" s="1052"/>
      <c r="HY204" s="1052"/>
      <c r="HZ204" s="51"/>
      <c r="IA204" s="59"/>
      <c r="IB204" s="59"/>
      <c r="IC204" s="815"/>
      <c r="ID204" s="815"/>
      <c r="IE204" s="284"/>
      <c r="IF204" s="284"/>
      <c r="IG204" s="284"/>
      <c r="IH204" s="284"/>
      <c r="II204" s="1288"/>
      <c r="IJ204" s="1288"/>
      <c r="IK204" s="284"/>
      <c r="IL204" s="284"/>
      <c r="IM204" s="284"/>
      <c r="IN204" s="284"/>
      <c r="IO204" s="753"/>
      <c r="IP204" s="113"/>
      <c r="IQ204" s="30"/>
      <c r="IR204" s="438"/>
      <c r="IS204" s="438"/>
      <c r="IT204" s="438"/>
      <c r="IU204" s="438"/>
      <c r="IV204" s="438"/>
      <c r="IW204" s="438"/>
      <c r="IX204" s="285"/>
      <c r="IY204" s="285"/>
      <c r="IZ204" s="285"/>
      <c r="JA204" s="285"/>
      <c r="JB204" s="285"/>
      <c r="JC204" s="285"/>
      <c r="JD204" s="60"/>
      <c r="JE204" s="60"/>
      <c r="JF204" s="60"/>
      <c r="JG204" s="60"/>
      <c r="JH204" s="284"/>
      <c r="JI204" s="284"/>
      <c r="JJ204" s="560"/>
      <c r="JK204" s="561"/>
      <c r="JL204" s="561"/>
      <c r="JM204" s="561"/>
      <c r="JN204" s="561"/>
      <c r="JO204" s="561"/>
      <c r="JP204" s="561"/>
      <c r="JQ204" s="561"/>
      <c r="JR204" s="61"/>
      <c r="JS204" s="61"/>
      <c r="JT204" s="61"/>
      <c r="JU204" s="61"/>
      <c r="JV204" s="61"/>
      <c r="JW204" s="61"/>
      <c r="JX204" s="61"/>
      <c r="JY204" s="394"/>
      <c r="JZ204" s="61"/>
      <c r="KA204" s="61"/>
      <c r="KB204" s="61"/>
      <c r="KC204" s="61"/>
      <c r="KD204" s="61"/>
      <c r="KE204" s="61"/>
      <c r="KF204" s="61"/>
      <c r="KG204" s="61"/>
      <c r="KH204" s="61"/>
      <c r="KI204" s="394"/>
      <c r="KJ204" s="438"/>
      <c r="KK204" s="438"/>
      <c r="KL204" s="438"/>
      <c r="KM204" s="438"/>
      <c r="KN204" s="438"/>
      <c r="KO204" s="438"/>
      <c r="KP204" s="438"/>
      <c r="KQ204" s="438"/>
      <c r="KR204" s="438"/>
      <c r="KS204" s="438"/>
      <c r="KT204" s="438"/>
      <c r="KU204" s="438"/>
      <c r="KV204" s="420"/>
      <c r="KW204" s="420"/>
      <c r="KX204" s="108"/>
      <c r="KY204" s="282"/>
      <c r="KZ204" s="282"/>
      <c r="LA204" s="282"/>
      <c r="LB204" s="282"/>
      <c r="LC204" s="286"/>
      <c r="LD204" s="286"/>
      <c r="LE204" s="282"/>
      <c r="LF204" s="282"/>
      <c r="LG204" s="282"/>
      <c r="LH204" s="282"/>
      <c r="LI204" s="282"/>
      <c r="LJ204" s="282"/>
      <c r="LK204" s="282"/>
      <c r="LL204" s="282"/>
      <c r="LM204" s="282"/>
      <c r="LN204" s="282"/>
      <c r="LO204" s="282"/>
      <c r="LP204" s="286"/>
      <c r="LQ204" s="282"/>
      <c r="LR204" s="282"/>
      <c r="LS204" s="282"/>
      <c r="LT204" s="286"/>
      <c r="LU204" s="286"/>
      <c r="LV204" s="286"/>
      <c r="LW204" s="286"/>
      <c r="LX204" s="286"/>
      <c r="LY204" s="286"/>
      <c r="LZ204" s="286"/>
      <c r="MA204" s="286"/>
      <c r="MB204" s="286"/>
      <c r="MC204" s="286"/>
      <c r="MD204" s="286"/>
      <c r="ME204" s="286"/>
      <c r="MF204" s="286"/>
      <c r="MG204" s="286"/>
      <c r="MH204" s="286"/>
      <c r="MI204" s="286"/>
      <c r="MJ204" s="286"/>
      <c r="MK204" s="286"/>
      <c r="ML204" s="282"/>
      <c r="MM204" s="1232"/>
      <c r="MN204" s="1232"/>
      <c r="MO204" s="1232"/>
      <c r="MP204" s="1232"/>
      <c r="MQ204" s="282"/>
      <c r="MR204" s="282"/>
      <c r="MS204" s="282"/>
      <c r="MT204" s="282"/>
      <c r="MU204" s="282"/>
      <c r="MV204" s="282"/>
      <c r="MW204" s="282"/>
      <c r="MX204" s="282"/>
      <c r="MY204" s="282"/>
      <c r="MZ204" s="282"/>
      <c r="NA204" s="282"/>
      <c r="NB204" s="282"/>
      <c r="NC204" s="282"/>
      <c r="ND204" s="282"/>
      <c r="NE204" s="282"/>
      <c r="NF204" s="282"/>
      <c r="NG204" s="282"/>
      <c r="NH204" s="282"/>
      <c r="NI204" s="282"/>
      <c r="NJ204" s="282"/>
      <c r="NK204" s="282"/>
      <c r="NL204" s="282"/>
      <c r="NM204" s="1205"/>
      <c r="NN204" s="282"/>
      <c r="NO204" s="282"/>
      <c r="NP204" s="282"/>
      <c r="NQ204" s="282"/>
      <c r="NR204" s="282"/>
      <c r="NS204" s="282"/>
      <c r="NT204" s="282"/>
      <c r="NU204" s="282"/>
      <c r="NV204" s="286"/>
      <c r="NW204" s="286"/>
      <c r="NX204" s="286"/>
      <c r="NY204" s="286"/>
      <c r="NZ204" s="286"/>
      <c r="OA204" s="286"/>
      <c r="OB204" s="286"/>
      <c r="OC204" s="286"/>
      <c r="OD204" s="286"/>
      <c r="OE204" s="282"/>
      <c r="OF204" s="282"/>
      <c r="OG204" s="286"/>
      <c r="OH204" s="286"/>
      <c r="OI204" s="286"/>
      <c r="OJ204" s="286"/>
      <c r="OK204" s="286"/>
      <c r="OL204" s="286"/>
      <c r="OM204" s="286"/>
      <c r="ON204" s="286"/>
      <c r="OO204" s="286"/>
      <c r="OP204" s="434"/>
      <c r="OQ204" s="434"/>
      <c r="OR204" s="282"/>
      <c r="OS204" s="282"/>
      <c r="OT204" s="282"/>
      <c r="OU204" s="282"/>
      <c r="OV204" s="282"/>
      <c r="OW204" s="286"/>
      <c r="OX204" s="286"/>
      <c r="OY204" s="286"/>
      <c r="OZ204" s="286"/>
      <c r="PA204" s="286"/>
      <c r="PB204" s="286"/>
      <c r="PC204" s="286"/>
      <c r="PD204" s="282"/>
      <c r="PE204" s="282"/>
      <c r="PF204" s="286"/>
      <c r="PG204" s="286"/>
      <c r="PH204" s="286"/>
      <c r="PI204" s="286"/>
      <c r="PJ204" s="286"/>
      <c r="PK204" s="286"/>
      <c r="PL204" s="286"/>
      <c r="PM204" s="562"/>
    </row>
    <row r="205" spans="1:429" s="289" customFormat="1" ht="15.75" customHeight="1">
      <c r="A205" s="1050"/>
      <c r="B205" s="670"/>
      <c r="C205" s="1051"/>
      <c r="D205" s="279"/>
      <c r="E205" s="671"/>
      <c r="F205" s="1051"/>
      <c r="G205" s="1051"/>
      <c r="H205" s="1051"/>
      <c r="I205" s="1051"/>
      <c r="J205" s="1051"/>
      <c r="K205" s="1198"/>
      <c r="L205" s="1199"/>
      <c r="M205" s="1199"/>
      <c r="N205" s="1199"/>
      <c r="O205" s="1199"/>
      <c r="P205" s="1199"/>
      <c r="Q205" s="1051"/>
      <c r="R205" s="1051"/>
      <c r="S205" s="1051"/>
      <c r="T205" s="1199"/>
      <c r="U205" s="1199"/>
      <c r="V205" s="1199"/>
      <c r="W205" s="1051"/>
      <c r="X205" s="1051"/>
      <c r="Y205" s="1199"/>
      <c r="Z205" s="1199"/>
      <c r="AA205" s="1051"/>
      <c r="AB205" s="280"/>
      <c r="AC205" s="1199"/>
      <c r="AD205" s="1200"/>
      <c r="AE205" s="1051"/>
      <c r="AF205" s="1051"/>
      <c r="AG205" s="1199"/>
      <c r="AH205" s="1051"/>
      <c r="AI205" s="1051"/>
      <c r="AJ205" s="1199"/>
      <c r="AK205" s="1198"/>
      <c r="AL205" s="1198"/>
      <c r="AM205" s="1340"/>
      <c r="AN205" s="1199"/>
      <c r="AO205" s="1051"/>
      <c r="AP205" s="1051"/>
      <c r="AQ205" s="1051"/>
      <c r="AR205" s="1199"/>
      <c r="AS205" s="1200"/>
      <c r="AT205" s="1200"/>
      <c r="AU205" s="1200"/>
      <c r="AV205" s="1200"/>
      <c r="AW205" s="1200"/>
      <c r="AX205" s="1198"/>
      <c r="AY205" s="1198"/>
      <c r="AZ205" s="1198"/>
      <c r="BA205" s="1198"/>
      <c r="BB205" s="1198"/>
      <c r="BC205" s="1198"/>
      <c r="BD205" s="1198"/>
      <c r="BE205" s="1051"/>
      <c r="BF205" s="1051"/>
      <c r="BG205" s="1051"/>
      <c r="BH205" s="1051"/>
      <c r="BI205" s="1198"/>
      <c r="BJ205" s="1051"/>
      <c r="BK205" s="1051"/>
      <c r="BL205" s="280"/>
      <c r="BM205" s="1051"/>
      <c r="BN205" s="1051"/>
      <c r="BO205" s="1200"/>
      <c r="BP205" s="1198"/>
      <c r="BQ205" s="1198"/>
      <c r="BR205" s="1349"/>
      <c r="BS205" s="1404"/>
      <c r="BT205" s="1202"/>
      <c r="BU205" s="1202"/>
      <c r="BV205" s="1201"/>
      <c r="BW205" s="1051"/>
      <c r="BX205" s="1051"/>
      <c r="BY205" s="1051"/>
      <c r="BZ205" s="1051"/>
      <c r="CA205" s="1051"/>
      <c r="CB205" s="1051"/>
      <c r="CC205" s="1051"/>
      <c r="CD205" s="1051"/>
      <c r="CE205" s="1051"/>
      <c r="CF205" s="1051"/>
      <c r="CG205" s="1051"/>
      <c r="CH205" s="1051"/>
      <c r="CI205" s="1051"/>
      <c r="CJ205" s="1051"/>
      <c r="CK205" s="30"/>
      <c r="CL205" s="30"/>
      <c r="CM205" s="30"/>
      <c r="CN205" s="30"/>
      <c r="CO205" s="30"/>
      <c r="CP205" s="30"/>
      <c r="CQ205" s="30"/>
      <c r="CR205" s="30"/>
      <c r="CS205" s="30"/>
      <c r="CT205" s="30"/>
      <c r="CU205" s="30"/>
      <c r="CV205" s="1051"/>
      <c r="CW205" s="1051"/>
      <c r="CX205" s="1051"/>
      <c r="CY205" s="1051"/>
      <c r="CZ205" s="1051"/>
      <c r="DA205" s="1051"/>
      <c r="DB205" s="1051"/>
      <c r="DC205" s="30"/>
      <c r="DD205" s="30"/>
      <c r="DE205" s="30"/>
      <c r="DF205" s="30"/>
      <c r="DG205" s="30"/>
      <c r="DH205" s="30"/>
      <c r="DI205" s="30"/>
      <c r="DJ205" s="1051"/>
      <c r="DK205" s="1051"/>
      <c r="DL205" s="1051"/>
      <c r="DM205" s="1051"/>
      <c r="DN205" s="1051"/>
      <c r="DO205" s="1051"/>
      <c r="DP205" s="1051"/>
      <c r="DQ205" s="1051"/>
      <c r="DR205" s="1051"/>
      <c r="DS205" s="1051"/>
      <c r="DT205" s="1051"/>
      <c r="DU205" s="1051"/>
      <c r="DV205" s="1051"/>
      <c r="DW205" s="1051"/>
      <c r="DX205" s="1051"/>
      <c r="DY205" s="1051"/>
      <c r="DZ205" s="1051"/>
      <c r="EA205" s="1051"/>
      <c r="EB205" s="1051"/>
      <c r="EC205" s="1051"/>
      <c r="ED205" s="818"/>
      <c r="EE205" s="1051"/>
      <c r="EF205" s="1051"/>
      <c r="EG205" s="1198"/>
      <c r="EH205" s="1198"/>
      <c r="EI205" s="1203"/>
      <c r="EJ205" s="1051"/>
      <c r="EK205" s="1051"/>
      <c r="EL205" s="1051"/>
      <c r="EM205" s="1051"/>
      <c r="EN205" s="280"/>
      <c r="EO205" s="1051"/>
      <c r="EP205" s="1051"/>
      <c r="EQ205" s="1051"/>
      <c r="ER205" s="1198"/>
      <c r="ES205" s="1051"/>
      <c r="ET205" s="1051"/>
      <c r="EU205" s="1198"/>
      <c r="EV205" s="1051"/>
      <c r="EW205" s="1051"/>
      <c r="EX205" s="1198"/>
      <c r="EY205" s="1051"/>
      <c r="EZ205" s="1051"/>
      <c r="FA205" s="1051"/>
      <c r="FB205" s="1051"/>
      <c r="FC205" s="1051"/>
      <c r="FD205" s="1051"/>
      <c r="FE205" s="1051"/>
      <c r="FF205" s="1051"/>
      <c r="FG205" s="1051"/>
      <c r="FH205" s="30"/>
      <c r="FI205" s="30"/>
      <c r="FJ205" s="30"/>
      <c r="FK205" s="30"/>
      <c r="FL205" s="30"/>
      <c r="FM205" s="30"/>
      <c r="FN205" s="30"/>
      <c r="FO205" s="30"/>
      <c r="FP205" s="30"/>
      <c r="FQ205" s="1051"/>
      <c r="FR205" s="1051"/>
      <c r="FS205" s="1051"/>
      <c r="FT205" s="1051"/>
      <c r="FU205" s="1051"/>
      <c r="FV205" s="1051"/>
      <c r="FW205" s="1051"/>
      <c r="FX205" s="1051"/>
      <c r="FY205" s="1051"/>
      <c r="FZ205" s="30"/>
      <c r="GA205" s="30"/>
      <c r="GB205" s="30"/>
      <c r="GC205" s="30"/>
      <c r="GD205" s="30"/>
      <c r="GE205" s="30"/>
      <c r="GF205" s="30"/>
      <c r="GG205" s="30"/>
      <c r="GH205" s="30"/>
      <c r="GI205" s="281"/>
      <c r="GJ205" s="1052"/>
      <c r="GK205" s="622"/>
      <c r="GL205" s="1052"/>
      <c r="GM205" s="622"/>
      <c r="GN205" s="1052"/>
      <c r="GO205" s="1052"/>
      <c r="GP205" s="1052"/>
      <c r="GQ205" s="1052"/>
      <c r="GR205" s="1052"/>
      <c r="GS205" s="1052"/>
      <c r="GT205" s="1052"/>
      <c r="GU205" s="1052"/>
      <c r="GV205" s="1052"/>
      <c r="GW205" s="1052"/>
      <c r="GX205" s="1052"/>
      <c r="GY205" s="1052"/>
      <c r="GZ205" s="30"/>
      <c r="HA205" s="30"/>
      <c r="HB205" s="30"/>
      <c r="HC205" s="30"/>
      <c r="HD205" s="30"/>
      <c r="HE205" s="30"/>
      <c r="HF205" s="30"/>
      <c r="HG205" s="1051"/>
      <c r="HH205" s="1051"/>
      <c r="HI205" s="1051"/>
      <c r="HJ205" s="1051"/>
      <c r="HK205" s="1051"/>
      <c r="HL205" s="1051"/>
      <c r="HM205" s="1051"/>
      <c r="HN205" s="1051"/>
      <c r="HO205" s="1051"/>
      <c r="HP205" s="1052"/>
      <c r="HQ205" s="1052"/>
      <c r="HR205" s="1052"/>
      <c r="HS205" s="1052"/>
      <c r="HT205" s="1052"/>
      <c r="HU205" s="1052"/>
      <c r="HV205" s="1052"/>
      <c r="HW205" s="1052"/>
      <c r="HX205" s="1052"/>
      <c r="HY205" s="1052"/>
      <c r="HZ205" s="51"/>
      <c r="IA205" s="59"/>
      <c r="IB205" s="59"/>
      <c r="IC205" s="815"/>
      <c r="ID205" s="815"/>
      <c r="IE205" s="284"/>
      <c r="IF205" s="284"/>
      <c r="IG205" s="284"/>
      <c r="IH205" s="284"/>
      <c r="II205" s="1288"/>
      <c r="IJ205" s="1288"/>
      <c r="IK205" s="284"/>
      <c r="IL205" s="284"/>
      <c r="IM205" s="284"/>
      <c r="IN205" s="284"/>
      <c r="IO205" s="753"/>
      <c r="IP205" s="113"/>
      <c r="IQ205" s="30"/>
      <c r="IR205" s="438"/>
      <c r="IS205" s="438"/>
      <c r="IT205" s="438"/>
      <c r="IU205" s="438"/>
      <c r="IV205" s="438"/>
      <c r="IW205" s="438"/>
      <c r="IX205" s="285"/>
      <c r="IY205" s="285"/>
      <c r="IZ205" s="285"/>
      <c r="JA205" s="285"/>
      <c r="JB205" s="285"/>
      <c r="JC205" s="285"/>
      <c r="JD205" s="60"/>
      <c r="JE205" s="60"/>
      <c r="JF205" s="60"/>
      <c r="JG205" s="60"/>
      <c r="JH205" s="284"/>
      <c r="JI205" s="284"/>
      <c r="JJ205" s="560"/>
      <c r="JK205" s="561"/>
      <c r="JL205" s="561"/>
      <c r="JM205" s="561"/>
      <c r="JN205" s="561"/>
      <c r="JO205" s="561"/>
      <c r="JP205" s="561"/>
      <c r="JQ205" s="561"/>
      <c r="JR205" s="61"/>
      <c r="JS205" s="61"/>
      <c r="JT205" s="61"/>
      <c r="JU205" s="61"/>
      <c r="JV205" s="61"/>
      <c r="JW205" s="61"/>
      <c r="JX205" s="61"/>
      <c r="JY205" s="394"/>
      <c r="JZ205" s="61"/>
      <c r="KA205" s="61"/>
      <c r="KB205" s="61"/>
      <c r="KC205" s="61"/>
      <c r="KD205" s="61"/>
      <c r="KE205" s="61"/>
      <c r="KF205" s="61"/>
      <c r="KG205" s="61"/>
      <c r="KH205" s="61"/>
      <c r="KI205" s="394"/>
      <c r="KJ205" s="438"/>
      <c r="KK205" s="438"/>
      <c r="KL205" s="438"/>
      <c r="KM205" s="438"/>
      <c r="KN205" s="438"/>
      <c r="KO205" s="438"/>
      <c r="KP205" s="438"/>
      <c r="KQ205" s="438"/>
      <c r="KR205" s="438"/>
      <c r="KS205" s="438"/>
      <c r="KT205" s="438"/>
      <c r="KU205" s="438"/>
      <c r="KV205" s="420"/>
      <c r="KW205" s="420"/>
      <c r="KX205" s="108"/>
      <c r="KY205" s="282"/>
      <c r="KZ205" s="282"/>
      <c r="LA205" s="282"/>
      <c r="LB205" s="282"/>
      <c r="LC205" s="286"/>
      <c r="LD205" s="286"/>
      <c r="LE205" s="282"/>
      <c r="LF205" s="282"/>
      <c r="LG205" s="282"/>
      <c r="LH205" s="282"/>
      <c r="LI205" s="282"/>
      <c r="LJ205" s="282"/>
      <c r="LK205" s="282"/>
      <c r="LL205" s="282"/>
      <c r="LM205" s="282"/>
      <c r="LN205" s="282"/>
      <c r="LO205" s="282"/>
      <c r="LP205" s="286"/>
      <c r="LQ205" s="282"/>
      <c r="LR205" s="282"/>
      <c r="LS205" s="282"/>
      <c r="LT205" s="286"/>
      <c r="LU205" s="286"/>
      <c r="LV205" s="286"/>
      <c r="LW205" s="286"/>
      <c r="LX205" s="286"/>
      <c r="LY205" s="286"/>
      <c r="LZ205" s="286"/>
      <c r="MA205" s="286"/>
      <c r="MB205" s="286"/>
      <c r="MC205" s="286"/>
      <c r="MD205" s="286"/>
      <c r="ME205" s="286"/>
      <c r="MF205" s="286"/>
      <c r="MG205" s="286"/>
      <c r="MH205" s="286"/>
      <c r="MI205" s="286"/>
      <c r="MJ205" s="286"/>
      <c r="MK205" s="286"/>
      <c r="ML205" s="282"/>
      <c r="MM205" s="1232"/>
      <c r="MN205" s="1232"/>
      <c r="MO205" s="1232"/>
      <c r="MP205" s="1232"/>
      <c r="MQ205" s="282"/>
      <c r="MR205" s="282"/>
      <c r="MS205" s="282"/>
      <c r="MT205" s="282"/>
      <c r="MU205" s="282"/>
      <c r="MV205" s="282"/>
      <c r="MW205" s="282"/>
      <c r="MX205" s="282"/>
      <c r="MY205" s="282"/>
      <c r="MZ205" s="282"/>
      <c r="NA205" s="282"/>
      <c r="NB205" s="282"/>
      <c r="NC205" s="282"/>
      <c r="ND205" s="282"/>
      <c r="NE205" s="282"/>
      <c r="NF205" s="282"/>
      <c r="NG205" s="282"/>
      <c r="NH205" s="282"/>
      <c r="NI205" s="282"/>
      <c r="NJ205" s="282"/>
      <c r="NK205" s="282"/>
      <c r="NL205" s="282"/>
      <c r="NM205" s="1205"/>
      <c r="NN205" s="282"/>
      <c r="NO205" s="282"/>
      <c r="NP205" s="282"/>
      <c r="NQ205" s="282"/>
      <c r="NR205" s="282"/>
      <c r="NS205" s="282"/>
      <c r="NT205" s="282"/>
      <c r="NU205" s="282"/>
      <c r="NV205" s="286"/>
      <c r="NW205" s="286"/>
      <c r="NX205" s="286"/>
      <c r="NY205" s="286"/>
      <c r="NZ205" s="286"/>
      <c r="OA205" s="286"/>
      <c r="OB205" s="286"/>
      <c r="OC205" s="286"/>
      <c r="OD205" s="286"/>
      <c r="OE205" s="282"/>
      <c r="OF205" s="282"/>
      <c r="OG205" s="286"/>
      <c r="OH205" s="286"/>
      <c r="OI205" s="286"/>
      <c r="OJ205" s="286"/>
      <c r="OK205" s="286"/>
      <c r="OL205" s="286"/>
      <c r="OM205" s="286"/>
      <c r="ON205" s="286"/>
      <c r="OO205" s="286"/>
      <c r="OP205" s="434"/>
      <c r="OQ205" s="434"/>
      <c r="OR205" s="282"/>
      <c r="OS205" s="282"/>
      <c r="OT205" s="282"/>
      <c r="OU205" s="282"/>
      <c r="OV205" s="282"/>
      <c r="OW205" s="286"/>
      <c r="OX205" s="286"/>
      <c r="OY205" s="286"/>
      <c r="OZ205" s="286"/>
      <c r="PA205" s="286"/>
      <c r="PB205" s="286"/>
      <c r="PC205" s="286"/>
      <c r="PD205" s="282"/>
      <c r="PE205" s="282"/>
      <c r="PF205" s="286"/>
      <c r="PG205" s="286"/>
      <c r="PH205" s="286"/>
      <c r="PI205" s="286"/>
      <c r="PJ205" s="286"/>
      <c r="PK205" s="286"/>
      <c r="PL205" s="286"/>
      <c r="PM205" s="562"/>
    </row>
    <row r="206" spans="1:429" s="289" customFormat="1" ht="15.75" customHeight="1">
      <c r="A206" s="1047"/>
      <c r="B206" s="1189"/>
      <c r="C206" s="1195"/>
      <c r="D206" s="101"/>
      <c r="E206" s="101"/>
      <c r="F206" s="101"/>
      <c r="G206" s="101"/>
      <c r="H206" s="103"/>
      <c r="I206" s="103"/>
      <c r="J206" s="103"/>
      <c r="K206" s="413"/>
      <c r="L206" s="1195"/>
      <c r="M206" s="1195"/>
      <c r="N206" s="1195"/>
      <c r="O206" s="1195"/>
      <c r="P206" s="1195"/>
      <c r="Q206" s="106"/>
      <c r="R206" s="106"/>
      <c r="S206" s="106"/>
      <c r="T206" s="1195"/>
      <c r="U206" s="1195"/>
      <c r="V206" s="1195"/>
      <c r="W206" s="106"/>
      <c r="X206" s="106"/>
      <c r="Y206" s="1195"/>
      <c r="Z206" s="1195"/>
      <c r="AA206" s="106"/>
      <c r="AB206" s="106"/>
      <c r="AC206" s="1195"/>
      <c r="AD206" s="1197"/>
      <c r="AE206" s="101"/>
      <c r="AF206" s="101"/>
      <c r="AG206" s="1195"/>
      <c r="AH206" s="101"/>
      <c r="AI206" s="106"/>
      <c r="AJ206" s="1195"/>
      <c r="AK206" s="106"/>
      <c r="AL206" s="106"/>
      <c r="AM206" s="1051"/>
      <c r="AN206" s="1190"/>
      <c r="AO206" s="106"/>
      <c r="AP206" s="106"/>
      <c r="AQ206" s="106"/>
      <c r="AR206" s="1190"/>
      <c r="AS206" s="1197"/>
      <c r="AT206" s="1197"/>
      <c r="AU206" s="1197"/>
      <c r="AV206" s="1197"/>
      <c r="AW206" s="1196"/>
      <c r="AX206" s="101"/>
      <c r="AY206" s="101"/>
      <c r="AZ206" s="101"/>
      <c r="BA206" s="101"/>
      <c r="BB206" s="101"/>
      <c r="BC206" s="101"/>
      <c r="BD206" s="101"/>
      <c r="BE206" s="101"/>
      <c r="BF206" s="106"/>
      <c r="BG206" s="106"/>
      <c r="BH206" s="106"/>
      <c r="BI206" s="106"/>
      <c r="BJ206" s="106"/>
      <c r="BK206" s="106"/>
      <c r="BL206" s="101"/>
      <c r="BM206" s="101"/>
      <c r="BN206" s="106"/>
      <c r="BO206" s="1195"/>
      <c r="BP206" s="101"/>
      <c r="BQ206" s="101"/>
      <c r="BR206" s="101"/>
      <c r="BS206" s="1373"/>
      <c r="BT206" s="101"/>
      <c r="BU206" s="101"/>
      <c r="BV206" s="101"/>
      <c r="BW206" s="413"/>
      <c r="BX206" s="413"/>
      <c r="BY206" s="413"/>
      <c r="BZ206" s="103"/>
      <c r="CA206" s="106"/>
      <c r="CB206" s="106"/>
      <c r="CC206" s="106"/>
      <c r="CD206" s="106"/>
      <c r="CE206" s="106"/>
      <c r="CF206" s="106"/>
      <c r="CG206" s="106"/>
      <c r="CH206" s="106"/>
      <c r="CI206" s="106"/>
      <c r="CJ206" s="106"/>
      <c r="CK206" s="101"/>
      <c r="CL206" s="101"/>
      <c r="CM206" s="101"/>
      <c r="CN206" s="101"/>
      <c r="CO206" s="101"/>
      <c r="CP206" s="101"/>
      <c r="CQ206" s="101"/>
      <c r="CR206" s="101"/>
      <c r="CS206" s="101"/>
      <c r="CT206" s="101"/>
      <c r="CU206" s="101"/>
      <c r="CV206" s="106"/>
      <c r="CW206" s="106"/>
      <c r="CX206" s="106"/>
      <c r="CY206" s="106"/>
      <c r="CZ206" s="106"/>
      <c r="DA206" s="106"/>
      <c r="DB206" s="106"/>
      <c r="DC206" s="398"/>
      <c r="DD206" s="398"/>
      <c r="DE206" s="398"/>
      <c r="DF206" s="398"/>
      <c r="DG206" s="398"/>
      <c r="DH206" s="398"/>
      <c r="DI206" s="398"/>
      <c r="DJ206" s="106"/>
      <c r="DK206" s="106"/>
      <c r="DL206" s="106"/>
      <c r="DM206" s="106"/>
      <c r="DN206" s="106"/>
      <c r="DO206" s="106"/>
      <c r="DP206" s="106"/>
      <c r="DQ206" s="106"/>
      <c r="DR206" s="106"/>
      <c r="DS206" s="106"/>
      <c r="DT206" s="106"/>
      <c r="DU206" s="106"/>
      <c r="DV206" s="106"/>
      <c r="DW206" s="106"/>
      <c r="DX206" s="106"/>
      <c r="DY206" s="106"/>
      <c r="DZ206" s="106"/>
      <c r="EA206" s="106"/>
      <c r="EB206" s="106"/>
      <c r="EC206" s="106"/>
      <c r="ED206" s="106"/>
      <c r="EE206" s="101"/>
      <c r="EF206" s="106"/>
      <c r="EG206" s="106"/>
      <c r="EH206" s="106"/>
      <c r="EI206" s="106"/>
      <c r="EJ206" s="417"/>
      <c r="EK206" s="101"/>
      <c r="EL206" s="106"/>
      <c r="EM206" s="101"/>
      <c r="EN206" s="101"/>
      <c r="EO206" s="101"/>
      <c r="EP206" s="106"/>
      <c r="EQ206" s="101"/>
      <c r="ER206" s="101"/>
      <c r="ES206" s="417"/>
      <c r="ET206" s="417"/>
      <c r="EU206" s="418"/>
      <c r="EV206" s="106"/>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408"/>
      <c r="FS206" s="101"/>
      <c r="FT206" s="101"/>
      <c r="FU206" s="101"/>
      <c r="FV206" s="101"/>
      <c r="FW206" s="101"/>
      <c r="FX206" s="101"/>
      <c r="FY206" s="408"/>
      <c r="FZ206" s="101"/>
      <c r="GA206" s="101"/>
      <c r="GB206" s="101"/>
      <c r="GC206" s="101"/>
      <c r="GD206" s="101"/>
      <c r="GE206" s="101"/>
      <c r="GF206" s="101"/>
      <c r="GG206" s="101"/>
      <c r="GH206" s="101"/>
      <c r="GI206" s="101"/>
      <c r="GJ206" s="101"/>
      <c r="GK206" s="101"/>
      <c r="GL206" s="101"/>
      <c r="GM206" s="101"/>
      <c r="GN206" s="103"/>
      <c r="GO206" s="103"/>
      <c r="GP206" s="103"/>
      <c r="GQ206" s="103"/>
      <c r="GR206" s="103"/>
      <c r="GS206" s="103"/>
      <c r="GT206" s="103"/>
      <c r="GU206" s="103"/>
      <c r="GV206" s="103"/>
      <c r="GW206" s="103"/>
      <c r="GX206" s="103"/>
      <c r="GY206" s="103"/>
      <c r="GZ206" s="101"/>
      <c r="HA206" s="101"/>
      <c r="HB206" s="101"/>
      <c r="HC206" s="101"/>
      <c r="HD206" s="101"/>
      <c r="HE206" s="101"/>
      <c r="HF206" s="101"/>
      <c r="HG206" s="106"/>
      <c r="HH206" s="106"/>
      <c r="HI206" s="106"/>
      <c r="HJ206" s="106"/>
      <c r="HK206" s="106"/>
      <c r="HL206" s="106"/>
      <c r="HM206" s="106"/>
      <c r="HN206" s="106"/>
      <c r="HO206" s="106"/>
      <c r="HP206" s="106"/>
      <c r="HQ206" s="106"/>
      <c r="HR206" s="106"/>
      <c r="HS206" s="101"/>
      <c r="HT206" s="101"/>
      <c r="HU206" s="101"/>
      <c r="HV206" s="101"/>
      <c r="HW206" s="101"/>
      <c r="HX206" s="101"/>
      <c r="HY206" s="101"/>
      <c r="HZ206" s="413"/>
      <c r="IA206" s="413"/>
      <c r="IB206" s="1191"/>
      <c r="IC206" s="413"/>
      <c r="ID206" s="815"/>
      <c r="IE206" s="413"/>
      <c r="IF206" s="284"/>
      <c r="IG206" s="284"/>
      <c r="IH206" s="284"/>
      <c r="II206" s="284"/>
      <c r="IJ206" s="284"/>
      <c r="IK206" s="284"/>
      <c r="IL206" s="413"/>
      <c r="IM206" s="413"/>
      <c r="IN206" s="413"/>
      <c r="IO206" s="753"/>
      <c r="IP206" s="753"/>
      <c r="IQ206" s="420"/>
      <c r="IR206" s="420"/>
      <c r="IS206" s="420"/>
      <c r="IT206" s="420"/>
      <c r="IU206" s="420"/>
      <c r="IV206" s="420"/>
      <c r="IW206" s="420"/>
      <c r="IX206" s="413"/>
      <c r="IY206" s="413"/>
      <c r="IZ206" s="413"/>
      <c r="JA206" s="413"/>
      <c r="JB206" s="413"/>
      <c r="JC206" s="413"/>
      <c r="JD206" s="413"/>
      <c r="JE206" s="413"/>
      <c r="JF206" s="413"/>
      <c r="JG206" s="413"/>
      <c r="JH206" s="413"/>
      <c r="JI206" s="413"/>
      <c r="JJ206" s="413"/>
      <c r="JK206" s="413"/>
      <c r="JL206" s="413"/>
      <c r="JM206" s="413"/>
      <c r="JN206" s="413"/>
      <c r="JO206" s="413"/>
      <c r="JP206" s="413"/>
      <c r="JQ206" s="413"/>
      <c r="JR206" s="413"/>
      <c r="JS206" s="413"/>
      <c r="JT206" s="413"/>
      <c r="JU206" s="413"/>
      <c r="JV206" s="413"/>
      <c r="JW206" s="413"/>
      <c r="JX206" s="413"/>
      <c r="JY206" s="420"/>
      <c r="JZ206" s="101"/>
      <c r="KA206" s="421"/>
      <c r="KB206" s="421"/>
      <c r="KC206" s="421"/>
      <c r="KD206" s="421"/>
      <c r="KE206" s="282"/>
      <c r="KF206" s="282"/>
      <c r="KG206" s="282"/>
      <c r="KH206" s="282"/>
      <c r="KI206" s="420"/>
      <c r="KJ206" s="282"/>
      <c r="KK206" s="282"/>
      <c r="KL206" s="282"/>
      <c r="KM206" s="282"/>
      <c r="KN206" s="282"/>
      <c r="KO206" s="282"/>
      <c r="KP206" s="282"/>
      <c r="KQ206" s="282"/>
      <c r="KR206" s="282"/>
      <c r="KS206" s="282"/>
      <c r="KT206" s="282"/>
      <c r="KU206" s="282"/>
      <c r="KV206" s="282"/>
      <c r="KW206" s="282"/>
      <c r="KX206" s="282"/>
      <c r="KY206" s="282"/>
      <c r="KZ206" s="1192"/>
      <c r="LA206" s="282"/>
      <c r="LB206" s="1192"/>
      <c r="LC206" s="1193"/>
      <c r="LD206" s="1193"/>
      <c r="LE206" s="1192"/>
      <c r="LF206" s="1192"/>
      <c r="LG206" s="1192"/>
      <c r="LH206" s="1192"/>
      <c r="LI206" s="1192"/>
      <c r="LJ206" s="1192"/>
      <c r="LK206" s="1192"/>
      <c r="LL206" s="1192"/>
      <c r="LM206" s="1192"/>
      <c r="LN206" s="282"/>
      <c r="LO206" s="1192"/>
      <c r="LP206" s="1193"/>
      <c r="LQ206" s="1192"/>
      <c r="LR206" s="1192"/>
      <c r="LS206" s="1192"/>
      <c r="LT206" s="1193"/>
      <c r="LU206" s="1193"/>
      <c r="LV206" s="1193"/>
      <c r="LW206" s="1193"/>
      <c r="LX206" s="1193"/>
      <c r="LY206" s="1193"/>
      <c r="LZ206" s="1193"/>
      <c r="MA206" s="1193"/>
      <c r="MB206" s="1193"/>
      <c r="MC206" s="1193"/>
      <c r="MD206" s="1193"/>
      <c r="ME206" s="1193"/>
      <c r="MF206" s="1193"/>
      <c r="MG206" s="1193"/>
      <c r="MH206" s="1193"/>
      <c r="MI206" s="1193"/>
      <c r="MJ206" s="1193"/>
      <c r="MK206" s="1193"/>
      <c r="ML206" s="1192"/>
      <c r="MM206" s="562"/>
      <c r="MN206" s="1232"/>
      <c r="MO206" s="1232"/>
      <c r="MP206" s="1232"/>
      <c r="MQ206" s="1192"/>
      <c r="MR206" s="1192"/>
      <c r="MS206" s="1192"/>
      <c r="MT206" s="1192"/>
      <c r="MU206" s="1192"/>
      <c r="MV206" s="1192"/>
      <c r="MW206" s="1192"/>
      <c r="MX206" s="1192"/>
      <c r="MY206" s="1192"/>
      <c r="MZ206" s="1192"/>
      <c r="NA206" s="1192"/>
      <c r="NB206" s="1192"/>
      <c r="NC206" s="1192"/>
      <c r="ND206" s="1192"/>
      <c r="NE206" s="1192"/>
      <c r="NF206" s="1192"/>
      <c r="NG206" s="1192"/>
      <c r="NH206" s="1192"/>
      <c r="NI206" s="1192"/>
      <c r="NJ206" s="1192"/>
      <c r="NK206" s="1192"/>
      <c r="NL206" s="1192"/>
      <c r="NM206" s="1192"/>
      <c r="NN206" s="1192"/>
      <c r="NO206" s="1192"/>
      <c r="NP206" s="1192"/>
      <c r="NQ206" s="1192"/>
      <c r="NR206" s="1192"/>
      <c r="NS206" s="1192"/>
      <c r="NT206" s="1192"/>
      <c r="NU206" s="1192"/>
      <c r="NV206" s="1193"/>
      <c r="NW206" s="1193"/>
      <c r="NX206" s="1193"/>
      <c r="NY206" s="1193"/>
      <c r="NZ206" s="1193"/>
      <c r="OA206" s="1193"/>
      <c r="OB206" s="1193"/>
      <c r="OC206" s="1193"/>
      <c r="OD206" s="1193"/>
      <c r="OE206" s="1192"/>
      <c r="OF206" s="1192"/>
      <c r="OG206" s="1193"/>
      <c r="OH206" s="1193"/>
      <c r="OI206" s="1193"/>
      <c r="OJ206" s="1193"/>
      <c r="OK206" s="1193"/>
      <c r="OL206" s="1193"/>
      <c r="OM206" s="1193"/>
      <c r="ON206" s="1193"/>
      <c r="OO206" s="1193"/>
      <c r="OP206" s="1194"/>
      <c r="OQ206" s="1194"/>
      <c r="OR206" s="1194"/>
      <c r="OS206" s="1194"/>
      <c r="OT206" s="1194"/>
      <c r="OU206" s="1192"/>
      <c r="OV206" s="1192"/>
      <c r="OW206" s="1193"/>
      <c r="OX206" s="1193"/>
      <c r="OY206" s="1193"/>
      <c r="OZ206" s="1193"/>
      <c r="PA206" s="1193"/>
      <c r="PB206" s="1193"/>
      <c r="PC206" s="1193"/>
      <c r="PD206" s="1192"/>
      <c r="PE206" s="1192"/>
      <c r="PF206" s="1193"/>
      <c r="PG206" s="1193"/>
      <c r="PH206" s="1193"/>
      <c r="PI206" s="1193"/>
      <c r="PJ206" s="1193"/>
      <c r="PK206" s="1193"/>
      <c r="PL206" s="1193"/>
      <c r="PM206" s="562"/>
    </row>
    <row r="207" spans="1:429" s="289" customFormat="1" ht="15.75" customHeight="1">
      <c r="A207" s="1047"/>
      <c r="B207" s="1189"/>
      <c r="C207" s="1195"/>
      <c r="D207" s="101"/>
      <c r="E207" s="101"/>
      <c r="F207" s="101"/>
      <c r="G207" s="101"/>
      <c r="H207" s="103"/>
      <c r="I207" s="103"/>
      <c r="J207" s="103"/>
      <c r="K207" s="413"/>
      <c r="L207" s="1195"/>
      <c r="M207" s="1195"/>
      <c r="N207" s="1195"/>
      <c r="O207" s="1195"/>
      <c r="P207" s="1195"/>
      <c r="Q207" s="106"/>
      <c r="R207" s="106"/>
      <c r="S207" s="106"/>
      <c r="T207" s="1195"/>
      <c r="U207" s="1195"/>
      <c r="V207" s="1195"/>
      <c r="W207" s="106"/>
      <c r="X207" s="106"/>
      <c r="Y207" s="1195"/>
      <c r="Z207" s="1195"/>
      <c r="AA207" s="106"/>
      <c r="AB207" s="106"/>
      <c r="AC207" s="1195"/>
      <c r="AD207" s="1197"/>
      <c r="AE207" s="101"/>
      <c r="AF207" s="101"/>
      <c r="AG207" s="1195"/>
      <c r="AH207" s="101"/>
      <c r="AI207" s="106"/>
      <c r="AJ207" s="1195"/>
      <c r="AK207" s="106"/>
      <c r="AL207" s="106"/>
      <c r="AM207" s="106"/>
      <c r="AN207" s="1190"/>
      <c r="AO207" s="106"/>
      <c r="AP207" s="106"/>
      <c r="AQ207" s="106"/>
      <c r="AR207" s="1190"/>
      <c r="AS207" s="1197"/>
      <c r="AT207" s="1197"/>
      <c r="AU207" s="1197"/>
      <c r="AV207" s="1197"/>
      <c r="AW207" s="1196"/>
      <c r="AX207" s="101"/>
      <c r="AY207" s="101"/>
      <c r="AZ207" s="101"/>
      <c r="BA207" s="101"/>
      <c r="BB207" s="101"/>
      <c r="BC207" s="101"/>
      <c r="BD207" s="101"/>
      <c r="BE207" s="101"/>
      <c r="BF207" s="106"/>
      <c r="BG207" s="106"/>
      <c r="BH207" s="106"/>
      <c r="BI207" s="106"/>
      <c r="BJ207" s="106"/>
      <c r="BK207" s="106"/>
      <c r="BL207" s="101"/>
      <c r="BM207" s="101"/>
      <c r="BN207" s="106"/>
      <c r="BO207" s="1195"/>
      <c r="BP207" s="101"/>
      <c r="BQ207" s="101"/>
      <c r="BR207" s="101"/>
      <c r="BS207" s="101"/>
      <c r="BT207" s="101"/>
      <c r="BU207" s="101"/>
      <c r="BV207" s="101"/>
      <c r="BW207" s="413"/>
      <c r="BX207" s="413"/>
      <c r="BY207" s="413"/>
      <c r="BZ207" s="103"/>
      <c r="CA207" s="106"/>
      <c r="CB207" s="106"/>
      <c r="CC207" s="106"/>
      <c r="CD207" s="106"/>
      <c r="CE207" s="106"/>
      <c r="CF207" s="106"/>
      <c r="CG207" s="106"/>
      <c r="CH207" s="106"/>
      <c r="CI207" s="106"/>
      <c r="CJ207" s="106"/>
      <c r="CK207" s="101"/>
      <c r="CL207" s="101"/>
      <c r="CM207" s="101"/>
      <c r="CN207" s="101"/>
      <c r="CO207" s="101"/>
      <c r="CP207" s="101"/>
      <c r="CQ207" s="101"/>
      <c r="CR207" s="101"/>
      <c r="CS207" s="101"/>
      <c r="CT207" s="101"/>
      <c r="CU207" s="101"/>
      <c r="CV207" s="106"/>
      <c r="CW207" s="106"/>
      <c r="CX207" s="106"/>
      <c r="CY207" s="106"/>
      <c r="CZ207" s="106"/>
      <c r="DA207" s="106"/>
      <c r="DB207" s="106"/>
      <c r="DC207" s="398"/>
      <c r="DD207" s="398"/>
      <c r="DE207" s="398"/>
      <c r="DF207" s="398"/>
      <c r="DG207" s="398"/>
      <c r="DH207" s="398"/>
      <c r="DI207" s="398"/>
      <c r="DJ207" s="106"/>
      <c r="DK207" s="106"/>
      <c r="DL207" s="106"/>
      <c r="DM207" s="106"/>
      <c r="DN207" s="106"/>
      <c r="DO207" s="106"/>
      <c r="DP207" s="106"/>
      <c r="DQ207" s="106"/>
      <c r="DR207" s="106"/>
      <c r="DS207" s="106"/>
      <c r="DT207" s="106"/>
      <c r="DU207" s="106"/>
      <c r="DV207" s="106"/>
      <c r="DW207" s="106"/>
      <c r="DX207" s="106"/>
      <c r="DY207" s="106"/>
      <c r="DZ207" s="106"/>
      <c r="EA207" s="106"/>
      <c r="EB207" s="106"/>
      <c r="EC207" s="106"/>
      <c r="ED207" s="106"/>
      <c r="EE207" s="101"/>
      <c r="EF207" s="106"/>
      <c r="EG207" s="106"/>
      <c r="EH207" s="106"/>
      <c r="EI207" s="106"/>
      <c r="EJ207" s="417"/>
      <c r="EK207" s="101"/>
      <c r="EL207" s="106"/>
      <c r="EM207" s="101"/>
      <c r="EN207" s="101"/>
      <c r="EO207" s="101"/>
      <c r="EP207" s="106"/>
      <c r="EQ207" s="101"/>
      <c r="ER207" s="101"/>
      <c r="ES207" s="417"/>
      <c r="ET207" s="417"/>
      <c r="EU207" s="418"/>
      <c r="EV207" s="106"/>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408"/>
      <c r="FS207" s="101"/>
      <c r="FT207" s="101"/>
      <c r="FU207" s="101"/>
      <c r="FV207" s="101"/>
      <c r="FW207" s="101"/>
      <c r="FX207" s="101"/>
      <c r="FY207" s="408"/>
      <c r="FZ207" s="101"/>
      <c r="GA207" s="101"/>
      <c r="GB207" s="101"/>
      <c r="GC207" s="101"/>
      <c r="GD207" s="101"/>
      <c r="GE207" s="101"/>
      <c r="GF207" s="101"/>
      <c r="GG207" s="101"/>
      <c r="GH207" s="101"/>
      <c r="GI207" s="101"/>
      <c r="GJ207" s="101"/>
      <c r="GK207" s="101"/>
      <c r="GL207" s="101"/>
      <c r="GM207" s="101"/>
      <c r="GN207" s="103"/>
      <c r="GO207" s="103"/>
      <c r="GP207" s="103"/>
      <c r="GQ207" s="103"/>
      <c r="GR207" s="103"/>
      <c r="GS207" s="103"/>
      <c r="GT207" s="103"/>
      <c r="GU207" s="103"/>
      <c r="GV207" s="103"/>
      <c r="GW207" s="103"/>
      <c r="GX207" s="103"/>
      <c r="GY207" s="103"/>
      <c r="GZ207" s="101"/>
      <c r="HA207" s="101"/>
      <c r="HB207" s="101"/>
      <c r="HC207" s="101"/>
      <c r="HD207" s="101"/>
      <c r="HE207" s="101"/>
      <c r="HF207" s="101"/>
      <c r="HG207" s="106"/>
      <c r="HH207" s="106"/>
      <c r="HI207" s="106"/>
      <c r="HJ207" s="106"/>
      <c r="HK207" s="106"/>
      <c r="HL207" s="106"/>
      <c r="HM207" s="106"/>
      <c r="HN207" s="106"/>
      <c r="HO207" s="106"/>
      <c r="HP207" s="106"/>
      <c r="HQ207" s="106"/>
      <c r="HR207" s="106"/>
      <c r="HS207" s="101"/>
      <c r="HT207" s="101"/>
      <c r="HU207" s="101"/>
      <c r="HV207" s="101"/>
      <c r="HW207" s="101"/>
      <c r="HX207" s="101"/>
      <c r="HY207" s="101"/>
      <c r="HZ207" s="413"/>
      <c r="IA207" s="413"/>
      <c r="IB207" s="1191"/>
      <c r="IC207" s="413"/>
      <c r="ID207" s="815"/>
      <c r="IE207" s="413"/>
      <c r="IF207" s="284"/>
      <c r="IG207" s="284"/>
      <c r="IH207" s="284"/>
      <c r="II207" s="284"/>
      <c r="IJ207" s="284"/>
      <c r="IK207" s="284"/>
      <c r="IL207" s="413"/>
      <c r="IM207" s="413"/>
      <c r="IN207" s="413"/>
      <c r="IO207" s="753"/>
      <c r="IP207" s="753"/>
      <c r="IQ207" s="420"/>
      <c r="IR207" s="420"/>
      <c r="IS207" s="420"/>
      <c r="IT207" s="420"/>
      <c r="IU207" s="420"/>
      <c r="IV207" s="420"/>
      <c r="IW207" s="420"/>
      <c r="IX207" s="413"/>
      <c r="IY207" s="413"/>
      <c r="IZ207" s="413"/>
      <c r="JA207" s="413"/>
      <c r="JB207" s="413"/>
      <c r="JC207" s="413"/>
      <c r="JD207" s="413"/>
      <c r="JE207" s="413"/>
      <c r="JF207" s="413"/>
      <c r="JG207" s="413"/>
      <c r="JH207" s="413"/>
      <c r="JI207" s="413"/>
      <c r="JJ207" s="413"/>
      <c r="JK207" s="413"/>
      <c r="JL207" s="413"/>
      <c r="JM207" s="413"/>
      <c r="JN207" s="413"/>
      <c r="JO207" s="413"/>
      <c r="JP207" s="413"/>
      <c r="JQ207" s="413"/>
      <c r="JR207" s="413"/>
      <c r="JS207" s="413"/>
      <c r="JT207" s="413"/>
      <c r="JU207" s="413"/>
      <c r="JV207" s="413"/>
      <c r="JW207" s="413"/>
      <c r="JX207" s="413"/>
      <c r="JY207" s="420"/>
      <c r="JZ207" s="101"/>
      <c r="KA207" s="421"/>
      <c r="KB207" s="421"/>
      <c r="KC207" s="421"/>
      <c r="KD207" s="421"/>
      <c r="KE207" s="282"/>
      <c r="KF207" s="282"/>
      <c r="KG207" s="282"/>
      <c r="KH207" s="282"/>
      <c r="KI207" s="420"/>
      <c r="KJ207" s="282"/>
      <c r="KK207" s="282"/>
      <c r="KL207" s="282"/>
      <c r="KM207" s="282"/>
      <c r="KN207" s="282"/>
      <c r="KO207" s="282"/>
      <c r="KP207" s="282"/>
      <c r="KQ207" s="282"/>
      <c r="KR207" s="282"/>
      <c r="KS207" s="282"/>
      <c r="KT207" s="282"/>
      <c r="KU207" s="282"/>
      <c r="KV207" s="282"/>
      <c r="KW207" s="282"/>
      <c r="KX207" s="282"/>
      <c r="KY207" s="282"/>
      <c r="KZ207" s="1192"/>
      <c r="LA207" s="282"/>
      <c r="LB207" s="1192"/>
      <c r="LC207" s="1193"/>
      <c r="LD207" s="1193"/>
      <c r="LE207" s="1192"/>
      <c r="LF207" s="1192"/>
      <c r="LG207" s="1192"/>
      <c r="LH207" s="1192"/>
      <c r="LI207" s="1192"/>
      <c r="LJ207" s="1192"/>
      <c r="LK207" s="1192"/>
      <c r="LL207" s="1192"/>
      <c r="LM207" s="1192"/>
      <c r="LN207" s="282"/>
      <c r="LO207" s="1192"/>
      <c r="LP207" s="1193"/>
      <c r="LQ207" s="1192"/>
      <c r="LR207" s="1192"/>
      <c r="LS207" s="1192"/>
      <c r="LT207" s="1193"/>
      <c r="LU207" s="1193"/>
      <c r="LV207" s="1193"/>
      <c r="LW207" s="1193"/>
      <c r="LX207" s="1193"/>
      <c r="LY207" s="1193"/>
      <c r="LZ207" s="1193"/>
      <c r="MA207" s="1193"/>
      <c r="MB207" s="1193"/>
      <c r="MC207" s="1193"/>
      <c r="MD207" s="1193"/>
      <c r="ME207" s="1193"/>
      <c r="MF207" s="1193"/>
      <c r="MG207" s="1193"/>
      <c r="MH207" s="1193"/>
      <c r="MI207" s="1193"/>
      <c r="MJ207" s="1193"/>
      <c r="MK207" s="1193"/>
      <c r="ML207" s="1192"/>
      <c r="MM207" s="562"/>
      <c r="MN207" s="562"/>
      <c r="MO207" s="562"/>
      <c r="MP207" s="562"/>
      <c r="MQ207" s="1192"/>
      <c r="MR207" s="1192"/>
      <c r="MS207" s="1192"/>
      <c r="MT207" s="1192"/>
      <c r="MU207" s="1192"/>
      <c r="MV207" s="1192"/>
      <c r="MW207" s="1192"/>
      <c r="MX207" s="1192"/>
      <c r="MY207" s="1192"/>
      <c r="MZ207" s="1192"/>
      <c r="NA207" s="1192"/>
      <c r="NB207" s="1192"/>
      <c r="NC207" s="1192"/>
      <c r="ND207" s="1192"/>
      <c r="NE207" s="1192"/>
      <c r="NF207" s="1192"/>
      <c r="NG207" s="1192"/>
      <c r="NH207" s="1192"/>
      <c r="NI207" s="1192"/>
      <c r="NJ207" s="1192"/>
      <c r="NK207" s="1192"/>
      <c r="NL207" s="1192"/>
      <c r="NM207" s="1192"/>
      <c r="NN207" s="1192"/>
      <c r="NO207" s="1192"/>
      <c r="NP207" s="1192"/>
      <c r="NQ207" s="1192"/>
      <c r="NR207" s="1192"/>
      <c r="NS207" s="1192"/>
      <c r="NT207" s="1192"/>
      <c r="NU207" s="1192"/>
      <c r="NV207" s="1193"/>
      <c r="NW207" s="1193"/>
      <c r="NX207" s="1193"/>
      <c r="NY207" s="1193"/>
      <c r="NZ207" s="1193"/>
      <c r="OA207" s="1193"/>
      <c r="OB207" s="1193"/>
      <c r="OC207" s="1193"/>
      <c r="OD207" s="1193"/>
      <c r="OE207" s="1192"/>
      <c r="OF207" s="1192"/>
      <c r="OG207" s="1193"/>
      <c r="OH207" s="1193"/>
      <c r="OI207" s="1193"/>
      <c r="OJ207" s="1193"/>
      <c r="OK207" s="1193"/>
      <c r="OL207" s="1193"/>
      <c r="OM207" s="1193"/>
      <c r="ON207" s="1193"/>
      <c r="OO207" s="1193"/>
      <c r="OP207" s="1194"/>
      <c r="OQ207" s="1194"/>
      <c r="OR207" s="1194"/>
      <c r="OS207" s="1194"/>
      <c r="OT207" s="1194"/>
      <c r="OU207" s="1192"/>
      <c r="OV207" s="1192"/>
      <c r="OW207" s="1193"/>
      <c r="OX207" s="1193"/>
      <c r="OY207" s="1193"/>
      <c r="OZ207" s="1193"/>
      <c r="PA207" s="1193"/>
      <c r="PB207" s="1193"/>
      <c r="PC207" s="1193"/>
      <c r="PD207" s="1192"/>
      <c r="PE207" s="1192"/>
      <c r="PF207" s="1193"/>
      <c r="PG207" s="1193"/>
      <c r="PH207" s="1193"/>
      <c r="PI207" s="1193"/>
      <c r="PJ207" s="1193"/>
      <c r="PK207" s="1193"/>
      <c r="PL207" s="1193"/>
      <c r="PM207" s="562"/>
    </row>
    <row r="208" spans="1:429" s="289" customFormat="1" ht="15.75" customHeight="1">
      <c r="A208" s="1047"/>
      <c r="B208" s="1189"/>
      <c r="C208" s="1195"/>
      <c r="D208" s="101"/>
      <c r="E208" s="101"/>
      <c r="F208" s="101"/>
      <c r="G208" s="101"/>
      <c r="H208" s="103"/>
      <c r="I208" s="103"/>
      <c r="J208" s="103"/>
      <c r="K208" s="413"/>
      <c r="L208" s="1195"/>
      <c r="M208" s="1195"/>
      <c r="N208" s="1195"/>
      <c r="O208" s="1195"/>
      <c r="P208" s="1195"/>
      <c r="Q208" s="106"/>
      <c r="R208" s="106"/>
      <c r="S208" s="106"/>
      <c r="T208" s="1195"/>
      <c r="U208" s="1195"/>
      <c r="V208" s="1195"/>
      <c r="W208" s="106"/>
      <c r="X208" s="106"/>
      <c r="Y208" s="1195"/>
      <c r="Z208" s="1195"/>
      <c r="AA208" s="106"/>
      <c r="AB208" s="106"/>
      <c r="AC208" s="1195"/>
      <c r="AD208" s="1197"/>
      <c r="AE208" s="101"/>
      <c r="AF208" s="101"/>
      <c r="AG208" s="1195"/>
      <c r="AH208" s="101"/>
      <c r="AI208" s="106"/>
      <c r="AJ208" s="1195"/>
      <c r="AK208" s="106"/>
      <c r="AL208" s="106"/>
      <c r="AM208" s="106"/>
      <c r="AN208" s="1190"/>
      <c r="AO208" s="106"/>
      <c r="AP208" s="106"/>
      <c r="AQ208" s="106"/>
      <c r="AR208" s="1190"/>
      <c r="AS208" s="1197"/>
      <c r="AT208" s="1197"/>
      <c r="AU208" s="1197"/>
      <c r="AV208" s="1197"/>
      <c r="AW208" s="1196"/>
      <c r="AX208" s="101"/>
      <c r="AY208" s="101"/>
      <c r="AZ208" s="101"/>
      <c r="BA208" s="101"/>
      <c r="BB208" s="101"/>
      <c r="BC208" s="101"/>
      <c r="BD208" s="101"/>
      <c r="BE208" s="101"/>
      <c r="BF208" s="106"/>
      <c r="BG208" s="106"/>
      <c r="BH208" s="106"/>
      <c r="BI208" s="106"/>
      <c r="BJ208" s="106"/>
      <c r="BK208" s="106"/>
      <c r="BL208" s="101"/>
      <c r="BM208" s="101"/>
      <c r="BN208" s="106"/>
      <c r="BO208" s="1195"/>
      <c r="BP208" s="101"/>
      <c r="BQ208" s="101"/>
      <c r="BR208" s="101"/>
      <c r="BS208" s="101"/>
      <c r="BT208" s="101"/>
      <c r="BU208" s="101"/>
      <c r="BV208" s="101"/>
      <c r="BW208" s="413"/>
      <c r="BX208" s="413"/>
      <c r="BY208" s="413"/>
      <c r="BZ208" s="103"/>
      <c r="CA208" s="106"/>
      <c r="CB208" s="106"/>
      <c r="CC208" s="106"/>
      <c r="CD208" s="106"/>
      <c r="CE208" s="106"/>
      <c r="CF208" s="106"/>
      <c r="CG208" s="106"/>
      <c r="CH208" s="106"/>
      <c r="CI208" s="106"/>
      <c r="CJ208" s="106"/>
      <c r="CK208" s="101"/>
      <c r="CL208" s="101"/>
      <c r="CM208" s="101"/>
      <c r="CN208" s="101"/>
      <c r="CO208" s="101"/>
      <c r="CP208" s="101"/>
      <c r="CQ208" s="101"/>
      <c r="CR208" s="101"/>
      <c r="CS208" s="101"/>
      <c r="CT208" s="101"/>
      <c r="CU208" s="101"/>
      <c r="CV208" s="106"/>
      <c r="CW208" s="106"/>
      <c r="CX208" s="106"/>
      <c r="CY208" s="106"/>
      <c r="CZ208" s="106"/>
      <c r="DA208" s="106"/>
      <c r="DB208" s="106"/>
      <c r="DC208" s="398"/>
      <c r="DD208" s="398"/>
      <c r="DE208" s="398"/>
      <c r="DF208" s="398"/>
      <c r="DG208" s="398"/>
      <c r="DH208" s="398"/>
      <c r="DI208" s="398"/>
      <c r="DJ208" s="106"/>
      <c r="DK208" s="106"/>
      <c r="DL208" s="106"/>
      <c r="DM208" s="106"/>
      <c r="DN208" s="106"/>
      <c r="DO208" s="106"/>
      <c r="DP208" s="106"/>
      <c r="DQ208" s="106"/>
      <c r="DR208" s="106"/>
      <c r="DS208" s="106"/>
      <c r="DT208" s="106"/>
      <c r="DU208" s="106"/>
      <c r="DV208" s="106"/>
      <c r="DW208" s="106"/>
      <c r="DX208" s="106"/>
      <c r="DY208" s="106"/>
      <c r="DZ208" s="106"/>
      <c r="EA208" s="106"/>
      <c r="EB208" s="106"/>
      <c r="EC208" s="106"/>
      <c r="ED208" s="106"/>
      <c r="EE208" s="101"/>
      <c r="EF208" s="106"/>
      <c r="EG208" s="106"/>
      <c r="EH208" s="106"/>
      <c r="EI208" s="106"/>
      <c r="EJ208" s="417"/>
      <c r="EK208" s="101"/>
      <c r="EL208" s="106"/>
      <c r="EM208" s="101"/>
      <c r="EN208" s="101"/>
      <c r="EO208" s="101"/>
      <c r="EP208" s="106"/>
      <c r="EQ208" s="101"/>
      <c r="ER208" s="101"/>
      <c r="ES208" s="417"/>
      <c r="ET208" s="417"/>
      <c r="EU208" s="418"/>
      <c r="EV208" s="106"/>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408"/>
      <c r="FS208" s="101"/>
      <c r="FT208" s="101"/>
      <c r="FU208" s="101"/>
      <c r="FV208" s="101"/>
      <c r="FW208" s="101"/>
      <c r="FX208" s="101"/>
      <c r="FY208" s="408"/>
      <c r="FZ208" s="101"/>
      <c r="GA208" s="101"/>
      <c r="GB208" s="101"/>
      <c r="GC208" s="101"/>
      <c r="GD208" s="101"/>
      <c r="GE208" s="101"/>
      <c r="GF208" s="101"/>
      <c r="GG208" s="101"/>
      <c r="GH208" s="101"/>
      <c r="GI208" s="101"/>
      <c r="GJ208" s="101"/>
      <c r="GK208" s="101"/>
      <c r="GL208" s="101"/>
      <c r="GM208" s="101"/>
      <c r="GN208" s="103"/>
      <c r="GO208" s="103"/>
      <c r="GP208" s="103"/>
      <c r="GQ208" s="103"/>
      <c r="GR208" s="103"/>
      <c r="GS208" s="103"/>
      <c r="GT208" s="103"/>
      <c r="GU208" s="103"/>
      <c r="GV208" s="103"/>
      <c r="GW208" s="103"/>
      <c r="GX208" s="103"/>
      <c r="GY208" s="103"/>
      <c r="GZ208" s="101"/>
      <c r="HA208" s="101"/>
      <c r="HB208" s="101"/>
      <c r="HC208" s="101"/>
      <c r="HD208" s="101"/>
      <c r="HE208" s="101"/>
      <c r="HF208" s="101"/>
      <c r="HG208" s="106"/>
      <c r="HH208" s="106"/>
      <c r="HI208" s="106"/>
      <c r="HJ208" s="106"/>
      <c r="HK208" s="106"/>
      <c r="HL208" s="106"/>
      <c r="HM208" s="106"/>
      <c r="HN208" s="106"/>
      <c r="HO208" s="106"/>
      <c r="HP208" s="106"/>
      <c r="HQ208" s="106"/>
      <c r="HR208" s="106"/>
      <c r="HS208" s="101"/>
      <c r="HT208" s="101"/>
      <c r="HU208" s="101"/>
      <c r="HV208" s="101"/>
      <c r="HW208" s="101"/>
      <c r="HX208" s="101"/>
      <c r="HY208" s="101"/>
      <c r="HZ208" s="413"/>
      <c r="IA208" s="413"/>
      <c r="IB208" s="1191"/>
      <c r="IC208" s="413"/>
      <c r="ID208" s="815"/>
      <c r="IE208" s="413"/>
      <c r="IF208" s="284"/>
      <c r="IG208" s="284"/>
      <c r="IH208" s="284"/>
      <c r="II208" s="284"/>
      <c r="IJ208" s="284"/>
      <c r="IK208" s="284"/>
      <c r="IL208" s="413"/>
      <c r="IM208" s="413"/>
      <c r="IN208" s="413"/>
      <c r="IO208" s="753"/>
      <c r="IP208" s="753"/>
      <c r="IQ208" s="420"/>
      <c r="IR208" s="420"/>
      <c r="IS208" s="420"/>
      <c r="IT208" s="420"/>
      <c r="IU208" s="420"/>
      <c r="IV208" s="420"/>
      <c r="IW208" s="420"/>
      <c r="IX208" s="413"/>
      <c r="IY208" s="413"/>
      <c r="IZ208" s="413"/>
      <c r="JA208" s="413"/>
      <c r="JB208" s="413"/>
      <c r="JC208" s="413"/>
      <c r="JD208" s="413"/>
      <c r="JE208" s="413"/>
      <c r="JF208" s="413"/>
      <c r="JG208" s="413"/>
      <c r="JH208" s="413"/>
      <c r="JI208" s="413"/>
      <c r="JJ208" s="413"/>
      <c r="JK208" s="413"/>
      <c r="JL208" s="413"/>
      <c r="JM208" s="413"/>
      <c r="JN208" s="413"/>
      <c r="JO208" s="413"/>
      <c r="JP208" s="413"/>
      <c r="JQ208" s="413"/>
      <c r="JR208" s="413"/>
      <c r="JS208" s="413"/>
      <c r="JT208" s="413"/>
      <c r="JU208" s="413"/>
      <c r="JV208" s="413"/>
      <c r="JW208" s="413"/>
      <c r="JX208" s="413"/>
      <c r="JY208" s="420"/>
      <c r="JZ208" s="101"/>
      <c r="KA208" s="421"/>
      <c r="KB208" s="421"/>
      <c r="KC208" s="421"/>
      <c r="KD208" s="421"/>
      <c r="KE208" s="282"/>
      <c r="KF208" s="282"/>
      <c r="KG208" s="282"/>
      <c r="KH208" s="282"/>
      <c r="KI208" s="420"/>
      <c r="KJ208" s="282"/>
      <c r="KK208" s="282"/>
      <c r="KL208" s="282"/>
      <c r="KM208" s="282"/>
      <c r="KN208" s="282"/>
      <c r="KO208" s="282"/>
      <c r="KP208" s="282"/>
      <c r="KQ208" s="282"/>
      <c r="KR208" s="282"/>
      <c r="KS208" s="282"/>
      <c r="KT208" s="282"/>
      <c r="KU208" s="282"/>
      <c r="KV208" s="282"/>
      <c r="KW208" s="282"/>
      <c r="KX208" s="282"/>
      <c r="KY208" s="282"/>
      <c r="KZ208" s="1192"/>
      <c r="LA208" s="282"/>
      <c r="LB208" s="1192"/>
      <c r="LC208" s="1193"/>
      <c r="LD208" s="1193"/>
      <c r="LE208" s="1192"/>
      <c r="LF208" s="1192"/>
      <c r="LG208" s="1192"/>
      <c r="LH208" s="1192"/>
      <c r="LI208" s="1192"/>
      <c r="LJ208" s="1192"/>
      <c r="LK208" s="1192"/>
      <c r="LL208" s="1192"/>
      <c r="LM208" s="1192"/>
      <c r="LN208" s="282"/>
      <c r="LO208" s="1192"/>
      <c r="LP208" s="1193"/>
      <c r="LQ208" s="1192"/>
      <c r="LR208" s="1192"/>
      <c r="LS208" s="1192"/>
      <c r="LT208" s="1193"/>
      <c r="LU208" s="1193"/>
      <c r="LV208" s="1193"/>
      <c r="LW208" s="1193"/>
      <c r="LX208" s="1193"/>
      <c r="LY208" s="1193"/>
      <c r="LZ208" s="1193"/>
      <c r="MA208" s="1193"/>
      <c r="MB208" s="1193"/>
      <c r="MC208" s="1193"/>
      <c r="MD208" s="1193"/>
      <c r="ME208" s="1193"/>
      <c r="MF208" s="1193"/>
      <c r="MG208" s="1193"/>
      <c r="MH208" s="1193"/>
      <c r="MI208" s="1193"/>
      <c r="MJ208" s="1193"/>
      <c r="MK208" s="1193"/>
      <c r="ML208" s="1192"/>
      <c r="MM208" s="562"/>
      <c r="MN208" s="562"/>
      <c r="MO208" s="562"/>
      <c r="MP208" s="562"/>
      <c r="MQ208" s="1192"/>
      <c r="MR208" s="1192"/>
      <c r="MS208" s="1192"/>
      <c r="MT208" s="1192"/>
      <c r="MU208" s="1192"/>
      <c r="MV208" s="1192"/>
      <c r="MW208" s="1192"/>
      <c r="MX208" s="1192"/>
      <c r="MY208" s="1192"/>
      <c r="MZ208" s="1192"/>
      <c r="NA208" s="1192"/>
      <c r="NB208" s="1192"/>
      <c r="NC208" s="1192"/>
      <c r="ND208" s="1192"/>
      <c r="NE208" s="1192"/>
      <c r="NF208" s="1192"/>
      <c r="NG208" s="1192"/>
      <c r="NH208" s="1192"/>
      <c r="NI208" s="1192"/>
      <c r="NJ208" s="1192"/>
      <c r="NK208" s="1192"/>
      <c r="NL208" s="1192"/>
      <c r="NM208" s="1192"/>
      <c r="NN208" s="1192"/>
      <c r="NO208" s="1192"/>
      <c r="NP208" s="1192"/>
      <c r="NQ208" s="1192"/>
      <c r="NR208" s="1192"/>
      <c r="NS208" s="1192"/>
      <c r="NT208" s="1192"/>
      <c r="NU208" s="1192"/>
      <c r="NV208" s="1193"/>
      <c r="NW208" s="1193"/>
      <c r="NX208" s="1193"/>
      <c r="NY208" s="1193"/>
      <c r="NZ208" s="1193"/>
      <c r="OA208" s="1193"/>
      <c r="OB208" s="1193"/>
      <c r="OC208" s="1193"/>
      <c r="OD208" s="1193"/>
      <c r="OE208" s="1192"/>
      <c r="OF208" s="1192"/>
      <c r="OG208" s="1193"/>
      <c r="OH208" s="1193"/>
      <c r="OI208" s="1193"/>
      <c r="OJ208" s="1193"/>
      <c r="OK208" s="1193"/>
      <c r="OL208" s="1193"/>
      <c r="OM208" s="1193"/>
      <c r="ON208" s="1193"/>
      <c r="OO208" s="1193"/>
      <c r="OP208" s="1194"/>
      <c r="OQ208" s="1194"/>
      <c r="OR208" s="1194"/>
      <c r="OS208" s="1194"/>
      <c r="OT208" s="1194"/>
      <c r="OU208" s="1192"/>
      <c r="OV208" s="1192"/>
      <c r="OW208" s="1193"/>
      <c r="OX208" s="1193"/>
      <c r="OY208" s="1193"/>
      <c r="OZ208" s="1193"/>
      <c r="PA208" s="1193"/>
      <c r="PB208" s="1193"/>
      <c r="PC208" s="1193"/>
      <c r="PD208" s="1192"/>
      <c r="PE208" s="1192"/>
      <c r="PF208" s="1193"/>
      <c r="PG208" s="1193"/>
      <c r="PH208" s="1193"/>
      <c r="PI208" s="1193"/>
      <c r="PJ208" s="1193"/>
      <c r="PK208" s="1193"/>
      <c r="PL208" s="1193"/>
      <c r="PM208" s="562"/>
    </row>
    <row r="209" spans="1:429" s="289" customFormat="1" ht="15.75" customHeight="1">
      <c r="A209" s="1047"/>
      <c r="B209" s="1189"/>
      <c r="C209" s="1195"/>
      <c r="D209" s="101"/>
      <c r="E209" s="101"/>
      <c r="F209" s="101"/>
      <c r="G209" s="101"/>
      <c r="H209" s="103"/>
      <c r="I209" s="103"/>
      <c r="J209" s="103"/>
      <c r="K209" s="413"/>
      <c r="L209" s="1195"/>
      <c r="M209" s="1195"/>
      <c r="N209" s="1195"/>
      <c r="O209" s="1195"/>
      <c r="P209" s="1195"/>
      <c r="Q209" s="106"/>
      <c r="R209" s="106"/>
      <c r="S209" s="106"/>
      <c r="T209" s="1195"/>
      <c r="U209" s="1195"/>
      <c r="V209" s="1195"/>
      <c r="W209" s="106"/>
      <c r="X209" s="106"/>
      <c r="Y209" s="1195"/>
      <c r="Z209" s="1195"/>
      <c r="AA209" s="106"/>
      <c r="AB209" s="106"/>
      <c r="AC209" s="1195"/>
      <c r="AD209" s="1197"/>
      <c r="AE209" s="101"/>
      <c r="AF209" s="101"/>
      <c r="AG209" s="1195"/>
      <c r="AH209" s="101"/>
      <c r="AI209" s="106"/>
      <c r="AJ209" s="1195"/>
      <c r="AK209" s="106"/>
      <c r="AL209" s="106"/>
      <c r="AM209" s="106"/>
      <c r="AN209" s="1190"/>
      <c r="AO209" s="106"/>
      <c r="AP209" s="106"/>
      <c r="AQ209" s="106"/>
      <c r="AR209" s="1190"/>
      <c r="AS209" s="1197"/>
      <c r="AT209" s="1197"/>
      <c r="AU209" s="1197"/>
      <c r="AV209" s="1197"/>
      <c r="AW209" s="1196"/>
      <c r="AX209" s="101"/>
      <c r="AY209" s="101"/>
      <c r="AZ209" s="101"/>
      <c r="BA209" s="101"/>
      <c r="BB209" s="101"/>
      <c r="BC209" s="101"/>
      <c r="BD209" s="101"/>
      <c r="BE209" s="101"/>
      <c r="BF209" s="106"/>
      <c r="BG209" s="106"/>
      <c r="BH209" s="106"/>
      <c r="BI209" s="106"/>
      <c r="BJ209" s="106"/>
      <c r="BK209" s="106"/>
      <c r="BL209" s="101"/>
      <c r="BM209" s="101"/>
      <c r="BN209" s="106"/>
      <c r="BO209" s="1195"/>
      <c r="BP209" s="101"/>
      <c r="BQ209" s="101"/>
      <c r="BR209" s="101"/>
      <c r="BS209" s="101"/>
      <c r="BT209" s="101"/>
      <c r="BU209" s="101"/>
      <c r="BV209" s="101"/>
      <c r="BW209" s="413"/>
      <c r="BX209" s="413"/>
      <c r="BY209" s="413"/>
      <c r="BZ209" s="103"/>
      <c r="CA209" s="106"/>
      <c r="CB209" s="106"/>
      <c r="CC209" s="106"/>
      <c r="CD209" s="106"/>
      <c r="CE209" s="106"/>
      <c r="CF209" s="106"/>
      <c r="CG209" s="106"/>
      <c r="CH209" s="106"/>
      <c r="CI209" s="106"/>
      <c r="CJ209" s="106"/>
      <c r="CK209" s="101"/>
      <c r="CL209" s="101"/>
      <c r="CM209" s="101"/>
      <c r="CN209" s="101"/>
      <c r="CO209" s="101"/>
      <c r="CP209" s="101"/>
      <c r="CQ209" s="101"/>
      <c r="CR209" s="101"/>
      <c r="CS209" s="101"/>
      <c r="CT209" s="101"/>
      <c r="CU209" s="101"/>
      <c r="CV209" s="106"/>
      <c r="CW209" s="106"/>
      <c r="CX209" s="106"/>
      <c r="CY209" s="106"/>
      <c r="CZ209" s="106"/>
      <c r="DA209" s="106"/>
      <c r="DB209" s="106"/>
      <c r="DC209" s="398"/>
      <c r="DD209" s="398"/>
      <c r="DE209" s="398"/>
      <c r="DF209" s="398"/>
      <c r="DG209" s="398"/>
      <c r="DH209" s="398"/>
      <c r="DI209" s="398"/>
      <c r="DJ209" s="106"/>
      <c r="DK209" s="106"/>
      <c r="DL209" s="106"/>
      <c r="DM209" s="106"/>
      <c r="DN209" s="106"/>
      <c r="DO209" s="106"/>
      <c r="DP209" s="106"/>
      <c r="DQ209" s="106"/>
      <c r="DR209" s="106"/>
      <c r="DS209" s="106"/>
      <c r="DT209" s="106"/>
      <c r="DU209" s="106"/>
      <c r="DV209" s="106"/>
      <c r="DW209" s="106"/>
      <c r="DX209" s="106"/>
      <c r="DY209" s="106"/>
      <c r="DZ209" s="106"/>
      <c r="EA209" s="106"/>
      <c r="EB209" s="106"/>
      <c r="EC209" s="106"/>
      <c r="ED209" s="106"/>
      <c r="EE209" s="101"/>
      <c r="EF209" s="106"/>
      <c r="EG209" s="106"/>
      <c r="EH209" s="106"/>
      <c r="EI209" s="106"/>
      <c r="EJ209" s="417"/>
      <c r="EK209" s="101"/>
      <c r="EL209" s="106"/>
      <c r="EM209" s="101"/>
      <c r="EN209" s="101"/>
      <c r="EO209" s="101"/>
      <c r="EP209" s="106"/>
      <c r="EQ209" s="101"/>
      <c r="ER209" s="101"/>
      <c r="ES209" s="417"/>
      <c r="ET209" s="417"/>
      <c r="EU209" s="418"/>
      <c r="EV209" s="106"/>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408"/>
      <c r="FS209" s="101"/>
      <c r="FT209" s="101"/>
      <c r="FU209" s="101"/>
      <c r="FV209" s="101"/>
      <c r="FW209" s="101"/>
      <c r="FX209" s="101"/>
      <c r="FY209" s="408"/>
      <c r="FZ209" s="101"/>
      <c r="GA209" s="101"/>
      <c r="GB209" s="101"/>
      <c r="GC209" s="101"/>
      <c r="GD209" s="101"/>
      <c r="GE209" s="101"/>
      <c r="GF209" s="101"/>
      <c r="GG209" s="101"/>
      <c r="GH209" s="101"/>
      <c r="GI209" s="101"/>
      <c r="GJ209" s="101"/>
      <c r="GK209" s="101"/>
      <c r="GL209" s="101"/>
      <c r="GM209" s="101"/>
      <c r="GN209" s="103"/>
      <c r="GO209" s="103"/>
      <c r="GP209" s="103"/>
      <c r="GQ209" s="103"/>
      <c r="GR209" s="103"/>
      <c r="GS209" s="103"/>
      <c r="GT209" s="103"/>
      <c r="GU209" s="103"/>
      <c r="GV209" s="103"/>
      <c r="GW209" s="103"/>
      <c r="GX209" s="103"/>
      <c r="GY209" s="103"/>
      <c r="GZ209" s="101"/>
      <c r="HA209" s="101"/>
      <c r="HB209" s="101"/>
      <c r="HC209" s="101"/>
      <c r="HD209" s="101"/>
      <c r="HE209" s="101"/>
      <c r="HF209" s="101"/>
      <c r="HG209" s="106"/>
      <c r="HH209" s="106"/>
      <c r="HI209" s="106"/>
      <c r="HJ209" s="106"/>
      <c r="HK209" s="106"/>
      <c r="HL209" s="106"/>
      <c r="HM209" s="106"/>
      <c r="HN209" s="106"/>
      <c r="HO209" s="106"/>
      <c r="HP209" s="106"/>
      <c r="HQ209" s="106"/>
      <c r="HR209" s="106"/>
      <c r="HS209" s="101"/>
      <c r="HT209" s="101"/>
      <c r="HU209" s="101"/>
      <c r="HV209" s="101"/>
      <c r="HW209" s="101"/>
      <c r="HX209" s="101"/>
      <c r="HY209" s="101"/>
      <c r="HZ209" s="413"/>
      <c r="IA209" s="413"/>
      <c r="IB209" s="1191"/>
      <c r="IC209" s="413"/>
      <c r="ID209" s="815"/>
      <c r="IE209" s="413"/>
      <c r="IF209" s="284"/>
      <c r="IG209" s="284"/>
      <c r="IH209" s="284"/>
      <c r="II209" s="284"/>
      <c r="IJ209" s="284"/>
      <c r="IK209" s="284"/>
      <c r="IL209" s="413"/>
      <c r="IM209" s="413"/>
      <c r="IN209" s="413"/>
      <c r="IO209" s="753"/>
      <c r="IP209" s="753"/>
      <c r="IQ209" s="420"/>
      <c r="IR209" s="420"/>
      <c r="IS209" s="420"/>
      <c r="IT209" s="420"/>
      <c r="IU209" s="420"/>
      <c r="IV209" s="420"/>
      <c r="IW209" s="420"/>
      <c r="IX209" s="413"/>
      <c r="IY209" s="413"/>
      <c r="IZ209" s="413"/>
      <c r="JA209" s="413"/>
      <c r="JB209" s="413"/>
      <c r="JC209" s="413"/>
      <c r="JD209" s="413"/>
      <c r="JE209" s="413"/>
      <c r="JF209" s="413"/>
      <c r="JG209" s="413"/>
      <c r="JH209" s="413"/>
      <c r="JI209" s="413"/>
      <c r="JJ209" s="413"/>
      <c r="JK209" s="413"/>
      <c r="JL209" s="413"/>
      <c r="JM209" s="413"/>
      <c r="JN209" s="413"/>
      <c r="JO209" s="413"/>
      <c r="JP209" s="413"/>
      <c r="JQ209" s="413"/>
      <c r="JR209" s="413"/>
      <c r="JS209" s="413"/>
      <c r="JT209" s="413"/>
      <c r="JU209" s="413"/>
      <c r="JV209" s="413"/>
      <c r="JW209" s="413"/>
      <c r="JX209" s="413"/>
      <c r="JY209" s="420"/>
      <c r="JZ209" s="101"/>
      <c r="KA209" s="421"/>
      <c r="KB209" s="421"/>
      <c r="KC209" s="421"/>
      <c r="KD209" s="421"/>
      <c r="KE209" s="282"/>
      <c r="KF209" s="282"/>
      <c r="KG209" s="282"/>
      <c r="KH209" s="282"/>
      <c r="KI209" s="420"/>
      <c r="KJ209" s="282"/>
      <c r="KK209" s="282"/>
      <c r="KL209" s="282"/>
      <c r="KM209" s="282"/>
      <c r="KN209" s="282"/>
      <c r="KO209" s="282"/>
      <c r="KP209" s="282"/>
      <c r="KQ209" s="282"/>
      <c r="KR209" s="282"/>
      <c r="KS209" s="282"/>
      <c r="KT209" s="282"/>
      <c r="KU209" s="282"/>
      <c r="KV209" s="282"/>
      <c r="KW209" s="282"/>
      <c r="KX209" s="282"/>
      <c r="KY209" s="282"/>
      <c r="KZ209" s="1192"/>
      <c r="LA209" s="282"/>
      <c r="LB209" s="1192"/>
      <c r="LC209" s="1193"/>
      <c r="LD209" s="1193"/>
      <c r="LE209" s="1192"/>
      <c r="LF209" s="1192"/>
      <c r="LG209" s="1192"/>
      <c r="LH209" s="1192"/>
      <c r="LI209" s="1192"/>
      <c r="LJ209" s="1192"/>
      <c r="LK209" s="1192"/>
      <c r="LL209" s="1192"/>
      <c r="LM209" s="1192"/>
      <c r="LN209" s="282"/>
      <c r="LO209" s="1192"/>
      <c r="LP209" s="1193"/>
      <c r="LQ209" s="1192"/>
      <c r="LR209" s="1192"/>
      <c r="LS209" s="1192"/>
      <c r="LT209" s="1193"/>
      <c r="LU209" s="1193"/>
      <c r="LV209" s="1193"/>
      <c r="LW209" s="1193"/>
      <c r="LX209" s="1193"/>
      <c r="LY209" s="1193"/>
      <c r="LZ209" s="1193"/>
      <c r="MA209" s="1193"/>
      <c r="MB209" s="1193"/>
      <c r="MC209" s="1193"/>
      <c r="MD209" s="1193"/>
      <c r="ME209" s="1193"/>
      <c r="MF209" s="1193"/>
      <c r="MG209" s="1193"/>
      <c r="MH209" s="1193"/>
      <c r="MI209" s="1193"/>
      <c r="MJ209" s="1193"/>
      <c r="MK209" s="1193"/>
      <c r="ML209" s="1192"/>
      <c r="MM209" s="562"/>
      <c r="MN209" s="562"/>
      <c r="MO209" s="562"/>
      <c r="MP209" s="562"/>
      <c r="MQ209" s="1192"/>
      <c r="MR209" s="1192"/>
      <c r="MS209" s="1192"/>
      <c r="MT209" s="1192"/>
      <c r="MU209" s="1192"/>
      <c r="MV209" s="1192"/>
      <c r="MW209" s="1192"/>
      <c r="MX209" s="1192"/>
      <c r="MY209" s="1192"/>
      <c r="MZ209" s="1192"/>
      <c r="NA209" s="1192"/>
      <c r="NB209" s="1192"/>
      <c r="NC209" s="1192"/>
      <c r="ND209" s="1192"/>
      <c r="NE209" s="1192"/>
      <c r="NF209" s="1192"/>
      <c r="NG209" s="1192"/>
      <c r="NH209" s="1192"/>
      <c r="NI209" s="1192"/>
      <c r="NJ209" s="1192"/>
      <c r="NK209" s="1192"/>
      <c r="NL209" s="1192"/>
      <c r="NM209" s="1192"/>
      <c r="NN209" s="1192"/>
      <c r="NO209" s="1192"/>
      <c r="NP209" s="1192"/>
      <c r="NQ209" s="1192"/>
      <c r="NR209" s="1192"/>
      <c r="NS209" s="1192"/>
      <c r="NT209" s="1192"/>
      <c r="NU209" s="1192"/>
      <c r="NV209" s="1193"/>
      <c r="NW209" s="1193"/>
      <c r="NX209" s="1193"/>
      <c r="NY209" s="1193"/>
      <c r="NZ209" s="1193"/>
      <c r="OA209" s="1193"/>
      <c r="OB209" s="1193"/>
      <c r="OC209" s="1193"/>
      <c r="OD209" s="1193"/>
      <c r="OE209" s="1192"/>
      <c r="OF209" s="1192"/>
      <c r="OG209" s="1193"/>
      <c r="OH209" s="1193"/>
      <c r="OI209" s="1193"/>
      <c r="OJ209" s="1193"/>
      <c r="OK209" s="1193"/>
      <c r="OL209" s="1193"/>
      <c r="OM209" s="1193"/>
      <c r="ON209" s="1193"/>
      <c r="OO209" s="1193"/>
      <c r="OP209" s="1194"/>
      <c r="OQ209" s="1194"/>
      <c r="OR209" s="1194"/>
      <c r="OS209" s="1194"/>
      <c r="OT209" s="1194"/>
      <c r="OU209" s="1192"/>
      <c r="OV209" s="1192"/>
      <c r="OW209" s="1193"/>
      <c r="OX209" s="1193"/>
      <c r="OY209" s="1193"/>
      <c r="OZ209" s="1193"/>
      <c r="PA209" s="1193"/>
      <c r="PB209" s="1193"/>
      <c r="PC209" s="1193"/>
      <c r="PD209" s="1192"/>
      <c r="PE209" s="1192"/>
      <c r="PF209" s="1193"/>
      <c r="PG209" s="1193"/>
      <c r="PH209" s="1193"/>
      <c r="PI209" s="1193"/>
      <c r="PJ209" s="1193"/>
      <c r="PK209" s="1193"/>
      <c r="PL209" s="1193"/>
      <c r="PM209" s="562"/>
    </row>
    <row r="210" spans="1:429" s="289" customFormat="1" ht="15.75" customHeight="1">
      <c r="A210" s="1047"/>
      <c r="B210" s="1189"/>
      <c r="C210" s="1195"/>
      <c r="D210" s="101"/>
      <c r="E210" s="101"/>
      <c r="F210" s="101"/>
      <c r="G210" s="101"/>
      <c r="H210" s="103"/>
      <c r="I210" s="103"/>
      <c r="J210" s="103"/>
      <c r="K210" s="413"/>
      <c r="L210" s="1195"/>
      <c r="M210" s="1195"/>
      <c r="N210" s="1195"/>
      <c r="O210" s="1195"/>
      <c r="P210" s="1195"/>
      <c r="Q210" s="106"/>
      <c r="R210" s="106"/>
      <c r="S210" s="106"/>
      <c r="T210" s="1195"/>
      <c r="U210" s="1195"/>
      <c r="V210" s="1195"/>
      <c r="W210" s="106"/>
      <c r="X210" s="106"/>
      <c r="Y210" s="1195"/>
      <c r="Z210" s="1195"/>
      <c r="AA210" s="106"/>
      <c r="AB210" s="106"/>
      <c r="AC210" s="1195"/>
      <c r="AD210" s="1197"/>
      <c r="AE210" s="101"/>
      <c r="AF210" s="101"/>
      <c r="AG210" s="1195"/>
      <c r="AH210" s="101"/>
      <c r="AI210" s="106"/>
      <c r="AJ210" s="1195"/>
      <c r="AK210" s="106"/>
      <c r="AL210" s="106"/>
      <c r="AM210" s="106"/>
      <c r="AN210" s="1190"/>
      <c r="AO210" s="106"/>
      <c r="AP210" s="106"/>
      <c r="AQ210" s="106"/>
      <c r="AR210" s="1190"/>
      <c r="AS210" s="1197"/>
      <c r="AT210" s="1197"/>
      <c r="AU210" s="1197"/>
      <c r="AV210" s="1197"/>
      <c r="AW210" s="1196"/>
      <c r="AX210" s="101"/>
      <c r="AY210" s="101"/>
      <c r="AZ210" s="101"/>
      <c r="BA210" s="101"/>
      <c r="BB210" s="101"/>
      <c r="BC210" s="101"/>
      <c r="BD210" s="101"/>
      <c r="BE210" s="101"/>
      <c r="BF210" s="106"/>
      <c r="BG210" s="106"/>
      <c r="BH210" s="106"/>
      <c r="BI210" s="106"/>
      <c r="BJ210" s="106"/>
      <c r="BK210" s="106"/>
      <c r="BL210" s="101"/>
      <c r="BM210" s="101"/>
      <c r="BN210" s="106"/>
      <c r="BO210" s="1195"/>
      <c r="BP210" s="101"/>
      <c r="BQ210" s="101"/>
      <c r="BR210" s="101"/>
      <c r="BS210" s="101"/>
      <c r="BT210" s="101"/>
      <c r="BU210" s="101"/>
      <c r="BV210" s="101"/>
      <c r="BW210" s="413"/>
      <c r="BX210" s="413"/>
      <c r="BY210" s="413"/>
      <c r="BZ210" s="103"/>
      <c r="CA210" s="106"/>
      <c r="CB210" s="106"/>
      <c r="CC210" s="106"/>
      <c r="CD210" s="106"/>
      <c r="CE210" s="106"/>
      <c r="CF210" s="106"/>
      <c r="CG210" s="106"/>
      <c r="CH210" s="106"/>
      <c r="CI210" s="106"/>
      <c r="CJ210" s="106"/>
      <c r="CK210" s="101"/>
      <c r="CL210" s="101"/>
      <c r="CM210" s="101"/>
      <c r="CN210" s="101"/>
      <c r="CO210" s="101"/>
      <c r="CP210" s="101"/>
      <c r="CQ210" s="101"/>
      <c r="CR210" s="101"/>
      <c r="CS210" s="101"/>
      <c r="CT210" s="101"/>
      <c r="CU210" s="101"/>
      <c r="CV210" s="106"/>
      <c r="CW210" s="106"/>
      <c r="CX210" s="106"/>
      <c r="CY210" s="106"/>
      <c r="CZ210" s="106"/>
      <c r="DA210" s="106"/>
      <c r="DB210" s="106"/>
      <c r="DC210" s="398"/>
      <c r="DD210" s="398"/>
      <c r="DE210" s="398"/>
      <c r="DF210" s="398"/>
      <c r="DG210" s="398"/>
      <c r="DH210" s="398"/>
      <c r="DI210" s="398"/>
      <c r="DJ210" s="106"/>
      <c r="DK210" s="106"/>
      <c r="DL210" s="106"/>
      <c r="DM210" s="106"/>
      <c r="DN210" s="106"/>
      <c r="DO210" s="106"/>
      <c r="DP210" s="106"/>
      <c r="DQ210" s="106"/>
      <c r="DR210" s="106"/>
      <c r="DS210" s="106"/>
      <c r="DT210" s="106"/>
      <c r="DU210" s="106"/>
      <c r="DV210" s="106"/>
      <c r="DW210" s="106"/>
      <c r="DX210" s="106"/>
      <c r="DY210" s="106"/>
      <c r="DZ210" s="106"/>
      <c r="EA210" s="106"/>
      <c r="EB210" s="106"/>
      <c r="EC210" s="106"/>
      <c r="ED210" s="106"/>
      <c r="EE210" s="101"/>
      <c r="EF210" s="106"/>
      <c r="EG210" s="106"/>
      <c r="EH210" s="106"/>
      <c r="EI210" s="106"/>
      <c r="EJ210" s="417"/>
      <c r="EK210" s="101"/>
      <c r="EL210" s="106"/>
      <c r="EM210" s="101"/>
      <c r="EN210" s="101"/>
      <c r="EO210" s="101"/>
      <c r="EP210" s="106"/>
      <c r="EQ210" s="101"/>
      <c r="ER210" s="101"/>
      <c r="ES210" s="417"/>
      <c r="ET210" s="417"/>
      <c r="EU210" s="418"/>
      <c r="EV210" s="106"/>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408"/>
      <c r="FS210" s="101"/>
      <c r="FT210" s="101"/>
      <c r="FU210" s="101"/>
      <c r="FV210" s="101"/>
      <c r="FW210" s="101"/>
      <c r="FX210" s="101"/>
      <c r="FY210" s="408"/>
      <c r="FZ210" s="101"/>
      <c r="GA210" s="101"/>
      <c r="GB210" s="101"/>
      <c r="GC210" s="101"/>
      <c r="GD210" s="101"/>
      <c r="GE210" s="101"/>
      <c r="GF210" s="101"/>
      <c r="GG210" s="101"/>
      <c r="GH210" s="101"/>
      <c r="GI210" s="101"/>
      <c r="GJ210" s="101"/>
      <c r="GK210" s="101"/>
      <c r="GL210" s="101"/>
      <c r="GM210" s="101"/>
      <c r="GN210" s="103"/>
      <c r="GO210" s="103"/>
      <c r="GP210" s="103"/>
      <c r="GQ210" s="103"/>
      <c r="GR210" s="103"/>
      <c r="GS210" s="103"/>
      <c r="GT210" s="103"/>
      <c r="GU210" s="103"/>
      <c r="GV210" s="103"/>
      <c r="GW210" s="103"/>
      <c r="GX210" s="103"/>
      <c r="GY210" s="103"/>
      <c r="GZ210" s="101"/>
      <c r="HA210" s="101"/>
      <c r="HB210" s="101"/>
      <c r="HC210" s="101"/>
      <c r="HD210" s="101"/>
      <c r="HE210" s="101"/>
      <c r="HF210" s="101"/>
      <c r="HG210" s="106"/>
      <c r="HH210" s="106"/>
      <c r="HI210" s="106"/>
      <c r="HJ210" s="106"/>
      <c r="HK210" s="106"/>
      <c r="HL210" s="106"/>
      <c r="HM210" s="106"/>
      <c r="HN210" s="106"/>
      <c r="HO210" s="106"/>
      <c r="HP210" s="106"/>
      <c r="HQ210" s="106"/>
      <c r="HR210" s="106"/>
      <c r="HS210" s="101"/>
      <c r="HT210" s="101"/>
      <c r="HU210" s="101"/>
      <c r="HV210" s="101"/>
      <c r="HW210" s="101"/>
      <c r="HX210" s="101"/>
      <c r="HY210" s="101"/>
      <c r="HZ210" s="413"/>
      <c r="IA210" s="413"/>
      <c r="IB210" s="1191"/>
      <c r="IC210" s="413"/>
      <c r="ID210" s="815"/>
      <c r="IE210" s="413"/>
      <c r="IF210" s="284"/>
      <c r="IG210" s="284"/>
      <c r="IH210" s="284"/>
      <c r="II210" s="284"/>
      <c r="IJ210" s="284"/>
      <c r="IK210" s="284"/>
      <c r="IL210" s="413"/>
      <c r="IM210" s="413"/>
      <c r="IN210" s="413"/>
      <c r="IO210" s="753"/>
      <c r="IP210" s="753"/>
      <c r="IQ210" s="420"/>
      <c r="IR210" s="420"/>
      <c r="IS210" s="420"/>
      <c r="IT210" s="420"/>
      <c r="IU210" s="420"/>
      <c r="IV210" s="420"/>
      <c r="IW210" s="420"/>
      <c r="IX210" s="413"/>
      <c r="IY210" s="413"/>
      <c r="IZ210" s="413"/>
      <c r="JA210" s="413"/>
      <c r="JB210" s="413"/>
      <c r="JC210" s="413"/>
      <c r="JD210" s="413"/>
      <c r="JE210" s="413"/>
      <c r="JF210" s="413"/>
      <c r="JG210" s="413"/>
      <c r="JH210" s="413"/>
      <c r="JI210" s="413"/>
      <c r="JJ210" s="413"/>
      <c r="JK210" s="413"/>
      <c r="JL210" s="413"/>
      <c r="JM210" s="413"/>
      <c r="JN210" s="413"/>
      <c r="JO210" s="413"/>
      <c r="JP210" s="413"/>
      <c r="JQ210" s="413"/>
      <c r="JR210" s="413"/>
      <c r="JS210" s="413"/>
      <c r="JT210" s="413"/>
      <c r="JU210" s="413"/>
      <c r="JV210" s="413"/>
      <c r="JW210" s="413"/>
      <c r="JX210" s="413"/>
      <c r="JY210" s="420"/>
      <c r="JZ210" s="101"/>
      <c r="KA210" s="421"/>
      <c r="KB210" s="421"/>
      <c r="KC210" s="421"/>
      <c r="KD210" s="421"/>
      <c r="KE210" s="282"/>
      <c r="KF210" s="282"/>
      <c r="KG210" s="282"/>
      <c r="KH210" s="282"/>
      <c r="KI210" s="420"/>
      <c r="KJ210" s="282"/>
      <c r="KK210" s="282"/>
      <c r="KL210" s="282"/>
      <c r="KM210" s="282"/>
      <c r="KN210" s="282"/>
      <c r="KO210" s="282"/>
      <c r="KP210" s="282"/>
      <c r="KQ210" s="282"/>
      <c r="KR210" s="282"/>
      <c r="KS210" s="282"/>
      <c r="KT210" s="282"/>
      <c r="KU210" s="282"/>
      <c r="KV210" s="282"/>
      <c r="KW210" s="282"/>
      <c r="KX210" s="282"/>
      <c r="KY210" s="282"/>
      <c r="KZ210" s="1192"/>
      <c r="LA210" s="282"/>
      <c r="LB210" s="1192"/>
      <c r="LC210" s="1193"/>
      <c r="LD210" s="1193"/>
      <c r="LE210" s="1192"/>
      <c r="LF210" s="1192"/>
      <c r="LG210" s="1192"/>
      <c r="LH210" s="1192"/>
      <c r="LI210" s="1192"/>
      <c r="LJ210" s="1192"/>
      <c r="LK210" s="1192"/>
      <c r="LL210" s="1192"/>
      <c r="LM210" s="1192"/>
      <c r="LN210" s="282"/>
      <c r="LO210" s="1192"/>
      <c r="LP210" s="1193"/>
      <c r="LQ210" s="1192"/>
      <c r="LR210" s="1192"/>
      <c r="LS210" s="1192"/>
      <c r="LT210" s="1193"/>
      <c r="LU210" s="1193"/>
      <c r="LV210" s="1193"/>
      <c r="LW210" s="1193"/>
      <c r="LX210" s="1193"/>
      <c r="LY210" s="1193"/>
      <c r="LZ210" s="1193"/>
      <c r="MA210" s="1193"/>
      <c r="MB210" s="1193"/>
      <c r="MC210" s="1193"/>
      <c r="MD210" s="1193"/>
      <c r="ME210" s="1193"/>
      <c r="MF210" s="1193"/>
      <c r="MG210" s="1193"/>
      <c r="MH210" s="1193"/>
      <c r="MI210" s="1193"/>
      <c r="MJ210" s="1193"/>
      <c r="MK210" s="1193"/>
      <c r="ML210" s="1192"/>
      <c r="MM210" s="562"/>
      <c r="MN210" s="562"/>
      <c r="MO210" s="562"/>
      <c r="MP210" s="562"/>
      <c r="MQ210" s="1192"/>
      <c r="MR210" s="1192"/>
      <c r="MS210" s="1192"/>
      <c r="MT210" s="1192"/>
      <c r="MU210" s="1192"/>
      <c r="MV210" s="1192"/>
      <c r="MW210" s="1192"/>
      <c r="MX210" s="1192"/>
      <c r="MY210" s="1192"/>
      <c r="MZ210" s="1192"/>
      <c r="NA210" s="1192"/>
      <c r="NB210" s="1192"/>
      <c r="NC210" s="1192"/>
      <c r="ND210" s="1192"/>
      <c r="NE210" s="1192"/>
      <c r="NF210" s="1192"/>
      <c r="NG210" s="1192"/>
      <c r="NH210" s="1192"/>
      <c r="NI210" s="1192"/>
      <c r="NJ210" s="1192"/>
      <c r="NK210" s="1192"/>
      <c r="NL210" s="1192"/>
      <c r="NM210" s="1192"/>
      <c r="NN210" s="1192"/>
      <c r="NO210" s="1192"/>
      <c r="NP210" s="1192"/>
      <c r="NQ210" s="1192"/>
      <c r="NR210" s="1192"/>
      <c r="NS210" s="1192"/>
      <c r="NT210" s="1192"/>
      <c r="NU210" s="1192"/>
      <c r="NV210" s="1193"/>
      <c r="NW210" s="1193"/>
      <c r="NX210" s="1193"/>
      <c r="NY210" s="1193"/>
      <c r="NZ210" s="1193"/>
      <c r="OA210" s="1193"/>
      <c r="OB210" s="1193"/>
      <c r="OC210" s="1193"/>
      <c r="OD210" s="1193"/>
      <c r="OE210" s="1192"/>
      <c r="OF210" s="1192"/>
      <c r="OG210" s="1193"/>
      <c r="OH210" s="1193"/>
      <c r="OI210" s="1193"/>
      <c r="OJ210" s="1193"/>
      <c r="OK210" s="1193"/>
      <c r="OL210" s="1193"/>
      <c r="OM210" s="1193"/>
      <c r="ON210" s="1193"/>
      <c r="OO210" s="1193"/>
      <c r="OP210" s="1194"/>
      <c r="OQ210" s="1194"/>
      <c r="OR210" s="1194"/>
      <c r="OS210" s="1194"/>
      <c r="OT210" s="1194"/>
      <c r="OU210" s="1192"/>
      <c r="OV210" s="1192"/>
      <c r="OW210" s="1193"/>
      <c r="OX210" s="1193"/>
      <c r="OY210" s="1193"/>
      <c r="OZ210" s="1193"/>
      <c r="PA210" s="1193"/>
      <c r="PB210" s="1193"/>
      <c r="PC210" s="1193"/>
      <c r="PD210" s="1192"/>
      <c r="PE210" s="1192"/>
      <c r="PF210" s="1193"/>
      <c r="PG210" s="1193"/>
      <c r="PH210" s="1193"/>
      <c r="PI210" s="1193"/>
      <c r="PJ210" s="1193"/>
      <c r="PK210" s="1193"/>
      <c r="PL210" s="1193"/>
      <c r="PM210" s="562"/>
    </row>
    <row r="211" spans="1:429" s="571" customFormat="1" ht="15.6">
      <c r="A211" s="1047"/>
      <c r="B211" s="1189"/>
      <c r="C211" s="1195"/>
      <c r="D211" s="101"/>
      <c r="E211" s="625"/>
      <c r="F211" s="101"/>
      <c r="G211" s="101"/>
      <c r="H211" s="103"/>
      <c r="I211" s="103"/>
      <c r="J211" s="103"/>
      <c r="K211" s="413"/>
      <c r="L211" s="1195"/>
      <c r="M211" s="1195"/>
      <c r="N211" s="1195"/>
      <c r="O211" s="1195"/>
      <c r="P211" s="1195"/>
      <c r="Q211" s="106"/>
      <c r="R211" s="106"/>
      <c r="S211" s="106"/>
      <c r="T211" s="1195"/>
      <c r="U211" s="1195"/>
      <c r="V211" s="1195"/>
      <c r="W211" s="106"/>
      <c r="X211" s="106"/>
      <c r="Y211" s="1195"/>
      <c r="Z211" s="1195"/>
      <c r="AA211" s="106"/>
      <c r="AB211" s="106"/>
      <c r="AC211" s="1195"/>
      <c r="AD211" s="1197"/>
      <c r="AE211" s="101"/>
      <c r="AF211" s="101"/>
      <c r="AG211" s="1195"/>
      <c r="AH211" s="101"/>
      <c r="AI211" s="106"/>
      <c r="AJ211" s="1195"/>
      <c r="AK211" s="106"/>
      <c r="AL211" s="106"/>
      <c r="AM211" s="106"/>
      <c r="AN211" s="1190"/>
      <c r="AO211" s="106"/>
      <c r="AP211" s="106"/>
      <c r="AQ211" s="106"/>
      <c r="AR211" s="1190"/>
      <c r="AS211" s="1197"/>
      <c r="AT211" s="1197"/>
      <c r="AU211" s="1197"/>
      <c r="AV211" s="1197"/>
      <c r="AW211" s="1196"/>
      <c r="AX211" s="101"/>
      <c r="AY211" s="101"/>
      <c r="AZ211" s="101"/>
      <c r="BA211" s="101"/>
      <c r="BB211" s="101"/>
      <c r="BC211" s="101"/>
      <c r="BD211" s="101"/>
      <c r="BE211" s="101"/>
      <c r="BF211" s="106"/>
      <c r="BG211" s="106"/>
      <c r="BH211" s="106"/>
      <c r="BI211" s="106"/>
      <c r="BJ211" s="106"/>
      <c r="BK211" s="106"/>
      <c r="BL211" s="101"/>
      <c r="BM211" s="101"/>
      <c r="BN211" s="106"/>
      <c r="BO211" s="1195"/>
      <c r="BP211" s="101"/>
      <c r="BQ211" s="101"/>
      <c r="BR211" s="101"/>
      <c r="BS211" s="1405"/>
      <c r="BT211" s="101"/>
      <c r="BU211" s="101"/>
      <c r="BV211" s="101"/>
      <c r="BW211" s="413"/>
      <c r="BX211" s="413"/>
      <c r="BY211" s="413"/>
      <c r="BZ211" s="103"/>
      <c r="CA211" s="106"/>
      <c r="CB211" s="106"/>
      <c r="CC211" s="106"/>
      <c r="CD211" s="106"/>
      <c r="CE211" s="106"/>
      <c r="CF211" s="106"/>
      <c r="CG211" s="106"/>
      <c r="CH211" s="106"/>
      <c r="CI211" s="106"/>
      <c r="CJ211" s="106"/>
      <c r="CK211" s="101"/>
      <c r="CL211" s="101"/>
      <c r="CM211" s="101"/>
      <c r="CN211" s="101"/>
      <c r="CO211" s="101"/>
      <c r="CP211" s="101"/>
      <c r="CQ211" s="101"/>
      <c r="CR211" s="101"/>
      <c r="CS211" s="101"/>
      <c r="CT211" s="101"/>
      <c r="CU211" s="101"/>
      <c r="CV211" s="106"/>
      <c r="CW211" s="106"/>
      <c r="CX211" s="106"/>
      <c r="CY211" s="106"/>
      <c r="CZ211" s="106"/>
      <c r="DA211" s="106"/>
      <c r="DB211" s="106"/>
      <c r="DC211" s="398"/>
      <c r="DD211" s="398"/>
      <c r="DE211" s="398"/>
      <c r="DF211" s="398"/>
      <c r="DG211" s="398"/>
      <c r="DH211" s="398"/>
      <c r="DI211" s="398"/>
      <c r="DJ211" s="106"/>
      <c r="DK211" s="106"/>
      <c r="DL211" s="106"/>
      <c r="DM211" s="106"/>
      <c r="DN211" s="106"/>
      <c r="DO211" s="106"/>
      <c r="DP211" s="106"/>
      <c r="DQ211" s="106"/>
      <c r="DR211" s="106"/>
      <c r="DS211" s="106"/>
      <c r="DT211" s="106"/>
      <c r="DU211" s="106"/>
      <c r="DV211" s="106"/>
      <c r="DW211" s="106"/>
      <c r="DX211" s="106"/>
      <c r="DY211" s="106"/>
      <c r="DZ211" s="106"/>
      <c r="EA211" s="106"/>
      <c r="EB211" s="106"/>
      <c r="EC211" s="106"/>
      <c r="ED211" s="106"/>
      <c r="EE211" s="101"/>
      <c r="EF211" s="106"/>
      <c r="EG211" s="106"/>
      <c r="EH211" s="106"/>
      <c r="EI211" s="106"/>
      <c r="EJ211" s="417"/>
      <c r="EK211" s="101"/>
      <c r="EL211" s="106"/>
      <c r="EM211" s="101"/>
      <c r="EN211" s="101"/>
      <c r="EO211" s="101"/>
      <c r="EP211" s="106"/>
      <c r="EQ211" s="101"/>
      <c r="ER211" s="101"/>
      <c r="ES211" s="417"/>
      <c r="ET211" s="417"/>
      <c r="EU211" s="418"/>
      <c r="EV211" s="106"/>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408"/>
      <c r="FS211" s="101"/>
      <c r="FT211" s="101"/>
      <c r="FU211" s="101"/>
      <c r="FV211" s="101"/>
      <c r="FW211" s="101"/>
      <c r="FX211" s="101"/>
      <c r="FY211" s="408"/>
      <c r="FZ211" s="101"/>
      <c r="GA211" s="101"/>
      <c r="GB211" s="101"/>
      <c r="GC211" s="101"/>
      <c r="GD211" s="101"/>
      <c r="GE211" s="101"/>
      <c r="GF211" s="101"/>
      <c r="GG211" s="101"/>
      <c r="GH211" s="101"/>
      <c r="GI211" s="101"/>
      <c r="GJ211" s="101"/>
      <c r="GK211" s="101"/>
      <c r="GL211" s="101"/>
      <c r="GM211" s="101"/>
      <c r="GN211" s="103"/>
      <c r="GO211" s="103"/>
      <c r="GP211" s="103"/>
      <c r="GQ211" s="103"/>
      <c r="GR211" s="103"/>
      <c r="GS211" s="103"/>
      <c r="GT211" s="103"/>
      <c r="GU211" s="103"/>
      <c r="GV211" s="103"/>
      <c r="GW211" s="103"/>
      <c r="GX211" s="103"/>
      <c r="GY211" s="103"/>
      <c r="GZ211" s="101"/>
      <c r="HA211" s="101"/>
      <c r="HB211" s="101"/>
      <c r="HC211" s="101"/>
      <c r="HD211" s="101"/>
      <c r="HE211" s="101"/>
      <c r="HF211" s="101"/>
      <c r="HG211" s="106"/>
      <c r="HH211" s="106"/>
      <c r="HI211" s="106"/>
      <c r="HJ211" s="106"/>
      <c r="HK211" s="106"/>
      <c r="HL211" s="106"/>
      <c r="HM211" s="106"/>
      <c r="HN211" s="106"/>
      <c r="HO211" s="106"/>
      <c r="HP211" s="106"/>
      <c r="HQ211" s="106"/>
      <c r="HR211" s="106"/>
      <c r="HS211" s="101"/>
      <c r="HT211" s="101"/>
      <c r="HU211" s="101"/>
      <c r="HV211" s="101"/>
      <c r="HW211" s="101"/>
      <c r="HX211" s="101"/>
      <c r="HY211" s="101"/>
      <c r="HZ211" s="413"/>
      <c r="IA211" s="413"/>
      <c r="IB211" s="107"/>
      <c r="IC211" s="413"/>
      <c r="ID211" s="107"/>
      <c r="IE211" s="413"/>
      <c r="IF211" s="107"/>
      <c r="IG211" s="107"/>
      <c r="IH211" s="107"/>
      <c r="II211" s="107"/>
      <c r="IJ211" s="107"/>
      <c r="IK211" s="413"/>
      <c r="IL211" s="413"/>
      <c r="IM211" s="413"/>
      <c r="IN211" s="413"/>
      <c r="IO211" s="753"/>
      <c r="IP211" s="753"/>
      <c r="IQ211" s="420"/>
      <c r="IR211" s="420"/>
      <c r="IS211" s="420"/>
      <c r="IT211" s="420"/>
      <c r="IU211" s="420"/>
      <c r="IV211" s="420"/>
      <c r="IW211" s="420"/>
      <c r="IX211" s="413"/>
      <c r="IY211" s="413"/>
      <c r="IZ211" s="413"/>
      <c r="JA211" s="413"/>
      <c r="JB211" s="413"/>
      <c r="JC211" s="413"/>
      <c r="JD211" s="413"/>
      <c r="JE211" s="413"/>
      <c r="JF211" s="413"/>
      <c r="JG211" s="413"/>
      <c r="JH211" s="413"/>
      <c r="JI211" s="413"/>
      <c r="JJ211" s="413"/>
      <c r="JK211" s="413"/>
      <c r="JL211" s="413"/>
      <c r="JM211" s="413"/>
      <c r="JN211" s="413"/>
      <c r="JO211" s="413"/>
      <c r="JP211" s="413"/>
      <c r="JQ211" s="413"/>
      <c r="JR211" s="413"/>
      <c r="JS211" s="413"/>
      <c r="JT211" s="413"/>
      <c r="JU211" s="413"/>
      <c r="JV211" s="413"/>
      <c r="JW211" s="413"/>
      <c r="JX211" s="413"/>
      <c r="JY211" s="420"/>
      <c r="JZ211" s="101"/>
      <c r="KA211" s="421"/>
      <c r="KB211" s="421"/>
      <c r="KC211" s="421"/>
      <c r="KD211" s="421"/>
      <c r="KE211" s="282"/>
      <c r="KF211" s="282"/>
      <c r="KG211" s="282"/>
      <c r="KH211" s="282"/>
      <c r="KI211" s="420"/>
      <c r="KJ211" s="282"/>
      <c r="KK211" s="282"/>
      <c r="KL211" s="282"/>
      <c r="KM211" s="282"/>
      <c r="KN211" s="282"/>
      <c r="KO211" s="282"/>
      <c r="KP211" s="282"/>
      <c r="KQ211" s="282"/>
      <c r="KR211" s="282"/>
      <c r="KS211" s="282"/>
      <c r="KT211" s="282"/>
      <c r="KU211" s="282"/>
      <c r="KV211" s="282"/>
      <c r="KW211" s="282"/>
      <c r="KX211" s="282"/>
      <c r="KY211" s="282"/>
      <c r="KZ211" s="1192"/>
      <c r="LA211" s="282"/>
      <c r="LB211" s="1192"/>
      <c r="LC211" s="1192"/>
      <c r="LD211" s="1192"/>
      <c r="LE211" s="1192"/>
      <c r="LF211" s="1192"/>
      <c r="LG211" s="1192"/>
      <c r="LH211" s="1192"/>
      <c r="LI211" s="1192"/>
      <c r="LJ211" s="1192"/>
      <c r="LK211" s="1192"/>
      <c r="LL211" s="1192"/>
      <c r="LM211" s="1192"/>
      <c r="LN211" s="1192"/>
      <c r="LO211" s="1192"/>
      <c r="LP211" s="1192"/>
      <c r="LQ211" s="1192"/>
      <c r="LR211" s="1192"/>
      <c r="LS211" s="1192"/>
      <c r="LT211" s="1070"/>
      <c r="LU211" s="1070"/>
      <c r="LV211" s="1070"/>
      <c r="LW211" s="1070"/>
      <c r="LX211" s="1070"/>
      <c r="LY211" s="1070"/>
      <c r="LZ211" s="1070"/>
      <c r="MA211" s="1070"/>
      <c r="MB211" s="1070"/>
      <c r="MC211" s="1070"/>
      <c r="MD211" s="1070"/>
      <c r="ME211" s="1070"/>
      <c r="MF211" s="1070"/>
      <c r="MG211" s="1070"/>
      <c r="MH211" s="1070"/>
      <c r="MI211" s="1070"/>
      <c r="MJ211" s="1070"/>
      <c r="MK211" s="1070"/>
      <c r="ML211" s="1070"/>
      <c r="MM211" s="1234"/>
      <c r="MN211" s="1234"/>
      <c r="MO211" s="1234"/>
      <c r="MP211" s="1234"/>
      <c r="MQ211" s="1070"/>
      <c r="MR211" s="1070"/>
      <c r="MS211" s="1192"/>
      <c r="MT211" s="1192"/>
      <c r="MU211" s="1192"/>
      <c r="MV211" s="1192"/>
      <c r="MW211" s="1192"/>
      <c r="MX211" s="1192"/>
      <c r="MY211" s="1192"/>
      <c r="MZ211" s="1192"/>
      <c r="NA211" s="1192"/>
      <c r="NB211" s="1192"/>
      <c r="NC211" s="1192"/>
      <c r="ND211" s="1192"/>
      <c r="NE211" s="1192"/>
      <c r="NF211" s="1192"/>
      <c r="NG211" s="1192"/>
      <c r="NH211" s="1192"/>
      <c r="NI211" s="1192"/>
      <c r="NJ211" s="1192"/>
      <c r="NK211" s="1192"/>
      <c r="NL211" s="1192"/>
      <c r="NM211" s="1192"/>
      <c r="NN211" s="1192"/>
      <c r="NO211" s="1192"/>
      <c r="NP211" s="1192"/>
      <c r="NQ211" s="1192"/>
      <c r="NR211" s="1192"/>
      <c r="NS211" s="1192"/>
      <c r="NT211" s="1192"/>
      <c r="NU211" s="1192"/>
      <c r="NV211" s="1192"/>
      <c r="NW211" s="1192"/>
      <c r="NX211" s="1192"/>
      <c r="NY211" s="1192"/>
      <c r="NZ211" s="1192"/>
      <c r="OA211" s="1192"/>
      <c r="OB211" s="1192"/>
      <c r="OC211" s="1192"/>
      <c r="OD211" s="1192"/>
      <c r="OE211" s="1192"/>
      <c r="OF211" s="1192"/>
      <c r="OG211" s="1192"/>
      <c r="OH211" s="1192"/>
      <c r="OI211" s="1192"/>
      <c r="OJ211" s="1192"/>
      <c r="OK211" s="1192"/>
      <c r="OL211" s="1192"/>
      <c r="OM211" s="1192"/>
      <c r="ON211" s="1192"/>
      <c r="OO211" s="1192"/>
      <c r="OP211" s="1192"/>
      <c r="PM211" s="562"/>
    </row>
    <row r="212" spans="1:429">
      <c r="BS212" s="1385"/>
    </row>
    <row r="213" spans="1:429" ht="15.6">
      <c r="A213" s="2066"/>
      <c r="FA213" s="289"/>
    </row>
    <row r="214" spans="1:429" ht="15.6">
      <c r="A214" s="2066"/>
      <c r="FA214" s="289"/>
    </row>
    <row r="215" spans="1:429">
      <c r="A215" s="1033"/>
      <c r="FA215" s="289"/>
      <c r="FB215" s="289"/>
    </row>
    <row r="216" spans="1:429">
      <c r="A216" s="1033"/>
    </row>
    <row r="217" spans="1:429">
      <c r="A217" s="1034"/>
    </row>
    <row r="218" spans="1:429">
      <c r="A218" s="1050"/>
    </row>
    <row r="219" spans="1:429">
      <c r="A219" s="1040"/>
    </row>
    <row r="220" spans="1:429">
      <c r="A220" s="1040"/>
    </row>
    <row r="221" spans="1:429">
      <c r="A221" s="1040"/>
    </row>
    <row r="222" spans="1:429">
      <c r="A222" s="1040"/>
    </row>
    <row r="223" spans="1:429">
      <c r="A223" s="1040"/>
    </row>
    <row r="224" spans="1:429">
      <c r="A224" s="1040"/>
    </row>
    <row r="225" spans="1:406">
      <c r="A225" s="1040"/>
      <c r="IB225"/>
    </row>
    <row r="226" spans="1:406">
      <c r="A226" s="1040"/>
      <c r="IB226"/>
    </row>
    <row r="227" spans="1:406">
      <c r="A227" s="1040"/>
      <c r="C227" s="101"/>
      <c r="H227" s="101"/>
      <c r="I227" s="101"/>
      <c r="J227" s="101"/>
      <c r="K227" s="101"/>
      <c r="M227" s="101"/>
      <c r="N227" s="101"/>
      <c r="O227" s="101"/>
      <c r="P227" s="101"/>
      <c r="Q227" s="101"/>
      <c r="R227" s="101"/>
      <c r="S227" s="101"/>
      <c r="T227" s="101"/>
      <c r="U227" s="101"/>
      <c r="V227" s="101"/>
      <c r="W227" s="101"/>
      <c r="X227" s="101"/>
      <c r="Y227" s="101"/>
      <c r="Z227" s="101"/>
      <c r="AA227" s="101"/>
      <c r="AB227" s="101"/>
      <c r="AI227" s="101"/>
      <c r="AJ227" s="101"/>
      <c r="AK227" s="101"/>
      <c r="AL227" s="101"/>
      <c r="AM227" s="101"/>
      <c r="AN227" s="101"/>
      <c r="AO227" s="101"/>
      <c r="AP227" s="101"/>
      <c r="AQ227" s="101"/>
      <c r="AR227" s="101"/>
      <c r="AS227" s="101"/>
      <c r="AT227" s="101"/>
      <c r="AU227" s="101"/>
      <c r="AV227" s="101"/>
      <c r="BF227" s="101"/>
      <c r="BG227" s="101"/>
      <c r="BH227" s="101"/>
      <c r="BI227" s="101"/>
      <c r="BJ227" s="101"/>
      <c r="BK227" s="101"/>
      <c r="BN227" s="101"/>
      <c r="BW227" s="101"/>
      <c r="BX227" s="101"/>
      <c r="BY227" s="101"/>
      <c r="BZ227" s="101"/>
      <c r="CA227" s="101"/>
      <c r="CB227" s="101"/>
      <c r="CC227" s="101"/>
      <c r="CD227" s="101"/>
      <c r="CE227" s="101"/>
      <c r="CF227" s="101"/>
      <c r="CG227" s="101"/>
      <c r="CH227" s="101"/>
      <c r="CI227" s="101"/>
      <c r="CJ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F227" s="101"/>
      <c r="EG227" s="101"/>
      <c r="EH227" s="101"/>
      <c r="EI227" s="101"/>
      <c r="EJ227" s="101"/>
      <c r="EL227" s="101"/>
      <c r="EP227" s="101"/>
      <c r="ES227" s="101"/>
      <c r="ET227" s="101"/>
      <c r="EU227" s="101"/>
      <c r="EV227" s="101"/>
      <c r="FR227" s="101"/>
      <c r="FY227" s="101"/>
      <c r="GN227" s="101"/>
      <c r="GO227" s="101"/>
      <c r="GP227" s="101"/>
      <c r="GQ227" s="101"/>
      <c r="GR227" s="101"/>
      <c r="GS227" s="101"/>
      <c r="GT227" s="101"/>
      <c r="GU227" s="101"/>
      <c r="GV227" s="101"/>
      <c r="GW227" s="101"/>
      <c r="GX227" s="101"/>
      <c r="GY227" s="101"/>
      <c r="HG227" s="101"/>
      <c r="HH227" s="101"/>
      <c r="HI227" s="101"/>
      <c r="HJ227" s="101"/>
      <c r="HK227" s="101"/>
      <c r="HL227" s="101"/>
      <c r="HM227" s="101"/>
      <c r="HN227" s="101"/>
      <c r="HO227" s="101"/>
      <c r="HP227" s="101"/>
      <c r="HQ227" s="101"/>
      <c r="HR227" s="101"/>
      <c r="HZ227" s="101"/>
      <c r="IA227" s="101"/>
      <c r="IB227"/>
      <c r="IC227" s="101"/>
      <c r="ID227" s="101"/>
      <c r="IE227" s="101"/>
      <c r="IF227" s="101"/>
      <c r="IG227" s="101"/>
      <c r="IH227" s="101"/>
      <c r="II227" s="101"/>
      <c r="IJ227" s="101"/>
      <c r="IK227" s="101"/>
      <c r="IL227" s="101"/>
      <c r="IM227" s="101"/>
      <c r="IN227" s="101"/>
      <c r="IO227" s="101"/>
      <c r="IP227" s="101"/>
      <c r="IQ227" s="101"/>
      <c r="IR227" s="101"/>
      <c r="IS227" s="101"/>
      <c r="IT227" s="101"/>
      <c r="IU227" s="101"/>
      <c r="IV227" s="101"/>
      <c r="IW227" s="101"/>
      <c r="IX227" s="101"/>
      <c r="IY227" s="101"/>
      <c r="IZ227" s="101"/>
      <c r="JA227" s="101"/>
      <c r="JB227" s="101"/>
      <c r="JC227" s="101"/>
      <c r="JD227" s="101"/>
      <c r="JE227" s="101"/>
      <c r="JF227" s="101"/>
      <c r="JG227" s="101"/>
      <c r="JH227" s="101"/>
      <c r="JI227" s="101"/>
      <c r="JJ227" s="101"/>
      <c r="JK227" s="101"/>
      <c r="JL227" s="101"/>
      <c r="JM227" s="101"/>
      <c r="JN227" s="101"/>
      <c r="JO227" s="101"/>
      <c r="JP227" s="101"/>
      <c r="JQ227" s="101"/>
      <c r="JR227" s="101"/>
      <c r="JS227" s="101"/>
      <c r="JT227" s="101"/>
      <c r="JU227" s="101"/>
      <c r="JV227" s="101"/>
      <c r="JW227" s="101"/>
      <c r="JX227" s="101"/>
      <c r="JY227" s="101"/>
      <c r="KA227" s="101"/>
      <c r="KB227" s="101"/>
      <c r="KC227" s="101"/>
      <c r="KD227" s="101"/>
      <c r="KE227" s="101"/>
      <c r="KF227" s="101"/>
      <c r="KG227" s="101"/>
      <c r="KH227" s="101"/>
      <c r="KI227" s="101"/>
      <c r="KJ227" s="101"/>
      <c r="KK227" s="101"/>
      <c r="KL227" s="101"/>
      <c r="KM227" s="101"/>
      <c r="KN227" s="101"/>
      <c r="KO227" s="101"/>
      <c r="KP227" s="101"/>
      <c r="KQ227" s="101"/>
      <c r="KR227" s="101"/>
      <c r="KS227" s="101"/>
      <c r="KT227" s="101"/>
      <c r="KU227" s="101"/>
      <c r="KV227" s="101"/>
      <c r="KW227" s="101"/>
      <c r="KX227" s="101"/>
      <c r="KY227" s="101"/>
      <c r="KZ227" s="101"/>
      <c r="LA227" s="101"/>
      <c r="LB227" s="101"/>
      <c r="LC227" s="101"/>
      <c r="LD227" s="101"/>
      <c r="LE227" s="101"/>
      <c r="LF227" s="101"/>
      <c r="LG227" s="101"/>
      <c r="LH227" s="101"/>
      <c r="LI227" s="101"/>
      <c r="LJ227" s="101"/>
      <c r="LK227" s="101"/>
      <c r="LL227" s="101"/>
      <c r="LM227" s="101"/>
      <c r="LN227" s="101"/>
      <c r="LO227" s="101"/>
      <c r="LP227" s="101"/>
      <c r="LQ227" s="101"/>
      <c r="LR227" s="101"/>
      <c r="LS227" s="101"/>
      <c r="LT227" s="101"/>
      <c r="LU227" s="101"/>
      <c r="LV227" s="101"/>
      <c r="LW227" s="101"/>
      <c r="LX227" s="101"/>
      <c r="LY227" s="101"/>
      <c r="LZ227" s="101"/>
      <c r="MA227" s="101"/>
      <c r="MB227" s="101"/>
      <c r="MC227" s="101"/>
      <c r="MD227" s="101"/>
      <c r="ME227" s="101"/>
      <c r="MF227" s="101"/>
      <c r="MG227" s="101"/>
      <c r="MH227" s="101"/>
      <c r="MI227" s="101"/>
      <c r="MJ227" s="101"/>
      <c r="MK227" s="101"/>
      <c r="ML227" s="101"/>
      <c r="MM227" s="101"/>
      <c r="MN227" s="101"/>
      <c r="MO227" s="101"/>
      <c r="MP227" s="101"/>
      <c r="MQ227" s="101"/>
      <c r="MR227" s="101"/>
      <c r="MS227" s="101"/>
      <c r="MT227" s="101"/>
      <c r="MU227" s="101"/>
      <c r="MV227" s="101"/>
      <c r="MW227" s="101"/>
      <c r="MX227" s="101"/>
      <c r="MY227" s="101"/>
      <c r="MZ227" s="101"/>
      <c r="NA227" s="101"/>
      <c r="NB227" s="101"/>
      <c r="NC227" s="101"/>
      <c r="ND227" s="101"/>
      <c r="NE227" s="101"/>
      <c r="NF227" s="101"/>
      <c r="NG227" s="101"/>
      <c r="NH227" s="101"/>
      <c r="NI227" s="101"/>
      <c r="NJ227" s="101"/>
      <c r="NK227" s="101"/>
      <c r="NL227" s="101"/>
      <c r="NM227" s="101"/>
      <c r="NN227" s="101"/>
      <c r="NO227" s="101"/>
      <c r="NP227" s="101"/>
      <c r="NQ227" s="101"/>
      <c r="NR227" s="101"/>
      <c r="NS227" s="101"/>
      <c r="NT227" s="101"/>
      <c r="NU227" s="101"/>
      <c r="NV227" s="101"/>
      <c r="NW227" s="101"/>
      <c r="NX227" s="101"/>
      <c r="NY227" s="101"/>
      <c r="NZ227" s="101"/>
      <c r="OA227" s="101"/>
      <c r="OB227" s="101"/>
      <c r="OC227" s="101"/>
      <c r="OD227" s="101"/>
      <c r="OE227" s="101"/>
      <c r="OF227" s="101"/>
      <c r="OG227" s="101"/>
      <c r="OH227" s="101"/>
      <c r="OI227" s="101"/>
      <c r="OJ227" s="101"/>
      <c r="OK227" s="101"/>
      <c r="OL227" s="101"/>
      <c r="OM227" s="101"/>
      <c r="ON227" s="101"/>
      <c r="OO227" s="101"/>
      <c r="OP227" s="101"/>
    </row>
    <row r="228" spans="1:406">
      <c r="A228" s="1040"/>
      <c r="C228" s="101"/>
      <c r="H228" s="101"/>
      <c r="I228" s="101"/>
      <c r="J228" s="101"/>
      <c r="K228" s="101"/>
      <c r="M228" s="101"/>
      <c r="N228" s="101"/>
      <c r="O228" s="101"/>
      <c r="P228" s="101"/>
      <c r="Q228" s="101"/>
      <c r="R228" s="101"/>
      <c r="S228" s="101"/>
      <c r="T228" s="101"/>
      <c r="U228" s="101"/>
      <c r="V228" s="101"/>
      <c r="W228" s="101"/>
      <c r="X228" s="101"/>
      <c r="Y228" s="101"/>
      <c r="Z228" s="101"/>
      <c r="AA228" s="101"/>
      <c r="AB228" s="101"/>
      <c r="AI228" s="101"/>
      <c r="AJ228" s="101"/>
      <c r="AK228" s="101"/>
      <c r="AL228" s="101"/>
      <c r="AM228" s="101"/>
      <c r="AN228" s="101"/>
      <c r="AO228" s="101"/>
      <c r="AP228" s="101"/>
      <c r="AQ228" s="101"/>
      <c r="AR228" s="101"/>
      <c r="AS228" s="101"/>
      <c r="AT228" s="101"/>
      <c r="AU228" s="101"/>
      <c r="AV228" s="101"/>
      <c r="BF228" s="101"/>
      <c r="BG228" s="101"/>
      <c r="BH228" s="101"/>
      <c r="BI228" s="101"/>
      <c r="BJ228" s="101"/>
      <c r="BK228" s="101"/>
      <c r="BN228" s="101"/>
      <c r="BW228" s="101"/>
      <c r="BX228" s="101"/>
      <c r="BY228" s="101"/>
      <c r="BZ228" s="101"/>
      <c r="CA228" s="101"/>
      <c r="CB228" s="101"/>
      <c r="CC228" s="101"/>
      <c r="CD228" s="101"/>
      <c r="CE228" s="101"/>
      <c r="CF228" s="101"/>
      <c r="CG228" s="101"/>
      <c r="CH228" s="101"/>
      <c r="CI228" s="101"/>
      <c r="CJ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F228" s="101"/>
      <c r="EG228" s="101"/>
      <c r="EH228" s="101"/>
      <c r="EI228" s="101"/>
      <c r="EJ228" s="101"/>
      <c r="EL228" s="101"/>
      <c r="EP228" s="101"/>
      <c r="ES228" s="101"/>
      <c r="ET228" s="101"/>
      <c r="EU228" s="101"/>
      <c r="EV228" s="101"/>
      <c r="FR228" s="101"/>
      <c r="FY228" s="101"/>
      <c r="GN228" s="101"/>
      <c r="GO228" s="101"/>
      <c r="GP228" s="101"/>
      <c r="GQ228" s="101"/>
      <c r="GR228" s="101"/>
      <c r="GS228" s="101"/>
      <c r="GT228" s="101"/>
      <c r="GU228" s="101"/>
      <c r="GV228" s="101"/>
      <c r="GW228" s="101"/>
      <c r="GX228" s="101"/>
      <c r="GY228" s="101"/>
      <c r="HG228" s="101"/>
      <c r="HH228" s="101"/>
      <c r="HI228" s="101"/>
      <c r="HJ228" s="101"/>
      <c r="HK228" s="101"/>
      <c r="HL228" s="101"/>
      <c r="HM228" s="101"/>
      <c r="HN228" s="101"/>
      <c r="HO228" s="101"/>
      <c r="HP228" s="101"/>
      <c r="HQ228" s="101"/>
      <c r="HR228" s="101"/>
      <c r="HZ228" s="101"/>
      <c r="IA228" s="101"/>
      <c r="IB228"/>
      <c r="IC228" s="101"/>
      <c r="ID228" s="101"/>
      <c r="IE228" s="101"/>
      <c r="IF228" s="101"/>
      <c r="IG228" s="101"/>
      <c r="IH228" s="101"/>
      <c r="II228" s="101"/>
      <c r="IJ228" s="101"/>
      <c r="IK228" s="101"/>
      <c r="IL228" s="101"/>
      <c r="IM228" s="101"/>
      <c r="IN228" s="101"/>
      <c r="IO228" s="101"/>
      <c r="IP228" s="101"/>
      <c r="IQ228" s="101"/>
      <c r="IR228" s="101"/>
      <c r="IS228" s="101"/>
      <c r="IT228" s="101"/>
      <c r="IU228" s="101"/>
      <c r="IV228" s="101"/>
      <c r="IW228" s="101"/>
      <c r="IX228" s="101"/>
      <c r="IY228" s="101"/>
      <c r="IZ228" s="101"/>
      <c r="JA228" s="101"/>
      <c r="JB228" s="101"/>
      <c r="JC228" s="101"/>
      <c r="JD228" s="101"/>
      <c r="JE228" s="101"/>
      <c r="JF228" s="101"/>
      <c r="JG228" s="101"/>
      <c r="JH228" s="101"/>
      <c r="JI228" s="101"/>
      <c r="JJ228" s="101"/>
      <c r="JK228" s="101"/>
      <c r="JL228" s="101"/>
      <c r="JM228" s="101"/>
      <c r="JN228" s="101"/>
      <c r="JO228" s="101"/>
      <c r="JP228" s="101"/>
      <c r="JQ228" s="101"/>
      <c r="JR228" s="101"/>
      <c r="JS228" s="101"/>
      <c r="JT228" s="101"/>
      <c r="JU228" s="101"/>
      <c r="JV228" s="101"/>
      <c r="JW228" s="101"/>
      <c r="JX228" s="101"/>
      <c r="JY228" s="101"/>
      <c r="KA228" s="101"/>
      <c r="KB228" s="101"/>
      <c r="KC228" s="101"/>
      <c r="KD228" s="101"/>
      <c r="KE228" s="101"/>
      <c r="KF228" s="101"/>
      <c r="KG228" s="101"/>
      <c r="KH228" s="101"/>
      <c r="KI228" s="101"/>
      <c r="KJ228" s="101"/>
      <c r="KK228" s="101"/>
      <c r="KL228" s="101"/>
      <c r="KM228" s="101"/>
      <c r="KN228" s="101"/>
      <c r="KO228" s="101"/>
      <c r="KP228" s="101"/>
      <c r="KQ228" s="101"/>
      <c r="KR228" s="101"/>
      <c r="KS228" s="101"/>
      <c r="KT228" s="101"/>
      <c r="KU228" s="101"/>
      <c r="KV228" s="101"/>
      <c r="KW228" s="101"/>
      <c r="KX228" s="101"/>
      <c r="KY228" s="101"/>
      <c r="KZ228" s="101"/>
      <c r="LA228" s="101"/>
      <c r="LB228" s="101"/>
      <c r="LC228" s="101"/>
      <c r="LD228" s="101"/>
      <c r="LE228" s="101"/>
      <c r="LF228" s="101"/>
      <c r="LG228" s="101"/>
      <c r="LH228" s="101"/>
      <c r="LI228" s="101"/>
      <c r="LJ228" s="101"/>
      <c r="LK228" s="101"/>
      <c r="LL228" s="101"/>
      <c r="LM228" s="101"/>
      <c r="LN228" s="101"/>
      <c r="LO228" s="101"/>
      <c r="LP228" s="101"/>
      <c r="LQ228" s="101"/>
      <c r="LR228" s="101"/>
      <c r="LS228" s="101"/>
      <c r="LT228" s="101"/>
      <c r="LU228" s="101"/>
      <c r="LV228" s="101"/>
      <c r="LW228" s="101"/>
      <c r="LX228" s="101"/>
      <c r="LY228" s="101"/>
      <c r="LZ228" s="101"/>
      <c r="MA228" s="101"/>
      <c r="MB228" s="101"/>
      <c r="MC228" s="101"/>
      <c r="MD228" s="101"/>
      <c r="ME228" s="101"/>
      <c r="MF228" s="101"/>
      <c r="MG228" s="101"/>
      <c r="MH228" s="101"/>
      <c r="MI228" s="101"/>
      <c r="MJ228" s="101"/>
      <c r="MK228" s="101"/>
      <c r="ML228" s="101"/>
      <c r="MM228" s="101"/>
      <c r="MN228" s="101"/>
      <c r="MO228" s="101"/>
      <c r="MP228" s="101"/>
      <c r="MQ228" s="101"/>
      <c r="MR228" s="101"/>
      <c r="MS228" s="101"/>
      <c r="MT228" s="101"/>
      <c r="MU228" s="101"/>
      <c r="MV228" s="101"/>
      <c r="MW228" s="101"/>
      <c r="MX228" s="101"/>
      <c r="MY228" s="101"/>
      <c r="MZ228" s="101"/>
      <c r="NA228" s="101"/>
      <c r="NB228" s="101"/>
      <c r="NC228" s="101"/>
      <c r="ND228" s="101"/>
      <c r="NE228" s="101"/>
      <c r="NF228" s="101"/>
      <c r="NG228" s="101"/>
      <c r="NH228" s="101"/>
      <c r="NI228" s="101"/>
      <c r="NJ228" s="101"/>
      <c r="NK228" s="101"/>
      <c r="NL228" s="101"/>
      <c r="NM228" s="101"/>
      <c r="NN228" s="101"/>
      <c r="NO228" s="101"/>
      <c r="NP228" s="101"/>
      <c r="NQ228" s="101"/>
      <c r="NR228" s="101"/>
      <c r="NS228" s="101"/>
      <c r="NT228" s="101"/>
      <c r="NU228" s="101"/>
      <c r="NV228" s="101"/>
      <c r="NW228" s="101"/>
      <c r="NX228" s="101"/>
      <c r="NY228" s="101"/>
      <c r="NZ228" s="101"/>
      <c r="OA228" s="101"/>
      <c r="OB228" s="101"/>
      <c r="OC228" s="101"/>
      <c r="OD228" s="101"/>
      <c r="OE228" s="101"/>
      <c r="OF228" s="101"/>
      <c r="OG228" s="101"/>
      <c r="OH228" s="101"/>
      <c r="OI228" s="101"/>
      <c r="OJ228" s="101"/>
      <c r="OK228" s="101"/>
      <c r="OL228" s="101"/>
      <c r="OM228" s="101"/>
      <c r="ON228" s="101"/>
      <c r="OO228" s="101"/>
      <c r="OP228" s="101"/>
    </row>
    <row r="229" spans="1:406">
      <c r="C229" s="101"/>
      <c r="H229" s="101"/>
      <c r="I229" s="101"/>
      <c r="J229" s="101"/>
      <c r="K229" s="101"/>
      <c r="M229" s="101"/>
      <c r="N229" s="101"/>
      <c r="O229" s="101"/>
      <c r="P229" s="101"/>
      <c r="Q229" s="101"/>
      <c r="R229" s="101"/>
      <c r="S229" s="101"/>
      <c r="T229" s="101"/>
      <c r="U229" s="101"/>
      <c r="V229" s="101"/>
      <c r="W229" s="101"/>
      <c r="X229" s="101"/>
      <c r="Y229" s="101"/>
      <c r="Z229" s="101"/>
      <c r="AA229" s="101"/>
      <c r="AB229" s="101"/>
      <c r="AI229" s="101"/>
      <c r="AJ229" s="101"/>
      <c r="AK229" s="101"/>
      <c r="AL229" s="101"/>
      <c r="AM229" s="101"/>
      <c r="AN229" s="101"/>
      <c r="AO229" s="101"/>
      <c r="AP229" s="101"/>
      <c r="AQ229" s="101"/>
      <c r="AR229" s="101"/>
      <c r="AS229" s="101"/>
      <c r="AT229" s="101"/>
      <c r="AU229" s="101"/>
      <c r="AV229" s="101"/>
      <c r="BF229" s="101"/>
      <c r="BG229" s="101"/>
      <c r="BH229" s="101"/>
      <c r="BI229" s="101"/>
      <c r="BJ229" s="101"/>
      <c r="BK229" s="101"/>
      <c r="BN229" s="101"/>
      <c r="BW229" s="101"/>
      <c r="BX229" s="101"/>
      <c r="BY229" s="101"/>
      <c r="BZ229" s="101"/>
      <c r="CA229" s="101"/>
      <c r="CB229" s="101"/>
      <c r="CC229" s="101"/>
      <c r="CD229" s="101"/>
      <c r="CE229" s="101"/>
      <c r="CF229" s="101"/>
      <c r="CG229" s="101"/>
      <c r="CH229" s="101"/>
      <c r="CI229" s="101"/>
      <c r="CJ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F229" s="101"/>
      <c r="EG229" s="101"/>
      <c r="EH229" s="101"/>
      <c r="EI229" s="101"/>
      <c r="EJ229" s="101"/>
      <c r="EL229" s="101"/>
      <c r="EP229" s="101"/>
      <c r="ES229" s="101"/>
      <c r="ET229" s="101"/>
      <c r="EU229" s="101"/>
      <c r="EV229" s="101"/>
      <c r="FR229" s="101"/>
      <c r="FY229" s="101"/>
      <c r="GN229" s="101"/>
      <c r="GO229" s="101"/>
      <c r="GP229" s="101"/>
      <c r="GQ229" s="101"/>
      <c r="GR229" s="101"/>
      <c r="GS229" s="101"/>
      <c r="GT229" s="101"/>
      <c r="GU229" s="101"/>
      <c r="GV229" s="101"/>
      <c r="GW229" s="101"/>
      <c r="GX229" s="101"/>
      <c r="GY229" s="101"/>
      <c r="HG229" s="101"/>
      <c r="HH229" s="101"/>
      <c r="HI229" s="101"/>
      <c r="HJ229" s="101"/>
      <c r="HK229" s="101"/>
      <c r="HL229" s="101"/>
      <c r="HM229" s="101"/>
      <c r="HN229" s="101"/>
      <c r="HO229" s="101"/>
      <c r="HP229" s="101"/>
      <c r="HQ229" s="101"/>
      <c r="HR229" s="101"/>
      <c r="HZ229" s="101"/>
      <c r="IA229" s="101"/>
      <c r="IB229"/>
      <c r="IC229" s="101"/>
      <c r="ID229" s="101"/>
      <c r="IE229" s="101"/>
      <c r="IF229" s="101"/>
      <c r="IG229" s="101"/>
      <c r="IH229" s="101"/>
      <c r="II229" s="101"/>
      <c r="IJ229" s="101"/>
      <c r="IK229" s="101"/>
      <c r="IL229" s="101"/>
      <c r="IM229" s="101"/>
      <c r="IN229" s="101"/>
      <c r="IO229" s="101"/>
      <c r="IP229" s="101"/>
      <c r="IQ229" s="101"/>
      <c r="IR229" s="101"/>
      <c r="IS229" s="101"/>
      <c r="IT229" s="101"/>
      <c r="IU229" s="101"/>
      <c r="IV229" s="101"/>
      <c r="IW229" s="101"/>
      <c r="IX229" s="101"/>
      <c r="IY229" s="101"/>
      <c r="IZ229" s="101"/>
      <c r="JA229" s="101"/>
      <c r="JB229" s="101"/>
      <c r="JC229" s="101"/>
      <c r="JD229" s="101"/>
      <c r="JE229" s="101"/>
      <c r="JF229" s="101"/>
      <c r="JG229" s="101"/>
      <c r="JH229" s="101"/>
      <c r="JI229" s="101"/>
      <c r="JJ229" s="101"/>
      <c r="JK229" s="101"/>
      <c r="JL229" s="101"/>
      <c r="JM229" s="101"/>
      <c r="JN229" s="101"/>
      <c r="JO229" s="101"/>
      <c r="JP229" s="101"/>
      <c r="JQ229" s="101"/>
      <c r="JR229" s="101"/>
      <c r="JS229" s="101"/>
      <c r="JT229" s="101"/>
      <c r="JU229" s="101"/>
      <c r="JV229" s="101"/>
      <c r="JW229" s="101"/>
      <c r="JX229" s="101"/>
      <c r="JY229" s="101"/>
      <c r="KA229" s="101"/>
      <c r="KB229" s="101"/>
      <c r="KC229" s="101"/>
      <c r="KD229" s="101"/>
      <c r="KE229" s="101"/>
      <c r="KF229" s="101"/>
      <c r="KG229" s="101"/>
      <c r="KH229" s="101"/>
      <c r="KI229" s="101"/>
      <c r="KJ229" s="101"/>
      <c r="KK229" s="101"/>
      <c r="KL229" s="101"/>
      <c r="KM229" s="101"/>
      <c r="KN229" s="101"/>
      <c r="KO229" s="101"/>
      <c r="KP229" s="101"/>
      <c r="KQ229" s="101"/>
      <c r="KR229" s="101"/>
      <c r="KS229" s="101"/>
      <c r="KT229" s="101"/>
      <c r="KU229" s="101"/>
      <c r="KV229" s="101"/>
      <c r="KW229" s="101"/>
      <c r="KX229" s="101"/>
      <c r="KY229" s="101"/>
      <c r="KZ229" s="101"/>
      <c r="LA229" s="101"/>
      <c r="LB229" s="101"/>
      <c r="LC229" s="101"/>
      <c r="LD229" s="101"/>
      <c r="LE229" s="101"/>
      <c r="LF229" s="101"/>
      <c r="LG229" s="101"/>
      <c r="LH229" s="101"/>
      <c r="LI229" s="101"/>
      <c r="LJ229" s="101"/>
      <c r="LK229" s="101"/>
      <c r="LL229" s="101"/>
      <c r="LM229" s="101"/>
      <c r="LN229" s="101"/>
      <c r="LO229" s="101"/>
      <c r="LP229" s="101"/>
      <c r="LQ229" s="101"/>
      <c r="LR229" s="101"/>
      <c r="LS229" s="101"/>
      <c r="LT229" s="101"/>
      <c r="LU229" s="101"/>
      <c r="LV229" s="101"/>
      <c r="LW229" s="101"/>
      <c r="LX229" s="101"/>
      <c r="LY229" s="101"/>
      <c r="LZ229" s="101"/>
      <c r="MA229" s="101"/>
      <c r="MB229" s="101"/>
      <c r="MC229" s="101"/>
      <c r="MD229" s="101"/>
      <c r="ME229" s="101"/>
      <c r="MF229" s="101"/>
      <c r="MG229" s="101"/>
      <c r="MH229" s="101"/>
      <c r="MI229" s="101"/>
      <c r="MJ229" s="101"/>
      <c r="MK229" s="101"/>
      <c r="ML229" s="101"/>
      <c r="MM229" s="101"/>
      <c r="MN229" s="101"/>
      <c r="MO229" s="101"/>
      <c r="MP229" s="101"/>
      <c r="MQ229" s="101"/>
      <c r="MR229" s="101"/>
      <c r="MS229" s="101"/>
      <c r="MT229" s="101"/>
      <c r="MU229" s="101"/>
      <c r="MV229" s="101"/>
      <c r="MW229" s="101"/>
      <c r="MX229" s="101"/>
      <c r="MY229" s="101"/>
      <c r="MZ229" s="101"/>
      <c r="NA229" s="101"/>
      <c r="NB229" s="101"/>
      <c r="NC229" s="101"/>
      <c r="ND229" s="101"/>
      <c r="NE229" s="101"/>
      <c r="NF229" s="101"/>
      <c r="NG229" s="101"/>
      <c r="NH229" s="101"/>
      <c r="NI229" s="101"/>
      <c r="NJ229" s="101"/>
      <c r="NK229" s="101"/>
      <c r="NL229" s="101"/>
      <c r="NM229" s="101"/>
      <c r="NN229" s="101"/>
      <c r="NO229" s="101"/>
      <c r="NP229" s="101"/>
      <c r="NQ229" s="101"/>
      <c r="NR229" s="101"/>
      <c r="NS229" s="101"/>
      <c r="NT229" s="101"/>
      <c r="NU229" s="101"/>
      <c r="NV229" s="101"/>
      <c r="NW229" s="101"/>
      <c r="NX229" s="101"/>
      <c r="NY229" s="101"/>
      <c r="NZ229" s="101"/>
      <c r="OA229" s="101"/>
      <c r="OB229" s="101"/>
      <c r="OC229" s="101"/>
      <c r="OD229" s="101"/>
      <c r="OE229" s="101"/>
      <c r="OF229" s="101"/>
      <c r="OG229" s="101"/>
      <c r="OH229" s="101"/>
      <c r="OI229" s="101"/>
      <c r="OJ229" s="101"/>
      <c r="OK229" s="101"/>
      <c r="OL229" s="101"/>
      <c r="OM229" s="101"/>
      <c r="ON229" s="101"/>
      <c r="OO229" s="101"/>
      <c r="OP229" s="101"/>
    </row>
    <row r="230" spans="1:406">
      <c r="C230" s="101"/>
      <c r="H230" s="101"/>
      <c r="I230" s="101"/>
      <c r="J230" s="101"/>
      <c r="K230" s="101"/>
      <c r="M230" s="101"/>
      <c r="N230" s="101"/>
      <c r="O230" s="101"/>
      <c r="P230" s="101"/>
      <c r="Q230" s="101"/>
      <c r="R230" s="101"/>
      <c r="S230" s="101"/>
      <c r="T230" s="101"/>
      <c r="U230" s="101"/>
      <c r="V230" s="101"/>
      <c r="W230" s="101"/>
      <c r="X230" s="101"/>
      <c r="Y230" s="101"/>
      <c r="Z230" s="101"/>
      <c r="AA230" s="101"/>
      <c r="AB230" s="101"/>
      <c r="AI230" s="101"/>
      <c r="AJ230" s="101"/>
      <c r="AK230" s="101"/>
      <c r="AL230" s="101"/>
      <c r="AM230" s="101"/>
      <c r="AN230" s="101"/>
      <c r="AO230" s="101"/>
      <c r="AP230" s="101"/>
      <c r="AQ230" s="101"/>
      <c r="AR230" s="101"/>
      <c r="AS230" s="101"/>
      <c r="AT230" s="101"/>
      <c r="AU230" s="101"/>
      <c r="AV230" s="101"/>
      <c r="BF230" s="101"/>
      <c r="BG230" s="101"/>
      <c r="BH230" s="101"/>
      <c r="BI230" s="101"/>
      <c r="BJ230" s="101"/>
      <c r="BK230" s="101"/>
      <c r="BN230" s="101"/>
      <c r="BW230" s="101"/>
      <c r="BX230" s="101"/>
      <c r="BY230" s="101"/>
      <c r="BZ230" s="101"/>
      <c r="CA230" s="101"/>
      <c r="CB230" s="101"/>
      <c r="CC230" s="101"/>
      <c r="CD230" s="101"/>
      <c r="CE230" s="101"/>
      <c r="CF230" s="101"/>
      <c r="CG230" s="101"/>
      <c r="CH230" s="101"/>
      <c r="CI230" s="101"/>
      <c r="CJ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F230" s="101"/>
      <c r="EG230" s="101"/>
      <c r="EH230" s="101"/>
      <c r="EI230" s="101"/>
      <c r="EJ230" s="101"/>
      <c r="EL230" s="101"/>
      <c r="EP230" s="101"/>
      <c r="ES230" s="101"/>
      <c r="ET230" s="101"/>
      <c r="EU230" s="101"/>
      <c r="EV230" s="101"/>
      <c r="FR230" s="101"/>
      <c r="FY230" s="101"/>
      <c r="GN230" s="101"/>
      <c r="GO230" s="101"/>
      <c r="GP230" s="101"/>
      <c r="GQ230" s="101"/>
      <c r="GR230" s="101"/>
      <c r="GS230" s="101"/>
      <c r="GT230" s="101"/>
      <c r="GU230" s="101"/>
      <c r="GV230" s="101"/>
      <c r="GW230" s="101"/>
      <c r="GX230" s="101"/>
      <c r="GY230" s="101"/>
      <c r="HG230" s="101"/>
      <c r="HH230" s="101"/>
      <c r="HI230" s="101"/>
      <c r="HJ230" s="101"/>
      <c r="HK230" s="101"/>
      <c r="HL230" s="101"/>
      <c r="HM230" s="101"/>
      <c r="HN230" s="101"/>
      <c r="HO230" s="101"/>
      <c r="HP230" s="101"/>
      <c r="HQ230" s="101"/>
      <c r="HR230" s="101"/>
      <c r="HZ230" s="101"/>
      <c r="IA230" s="101"/>
      <c r="IB230"/>
      <c r="IC230" s="101"/>
      <c r="ID230" s="101"/>
      <c r="IE230" s="101"/>
      <c r="IF230" s="101"/>
      <c r="IG230" s="101"/>
      <c r="IH230" s="101"/>
      <c r="II230" s="101"/>
      <c r="IJ230" s="101"/>
      <c r="IK230" s="101"/>
      <c r="IL230" s="101"/>
      <c r="IM230" s="101"/>
      <c r="IN230" s="101"/>
      <c r="IO230" s="101"/>
      <c r="IP230" s="101"/>
      <c r="IQ230" s="101"/>
      <c r="IR230" s="101"/>
      <c r="IS230" s="101"/>
      <c r="IT230" s="101"/>
      <c r="IU230" s="101"/>
      <c r="IV230" s="101"/>
      <c r="IW230" s="101"/>
      <c r="IX230" s="101"/>
      <c r="IY230" s="101"/>
      <c r="IZ230" s="101"/>
      <c r="JA230" s="101"/>
      <c r="JB230" s="101"/>
      <c r="JC230" s="101"/>
      <c r="JD230" s="101"/>
      <c r="JE230" s="101"/>
      <c r="JF230" s="101"/>
      <c r="JG230" s="101"/>
      <c r="JH230" s="101"/>
      <c r="JI230" s="101"/>
      <c r="JJ230" s="101"/>
      <c r="JK230" s="101"/>
      <c r="JL230" s="101"/>
      <c r="JM230" s="101"/>
      <c r="JN230" s="101"/>
      <c r="JO230" s="101"/>
      <c r="JP230" s="101"/>
      <c r="JQ230" s="101"/>
      <c r="JR230" s="101"/>
      <c r="JS230" s="101"/>
      <c r="JT230" s="101"/>
      <c r="JU230" s="101"/>
      <c r="JV230" s="101"/>
      <c r="JW230" s="101"/>
      <c r="JX230" s="101"/>
      <c r="JY230" s="101"/>
      <c r="KA230" s="101"/>
      <c r="KB230" s="101"/>
      <c r="KC230" s="101"/>
      <c r="KD230" s="101"/>
      <c r="KE230" s="101"/>
      <c r="KF230" s="101"/>
      <c r="KG230" s="101"/>
      <c r="KH230" s="101"/>
      <c r="KI230" s="101"/>
      <c r="KJ230" s="101"/>
      <c r="KK230" s="101"/>
      <c r="KL230" s="101"/>
      <c r="KM230" s="101"/>
      <c r="KN230" s="101"/>
      <c r="KO230" s="101"/>
      <c r="KP230" s="101"/>
      <c r="KQ230" s="101"/>
      <c r="KR230" s="101"/>
      <c r="KS230" s="101"/>
      <c r="KT230" s="101"/>
      <c r="KU230" s="101"/>
      <c r="KV230" s="101"/>
      <c r="KW230" s="101"/>
      <c r="KX230" s="101"/>
      <c r="KY230" s="101"/>
      <c r="KZ230" s="101"/>
      <c r="LA230" s="101"/>
      <c r="LB230" s="101"/>
      <c r="LC230" s="101"/>
      <c r="LD230" s="101"/>
      <c r="LE230" s="101"/>
      <c r="LF230" s="101"/>
      <c r="LG230" s="101"/>
      <c r="LH230" s="101"/>
      <c r="LI230" s="101"/>
      <c r="LJ230" s="101"/>
      <c r="LK230" s="101"/>
      <c r="LL230" s="101"/>
      <c r="LM230" s="101"/>
      <c r="LN230" s="101"/>
      <c r="LO230" s="101"/>
      <c r="LP230" s="101"/>
      <c r="LQ230" s="101"/>
      <c r="LR230" s="101"/>
      <c r="LS230" s="101"/>
      <c r="LT230" s="101"/>
      <c r="LU230" s="101"/>
      <c r="LV230" s="101"/>
      <c r="LW230" s="101"/>
      <c r="LX230" s="101"/>
      <c r="LY230" s="101"/>
      <c r="LZ230" s="101"/>
      <c r="MA230" s="101"/>
      <c r="MB230" s="101"/>
      <c r="MC230" s="101"/>
      <c r="MD230" s="101"/>
      <c r="ME230" s="101"/>
      <c r="MF230" s="101"/>
      <c r="MG230" s="101"/>
      <c r="MH230" s="101"/>
      <c r="MI230" s="101"/>
      <c r="MJ230" s="101"/>
      <c r="MK230" s="101"/>
      <c r="ML230" s="101"/>
      <c r="MM230" s="101"/>
      <c r="MN230" s="101"/>
      <c r="MO230" s="101"/>
      <c r="MP230" s="101"/>
      <c r="MQ230" s="101"/>
      <c r="MR230" s="101"/>
      <c r="MS230" s="101"/>
      <c r="MT230" s="101"/>
      <c r="MU230" s="101"/>
      <c r="MV230" s="101"/>
      <c r="MW230" s="101"/>
      <c r="MX230" s="101"/>
      <c r="MY230" s="101"/>
      <c r="MZ230" s="101"/>
      <c r="NA230" s="101"/>
      <c r="NB230" s="101"/>
      <c r="NC230" s="101"/>
      <c r="ND230" s="101"/>
      <c r="NE230" s="101"/>
      <c r="NF230" s="101"/>
      <c r="NG230" s="101"/>
      <c r="NH230" s="101"/>
      <c r="NI230" s="101"/>
      <c r="NJ230" s="101"/>
      <c r="NK230" s="101"/>
      <c r="NL230" s="101"/>
      <c r="NM230" s="101"/>
      <c r="NN230" s="101"/>
      <c r="NO230" s="101"/>
      <c r="NP230" s="101"/>
      <c r="NQ230" s="101"/>
      <c r="NR230" s="101"/>
      <c r="NS230" s="101"/>
      <c r="NT230" s="101"/>
      <c r="NU230" s="101"/>
      <c r="NV230" s="101"/>
      <c r="NW230" s="101"/>
      <c r="NX230" s="101"/>
      <c r="NY230" s="101"/>
      <c r="NZ230" s="101"/>
      <c r="OA230" s="101"/>
      <c r="OB230" s="101"/>
      <c r="OC230" s="101"/>
      <c r="OD230" s="101"/>
      <c r="OE230" s="101"/>
      <c r="OF230" s="101"/>
      <c r="OG230" s="101"/>
      <c r="OH230" s="101"/>
      <c r="OI230" s="101"/>
      <c r="OJ230" s="101"/>
      <c r="OK230" s="101"/>
      <c r="OL230" s="101"/>
      <c r="OM230" s="101"/>
      <c r="ON230" s="101"/>
      <c r="OO230" s="101"/>
      <c r="OP230" s="101"/>
    </row>
    <row r="231" spans="1:406">
      <c r="C231" s="101"/>
      <c r="H231" s="101"/>
      <c r="I231" s="101"/>
      <c r="J231" s="101"/>
      <c r="K231" s="101"/>
      <c r="M231" s="101"/>
      <c r="N231" s="101"/>
      <c r="O231" s="101"/>
      <c r="P231" s="101"/>
      <c r="Q231" s="101"/>
      <c r="R231" s="101"/>
      <c r="S231" s="101"/>
      <c r="T231" s="101"/>
      <c r="U231" s="101"/>
      <c r="V231" s="101"/>
      <c r="W231" s="101"/>
      <c r="X231" s="101"/>
      <c r="Y231" s="101"/>
      <c r="Z231" s="101"/>
      <c r="AA231" s="101"/>
      <c r="AB231" s="101"/>
      <c r="AI231" s="101"/>
      <c r="AJ231" s="101"/>
      <c r="AK231" s="101"/>
      <c r="AL231" s="101"/>
      <c r="AM231" s="101"/>
      <c r="AN231" s="101"/>
      <c r="AO231" s="101"/>
      <c r="AP231" s="101"/>
      <c r="AQ231" s="101"/>
      <c r="AR231" s="101"/>
      <c r="AS231" s="101"/>
      <c r="AT231" s="101"/>
      <c r="AU231" s="101"/>
      <c r="AV231" s="101"/>
      <c r="BF231" s="101"/>
      <c r="BG231" s="101"/>
      <c r="BH231" s="101"/>
      <c r="BI231" s="101"/>
      <c r="BJ231" s="101"/>
      <c r="BK231" s="101"/>
      <c r="BN231" s="101"/>
      <c r="BW231" s="101"/>
      <c r="BX231" s="101"/>
      <c r="BY231" s="101"/>
      <c r="BZ231" s="101"/>
      <c r="CA231" s="101"/>
      <c r="CB231" s="101"/>
      <c r="CC231" s="101"/>
      <c r="CD231" s="101"/>
      <c r="CE231" s="101"/>
      <c r="CF231" s="101"/>
      <c r="CG231" s="101"/>
      <c r="CH231" s="101"/>
      <c r="CI231" s="101"/>
      <c r="CJ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F231" s="101"/>
      <c r="EG231" s="101"/>
      <c r="EH231" s="101"/>
      <c r="EI231" s="101"/>
      <c r="EJ231" s="101"/>
      <c r="EL231" s="101"/>
      <c r="EP231" s="101"/>
      <c r="ES231" s="101"/>
      <c r="ET231" s="101"/>
      <c r="EU231" s="101"/>
      <c r="EV231" s="101"/>
      <c r="FR231" s="101"/>
      <c r="FY231" s="101"/>
      <c r="GN231" s="101"/>
      <c r="GO231" s="101"/>
      <c r="GP231" s="101"/>
      <c r="GQ231" s="101"/>
      <c r="GR231" s="101"/>
      <c r="GS231" s="101"/>
      <c r="GT231" s="101"/>
      <c r="GU231" s="101"/>
      <c r="GV231" s="101"/>
      <c r="GW231" s="101"/>
      <c r="GX231" s="101"/>
      <c r="GY231" s="101"/>
      <c r="HG231" s="101"/>
      <c r="HH231" s="101"/>
      <c r="HI231" s="101"/>
      <c r="HJ231" s="101"/>
      <c r="HK231" s="101"/>
      <c r="HL231" s="101"/>
      <c r="HM231" s="101"/>
      <c r="HN231" s="101"/>
      <c r="HO231" s="101"/>
      <c r="HP231" s="101"/>
      <c r="HQ231" s="101"/>
      <c r="HR231" s="101"/>
      <c r="HZ231" s="101"/>
      <c r="IA231" s="101"/>
      <c r="IB231"/>
      <c r="IC231" s="101"/>
      <c r="ID231" s="101"/>
      <c r="IE231" s="101"/>
      <c r="IF231" s="101"/>
      <c r="IG231" s="101"/>
      <c r="IH231" s="101"/>
      <c r="II231" s="101"/>
      <c r="IJ231" s="101"/>
      <c r="IK231" s="101"/>
      <c r="IL231" s="101"/>
      <c r="IM231" s="101"/>
      <c r="IN231" s="101"/>
      <c r="IO231" s="101"/>
      <c r="IP231" s="101"/>
      <c r="IQ231" s="101"/>
      <c r="IR231" s="101"/>
      <c r="IS231" s="101"/>
      <c r="IT231" s="101"/>
      <c r="IU231" s="101"/>
      <c r="IV231" s="101"/>
      <c r="IW231" s="101"/>
      <c r="IX231" s="101"/>
      <c r="IY231" s="101"/>
      <c r="IZ231" s="101"/>
      <c r="JA231" s="101"/>
      <c r="JB231" s="101"/>
      <c r="JC231" s="101"/>
      <c r="JD231" s="101"/>
      <c r="JE231" s="101"/>
      <c r="JF231" s="101"/>
      <c r="JG231" s="101"/>
      <c r="JH231" s="101"/>
      <c r="JI231" s="101"/>
      <c r="JJ231" s="101"/>
      <c r="JK231" s="101"/>
      <c r="JL231" s="101"/>
      <c r="JM231" s="101"/>
      <c r="JN231" s="101"/>
      <c r="JO231" s="101"/>
      <c r="JP231" s="101"/>
      <c r="JQ231" s="101"/>
      <c r="JR231" s="101"/>
      <c r="JS231" s="101"/>
      <c r="JT231" s="101"/>
      <c r="JU231" s="101"/>
      <c r="JV231" s="101"/>
      <c r="JW231" s="101"/>
      <c r="JX231" s="101"/>
      <c r="JY231" s="101"/>
      <c r="KA231" s="101"/>
      <c r="KB231" s="101"/>
      <c r="KC231" s="101"/>
      <c r="KD231" s="101"/>
      <c r="KE231" s="101"/>
      <c r="KF231" s="101"/>
      <c r="KG231" s="101"/>
      <c r="KH231" s="101"/>
      <c r="KI231" s="101"/>
      <c r="KJ231" s="101"/>
      <c r="KK231" s="101"/>
      <c r="KL231" s="101"/>
      <c r="KM231" s="101"/>
      <c r="KN231" s="101"/>
      <c r="KO231" s="101"/>
      <c r="KP231" s="101"/>
      <c r="KQ231" s="101"/>
      <c r="KR231" s="101"/>
      <c r="KS231" s="101"/>
      <c r="KT231" s="101"/>
      <c r="KU231" s="101"/>
      <c r="KV231" s="101"/>
      <c r="KW231" s="101"/>
      <c r="KX231" s="101"/>
      <c r="KY231" s="101"/>
      <c r="KZ231" s="101"/>
      <c r="LA231" s="101"/>
      <c r="LB231" s="101"/>
      <c r="LC231" s="101"/>
      <c r="LD231" s="101"/>
      <c r="LE231" s="101"/>
      <c r="LF231" s="101"/>
      <c r="LG231" s="101"/>
      <c r="LH231" s="101"/>
      <c r="LI231" s="101"/>
      <c r="LJ231" s="101"/>
      <c r="LK231" s="101"/>
      <c r="LL231" s="101"/>
      <c r="LM231" s="101"/>
      <c r="LN231" s="101"/>
      <c r="LO231" s="101"/>
      <c r="LP231" s="101"/>
      <c r="LQ231" s="101"/>
      <c r="LR231" s="101"/>
      <c r="LS231" s="101"/>
      <c r="LT231" s="101"/>
      <c r="LU231" s="101"/>
      <c r="LV231" s="101"/>
      <c r="LW231" s="101"/>
      <c r="LX231" s="101"/>
      <c r="LY231" s="101"/>
      <c r="LZ231" s="101"/>
      <c r="MA231" s="101"/>
      <c r="MB231" s="101"/>
      <c r="MC231" s="101"/>
      <c r="MD231" s="101"/>
      <c r="ME231" s="101"/>
      <c r="MF231" s="101"/>
      <c r="MG231" s="101"/>
      <c r="MH231" s="101"/>
      <c r="MI231" s="101"/>
      <c r="MJ231" s="101"/>
      <c r="MK231" s="101"/>
      <c r="ML231" s="101"/>
      <c r="MM231" s="101"/>
      <c r="MN231" s="101"/>
      <c r="MO231" s="101"/>
      <c r="MP231" s="101"/>
      <c r="MQ231" s="101"/>
      <c r="MR231" s="101"/>
      <c r="MS231" s="101"/>
      <c r="MT231" s="101"/>
      <c r="MU231" s="101"/>
      <c r="MV231" s="101"/>
      <c r="MW231" s="101"/>
      <c r="MX231" s="101"/>
      <c r="MY231" s="101"/>
      <c r="MZ231" s="101"/>
      <c r="NA231" s="101"/>
      <c r="NB231" s="101"/>
      <c r="NC231" s="101"/>
      <c r="ND231" s="101"/>
      <c r="NE231" s="101"/>
      <c r="NF231" s="101"/>
      <c r="NG231" s="101"/>
      <c r="NH231" s="101"/>
      <c r="NI231" s="101"/>
      <c r="NJ231" s="101"/>
      <c r="NK231" s="101"/>
      <c r="NL231" s="101"/>
      <c r="NM231" s="101"/>
      <c r="NN231" s="101"/>
      <c r="NO231" s="101"/>
      <c r="NP231" s="101"/>
      <c r="NQ231" s="101"/>
      <c r="NR231" s="101"/>
      <c r="NS231" s="101"/>
      <c r="NT231" s="101"/>
      <c r="NU231" s="101"/>
      <c r="NV231" s="101"/>
      <c r="NW231" s="101"/>
      <c r="NX231" s="101"/>
      <c r="NY231" s="101"/>
      <c r="NZ231" s="101"/>
      <c r="OA231" s="101"/>
      <c r="OB231" s="101"/>
      <c r="OC231" s="101"/>
      <c r="OD231" s="101"/>
      <c r="OE231" s="101"/>
      <c r="OF231" s="101"/>
      <c r="OG231" s="101"/>
      <c r="OH231" s="101"/>
      <c r="OI231" s="101"/>
      <c r="OJ231" s="101"/>
      <c r="OK231" s="101"/>
      <c r="OL231" s="101"/>
      <c r="OM231" s="101"/>
      <c r="ON231" s="101"/>
      <c r="OO231" s="101"/>
      <c r="OP231" s="101"/>
    </row>
    <row r="232" spans="1:406">
      <c r="C232" s="101"/>
      <c r="H232" s="101"/>
      <c r="I232" s="101"/>
      <c r="J232" s="101"/>
      <c r="K232" s="101"/>
      <c r="M232" s="101"/>
      <c r="N232" s="101"/>
      <c r="O232" s="101"/>
      <c r="P232" s="101"/>
      <c r="Q232" s="101"/>
      <c r="R232" s="101"/>
      <c r="S232" s="101"/>
      <c r="T232" s="101"/>
      <c r="U232" s="101"/>
      <c r="V232" s="101"/>
      <c r="W232" s="101"/>
      <c r="X232" s="101"/>
      <c r="Y232" s="101"/>
      <c r="Z232" s="101"/>
      <c r="AA232" s="101"/>
      <c r="AB232" s="101"/>
      <c r="AI232" s="101"/>
      <c r="AJ232" s="101"/>
      <c r="AK232" s="101"/>
      <c r="AL232" s="101"/>
      <c r="AM232" s="101"/>
      <c r="AN232" s="101"/>
      <c r="AO232" s="101"/>
      <c r="AP232" s="101"/>
      <c r="AQ232" s="101"/>
      <c r="AR232" s="101"/>
      <c r="AS232" s="101"/>
      <c r="AT232" s="101"/>
      <c r="AU232" s="101"/>
      <c r="AV232" s="101"/>
      <c r="BF232" s="101"/>
      <c r="BG232" s="101"/>
      <c r="BH232" s="101"/>
      <c r="BI232" s="101"/>
      <c r="BJ232" s="101"/>
      <c r="BK232" s="101"/>
      <c r="BN232" s="101"/>
      <c r="BW232" s="101"/>
      <c r="BX232" s="101"/>
      <c r="BY232" s="101"/>
      <c r="BZ232" s="101"/>
      <c r="CA232" s="101"/>
      <c r="CB232" s="101"/>
      <c r="CC232" s="101"/>
      <c r="CD232" s="101"/>
      <c r="CE232" s="101"/>
      <c r="CF232" s="101"/>
      <c r="CG232" s="101"/>
      <c r="CH232" s="101"/>
      <c r="CI232" s="101"/>
      <c r="CJ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F232" s="101"/>
      <c r="EG232" s="101"/>
      <c r="EH232" s="101"/>
      <c r="EI232" s="101"/>
      <c r="EJ232" s="101"/>
      <c r="EL232" s="101"/>
      <c r="EP232" s="101"/>
      <c r="ES232" s="101"/>
      <c r="ET232" s="101"/>
      <c r="EU232" s="101"/>
      <c r="EV232" s="101"/>
      <c r="FR232" s="101"/>
      <c r="FY232" s="101"/>
      <c r="GN232" s="101"/>
      <c r="GO232" s="101"/>
      <c r="GP232" s="101"/>
      <c r="GQ232" s="101"/>
      <c r="GR232" s="101"/>
      <c r="GS232" s="101"/>
      <c r="GT232" s="101"/>
      <c r="GU232" s="101"/>
      <c r="GV232" s="101"/>
      <c r="GW232" s="101"/>
      <c r="GX232" s="101"/>
      <c r="GY232" s="101"/>
      <c r="HG232" s="101"/>
      <c r="HH232" s="101"/>
      <c r="HI232" s="101"/>
      <c r="HJ232" s="101"/>
      <c r="HK232" s="101"/>
      <c r="HL232" s="101"/>
      <c r="HM232" s="101"/>
      <c r="HN232" s="101"/>
      <c r="HO232" s="101"/>
      <c r="HP232" s="101"/>
      <c r="HQ232" s="101"/>
      <c r="HR232" s="101"/>
      <c r="HZ232" s="101"/>
      <c r="IA232" s="101"/>
      <c r="IB232"/>
      <c r="IC232" s="101"/>
      <c r="ID232" s="101"/>
      <c r="IE232" s="101"/>
      <c r="IF232" s="101"/>
      <c r="IG232" s="101"/>
      <c r="IH232" s="101"/>
      <c r="II232" s="101"/>
      <c r="IJ232" s="101"/>
      <c r="IK232" s="101"/>
      <c r="IL232" s="101"/>
      <c r="IM232" s="101"/>
      <c r="IN232" s="101"/>
      <c r="IO232" s="101"/>
      <c r="IP232" s="101"/>
      <c r="IQ232" s="101"/>
      <c r="IR232" s="101"/>
      <c r="IS232" s="101"/>
      <c r="IT232" s="101"/>
      <c r="IU232" s="101"/>
      <c r="IV232" s="101"/>
      <c r="IW232" s="101"/>
      <c r="IX232" s="101"/>
      <c r="IY232" s="101"/>
      <c r="IZ232" s="101"/>
      <c r="JA232" s="101"/>
      <c r="JB232" s="101"/>
      <c r="JC232" s="101"/>
      <c r="JD232" s="101"/>
      <c r="JE232" s="101"/>
      <c r="JF232" s="101"/>
      <c r="JG232" s="101"/>
      <c r="JH232" s="101"/>
      <c r="JI232" s="101"/>
      <c r="JJ232" s="101"/>
      <c r="JK232" s="101"/>
      <c r="JL232" s="101"/>
      <c r="JM232" s="101"/>
      <c r="JN232" s="101"/>
      <c r="JO232" s="101"/>
      <c r="JP232" s="101"/>
      <c r="JQ232" s="101"/>
      <c r="JR232" s="101"/>
      <c r="JS232" s="101"/>
      <c r="JT232" s="101"/>
      <c r="JU232" s="101"/>
      <c r="JV232" s="101"/>
      <c r="JW232" s="101"/>
      <c r="JX232" s="101"/>
      <c r="JY232" s="101"/>
      <c r="KA232" s="101"/>
      <c r="KB232" s="101"/>
      <c r="KC232" s="101"/>
      <c r="KD232" s="101"/>
      <c r="KE232" s="101"/>
      <c r="KF232" s="101"/>
      <c r="KG232" s="101"/>
      <c r="KH232" s="101"/>
      <c r="KI232" s="101"/>
      <c r="KJ232" s="101"/>
      <c r="KK232" s="101"/>
      <c r="KL232" s="101"/>
      <c r="KM232" s="101"/>
      <c r="KN232" s="101"/>
      <c r="KO232" s="101"/>
      <c r="KP232" s="101"/>
      <c r="KQ232" s="101"/>
      <c r="KR232" s="101"/>
      <c r="KS232" s="101"/>
      <c r="KT232" s="101"/>
      <c r="KU232" s="101"/>
      <c r="KV232" s="101"/>
      <c r="KW232" s="101"/>
      <c r="KX232" s="101"/>
      <c r="KY232" s="101"/>
      <c r="KZ232" s="101"/>
      <c r="LA232" s="101"/>
      <c r="LB232" s="101"/>
      <c r="LC232" s="101"/>
      <c r="LD232" s="101"/>
      <c r="LE232" s="101"/>
      <c r="LF232" s="101"/>
      <c r="LG232" s="101"/>
      <c r="LH232" s="101"/>
      <c r="LI232" s="101"/>
      <c r="LJ232" s="101"/>
      <c r="LK232" s="101"/>
      <c r="LL232" s="101"/>
      <c r="LM232" s="101"/>
      <c r="LN232" s="101"/>
      <c r="LO232" s="101"/>
      <c r="LP232" s="101"/>
      <c r="LQ232" s="101"/>
      <c r="LR232" s="101"/>
      <c r="LS232" s="101"/>
      <c r="LT232" s="101"/>
      <c r="LU232" s="101"/>
      <c r="LV232" s="101"/>
      <c r="LW232" s="101"/>
      <c r="LX232" s="101"/>
      <c r="LY232" s="101"/>
      <c r="LZ232" s="101"/>
      <c r="MA232" s="101"/>
      <c r="MB232" s="101"/>
      <c r="MC232" s="101"/>
      <c r="MD232" s="101"/>
      <c r="ME232" s="101"/>
      <c r="MF232" s="101"/>
      <c r="MG232" s="101"/>
      <c r="MH232" s="101"/>
      <c r="MI232" s="101"/>
      <c r="MJ232" s="101"/>
      <c r="MK232" s="101"/>
      <c r="ML232" s="101"/>
      <c r="MM232" s="101"/>
      <c r="MN232" s="101"/>
      <c r="MO232" s="101"/>
      <c r="MP232" s="101"/>
      <c r="MQ232" s="101"/>
      <c r="MR232" s="101"/>
      <c r="MS232" s="101"/>
      <c r="MT232" s="101"/>
      <c r="MU232" s="101"/>
      <c r="MV232" s="101"/>
      <c r="MW232" s="101"/>
      <c r="MX232" s="101"/>
      <c r="MY232" s="101"/>
      <c r="MZ232" s="101"/>
      <c r="NA232" s="101"/>
      <c r="NB232" s="101"/>
      <c r="NC232" s="101"/>
      <c r="ND232" s="101"/>
      <c r="NE232" s="101"/>
      <c r="NF232" s="101"/>
      <c r="NG232" s="101"/>
      <c r="NH232" s="101"/>
      <c r="NI232" s="101"/>
      <c r="NJ232" s="101"/>
      <c r="NK232" s="101"/>
      <c r="NL232" s="101"/>
      <c r="NM232" s="101"/>
      <c r="NN232" s="101"/>
      <c r="NO232" s="101"/>
      <c r="NP232" s="101"/>
      <c r="NQ232" s="101"/>
      <c r="NR232" s="101"/>
      <c r="NS232" s="101"/>
      <c r="NT232" s="101"/>
      <c r="NU232" s="101"/>
      <c r="NV232" s="101"/>
      <c r="NW232" s="101"/>
      <c r="NX232" s="101"/>
      <c r="NY232" s="101"/>
      <c r="NZ232" s="101"/>
      <c r="OA232" s="101"/>
      <c r="OB232" s="101"/>
      <c r="OC232" s="101"/>
      <c r="OD232" s="101"/>
      <c r="OE232" s="101"/>
      <c r="OF232" s="101"/>
      <c r="OG232" s="101"/>
      <c r="OH232" s="101"/>
      <c r="OI232" s="101"/>
      <c r="OJ232" s="101"/>
      <c r="OK232" s="101"/>
      <c r="OL232" s="101"/>
      <c r="OM232" s="101"/>
      <c r="ON232" s="101"/>
      <c r="OO232" s="101"/>
      <c r="OP232" s="101"/>
    </row>
  </sheetData>
  <autoFilter ref="A56:PM210" xr:uid="{00000000-0009-0000-0000-000004000000}"/>
  <sortState xmlns:xlrd2="http://schemas.microsoft.com/office/spreadsheetml/2017/richdata2" ref="A57:PY191">
    <sortCondition ref="A57:A191"/>
  </sortState>
  <mergeCells count="1">
    <mergeCell ref="KJ1:KV1"/>
  </mergeCells>
  <phoneticPr fontId="13" type="noConversion"/>
  <conditionalFormatting sqref="A50:D52 AC50:AH52 F50:AA52 IA50:IF52 BW50:EF52 KY50:MM52 AM50:AW52 AJ50:AJ52 BE50:BR52 IQ50:KW52 EJ50:EQ52 MQ50:XFD52 IK50:IO52 ES50:HY52">
    <cfRule type="cellIs" dxfId="60" priority="356" operator="lessThan">
      <formula>-0.5</formula>
    </cfRule>
    <cfRule type="cellIs" dxfId="59" priority="357" operator="greaterThan">
      <formula>0.5</formula>
    </cfRule>
  </conditionalFormatting>
  <conditionalFormatting sqref="KY6:MM6 LQ206:MM210 PM205:PM211 MQ206:MQ210 MQ6:PL6 KY203:LM205 LO203:MM205 LN203:LN210 MQ196:PL205 KY196:MM202 PM195:PM198 PM200:PM202 PM193 PM187:PM188 PM190:PM191 KY162:MM167 MQ162:PL167 MQ169:PL194 KY169:MM194 PM112:PM185 MQ112:PL145 KY57:MM145 MQ57:PM111">
    <cfRule type="cellIs" dxfId="58" priority="351" operator="notEqual">
      <formula>0</formula>
    </cfRule>
  </conditionalFormatting>
  <conditionalFormatting sqref="KI50:KI52">
    <cfRule type="cellIs" dxfId="57" priority="268" operator="lessThan">
      <formula>-0.5</formula>
    </cfRule>
    <cfRule type="cellIs" dxfId="56" priority="269" operator="greaterThan">
      <formula>0.5</formula>
    </cfRule>
  </conditionalFormatting>
  <conditionalFormatting sqref="JY50:JY52">
    <cfRule type="cellIs" dxfId="55" priority="266" operator="lessThan">
      <formula>-0.5</formula>
    </cfRule>
    <cfRule type="cellIs" dxfId="54" priority="267" operator="greaterThan">
      <formula>0.5</formula>
    </cfRule>
  </conditionalFormatting>
  <conditionalFormatting sqref="KZ206:KZ210 LO206:LP210 LB206:LM210 MR206:PL210">
    <cfRule type="cellIs" dxfId="53" priority="171" operator="notEqual">
      <formula>0</formula>
    </cfRule>
  </conditionalFormatting>
  <conditionalFormatting sqref="AB50:AB52">
    <cfRule type="cellIs" dxfId="52" priority="159" operator="lessThan">
      <formula>-0.5</formula>
    </cfRule>
    <cfRule type="cellIs" dxfId="51" priority="160" operator="greaterThan">
      <formula>0.5</formula>
    </cfRule>
  </conditionalFormatting>
  <conditionalFormatting sqref="PM203:PM204">
    <cfRule type="cellIs" dxfId="50" priority="154" operator="notEqual">
      <formula>0</formula>
    </cfRule>
  </conditionalFormatting>
  <conditionalFormatting sqref="IP50:IP52">
    <cfRule type="cellIs" dxfId="49" priority="137" operator="lessThan">
      <formula>-0.5</formula>
    </cfRule>
    <cfRule type="cellIs" dxfId="48" priority="138" operator="greaterThan">
      <formula>0.5</formula>
    </cfRule>
  </conditionalFormatting>
  <conditionalFormatting sqref="AK50:AK52">
    <cfRule type="cellIs" dxfId="47" priority="135" operator="lessThan">
      <formula>-0.5</formula>
    </cfRule>
    <cfRule type="cellIs" dxfId="46" priority="136" operator="greaterThan">
      <formula>0.5</formula>
    </cfRule>
  </conditionalFormatting>
  <conditionalFormatting sqref="AI50:AI52">
    <cfRule type="cellIs" dxfId="45" priority="133" operator="lessThan">
      <formula>-0.5</formula>
    </cfRule>
    <cfRule type="cellIs" dxfId="44" priority="134" operator="greaterThan">
      <formula>0.5</formula>
    </cfRule>
  </conditionalFormatting>
  <conditionalFormatting sqref="AL50:AL52">
    <cfRule type="cellIs" dxfId="43" priority="131" operator="lessThan">
      <formula>-0.5</formula>
    </cfRule>
    <cfRule type="cellIs" dxfId="42" priority="132" operator="greaterThan">
      <formula>0.5</formula>
    </cfRule>
  </conditionalFormatting>
  <conditionalFormatting sqref="AX50:BD52">
    <cfRule type="cellIs" dxfId="41" priority="117" operator="lessThan">
      <formula>-0.5</formula>
    </cfRule>
    <cfRule type="cellIs" dxfId="40" priority="118" operator="greaterThan">
      <formula>0.5</formula>
    </cfRule>
  </conditionalFormatting>
  <conditionalFormatting sqref="BT50:BV52">
    <cfRule type="cellIs" dxfId="39" priority="115" operator="lessThan">
      <formula>-0.5</formula>
    </cfRule>
    <cfRule type="cellIs" dxfId="38" priority="116" operator="greaterThan">
      <formula>0.5</formula>
    </cfRule>
  </conditionalFormatting>
  <conditionalFormatting sqref="EI50:EI52">
    <cfRule type="cellIs" dxfId="37" priority="107" operator="lessThan">
      <formula>-0.5</formula>
    </cfRule>
    <cfRule type="cellIs" dxfId="36" priority="108" operator="greaterThan">
      <formula>0.5</formula>
    </cfRule>
  </conditionalFormatting>
  <conditionalFormatting sqref="EH50:EH52">
    <cfRule type="cellIs" dxfId="35" priority="113" operator="lessThan">
      <formula>-0.5</formula>
    </cfRule>
    <cfRule type="cellIs" dxfId="34" priority="114" operator="greaterThan">
      <formula>0.5</formula>
    </cfRule>
  </conditionalFormatting>
  <conditionalFormatting sqref="EG50:EG52">
    <cfRule type="cellIs" dxfId="33" priority="111" operator="lessThan">
      <formula>-0.5</formula>
    </cfRule>
    <cfRule type="cellIs" dxfId="32" priority="112" operator="greaterThan">
      <formula>0.5</formula>
    </cfRule>
  </conditionalFormatting>
  <conditionalFormatting sqref="ER50:ER52">
    <cfRule type="cellIs" dxfId="31" priority="98" operator="lessThan">
      <formula>-0.5</formula>
    </cfRule>
    <cfRule type="cellIs" dxfId="30" priority="99" operator="greaterThan">
      <formula>0.5</formula>
    </cfRule>
  </conditionalFormatting>
  <conditionalFormatting sqref="MN55 MN196:MP212 MN162:MP167 MN169:MP194 MN57:MP145">
    <cfRule type="containsText" dxfId="29" priority="97" operator="containsText" text="fix">
      <formula>NOT(ISERROR(SEARCH("fix",MN55)))</formula>
    </cfRule>
  </conditionalFormatting>
  <conditionalFormatting sqref="MO55">
    <cfRule type="containsText" dxfId="28" priority="95" operator="containsText" text="fix">
      <formula>NOT(ISERROR(SEARCH("fix",MO55)))</formula>
    </cfRule>
  </conditionalFormatting>
  <conditionalFormatting sqref="MP55">
    <cfRule type="containsText" dxfId="27" priority="92" operator="containsText" text="fix">
      <formula>NOT(ISERROR(SEARCH("fix",MP55)))</formula>
    </cfRule>
  </conditionalFormatting>
  <conditionalFormatting sqref="BS50:BS52">
    <cfRule type="cellIs" dxfId="26" priority="90" operator="lessThan">
      <formula>-0.5</formula>
    </cfRule>
    <cfRule type="cellIs" dxfId="25" priority="91" operator="greaterThan">
      <formula>0.5</formula>
    </cfRule>
  </conditionalFormatting>
  <conditionalFormatting sqref="IG50:IG52">
    <cfRule type="cellIs" dxfId="24" priority="76" operator="lessThan">
      <formula>-0.5</formula>
    </cfRule>
    <cfRule type="cellIs" dxfId="23" priority="77" operator="greaterThan">
      <formula>0.5</formula>
    </cfRule>
  </conditionalFormatting>
  <conditionalFormatting sqref="II50:II52">
    <cfRule type="cellIs" dxfId="22" priority="74" operator="lessThan">
      <formula>-0.5</formula>
    </cfRule>
    <cfRule type="cellIs" dxfId="21" priority="75" operator="greaterThan">
      <formula>0.5</formula>
    </cfRule>
  </conditionalFormatting>
  <conditionalFormatting sqref="IJ50:IJ52">
    <cfRule type="cellIs" dxfId="20" priority="72" operator="lessThan">
      <formula>-0.5</formula>
    </cfRule>
    <cfRule type="cellIs" dxfId="19" priority="73" operator="greaterThan">
      <formula>0.5</formula>
    </cfRule>
  </conditionalFormatting>
  <conditionalFormatting sqref="IH50:IH52">
    <cfRule type="cellIs" dxfId="18" priority="70" operator="lessThan">
      <formula>-0.5</formula>
    </cfRule>
    <cfRule type="cellIs" dxfId="17" priority="71" operator="greaterThan">
      <formula>0.5</formula>
    </cfRule>
  </conditionalFormatting>
  <conditionalFormatting sqref="KY195:MM195 MQ195:PL195">
    <cfRule type="cellIs" dxfId="16" priority="58" operator="notEqual">
      <formula>0</formula>
    </cfRule>
  </conditionalFormatting>
  <conditionalFormatting sqref="PM194 PM199 PM186 PM189 PM192">
    <cfRule type="cellIs" dxfId="15" priority="56" operator="notEqual">
      <formula>0</formula>
    </cfRule>
  </conditionalFormatting>
  <conditionalFormatting sqref="MN195:MP195">
    <cfRule type="containsText" dxfId="14" priority="57" operator="containsText" text="fix">
      <formula>NOT(ISERROR(SEARCH("fix",MN195)))</formula>
    </cfRule>
  </conditionalFormatting>
  <conditionalFormatting sqref="MQ147:PL160 KY147:MM160">
    <cfRule type="cellIs" dxfId="13" priority="10" operator="notEqual">
      <formula>0</formula>
    </cfRule>
  </conditionalFormatting>
  <conditionalFormatting sqref="MN147:MP160">
    <cfRule type="containsText" dxfId="12" priority="9" operator="containsText" text="fix">
      <formula>NOT(ISERROR(SEARCH("fix",MN147)))</formula>
    </cfRule>
  </conditionalFormatting>
  <conditionalFormatting sqref="MQ161:PL161 KY161:MM161">
    <cfRule type="cellIs" dxfId="11" priority="6" operator="notEqual">
      <formula>0</formula>
    </cfRule>
  </conditionalFormatting>
  <conditionalFormatting sqref="MN161:MP161">
    <cfRule type="containsText" dxfId="10" priority="5" operator="containsText" text="fix">
      <formula>NOT(ISERROR(SEARCH("fix",MN161)))</formula>
    </cfRule>
  </conditionalFormatting>
  <conditionalFormatting sqref="MQ146:PL146 KY146:MM146">
    <cfRule type="cellIs" dxfId="9" priority="4" operator="notEqual">
      <formula>0</formula>
    </cfRule>
  </conditionalFormatting>
  <conditionalFormatting sqref="MN146:MP146">
    <cfRule type="containsText" dxfId="8" priority="3" operator="containsText" text="fix">
      <formula>NOT(ISERROR(SEARCH("fix",MN146)))</formula>
    </cfRule>
  </conditionalFormatting>
  <conditionalFormatting sqref="MQ168:PL168 KY168:MM168">
    <cfRule type="cellIs" dxfId="7" priority="2" operator="notEqual">
      <formula>0</formula>
    </cfRule>
  </conditionalFormatting>
  <conditionalFormatting sqref="MN168:MP168">
    <cfRule type="containsText" dxfId="6" priority="1" operator="containsText" text="fix">
      <formula>NOT(ISERROR(SEARCH("fix",MN168)))</formula>
    </cfRule>
  </conditionalFormatting>
  <pageMargins left="0.75" right="0.75" top="1" bottom="1" header="0.5" footer="0.5"/>
  <pageSetup scale="10" orientation="portrait" r:id="rId1"/>
  <headerFooter alignWithMargins="0"/>
  <customProperties>
    <customPr name="OrphanNamesChecked" r:id="rId2"/>
  </customProperties>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GU221"/>
  <sheetViews>
    <sheetView showGridLines="0" zoomScale="70" zoomScaleNormal="70" workbookViewId="0">
      <pane ySplit="2" topLeftCell="A3" activePane="bottomLeft" state="frozen"/>
      <selection activeCell="B159" sqref="B159"/>
      <selection pane="bottomLeft" activeCell="H128" sqref="H128"/>
    </sheetView>
  </sheetViews>
  <sheetFormatPr defaultColWidth="8.90625" defaultRowHeight="15"/>
  <cols>
    <col min="1" max="1" width="36.08984375" style="1043" bestFit="1" customWidth="1"/>
    <col min="2" max="2" width="12.81640625" style="1043" customWidth="1"/>
    <col min="3" max="3" width="20" style="1049" customWidth="1"/>
    <col min="4" max="4" width="22.36328125" style="1038" bestFit="1" customWidth="1"/>
    <col min="5" max="6" width="8.90625" style="1038"/>
    <col min="7" max="7" width="39.6328125" style="1039" bestFit="1" customWidth="1"/>
    <col min="8" max="8" width="8.90625" style="1039"/>
    <col min="9" max="11" width="8.90625" style="1038"/>
    <col min="12" max="12" width="8.90625" style="1039"/>
    <col min="13" max="13" width="39.6328125" style="1039" bestFit="1" customWidth="1"/>
    <col min="14" max="16384" width="8.90625" style="1039"/>
  </cols>
  <sheetData>
    <row r="1" spans="1:11">
      <c r="F1" s="1038">
        <v>1</v>
      </c>
      <c r="G1" s="1039" t="s">
        <v>1842</v>
      </c>
    </row>
    <row r="2" spans="1:11" ht="15.6">
      <c r="A2" s="1035" t="s">
        <v>0</v>
      </c>
      <c r="B2" s="1036" t="s">
        <v>257</v>
      </c>
      <c r="C2" s="1037"/>
      <c r="F2" s="1038" t="s">
        <v>1736</v>
      </c>
      <c r="G2" s="1641" t="s">
        <v>0</v>
      </c>
      <c r="H2" s="1642" t="s">
        <v>479</v>
      </c>
    </row>
    <row r="3" spans="1:11">
      <c r="A3" s="1040" t="s">
        <v>698</v>
      </c>
      <c r="B3" s="1040" t="s">
        <v>258</v>
      </c>
      <c r="C3" s="1041"/>
      <c r="D3" s="1042"/>
      <c r="E3" s="1042"/>
      <c r="F3" s="1038">
        <v>3</v>
      </c>
      <c r="G3" s="1050" t="s">
        <v>698</v>
      </c>
      <c r="H3" s="438">
        <v>106</v>
      </c>
      <c r="I3" s="1042"/>
      <c r="J3" s="1042"/>
      <c r="K3" s="1042"/>
    </row>
    <row r="4" spans="1:11">
      <c r="A4" s="1040" t="s">
        <v>1405</v>
      </c>
      <c r="B4" s="1040" t="s">
        <v>258</v>
      </c>
      <c r="C4" s="1041"/>
      <c r="D4" s="1042"/>
      <c r="E4" s="1042"/>
      <c r="F4" s="1038">
        <v>4</v>
      </c>
      <c r="G4" s="1040" t="s">
        <v>1405</v>
      </c>
      <c r="H4" s="438">
        <v>250</v>
      </c>
      <c r="I4" s="1042"/>
      <c r="J4" s="1042"/>
      <c r="K4" s="1042"/>
    </row>
    <row r="5" spans="1:11" s="1043" customFormat="1">
      <c r="A5" s="1040" t="s">
        <v>1403</v>
      </c>
      <c r="B5" s="1040" t="s">
        <v>546</v>
      </c>
      <c r="D5" s="1041"/>
      <c r="E5" s="1042"/>
      <c r="F5" s="1038">
        <v>5</v>
      </c>
      <c r="G5" s="1050" t="s">
        <v>958</v>
      </c>
      <c r="H5" s="438">
        <v>400</v>
      </c>
      <c r="I5" s="1042"/>
      <c r="J5" s="1042"/>
      <c r="K5" s="1042"/>
    </row>
    <row r="6" spans="1:11" s="1043" customFormat="1">
      <c r="A6" s="1040" t="s">
        <v>992</v>
      </c>
      <c r="B6" s="1040" t="s">
        <v>546</v>
      </c>
      <c r="C6" s="1041"/>
      <c r="D6" s="1041"/>
      <c r="E6" s="1042"/>
      <c r="F6" s="1038">
        <v>6</v>
      </c>
      <c r="G6" s="1050" t="s">
        <v>1406</v>
      </c>
      <c r="H6" s="438">
        <v>160</v>
      </c>
      <c r="I6" s="1042"/>
      <c r="J6" s="1042"/>
      <c r="K6" s="1042"/>
    </row>
    <row r="7" spans="1:11" s="1043" customFormat="1">
      <c r="A7" s="672" t="s">
        <v>1017</v>
      </c>
      <c r="B7" s="1040" t="s">
        <v>547</v>
      </c>
      <c r="C7" s="1041"/>
      <c r="D7" s="1041"/>
      <c r="E7" s="1042"/>
      <c r="F7" s="1038">
        <v>7</v>
      </c>
      <c r="G7" s="1050" t="s">
        <v>1018</v>
      </c>
      <c r="H7" s="438">
        <v>0</v>
      </c>
      <c r="I7" s="1042"/>
      <c r="J7" s="1042"/>
      <c r="K7" s="1042"/>
    </row>
    <row r="8" spans="1:11" s="1043" customFormat="1">
      <c r="A8" s="1040" t="s">
        <v>958</v>
      </c>
      <c r="B8" s="1040" t="s">
        <v>546</v>
      </c>
      <c r="C8" s="1041"/>
      <c r="D8" s="1041"/>
      <c r="E8" s="1042"/>
      <c r="F8" s="1038">
        <v>8</v>
      </c>
      <c r="G8" s="1050" t="s">
        <v>1127</v>
      </c>
      <c r="H8" s="438">
        <v>83</v>
      </c>
      <c r="I8" s="1042"/>
      <c r="J8" s="1042"/>
      <c r="K8" s="1042"/>
    </row>
    <row r="9" spans="1:11" s="1043" customFormat="1">
      <c r="A9" s="1040" t="s">
        <v>1406</v>
      </c>
      <c r="B9" s="1040" t="s">
        <v>546</v>
      </c>
      <c r="C9" s="1041"/>
      <c r="D9" s="1041"/>
      <c r="E9" s="1042"/>
      <c r="F9" s="1038">
        <v>9</v>
      </c>
      <c r="G9" s="1640" t="s">
        <v>701</v>
      </c>
      <c r="H9" s="438">
        <v>225</v>
      </c>
      <c r="I9" s="1042"/>
      <c r="J9" s="1042"/>
      <c r="K9" s="1042"/>
    </row>
    <row r="10" spans="1:11" s="1043" customFormat="1">
      <c r="A10" s="1040" t="s">
        <v>1018</v>
      </c>
      <c r="B10" s="1040" t="s">
        <v>264</v>
      </c>
      <c r="C10" s="1041"/>
      <c r="D10" s="1041"/>
      <c r="E10" s="1042"/>
      <c r="F10" s="1038">
        <v>10</v>
      </c>
      <c r="G10" s="1050" t="s">
        <v>266</v>
      </c>
      <c r="H10" s="438">
        <v>120</v>
      </c>
      <c r="I10" s="1042"/>
      <c r="J10" s="1042"/>
      <c r="K10" s="1042"/>
    </row>
    <row r="11" spans="1:11" s="1043" customFormat="1">
      <c r="A11" s="1040" t="s">
        <v>1127</v>
      </c>
      <c r="B11" s="1040" t="s">
        <v>547</v>
      </c>
      <c r="C11" s="1041"/>
      <c r="D11" s="1041"/>
      <c r="E11" s="1042"/>
      <c r="F11" s="1038">
        <v>11</v>
      </c>
      <c r="G11" s="1040" t="s">
        <v>957</v>
      </c>
      <c r="H11" s="438">
        <v>110</v>
      </c>
      <c r="I11" s="1042"/>
      <c r="J11" s="1042"/>
      <c r="K11" s="1042"/>
    </row>
    <row r="12" spans="1:11" s="1043" customFormat="1">
      <c r="A12" s="1040" t="s">
        <v>701</v>
      </c>
      <c r="B12" s="1040" t="s">
        <v>546</v>
      </c>
      <c r="C12" s="1041"/>
      <c r="D12" s="1041"/>
      <c r="E12" s="1042"/>
      <c r="F12" s="1038">
        <v>12</v>
      </c>
      <c r="G12" s="1050" t="s">
        <v>1325</v>
      </c>
      <c r="H12" s="438">
        <v>625</v>
      </c>
      <c r="I12" s="1042"/>
      <c r="J12" s="1042"/>
      <c r="K12" s="1042"/>
    </row>
    <row r="13" spans="1:11" s="1043" customFormat="1">
      <c r="A13" s="1040" t="s">
        <v>266</v>
      </c>
      <c r="B13" s="1040" t="s">
        <v>547</v>
      </c>
      <c r="C13" s="1041"/>
      <c r="D13" s="1041"/>
      <c r="E13" s="1042"/>
      <c r="F13" s="1038">
        <v>13</v>
      </c>
      <c r="G13" s="1050" t="s">
        <v>637</v>
      </c>
      <c r="H13" s="438">
        <v>300</v>
      </c>
      <c r="I13" s="1042"/>
      <c r="J13" s="1042"/>
      <c r="K13" s="1042"/>
    </row>
    <row r="14" spans="1:11" s="1043" customFormat="1">
      <c r="A14" s="1040" t="s">
        <v>957</v>
      </c>
      <c r="B14" s="1040" t="s">
        <v>258</v>
      </c>
      <c r="C14" s="1041"/>
      <c r="D14" s="1041"/>
      <c r="E14" s="1042"/>
      <c r="F14" s="1038">
        <v>14</v>
      </c>
      <c r="G14" s="1935" t="s">
        <v>617</v>
      </c>
      <c r="H14" s="438">
        <v>150</v>
      </c>
      <c r="I14" s="1042"/>
      <c r="J14" s="1042"/>
      <c r="K14" s="1042"/>
    </row>
    <row r="15" spans="1:11" s="1043" customFormat="1">
      <c r="A15" s="1040" t="s">
        <v>623</v>
      </c>
      <c r="B15" s="1040" t="s">
        <v>258</v>
      </c>
      <c r="C15" s="1041"/>
      <c r="D15" s="1041"/>
      <c r="E15" s="1042"/>
      <c r="F15" s="1038">
        <v>15</v>
      </c>
      <c r="G15" s="1050" t="s">
        <v>624</v>
      </c>
      <c r="H15" s="438">
        <v>430</v>
      </c>
      <c r="I15" s="1042"/>
      <c r="J15" s="1042"/>
      <c r="K15" s="1042"/>
    </row>
    <row r="16" spans="1:11" s="1043" customFormat="1">
      <c r="A16" s="1040" t="s">
        <v>959</v>
      </c>
      <c r="B16" s="1040" t="s">
        <v>258</v>
      </c>
      <c r="C16" s="1041"/>
      <c r="D16" s="1041"/>
      <c r="E16" s="1042"/>
      <c r="F16" s="1038">
        <v>16</v>
      </c>
      <c r="G16" s="1050" t="s">
        <v>1006</v>
      </c>
      <c r="H16" s="438">
        <v>240</v>
      </c>
      <c r="I16" s="1042"/>
      <c r="J16" s="1042"/>
      <c r="K16" s="1042"/>
    </row>
    <row r="17" spans="1:11" s="1043" customFormat="1">
      <c r="A17" s="1040" t="s">
        <v>677</v>
      </c>
      <c r="B17" s="1040" t="s">
        <v>258</v>
      </c>
      <c r="C17" s="1041"/>
      <c r="D17" s="1041"/>
      <c r="E17" s="1042"/>
      <c r="F17" s="1038">
        <v>17</v>
      </c>
      <c r="G17" s="1050" t="s">
        <v>1407</v>
      </c>
      <c r="H17" s="438">
        <v>100</v>
      </c>
      <c r="I17" s="1042"/>
      <c r="J17" s="1042"/>
      <c r="K17" s="1042"/>
    </row>
    <row r="18" spans="1:11" s="1043" customFormat="1">
      <c r="A18" s="1050" t="s">
        <v>1325</v>
      </c>
      <c r="B18" s="1040" t="s">
        <v>258</v>
      </c>
      <c r="C18" s="1041"/>
      <c r="D18" s="1041"/>
      <c r="E18" s="1042"/>
      <c r="F18" s="1038">
        <v>18</v>
      </c>
      <c r="G18" s="1040" t="s">
        <v>682</v>
      </c>
      <c r="H18" s="438">
        <v>235</v>
      </c>
      <c r="I18" s="1042"/>
      <c r="J18" s="1042"/>
      <c r="K18" s="1042"/>
    </row>
    <row r="19" spans="1:11" s="1043" customFormat="1">
      <c r="A19" s="1050" t="s">
        <v>637</v>
      </c>
      <c r="B19" s="1040" t="s">
        <v>258</v>
      </c>
      <c r="C19" s="1041"/>
      <c r="D19" s="1041"/>
      <c r="E19" s="1042"/>
      <c r="F19" s="1038">
        <v>19</v>
      </c>
      <c r="G19" s="1050" t="s">
        <v>1303</v>
      </c>
      <c r="H19" s="438">
        <v>103</v>
      </c>
      <c r="I19" s="1042"/>
      <c r="J19" s="1042"/>
      <c r="K19" s="1042"/>
    </row>
    <row r="20" spans="1:11" s="1043" customFormat="1">
      <c r="A20" s="1935" t="s">
        <v>617</v>
      </c>
      <c r="B20" s="1040" t="s">
        <v>258</v>
      </c>
      <c r="C20" s="1041"/>
      <c r="D20" s="1041"/>
      <c r="E20" s="1042"/>
      <c r="F20" s="1038">
        <v>20</v>
      </c>
      <c r="G20" s="1050" t="s">
        <v>1144</v>
      </c>
      <c r="H20" s="438">
        <v>126</v>
      </c>
      <c r="I20" s="1042"/>
      <c r="J20" s="1042"/>
      <c r="K20" s="1042"/>
    </row>
    <row r="21" spans="1:11" s="1043" customFormat="1">
      <c r="A21" s="1040" t="s">
        <v>624</v>
      </c>
      <c r="B21" s="1040" t="s">
        <v>547</v>
      </c>
      <c r="C21" s="1041"/>
      <c r="D21" s="1041"/>
      <c r="E21" s="1042"/>
      <c r="F21" s="1038">
        <v>20.5</v>
      </c>
      <c r="G21" s="1935" t="s">
        <v>2146</v>
      </c>
      <c r="H21" s="438">
        <v>100</v>
      </c>
      <c r="I21" s="1042"/>
      <c r="J21" s="1042"/>
      <c r="K21" s="1042"/>
    </row>
    <row r="22" spans="1:11" s="1043" customFormat="1">
      <c r="A22" s="1040" t="s">
        <v>1006</v>
      </c>
      <c r="B22" s="1040" t="s">
        <v>258</v>
      </c>
      <c r="C22" s="1041"/>
      <c r="D22" s="1041"/>
      <c r="E22" s="1042"/>
      <c r="F22" s="1038">
        <v>21</v>
      </c>
      <c r="G22" s="1050" t="s">
        <v>1128</v>
      </c>
      <c r="H22" s="438">
        <v>0</v>
      </c>
      <c r="I22" s="1042"/>
      <c r="J22" s="1042"/>
      <c r="K22" s="1042"/>
    </row>
    <row r="23" spans="1:11" s="1043" customFormat="1">
      <c r="A23" s="1040" t="s">
        <v>1407</v>
      </c>
      <c r="B23" s="1040" t="s">
        <v>264</v>
      </c>
      <c r="C23" s="1041"/>
      <c r="D23" s="1041"/>
      <c r="E23" s="1042"/>
      <c r="F23" s="1038">
        <v>22</v>
      </c>
      <c r="G23" s="1050" t="s">
        <v>1323</v>
      </c>
      <c r="H23" s="438">
        <v>125</v>
      </c>
      <c r="I23" s="1042"/>
      <c r="J23" s="1042"/>
      <c r="K23" s="1042"/>
    </row>
    <row r="24" spans="1:11" s="1043" customFormat="1">
      <c r="A24" s="1040" t="s">
        <v>682</v>
      </c>
      <c r="B24" s="1040" t="s">
        <v>547</v>
      </c>
      <c r="D24" s="1041"/>
      <c r="E24" s="1042"/>
      <c r="F24" s="1038">
        <v>23</v>
      </c>
      <c r="G24" s="1040" t="s">
        <v>713</v>
      </c>
      <c r="H24" s="438">
        <v>130</v>
      </c>
      <c r="I24" s="1042"/>
      <c r="J24" s="1042"/>
      <c r="K24" s="1042"/>
    </row>
    <row r="25" spans="1:11" s="1043" customFormat="1">
      <c r="A25" s="1050" t="s">
        <v>1303</v>
      </c>
      <c r="B25" s="1040" t="s">
        <v>547</v>
      </c>
      <c r="C25" s="1041"/>
      <c r="D25" s="1041"/>
      <c r="E25" s="1042"/>
      <c r="F25" s="1038">
        <v>24</v>
      </c>
      <c r="G25" s="1040" t="s">
        <v>683</v>
      </c>
      <c r="H25" s="438">
        <v>92</v>
      </c>
      <c r="I25" s="1042"/>
      <c r="J25" s="1042"/>
      <c r="K25" s="1042"/>
    </row>
    <row r="26" spans="1:11" s="1043" customFormat="1">
      <c r="A26" s="1040" t="s">
        <v>1144</v>
      </c>
      <c r="B26" s="1040" t="s">
        <v>264</v>
      </c>
      <c r="C26" s="1040"/>
      <c r="D26" s="1041"/>
      <c r="E26" s="1042"/>
      <c r="F26" s="1038">
        <v>25</v>
      </c>
      <c r="G26" s="1050" t="s">
        <v>684</v>
      </c>
      <c r="H26" s="438">
        <v>75</v>
      </c>
      <c r="I26" s="1042"/>
      <c r="J26" s="1042"/>
      <c r="K26" s="1042"/>
    </row>
    <row r="27" spans="1:11" s="1043" customFormat="1">
      <c r="A27" s="1040" t="s">
        <v>715</v>
      </c>
      <c r="B27" s="1040" t="s">
        <v>412</v>
      </c>
      <c r="C27" s="1041"/>
      <c r="D27" s="1041"/>
      <c r="E27" s="1042"/>
      <c r="F27" s="1038">
        <v>26</v>
      </c>
      <c r="G27" s="1050" t="s">
        <v>1193</v>
      </c>
      <c r="H27" s="438">
        <v>120</v>
      </c>
      <c r="I27" s="1042"/>
      <c r="J27" s="1042"/>
      <c r="K27" s="1042"/>
    </row>
    <row r="28" spans="1:11" s="1043" customFormat="1">
      <c r="A28" s="1935" t="s">
        <v>2146</v>
      </c>
      <c r="B28" s="1040" t="s">
        <v>264</v>
      </c>
      <c r="C28" s="1041"/>
      <c r="D28" s="1041"/>
      <c r="E28" s="1042"/>
      <c r="F28" s="1038">
        <v>27</v>
      </c>
      <c r="G28" s="1050" t="s">
        <v>1408</v>
      </c>
      <c r="H28" s="438">
        <v>79</v>
      </c>
      <c r="I28" s="1042"/>
      <c r="J28" s="1042"/>
      <c r="K28" s="1042"/>
    </row>
    <row r="29" spans="1:11" s="1043" customFormat="1">
      <c r="A29" s="1040" t="s">
        <v>1128</v>
      </c>
      <c r="B29" s="1040" t="s">
        <v>412</v>
      </c>
      <c r="C29" s="1041"/>
      <c r="D29" s="1041"/>
      <c r="E29" s="1042"/>
      <c r="F29" s="1038">
        <v>28</v>
      </c>
      <c r="G29" s="1050" t="s">
        <v>1326</v>
      </c>
      <c r="H29" s="438">
        <v>135</v>
      </c>
      <c r="I29" s="1042"/>
      <c r="J29" s="1042"/>
      <c r="K29" s="1042"/>
    </row>
    <row r="30" spans="1:11" s="1043" customFormat="1">
      <c r="A30" s="1050" t="s">
        <v>1323</v>
      </c>
      <c r="B30" s="1040" t="s">
        <v>258</v>
      </c>
      <c r="C30" s="1041"/>
      <c r="D30" s="1041"/>
      <c r="E30" s="1042"/>
      <c r="F30" s="1038">
        <v>29</v>
      </c>
      <c r="G30" s="1050" t="s">
        <v>523</v>
      </c>
      <c r="H30" s="438">
        <v>0</v>
      </c>
      <c r="I30" s="1042"/>
      <c r="J30" s="1042"/>
      <c r="K30" s="1042"/>
    </row>
    <row r="31" spans="1:11" s="1043" customFormat="1">
      <c r="A31" s="1040" t="s">
        <v>713</v>
      </c>
      <c r="B31" s="1040" t="s">
        <v>546</v>
      </c>
      <c r="C31" s="1041"/>
      <c r="D31" s="1041"/>
      <c r="E31" s="1042"/>
      <c r="F31" s="1038">
        <v>30</v>
      </c>
      <c r="G31" s="1050" t="s">
        <v>445</v>
      </c>
      <c r="H31" s="438">
        <v>95</v>
      </c>
      <c r="I31" s="1042"/>
      <c r="J31" s="1042"/>
      <c r="K31" s="1042"/>
    </row>
    <row r="32" spans="1:11" s="1043" customFormat="1">
      <c r="A32" s="1040" t="s">
        <v>683</v>
      </c>
      <c r="B32" s="1040" t="s">
        <v>547</v>
      </c>
      <c r="C32" s="1041"/>
      <c r="D32" s="1041"/>
      <c r="E32" s="1042"/>
      <c r="F32" s="1038">
        <v>31</v>
      </c>
      <c r="G32" s="1050" t="s">
        <v>1318</v>
      </c>
      <c r="H32" s="438">
        <v>72</v>
      </c>
      <c r="I32" s="1042"/>
      <c r="J32" s="1042"/>
      <c r="K32" s="1042"/>
    </row>
    <row r="33" spans="1:11" s="1043" customFormat="1">
      <c r="A33" s="1050" t="s">
        <v>684</v>
      </c>
      <c r="B33" s="1040" t="s">
        <v>264</v>
      </c>
      <c r="C33" s="1041"/>
      <c r="D33" s="1041"/>
      <c r="E33" s="1042"/>
      <c r="F33" s="1038">
        <v>32</v>
      </c>
      <c r="G33" s="1050" t="s">
        <v>841</v>
      </c>
      <c r="H33" s="438">
        <v>0</v>
      </c>
      <c r="I33" s="1042"/>
      <c r="J33" s="1042"/>
      <c r="K33" s="1042"/>
    </row>
    <row r="34" spans="1:11" s="1043" customFormat="1">
      <c r="A34" s="1050" t="s">
        <v>1193</v>
      </c>
      <c r="B34" s="1040" t="s">
        <v>547</v>
      </c>
      <c r="C34" s="1041"/>
      <c r="D34" s="1041"/>
      <c r="E34" s="1042"/>
      <c r="F34" s="1038">
        <v>33</v>
      </c>
      <c r="G34" s="1640" t="s">
        <v>1846</v>
      </c>
      <c r="H34" s="438">
        <v>110</v>
      </c>
      <c r="I34" s="1042"/>
      <c r="J34" s="1042"/>
      <c r="K34" s="1042"/>
    </row>
    <row r="35" spans="1:11" s="1043" customFormat="1">
      <c r="A35" s="1040" t="s">
        <v>1408</v>
      </c>
      <c r="B35" s="1040" t="s">
        <v>546</v>
      </c>
      <c r="C35" s="1041"/>
      <c r="D35" s="1041"/>
      <c r="E35" s="1042"/>
      <c r="F35" s="1038">
        <v>34</v>
      </c>
      <c r="G35" s="1050" t="s">
        <v>1132</v>
      </c>
      <c r="H35" s="438">
        <v>95</v>
      </c>
      <c r="I35" s="1042"/>
      <c r="J35" s="1042"/>
      <c r="K35" s="1042"/>
    </row>
    <row r="36" spans="1:11" s="1043" customFormat="1">
      <c r="A36" s="1050" t="s">
        <v>1326</v>
      </c>
      <c r="B36" s="1040" t="s">
        <v>258</v>
      </c>
      <c r="C36" s="1041"/>
      <c r="D36" s="1041"/>
      <c r="E36" s="1042"/>
      <c r="F36" s="1038">
        <v>35</v>
      </c>
      <c r="G36" s="1050" t="s">
        <v>985</v>
      </c>
      <c r="H36" s="438">
        <v>82.18</v>
      </c>
      <c r="I36" s="1042"/>
      <c r="J36" s="1042"/>
      <c r="K36" s="1042"/>
    </row>
    <row r="37" spans="1:11" s="1043" customFormat="1">
      <c r="A37" s="1040" t="s">
        <v>523</v>
      </c>
      <c r="B37" s="1040" t="s">
        <v>412</v>
      </c>
      <c r="C37" s="1041"/>
      <c r="D37" s="1041"/>
      <c r="E37" s="1042"/>
      <c r="F37" s="1038">
        <v>36</v>
      </c>
      <c r="G37" s="1050" t="s">
        <v>1304</v>
      </c>
      <c r="H37" s="438">
        <v>200</v>
      </c>
      <c r="I37" s="1042"/>
      <c r="J37" s="1042"/>
      <c r="K37" s="1042"/>
    </row>
    <row r="38" spans="1:11" s="1043" customFormat="1">
      <c r="A38" s="1040" t="s">
        <v>445</v>
      </c>
      <c r="B38" s="1040" t="s">
        <v>546</v>
      </c>
      <c r="C38" s="1041"/>
      <c r="D38" s="1041"/>
      <c r="E38" s="1042"/>
      <c r="F38" s="1038">
        <v>37</v>
      </c>
      <c r="G38" s="1050" t="s">
        <v>686</v>
      </c>
      <c r="H38" s="438">
        <v>240</v>
      </c>
      <c r="I38" s="1042"/>
      <c r="J38" s="1042"/>
      <c r="K38" s="1042"/>
    </row>
    <row r="39" spans="1:11" s="1043" customFormat="1">
      <c r="A39" s="1050" t="s">
        <v>1318</v>
      </c>
      <c r="B39" s="1040" t="s">
        <v>547</v>
      </c>
      <c r="C39" s="1041"/>
      <c r="D39" s="1041"/>
      <c r="E39" s="1042"/>
      <c r="F39" s="1038">
        <v>38</v>
      </c>
      <c r="G39" s="1050" t="s">
        <v>965</v>
      </c>
      <c r="H39" s="438">
        <v>65</v>
      </c>
      <c r="I39" s="1042"/>
      <c r="J39" s="1042"/>
      <c r="K39" s="1042"/>
    </row>
    <row r="40" spans="1:11" s="1043" customFormat="1">
      <c r="A40" s="1050" t="s">
        <v>841</v>
      </c>
      <c r="B40" s="1040" t="s">
        <v>412</v>
      </c>
      <c r="C40" s="1041"/>
      <c r="D40" s="1041"/>
      <c r="E40" s="1042"/>
      <c r="F40" s="1038">
        <v>39</v>
      </c>
      <c r="G40" s="1040" t="s">
        <v>916</v>
      </c>
      <c r="H40" s="438">
        <v>275</v>
      </c>
      <c r="I40" s="1042"/>
      <c r="J40" s="1042"/>
      <c r="K40" s="1042"/>
    </row>
    <row r="41" spans="1:11" s="1043" customFormat="1">
      <c r="A41" s="1640" t="s">
        <v>1846</v>
      </c>
      <c r="B41" s="1040" t="s">
        <v>264</v>
      </c>
      <c r="C41" s="1041"/>
      <c r="D41" s="1041"/>
      <c r="E41" s="1042"/>
      <c r="F41" s="1038">
        <v>40</v>
      </c>
      <c r="G41" s="1050" t="s">
        <v>1194</v>
      </c>
      <c r="H41" s="438">
        <v>165</v>
      </c>
      <c r="I41" s="1042"/>
      <c r="J41" s="1042"/>
      <c r="K41" s="1042"/>
    </row>
    <row r="42" spans="1:11" s="1043" customFormat="1">
      <c r="A42" s="1640" t="s">
        <v>2148</v>
      </c>
      <c r="B42" s="1040" t="s">
        <v>264</v>
      </c>
      <c r="C42" s="1041"/>
      <c r="D42" s="1041"/>
      <c r="E42" s="1042"/>
      <c r="F42" s="1038">
        <v>41</v>
      </c>
      <c r="G42" s="1050" t="s">
        <v>1312</v>
      </c>
      <c r="H42" s="438">
        <v>210</v>
      </c>
      <c r="I42" s="1042"/>
      <c r="J42" s="1042"/>
      <c r="K42" s="1042"/>
    </row>
    <row r="43" spans="1:11" s="1043" customFormat="1" ht="15.6">
      <c r="A43" s="1040" t="s">
        <v>1132</v>
      </c>
      <c r="B43" s="1011" t="s">
        <v>547</v>
      </c>
      <c r="C43" s="1041"/>
      <c r="D43" s="1041"/>
      <c r="E43" s="1042"/>
      <c r="F43" s="1038">
        <v>42</v>
      </c>
      <c r="G43" s="1050" t="s">
        <v>1160</v>
      </c>
      <c r="H43" s="438">
        <v>115</v>
      </c>
      <c r="I43" s="1042"/>
      <c r="J43" s="1042"/>
      <c r="K43" s="1042"/>
    </row>
    <row r="44" spans="1:11" s="1043" customFormat="1">
      <c r="A44" s="1040" t="s">
        <v>985</v>
      </c>
      <c r="B44" s="1040" t="s">
        <v>546</v>
      </c>
      <c r="C44" s="1041"/>
      <c r="D44" s="1041"/>
      <c r="E44" s="1042"/>
      <c r="F44" s="1038">
        <v>43</v>
      </c>
      <c r="G44" s="1050" t="s">
        <v>635</v>
      </c>
      <c r="H44" s="438">
        <v>52</v>
      </c>
      <c r="I44" s="1042"/>
      <c r="J44" s="1042"/>
      <c r="K44" s="1042"/>
    </row>
    <row r="45" spans="1:11" s="1043" customFormat="1">
      <c r="A45" s="1040" t="s">
        <v>631</v>
      </c>
      <c r="B45" s="1040" t="s">
        <v>546</v>
      </c>
      <c r="C45" s="1041"/>
      <c r="D45" s="1041"/>
      <c r="E45" s="1042"/>
      <c r="F45" s="1038">
        <v>44</v>
      </c>
      <c r="G45" s="1050" t="s">
        <v>550</v>
      </c>
      <c r="H45" s="438">
        <v>230</v>
      </c>
      <c r="I45" s="1042"/>
      <c r="J45" s="1042"/>
      <c r="K45" s="1042"/>
    </row>
    <row r="46" spans="1:11" s="1043" customFormat="1">
      <c r="A46" s="1050" t="s">
        <v>1304</v>
      </c>
      <c r="B46" s="1040" t="s">
        <v>547</v>
      </c>
      <c r="C46" s="1041"/>
      <c r="D46" s="1041"/>
      <c r="E46" s="1042"/>
      <c r="F46" s="1038">
        <v>45</v>
      </c>
      <c r="G46" s="1040" t="s">
        <v>1427</v>
      </c>
      <c r="H46" s="438">
        <v>495</v>
      </c>
      <c r="I46" s="1042"/>
      <c r="J46" s="1042"/>
      <c r="K46" s="1042"/>
    </row>
    <row r="47" spans="1:11" s="1043" customFormat="1">
      <c r="A47" s="1040" t="s">
        <v>686</v>
      </c>
      <c r="B47" s="1040" t="s">
        <v>547</v>
      </c>
      <c r="C47" s="1041"/>
      <c r="D47" s="1041"/>
      <c r="E47" s="1042"/>
      <c r="F47" s="1038">
        <v>46</v>
      </c>
      <c r="G47" s="1050" t="s">
        <v>1195</v>
      </c>
      <c r="H47" s="438">
        <v>117</v>
      </c>
      <c r="I47" s="1042"/>
      <c r="J47" s="1042"/>
      <c r="K47" s="1042"/>
    </row>
    <row r="48" spans="1:11" s="1043" customFormat="1">
      <c r="A48" s="1040" t="s">
        <v>965</v>
      </c>
      <c r="B48" s="1040" t="s">
        <v>264</v>
      </c>
      <c r="C48" s="1041"/>
      <c r="D48" s="1041"/>
      <c r="E48" s="1042"/>
      <c r="F48" s="1038">
        <v>47</v>
      </c>
      <c r="G48" s="1050" t="s">
        <v>630</v>
      </c>
      <c r="H48" s="438">
        <v>110</v>
      </c>
      <c r="I48" s="1042"/>
      <c r="J48" s="1042"/>
      <c r="K48" s="1042"/>
    </row>
    <row r="49" spans="1:11" s="1043" customFormat="1">
      <c r="A49" s="1040" t="s">
        <v>916</v>
      </c>
      <c r="B49" s="1040" t="s">
        <v>546</v>
      </c>
      <c r="D49" s="1041"/>
      <c r="E49" s="1042"/>
      <c r="F49" s="1038">
        <v>48</v>
      </c>
      <c r="G49" s="1050" t="s">
        <v>1732</v>
      </c>
      <c r="H49" s="438">
        <v>0</v>
      </c>
      <c r="I49" s="1042"/>
      <c r="J49" s="1042"/>
      <c r="K49" s="1042"/>
    </row>
    <row r="50" spans="1:11" s="1043" customFormat="1">
      <c r="A50" s="1040" t="s">
        <v>838</v>
      </c>
      <c r="B50" s="1040" t="s">
        <v>546</v>
      </c>
      <c r="C50" s="1042"/>
      <c r="D50" s="1041"/>
      <c r="E50" s="1042"/>
      <c r="F50" s="1038">
        <v>49</v>
      </c>
      <c r="G50" s="1050" t="s">
        <v>839</v>
      </c>
      <c r="H50" s="438">
        <v>210</v>
      </c>
      <c r="I50" s="1042"/>
      <c r="J50" s="1042"/>
      <c r="K50" s="1042"/>
    </row>
    <row r="51" spans="1:11" s="1043" customFormat="1">
      <c r="A51" s="1050" t="s">
        <v>1194</v>
      </c>
      <c r="B51" s="1040" t="s">
        <v>264</v>
      </c>
      <c r="C51" s="1041"/>
      <c r="D51" s="1041"/>
      <c r="E51" s="1042"/>
      <c r="F51" s="1038">
        <v>50</v>
      </c>
      <c r="G51" s="1050" t="s">
        <v>1138</v>
      </c>
      <c r="H51" s="438">
        <v>201</v>
      </c>
      <c r="I51" s="1042"/>
      <c r="J51" s="1042"/>
      <c r="K51" s="1042"/>
    </row>
    <row r="52" spans="1:11" s="1043" customFormat="1">
      <c r="A52" s="1050" t="s">
        <v>1312</v>
      </c>
      <c r="B52" s="1040" t="s">
        <v>546</v>
      </c>
      <c r="C52" s="1041"/>
      <c r="D52" s="1041"/>
      <c r="E52" s="1042"/>
      <c r="F52" s="1038">
        <v>51</v>
      </c>
      <c r="G52" s="1050" t="s">
        <v>1148</v>
      </c>
      <c r="H52" s="438">
        <v>150</v>
      </c>
      <c r="I52" s="1042"/>
      <c r="J52" s="1042"/>
      <c r="K52" s="1042"/>
    </row>
    <row r="53" spans="1:11" s="1043" customFormat="1">
      <c r="A53" s="1050" t="s">
        <v>1160</v>
      </c>
      <c r="B53" s="1040" t="s">
        <v>546</v>
      </c>
      <c r="C53" s="1041"/>
      <c r="D53" s="1041"/>
      <c r="E53" s="1042"/>
      <c r="F53" s="1038">
        <v>52</v>
      </c>
      <c r="G53" s="1040" t="s">
        <v>541</v>
      </c>
      <c r="H53" s="438">
        <v>0</v>
      </c>
      <c r="I53" s="1042"/>
      <c r="J53" s="1042"/>
      <c r="K53" s="1042"/>
    </row>
    <row r="54" spans="1:11" s="1043" customFormat="1">
      <c r="A54" s="1050" t="s">
        <v>1319</v>
      </c>
      <c r="B54" s="1040" t="s">
        <v>547</v>
      </c>
      <c r="C54" s="1041"/>
      <c r="D54" s="1041"/>
      <c r="E54" s="1042"/>
      <c r="F54" s="1038">
        <v>54</v>
      </c>
      <c r="G54" s="1050" t="s">
        <v>726</v>
      </c>
      <c r="H54" s="438">
        <v>211</v>
      </c>
      <c r="I54" s="1042"/>
      <c r="J54" s="1042"/>
      <c r="K54" s="1042"/>
    </row>
    <row r="55" spans="1:11" s="1043" customFormat="1">
      <c r="A55" s="1040" t="s">
        <v>635</v>
      </c>
      <c r="B55" s="1040" t="s">
        <v>264</v>
      </c>
      <c r="C55" s="1041"/>
      <c r="D55" s="1041"/>
      <c r="E55" s="1042"/>
      <c r="F55" s="1038">
        <v>55</v>
      </c>
      <c r="G55" s="1050" t="s">
        <v>1327</v>
      </c>
      <c r="H55" s="438">
        <v>0</v>
      </c>
      <c r="I55" s="1042"/>
      <c r="J55" s="1042"/>
      <c r="K55" s="1042"/>
    </row>
    <row r="56" spans="1:11" s="1043" customFormat="1">
      <c r="A56" s="1040" t="s">
        <v>550</v>
      </c>
      <c r="B56" s="1040" t="s">
        <v>258</v>
      </c>
      <c r="C56" s="1041"/>
      <c r="D56" s="1041"/>
      <c r="E56" s="1042"/>
      <c r="F56" s="1038">
        <v>56</v>
      </c>
      <c r="G56" s="670" t="s">
        <v>1159</v>
      </c>
      <c r="H56" s="438">
        <v>105</v>
      </c>
      <c r="I56" s="1042"/>
      <c r="J56" s="1042"/>
      <c r="K56" s="1042"/>
    </row>
    <row r="57" spans="1:11" s="1043" customFormat="1">
      <c r="A57" s="1040" t="s">
        <v>1427</v>
      </c>
      <c r="B57" s="1040" t="s">
        <v>547</v>
      </c>
      <c r="C57" s="1041"/>
      <c r="D57" s="1041"/>
      <c r="E57" s="1042"/>
      <c r="F57" s="1038">
        <v>57</v>
      </c>
      <c r="G57" s="1050" t="s">
        <v>995</v>
      </c>
      <c r="H57" s="438">
        <v>483</v>
      </c>
      <c r="I57" s="1042"/>
      <c r="J57" s="1042"/>
      <c r="K57" s="1042"/>
    </row>
    <row r="58" spans="1:11" s="1043" customFormat="1">
      <c r="A58" s="1050" t="s">
        <v>1195</v>
      </c>
      <c r="B58" s="1040" t="s">
        <v>547</v>
      </c>
      <c r="C58" s="1041"/>
      <c r="D58" s="1041"/>
      <c r="E58" s="1042"/>
      <c r="F58" s="1038">
        <v>120</v>
      </c>
      <c r="G58" s="1040" t="s">
        <v>1622</v>
      </c>
      <c r="H58" s="438">
        <v>664</v>
      </c>
      <c r="I58" s="1042"/>
      <c r="J58" s="1042"/>
      <c r="K58" s="1042"/>
    </row>
    <row r="59" spans="1:11" s="1043" customFormat="1">
      <c r="A59" s="1040" t="s">
        <v>917</v>
      </c>
      <c r="B59" s="1040" t="s">
        <v>412</v>
      </c>
      <c r="C59" s="1041"/>
      <c r="D59" s="1041"/>
      <c r="E59" s="1042"/>
      <c r="F59" s="1038">
        <v>58</v>
      </c>
      <c r="G59" s="1050" t="s">
        <v>1134</v>
      </c>
      <c r="H59" s="438">
        <v>300</v>
      </c>
      <c r="I59" s="1042"/>
      <c r="J59" s="1042"/>
      <c r="K59" s="1042"/>
    </row>
    <row r="60" spans="1:11" s="1043" customFormat="1">
      <c r="A60" s="1050" t="s">
        <v>630</v>
      </c>
      <c r="B60" s="1040" t="s">
        <v>546</v>
      </c>
      <c r="C60" s="1041"/>
      <c r="D60" s="1041"/>
      <c r="E60" s="1042"/>
      <c r="F60" s="1038">
        <v>59</v>
      </c>
      <c r="G60" s="1050" t="s">
        <v>716</v>
      </c>
      <c r="H60" s="438">
        <v>185</v>
      </c>
      <c r="I60" s="1042"/>
      <c r="J60" s="1042"/>
      <c r="K60" s="1042"/>
    </row>
    <row r="61" spans="1:11" s="1043" customFormat="1">
      <c r="A61" s="1050" t="s">
        <v>839</v>
      </c>
      <c r="B61" s="1040" t="s">
        <v>618</v>
      </c>
      <c r="C61" s="1041"/>
      <c r="D61" s="1041"/>
      <c r="E61" s="1042"/>
      <c r="F61" s="1038">
        <v>60</v>
      </c>
      <c r="G61" s="1040" t="s">
        <v>717</v>
      </c>
      <c r="H61" s="438">
        <v>70</v>
      </c>
      <c r="I61" s="1042"/>
      <c r="J61" s="1042"/>
      <c r="K61" s="1042"/>
    </row>
    <row r="62" spans="1:11" s="1043" customFormat="1">
      <c r="A62" s="1040" t="s">
        <v>1138</v>
      </c>
      <c r="B62" s="1040" t="s">
        <v>618</v>
      </c>
      <c r="C62" s="1041"/>
      <c r="D62" s="1041"/>
      <c r="E62" s="1042"/>
      <c r="F62" s="1038">
        <v>61</v>
      </c>
      <c r="G62" s="1040" t="s">
        <v>1305</v>
      </c>
      <c r="H62" s="438">
        <v>100</v>
      </c>
      <c r="I62" s="1042"/>
      <c r="J62" s="1042"/>
      <c r="K62" s="1042"/>
    </row>
    <row r="63" spans="1:11" s="1043" customFormat="1">
      <c r="A63" s="1040" t="s">
        <v>846</v>
      </c>
      <c r="B63" s="1040" t="s">
        <v>618</v>
      </c>
      <c r="C63" s="1041" t="s">
        <v>962</v>
      </c>
      <c r="D63" s="1041"/>
      <c r="E63" s="1042"/>
      <c r="F63" s="1038">
        <v>63</v>
      </c>
      <c r="G63" s="1050" t="s">
        <v>1328</v>
      </c>
      <c r="H63" s="438">
        <v>82</v>
      </c>
      <c r="I63" s="1042"/>
      <c r="J63" s="1042"/>
      <c r="K63" s="1042"/>
    </row>
    <row r="64" spans="1:11" s="1043" customFormat="1">
      <c r="A64" s="1040" t="s">
        <v>1148</v>
      </c>
      <c r="B64" s="1040" t="s">
        <v>264</v>
      </c>
      <c r="C64" s="1041"/>
      <c r="D64" s="1041"/>
      <c r="E64" s="1042"/>
      <c r="F64" s="1038">
        <v>64</v>
      </c>
      <c r="G64" s="1050" t="s">
        <v>1196</v>
      </c>
      <c r="H64" s="438">
        <v>150</v>
      </c>
      <c r="I64" s="1042"/>
      <c r="J64" s="1042"/>
      <c r="K64" s="1042"/>
    </row>
    <row r="65" spans="1:11" s="1043" customFormat="1">
      <c r="A65" s="1040" t="s">
        <v>541</v>
      </c>
      <c r="B65" s="1040" t="s">
        <v>264</v>
      </c>
      <c r="C65" s="1041"/>
      <c r="D65" s="1041"/>
      <c r="E65" s="1042"/>
      <c r="F65" s="1038">
        <v>65</v>
      </c>
      <c r="G65" s="1050" t="s">
        <v>1027</v>
      </c>
      <c r="H65" s="438">
        <v>315</v>
      </c>
      <c r="I65" s="1042"/>
      <c r="J65" s="1042"/>
      <c r="K65" s="1042"/>
    </row>
    <row r="66" spans="1:11" s="1043" customFormat="1" ht="15.6">
      <c r="A66" s="1044" t="s">
        <v>541</v>
      </c>
      <c r="B66" s="1044" t="s">
        <v>412</v>
      </c>
      <c r="C66" s="1045"/>
      <c r="D66" s="1041"/>
      <c r="E66" s="1042"/>
      <c r="F66" s="1038">
        <v>66</v>
      </c>
      <c r="G66" s="1640" t="s">
        <v>1329</v>
      </c>
      <c r="H66" s="438">
        <v>466</v>
      </c>
      <c r="I66" s="1042"/>
      <c r="J66" s="1042"/>
      <c r="K66" s="1042"/>
    </row>
    <row r="67" spans="1:11" s="1043" customFormat="1">
      <c r="A67" s="1040" t="s">
        <v>726</v>
      </c>
      <c r="B67" s="1040" t="s">
        <v>546</v>
      </c>
      <c r="C67" s="1041"/>
      <c r="D67" s="1041"/>
      <c r="E67" s="1042"/>
      <c r="F67" s="1038">
        <v>67</v>
      </c>
      <c r="G67" s="1050" t="s">
        <v>1313</v>
      </c>
      <c r="H67" s="438">
        <v>123</v>
      </c>
      <c r="I67" s="1042"/>
      <c r="J67" s="1042"/>
      <c r="K67" s="1042"/>
    </row>
    <row r="68" spans="1:11" s="1043" customFormat="1">
      <c r="A68" s="1050" t="s">
        <v>1327</v>
      </c>
      <c r="B68" s="1040" t="s">
        <v>412</v>
      </c>
      <c r="C68" s="1041"/>
      <c r="D68" s="1041"/>
      <c r="E68" s="1042"/>
      <c r="F68" s="1038">
        <v>68</v>
      </c>
      <c r="G68" s="1050" t="s">
        <v>1623</v>
      </c>
      <c r="H68" s="438">
        <v>95</v>
      </c>
      <c r="I68" s="1042"/>
      <c r="J68" s="1042"/>
      <c r="K68" s="1042"/>
    </row>
    <row r="69" spans="1:11" s="1043" customFormat="1">
      <c r="A69" s="1040" t="s">
        <v>1320</v>
      </c>
      <c r="B69" s="1040" t="s">
        <v>547</v>
      </c>
      <c r="C69" s="1041"/>
      <c r="D69" s="1041"/>
      <c r="E69" s="1042"/>
      <c r="F69" s="1038">
        <v>69</v>
      </c>
      <c r="G69" s="1050" t="s">
        <v>1198</v>
      </c>
      <c r="H69" s="438">
        <v>103</v>
      </c>
      <c r="I69" s="1042"/>
      <c r="J69" s="1042"/>
      <c r="K69" s="1042"/>
    </row>
    <row r="70" spans="1:11" s="1043" customFormat="1">
      <c r="A70" s="1040" t="s">
        <v>995</v>
      </c>
      <c r="B70" s="1040" t="s">
        <v>258</v>
      </c>
      <c r="C70" s="1041"/>
      <c r="D70" s="1041"/>
      <c r="E70" s="1042"/>
      <c r="F70" s="1038">
        <v>70</v>
      </c>
      <c r="G70" s="1050" t="s">
        <v>1197</v>
      </c>
      <c r="H70" s="438">
        <v>0</v>
      </c>
      <c r="I70" s="1042"/>
      <c r="J70" s="1042"/>
      <c r="K70" s="1042"/>
    </row>
    <row r="71" spans="1:11" s="1043" customFormat="1">
      <c r="A71" s="1040" t="s">
        <v>1622</v>
      </c>
      <c r="B71" s="1040" t="s">
        <v>546</v>
      </c>
      <c r="C71" s="1041"/>
      <c r="D71" s="1041"/>
      <c r="E71" s="1042"/>
      <c r="F71" s="1038">
        <v>71</v>
      </c>
      <c r="G71" s="1050" t="s">
        <v>724</v>
      </c>
      <c r="H71" s="438">
        <v>0</v>
      </c>
      <c r="I71" s="1042"/>
      <c r="J71" s="1042"/>
      <c r="K71" s="1042"/>
    </row>
    <row r="72" spans="1:11" s="1043" customFormat="1">
      <c r="A72" s="1040" t="s">
        <v>1134</v>
      </c>
      <c r="B72" s="1040" t="s">
        <v>547</v>
      </c>
      <c r="C72" s="1041"/>
      <c r="D72" s="1041"/>
      <c r="E72" s="1042"/>
      <c r="F72" s="1038">
        <v>72</v>
      </c>
      <c r="G72" s="1050" t="s">
        <v>1129</v>
      </c>
      <c r="H72" s="438">
        <v>120</v>
      </c>
      <c r="I72" s="1042"/>
      <c r="J72" s="1042"/>
      <c r="K72" s="1042"/>
    </row>
    <row r="73" spans="1:11" s="1043" customFormat="1">
      <c r="A73" s="1040" t="s">
        <v>716</v>
      </c>
      <c r="B73" s="1040" t="s">
        <v>546</v>
      </c>
      <c r="C73" s="1041"/>
      <c r="D73" s="1041"/>
      <c r="E73" s="1042"/>
      <c r="F73" s="1038">
        <v>73</v>
      </c>
      <c r="G73" s="1050" t="s">
        <v>1140</v>
      </c>
      <c r="H73" s="438">
        <v>62</v>
      </c>
      <c r="I73" s="1042"/>
      <c r="J73" s="1042"/>
      <c r="K73" s="1042"/>
    </row>
    <row r="74" spans="1:11" s="1043" customFormat="1">
      <c r="A74" s="1040" t="s">
        <v>717</v>
      </c>
      <c r="B74" s="1040" t="s">
        <v>618</v>
      </c>
      <c r="C74" s="1041" t="s">
        <v>962</v>
      </c>
      <c r="D74" s="1041"/>
      <c r="E74" s="1042"/>
      <c r="F74" s="1038">
        <v>75</v>
      </c>
      <c r="G74" s="1050" t="s">
        <v>986</v>
      </c>
      <c r="H74" s="438">
        <v>0</v>
      </c>
      <c r="I74" s="1042"/>
      <c r="J74" s="1042"/>
      <c r="K74" s="1042"/>
    </row>
    <row r="75" spans="1:11" s="1043" customFormat="1">
      <c r="A75" s="1040" t="s">
        <v>1305</v>
      </c>
      <c r="B75" s="1040" t="s">
        <v>618</v>
      </c>
      <c r="D75" s="1041"/>
      <c r="E75" s="1042"/>
      <c r="F75" s="1038">
        <v>76</v>
      </c>
      <c r="G75" s="1050" t="s">
        <v>1029</v>
      </c>
      <c r="H75" s="438">
        <v>125</v>
      </c>
      <c r="I75" s="1042"/>
      <c r="J75" s="1042"/>
      <c r="K75" s="1042"/>
    </row>
    <row r="76" spans="1:11" s="1043" customFormat="1">
      <c r="A76" s="1044" t="s">
        <v>1026</v>
      </c>
      <c r="B76" s="1044" t="s">
        <v>412</v>
      </c>
      <c r="C76" s="1041"/>
      <c r="D76" s="1041"/>
      <c r="E76" s="1042"/>
      <c r="F76" s="1038">
        <v>76.5</v>
      </c>
      <c r="G76" s="1040" t="s">
        <v>2149</v>
      </c>
      <c r="H76" s="438">
        <v>86</v>
      </c>
      <c r="I76" s="1042"/>
      <c r="J76" s="1042"/>
      <c r="K76" s="1042"/>
    </row>
    <row r="77" spans="1:11" s="1043" customFormat="1">
      <c r="A77" s="1040" t="s">
        <v>1328</v>
      </c>
      <c r="B77" s="1040" t="s">
        <v>618</v>
      </c>
      <c r="C77" s="1041"/>
      <c r="D77" s="1041"/>
      <c r="E77" s="1042"/>
      <c r="F77" s="1038">
        <v>77</v>
      </c>
      <c r="G77" s="1050" t="s">
        <v>1199</v>
      </c>
      <c r="H77" s="438">
        <v>126</v>
      </c>
      <c r="I77" s="1042"/>
      <c r="J77" s="1042"/>
      <c r="K77" s="1042"/>
    </row>
    <row r="78" spans="1:11" s="1043" customFormat="1">
      <c r="A78" s="1040" t="s">
        <v>1196</v>
      </c>
      <c r="B78" s="1040" t="s">
        <v>547</v>
      </c>
      <c r="C78" s="1041"/>
      <c r="D78" s="1041"/>
      <c r="E78" s="1042"/>
      <c r="F78" s="1038">
        <v>78</v>
      </c>
      <c r="G78" s="1040" t="s">
        <v>1130</v>
      </c>
      <c r="H78" s="438">
        <v>35</v>
      </c>
      <c r="I78" s="1042"/>
      <c r="J78" s="1042"/>
      <c r="K78" s="1042"/>
    </row>
    <row r="79" spans="1:11" s="1043" customFormat="1">
      <c r="A79" s="672" t="s">
        <v>1027</v>
      </c>
      <c r="B79" s="1040" t="s">
        <v>618</v>
      </c>
      <c r="C79" s="1041"/>
      <c r="D79" s="1041"/>
      <c r="E79" s="1042"/>
      <c r="F79" s="1038">
        <v>79</v>
      </c>
      <c r="G79" s="1050" t="s">
        <v>679</v>
      </c>
      <c r="H79" s="438">
        <v>100</v>
      </c>
      <c r="I79" s="1042"/>
      <c r="J79" s="1042"/>
      <c r="K79" s="1042"/>
    </row>
    <row r="80" spans="1:11" s="1043" customFormat="1">
      <c r="A80" s="1040" t="s">
        <v>1329</v>
      </c>
      <c r="B80" s="1040" t="s">
        <v>546</v>
      </c>
      <c r="C80" s="1041"/>
      <c r="D80" s="1041"/>
      <c r="E80" s="1042"/>
      <c r="F80" s="1038">
        <v>80</v>
      </c>
      <c r="G80" s="1050" t="s">
        <v>1624</v>
      </c>
      <c r="H80" s="438">
        <v>135</v>
      </c>
      <c r="I80" s="1042"/>
      <c r="J80" s="1042"/>
      <c r="K80" s="1042"/>
    </row>
    <row r="81" spans="1:11" s="1043" customFormat="1">
      <c r="A81" s="1050" t="s">
        <v>1313</v>
      </c>
      <c r="B81" s="1040" t="s">
        <v>618</v>
      </c>
      <c r="C81" s="1041"/>
      <c r="D81" s="1041"/>
      <c r="E81" s="1042"/>
      <c r="F81" s="1038">
        <v>81</v>
      </c>
      <c r="G81" s="1050" t="s">
        <v>1135</v>
      </c>
      <c r="H81" s="438">
        <v>275</v>
      </c>
      <c r="I81" s="1042"/>
      <c r="J81" s="1042"/>
      <c r="K81" s="1042"/>
    </row>
    <row r="82" spans="1:11" s="1043" customFormat="1">
      <c r="A82" s="1040" t="s">
        <v>1623</v>
      </c>
      <c r="B82" s="1040" t="s">
        <v>618</v>
      </c>
      <c r="C82" s="1041"/>
      <c r="D82" s="1041"/>
      <c r="E82" s="1042"/>
      <c r="F82" s="1038">
        <v>82</v>
      </c>
      <c r="G82" s="1640" t="s">
        <v>1625</v>
      </c>
      <c r="H82" s="438">
        <v>270</v>
      </c>
      <c r="I82" s="1042"/>
      <c r="J82" s="1042"/>
      <c r="K82" s="1042"/>
    </row>
    <row r="83" spans="1:11" s="1043" customFormat="1">
      <c r="A83" s="1050" t="s">
        <v>1198</v>
      </c>
      <c r="B83" s="1040" t="s">
        <v>547</v>
      </c>
      <c r="C83" s="1041"/>
      <c r="D83" s="1041"/>
      <c r="E83" s="1042"/>
      <c r="F83" s="1038">
        <v>83</v>
      </c>
      <c r="G83" s="1050" t="s">
        <v>1008</v>
      </c>
      <c r="H83" s="438">
        <v>120</v>
      </c>
      <c r="I83" s="1042"/>
      <c r="J83" s="1042"/>
      <c r="K83" s="1042"/>
    </row>
    <row r="84" spans="1:11" s="1043" customFormat="1">
      <c r="A84" s="1050" t="s">
        <v>1197</v>
      </c>
      <c r="B84" s="1040" t="s">
        <v>412</v>
      </c>
      <c r="C84" s="1041"/>
      <c r="D84" s="1041"/>
      <c r="E84" s="1042"/>
      <c r="F84" s="1038">
        <v>84</v>
      </c>
      <c r="G84" s="1050" t="s">
        <v>1315</v>
      </c>
      <c r="H84" s="438">
        <v>80</v>
      </c>
      <c r="I84" s="1042"/>
      <c r="J84" s="1042"/>
      <c r="K84" s="1042"/>
    </row>
    <row r="85" spans="1:11" s="1043" customFormat="1">
      <c r="A85" s="1040" t="s">
        <v>724</v>
      </c>
      <c r="B85" s="1040" t="s">
        <v>412</v>
      </c>
      <c r="C85" s="1041" t="s">
        <v>962</v>
      </c>
      <c r="D85" s="1041"/>
      <c r="E85" s="1042"/>
      <c r="F85" s="1038">
        <v>85</v>
      </c>
      <c r="G85" s="1050" t="s">
        <v>1324</v>
      </c>
      <c r="H85" s="438">
        <v>0</v>
      </c>
      <c r="I85" s="1042"/>
      <c r="J85" s="1042"/>
      <c r="K85" s="1042"/>
    </row>
    <row r="86" spans="1:11" s="1043" customFormat="1">
      <c r="A86" s="1040" t="s">
        <v>1129</v>
      </c>
      <c r="B86" s="1040" t="s">
        <v>546</v>
      </c>
      <c r="C86" s="1041"/>
      <c r="D86" s="1041"/>
      <c r="E86" s="1042"/>
      <c r="F86" s="1038">
        <v>86</v>
      </c>
      <c r="G86" s="1640" t="s">
        <v>1849</v>
      </c>
      <c r="H86" s="1409">
        <v>220</v>
      </c>
      <c r="I86" s="1042"/>
      <c r="J86" s="1042"/>
      <c r="K86" s="1042"/>
    </row>
    <row r="87" spans="1:11" s="1043" customFormat="1">
      <c r="A87" s="1040" t="s">
        <v>1140</v>
      </c>
      <c r="B87" s="1040" t="s">
        <v>264</v>
      </c>
      <c r="C87" s="1041"/>
      <c r="D87" s="1041"/>
      <c r="E87" s="1042"/>
      <c r="F87" s="1038">
        <v>87</v>
      </c>
      <c r="G87" s="1050" t="s">
        <v>1000</v>
      </c>
      <c r="H87" s="438">
        <v>0</v>
      </c>
      <c r="I87" s="1042"/>
      <c r="J87" s="1042"/>
      <c r="K87" s="1042"/>
    </row>
    <row r="88" spans="1:11" s="1043" customFormat="1">
      <c r="A88" s="1044" t="s">
        <v>1140</v>
      </c>
      <c r="B88" s="1044" t="s">
        <v>412</v>
      </c>
      <c r="C88" s="1041"/>
      <c r="D88" s="1041"/>
      <c r="E88" s="1042"/>
      <c r="F88" s="1038">
        <v>88</v>
      </c>
      <c r="G88" s="1040" t="s">
        <v>634</v>
      </c>
      <c r="H88" s="438">
        <v>88</v>
      </c>
      <c r="I88" s="1042"/>
      <c r="J88" s="1042"/>
      <c r="K88" s="1042"/>
    </row>
    <row r="89" spans="1:11" s="1043" customFormat="1">
      <c r="A89" s="1040" t="s">
        <v>986</v>
      </c>
      <c r="B89" s="1040" t="s">
        <v>412</v>
      </c>
      <c r="C89" s="1041"/>
      <c r="D89" s="1041"/>
      <c r="E89" s="1042"/>
      <c r="F89" s="1038">
        <v>89</v>
      </c>
      <c r="G89" s="1050" t="s">
        <v>1161</v>
      </c>
      <c r="H89" s="438">
        <v>180</v>
      </c>
      <c r="I89" s="1042"/>
      <c r="J89" s="1042"/>
      <c r="K89" s="1042"/>
    </row>
    <row r="90" spans="1:11" s="1043" customFormat="1">
      <c r="A90" s="1040" t="s">
        <v>1029</v>
      </c>
      <c r="B90" s="1040" t="s">
        <v>264</v>
      </c>
      <c r="C90" s="1041"/>
      <c r="D90" s="1041"/>
      <c r="E90" s="1042"/>
      <c r="F90" s="1038">
        <v>90</v>
      </c>
      <c r="G90" s="1050" t="s">
        <v>1200</v>
      </c>
      <c r="H90" s="438">
        <v>120</v>
      </c>
      <c r="I90" s="1042"/>
      <c r="J90" s="1042"/>
      <c r="K90" s="1042"/>
    </row>
    <row r="91" spans="1:11" s="1043" customFormat="1">
      <c r="A91" s="1040" t="s">
        <v>2149</v>
      </c>
      <c r="B91" s="1040" t="s">
        <v>618</v>
      </c>
      <c r="C91" s="1041"/>
      <c r="D91" s="1041"/>
      <c r="E91" s="1042"/>
      <c r="F91" s="1038">
        <v>91</v>
      </c>
      <c r="G91" s="1040" t="s">
        <v>1626</v>
      </c>
      <c r="H91" s="438">
        <v>110</v>
      </c>
      <c r="I91" s="1042"/>
      <c r="J91" s="1042"/>
      <c r="K91" s="1042"/>
    </row>
    <row r="92" spans="1:11" s="1043" customFormat="1">
      <c r="A92" s="1050" t="s">
        <v>1199</v>
      </c>
      <c r="B92" s="1040" t="s">
        <v>264</v>
      </c>
      <c r="C92" s="1041"/>
      <c r="D92" s="1041"/>
      <c r="E92" s="1042"/>
      <c r="F92" s="1038">
        <v>92</v>
      </c>
      <c r="G92" s="1050" t="s">
        <v>1307</v>
      </c>
      <c r="H92" s="438">
        <v>92</v>
      </c>
      <c r="I92" s="1042"/>
      <c r="J92" s="1042"/>
      <c r="K92" s="1042"/>
    </row>
    <row r="93" spans="1:11" s="1043" customFormat="1">
      <c r="A93" s="1040" t="s">
        <v>1634</v>
      </c>
      <c r="B93" s="1040" t="s">
        <v>546</v>
      </c>
      <c r="C93" s="1041"/>
      <c r="D93" s="1041"/>
      <c r="E93" s="1042"/>
      <c r="F93" s="1038">
        <v>93</v>
      </c>
      <c r="G93" s="1050" t="s">
        <v>1010</v>
      </c>
      <c r="H93" s="438">
        <v>131</v>
      </c>
      <c r="I93" s="1042"/>
      <c r="J93" s="1042"/>
      <c r="K93" s="1042"/>
    </row>
    <row r="94" spans="1:11" s="1043" customFormat="1">
      <c r="A94" s="1050" t="s">
        <v>679</v>
      </c>
      <c r="B94" s="1040" t="s">
        <v>618</v>
      </c>
      <c r="C94" s="1041"/>
      <c r="D94" s="1041"/>
      <c r="E94" s="1042"/>
      <c r="F94" s="1038">
        <v>94</v>
      </c>
      <c r="G94" s="1050" t="s">
        <v>680</v>
      </c>
      <c r="H94" s="438">
        <v>105</v>
      </c>
      <c r="I94" s="1042"/>
      <c r="J94" s="1042"/>
      <c r="K94" s="1042"/>
    </row>
    <row r="95" spans="1:11" s="1043" customFormat="1">
      <c r="A95" s="1040" t="s">
        <v>1624</v>
      </c>
      <c r="B95" s="1040" t="s">
        <v>546</v>
      </c>
      <c r="C95" s="1041"/>
      <c r="E95" s="1042"/>
      <c r="F95" s="1038">
        <v>95</v>
      </c>
      <c r="G95" s="1050" t="s">
        <v>1201</v>
      </c>
      <c r="H95" s="438">
        <v>186</v>
      </c>
      <c r="I95" s="1042"/>
      <c r="J95" s="1042"/>
      <c r="K95" s="1042"/>
    </row>
    <row r="96" spans="1:11" s="1043" customFormat="1">
      <c r="A96" s="1040" t="s">
        <v>640</v>
      </c>
      <c r="B96" s="1040" t="s">
        <v>546</v>
      </c>
      <c r="C96" s="1041"/>
      <c r="F96" s="1038">
        <v>96</v>
      </c>
      <c r="G96" s="1050" t="s">
        <v>1627</v>
      </c>
      <c r="H96" s="438">
        <v>95</v>
      </c>
      <c r="I96" s="1042"/>
    </row>
    <row r="97" spans="1:11" s="1043" customFormat="1">
      <c r="A97" s="1040" t="s">
        <v>1135</v>
      </c>
      <c r="B97" s="1040" t="s">
        <v>618</v>
      </c>
      <c r="C97" s="1041"/>
      <c r="D97" s="1041"/>
      <c r="E97" s="1042"/>
      <c r="F97" s="1038">
        <v>97</v>
      </c>
      <c r="G97" s="1050" t="s">
        <v>1308</v>
      </c>
      <c r="H97" s="438">
        <v>250</v>
      </c>
      <c r="I97" s="1042"/>
      <c r="J97" s="1042"/>
      <c r="K97" s="1042"/>
    </row>
    <row r="98" spans="1:11" s="1043" customFormat="1">
      <c r="A98" s="1040" t="s">
        <v>1625</v>
      </c>
      <c r="B98" s="1040" t="s">
        <v>546</v>
      </c>
      <c r="C98" s="1041"/>
      <c r="D98" s="1041"/>
      <c r="E98" s="1042"/>
      <c r="F98" s="1038">
        <v>98</v>
      </c>
      <c r="G98" s="1050" t="s">
        <v>696</v>
      </c>
      <c r="H98" s="438">
        <v>375</v>
      </c>
      <c r="J98" s="1042"/>
      <c r="K98" s="1042"/>
    </row>
    <row r="99" spans="1:11" s="1043" customFormat="1">
      <c r="A99" s="1040" t="s">
        <v>1008</v>
      </c>
      <c r="B99" s="1040" t="s">
        <v>258</v>
      </c>
      <c r="D99" s="1041"/>
      <c r="E99" s="1042"/>
      <c r="F99" s="1038">
        <v>99</v>
      </c>
      <c r="G99" s="672" t="s">
        <v>1015</v>
      </c>
      <c r="H99" s="438">
        <v>323</v>
      </c>
      <c r="I99" s="1042"/>
      <c r="J99" s="1042"/>
      <c r="K99" s="1042"/>
    </row>
    <row r="100" spans="1:11" s="1043" customFormat="1">
      <c r="A100" s="1044" t="s">
        <v>718</v>
      </c>
      <c r="B100" s="1044" t="s">
        <v>412</v>
      </c>
      <c r="C100" s="1041"/>
      <c r="D100" s="1041"/>
      <c r="E100" s="1042"/>
      <c r="F100" s="1038">
        <v>99.5</v>
      </c>
      <c r="G100" s="1935" t="s">
        <v>2152</v>
      </c>
      <c r="H100" s="438">
        <v>110</v>
      </c>
      <c r="I100" s="1042"/>
      <c r="J100" s="1042"/>
      <c r="K100" s="1042"/>
    </row>
    <row r="101" spans="1:11" s="1043" customFormat="1">
      <c r="A101" s="672" t="s">
        <v>1031</v>
      </c>
      <c r="B101" s="1040" t="s">
        <v>618</v>
      </c>
      <c r="C101" s="1041"/>
      <c r="D101" s="1041"/>
      <c r="E101" s="1042"/>
      <c r="F101" s="1038">
        <v>100</v>
      </c>
      <c r="G101" s="1421" t="s">
        <v>1410</v>
      </c>
      <c r="H101" s="438">
        <v>250</v>
      </c>
      <c r="I101" s="1042"/>
      <c r="J101" s="1042"/>
      <c r="K101" s="1042"/>
    </row>
    <row r="102" spans="1:11" s="1043" customFormat="1">
      <c r="A102" s="1040" t="s">
        <v>729</v>
      </c>
      <c r="B102" s="1040" t="s">
        <v>264</v>
      </c>
      <c r="C102" s="1041"/>
      <c r="D102" s="1041"/>
      <c r="E102" s="1042"/>
      <c r="F102" s="1038">
        <v>102</v>
      </c>
      <c r="G102" s="1040" t="s">
        <v>1628</v>
      </c>
      <c r="H102" s="438">
        <v>124</v>
      </c>
      <c r="I102" s="1042"/>
      <c r="J102" s="1042"/>
      <c r="K102" s="1042"/>
    </row>
    <row r="103" spans="1:11" s="1043" customFormat="1">
      <c r="A103" s="1050" t="s">
        <v>1315</v>
      </c>
      <c r="B103" s="1040" t="s">
        <v>547</v>
      </c>
      <c r="C103" s="1041"/>
      <c r="D103" s="1041"/>
      <c r="E103" s="1042"/>
      <c r="F103" s="1038">
        <v>103</v>
      </c>
      <c r="G103" s="1050" t="s">
        <v>1309</v>
      </c>
      <c r="H103" s="438">
        <v>220</v>
      </c>
      <c r="I103" s="1042"/>
      <c r="J103" s="1042"/>
      <c r="K103" s="1042"/>
    </row>
    <row r="104" spans="1:11" s="1043" customFormat="1">
      <c r="A104" s="1050" t="s">
        <v>1848</v>
      </c>
      <c r="B104" s="1040" t="s">
        <v>412</v>
      </c>
      <c r="C104" s="1041"/>
      <c r="D104" s="1041"/>
      <c r="E104" s="1042"/>
      <c r="F104" s="1038">
        <v>104</v>
      </c>
      <c r="G104" s="1050" t="s">
        <v>1322</v>
      </c>
      <c r="H104" s="438">
        <v>97</v>
      </c>
      <c r="I104" s="1042"/>
      <c r="J104" s="1042"/>
      <c r="K104" s="1042"/>
    </row>
    <row r="105" spans="1:11" s="1043" customFormat="1">
      <c r="A105" s="1640" t="s">
        <v>1849</v>
      </c>
      <c r="B105" s="1040" t="s">
        <v>618</v>
      </c>
      <c r="C105" s="1041"/>
      <c r="D105" s="1041"/>
      <c r="E105" s="1042"/>
      <c r="F105" s="1038">
        <v>105</v>
      </c>
      <c r="G105" s="1050" t="s">
        <v>961</v>
      </c>
      <c r="H105" s="438">
        <v>90</v>
      </c>
      <c r="I105" s="1042"/>
      <c r="J105" s="1042"/>
      <c r="K105" s="1042"/>
    </row>
    <row r="106" spans="1:11" s="1043" customFormat="1">
      <c r="A106" s="1040" t="s">
        <v>1629</v>
      </c>
      <c r="B106" s="1040" t="s">
        <v>412</v>
      </c>
      <c r="C106" s="1041"/>
      <c r="D106" s="1041"/>
      <c r="E106" s="1042"/>
      <c r="F106" s="1038">
        <v>106</v>
      </c>
      <c r="G106" s="1640" t="s">
        <v>1852</v>
      </c>
      <c r="H106" s="1043">
        <v>0</v>
      </c>
      <c r="I106" s="1042"/>
      <c r="J106" s="1042"/>
      <c r="K106" s="1042"/>
    </row>
    <row r="107" spans="1:11" s="1043" customFormat="1">
      <c r="A107" s="1050" t="s">
        <v>1000</v>
      </c>
      <c r="B107" s="1040" t="s">
        <v>412</v>
      </c>
      <c r="C107" s="1041"/>
      <c r="D107" s="1041"/>
      <c r="E107" s="1042"/>
      <c r="F107" s="1038">
        <v>107</v>
      </c>
      <c r="G107" s="1050" t="s">
        <v>553</v>
      </c>
      <c r="H107" s="438">
        <v>200</v>
      </c>
      <c r="I107" s="1042"/>
      <c r="J107" s="1042"/>
      <c r="K107" s="1042"/>
    </row>
    <row r="108" spans="1:11" s="1043" customFormat="1">
      <c r="A108" s="1050" t="s">
        <v>634</v>
      </c>
      <c r="B108" s="1040" t="s">
        <v>618</v>
      </c>
      <c r="C108" s="1041"/>
      <c r="D108" s="1041"/>
      <c r="E108" s="1042"/>
      <c r="F108" s="1038">
        <v>108</v>
      </c>
      <c r="G108" s="1050" t="s">
        <v>262</v>
      </c>
      <c r="H108" s="438">
        <v>105</v>
      </c>
      <c r="I108" s="1042"/>
      <c r="J108" s="1042"/>
      <c r="K108" s="1042"/>
    </row>
    <row r="109" spans="1:11" s="1043" customFormat="1">
      <c r="A109" s="1050" t="s">
        <v>1161</v>
      </c>
      <c r="B109" s="1040" t="s">
        <v>546</v>
      </c>
      <c r="C109" s="1041"/>
      <c r="D109" s="1041"/>
      <c r="E109" s="1042"/>
      <c r="F109" s="1038">
        <v>109</v>
      </c>
      <c r="G109" s="1050" t="s">
        <v>929</v>
      </c>
      <c r="H109" s="438">
        <v>330</v>
      </c>
      <c r="I109" s="1042"/>
      <c r="J109" s="1042"/>
      <c r="K109" s="1042"/>
    </row>
    <row r="110" spans="1:11" s="1043" customFormat="1">
      <c r="A110" s="1050" t="s">
        <v>1200</v>
      </c>
      <c r="B110" s="1040" t="s">
        <v>264</v>
      </c>
      <c r="C110" s="1041"/>
      <c r="D110" s="1041"/>
      <c r="E110" s="1042"/>
      <c r="F110" s="1038">
        <v>110</v>
      </c>
      <c r="G110" s="1050" t="s">
        <v>1137</v>
      </c>
      <c r="H110" s="438">
        <v>134</v>
      </c>
      <c r="I110" s="1042"/>
      <c r="J110" s="1042"/>
      <c r="K110" s="1042"/>
    </row>
    <row r="111" spans="1:11" s="1043" customFormat="1">
      <c r="A111" s="1040" t="s">
        <v>1626</v>
      </c>
      <c r="B111" s="1040" t="s">
        <v>618</v>
      </c>
      <c r="C111" s="1041"/>
      <c r="D111" s="1041"/>
      <c r="E111" s="1042"/>
      <c r="F111" s="1038">
        <v>111</v>
      </c>
      <c r="G111" s="1050" t="s">
        <v>1146</v>
      </c>
      <c r="H111" s="438">
        <v>0</v>
      </c>
      <c r="I111" s="1042"/>
      <c r="J111" s="1042"/>
      <c r="K111" s="1042"/>
    </row>
    <row r="112" spans="1:11" s="1043" customFormat="1">
      <c r="A112" s="1935" t="s">
        <v>2150</v>
      </c>
      <c r="B112" s="1040" t="s">
        <v>618</v>
      </c>
      <c r="C112" s="1041"/>
      <c r="D112" s="1041"/>
      <c r="E112" s="1042"/>
      <c r="F112" s="1038">
        <v>112</v>
      </c>
      <c r="G112" s="1640" t="s">
        <v>1331</v>
      </c>
      <c r="H112" s="438">
        <v>290</v>
      </c>
      <c r="I112" s="1042"/>
      <c r="J112" s="1042"/>
      <c r="K112" s="1042"/>
    </row>
    <row r="113" spans="1:11" s="1043" customFormat="1">
      <c r="A113" s="1040" t="s">
        <v>1307</v>
      </c>
      <c r="B113" s="1040" t="s">
        <v>618</v>
      </c>
      <c r="D113" s="1041"/>
      <c r="E113" s="1042"/>
      <c r="F113" s="1038">
        <v>113</v>
      </c>
      <c r="G113" s="1050" t="s">
        <v>1012</v>
      </c>
      <c r="H113" s="438">
        <v>120</v>
      </c>
      <c r="I113" s="1042"/>
      <c r="J113" s="1042"/>
      <c r="K113" s="1042"/>
    </row>
    <row r="114" spans="1:11" s="1043" customFormat="1">
      <c r="A114" s="1040" t="s">
        <v>643</v>
      </c>
      <c r="B114" s="1040" t="s">
        <v>412</v>
      </c>
      <c r="C114" s="1041"/>
      <c r="D114" s="1041"/>
      <c r="E114" s="1042"/>
      <c r="F114" s="1038">
        <v>114</v>
      </c>
      <c r="G114" s="1050" t="s">
        <v>265</v>
      </c>
      <c r="H114" s="438">
        <v>62</v>
      </c>
      <c r="I114" s="1042"/>
      <c r="J114" s="1042"/>
      <c r="K114" s="1042"/>
    </row>
    <row r="115" spans="1:11" s="1043" customFormat="1">
      <c r="A115" s="1040" t="s">
        <v>1010</v>
      </c>
      <c r="B115" s="1040" t="s">
        <v>547</v>
      </c>
      <c r="C115" s="1042"/>
      <c r="D115" s="1041"/>
      <c r="E115" s="1042"/>
      <c r="F115" s="1038">
        <v>115</v>
      </c>
      <c r="G115" s="1050" t="s">
        <v>1310</v>
      </c>
      <c r="H115" s="438">
        <v>114</v>
      </c>
      <c r="I115" s="1042"/>
      <c r="J115" s="1042"/>
      <c r="K115" s="1042"/>
    </row>
    <row r="116" spans="1:11" s="1043" customFormat="1">
      <c r="A116" s="1040" t="s">
        <v>728</v>
      </c>
      <c r="B116" s="1040" t="s">
        <v>264</v>
      </c>
      <c r="C116" s="1041"/>
      <c r="D116" s="1041"/>
      <c r="E116" s="1042"/>
      <c r="F116" s="1038">
        <v>116</v>
      </c>
      <c r="G116" s="1040" t="s">
        <v>1002</v>
      </c>
      <c r="H116" s="438">
        <v>0</v>
      </c>
      <c r="I116" s="1042"/>
      <c r="J116" s="1042"/>
      <c r="K116" s="1042"/>
    </row>
    <row r="117" spans="1:11" s="1043" customFormat="1">
      <c r="A117" s="1050" t="s">
        <v>680</v>
      </c>
      <c r="B117" s="1040" t="s">
        <v>547</v>
      </c>
      <c r="C117" s="1041"/>
      <c r="D117" s="1041"/>
      <c r="E117" s="1042"/>
      <c r="F117" s="1038">
        <v>118</v>
      </c>
      <c r="G117" s="1640" t="s">
        <v>1335</v>
      </c>
      <c r="H117" s="438">
        <v>0</v>
      </c>
      <c r="I117" s="1042"/>
      <c r="J117" s="1042"/>
      <c r="K117" s="1042"/>
    </row>
    <row r="118" spans="1:11" s="1043" customFormat="1">
      <c r="A118" s="1050" t="s">
        <v>1201</v>
      </c>
      <c r="B118" s="1040" t="s">
        <v>546</v>
      </c>
      <c r="C118" s="1041"/>
      <c r="D118" s="1041"/>
      <c r="E118" s="1042"/>
      <c r="F118" s="1038">
        <v>119</v>
      </c>
      <c r="G118" s="1050" t="s">
        <v>641</v>
      </c>
      <c r="H118" s="438">
        <v>286</v>
      </c>
      <c r="I118" s="1042"/>
      <c r="J118" s="1042"/>
      <c r="K118" s="1042"/>
    </row>
    <row r="119" spans="1:11" s="1043" customFormat="1">
      <c r="A119" s="1040" t="s">
        <v>1627</v>
      </c>
      <c r="B119" s="1040" t="s">
        <v>618</v>
      </c>
      <c r="C119" s="1041" t="s">
        <v>1417</v>
      </c>
      <c r="E119" s="1042"/>
      <c r="F119" s="1038">
        <v>121</v>
      </c>
      <c r="G119" s="1640" t="s">
        <v>1832</v>
      </c>
      <c r="H119" s="438">
        <v>232</v>
      </c>
      <c r="I119" s="1042"/>
      <c r="J119" s="1042"/>
      <c r="K119" s="1042"/>
    </row>
    <row r="120" spans="1:11" s="1043" customFormat="1">
      <c r="A120" s="1050" t="s">
        <v>1308</v>
      </c>
      <c r="B120" s="1040" t="s">
        <v>618</v>
      </c>
      <c r="C120" s="1041"/>
      <c r="D120" s="1041"/>
      <c r="E120" s="1042"/>
      <c r="F120" s="1038">
        <v>122</v>
      </c>
      <c r="G120" s="1040" t="s">
        <v>1416</v>
      </c>
      <c r="H120" s="438">
        <v>244</v>
      </c>
      <c r="I120" s="1042"/>
      <c r="J120" s="1042"/>
      <c r="K120" s="1042"/>
    </row>
    <row r="121" spans="1:11" s="1043" customFormat="1">
      <c r="A121" s="1040" t="s">
        <v>696</v>
      </c>
      <c r="B121" s="1040" t="s">
        <v>547</v>
      </c>
      <c r="C121" s="1041" t="s">
        <v>962</v>
      </c>
      <c r="D121" s="1041"/>
      <c r="E121" s="1042"/>
      <c r="F121" s="1038">
        <v>123</v>
      </c>
      <c r="G121" s="1040" t="s">
        <v>1733</v>
      </c>
      <c r="H121" s="438">
        <v>0</v>
      </c>
      <c r="I121" s="1042"/>
      <c r="J121" s="1042"/>
      <c r="K121" s="1042"/>
    </row>
    <row r="122" spans="1:11" s="1043" customFormat="1">
      <c r="A122" s="672" t="s">
        <v>1015</v>
      </c>
      <c r="B122" s="1040" t="s">
        <v>547</v>
      </c>
      <c r="C122" s="1041"/>
      <c r="D122" s="1041"/>
      <c r="E122" s="1042"/>
      <c r="F122" s="1038">
        <v>124</v>
      </c>
      <c r="G122" s="1050" t="s">
        <v>707</v>
      </c>
      <c r="H122" s="438">
        <v>143</v>
      </c>
      <c r="I122" s="1042"/>
      <c r="J122" s="1042"/>
      <c r="K122" s="1042"/>
    </row>
    <row r="123" spans="1:11" s="1043" customFormat="1">
      <c r="A123" s="1935" t="s">
        <v>2152</v>
      </c>
      <c r="B123" s="1040" t="s">
        <v>547</v>
      </c>
      <c r="C123" s="1041"/>
      <c r="D123" s="1041"/>
      <c r="E123" s="1042"/>
      <c r="F123" s="1038">
        <v>125</v>
      </c>
      <c r="G123" s="1640" t="s">
        <v>1402</v>
      </c>
      <c r="H123" s="438">
        <v>185</v>
      </c>
      <c r="I123" s="1042"/>
      <c r="J123" s="1042"/>
      <c r="K123" s="1042"/>
    </row>
    <row r="124" spans="1:11" s="1043" customFormat="1">
      <c r="A124" s="1417" t="s">
        <v>1410</v>
      </c>
      <c r="B124" s="1040" t="s">
        <v>618</v>
      </c>
      <c r="D124" s="1041"/>
      <c r="E124" s="1042"/>
      <c r="F124" s="1038">
        <v>126</v>
      </c>
      <c r="G124" s="1050" t="s">
        <v>620</v>
      </c>
      <c r="H124" s="438">
        <v>252</v>
      </c>
      <c r="I124" s="1042"/>
      <c r="J124" s="1042"/>
      <c r="K124" s="1042"/>
    </row>
    <row r="125" spans="1:11" s="1043" customFormat="1">
      <c r="A125" s="1040" t="s">
        <v>1628</v>
      </c>
      <c r="B125" s="1040" t="s">
        <v>258</v>
      </c>
      <c r="C125" s="1041"/>
      <c r="D125" s="1041"/>
      <c r="E125" s="1042"/>
      <c r="F125" s="1038">
        <v>127</v>
      </c>
      <c r="G125" s="1050" t="s">
        <v>920</v>
      </c>
      <c r="H125" s="438">
        <v>157.1</v>
      </c>
      <c r="I125" s="1042"/>
      <c r="J125" s="1042"/>
      <c r="K125" s="1042"/>
    </row>
    <row r="126" spans="1:11" s="1043" customFormat="1">
      <c r="A126" s="1044" t="s">
        <v>1628</v>
      </c>
      <c r="B126" s="1044" t="s">
        <v>412</v>
      </c>
      <c r="C126" s="1041"/>
      <c r="D126" s="1041"/>
      <c r="E126" s="1042"/>
      <c r="F126" s="1038">
        <v>128</v>
      </c>
      <c r="G126" s="1050" t="s">
        <v>721</v>
      </c>
      <c r="H126" s="438">
        <v>100</v>
      </c>
      <c r="I126" s="1042"/>
      <c r="J126" s="1042"/>
      <c r="K126" s="1042"/>
    </row>
    <row r="127" spans="1:11" s="1043" customFormat="1">
      <c r="A127" s="1050" t="s">
        <v>1309</v>
      </c>
      <c r="B127" s="1040" t="s">
        <v>547</v>
      </c>
      <c r="C127" s="1041"/>
      <c r="D127" s="1041"/>
      <c r="E127" s="1042"/>
      <c r="F127" s="1038">
        <v>129</v>
      </c>
      <c r="G127" s="1050" t="s">
        <v>1080</v>
      </c>
      <c r="H127" s="438">
        <v>68</v>
      </c>
      <c r="I127" s="1042"/>
      <c r="J127" s="1042"/>
      <c r="K127" s="1042"/>
    </row>
    <row r="128" spans="1:11" s="1043" customFormat="1">
      <c r="A128" s="1050" t="s">
        <v>1322</v>
      </c>
      <c r="B128" s="1040" t="s">
        <v>264</v>
      </c>
      <c r="C128" s="1041"/>
      <c r="D128" s="1041"/>
      <c r="E128" s="1042"/>
      <c r="F128" s="1038">
        <v>130</v>
      </c>
      <c r="G128" s="1050" t="s">
        <v>708</v>
      </c>
      <c r="H128" s="438">
        <v>121</v>
      </c>
      <c r="I128" s="1042"/>
      <c r="J128" s="1042"/>
      <c r="K128" s="1042"/>
    </row>
    <row r="129" spans="1:11" s="1043" customFormat="1">
      <c r="A129" s="1040" t="s">
        <v>961</v>
      </c>
      <c r="B129" s="1040" t="s">
        <v>618</v>
      </c>
      <c r="C129" s="1041"/>
      <c r="D129" s="1041"/>
      <c r="E129" s="1042"/>
      <c r="F129" s="1038">
        <v>131</v>
      </c>
      <c r="G129" s="1050" t="s">
        <v>1630</v>
      </c>
      <c r="H129" s="438">
        <v>127</v>
      </c>
      <c r="I129" s="1042"/>
      <c r="J129" s="1042"/>
      <c r="K129" s="1042"/>
    </row>
    <row r="130" spans="1:11" s="1043" customFormat="1">
      <c r="A130" s="1640" t="s">
        <v>1852</v>
      </c>
      <c r="B130" s="1040" t="s">
        <v>412</v>
      </c>
      <c r="C130" s="1041"/>
      <c r="D130" s="1041"/>
      <c r="E130" s="1042"/>
      <c r="F130" s="1038">
        <v>132</v>
      </c>
      <c r="G130" s="1050" t="s">
        <v>1833</v>
      </c>
      <c r="H130" s="438">
        <v>77</v>
      </c>
      <c r="I130" s="1042"/>
      <c r="J130" s="1042"/>
      <c r="K130" s="1042"/>
    </row>
    <row r="131" spans="1:11" s="1043" customFormat="1">
      <c r="A131" s="1040" t="s">
        <v>553</v>
      </c>
      <c r="B131" s="1040" t="s">
        <v>618</v>
      </c>
      <c r="C131" s="1041"/>
      <c r="D131" s="1041"/>
      <c r="E131" s="1042"/>
      <c r="F131" s="1038">
        <v>133</v>
      </c>
      <c r="G131" s="1050" t="s">
        <v>1333</v>
      </c>
      <c r="H131" s="438">
        <v>0</v>
      </c>
      <c r="I131" s="1042"/>
      <c r="J131" s="1042"/>
      <c r="K131" s="1042"/>
    </row>
    <row r="132" spans="1:11" s="1043" customFormat="1">
      <c r="A132" s="1040" t="s">
        <v>262</v>
      </c>
      <c r="B132" s="1040" t="s">
        <v>546</v>
      </c>
      <c r="C132" s="1041"/>
      <c r="D132" s="1041"/>
      <c r="E132" s="1042"/>
      <c r="F132" s="1038">
        <v>134</v>
      </c>
      <c r="G132" s="1050" t="s">
        <v>1334</v>
      </c>
      <c r="H132" s="438">
        <v>115</v>
      </c>
      <c r="I132" s="1042"/>
      <c r="J132" s="1042"/>
      <c r="K132" s="1042"/>
    </row>
    <row r="133" spans="1:11" s="1043" customFormat="1">
      <c r="A133" s="1040" t="s">
        <v>929</v>
      </c>
      <c r="B133" s="1040" t="s">
        <v>547</v>
      </c>
      <c r="C133" s="1041"/>
      <c r="E133" s="1042"/>
      <c r="F133" s="1038">
        <v>135</v>
      </c>
      <c r="G133" s="1935" t="s">
        <v>722</v>
      </c>
      <c r="H133" s="438">
        <v>212</v>
      </c>
      <c r="I133" s="1042"/>
      <c r="J133" s="1042"/>
      <c r="K133" s="1042"/>
    </row>
    <row r="134" spans="1:11" s="1043" customFormat="1">
      <c r="A134" s="1040" t="s">
        <v>1137</v>
      </c>
      <c r="B134" s="1040" t="s">
        <v>264</v>
      </c>
      <c r="C134" s="1041"/>
      <c r="D134" s="1041"/>
      <c r="E134" s="1042"/>
      <c r="F134" s="1038">
        <v>136</v>
      </c>
      <c r="G134" s="1640" t="s">
        <v>697</v>
      </c>
      <c r="H134" s="438">
        <v>175</v>
      </c>
      <c r="I134" s="1042"/>
      <c r="J134" s="1042"/>
      <c r="K134" s="1042"/>
    </row>
    <row r="135" spans="1:11" s="1043" customFormat="1">
      <c r="A135" s="1040" t="s">
        <v>1146</v>
      </c>
      <c r="B135" s="1040" t="s">
        <v>546</v>
      </c>
      <c r="C135" s="1041"/>
      <c r="D135" s="1041"/>
      <c r="E135" s="1046"/>
      <c r="F135" s="1042"/>
      <c r="I135" s="1042"/>
      <c r="J135" s="1046"/>
      <c r="K135" s="1046"/>
    </row>
    <row r="136" spans="1:11" s="1043" customFormat="1">
      <c r="A136" s="1040" t="s">
        <v>1331</v>
      </c>
      <c r="B136" s="1040" t="s">
        <v>258</v>
      </c>
      <c r="C136" s="1041" t="s">
        <v>962</v>
      </c>
      <c r="D136" s="1041"/>
      <c r="E136" s="1042"/>
      <c r="F136" s="1042"/>
      <c r="I136" s="1046"/>
      <c r="J136" s="1042"/>
      <c r="K136" s="1042"/>
    </row>
    <row r="137" spans="1:11" s="1043" customFormat="1">
      <c r="A137" s="1040" t="s">
        <v>1012</v>
      </c>
      <c r="B137" s="1040" t="s">
        <v>258</v>
      </c>
      <c r="C137" s="1041"/>
      <c r="D137" s="1041"/>
      <c r="E137" s="1042"/>
      <c r="F137" s="1042"/>
      <c r="I137" s="1042"/>
      <c r="J137" s="1042"/>
      <c r="K137" s="1042"/>
    </row>
    <row r="138" spans="1:11" s="1043" customFormat="1">
      <c r="A138" s="1040" t="s">
        <v>265</v>
      </c>
      <c r="B138" s="1040" t="s">
        <v>264</v>
      </c>
      <c r="D138" s="1041"/>
      <c r="E138" s="1042"/>
      <c r="F138" s="1042"/>
      <c r="I138" s="1042"/>
      <c r="J138" s="1042"/>
      <c r="K138" s="1042"/>
    </row>
    <row r="139" spans="1:11" s="1043" customFormat="1">
      <c r="A139" s="1050" t="s">
        <v>1310</v>
      </c>
      <c r="B139" s="1040" t="s">
        <v>618</v>
      </c>
      <c r="C139" s="1041"/>
      <c r="D139" s="1041"/>
      <c r="E139" s="1042"/>
      <c r="F139" s="1042"/>
      <c r="I139" s="1042"/>
      <c r="J139" s="1042"/>
      <c r="K139" s="1042"/>
    </row>
    <row r="140" spans="1:11" s="1043" customFormat="1">
      <c r="A140" s="1044" t="s">
        <v>1002</v>
      </c>
      <c r="B140" s="1044" t="s">
        <v>412</v>
      </c>
      <c r="C140" s="1041"/>
      <c r="D140" s="1041"/>
      <c r="E140" s="1042"/>
      <c r="F140" s="1042"/>
      <c r="I140" s="1042"/>
      <c r="J140" s="1042"/>
      <c r="K140" s="1042"/>
    </row>
    <row r="141" spans="1:11" s="1043" customFormat="1">
      <c r="A141" s="1040" t="s">
        <v>1411</v>
      </c>
      <c r="B141" s="1040" t="s">
        <v>618</v>
      </c>
      <c r="C141" s="1041"/>
      <c r="D141" s="1041"/>
      <c r="E141" s="1042"/>
      <c r="F141" s="1042"/>
      <c r="I141" s="1042"/>
      <c r="J141" s="1042"/>
      <c r="K141" s="1042"/>
    </row>
    <row r="142" spans="1:11" s="1043" customFormat="1">
      <c r="A142" s="1050" t="s">
        <v>1335</v>
      </c>
      <c r="B142" s="1040" t="s">
        <v>412</v>
      </c>
      <c r="C142" s="1041"/>
      <c r="D142" s="1041"/>
      <c r="E142" s="1042"/>
      <c r="F142" s="1042"/>
      <c r="I142" s="1042"/>
      <c r="J142" s="1042"/>
      <c r="K142" s="1042"/>
    </row>
    <row r="143" spans="1:11" s="1043" customFormat="1">
      <c r="A143" s="1040" t="s">
        <v>711</v>
      </c>
      <c r="B143" s="1040" t="s">
        <v>546</v>
      </c>
      <c r="C143" s="1041"/>
      <c r="D143" s="1041"/>
      <c r="E143" s="1042"/>
      <c r="F143" s="1042"/>
      <c r="I143" s="1042"/>
      <c r="J143" s="1042"/>
      <c r="K143" s="1042"/>
    </row>
    <row r="144" spans="1:11">
      <c r="A144" s="1640" t="s">
        <v>1832</v>
      </c>
      <c r="B144" s="1040" t="s">
        <v>546</v>
      </c>
      <c r="C144" s="1041"/>
      <c r="D144" s="1041"/>
      <c r="E144" s="1042"/>
      <c r="F144" s="1042"/>
      <c r="H144" s="1043"/>
      <c r="I144" s="1042"/>
      <c r="J144" s="1042"/>
      <c r="K144" s="1042"/>
    </row>
    <row r="145" spans="1:93" s="1043" customFormat="1">
      <c r="A145" s="1040" t="s">
        <v>1416</v>
      </c>
      <c r="B145" s="1040" t="s">
        <v>547</v>
      </c>
      <c r="C145" s="1041"/>
      <c r="D145" s="1041"/>
      <c r="E145" s="1042"/>
      <c r="F145" s="1042"/>
      <c r="H145" s="1039"/>
      <c r="I145" s="1042"/>
      <c r="J145" s="1042"/>
      <c r="K145" s="1042"/>
    </row>
    <row r="146" spans="1:93" s="1043" customFormat="1">
      <c r="A146" s="1040" t="s">
        <v>1142</v>
      </c>
      <c r="B146" s="1040" t="s">
        <v>258</v>
      </c>
      <c r="C146" s="1041"/>
      <c r="D146" s="1041"/>
      <c r="E146" s="1042"/>
      <c r="F146" s="1042"/>
      <c r="I146" s="1042"/>
      <c r="J146" s="1042"/>
      <c r="K146" s="1042"/>
    </row>
    <row r="147" spans="1:93" s="1043" customFormat="1">
      <c r="A147" s="1050" t="s">
        <v>707</v>
      </c>
      <c r="B147" s="1040" t="s">
        <v>618</v>
      </c>
      <c r="C147" s="1041"/>
      <c r="D147" s="1041"/>
      <c r="E147" s="1042"/>
      <c r="F147" s="1042"/>
      <c r="I147" s="1042"/>
      <c r="J147" s="1042"/>
      <c r="K147" s="1042"/>
    </row>
    <row r="148" spans="1:93" s="1043" customFormat="1">
      <c r="A148" s="1040" t="s">
        <v>1402</v>
      </c>
      <c r="B148" s="1040" t="s">
        <v>258</v>
      </c>
      <c r="C148" s="1042"/>
      <c r="D148" s="1041"/>
      <c r="E148" s="1042"/>
      <c r="F148" s="1042"/>
      <c r="I148" s="1042"/>
      <c r="J148" s="1042"/>
      <c r="K148" s="1042"/>
    </row>
    <row r="149" spans="1:93" s="1043" customFormat="1">
      <c r="A149" s="1040" t="s">
        <v>620</v>
      </c>
      <c r="B149" s="1040" t="s">
        <v>618</v>
      </c>
      <c r="C149" s="1041"/>
      <c r="D149" s="1041"/>
      <c r="E149" s="1042"/>
      <c r="F149" s="1042"/>
      <c r="I149" s="1042"/>
      <c r="J149" s="1042"/>
      <c r="K149" s="1042"/>
    </row>
    <row r="150" spans="1:93" s="1043" customFormat="1">
      <c r="A150" s="1040" t="s">
        <v>931</v>
      </c>
      <c r="B150" s="1040" t="s">
        <v>618</v>
      </c>
      <c r="C150" s="1041"/>
      <c r="D150" s="1041"/>
      <c r="E150" s="1042"/>
      <c r="F150" s="1042"/>
      <c r="I150" s="1042"/>
      <c r="J150" s="1042"/>
      <c r="K150" s="1042"/>
      <c r="BO150" s="1043">
        <v>0</v>
      </c>
      <c r="CO150" s="1043">
        <v>0</v>
      </c>
    </row>
    <row r="151" spans="1:93">
      <c r="A151" s="1050" t="s">
        <v>1338</v>
      </c>
      <c r="B151" s="1040" t="s">
        <v>412</v>
      </c>
      <c r="C151" s="1041"/>
      <c r="D151" s="1041"/>
      <c r="E151" s="1042"/>
      <c r="F151" s="1042"/>
      <c r="H151" s="1043"/>
      <c r="I151" s="1042"/>
      <c r="J151" s="1042"/>
      <c r="K151" s="1042"/>
    </row>
    <row r="152" spans="1:93" s="1043" customFormat="1">
      <c r="A152" s="1040" t="s">
        <v>920</v>
      </c>
      <c r="B152" s="1040" t="s">
        <v>618</v>
      </c>
      <c r="C152" s="1041"/>
      <c r="D152" s="1041"/>
      <c r="E152" s="1042"/>
      <c r="F152" s="1042"/>
      <c r="H152" s="1039"/>
      <c r="I152" s="1042"/>
      <c r="J152" s="1042"/>
      <c r="K152" s="1042"/>
    </row>
    <row r="153" spans="1:93" s="1043" customFormat="1">
      <c r="A153" s="1040" t="s">
        <v>721</v>
      </c>
      <c r="B153" s="1040" t="s">
        <v>264</v>
      </c>
      <c r="C153" s="1041"/>
      <c r="D153" s="1041"/>
      <c r="E153" s="1042"/>
      <c r="F153" s="1042"/>
      <c r="I153" s="1042"/>
      <c r="J153" s="1042"/>
      <c r="K153" s="1042"/>
    </row>
    <row r="154" spans="1:93" s="1043" customFormat="1">
      <c r="A154" s="1040" t="s">
        <v>1080</v>
      </c>
      <c r="B154" s="1040" t="s">
        <v>264</v>
      </c>
      <c r="C154" s="1041"/>
      <c r="D154" s="1041"/>
      <c r="E154" s="1042"/>
      <c r="F154" s="1042"/>
      <c r="I154" s="1042"/>
      <c r="J154" s="1042"/>
      <c r="K154" s="1042"/>
    </row>
    <row r="155" spans="1:93" s="1043" customFormat="1">
      <c r="A155" s="1040" t="s">
        <v>708</v>
      </c>
      <c r="B155" s="1040" t="s">
        <v>618</v>
      </c>
      <c r="C155" s="1041"/>
      <c r="D155" s="1041"/>
      <c r="E155" s="1042"/>
      <c r="F155" s="1046"/>
      <c r="I155" s="1042"/>
      <c r="J155" s="1042"/>
      <c r="K155" s="1042"/>
    </row>
    <row r="156" spans="1:93" s="1043" customFormat="1">
      <c r="A156" s="1040" t="s">
        <v>1630</v>
      </c>
      <c r="B156" s="1040" t="s">
        <v>547</v>
      </c>
      <c r="C156" s="1041"/>
      <c r="D156" s="1041"/>
      <c r="E156" s="1042"/>
      <c r="F156" s="1046"/>
      <c r="I156" s="1042"/>
      <c r="J156" s="1042"/>
      <c r="K156" s="1042"/>
    </row>
    <row r="157" spans="1:93">
      <c r="A157" s="1050" t="s">
        <v>1833</v>
      </c>
      <c r="B157" s="1040" t="s">
        <v>547</v>
      </c>
      <c r="C157" s="1041"/>
      <c r="D157" s="1041"/>
      <c r="E157" s="1046"/>
      <c r="F157" s="1046"/>
      <c r="H157" s="1043"/>
      <c r="I157" s="1042"/>
      <c r="J157" s="1046"/>
      <c r="K157" s="1046"/>
    </row>
    <row r="158" spans="1:93">
      <c r="A158" s="1040" t="s">
        <v>845</v>
      </c>
      <c r="B158" s="1040" t="s">
        <v>412</v>
      </c>
      <c r="C158" s="1041"/>
      <c r="D158" s="1041"/>
      <c r="E158" s="1046"/>
      <c r="I158" s="1046"/>
      <c r="J158" s="1046"/>
      <c r="K158" s="1046"/>
    </row>
    <row r="159" spans="1:93">
      <c r="A159" s="1050" t="s">
        <v>1333</v>
      </c>
      <c r="B159" s="1040" t="s">
        <v>412</v>
      </c>
      <c r="C159" s="1041"/>
      <c r="D159" s="1041"/>
      <c r="E159" s="1046"/>
      <c r="I159" s="1046"/>
      <c r="J159" s="1046"/>
      <c r="K159" s="1046"/>
    </row>
    <row r="160" spans="1:93">
      <c r="A160" s="1050" t="s">
        <v>1334</v>
      </c>
      <c r="B160" s="1040" t="s">
        <v>264</v>
      </c>
      <c r="C160" s="1041"/>
      <c r="I160" s="1046"/>
    </row>
    <row r="161" spans="1:3">
      <c r="A161" s="1050" t="s">
        <v>722</v>
      </c>
      <c r="B161" s="1040" t="s">
        <v>258</v>
      </c>
      <c r="C161" s="1041"/>
    </row>
    <row r="162" spans="1:3">
      <c r="A162" s="1040" t="s">
        <v>697</v>
      </c>
      <c r="B162" s="1040" t="s">
        <v>547</v>
      </c>
      <c r="C162" s="1039"/>
    </row>
    <row r="163" spans="1:3">
      <c r="A163" s="1640"/>
      <c r="C163" s="1042"/>
    </row>
    <row r="164" spans="1:3">
      <c r="A164" s="1050"/>
      <c r="C164" s="1042"/>
    </row>
    <row r="165" spans="1:3">
      <c r="A165" s="1050"/>
      <c r="B165" s="1048"/>
    </row>
    <row r="166" spans="1:3">
      <c r="A166" s="1040"/>
      <c r="B166" s="1040"/>
    </row>
    <row r="167" spans="1:3">
      <c r="A167" s="1040"/>
      <c r="B167" s="1040"/>
    </row>
    <row r="168" spans="1:3">
      <c r="A168" s="1040"/>
      <c r="B168" s="1040"/>
    </row>
    <row r="169" spans="1:3">
      <c r="A169" s="1040"/>
      <c r="B169" s="1040"/>
    </row>
    <row r="211" spans="203:203" ht="15.6">
      <c r="GU211" s="1643"/>
    </row>
    <row r="212" spans="203:203" ht="15.6">
      <c r="GU212" s="1643"/>
    </row>
    <row r="213" spans="203:203" ht="15.6">
      <c r="GU213" s="1643"/>
    </row>
    <row r="214" spans="203:203" ht="15.6">
      <c r="GU214" s="1643"/>
    </row>
    <row r="215" spans="203:203" ht="15.6">
      <c r="GU215" s="1643"/>
    </row>
    <row r="216" spans="203:203" ht="15.6">
      <c r="GU216" s="1643"/>
    </row>
    <row r="217" spans="203:203" ht="15.6">
      <c r="GU217" s="1643"/>
    </row>
    <row r="218" spans="203:203" ht="15.6">
      <c r="GU218" s="1643"/>
    </row>
    <row r="219" spans="203:203" ht="15.6">
      <c r="GU219" s="1643"/>
    </row>
    <row r="220" spans="203:203" ht="15.6">
      <c r="GU220" s="1643"/>
    </row>
    <row r="221" spans="203:203" ht="15.6">
      <c r="GU221" s="1643"/>
    </row>
  </sheetData>
  <sortState xmlns:xlrd2="http://schemas.microsoft.com/office/spreadsheetml/2017/richdata2" ref="F3:H131">
    <sortCondition ref="G3:G131"/>
  </sortState>
  <pageMargins left="0.7" right="0.7" top="0.75" bottom="0.75" header="0.3" footer="0.3"/>
  <pageSetup orientation="portrait" horizontalDpi="1200" verticalDpi="1200" r:id="rId1"/>
  <customProperties>
    <customPr name="OrphanNamesChecke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3">
    <tabColor rgb="FFFFC000"/>
  </sheetPr>
  <dimension ref="A1"/>
  <sheetViews>
    <sheetView workbookViewId="0">
      <selection activeCell="G25" sqref="G25"/>
    </sheetView>
  </sheetViews>
  <sheetFormatPr defaultRowHeight="15"/>
  <sheetData/>
  <pageMargins left="0.7" right="0.7" top="0.75" bottom="0.75" header="0.3" footer="0.3"/>
  <customProperties>
    <customPr name="OrphanNamesChecke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GM552"/>
  <sheetViews>
    <sheetView showGridLines="0" zoomScale="85" zoomScaleNormal="85" workbookViewId="0">
      <pane ySplit="1" topLeftCell="A2" activePane="bottomLeft" state="frozen"/>
      <selection pane="bottomLeft" activeCell="A14" sqref="A14:D16"/>
    </sheetView>
  </sheetViews>
  <sheetFormatPr defaultColWidth="8.90625" defaultRowHeight="13.8"/>
  <cols>
    <col min="1" max="1" width="29.36328125" style="1796" customWidth="1"/>
    <col min="2" max="5" width="8" style="1796" customWidth="1"/>
    <col min="6" max="6" width="15.54296875" style="1796" customWidth="1"/>
    <col min="7" max="8" width="8" style="1796" customWidth="1"/>
    <col min="9" max="9" width="8.81640625" style="1796" customWidth="1"/>
    <col min="10" max="10" width="10.6328125" style="1796" bestFit="1" customWidth="1"/>
    <col min="11" max="18" width="8.36328125" style="1796" customWidth="1"/>
    <col min="19" max="19" width="7.36328125" style="1796" bestFit="1" customWidth="1"/>
    <col min="20" max="20" width="4.36328125" style="1796" bestFit="1" customWidth="1"/>
    <col min="21" max="22" width="4.54296875" style="1796" bestFit="1" customWidth="1"/>
    <col min="23" max="23" width="7.36328125" style="1796" bestFit="1" customWidth="1"/>
    <col min="24" max="24" width="6.453125" style="1796" bestFit="1" customWidth="1"/>
    <col min="25" max="26" width="3.81640625" style="1796" bestFit="1" customWidth="1"/>
    <col min="27" max="27" width="6.1796875" style="1796" bestFit="1" customWidth="1"/>
    <col min="28" max="28" width="9.08984375" style="1796" bestFit="1" customWidth="1"/>
    <col min="29" max="30" width="8.90625" style="1796"/>
    <col min="31" max="32" width="9.08984375" style="1796" bestFit="1" customWidth="1"/>
    <col min="33" max="33" width="8.90625" style="1796"/>
    <col min="34" max="35" width="9.08984375" style="1796" bestFit="1" customWidth="1"/>
    <col min="36" max="36" width="9" style="1796" bestFit="1" customWidth="1"/>
    <col min="37" max="39" width="9.08984375" style="1796" bestFit="1" customWidth="1"/>
    <col min="40" max="40" width="9" style="1796" bestFit="1" customWidth="1"/>
    <col min="41" max="43" width="9.08984375" style="1796" bestFit="1" customWidth="1"/>
    <col min="44" max="44" width="9" style="1796" bestFit="1" customWidth="1"/>
    <col min="45" max="49" width="4.36328125" style="1796" customWidth="1"/>
    <col min="50" max="56" width="8.08984375" style="1796" customWidth="1"/>
    <col min="57" max="65" width="10.08984375" style="1796" customWidth="1"/>
    <col min="66" max="66" width="11" style="1796" bestFit="1" customWidth="1"/>
    <col min="67" max="67" width="8.90625" style="1796"/>
    <col min="68" max="69" width="9.90625" style="1796" bestFit="1" customWidth="1"/>
    <col min="70" max="73" width="9.90625" style="1796" customWidth="1"/>
    <col min="74" max="74" width="10.6328125" style="1796" bestFit="1" customWidth="1"/>
    <col min="75" max="79" width="9.90625" style="1796" customWidth="1"/>
    <col min="80" max="80" width="11.6328125" style="1796" customWidth="1"/>
    <col min="81" max="81" width="9.90625" style="1796" bestFit="1" customWidth="1"/>
    <col min="82" max="82" width="11" style="1796" bestFit="1" customWidth="1"/>
    <col min="83" max="84" width="9.08984375" style="1796" bestFit="1" customWidth="1"/>
    <col min="85" max="85" width="9.90625" style="1796" bestFit="1" customWidth="1"/>
    <col min="86" max="87" width="9.08984375" style="1796" bestFit="1" customWidth="1"/>
    <col min="88" max="88" width="11.1796875" style="1796" bestFit="1" customWidth="1"/>
    <col min="89" max="89" width="6.54296875" style="1796" bestFit="1" customWidth="1"/>
    <col min="90" max="90" width="8.1796875" style="1796" bestFit="1" customWidth="1"/>
    <col min="91" max="91" width="8.453125" style="1796" bestFit="1" customWidth="1"/>
    <col min="92" max="92" width="9.90625" style="1796" bestFit="1" customWidth="1"/>
    <col min="93" max="93" width="5.6328125" style="1796" bestFit="1" customWidth="1"/>
    <col min="94" max="94" width="10" style="1796" bestFit="1" customWidth="1"/>
    <col min="95" max="95" width="10.54296875" style="1796" bestFit="1" customWidth="1"/>
    <col min="96" max="96" width="11.1796875" style="1796" bestFit="1" customWidth="1"/>
    <col min="97" max="97" width="7.08984375" style="1796" bestFit="1" customWidth="1"/>
    <col min="98" max="98" width="11.08984375" style="1796" bestFit="1" customWidth="1"/>
    <col min="99" max="99" width="8.6328125" style="1796" bestFit="1" customWidth="1"/>
    <col min="100" max="100" width="11" style="1796" bestFit="1" customWidth="1"/>
    <col min="101" max="102" width="10.36328125" style="1796" bestFit="1" customWidth="1"/>
    <col min="103" max="103" width="9.90625" style="1796" bestFit="1" customWidth="1"/>
    <col min="104" max="104" width="10.6328125" style="1796" bestFit="1" customWidth="1"/>
    <col min="105" max="105" width="8.36328125" style="1796" bestFit="1" customWidth="1"/>
    <col min="106" max="106" width="11.08984375" style="1796" bestFit="1" customWidth="1"/>
    <col min="107" max="107" width="8.08984375" style="1796" bestFit="1" customWidth="1"/>
    <col min="108" max="109" width="9.90625" style="1796" bestFit="1" customWidth="1"/>
    <col min="110" max="110" width="8.54296875" style="1796" bestFit="1" customWidth="1"/>
    <col min="111" max="111" width="6.36328125" style="1796" bestFit="1" customWidth="1"/>
    <col min="112" max="112" width="8.54296875" style="1796" bestFit="1" customWidth="1"/>
    <col min="113" max="113" width="8.6328125" style="1796" bestFit="1" customWidth="1"/>
    <col min="114" max="114" width="10" style="1796" bestFit="1" customWidth="1"/>
    <col min="115" max="115" width="8.54296875" style="1796" bestFit="1" customWidth="1"/>
    <col min="116" max="116" width="10.08984375" style="1796" bestFit="1" customWidth="1"/>
    <col min="117" max="117" width="8.90625" style="1796" bestFit="1" customWidth="1"/>
    <col min="118" max="118" width="9.90625" style="1796" bestFit="1" customWidth="1"/>
    <col min="119" max="119" width="8.1796875" style="1796" bestFit="1" customWidth="1"/>
    <col min="120" max="120" width="8.90625" style="1796" bestFit="1" customWidth="1"/>
    <col min="121" max="121" width="7.08984375" style="1796" bestFit="1" customWidth="1"/>
    <col min="122" max="122" width="10.6328125" style="1796" bestFit="1" customWidth="1"/>
    <col min="123" max="123" width="7.90625" style="1796" bestFit="1" customWidth="1"/>
    <col min="124" max="124" width="9.81640625" style="1796" bestFit="1" customWidth="1"/>
    <col min="125" max="125" width="10.453125" style="1796" bestFit="1" customWidth="1"/>
    <col min="126" max="126" width="8.81640625" style="1796" bestFit="1" customWidth="1"/>
    <col min="127" max="128" width="10.36328125" style="1796" bestFit="1" customWidth="1"/>
    <col min="129" max="129" width="10.6328125" style="1796" bestFit="1" customWidth="1"/>
    <col min="130" max="130" width="8" style="1796" bestFit="1" customWidth="1"/>
    <col min="131" max="131" width="10.6328125" style="1796" bestFit="1" customWidth="1"/>
    <col min="132" max="132" width="10.36328125" style="1796" bestFit="1" customWidth="1"/>
    <col min="133" max="133" width="10" style="1796" bestFit="1" customWidth="1"/>
    <col min="134" max="134" width="9.1796875" style="1796" bestFit="1" customWidth="1"/>
    <col min="135" max="135" width="9.81640625" style="1796" bestFit="1" customWidth="1"/>
    <col min="136" max="136" width="9.08984375" style="1796" bestFit="1" customWidth="1"/>
    <col min="137" max="137" width="10.6328125" style="1796" bestFit="1" customWidth="1"/>
    <col min="138" max="138" width="10.08984375" style="1796" bestFit="1" customWidth="1"/>
    <col min="139" max="139" width="10.6328125" style="1796" bestFit="1" customWidth="1"/>
    <col min="140" max="140" width="7.08984375" style="1796" bestFit="1" customWidth="1"/>
    <col min="141" max="141" width="7.36328125" style="1796" bestFit="1" customWidth="1"/>
    <col min="142" max="142" width="10" style="1796" bestFit="1" customWidth="1"/>
    <col min="143" max="143" width="10.36328125" style="1796" bestFit="1" customWidth="1"/>
    <col min="144" max="144" width="9.6328125" style="1796" bestFit="1" customWidth="1"/>
    <col min="145" max="145" width="10.453125" style="1796" bestFit="1" customWidth="1"/>
    <col min="146" max="146" width="10.6328125" style="1796" bestFit="1" customWidth="1"/>
    <col min="147" max="147" width="10.81640625" style="1796" bestFit="1" customWidth="1"/>
    <col min="148" max="148" width="11.36328125" style="1796" bestFit="1" customWidth="1"/>
    <col min="149" max="149" width="11.90625" style="1796" bestFit="1" customWidth="1"/>
    <col min="150" max="151" width="11.54296875" style="1796" bestFit="1" customWidth="1"/>
    <col min="152" max="152" width="11.453125" style="1796" bestFit="1" customWidth="1"/>
    <col min="153" max="153" width="10.90625" style="1796" bestFit="1" customWidth="1"/>
    <col min="154" max="154" width="17.54296875" style="1796" bestFit="1" customWidth="1"/>
    <col min="155" max="155" width="11.1796875" style="1796" bestFit="1" customWidth="1"/>
    <col min="156" max="156" width="8.90625" style="1796" bestFit="1" customWidth="1"/>
    <col min="157" max="157" width="9.90625" style="1796" bestFit="1" customWidth="1"/>
    <col min="158" max="160" width="8.36328125" style="1796" bestFit="1" customWidth="1"/>
    <col min="161" max="161" width="9.90625" style="1796" bestFit="1" customWidth="1"/>
    <col min="162" max="162" width="10.453125" style="1796" bestFit="1" customWidth="1"/>
    <col min="163" max="163" width="9.90625" style="1796" bestFit="1" customWidth="1"/>
    <col min="164" max="164" width="9" style="1796" bestFit="1" customWidth="1"/>
    <col min="165" max="165" width="13.08984375" style="1796" bestFit="1" customWidth="1"/>
    <col min="166" max="166" width="8.1796875" style="1796" bestFit="1" customWidth="1"/>
    <col min="167" max="167" width="12.1796875" style="1796" bestFit="1" customWidth="1"/>
    <col min="168" max="168" width="7" style="1796" bestFit="1" customWidth="1"/>
    <col min="169" max="169" width="9.6328125" style="1796" bestFit="1" customWidth="1"/>
    <col min="170" max="170" width="7.6328125" style="1796" bestFit="1" customWidth="1"/>
    <col min="171" max="171" width="10.6328125" style="1796" bestFit="1" customWidth="1"/>
    <col min="172" max="172" width="9.90625" style="1796" bestFit="1" customWidth="1"/>
    <col min="173" max="173" width="12.36328125" style="1796" bestFit="1" customWidth="1"/>
    <col min="174" max="174" width="15.36328125" style="1796" bestFit="1" customWidth="1"/>
    <col min="175" max="175" width="9.08984375" style="1796" bestFit="1" customWidth="1"/>
    <col min="176" max="176" width="8.36328125" style="1796" bestFit="1" customWidth="1"/>
    <col min="177" max="177" width="7.36328125" style="1796" bestFit="1" customWidth="1"/>
    <col min="178" max="178" width="9.08984375" style="1796" bestFit="1" customWidth="1"/>
    <col min="179" max="179" width="11.1796875" style="1796" bestFit="1" customWidth="1"/>
    <col min="180" max="180" width="9.90625" style="1796" bestFit="1" customWidth="1"/>
    <col min="181" max="181" width="9" style="1796" bestFit="1" customWidth="1"/>
    <col min="182" max="182" width="12.36328125" style="1796" bestFit="1" customWidth="1"/>
    <col min="183" max="183" width="16.36328125" style="1796" bestFit="1" customWidth="1"/>
    <col min="184" max="184" width="10.08984375" style="1796" bestFit="1" customWidth="1"/>
    <col min="185" max="185" width="8.36328125" style="1796" bestFit="1" customWidth="1"/>
    <col min="186" max="186" width="7.90625" style="1796" bestFit="1" customWidth="1"/>
    <col min="187" max="187" width="9.90625" style="1796" bestFit="1" customWidth="1"/>
    <col min="188" max="188" width="13.36328125" style="1796" bestFit="1" customWidth="1"/>
    <col min="189" max="189" width="10.453125" style="1796" bestFit="1" customWidth="1"/>
    <col min="190" max="190" width="6.81640625" style="1796" bestFit="1" customWidth="1"/>
    <col min="191" max="191" width="10.08984375" style="1796" bestFit="1" customWidth="1"/>
    <col min="192" max="192" width="10" style="1796" bestFit="1" customWidth="1"/>
    <col min="193" max="193" width="10.54296875" style="1796" bestFit="1" customWidth="1"/>
    <col min="194" max="194" width="9.90625" style="1796" bestFit="1" customWidth="1"/>
    <col min="195" max="195" width="9.6328125" style="1796" bestFit="1" customWidth="1"/>
    <col min="196" max="16384" width="8.90625" style="1796"/>
  </cols>
  <sheetData>
    <row r="1" spans="1:188" ht="21">
      <c r="A1" s="1767" t="s">
        <v>1859</v>
      </c>
      <c r="B1" s="1803"/>
      <c r="C1" s="1803"/>
      <c r="D1" s="1803"/>
      <c r="E1" s="1803"/>
      <c r="F1" s="1803"/>
      <c r="G1" s="1803"/>
      <c r="H1" s="1803"/>
    </row>
    <row r="5" spans="1:188">
      <c r="A5" s="1796" t="s">
        <v>1860</v>
      </c>
      <c r="GF5" s="1796" t="s">
        <v>1836</v>
      </c>
    </row>
    <row r="7" spans="1:188" ht="15.6">
      <c r="A7" s="1826" t="s">
        <v>1861</v>
      </c>
    </row>
    <row r="8" spans="1:188">
      <c r="A8" s="1894" t="s">
        <v>1018</v>
      </c>
      <c r="B8" s="1796" t="s">
        <v>1862</v>
      </c>
      <c r="C8" s="1895"/>
    </row>
    <row r="9" spans="1:188">
      <c r="A9" s="1894" t="s">
        <v>1000</v>
      </c>
      <c r="B9" s="1796" t="s">
        <v>1962</v>
      </c>
    </row>
    <row r="10" spans="1:188">
      <c r="A10" s="1896" t="s">
        <v>1627</v>
      </c>
    </row>
    <row r="11" spans="1:188">
      <c r="A11" s="1897" t="s">
        <v>961</v>
      </c>
    </row>
    <row r="13" spans="1:188" ht="15.6">
      <c r="A13" s="1826" t="s">
        <v>1347</v>
      </c>
    </row>
    <row r="14" spans="1:188">
      <c r="A14" s="1897" t="s">
        <v>1129</v>
      </c>
      <c r="B14" s="1875" t="s">
        <v>1924</v>
      </c>
      <c r="D14" s="1796" t="s">
        <v>1962</v>
      </c>
    </row>
    <row r="15" spans="1:188">
      <c r="A15" s="1897" t="s">
        <v>1625</v>
      </c>
      <c r="B15" s="1875" t="s">
        <v>1924</v>
      </c>
      <c r="D15" s="1796" t="s">
        <v>1962</v>
      </c>
    </row>
    <row r="16" spans="1:188">
      <c r="A16" s="1897" t="s">
        <v>1832</v>
      </c>
      <c r="B16" s="1875" t="s">
        <v>1924</v>
      </c>
      <c r="D16" s="1796" t="s">
        <v>1962</v>
      </c>
    </row>
    <row r="19" spans="1:10" ht="15.6">
      <c r="A19" s="1898" t="s">
        <v>1350</v>
      </c>
    </row>
    <row r="20" spans="1:10">
      <c r="A20" s="1897" t="s">
        <v>1029</v>
      </c>
    </row>
    <row r="22" spans="1:10" ht="15.6">
      <c r="A22" s="1826" t="s">
        <v>1863</v>
      </c>
    </row>
    <row r="23" spans="1:10">
      <c r="A23" s="1895" t="s">
        <v>1864</v>
      </c>
      <c r="D23" s="1895" t="s">
        <v>1962</v>
      </c>
    </row>
    <row r="24" spans="1:10">
      <c r="A24" s="1897" t="s">
        <v>1865</v>
      </c>
      <c r="B24" s="1895"/>
      <c r="C24" s="1895"/>
      <c r="D24" s="1895"/>
    </row>
    <row r="25" spans="1:10">
      <c r="A25" s="1895" t="s">
        <v>1887</v>
      </c>
      <c r="B25" s="1895"/>
      <c r="C25" s="1895"/>
      <c r="D25" s="1895"/>
      <c r="E25" s="1895"/>
      <c r="F25" s="1895"/>
    </row>
    <row r="27" spans="1:10" ht="15.6">
      <c r="A27" s="1898" t="s">
        <v>1866</v>
      </c>
    </row>
    <row r="28" spans="1:10">
      <c r="A28" s="1897" t="s">
        <v>717</v>
      </c>
    </row>
    <row r="30" spans="1:10" ht="15.6">
      <c r="A30" s="1826" t="s">
        <v>1879</v>
      </c>
    </row>
    <row r="31" spans="1:10">
      <c r="A31" s="1797" t="s">
        <v>1878</v>
      </c>
      <c r="J31" s="1895" t="s">
        <v>1982</v>
      </c>
    </row>
    <row r="32" spans="1:10">
      <c r="A32" s="1894" t="s">
        <v>1870</v>
      </c>
      <c r="J32" s="1895" t="s">
        <v>1962</v>
      </c>
    </row>
    <row r="33" spans="1:26">
      <c r="A33" s="1796" t="s">
        <v>1869</v>
      </c>
      <c r="J33" s="1893" t="s">
        <v>1925</v>
      </c>
    </row>
    <row r="34" spans="1:26">
      <c r="A34" s="1796" t="s">
        <v>1871</v>
      </c>
      <c r="J34" s="1893" t="s">
        <v>1925</v>
      </c>
    </row>
    <row r="35" spans="1:26">
      <c r="A35" s="1796" t="s">
        <v>1874</v>
      </c>
    </row>
    <row r="38" spans="1:26" s="1735" customFormat="1" ht="54.75" customHeight="1">
      <c r="B38" s="929" t="s">
        <v>221</v>
      </c>
      <c r="C38" s="929" t="s">
        <v>222</v>
      </c>
      <c r="D38" s="929" t="s">
        <v>223</v>
      </c>
      <c r="E38" s="929" t="s">
        <v>224</v>
      </c>
      <c r="F38" s="929" t="s">
        <v>225</v>
      </c>
      <c r="G38" s="929" t="s">
        <v>226</v>
      </c>
      <c r="H38" s="929" t="s">
        <v>227</v>
      </c>
      <c r="I38" s="929" t="s">
        <v>228</v>
      </c>
      <c r="K38" s="929" t="s">
        <v>221</v>
      </c>
      <c r="L38" s="929" t="s">
        <v>222</v>
      </c>
      <c r="M38" s="929" t="s">
        <v>223</v>
      </c>
      <c r="N38" s="929" t="s">
        <v>224</v>
      </c>
      <c r="O38" s="929" t="s">
        <v>225</v>
      </c>
      <c r="P38" s="929" t="s">
        <v>226</v>
      </c>
      <c r="Q38" s="929" t="s">
        <v>227</v>
      </c>
      <c r="R38" s="929" t="s">
        <v>228</v>
      </c>
    </row>
    <row r="39" spans="1:26" s="1735" customFormat="1">
      <c r="A39" s="1804" t="s">
        <v>1872</v>
      </c>
    </row>
    <row r="40" spans="1:26" s="1735" customFormat="1" ht="13.2">
      <c r="A40" s="1798" t="s">
        <v>1406</v>
      </c>
      <c r="B40" s="1799">
        <v>1206964</v>
      </c>
      <c r="C40" s="1799">
        <v>112983</v>
      </c>
      <c r="D40" s="1799">
        <v>522340</v>
      </c>
      <c r="E40" s="1799">
        <v>137916</v>
      </c>
      <c r="F40" s="1799">
        <v>0</v>
      </c>
      <c r="G40" s="1799">
        <v>276591</v>
      </c>
      <c r="H40" s="1799">
        <v>2256794</v>
      </c>
      <c r="I40" s="1799">
        <v>125377.44444444444</v>
      </c>
      <c r="J40" s="1800" t="s">
        <v>1406</v>
      </c>
      <c r="K40" s="1801">
        <v>1147233</v>
      </c>
      <c r="L40" s="1801">
        <v>148163</v>
      </c>
      <c r="M40" s="1801">
        <v>438703</v>
      </c>
      <c r="N40" s="1801">
        <v>110379</v>
      </c>
      <c r="O40" s="1801">
        <v>0</v>
      </c>
      <c r="P40" s="1801">
        <v>255341</v>
      </c>
      <c r="Q40" s="1801">
        <v>2099819</v>
      </c>
      <c r="R40" s="1801">
        <v>116656.61111111111</v>
      </c>
      <c r="S40" s="1802">
        <f t="shared" ref="S40:S53" si="0">(B40-K40)/K40</f>
        <v>5.2065273575638081E-2</v>
      </c>
      <c r="T40" s="1802">
        <f t="shared" ref="T40:T53" si="1">(C40-L40)/L40</f>
        <v>-0.23744119652004886</v>
      </c>
      <c r="U40" s="1802">
        <f t="shared" ref="U40:U53" si="2">(D40-M40)/M40</f>
        <v>0.19064606350993724</v>
      </c>
      <c r="V40" s="1802">
        <f t="shared" ref="V40:V53" si="3">(E40-N40)/N40</f>
        <v>0.24947680265267849</v>
      </c>
      <c r="W40" s="1802"/>
      <c r="X40" s="1802">
        <f t="shared" ref="X40:X53" si="4">(G40-P40)/P40</f>
        <v>8.3222044246713214E-2</v>
      </c>
      <c r="Y40" s="1802">
        <f t="shared" ref="Y40:Y53" si="5">(H40-Q40)/Q40</f>
        <v>7.4756443293445773E-2</v>
      </c>
      <c r="Z40" s="1802">
        <f t="shared" ref="Z40:Z53" si="6">(I40-R40)/R40</f>
        <v>7.4756443293445732E-2</v>
      </c>
    </row>
    <row r="41" spans="1:26" s="1735" customFormat="1" ht="13.2">
      <c r="A41" s="850" t="s">
        <v>713</v>
      </c>
      <c r="B41" s="1799">
        <v>882073</v>
      </c>
      <c r="C41" s="1799">
        <v>197552</v>
      </c>
      <c r="D41" s="1799">
        <v>451702</v>
      </c>
      <c r="E41" s="1799">
        <v>185586</v>
      </c>
      <c r="F41" s="1799">
        <v>0</v>
      </c>
      <c r="G41" s="1799">
        <v>137912</v>
      </c>
      <c r="H41" s="1799">
        <v>1854825</v>
      </c>
      <c r="I41" s="1799">
        <v>103045.83333333333</v>
      </c>
      <c r="J41" s="850" t="s">
        <v>713</v>
      </c>
      <c r="K41" s="1801">
        <v>870380</v>
      </c>
      <c r="L41" s="1801">
        <v>197277</v>
      </c>
      <c r="M41" s="1801">
        <v>474471</v>
      </c>
      <c r="N41" s="1801">
        <v>147284</v>
      </c>
      <c r="O41" s="1801">
        <v>0</v>
      </c>
      <c r="P41" s="1801">
        <v>150743</v>
      </c>
      <c r="Q41" s="1801">
        <v>1840155</v>
      </c>
      <c r="R41" s="1801">
        <v>102230.83333333333</v>
      </c>
      <c r="S41" s="1802">
        <f t="shared" si="0"/>
        <v>1.3434362002803374E-2</v>
      </c>
      <c r="T41" s="1802">
        <f t="shared" si="1"/>
        <v>1.3939790244174436E-3</v>
      </c>
      <c r="U41" s="1802">
        <f t="shared" si="2"/>
        <v>-4.7988180521043436E-2</v>
      </c>
      <c r="V41" s="1802">
        <f t="shared" si="3"/>
        <v>0.2600554031666712</v>
      </c>
      <c r="W41" s="1802"/>
      <c r="X41" s="1802">
        <f t="shared" si="4"/>
        <v>-8.511838028963202E-2</v>
      </c>
      <c r="Y41" s="1802">
        <f t="shared" si="5"/>
        <v>7.9721545195920989E-3</v>
      </c>
      <c r="Z41" s="1802">
        <f t="shared" si="6"/>
        <v>7.9721545195921006E-3</v>
      </c>
    </row>
    <row r="42" spans="1:26" s="1735" customFormat="1" ht="13.2">
      <c r="A42" s="1798" t="s">
        <v>1408</v>
      </c>
      <c r="B42" s="1799">
        <v>849151</v>
      </c>
      <c r="C42" s="1799">
        <v>152585</v>
      </c>
      <c r="D42" s="1799">
        <v>416407</v>
      </c>
      <c r="E42" s="1799">
        <v>104135</v>
      </c>
      <c r="F42" s="1799">
        <v>29979</v>
      </c>
      <c r="G42" s="1799">
        <v>76464</v>
      </c>
      <c r="H42" s="1799">
        <v>1628721</v>
      </c>
      <c r="I42" s="1799">
        <v>90484.5</v>
      </c>
      <c r="J42" s="1800" t="s">
        <v>1408</v>
      </c>
      <c r="K42" s="1801">
        <v>709797</v>
      </c>
      <c r="L42" s="1801">
        <v>121221</v>
      </c>
      <c r="M42" s="1801">
        <v>407403</v>
      </c>
      <c r="N42" s="1801">
        <v>120747</v>
      </c>
      <c r="O42" s="1801">
        <v>18698</v>
      </c>
      <c r="P42" s="1801">
        <v>87182</v>
      </c>
      <c r="Q42" s="1801">
        <v>1465048</v>
      </c>
      <c r="R42" s="1801">
        <v>81391.555555555562</v>
      </c>
      <c r="S42" s="1802">
        <f t="shared" si="0"/>
        <v>0.19632937304609627</v>
      </c>
      <c r="T42" s="1802">
        <f t="shared" si="1"/>
        <v>0.25873404773100372</v>
      </c>
      <c r="U42" s="1802">
        <f t="shared" si="2"/>
        <v>2.2100966364999766E-2</v>
      </c>
      <c r="V42" s="1802">
        <f t="shared" si="3"/>
        <v>-0.13757691702485361</v>
      </c>
      <c r="W42" s="1802">
        <f>(F42-O42)/O42</f>
        <v>0.60332655899026633</v>
      </c>
      <c r="X42" s="1802">
        <f t="shared" si="4"/>
        <v>-0.12293822119244799</v>
      </c>
      <c r="Y42" s="1802">
        <f t="shared" si="5"/>
        <v>0.1117185238981931</v>
      </c>
      <c r="Z42" s="1802">
        <f t="shared" si="6"/>
        <v>0.11171852389819301</v>
      </c>
    </row>
    <row r="43" spans="1:26" s="1735" customFormat="1" ht="13.2">
      <c r="A43" s="1798" t="s">
        <v>445</v>
      </c>
      <c r="B43" s="1799">
        <v>986481</v>
      </c>
      <c r="C43" s="1799">
        <v>198568</v>
      </c>
      <c r="D43" s="1799">
        <v>297629</v>
      </c>
      <c r="E43" s="1799">
        <v>303682</v>
      </c>
      <c r="F43" s="1799">
        <v>0</v>
      </c>
      <c r="G43" s="1799">
        <v>101645</v>
      </c>
      <c r="H43" s="1799">
        <v>1888005</v>
      </c>
      <c r="I43" s="1799">
        <v>104889.16666666667</v>
      </c>
      <c r="J43" s="1800" t="s">
        <v>445</v>
      </c>
      <c r="K43" s="1801">
        <v>950796</v>
      </c>
      <c r="L43" s="1801">
        <v>188914</v>
      </c>
      <c r="M43" s="1801">
        <v>285002</v>
      </c>
      <c r="N43" s="1801">
        <v>238636</v>
      </c>
      <c r="O43" s="1801">
        <v>0</v>
      </c>
      <c r="P43" s="1801">
        <v>79065</v>
      </c>
      <c r="Q43" s="1801">
        <v>1742413</v>
      </c>
      <c r="R43" s="1801">
        <v>96800.722222222219</v>
      </c>
      <c r="S43" s="1802">
        <f t="shared" si="0"/>
        <v>3.7531710272235057E-2</v>
      </c>
      <c r="T43" s="1802">
        <f t="shared" si="1"/>
        <v>5.1102618122531945E-2</v>
      </c>
      <c r="U43" s="1802">
        <f t="shared" si="2"/>
        <v>4.4304952245949152E-2</v>
      </c>
      <c r="V43" s="1802">
        <f t="shared" si="3"/>
        <v>0.27257412963676897</v>
      </c>
      <c r="W43" s="1802"/>
      <c r="X43" s="1802">
        <f t="shared" si="4"/>
        <v>0.28558780750015811</v>
      </c>
      <c r="Y43" s="1802">
        <f t="shared" si="5"/>
        <v>8.3557686954814955E-2</v>
      </c>
      <c r="Z43" s="1802">
        <f t="shared" si="6"/>
        <v>8.3557686954815052E-2</v>
      </c>
    </row>
    <row r="44" spans="1:26" s="1735" customFormat="1" ht="13.2">
      <c r="A44" s="1807" t="s">
        <v>985</v>
      </c>
      <c r="B44" s="1808">
        <v>2386199</v>
      </c>
      <c r="C44" s="1808">
        <v>218267</v>
      </c>
      <c r="D44" s="1808">
        <v>429399</v>
      </c>
      <c r="E44" s="1808">
        <v>170928</v>
      </c>
      <c r="F44" s="1808">
        <v>0</v>
      </c>
      <c r="G44" s="1808">
        <v>285867</v>
      </c>
      <c r="H44" s="1808">
        <v>3490660</v>
      </c>
      <c r="I44" s="1808">
        <v>193925.55555555556</v>
      </c>
      <c r="J44" s="1809" t="s">
        <v>985</v>
      </c>
      <c r="K44" s="1810">
        <v>1621948</v>
      </c>
      <c r="L44" s="1810">
        <v>116709</v>
      </c>
      <c r="M44" s="1810">
        <v>426670</v>
      </c>
      <c r="N44" s="1810">
        <v>141537</v>
      </c>
      <c r="O44" s="1810">
        <v>0</v>
      </c>
      <c r="P44" s="1810">
        <v>151018</v>
      </c>
      <c r="Q44" s="1810">
        <v>2457882</v>
      </c>
      <c r="R44" s="1810">
        <v>136549</v>
      </c>
      <c r="S44" s="1811">
        <f t="shared" si="0"/>
        <v>0.47119328116561071</v>
      </c>
      <c r="T44" s="1811">
        <f t="shared" si="1"/>
        <v>0.87018139132371963</v>
      </c>
      <c r="U44" s="1811">
        <f t="shared" si="2"/>
        <v>6.3960437809079613E-3</v>
      </c>
      <c r="V44" s="1811">
        <f t="shared" si="3"/>
        <v>0.20765594862120859</v>
      </c>
      <c r="W44" s="1811"/>
      <c r="X44" s="1811">
        <f t="shared" si="4"/>
        <v>0.89293329272007316</v>
      </c>
      <c r="Y44" s="1811">
        <f t="shared" si="5"/>
        <v>0.42019022882302731</v>
      </c>
      <c r="Z44" s="1811">
        <f t="shared" si="6"/>
        <v>0.42019022882302737</v>
      </c>
    </row>
    <row r="45" spans="1:26" s="1735" customFormat="1" ht="13.2">
      <c r="A45" s="1800" t="s">
        <v>1160</v>
      </c>
      <c r="B45" s="1799">
        <v>1057050</v>
      </c>
      <c r="C45" s="1799">
        <v>242525</v>
      </c>
      <c r="D45" s="1799">
        <v>430502</v>
      </c>
      <c r="E45" s="1799">
        <v>120234</v>
      </c>
      <c r="F45" s="1799">
        <v>140616</v>
      </c>
      <c r="G45" s="1799">
        <v>258210</v>
      </c>
      <c r="H45" s="1799">
        <v>2249137</v>
      </c>
      <c r="I45" s="1799">
        <v>124952.05555555556</v>
      </c>
      <c r="J45" s="1800" t="s">
        <v>1160</v>
      </c>
      <c r="K45" s="1801">
        <v>1038100</v>
      </c>
      <c r="L45" s="1801">
        <v>253928</v>
      </c>
      <c r="M45" s="1801">
        <v>549132</v>
      </c>
      <c r="N45" s="1801">
        <v>93480</v>
      </c>
      <c r="O45" s="1801">
        <v>78001</v>
      </c>
      <c r="P45" s="1801">
        <v>347436</v>
      </c>
      <c r="Q45" s="1801">
        <v>2360077</v>
      </c>
      <c r="R45" s="1801">
        <v>131115.38888888888</v>
      </c>
      <c r="S45" s="1802">
        <f t="shared" si="0"/>
        <v>1.8254503419709085E-2</v>
      </c>
      <c r="T45" s="1802">
        <f t="shared" si="1"/>
        <v>-4.4906430169181819E-2</v>
      </c>
      <c r="U45" s="1802">
        <f t="shared" si="2"/>
        <v>-0.21603184662339839</v>
      </c>
      <c r="V45" s="1802">
        <f t="shared" si="3"/>
        <v>0.28620025673940952</v>
      </c>
      <c r="W45" s="1802">
        <f>(F45-O45)/O45</f>
        <v>0.80274611863950462</v>
      </c>
      <c r="X45" s="1802">
        <f t="shared" si="4"/>
        <v>-0.25681276551652676</v>
      </c>
      <c r="Y45" s="1802">
        <f t="shared" si="5"/>
        <v>-4.7006940875234153E-2</v>
      </c>
      <c r="Z45" s="1802">
        <f t="shared" si="6"/>
        <v>-4.7006940875234014E-2</v>
      </c>
    </row>
    <row r="46" spans="1:26" s="1735" customFormat="1" ht="13.2">
      <c r="A46" s="1798" t="s">
        <v>630</v>
      </c>
      <c r="B46" s="1799">
        <v>750727</v>
      </c>
      <c r="C46" s="1799">
        <v>259888</v>
      </c>
      <c r="D46" s="1799">
        <v>495569</v>
      </c>
      <c r="E46" s="1799">
        <v>96324</v>
      </c>
      <c r="F46" s="1799">
        <v>0</v>
      </c>
      <c r="G46" s="1799">
        <v>189147</v>
      </c>
      <c r="H46" s="1799">
        <v>1791655</v>
      </c>
      <c r="I46" s="1799">
        <v>99536.388888888891</v>
      </c>
      <c r="J46" s="1800" t="s">
        <v>630</v>
      </c>
      <c r="K46" s="1801">
        <v>911891</v>
      </c>
      <c r="L46" s="1801">
        <v>259122</v>
      </c>
      <c r="M46" s="1801">
        <v>444410</v>
      </c>
      <c r="N46" s="1801">
        <v>104688</v>
      </c>
      <c r="O46" s="1801">
        <v>0</v>
      </c>
      <c r="P46" s="1801">
        <v>217354</v>
      </c>
      <c r="Q46" s="1801">
        <v>1937465</v>
      </c>
      <c r="R46" s="1801">
        <v>107636.94444444444</v>
      </c>
      <c r="S46" s="1802">
        <f t="shared" si="0"/>
        <v>-0.1767360353375568</v>
      </c>
      <c r="T46" s="1802">
        <f t="shared" si="1"/>
        <v>2.9561364916911724E-3</v>
      </c>
      <c r="U46" s="1802">
        <f t="shared" si="2"/>
        <v>0.11511667154204451</v>
      </c>
      <c r="V46" s="1802">
        <f t="shared" si="3"/>
        <v>-7.9894543787253552E-2</v>
      </c>
      <c r="W46" s="1802"/>
      <c r="X46" s="1802">
        <f t="shared" si="4"/>
        <v>-0.12977446929893169</v>
      </c>
      <c r="Y46" s="1802">
        <f t="shared" si="5"/>
        <v>-7.5258133695318363E-2</v>
      </c>
      <c r="Z46" s="1802">
        <f t="shared" si="6"/>
        <v>-7.5258133695318294E-2</v>
      </c>
    </row>
    <row r="47" spans="1:26" s="1735" customFormat="1" ht="13.2">
      <c r="A47" s="1798" t="s">
        <v>1831</v>
      </c>
      <c r="B47" s="1799">
        <v>871780</v>
      </c>
      <c r="C47" s="1799">
        <v>128657</v>
      </c>
      <c r="D47" s="1799">
        <v>260048</v>
      </c>
      <c r="E47" s="1799">
        <v>103606</v>
      </c>
      <c r="F47" s="1799">
        <v>0</v>
      </c>
      <c r="G47" s="1799">
        <v>103913</v>
      </c>
      <c r="H47" s="1799">
        <v>1468004</v>
      </c>
      <c r="I47" s="1799">
        <v>81555.777777777781</v>
      </c>
      <c r="J47" s="1800" t="s">
        <v>1831</v>
      </c>
      <c r="K47" s="1801">
        <v>862480</v>
      </c>
      <c r="L47" s="1801">
        <v>201592</v>
      </c>
      <c r="M47" s="1801">
        <v>262033</v>
      </c>
      <c r="N47" s="1801">
        <v>114021</v>
      </c>
      <c r="O47" s="1801">
        <v>0</v>
      </c>
      <c r="P47" s="1801">
        <v>95683</v>
      </c>
      <c r="Q47" s="1801">
        <v>1535809</v>
      </c>
      <c r="R47" s="1801">
        <v>85322.722222222219</v>
      </c>
      <c r="S47" s="1802">
        <f t="shared" si="0"/>
        <v>1.0782858732956126E-2</v>
      </c>
      <c r="T47" s="1802">
        <f t="shared" si="1"/>
        <v>-0.36179511091709987</v>
      </c>
      <c r="U47" s="1802">
        <f t="shared" si="2"/>
        <v>-7.5753817267290762E-3</v>
      </c>
      <c r="V47" s="1802">
        <f t="shared" si="3"/>
        <v>-9.1342822813341398E-2</v>
      </c>
      <c r="W47" s="1802"/>
      <c r="X47" s="1802">
        <f t="shared" si="4"/>
        <v>8.6013189385784311E-2</v>
      </c>
      <c r="Y47" s="1802">
        <f t="shared" si="5"/>
        <v>-4.4149370136520885E-2</v>
      </c>
      <c r="Z47" s="1802">
        <f t="shared" si="6"/>
        <v>-4.4149370136520809E-2</v>
      </c>
    </row>
    <row r="48" spans="1:26" s="1735" customFormat="1" ht="13.2">
      <c r="A48" s="1798" t="s">
        <v>716</v>
      </c>
      <c r="B48" s="1799">
        <v>1221811</v>
      </c>
      <c r="C48" s="1799">
        <v>226751</v>
      </c>
      <c r="D48" s="1799">
        <v>469195</v>
      </c>
      <c r="E48" s="1799">
        <v>152697</v>
      </c>
      <c r="F48" s="1799">
        <v>81963</v>
      </c>
      <c r="G48" s="1799">
        <v>650214</v>
      </c>
      <c r="H48" s="1799">
        <v>2802631</v>
      </c>
      <c r="I48" s="1799">
        <v>155701.72222222222</v>
      </c>
      <c r="J48" s="1800" t="s">
        <v>716</v>
      </c>
      <c r="K48" s="1801">
        <v>1005295</v>
      </c>
      <c r="L48" s="1801">
        <v>246675</v>
      </c>
      <c r="M48" s="1801">
        <v>410123</v>
      </c>
      <c r="N48" s="1801">
        <v>165809</v>
      </c>
      <c r="O48" s="1801">
        <v>84703</v>
      </c>
      <c r="P48" s="1801">
        <v>527141</v>
      </c>
      <c r="Q48" s="1801">
        <v>2439746</v>
      </c>
      <c r="R48" s="1801">
        <v>135541.44444444444</v>
      </c>
      <c r="S48" s="1802">
        <f t="shared" si="0"/>
        <v>0.21537558627069667</v>
      </c>
      <c r="T48" s="1802">
        <f t="shared" si="1"/>
        <v>-8.0770244248505124E-2</v>
      </c>
      <c r="U48" s="1802">
        <f t="shared" si="2"/>
        <v>0.14403483832898911</v>
      </c>
      <c r="V48" s="1802">
        <f t="shared" si="3"/>
        <v>-7.9078940226405076E-2</v>
      </c>
      <c r="W48" s="1802">
        <f>(F48-O48)/O48</f>
        <v>-3.2348322963767516E-2</v>
      </c>
      <c r="X48" s="1802">
        <f t="shared" si="4"/>
        <v>0.23347263825048706</v>
      </c>
      <c r="Y48" s="1802">
        <f t="shared" si="5"/>
        <v>0.148738844125577</v>
      </c>
      <c r="Z48" s="1802">
        <f t="shared" si="6"/>
        <v>0.14873884412557703</v>
      </c>
    </row>
    <row r="49" spans="1:26" s="1735" customFormat="1" ht="13.2">
      <c r="A49" s="1798" t="s">
        <v>1129</v>
      </c>
      <c r="B49" s="1799">
        <v>1317884</v>
      </c>
      <c r="C49" s="1799">
        <v>203894</v>
      </c>
      <c r="D49" s="1799">
        <v>782803</v>
      </c>
      <c r="E49" s="1799">
        <v>312968</v>
      </c>
      <c r="F49" s="1799">
        <v>0</v>
      </c>
      <c r="G49" s="1799">
        <v>826615</v>
      </c>
      <c r="H49" s="1799">
        <v>3444164</v>
      </c>
      <c r="I49" s="1799">
        <v>191342.44444444444</v>
      </c>
      <c r="J49" s="1800" t="s">
        <v>1129</v>
      </c>
      <c r="K49" s="1801">
        <v>1290244</v>
      </c>
      <c r="L49" s="1801">
        <v>225641</v>
      </c>
      <c r="M49" s="1801">
        <v>712036</v>
      </c>
      <c r="N49" s="1801">
        <v>276946</v>
      </c>
      <c r="O49" s="1801">
        <v>0</v>
      </c>
      <c r="P49" s="1801">
        <v>818615</v>
      </c>
      <c r="Q49" s="1801">
        <v>3323482</v>
      </c>
      <c r="R49" s="1801">
        <v>184637.88888888888</v>
      </c>
      <c r="S49" s="1802">
        <f t="shared" si="0"/>
        <v>2.1422304618351259E-2</v>
      </c>
      <c r="T49" s="1802">
        <f t="shared" si="1"/>
        <v>-9.6378760952131923E-2</v>
      </c>
      <c r="U49" s="1802">
        <f t="shared" si="2"/>
        <v>9.9386828755849421E-2</v>
      </c>
      <c r="V49" s="1802">
        <f t="shared" si="3"/>
        <v>0.13006867764835023</v>
      </c>
      <c r="W49" s="1802"/>
      <c r="X49" s="1802">
        <f t="shared" si="4"/>
        <v>9.7726037270267456E-3</v>
      </c>
      <c r="Y49" s="1802">
        <f t="shared" si="5"/>
        <v>3.6311916237247562E-2</v>
      </c>
      <c r="Z49" s="1802">
        <f t="shared" si="6"/>
        <v>3.6311916237247596E-2</v>
      </c>
    </row>
    <row r="50" spans="1:26" s="1735" customFormat="1" ht="13.2">
      <c r="A50" s="1798" t="s">
        <v>1624</v>
      </c>
      <c r="B50" s="1799">
        <v>1136443</v>
      </c>
      <c r="C50" s="1799">
        <v>198286</v>
      </c>
      <c r="D50" s="1799">
        <v>731813</v>
      </c>
      <c r="E50" s="1799">
        <v>66745</v>
      </c>
      <c r="F50" s="1799">
        <v>0</v>
      </c>
      <c r="G50" s="1799">
        <v>306022</v>
      </c>
      <c r="H50" s="1799">
        <v>2439309</v>
      </c>
      <c r="I50" s="1799">
        <v>135517.16666666666</v>
      </c>
      <c r="J50" s="1800" t="s">
        <v>1624</v>
      </c>
      <c r="K50" s="1801">
        <v>1117841</v>
      </c>
      <c r="L50" s="1801">
        <v>188808</v>
      </c>
      <c r="M50" s="1801">
        <v>674465</v>
      </c>
      <c r="N50" s="1801">
        <v>79875</v>
      </c>
      <c r="O50" s="1801">
        <v>0</v>
      </c>
      <c r="P50" s="1801">
        <v>299254</v>
      </c>
      <c r="Q50" s="1801">
        <v>2360243</v>
      </c>
      <c r="R50" s="1801">
        <v>131124.61111111112</v>
      </c>
      <c r="S50" s="1802">
        <f t="shared" si="0"/>
        <v>1.6641007084191761E-2</v>
      </c>
      <c r="T50" s="1802">
        <f t="shared" si="1"/>
        <v>5.0199144104063384E-2</v>
      </c>
      <c r="U50" s="1802">
        <f t="shared" si="2"/>
        <v>8.502739208113097E-2</v>
      </c>
      <c r="V50" s="1802">
        <f t="shared" si="3"/>
        <v>-0.16438184663536776</v>
      </c>
      <c r="W50" s="1802"/>
      <c r="X50" s="1802">
        <f t="shared" si="4"/>
        <v>2.2616239047765444E-2</v>
      </c>
      <c r="Y50" s="1802">
        <f t="shared" si="5"/>
        <v>3.3499093101854345E-2</v>
      </c>
      <c r="Z50" s="1802">
        <f t="shared" si="6"/>
        <v>3.3499093101854165E-2</v>
      </c>
    </row>
    <row r="51" spans="1:26" s="1735" customFormat="1" ht="13.2">
      <c r="A51" s="1798" t="s">
        <v>1201</v>
      </c>
      <c r="B51" s="1799">
        <v>1176894</v>
      </c>
      <c r="C51" s="1799">
        <v>243129</v>
      </c>
      <c r="D51" s="1799">
        <v>703453</v>
      </c>
      <c r="E51" s="1799">
        <v>186585</v>
      </c>
      <c r="F51" s="1799">
        <v>203556</v>
      </c>
      <c r="G51" s="1799">
        <v>159179</v>
      </c>
      <c r="H51" s="1799">
        <v>2672796</v>
      </c>
      <c r="I51" s="1799">
        <v>148488.66666666666</v>
      </c>
      <c r="J51" s="1800" t="s">
        <v>1201</v>
      </c>
      <c r="K51" s="1801">
        <v>1195083</v>
      </c>
      <c r="L51" s="1801">
        <v>241322</v>
      </c>
      <c r="M51" s="1801">
        <v>620459</v>
      </c>
      <c r="N51" s="1801">
        <v>235870</v>
      </c>
      <c r="O51" s="1801">
        <v>164408</v>
      </c>
      <c r="P51" s="1801">
        <v>156404</v>
      </c>
      <c r="Q51" s="1801">
        <v>2613546</v>
      </c>
      <c r="R51" s="1801">
        <v>145197</v>
      </c>
      <c r="S51" s="1802">
        <f t="shared" si="0"/>
        <v>-1.5219863390241515E-2</v>
      </c>
      <c r="T51" s="1802">
        <f t="shared" si="1"/>
        <v>7.4879207034584498E-3</v>
      </c>
      <c r="U51" s="1802">
        <f t="shared" si="2"/>
        <v>0.13376226309877043</v>
      </c>
      <c r="V51" s="1802">
        <f t="shared" si="3"/>
        <v>-0.20894984525374147</v>
      </c>
      <c r="W51" s="1802">
        <f>(F51-O51)/O51</f>
        <v>0.23811493357987445</v>
      </c>
      <c r="X51" s="1802">
        <f t="shared" si="4"/>
        <v>1.7742512979207693E-2</v>
      </c>
      <c r="Y51" s="1802">
        <f t="shared" si="5"/>
        <v>2.2670349020066989E-2</v>
      </c>
      <c r="Z51" s="1802">
        <f t="shared" si="6"/>
        <v>2.2670349020066923E-2</v>
      </c>
    </row>
    <row r="52" spans="1:26" s="1735" customFormat="1" ht="13.2">
      <c r="A52" s="1807" t="s">
        <v>262</v>
      </c>
      <c r="B52" s="1808">
        <v>1329085</v>
      </c>
      <c r="C52" s="1808">
        <v>366581</v>
      </c>
      <c r="D52" s="1808">
        <v>975099</v>
      </c>
      <c r="E52" s="1808">
        <v>579528</v>
      </c>
      <c r="F52" s="1808">
        <v>186387</v>
      </c>
      <c r="G52" s="1808">
        <v>142152</v>
      </c>
      <c r="H52" s="1808">
        <v>3578832</v>
      </c>
      <c r="I52" s="1808">
        <v>198824</v>
      </c>
      <c r="J52" s="1809" t="s">
        <v>262</v>
      </c>
      <c r="K52" s="1810">
        <v>1092104</v>
      </c>
      <c r="L52" s="1810">
        <v>329330</v>
      </c>
      <c r="M52" s="1810">
        <v>408749</v>
      </c>
      <c r="N52" s="1810">
        <v>210311</v>
      </c>
      <c r="O52" s="1810">
        <v>185922</v>
      </c>
      <c r="P52" s="1810">
        <v>489601</v>
      </c>
      <c r="Q52" s="1810">
        <v>2716017</v>
      </c>
      <c r="R52" s="1810">
        <v>150889.83333333334</v>
      </c>
      <c r="S52" s="1811">
        <f t="shared" si="0"/>
        <v>0.21699490158446449</v>
      </c>
      <c r="T52" s="1811">
        <f t="shared" si="1"/>
        <v>0.11311146873956214</v>
      </c>
      <c r="U52" s="1811">
        <f t="shared" si="2"/>
        <v>1.3855691390070679</v>
      </c>
      <c r="V52" s="1811">
        <f t="shared" si="3"/>
        <v>1.7555762656256686</v>
      </c>
      <c r="W52" s="1811">
        <f>(F52-O52)/O52</f>
        <v>2.5010488269274211E-3</v>
      </c>
      <c r="X52" s="1811">
        <f t="shared" si="4"/>
        <v>-0.7096574557650005</v>
      </c>
      <c r="Y52" s="1811">
        <f t="shared" si="5"/>
        <v>0.31767658302580581</v>
      </c>
      <c r="Z52" s="1811">
        <f t="shared" si="6"/>
        <v>0.3176765830258057</v>
      </c>
    </row>
    <row r="53" spans="1:26" s="1735" customFormat="1" ht="13.2">
      <c r="A53" s="850" t="s">
        <v>1146</v>
      </c>
      <c r="B53" s="1799">
        <v>294509</v>
      </c>
      <c r="C53" s="1799">
        <v>81172</v>
      </c>
      <c r="D53" s="1799">
        <v>157821</v>
      </c>
      <c r="E53" s="1799">
        <v>111434</v>
      </c>
      <c r="F53" s="1799">
        <v>26818</v>
      </c>
      <c r="G53" s="1799">
        <v>7219</v>
      </c>
      <c r="H53" s="1799">
        <v>678973</v>
      </c>
      <c r="I53" s="1799">
        <v>37720.722222222219</v>
      </c>
      <c r="J53" s="850" t="s">
        <v>1146</v>
      </c>
      <c r="K53" s="1801">
        <v>275409</v>
      </c>
      <c r="L53" s="1801">
        <v>85848</v>
      </c>
      <c r="M53" s="1801">
        <v>150324</v>
      </c>
      <c r="N53" s="1801">
        <v>106273</v>
      </c>
      <c r="O53" s="1801">
        <v>26714</v>
      </c>
      <c r="P53" s="1801">
        <v>7945</v>
      </c>
      <c r="Q53" s="1801">
        <v>652513</v>
      </c>
      <c r="R53" s="1801">
        <v>36250.722222222219</v>
      </c>
      <c r="S53" s="1802">
        <f t="shared" si="0"/>
        <v>6.9351401007229252E-2</v>
      </c>
      <c r="T53" s="1802">
        <f t="shared" si="1"/>
        <v>-5.4468362687540767E-2</v>
      </c>
      <c r="U53" s="1802">
        <f t="shared" si="2"/>
        <v>4.9872275884090364E-2</v>
      </c>
      <c r="V53" s="1802">
        <f t="shared" si="3"/>
        <v>4.8563605054905763E-2</v>
      </c>
      <c r="W53" s="1802">
        <f>(F53-O53)/O53</f>
        <v>3.8930897656659432E-3</v>
      </c>
      <c r="X53" s="1802">
        <f t="shared" si="4"/>
        <v>-9.1378225298930138E-2</v>
      </c>
      <c r="Y53" s="1802">
        <f t="shared" si="5"/>
        <v>4.0550916226956397E-2</v>
      </c>
      <c r="Z53" s="1802">
        <f t="shared" si="6"/>
        <v>4.0550916226956404E-2</v>
      </c>
    </row>
    <row r="54" spans="1:26" s="1735" customFormat="1" ht="13.2"/>
    <row r="57" spans="1:26">
      <c r="A57" s="1804" t="s">
        <v>1873</v>
      </c>
    </row>
    <row r="58" spans="1:26">
      <c r="A58" s="1807" t="s">
        <v>839</v>
      </c>
      <c r="B58" s="1814">
        <v>1622743</v>
      </c>
      <c r="C58" s="1814">
        <v>215163</v>
      </c>
      <c r="D58" s="1814">
        <v>453888</v>
      </c>
      <c r="E58" s="1814">
        <v>143805</v>
      </c>
      <c r="F58" s="1814">
        <v>0</v>
      </c>
      <c r="G58" s="1814">
        <v>353258</v>
      </c>
      <c r="H58" s="1814">
        <v>2788857</v>
      </c>
      <c r="I58" s="1814">
        <v>77468.25</v>
      </c>
      <c r="J58" s="1809" t="s">
        <v>839</v>
      </c>
      <c r="K58" s="1815">
        <v>1304835</v>
      </c>
      <c r="L58" s="1815">
        <v>193145</v>
      </c>
      <c r="M58" s="1815">
        <v>392825</v>
      </c>
      <c r="N58" s="1815">
        <v>118660</v>
      </c>
      <c r="O58" s="1815">
        <v>0</v>
      </c>
      <c r="P58" s="1815">
        <v>311548</v>
      </c>
      <c r="Q58" s="1815">
        <v>2321013</v>
      </c>
      <c r="R58" s="1815">
        <v>64472.583333333336</v>
      </c>
      <c r="S58" s="1811">
        <f>(B58-K58)/K58</f>
        <v>0.24363846769898109</v>
      </c>
      <c r="T58" s="1811">
        <f>(C58-L58)/L58</f>
        <v>0.11399725594760413</v>
      </c>
      <c r="U58" s="1811">
        <f>(D58-M58)/M58</f>
        <v>0.15544580920257112</v>
      </c>
      <c r="V58" s="1811">
        <f>(E58-N58)/N58</f>
        <v>0.21190797235799763</v>
      </c>
      <c r="W58" s="1811"/>
      <c r="X58" s="1811">
        <f>(G58-P58)/P58</f>
        <v>0.13387985157985285</v>
      </c>
      <c r="Y58" s="1811">
        <f>(H58-Q58)/Q58</f>
        <v>0.20156888393128344</v>
      </c>
      <c r="Z58" s="1811">
        <f>(I58-R58)/R58</f>
        <v>0.20156888393128342</v>
      </c>
    </row>
    <row r="59" spans="1:26">
      <c r="A59" s="1798" t="s">
        <v>1138</v>
      </c>
      <c r="B59" s="1812">
        <v>1337172</v>
      </c>
      <c r="C59" s="1812">
        <v>296896</v>
      </c>
      <c r="D59" s="1812">
        <v>832274</v>
      </c>
      <c r="E59" s="1812">
        <v>260263</v>
      </c>
      <c r="F59" s="1812">
        <v>0</v>
      </c>
      <c r="G59" s="1812">
        <v>155440</v>
      </c>
      <c r="H59" s="1812">
        <v>2882045</v>
      </c>
      <c r="I59" s="1812">
        <v>80056.805555555562</v>
      </c>
      <c r="J59" s="1800" t="s">
        <v>1138</v>
      </c>
      <c r="K59" s="1813">
        <v>1303334</v>
      </c>
      <c r="L59" s="1813">
        <v>320321</v>
      </c>
      <c r="M59" s="1813">
        <v>484530</v>
      </c>
      <c r="N59" s="1813">
        <v>185817</v>
      </c>
      <c r="O59" s="1813">
        <v>0</v>
      </c>
      <c r="P59" s="1813">
        <v>420664</v>
      </c>
      <c r="Q59" s="1813">
        <v>2714666</v>
      </c>
      <c r="R59" s="1813">
        <v>75407.388888888891</v>
      </c>
      <c r="S59" s="1802">
        <f t="shared" ref="S59:S65" si="7">(B59-K59)/K59</f>
        <v>2.5962646566421194E-2</v>
      </c>
      <c r="T59" s="1802">
        <f t="shared" ref="T59:T65" si="8">(C59-L59)/L59</f>
        <v>-7.312976670277628E-2</v>
      </c>
      <c r="U59" s="1802">
        <f t="shared" ref="U59:U65" si="9">(D59-M59)/M59</f>
        <v>0.71769343487503356</v>
      </c>
      <c r="V59" s="1802">
        <f t="shared" ref="V59:V65" si="10">(E59-N59)/N59</f>
        <v>0.40064149135977872</v>
      </c>
      <c r="W59" s="1802"/>
      <c r="X59" s="1802">
        <f t="shared" ref="X59:X65" si="11">(G59-P59)/P59</f>
        <v>-0.6304889412928133</v>
      </c>
      <c r="Y59" s="1802">
        <f t="shared" ref="Y59:Y65" si="12">(H59-Q59)/Q59</f>
        <v>6.1657308854938322E-2</v>
      </c>
      <c r="Z59" s="1802">
        <f t="shared" ref="Z59:Z65" si="13">(I59-R59)/R59</f>
        <v>6.1657308854938385E-2</v>
      </c>
    </row>
    <row r="60" spans="1:26">
      <c r="A60" s="889" t="s">
        <v>1027</v>
      </c>
      <c r="B60" s="1812">
        <v>2867314</v>
      </c>
      <c r="C60" s="1812">
        <v>603308</v>
      </c>
      <c r="D60" s="1812">
        <v>1445639</v>
      </c>
      <c r="E60" s="1812">
        <v>512557</v>
      </c>
      <c r="F60" s="1812">
        <v>0</v>
      </c>
      <c r="G60" s="1812">
        <v>856086</v>
      </c>
      <c r="H60" s="1812">
        <v>6284904</v>
      </c>
      <c r="I60" s="1812">
        <v>116387.11111111111</v>
      </c>
      <c r="J60" s="1800" t="s">
        <v>1027</v>
      </c>
      <c r="K60" s="1813">
        <v>2815651</v>
      </c>
      <c r="L60" s="1813">
        <v>655264</v>
      </c>
      <c r="M60" s="1813">
        <v>1297206</v>
      </c>
      <c r="N60" s="1813">
        <v>436363</v>
      </c>
      <c r="O60" s="1813">
        <v>3881</v>
      </c>
      <c r="P60" s="1813">
        <v>653280</v>
      </c>
      <c r="Q60" s="1813">
        <v>5861645</v>
      </c>
      <c r="R60" s="1813">
        <v>108548.98148148147</v>
      </c>
      <c r="S60" s="1802">
        <f t="shared" si="7"/>
        <v>1.8348509811762892E-2</v>
      </c>
      <c r="T60" s="1802">
        <f t="shared" si="8"/>
        <v>-7.9290179225472476E-2</v>
      </c>
      <c r="U60" s="1802">
        <f t="shared" si="9"/>
        <v>0.11442515683707907</v>
      </c>
      <c r="V60" s="1802">
        <f t="shared" si="10"/>
        <v>0.1746115046417776</v>
      </c>
      <c r="W60" s="1802"/>
      <c r="X60" s="1802">
        <f t="shared" si="11"/>
        <v>0.31044268919911827</v>
      </c>
      <c r="Y60" s="1802">
        <f t="shared" si="12"/>
        <v>7.2208228236271557E-2</v>
      </c>
      <c r="Z60" s="1802">
        <f t="shared" si="13"/>
        <v>7.2208228236271613E-2</v>
      </c>
    </row>
    <row r="61" spans="1:26">
      <c r="A61" s="1798" t="s">
        <v>1313</v>
      </c>
      <c r="B61" s="1812">
        <v>2163707</v>
      </c>
      <c r="C61" s="1812">
        <v>359156</v>
      </c>
      <c r="D61" s="1812">
        <v>1014980</v>
      </c>
      <c r="E61" s="1812">
        <v>374468</v>
      </c>
      <c r="F61" s="1812">
        <v>7627</v>
      </c>
      <c r="G61" s="1812">
        <v>294999</v>
      </c>
      <c r="H61" s="1812">
        <v>4214937</v>
      </c>
      <c r="I61" s="1812">
        <v>117081.58333333333</v>
      </c>
      <c r="J61" s="1800" t="s">
        <v>1313</v>
      </c>
      <c r="K61" s="1813">
        <v>2095549</v>
      </c>
      <c r="L61" s="1813">
        <v>363631</v>
      </c>
      <c r="M61" s="1813">
        <v>907379</v>
      </c>
      <c r="N61" s="1813">
        <v>318551</v>
      </c>
      <c r="O61" s="1813">
        <v>7627</v>
      </c>
      <c r="P61" s="1813">
        <v>305562</v>
      </c>
      <c r="Q61" s="1813">
        <v>3998299</v>
      </c>
      <c r="R61" s="1813">
        <v>111063.86111111111</v>
      </c>
      <c r="S61" s="1802">
        <f t="shared" si="7"/>
        <v>3.2525128259945246E-2</v>
      </c>
      <c r="T61" s="1802">
        <f t="shared" si="8"/>
        <v>-1.2306431519864918E-2</v>
      </c>
      <c r="U61" s="1802">
        <f t="shared" si="9"/>
        <v>0.11858440629549505</v>
      </c>
      <c r="V61" s="1802">
        <f t="shared" si="10"/>
        <v>0.17553547155714469</v>
      </c>
      <c r="W61" s="1802"/>
      <c r="X61" s="1802">
        <f t="shared" si="11"/>
        <v>-3.4569089088302862E-2</v>
      </c>
      <c r="Y61" s="1802">
        <f t="shared" si="12"/>
        <v>5.4182541125613666E-2</v>
      </c>
      <c r="Z61" s="1802">
        <f t="shared" si="13"/>
        <v>5.4182541125613638E-2</v>
      </c>
    </row>
    <row r="62" spans="1:26">
      <c r="A62" s="1798" t="s">
        <v>1135</v>
      </c>
      <c r="B62" s="1812">
        <v>1181138</v>
      </c>
      <c r="C62" s="1812">
        <v>376486</v>
      </c>
      <c r="D62" s="1812">
        <v>574807</v>
      </c>
      <c r="E62" s="1812">
        <v>159649</v>
      </c>
      <c r="F62" s="1812">
        <v>286515</v>
      </c>
      <c r="G62" s="1812">
        <v>343940</v>
      </c>
      <c r="H62" s="1812">
        <v>2922535</v>
      </c>
      <c r="I62" s="1812">
        <v>81181.527777777781</v>
      </c>
      <c r="J62" s="1800" t="s">
        <v>1135</v>
      </c>
      <c r="K62" s="1813">
        <v>1190721</v>
      </c>
      <c r="L62" s="1813">
        <v>405008</v>
      </c>
      <c r="M62" s="1813">
        <v>598697</v>
      </c>
      <c r="N62" s="1813">
        <v>217360</v>
      </c>
      <c r="O62" s="1813">
        <v>273162</v>
      </c>
      <c r="P62" s="1813">
        <v>236802</v>
      </c>
      <c r="Q62" s="1813">
        <v>2921750</v>
      </c>
      <c r="R62" s="1813">
        <v>81159.722222222219</v>
      </c>
      <c r="S62" s="1802">
        <f t="shared" si="7"/>
        <v>-8.0480649959142406E-3</v>
      </c>
      <c r="T62" s="1802">
        <f t="shared" si="8"/>
        <v>-7.0423300280488293E-2</v>
      </c>
      <c r="U62" s="1802">
        <f t="shared" si="9"/>
        <v>-3.9903323383948808E-2</v>
      </c>
      <c r="V62" s="1802">
        <f t="shared" si="10"/>
        <v>-0.26550883327199115</v>
      </c>
      <c r="W62" s="1802"/>
      <c r="X62" s="1802">
        <f t="shared" si="11"/>
        <v>0.45243705711944998</v>
      </c>
      <c r="Y62" s="1802">
        <f t="shared" si="12"/>
        <v>2.6867459570462907E-4</v>
      </c>
      <c r="Z62" s="1802">
        <f t="shared" si="13"/>
        <v>2.6867459570470876E-4</v>
      </c>
    </row>
    <row r="63" spans="1:26">
      <c r="A63" s="1807" t="s">
        <v>1849</v>
      </c>
      <c r="B63" s="1814">
        <v>792062</v>
      </c>
      <c r="C63" s="1814">
        <v>161928</v>
      </c>
      <c r="D63" s="1814">
        <v>835602</v>
      </c>
      <c r="E63" s="1814">
        <v>262007</v>
      </c>
      <c r="F63" s="1814">
        <v>103575</v>
      </c>
      <c r="G63" s="1814">
        <v>1025353</v>
      </c>
      <c r="H63" s="1814">
        <v>3180527</v>
      </c>
      <c r="I63" s="1814">
        <v>88347.972222222219</v>
      </c>
      <c r="J63" s="1816"/>
      <c r="K63" s="1816"/>
      <c r="L63" s="1816"/>
      <c r="M63" s="1816"/>
      <c r="N63" s="1816"/>
      <c r="O63" s="1816"/>
      <c r="P63" s="1816"/>
      <c r="Q63" s="1816"/>
      <c r="R63" s="1816"/>
      <c r="S63" s="1811"/>
      <c r="T63" s="1811"/>
      <c r="U63" s="1811"/>
      <c r="V63" s="1811"/>
      <c r="W63" s="1811"/>
      <c r="X63" s="1811"/>
      <c r="Y63" s="1811"/>
      <c r="Z63" s="1811"/>
    </row>
    <row r="64" spans="1:26">
      <c r="A64" s="1798" t="s">
        <v>553</v>
      </c>
      <c r="B64" s="1812">
        <v>1222663</v>
      </c>
      <c r="C64" s="1812">
        <v>255685</v>
      </c>
      <c r="D64" s="1812">
        <v>645009</v>
      </c>
      <c r="E64" s="1812">
        <v>103165</v>
      </c>
      <c r="F64" s="1812">
        <v>402740</v>
      </c>
      <c r="G64" s="1812">
        <v>168890</v>
      </c>
      <c r="H64" s="1812">
        <v>2798152</v>
      </c>
      <c r="I64" s="1812">
        <v>103635.25925925926</v>
      </c>
      <c r="J64" s="1800" t="s">
        <v>553</v>
      </c>
      <c r="K64" s="1813">
        <v>1172924</v>
      </c>
      <c r="L64" s="1813">
        <v>245068</v>
      </c>
      <c r="M64" s="1813">
        <v>641625</v>
      </c>
      <c r="N64" s="1813">
        <v>89066</v>
      </c>
      <c r="O64" s="1813">
        <v>390907</v>
      </c>
      <c r="P64" s="1813">
        <v>210840</v>
      </c>
      <c r="Q64" s="1813">
        <v>2750430</v>
      </c>
      <c r="R64" s="1813">
        <v>101867.77777777778</v>
      </c>
      <c r="S64" s="1802">
        <f t="shared" si="7"/>
        <v>4.240598708867753E-2</v>
      </c>
      <c r="T64" s="1802">
        <f t="shared" si="8"/>
        <v>4.3322669626389414E-2</v>
      </c>
      <c r="U64" s="1802">
        <f t="shared" si="9"/>
        <v>5.2741087083576855E-3</v>
      </c>
      <c r="V64" s="1802">
        <f t="shared" si="10"/>
        <v>0.15829834055644129</v>
      </c>
      <c r="W64" s="1802"/>
      <c r="X64" s="1802">
        <f t="shared" si="11"/>
        <v>-0.19896604059950673</v>
      </c>
      <c r="Y64" s="1802">
        <f t="shared" si="12"/>
        <v>1.7350741520416806E-2</v>
      </c>
      <c r="Z64" s="1802">
        <f t="shared" si="13"/>
        <v>1.7350741520416737E-2</v>
      </c>
    </row>
    <row r="65" spans="1:26">
      <c r="A65" s="1798" t="s">
        <v>620</v>
      </c>
      <c r="B65" s="1812">
        <v>1297278</v>
      </c>
      <c r="C65" s="1812">
        <v>338180</v>
      </c>
      <c r="D65" s="1812">
        <v>1003992</v>
      </c>
      <c r="E65" s="1812">
        <v>103529</v>
      </c>
      <c r="F65" s="1812">
        <v>0</v>
      </c>
      <c r="G65" s="1812">
        <v>394418</v>
      </c>
      <c r="H65" s="1812">
        <v>3137397</v>
      </c>
      <c r="I65" s="1812">
        <v>58099.944444444445</v>
      </c>
      <c r="J65" s="1800" t="s">
        <v>620</v>
      </c>
      <c r="K65" s="1813">
        <v>1234823</v>
      </c>
      <c r="L65" s="1813">
        <v>312485</v>
      </c>
      <c r="M65" s="1813">
        <v>968617</v>
      </c>
      <c r="N65" s="1813">
        <v>106921</v>
      </c>
      <c r="O65" s="1813">
        <v>0</v>
      </c>
      <c r="P65" s="1813">
        <v>351641</v>
      </c>
      <c r="Q65" s="1813">
        <v>2974487</v>
      </c>
      <c r="R65" s="1813">
        <v>55083.092592592591</v>
      </c>
      <c r="S65" s="1802">
        <f t="shared" si="7"/>
        <v>5.057809904739384E-2</v>
      </c>
      <c r="T65" s="1802">
        <f t="shared" si="8"/>
        <v>8.2227946941453189E-2</v>
      </c>
      <c r="U65" s="1802">
        <f t="shared" si="9"/>
        <v>3.6521143031765908E-2</v>
      </c>
      <c r="V65" s="1802">
        <f t="shared" si="10"/>
        <v>-3.1724357235716087E-2</v>
      </c>
      <c r="W65" s="1802"/>
      <c r="X65" s="1802">
        <f t="shared" si="11"/>
        <v>0.12164963698772327</v>
      </c>
      <c r="Y65" s="1802">
        <f t="shared" si="12"/>
        <v>5.4769108084856313E-2</v>
      </c>
      <c r="Z65" s="1802">
        <f t="shared" si="13"/>
        <v>5.4769108084856355E-2</v>
      </c>
    </row>
    <row r="70" spans="1:26" ht="15.6">
      <c r="A70" s="1826" t="s">
        <v>1880</v>
      </c>
    </row>
    <row r="72" spans="1:26">
      <c r="A72" s="1824"/>
      <c r="B72" s="1824" t="s">
        <v>1875</v>
      </c>
      <c r="C72" s="1824"/>
      <c r="D72" s="1824"/>
      <c r="F72" s="1824"/>
      <c r="G72" s="1824" t="s">
        <v>1876</v>
      </c>
      <c r="H72" s="1824"/>
      <c r="I72" s="1824"/>
      <c r="K72" s="1824"/>
      <c r="L72" s="1824" t="s">
        <v>1877</v>
      </c>
      <c r="M72" s="1824"/>
      <c r="N72" s="1824"/>
    </row>
    <row r="74" spans="1:26" ht="39.6">
      <c r="A74" s="1823" t="s">
        <v>0</v>
      </c>
      <c r="B74" s="1817" t="s">
        <v>106</v>
      </c>
      <c r="C74" s="1817" t="s">
        <v>107</v>
      </c>
      <c r="D74" s="1817" t="s">
        <v>108</v>
      </c>
      <c r="E74" s="1735"/>
      <c r="F74" s="1823" t="s">
        <v>0</v>
      </c>
      <c r="G74" s="1817" t="s">
        <v>106</v>
      </c>
      <c r="H74" s="1817" t="s">
        <v>107</v>
      </c>
      <c r="I74" s="1817" t="s">
        <v>108</v>
      </c>
      <c r="J74" s="1735"/>
      <c r="K74" s="1823" t="s">
        <v>0</v>
      </c>
      <c r="L74" s="1817" t="s">
        <v>106</v>
      </c>
      <c r="M74" s="1817" t="s">
        <v>107</v>
      </c>
      <c r="N74" s="1817" t="s">
        <v>108</v>
      </c>
    </row>
    <row r="75" spans="1:26">
      <c r="A75" s="1798" t="s">
        <v>698</v>
      </c>
      <c r="B75" s="1812">
        <v>20000</v>
      </c>
      <c r="C75" s="1812">
        <v>25000</v>
      </c>
      <c r="D75" s="1812">
        <v>45000</v>
      </c>
      <c r="E75" s="1735"/>
      <c r="F75" s="1800" t="s">
        <v>698</v>
      </c>
      <c r="G75" s="1813">
        <v>20000</v>
      </c>
      <c r="H75" s="1813">
        <v>22500</v>
      </c>
      <c r="I75" s="1813">
        <v>42500</v>
      </c>
      <c r="J75" s="1735"/>
      <c r="K75" s="1796" t="b">
        <f>A75=F75</f>
        <v>1</v>
      </c>
      <c r="L75" s="1735">
        <f>B75-G75</f>
        <v>0</v>
      </c>
      <c r="M75" s="1735">
        <f t="shared" ref="M75:N75" si="14">C75-H75</f>
        <v>2500</v>
      </c>
      <c r="N75" s="1735">
        <f t="shared" si="14"/>
        <v>2500</v>
      </c>
    </row>
    <row r="76" spans="1:26">
      <c r="A76" s="850" t="s">
        <v>1405</v>
      </c>
      <c r="B76" s="1812">
        <v>50000</v>
      </c>
      <c r="C76" s="1812">
        <v>103600</v>
      </c>
      <c r="D76" s="1812">
        <v>153600</v>
      </c>
      <c r="E76" s="1735"/>
      <c r="F76" s="850" t="s">
        <v>1405</v>
      </c>
      <c r="G76" s="1813">
        <v>50000</v>
      </c>
      <c r="H76" s="1813">
        <v>65000</v>
      </c>
      <c r="I76" s="1813">
        <v>115000</v>
      </c>
      <c r="J76" s="1735"/>
      <c r="K76" s="1796" t="b">
        <f t="shared" ref="K76:K139" si="15">A76=F76</f>
        <v>1</v>
      </c>
      <c r="L76" s="1735">
        <f t="shared" ref="L76:L139" si="16">B76-G76</f>
        <v>0</v>
      </c>
      <c r="M76" s="1735">
        <f t="shared" ref="M76:M139" si="17">C76-H76</f>
        <v>38600</v>
      </c>
      <c r="N76" s="1735">
        <f t="shared" ref="N76:N139" si="18">D76-I76</f>
        <v>38600</v>
      </c>
    </row>
    <row r="77" spans="1:26">
      <c r="A77" s="1798" t="s">
        <v>958</v>
      </c>
      <c r="B77" s="1812">
        <v>68000</v>
      </c>
      <c r="C77" s="1812">
        <v>62000</v>
      </c>
      <c r="D77" s="1812">
        <v>130000</v>
      </c>
      <c r="E77" s="1735"/>
      <c r="F77" s="1800" t="s">
        <v>958</v>
      </c>
      <c r="G77" s="1813">
        <v>68000</v>
      </c>
      <c r="H77" s="1813">
        <v>62000</v>
      </c>
      <c r="I77" s="1813">
        <v>130000</v>
      </c>
      <c r="J77" s="1735"/>
      <c r="K77" s="1796" t="b">
        <f t="shared" si="15"/>
        <v>1</v>
      </c>
      <c r="L77" s="1735">
        <f t="shared" si="16"/>
        <v>0</v>
      </c>
      <c r="M77" s="1735">
        <f t="shared" si="17"/>
        <v>0</v>
      </c>
      <c r="N77" s="1735">
        <f t="shared" si="18"/>
        <v>0</v>
      </c>
    </row>
    <row r="78" spans="1:26">
      <c r="A78" s="1798" t="s">
        <v>1406</v>
      </c>
      <c r="B78" s="1812">
        <v>0</v>
      </c>
      <c r="C78" s="1812">
        <v>40000</v>
      </c>
      <c r="D78" s="1812">
        <v>40000</v>
      </c>
      <c r="E78" s="1735"/>
      <c r="F78" s="1800" t="s">
        <v>1406</v>
      </c>
      <c r="G78" s="1813">
        <v>0</v>
      </c>
      <c r="H78" s="1813">
        <v>25000</v>
      </c>
      <c r="I78" s="1813">
        <v>25000</v>
      </c>
      <c r="J78" s="1735"/>
      <c r="K78" s="1796" t="b">
        <f t="shared" si="15"/>
        <v>1</v>
      </c>
      <c r="L78" s="1735">
        <f t="shared" si="16"/>
        <v>0</v>
      </c>
      <c r="M78" s="1735">
        <f t="shared" si="17"/>
        <v>15000</v>
      </c>
      <c r="N78" s="1735">
        <f t="shared" si="18"/>
        <v>15000</v>
      </c>
    </row>
    <row r="79" spans="1:26">
      <c r="A79" s="1800" t="s">
        <v>1018</v>
      </c>
      <c r="B79" s="1813">
        <v>0</v>
      </c>
      <c r="C79" s="1813">
        <v>0</v>
      </c>
      <c r="D79" s="1813">
        <v>0</v>
      </c>
      <c r="E79" s="1735"/>
      <c r="F79" s="1800" t="s">
        <v>1018</v>
      </c>
      <c r="G79" s="1813">
        <v>0</v>
      </c>
      <c r="H79" s="1813">
        <v>5000</v>
      </c>
      <c r="I79" s="1813">
        <v>5000</v>
      </c>
      <c r="J79" s="1735"/>
      <c r="K79" s="1796" t="b">
        <f t="shared" si="15"/>
        <v>1</v>
      </c>
      <c r="L79" s="1735">
        <f t="shared" si="16"/>
        <v>0</v>
      </c>
      <c r="M79" s="1735">
        <f t="shared" si="17"/>
        <v>-5000</v>
      </c>
      <c r="N79" s="1735">
        <f t="shared" si="18"/>
        <v>-5000</v>
      </c>
    </row>
    <row r="80" spans="1:26">
      <c r="A80" s="1798" t="s">
        <v>1127</v>
      </c>
      <c r="B80" s="1812">
        <v>62500</v>
      </c>
      <c r="C80" s="1812">
        <v>187500</v>
      </c>
      <c r="D80" s="1812">
        <v>250000</v>
      </c>
      <c r="E80" s="1735"/>
      <c r="F80" s="1800" t="s">
        <v>1127</v>
      </c>
      <c r="G80" s="1813">
        <v>62500</v>
      </c>
      <c r="H80" s="1813">
        <v>187500</v>
      </c>
      <c r="I80" s="1813">
        <v>250000</v>
      </c>
      <c r="J80" s="1735"/>
      <c r="K80" s="1796" t="b">
        <f t="shared" si="15"/>
        <v>1</v>
      </c>
      <c r="L80" s="1735">
        <f t="shared" si="16"/>
        <v>0</v>
      </c>
      <c r="M80" s="1735">
        <f t="shared" si="17"/>
        <v>0</v>
      </c>
      <c r="N80" s="1735">
        <f t="shared" si="18"/>
        <v>0</v>
      </c>
    </row>
    <row r="81" spans="1:14">
      <c r="A81" s="1798" t="s">
        <v>701</v>
      </c>
      <c r="B81" s="1812">
        <v>0</v>
      </c>
      <c r="C81" s="1812">
        <v>43000</v>
      </c>
      <c r="D81" s="1812">
        <v>43000</v>
      </c>
      <c r="E81" s="1735"/>
      <c r="F81" s="1800" t="s">
        <v>701</v>
      </c>
      <c r="G81" s="1813">
        <v>0</v>
      </c>
      <c r="H81" s="1813">
        <v>22500</v>
      </c>
      <c r="I81" s="1813">
        <v>22500</v>
      </c>
      <c r="J81" s="1735"/>
      <c r="K81" s="1796" t="b">
        <f t="shared" si="15"/>
        <v>1</v>
      </c>
      <c r="L81" s="1735">
        <f t="shared" si="16"/>
        <v>0</v>
      </c>
      <c r="M81" s="1735">
        <f t="shared" si="17"/>
        <v>20500</v>
      </c>
      <c r="N81" s="1735">
        <f t="shared" si="18"/>
        <v>20500</v>
      </c>
    </row>
    <row r="82" spans="1:14">
      <c r="A82" s="1798" t="s">
        <v>266</v>
      </c>
      <c r="B82" s="1812">
        <v>0</v>
      </c>
      <c r="C82" s="1812">
        <v>60000</v>
      </c>
      <c r="D82" s="1812">
        <v>60000</v>
      </c>
      <c r="E82" s="1735"/>
      <c r="F82" s="1800" t="s">
        <v>266</v>
      </c>
      <c r="G82" s="1813">
        <v>0</v>
      </c>
      <c r="H82" s="1813">
        <v>45000</v>
      </c>
      <c r="I82" s="1813">
        <v>45000</v>
      </c>
      <c r="J82" s="1735"/>
      <c r="K82" s="1796" t="b">
        <f t="shared" si="15"/>
        <v>1</v>
      </c>
      <c r="L82" s="1735">
        <f t="shared" si="16"/>
        <v>0</v>
      </c>
      <c r="M82" s="1735">
        <f t="shared" si="17"/>
        <v>15000</v>
      </c>
      <c r="N82" s="1735">
        <f t="shared" si="18"/>
        <v>15000</v>
      </c>
    </row>
    <row r="83" spans="1:14">
      <c r="A83" s="850" t="s">
        <v>957</v>
      </c>
      <c r="B83" s="1812">
        <v>0</v>
      </c>
      <c r="C83" s="1812">
        <v>115000</v>
      </c>
      <c r="D83" s="1812">
        <v>115000</v>
      </c>
      <c r="E83" s="1735"/>
      <c r="F83" s="850" t="s">
        <v>957</v>
      </c>
      <c r="G83" s="1813">
        <v>0</v>
      </c>
      <c r="H83" s="1813">
        <v>95000</v>
      </c>
      <c r="I83" s="1813">
        <v>95000</v>
      </c>
      <c r="J83" s="1735"/>
      <c r="K83" s="1796" t="b">
        <f t="shared" si="15"/>
        <v>1</v>
      </c>
      <c r="L83" s="1735">
        <f t="shared" si="16"/>
        <v>0</v>
      </c>
      <c r="M83" s="1735">
        <f t="shared" si="17"/>
        <v>20000</v>
      </c>
      <c r="N83" s="1735">
        <f t="shared" si="18"/>
        <v>20000</v>
      </c>
    </row>
    <row r="84" spans="1:14">
      <c r="A84" s="1798" t="s">
        <v>1325</v>
      </c>
      <c r="B84" s="1812">
        <v>100</v>
      </c>
      <c r="C84" s="1812">
        <v>89900</v>
      </c>
      <c r="D84" s="1812">
        <v>90000</v>
      </c>
      <c r="E84" s="1735"/>
      <c r="F84" s="1800" t="s">
        <v>1325</v>
      </c>
      <c r="G84" s="1813">
        <v>100</v>
      </c>
      <c r="H84" s="1813">
        <v>69900</v>
      </c>
      <c r="I84" s="1813">
        <v>70000</v>
      </c>
      <c r="J84" s="1735"/>
      <c r="K84" s="1796" t="b">
        <f t="shared" si="15"/>
        <v>1</v>
      </c>
      <c r="L84" s="1735">
        <f t="shared" si="16"/>
        <v>0</v>
      </c>
      <c r="M84" s="1735">
        <f t="shared" si="17"/>
        <v>20000</v>
      </c>
      <c r="N84" s="1735">
        <f t="shared" si="18"/>
        <v>20000</v>
      </c>
    </row>
    <row r="85" spans="1:14">
      <c r="A85" s="1798" t="s">
        <v>637</v>
      </c>
      <c r="B85" s="1812">
        <v>30000</v>
      </c>
      <c r="C85" s="1812">
        <v>35000</v>
      </c>
      <c r="D85" s="1812">
        <v>65000</v>
      </c>
      <c r="E85" s="1735"/>
      <c r="F85" s="1800" t="s">
        <v>637</v>
      </c>
      <c r="G85" s="1813">
        <v>30000</v>
      </c>
      <c r="H85" s="1813">
        <v>35000</v>
      </c>
      <c r="I85" s="1813">
        <v>65000</v>
      </c>
      <c r="J85" s="1735"/>
      <c r="K85" s="1796" t="b">
        <f t="shared" si="15"/>
        <v>1</v>
      </c>
      <c r="L85" s="1735">
        <f t="shared" si="16"/>
        <v>0</v>
      </c>
      <c r="M85" s="1735">
        <f t="shared" si="17"/>
        <v>0</v>
      </c>
      <c r="N85" s="1735">
        <f t="shared" si="18"/>
        <v>0</v>
      </c>
    </row>
    <row r="86" spans="1:14">
      <c r="A86" s="1805" t="s">
        <v>1316</v>
      </c>
      <c r="B86" s="1818">
        <v>20000</v>
      </c>
      <c r="C86" s="1818">
        <v>70000</v>
      </c>
      <c r="D86" s="1818">
        <v>90000</v>
      </c>
      <c r="E86" s="1735"/>
      <c r="F86" s="1800" t="s">
        <v>1316</v>
      </c>
      <c r="G86" s="1813">
        <v>20000</v>
      </c>
      <c r="H86" s="1813">
        <v>70000</v>
      </c>
      <c r="I86" s="1813">
        <v>90000</v>
      </c>
      <c r="J86" s="1735"/>
      <c r="K86" s="1796" t="b">
        <f t="shared" si="15"/>
        <v>1</v>
      </c>
      <c r="L86" s="1735">
        <f t="shared" si="16"/>
        <v>0</v>
      </c>
      <c r="M86" s="1735">
        <f t="shared" si="17"/>
        <v>0</v>
      </c>
      <c r="N86" s="1735">
        <f t="shared" si="18"/>
        <v>0</v>
      </c>
    </row>
    <row r="87" spans="1:14">
      <c r="A87" s="1798" t="s">
        <v>624</v>
      </c>
      <c r="B87" s="1812">
        <v>0</v>
      </c>
      <c r="C87" s="1812">
        <v>110000</v>
      </c>
      <c r="D87" s="1812">
        <v>110000</v>
      </c>
      <c r="E87" s="1735"/>
      <c r="F87" s="1800" t="s">
        <v>624</v>
      </c>
      <c r="G87" s="1813">
        <v>0</v>
      </c>
      <c r="H87" s="1813">
        <v>95000</v>
      </c>
      <c r="I87" s="1813">
        <v>95000</v>
      </c>
      <c r="J87" s="1735"/>
      <c r="K87" s="1796" t="b">
        <f t="shared" si="15"/>
        <v>1</v>
      </c>
      <c r="L87" s="1735">
        <f t="shared" si="16"/>
        <v>0</v>
      </c>
      <c r="M87" s="1735">
        <f t="shared" si="17"/>
        <v>15000</v>
      </c>
      <c r="N87" s="1735">
        <f t="shared" si="18"/>
        <v>15000</v>
      </c>
    </row>
    <row r="88" spans="1:14">
      <c r="A88" s="1798" t="s">
        <v>1006</v>
      </c>
      <c r="B88" s="1812">
        <v>0</v>
      </c>
      <c r="C88" s="1812">
        <v>90000</v>
      </c>
      <c r="D88" s="1812">
        <v>90000</v>
      </c>
      <c r="E88" s="1735"/>
      <c r="F88" s="850" t="s">
        <v>1006</v>
      </c>
      <c r="G88" s="1813">
        <v>0</v>
      </c>
      <c r="H88" s="1813">
        <v>70000</v>
      </c>
      <c r="I88" s="1813">
        <v>70000</v>
      </c>
      <c r="J88" s="1735"/>
      <c r="K88" s="1796" t="b">
        <f t="shared" si="15"/>
        <v>1</v>
      </c>
      <c r="L88" s="1735">
        <f t="shared" si="16"/>
        <v>0</v>
      </c>
      <c r="M88" s="1735">
        <f t="shared" si="17"/>
        <v>20000</v>
      </c>
      <c r="N88" s="1735">
        <f t="shared" si="18"/>
        <v>20000</v>
      </c>
    </row>
    <row r="89" spans="1:14">
      <c r="A89" s="1798" t="s">
        <v>1407</v>
      </c>
      <c r="B89" s="1812">
        <v>0</v>
      </c>
      <c r="C89" s="1812">
        <v>4750</v>
      </c>
      <c r="D89" s="1812">
        <v>4750</v>
      </c>
      <c r="E89" s="1735"/>
      <c r="F89" s="1800" t="s">
        <v>1407</v>
      </c>
      <c r="G89" s="1813">
        <v>0</v>
      </c>
      <c r="H89" s="1813">
        <v>3500</v>
      </c>
      <c r="I89" s="1813">
        <v>3500</v>
      </c>
      <c r="J89" s="1735"/>
      <c r="K89" s="1796" t="b">
        <f t="shared" si="15"/>
        <v>1</v>
      </c>
      <c r="L89" s="1735">
        <f t="shared" si="16"/>
        <v>0</v>
      </c>
      <c r="M89" s="1735">
        <f t="shared" si="17"/>
        <v>1250</v>
      </c>
      <c r="N89" s="1735">
        <f t="shared" si="18"/>
        <v>1250</v>
      </c>
    </row>
    <row r="90" spans="1:14">
      <c r="A90" s="850" t="s">
        <v>682</v>
      </c>
      <c r="B90" s="1812">
        <v>0</v>
      </c>
      <c r="C90" s="1812">
        <v>150000</v>
      </c>
      <c r="D90" s="1812">
        <v>150000</v>
      </c>
      <c r="E90" s="1735"/>
      <c r="F90" s="850" t="s">
        <v>682</v>
      </c>
      <c r="G90" s="1813">
        <v>0</v>
      </c>
      <c r="H90" s="1813">
        <v>150000</v>
      </c>
      <c r="I90" s="1813">
        <v>150000</v>
      </c>
      <c r="J90" s="1735"/>
      <c r="K90" s="1796" t="b">
        <f t="shared" si="15"/>
        <v>1</v>
      </c>
      <c r="L90" s="1735">
        <f t="shared" si="16"/>
        <v>0</v>
      </c>
      <c r="M90" s="1735">
        <f t="shared" si="17"/>
        <v>0</v>
      </c>
      <c r="N90" s="1735">
        <f t="shared" si="18"/>
        <v>0</v>
      </c>
    </row>
    <row r="91" spans="1:14">
      <c r="A91" s="1798" t="s">
        <v>1303</v>
      </c>
      <c r="B91" s="1812">
        <v>0</v>
      </c>
      <c r="C91" s="1812">
        <v>100000</v>
      </c>
      <c r="D91" s="1812">
        <v>100000</v>
      </c>
      <c r="E91" s="1735"/>
      <c r="F91" s="1800" t="s">
        <v>1303</v>
      </c>
      <c r="G91" s="1813">
        <v>0</v>
      </c>
      <c r="H91" s="1813">
        <v>80000</v>
      </c>
      <c r="I91" s="1813">
        <v>80000</v>
      </c>
      <c r="J91" s="1735"/>
      <c r="K91" s="1796" t="b">
        <f t="shared" si="15"/>
        <v>1</v>
      </c>
      <c r="L91" s="1735">
        <f t="shared" si="16"/>
        <v>0</v>
      </c>
      <c r="M91" s="1735">
        <f t="shared" si="17"/>
        <v>20000</v>
      </c>
      <c r="N91" s="1735">
        <f t="shared" si="18"/>
        <v>20000</v>
      </c>
    </row>
    <row r="92" spans="1:14">
      <c r="A92" s="1798" t="s">
        <v>1144</v>
      </c>
      <c r="B92" s="1812">
        <v>0</v>
      </c>
      <c r="C92" s="1812">
        <v>3300</v>
      </c>
      <c r="D92" s="1812">
        <v>3300</v>
      </c>
      <c r="E92" s="1735"/>
      <c r="F92" s="1800" t="s">
        <v>1144</v>
      </c>
      <c r="G92" s="1813">
        <v>0</v>
      </c>
      <c r="H92" s="1813">
        <v>3000</v>
      </c>
      <c r="I92" s="1813">
        <v>3000</v>
      </c>
      <c r="J92" s="1735"/>
      <c r="K92" s="1796" t="b">
        <f t="shared" si="15"/>
        <v>1</v>
      </c>
      <c r="L92" s="1735">
        <f t="shared" si="16"/>
        <v>0</v>
      </c>
      <c r="M92" s="1735">
        <f t="shared" si="17"/>
        <v>300</v>
      </c>
      <c r="N92" s="1735">
        <f t="shared" si="18"/>
        <v>300</v>
      </c>
    </row>
    <row r="93" spans="1:14">
      <c r="A93" s="1798" t="s">
        <v>1128</v>
      </c>
      <c r="B93" s="1812">
        <v>0</v>
      </c>
      <c r="C93" s="1812">
        <v>20000</v>
      </c>
      <c r="D93" s="1812">
        <v>20000</v>
      </c>
      <c r="E93" s="1735"/>
      <c r="F93" s="1800" t="s">
        <v>1128</v>
      </c>
      <c r="G93" s="1813">
        <v>0</v>
      </c>
      <c r="H93" s="1813">
        <v>17500</v>
      </c>
      <c r="I93" s="1813">
        <v>17500</v>
      </c>
      <c r="J93" s="1735"/>
      <c r="K93" s="1796" t="b">
        <f t="shared" si="15"/>
        <v>1</v>
      </c>
      <c r="L93" s="1735">
        <f t="shared" si="16"/>
        <v>0</v>
      </c>
      <c r="M93" s="1735">
        <f t="shared" si="17"/>
        <v>2500</v>
      </c>
      <c r="N93" s="1735">
        <f t="shared" si="18"/>
        <v>2500</v>
      </c>
    </row>
    <row r="94" spans="1:14">
      <c r="A94" s="1798" t="s">
        <v>1323</v>
      </c>
      <c r="B94" s="1812">
        <v>11250</v>
      </c>
      <c r="C94" s="1812">
        <v>83750</v>
      </c>
      <c r="D94" s="1812">
        <v>95000</v>
      </c>
      <c r="E94" s="1735"/>
      <c r="F94" s="1800" t="s">
        <v>1323</v>
      </c>
      <c r="G94" s="1813">
        <v>11250</v>
      </c>
      <c r="H94" s="1813">
        <v>73750</v>
      </c>
      <c r="I94" s="1813">
        <v>85000</v>
      </c>
      <c r="J94" s="1735"/>
      <c r="K94" s="1796" t="b">
        <f t="shared" si="15"/>
        <v>1</v>
      </c>
      <c r="L94" s="1735">
        <f t="shared" si="16"/>
        <v>0</v>
      </c>
      <c r="M94" s="1735">
        <f t="shared" si="17"/>
        <v>10000</v>
      </c>
      <c r="N94" s="1735">
        <f t="shared" si="18"/>
        <v>10000</v>
      </c>
    </row>
    <row r="95" spans="1:14">
      <c r="A95" s="850" t="s">
        <v>713</v>
      </c>
      <c r="B95" s="1812">
        <v>0</v>
      </c>
      <c r="C95" s="1812">
        <v>125000</v>
      </c>
      <c r="D95" s="1812">
        <v>125000</v>
      </c>
      <c r="E95" s="1735"/>
      <c r="F95" s="850" t="s">
        <v>713</v>
      </c>
      <c r="G95" s="1813">
        <v>0</v>
      </c>
      <c r="H95" s="1813">
        <v>100000</v>
      </c>
      <c r="I95" s="1813">
        <v>100000</v>
      </c>
      <c r="J95" s="1735"/>
      <c r="K95" s="1796" t="b">
        <f t="shared" si="15"/>
        <v>1</v>
      </c>
      <c r="L95" s="1735">
        <f t="shared" si="16"/>
        <v>0</v>
      </c>
      <c r="M95" s="1735">
        <f t="shared" si="17"/>
        <v>25000</v>
      </c>
      <c r="N95" s="1735">
        <f t="shared" si="18"/>
        <v>25000</v>
      </c>
    </row>
    <row r="96" spans="1:14">
      <c r="A96" s="850" t="s">
        <v>683</v>
      </c>
      <c r="B96" s="1812">
        <v>1</v>
      </c>
      <c r="C96" s="1812">
        <v>59999</v>
      </c>
      <c r="D96" s="1812">
        <v>60000</v>
      </c>
      <c r="E96" s="1735"/>
      <c r="F96" s="850" t="s">
        <v>683</v>
      </c>
      <c r="G96" s="1813">
        <v>1</v>
      </c>
      <c r="H96" s="1813">
        <v>47499</v>
      </c>
      <c r="I96" s="1813">
        <v>47500</v>
      </c>
      <c r="J96" s="1735"/>
      <c r="K96" s="1796" t="b">
        <f t="shared" si="15"/>
        <v>1</v>
      </c>
      <c r="L96" s="1735">
        <f t="shared" si="16"/>
        <v>0</v>
      </c>
      <c r="M96" s="1735">
        <f t="shared" si="17"/>
        <v>12500</v>
      </c>
      <c r="N96" s="1735">
        <f t="shared" si="18"/>
        <v>12500</v>
      </c>
    </row>
    <row r="97" spans="1:14">
      <c r="A97" s="1798" t="s">
        <v>684</v>
      </c>
      <c r="B97" s="1812">
        <v>0</v>
      </c>
      <c r="C97" s="1812">
        <v>3500</v>
      </c>
      <c r="D97" s="1812">
        <v>3500</v>
      </c>
      <c r="E97" s="1735"/>
      <c r="F97" s="1800" t="s">
        <v>684</v>
      </c>
      <c r="G97" s="1813">
        <v>0</v>
      </c>
      <c r="H97" s="1813">
        <v>3500</v>
      </c>
      <c r="I97" s="1813">
        <v>3500</v>
      </c>
      <c r="J97" s="1735"/>
      <c r="K97" s="1796" t="b">
        <f t="shared" si="15"/>
        <v>1</v>
      </c>
      <c r="L97" s="1735">
        <f t="shared" si="16"/>
        <v>0</v>
      </c>
      <c r="M97" s="1735">
        <f t="shared" si="17"/>
        <v>0</v>
      </c>
      <c r="N97" s="1735">
        <f t="shared" si="18"/>
        <v>0</v>
      </c>
    </row>
    <row r="98" spans="1:14">
      <c r="A98" s="1798" t="s">
        <v>1408</v>
      </c>
      <c r="B98" s="1812">
        <v>1000</v>
      </c>
      <c r="C98" s="1812">
        <v>74000</v>
      </c>
      <c r="D98" s="1812">
        <v>75000</v>
      </c>
      <c r="E98" s="1735"/>
      <c r="F98" s="1800" t="s">
        <v>1408</v>
      </c>
      <c r="G98" s="1813">
        <v>1000</v>
      </c>
      <c r="H98" s="1813">
        <v>49000</v>
      </c>
      <c r="I98" s="1813">
        <v>50000</v>
      </c>
      <c r="J98" s="1735"/>
      <c r="K98" s="1796" t="b">
        <f t="shared" si="15"/>
        <v>1</v>
      </c>
      <c r="L98" s="1735">
        <f t="shared" si="16"/>
        <v>0</v>
      </c>
      <c r="M98" s="1735">
        <f t="shared" si="17"/>
        <v>25000</v>
      </c>
      <c r="N98" s="1735">
        <f t="shared" si="18"/>
        <v>25000</v>
      </c>
    </row>
    <row r="99" spans="1:14">
      <c r="A99" s="1800" t="s">
        <v>1326</v>
      </c>
      <c r="B99" s="1812">
        <v>1000</v>
      </c>
      <c r="C99" s="1812">
        <v>124000</v>
      </c>
      <c r="D99" s="1812">
        <v>125000</v>
      </c>
      <c r="E99" s="1735"/>
      <c r="F99" s="1800" t="s">
        <v>1326</v>
      </c>
      <c r="G99" s="1813">
        <v>1000</v>
      </c>
      <c r="H99" s="1813">
        <v>79000</v>
      </c>
      <c r="I99" s="1813">
        <v>80000</v>
      </c>
      <c r="J99" s="1735"/>
      <c r="K99" s="1796" t="b">
        <f t="shared" si="15"/>
        <v>1</v>
      </c>
      <c r="L99" s="1735">
        <f t="shared" si="16"/>
        <v>0</v>
      </c>
      <c r="M99" s="1735">
        <f t="shared" si="17"/>
        <v>45000</v>
      </c>
      <c r="N99" s="1735">
        <f t="shared" si="18"/>
        <v>45000</v>
      </c>
    </row>
    <row r="100" spans="1:14">
      <c r="A100" s="850" t="s">
        <v>523</v>
      </c>
      <c r="B100" s="1812">
        <v>0</v>
      </c>
      <c r="C100" s="1812">
        <v>45000</v>
      </c>
      <c r="D100" s="1812">
        <v>45000</v>
      </c>
      <c r="E100" s="1735"/>
      <c r="F100" s="850" t="s">
        <v>523</v>
      </c>
      <c r="G100" s="1813">
        <v>0</v>
      </c>
      <c r="H100" s="1813">
        <v>30000</v>
      </c>
      <c r="I100" s="1813">
        <v>30000</v>
      </c>
      <c r="J100" s="1735"/>
      <c r="K100" s="1796" t="b">
        <f t="shared" si="15"/>
        <v>1</v>
      </c>
      <c r="L100" s="1735">
        <f t="shared" si="16"/>
        <v>0</v>
      </c>
      <c r="M100" s="1735">
        <f t="shared" si="17"/>
        <v>15000</v>
      </c>
      <c r="N100" s="1735">
        <f t="shared" si="18"/>
        <v>15000</v>
      </c>
    </row>
    <row r="101" spans="1:14">
      <c r="A101" s="1798" t="s">
        <v>445</v>
      </c>
      <c r="B101" s="1812">
        <v>0</v>
      </c>
      <c r="C101" s="1812">
        <v>50000</v>
      </c>
      <c r="D101" s="1812">
        <v>50000</v>
      </c>
      <c r="E101" s="1735"/>
      <c r="F101" s="1800" t="s">
        <v>445</v>
      </c>
      <c r="G101" s="1813">
        <v>0</v>
      </c>
      <c r="H101" s="1813">
        <v>35000</v>
      </c>
      <c r="I101" s="1813">
        <v>35000</v>
      </c>
      <c r="J101" s="1735"/>
      <c r="K101" s="1796" t="b">
        <f t="shared" si="15"/>
        <v>1</v>
      </c>
      <c r="L101" s="1735">
        <f t="shared" si="16"/>
        <v>0</v>
      </c>
      <c r="M101" s="1735">
        <f t="shared" si="17"/>
        <v>15000</v>
      </c>
      <c r="N101" s="1735">
        <f t="shared" si="18"/>
        <v>15000</v>
      </c>
    </row>
    <row r="102" spans="1:14">
      <c r="A102" s="1798" t="s">
        <v>1318</v>
      </c>
      <c r="B102" s="1812">
        <v>100</v>
      </c>
      <c r="C102" s="1812">
        <v>64900</v>
      </c>
      <c r="D102" s="1812">
        <v>65000</v>
      </c>
      <c r="E102" s="1735"/>
      <c r="F102" s="1800" t="s">
        <v>1318</v>
      </c>
      <c r="G102" s="1813">
        <v>100</v>
      </c>
      <c r="H102" s="1813">
        <v>54900</v>
      </c>
      <c r="I102" s="1813">
        <v>55000</v>
      </c>
      <c r="J102" s="1735"/>
      <c r="K102" s="1796" t="b">
        <f t="shared" si="15"/>
        <v>1</v>
      </c>
      <c r="L102" s="1735">
        <f t="shared" si="16"/>
        <v>0</v>
      </c>
      <c r="M102" s="1735">
        <f t="shared" si="17"/>
        <v>10000</v>
      </c>
      <c r="N102" s="1735">
        <f t="shared" si="18"/>
        <v>10000</v>
      </c>
    </row>
    <row r="103" spans="1:14">
      <c r="A103" s="1798" t="s">
        <v>1846</v>
      </c>
      <c r="B103" s="1812">
        <v>0</v>
      </c>
      <c r="C103" s="1812">
        <v>2500</v>
      </c>
      <c r="D103" s="1812">
        <v>2500</v>
      </c>
      <c r="E103" s="1735"/>
      <c r="F103" s="1800"/>
      <c r="G103" s="1813"/>
      <c r="H103" s="1813"/>
      <c r="I103" s="1813"/>
      <c r="J103" s="1735"/>
      <c r="K103" s="1825" t="b">
        <f t="shared" si="15"/>
        <v>0</v>
      </c>
      <c r="L103" s="1735">
        <f t="shared" si="16"/>
        <v>0</v>
      </c>
      <c r="M103" s="1735">
        <f t="shared" si="17"/>
        <v>2500</v>
      </c>
      <c r="N103" s="1735">
        <f t="shared" si="18"/>
        <v>2500</v>
      </c>
    </row>
    <row r="104" spans="1:14">
      <c r="A104" s="1798" t="s">
        <v>985</v>
      </c>
      <c r="B104" s="1812">
        <v>0</v>
      </c>
      <c r="C104" s="1812">
        <v>200000</v>
      </c>
      <c r="D104" s="1812">
        <v>200000</v>
      </c>
      <c r="E104" s="1735"/>
      <c r="F104" s="1800" t="s">
        <v>985</v>
      </c>
      <c r="G104" s="1813">
        <v>0</v>
      </c>
      <c r="H104" s="1813">
        <v>200000</v>
      </c>
      <c r="I104" s="1813">
        <v>200000</v>
      </c>
      <c r="J104" s="1735"/>
      <c r="K104" s="1796" t="b">
        <f t="shared" si="15"/>
        <v>1</v>
      </c>
      <c r="L104" s="1735">
        <f t="shared" si="16"/>
        <v>0</v>
      </c>
      <c r="M104" s="1735">
        <f t="shared" si="17"/>
        <v>0</v>
      </c>
      <c r="N104" s="1735">
        <f t="shared" si="18"/>
        <v>0</v>
      </c>
    </row>
    <row r="105" spans="1:14">
      <c r="A105" s="1798" t="s">
        <v>1304</v>
      </c>
      <c r="B105" s="1812">
        <v>0</v>
      </c>
      <c r="C105" s="1812">
        <v>50000</v>
      </c>
      <c r="D105" s="1812">
        <v>50000</v>
      </c>
      <c r="E105" s="1735"/>
      <c r="F105" s="1800" t="s">
        <v>1304</v>
      </c>
      <c r="G105" s="1813">
        <v>1</v>
      </c>
      <c r="H105" s="1813">
        <v>49999</v>
      </c>
      <c r="I105" s="1813">
        <v>50000</v>
      </c>
      <c r="J105" s="1735"/>
      <c r="K105" s="1796" t="b">
        <f t="shared" si="15"/>
        <v>1</v>
      </c>
      <c r="L105" s="1735">
        <f t="shared" si="16"/>
        <v>-1</v>
      </c>
      <c r="M105" s="1735">
        <f t="shared" si="17"/>
        <v>1</v>
      </c>
      <c r="N105" s="1735">
        <f t="shared" si="18"/>
        <v>0</v>
      </c>
    </row>
    <row r="106" spans="1:14">
      <c r="A106" s="1798" t="s">
        <v>686</v>
      </c>
      <c r="B106" s="1812">
        <v>0</v>
      </c>
      <c r="C106" s="1812">
        <v>30000</v>
      </c>
      <c r="D106" s="1812">
        <v>30000</v>
      </c>
      <c r="E106" s="1735"/>
      <c r="F106" s="1800" t="s">
        <v>686</v>
      </c>
      <c r="G106" s="1813">
        <v>0</v>
      </c>
      <c r="H106" s="1813">
        <v>30000</v>
      </c>
      <c r="I106" s="1813">
        <v>30000</v>
      </c>
      <c r="J106" s="1735"/>
      <c r="K106" s="1796" t="b">
        <f t="shared" si="15"/>
        <v>1</v>
      </c>
      <c r="L106" s="1735">
        <f t="shared" si="16"/>
        <v>0</v>
      </c>
      <c r="M106" s="1735">
        <f t="shared" si="17"/>
        <v>0</v>
      </c>
      <c r="N106" s="1735">
        <f t="shared" si="18"/>
        <v>0</v>
      </c>
    </row>
    <row r="107" spans="1:14">
      <c r="A107" s="1798" t="s">
        <v>965</v>
      </c>
      <c r="B107" s="1813">
        <v>0</v>
      </c>
      <c r="C107" s="1813">
        <v>3324</v>
      </c>
      <c r="D107" s="1813">
        <v>3324</v>
      </c>
      <c r="E107" s="1735"/>
      <c r="F107" s="1800" t="s">
        <v>965</v>
      </c>
      <c r="G107" s="1813">
        <v>0</v>
      </c>
      <c r="H107" s="1813">
        <v>3134</v>
      </c>
      <c r="I107" s="1813">
        <v>3134</v>
      </c>
      <c r="J107" s="1735"/>
      <c r="K107" s="1796" t="b">
        <f t="shared" si="15"/>
        <v>1</v>
      </c>
      <c r="L107" s="1735">
        <f t="shared" si="16"/>
        <v>0</v>
      </c>
      <c r="M107" s="1735">
        <f t="shared" si="17"/>
        <v>190</v>
      </c>
      <c r="N107" s="1735">
        <f t="shared" si="18"/>
        <v>190</v>
      </c>
    </row>
    <row r="108" spans="1:14">
      <c r="A108" s="850" t="s">
        <v>916</v>
      </c>
      <c r="B108" s="1812">
        <v>5100</v>
      </c>
      <c r="C108" s="1812">
        <v>29900</v>
      </c>
      <c r="D108" s="1812">
        <v>35000</v>
      </c>
      <c r="E108" s="1735"/>
      <c r="F108" s="850" t="s">
        <v>916</v>
      </c>
      <c r="G108" s="1813">
        <v>5100</v>
      </c>
      <c r="H108" s="1813">
        <v>17900</v>
      </c>
      <c r="I108" s="1813">
        <v>23000</v>
      </c>
      <c r="J108" s="1735"/>
      <c r="K108" s="1796" t="b">
        <f t="shared" si="15"/>
        <v>1</v>
      </c>
      <c r="L108" s="1735">
        <f t="shared" si="16"/>
        <v>0</v>
      </c>
      <c r="M108" s="1735">
        <f t="shared" si="17"/>
        <v>12000</v>
      </c>
      <c r="N108" s="1735">
        <f t="shared" si="18"/>
        <v>12000</v>
      </c>
    </row>
    <row r="109" spans="1:14">
      <c r="A109" s="1798" t="s">
        <v>1194</v>
      </c>
      <c r="B109" s="1812">
        <v>0</v>
      </c>
      <c r="C109" s="1812">
        <v>4000</v>
      </c>
      <c r="D109" s="1812">
        <v>4000</v>
      </c>
      <c r="E109" s="1735"/>
      <c r="F109" s="1800" t="s">
        <v>1194</v>
      </c>
      <c r="G109" s="1813">
        <v>0</v>
      </c>
      <c r="H109" s="1813">
        <v>4000</v>
      </c>
      <c r="I109" s="1813">
        <v>4000</v>
      </c>
      <c r="J109" s="1735"/>
      <c r="K109" s="1796" t="b">
        <f t="shared" si="15"/>
        <v>1</v>
      </c>
      <c r="L109" s="1735">
        <f t="shared" si="16"/>
        <v>0</v>
      </c>
      <c r="M109" s="1735">
        <f t="shared" si="17"/>
        <v>0</v>
      </c>
      <c r="N109" s="1735">
        <f t="shared" si="18"/>
        <v>0</v>
      </c>
    </row>
    <row r="110" spans="1:14">
      <c r="A110" s="1800" t="s">
        <v>1312</v>
      </c>
      <c r="B110" s="1812">
        <v>60000</v>
      </c>
      <c r="C110" s="1812">
        <v>115000</v>
      </c>
      <c r="D110" s="1812">
        <v>175000</v>
      </c>
      <c r="E110" s="1735"/>
      <c r="F110" s="1800" t="s">
        <v>1312</v>
      </c>
      <c r="G110" s="1813">
        <v>60000</v>
      </c>
      <c r="H110" s="1813">
        <v>115000</v>
      </c>
      <c r="I110" s="1813">
        <v>175000</v>
      </c>
      <c r="J110" s="1735"/>
      <c r="K110" s="1796" t="b">
        <f t="shared" si="15"/>
        <v>1</v>
      </c>
      <c r="L110" s="1735">
        <f t="shared" si="16"/>
        <v>0</v>
      </c>
      <c r="M110" s="1735">
        <f t="shared" si="17"/>
        <v>0</v>
      </c>
      <c r="N110" s="1735">
        <f t="shared" si="18"/>
        <v>0</v>
      </c>
    </row>
    <row r="111" spans="1:14">
      <c r="A111" s="1800" t="s">
        <v>1160</v>
      </c>
      <c r="B111" s="1812">
        <v>100000</v>
      </c>
      <c r="C111" s="1812">
        <v>50000</v>
      </c>
      <c r="D111" s="1812">
        <v>150000</v>
      </c>
      <c r="E111" s="1735"/>
      <c r="F111" s="1800" t="s">
        <v>1160</v>
      </c>
      <c r="G111" s="1813">
        <v>100000</v>
      </c>
      <c r="H111" s="1813">
        <v>50000</v>
      </c>
      <c r="I111" s="1813">
        <v>150000</v>
      </c>
      <c r="J111" s="1735"/>
      <c r="K111" s="1796" t="b">
        <f t="shared" si="15"/>
        <v>1</v>
      </c>
      <c r="L111" s="1735">
        <f t="shared" si="16"/>
        <v>0</v>
      </c>
      <c r="M111" s="1735">
        <f t="shared" si="17"/>
        <v>0</v>
      </c>
      <c r="N111" s="1735">
        <f t="shared" si="18"/>
        <v>0</v>
      </c>
    </row>
    <row r="112" spans="1:14">
      <c r="A112" s="1800"/>
      <c r="B112" s="1812"/>
      <c r="C112" s="1812"/>
      <c r="D112" s="1812"/>
      <c r="E112" s="1735"/>
      <c r="F112" s="1800" t="s">
        <v>635</v>
      </c>
      <c r="G112" s="1813">
        <v>0</v>
      </c>
      <c r="H112" s="1813">
        <v>3000</v>
      </c>
      <c r="I112" s="1813">
        <v>3000</v>
      </c>
      <c r="J112" s="1735"/>
      <c r="K112" s="1825" t="b">
        <f t="shared" si="15"/>
        <v>0</v>
      </c>
      <c r="L112" s="1735">
        <f t="shared" si="16"/>
        <v>0</v>
      </c>
      <c r="M112" s="1735">
        <f t="shared" si="17"/>
        <v>-3000</v>
      </c>
      <c r="N112" s="1735">
        <f t="shared" si="18"/>
        <v>-3000</v>
      </c>
    </row>
    <row r="113" spans="1:14">
      <c r="A113" s="1798" t="s">
        <v>550</v>
      </c>
      <c r="B113" s="1812">
        <v>0</v>
      </c>
      <c r="C113" s="1812">
        <v>95000</v>
      </c>
      <c r="D113" s="1812">
        <v>95000</v>
      </c>
      <c r="E113" s="1735"/>
      <c r="F113" s="1800" t="s">
        <v>550</v>
      </c>
      <c r="G113" s="1813">
        <v>0</v>
      </c>
      <c r="H113" s="1813">
        <v>75000</v>
      </c>
      <c r="I113" s="1813">
        <v>75000</v>
      </c>
      <c r="J113" s="1735"/>
      <c r="K113" s="1796" t="b">
        <f t="shared" si="15"/>
        <v>1</v>
      </c>
      <c r="L113" s="1735">
        <f t="shared" si="16"/>
        <v>0</v>
      </c>
      <c r="M113" s="1735">
        <f t="shared" si="17"/>
        <v>20000</v>
      </c>
      <c r="N113" s="1735">
        <f t="shared" si="18"/>
        <v>20000</v>
      </c>
    </row>
    <row r="114" spans="1:14">
      <c r="A114" s="850" t="s">
        <v>1427</v>
      </c>
      <c r="B114" s="1812">
        <v>0</v>
      </c>
      <c r="C114" s="1812">
        <v>175000</v>
      </c>
      <c r="D114" s="1812">
        <v>175000</v>
      </c>
      <c r="E114" s="1735"/>
      <c r="F114" s="850" t="s">
        <v>1427</v>
      </c>
      <c r="G114" s="1813">
        <v>0</v>
      </c>
      <c r="H114" s="1813">
        <v>175000</v>
      </c>
      <c r="I114" s="1813">
        <v>175000</v>
      </c>
      <c r="J114" s="1735"/>
      <c r="K114" s="1796" t="b">
        <f t="shared" si="15"/>
        <v>1</v>
      </c>
      <c r="L114" s="1735">
        <f t="shared" si="16"/>
        <v>0</v>
      </c>
      <c r="M114" s="1735">
        <f t="shared" si="17"/>
        <v>0</v>
      </c>
      <c r="N114" s="1735">
        <f t="shared" si="18"/>
        <v>0</v>
      </c>
    </row>
    <row r="115" spans="1:14">
      <c r="A115" s="1798" t="s">
        <v>1195</v>
      </c>
      <c r="B115" s="1812">
        <v>10000</v>
      </c>
      <c r="C115" s="1812">
        <v>60000</v>
      </c>
      <c r="D115" s="1812">
        <v>70000</v>
      </c>
      <c r="E115" s="1735"/>
      <c r="F115" s="1800" t="s">
        <v>1195</v>
      </c>
      <c r="G115" s="1813">
        <v>24000</v>
      </c>
      <c r="H115" s="1813">
        <v>36000</v>
      </c>
      <c r="I115" s="1813">
        <v>60000</v>
      </c>
      <c r="J115" s="1735"/>
      <c r="K115" s="1796" t="b">
        <f t="shared" si="15"/>
        <v>1</v>
      </c>
      <c r="L115" s="1735">
        <f t="shared" si="16"/>
        <v>-14000</v>
      </c>
      <c r="M115" s="1735">
        <f t="shared" si="17"/>
        <v>24000</v>
      </c>
      <c r="N115" s="1735">
        <f t="shared" si="18"/>
        <v>10000</v>
      </c>
    </row>
    <row r="116" spans="1:14">
      <c r="A116" s="1798" t="s">
        <v>917</v>
      </c>
      <c r="B116" s="1812">
        <v>0</v>
      </c>
      <c r="C116" s="1812">
        <v>47000</v>
      </c>
      <c r="D116" s="1812">
        <v>47000</v>
      </c>
      <c r="E116" s="1735"/>
      <c r="F116" s="1800" t="s">
        <v>917</v>
      </c>
      <c r="G116" s="1813">
        <v>0</v>
      </c>
      <c r="H116" s="1813">
        <v>45000</v>
      </c>
      <c r="I116" s="1813">
        <v>45000</v>
      </c>
      <c r="J116" s="1735"/>
      <c r="K116" s="1796" t="b">
        <f t="shared" si="15"/>
        <v>1</v>
      </c>
      <c r="L116" s="1735">
        <f t="shared" si="16"/>
        <v>0</v>
      </c>
      <c r="M116" s="1735">
        <f t="shared" si="17"/>
        <v>2000</v>
      </c>
      <c r="N116" s="1735">
        <f t="shared" si="18"/>
        <v>2000</v>
      </c>
    </row>
    <row r="117" spans="1:14">
      <c r="A117" s="1798" t="s">
        <v>630</v>
      </c>
      <c r="B117" s="1812">
        <v>2000</v>
      </c>
      <c r="C117" s="1812">
        <v>140000</v>
      </c>
      <c r="D117" s="1812">
        <v>142000</v>
      </c>
      <c r="E117" s="1735"/>
      <c r="F117" s="1800" t="s">
        <v>630</v>
      </c>
      <c r="G117" s="1813">
        <v>2000</v>
      </c>
      <c r="H117" s="1813">
        <v>140000</v>
      </c>
      <c r="I117" s="1813">
        <v>142000</v>
      </c>
      <c r="J117" s="1735"/>
      <c r="K117" s="1796" t="b">
        <f t="shared" si="15"/>
        <v>1</v>
      </c>
      <c r="L117" s="1735">
        <f t="shared" si="16"/>
        <v>0</v>
      </c>
      <c r="M117" s="1735">
        <f t="shared" si="17"/>
        <v>0</v>
      </c>
      <c r="N117" s="1735">
        <f t="shared" si="18"/>
        <v>0</v>
      </c>
    </row>
    <row r="118" spans="1:14">
      <c r="A118" s="1798" t="s">
        <v>839</v>
      </c>
      <c r="B118" s="1812">
        <v>0</v>
      </c>
      <c r="C118" s="1812">
        <v>90000</v>
      </c>
      <c r="D118" s="1812">
        <v>90000</v>
      </c>
      <c r="E118" s="1735"/>
      <c r="F118" s="1800" t="s">
        <v>839</v>
      </c>
      <c r="G118" s="1813">
        <v>0</v>
      </c>
      <c r="H118" s="1813">
        <v>37500</v>
      </c>
      <c r="I118" s="1813">
        <v>37500</v>
      </c>
      <c r="J118" s="1735"/>
      <c r="K118" s="1796" t="b">
        <f t="shared" si="15"/>
        <v>1</v>
      </c>
      <c r="L118" s="1735">
        <f t="shared" si="16"/>
        <v>0</v>
      </c>
      <c r="M118" s="1735">
        <f t="shared" si="17"/>
        <v>52500</v>
      </c>
      <c r="N118" s="1735">
        <f t="shared" si="18"/>
        <v>52500</v>
      </c>
    </row>
    <row r="119" spans="1:14">
      <c r="A119" s="1798" t="s">
        <v>1138</v>
      </c>
      <c r="B119" s="1812">
        <v>45000</v>
      </c>
      <c r="C119" s="1812">
        <v>40000</v>
      </c>
      <c r="D119" s="1812">
        <v>85000</v>
      </c>
      <c r="E119" s="1735"/>
      <c r="F119" s="1800" t="s">
        <v>1138</v>
      </c>
      <c r="G119" s="1813">
        <v>68000</v>
      </c>
      <c r="H119" s="1813">
        <v>9000</v>
      </c>
      <c r="I119" s="1813">
        <v>77000</v>
      </c>
      <c r="J119" s="1735"/>
      <c r="K119" s="1796" t="b">
        <f t="shared" si="15"/>
        <v>1</v>
      </c>
      <c r="L119" s="1735">
        <f t="shared" si="16"/>
        <v>-23000</v>
      </c>
      <c r="M119" s="1735">
        <f t="shared" si="17"/>
        <v>31000</v>
      </c>
      <c r="N119" s="1735">
        <f t="shared" si="18"/>
        <v>8000</v>
      </c>
    </row>
    <row r="120" spans="1:14">
      <c r="A120" s="1798" t="s">
        <v>1148</v>
      </c>
      <c r="B120" s="1812">
        <v>0</v>
      </c>
      <c r="C120" s="1812">
        <v>4500</v>
      </c>
      <c r="D120" s="1812">
        <v>4500</v>
      </c>
      <c r="E120" s="1735"/>
      <c r="F120" s="1800" t="s">
        <v>1148</v>
      </c>
      <c r="G120" s="1813">
        <v>0</v>
      </c>
      <c r="H120" s="1813">
        <v>4000</v>
      </c>
      <c r="I120" s="1813">
        <v>4000</v>
      </c>
      <c r="J120" s="1735"/>
      <c r="K120" s="1796" t="b">
        <f t="shared" si="15"/>
        <v>1</v>
      </c>
      <c r="L120" s="1735">
        <f t="shared" si="16"/>
        <v>0</v>
      </c>
      <c r="M120" s="1735">
        <f t="shared" si="17"/>
        <v>500</v>
      </c>
      <c r="N120" s="1735">
        <f t="shared" si="18"/>
        <v>500</v>
      </c>
    </row>
    <row r="121" spans="1:14">
      <c r="A121" s="850" t="s">
        <v>541</v>
      </c>
      <c r="B121" s="1812">
        <v>0</v>
      </c>
      <c r="C121" s="1812">
        <v>15000</v>
      </c>
      <c r="D121" s="1812">
        <v>15000</v>
      </c>
      <c r="E121" s="1735"/>
      <c r="F121" s="850" t="s">
        <v>541</v>
      </c>
      <c r="G121" s="1813">
        <v>0</v>
      </c>
      <c r="H121" s="1813">
        <v>5000</v>
      </c>
      <c r="I121" s="1813">
        <v>5000</v>
      </c>
      <c r="J121" s="1735"/>
      <c r="K121" s="1796" t="b">
        <f t="shared" si="15"/>
        <v>1</v>
      </c>
      <c r="L121" s="1735">
        <f t="shared" si="16"/>
        <v>0</v>
      </c>
      <c r="M121" s="1735">
        <f t="shared" si="17"/>
        <v>10000</v>
      </c>
      <c r="N121" s="1735">
        <f t="shared" si="18"/>
        <v>10000</v>
      </c>
    </row>
    <row r="122" spans="1:14">
      <c r="A122" s="1819" t="s">
        <v>541</v>
      </c>
      <c r="B122" s="1812">
        <v>0</v>
      </c>
      <c r="C122" s="1812">
        <v>15000</v>
      </c>
      <c r="D122" s="1812">
        <v>15000</v>
      </c>
      <c r="E122" s="1735"/>
      <c r="F122" s="850" t="s">
        <v>541</v>
      </c>
      <c r="G122" s="1813">
        <v>0</v>
      </c>
      <c r="H122" s="1813">
        <v>5000</v>
      </c>
      <c r="I122" s="1813">
        <v>5000</v>
      </c>
      <c r="J122" s="1735"/>
      <c r="K122" s="1796" t="b">
        <f t="shared" si="15"/>
        <v>1</v>
      </c>
      <c r="L122" s="1735">
        <f t="shared" si="16"/>
        <v>0</v>
      </c>
      <c r="M122" s="1735">
        <f t="shared" si="17"/>
        <v>10000</v>
      </c>
      <c r="N122" s="1735">
        <f t="shared" si="18"/>
        <v>10000</v>
      </c>
    </row>
    <row r="123" spans="1:14">
      <c r="A123" s="1798" t="s">
        <v>1831</v>
      </c>
      <c r="B123" s="1812">
        <v>0</v>
      </c>
      <c r="C123" s="1812">
        <v>100000</v>
      </c>
      <c r="D123" s="1812">
        <v>100000</v>
      </c>
      <c r="E123" s="1735"/>
      <c r="F123" s="1800" t="s">
        <v>1831</v>
      </c>
      <c r="G123" s="1813">
        <v>0</v>
      </c>
      <c r="H123" s="1813">
        <v>50000</v>
      </c>
      <c r="I123" s="1813">
        <v>50000</v>
      </c>
      <c r="J123" s="1735"/>
      <c r="K123" s="1796" t="b">
        <f t="shared" si="15"/>
        <v>1</v>
      </c>
      <c r="L123" s="1735">
        <f t="shared" si="16"/>
        <v>0</v>
      </c>
      <c r="M123" s="1735">
        <f t="shared" si="17"/>
        <v>50000</v>
      </c>
      <c r="N123" s="1735">
        <f t="shared" si="18"/>
        <v>50000</v>
      </c>
    </row>
    <row r="124" spans="1:14">
      <c r="A124" s="1798" t="s">
        <v>1327</v>
      </c>
      <c r="B124" s="1812">
        <v>0</v>
      </c>
      <c r="C124" s="1812">
        <v>15000</v>
      </c>
      <c r="D124" s="1812">
        <v>15000</v>
      </c>
      <c r="E124" s="1735"/>
      <c r="F124" s="1800" t="s">
        <v>1327</v>
      </c>
      <c r="G124" s="1813">
        <v>0</v>
      </c>
      <c r="H124" s="1813">
        <v>15000</v>
      </c>
      <c r="I124" s="1813">
        <v>15000</v>
      </c>
      <c r="J124" s="1735"/>
      <c r="K124" s="1796" t="b">
        <f t="shared" si="15"/>
        <v>1</v>
      </c>
      <c r="L124" s="1735">
        <f t="shared" si="16"/>
        <v>0</v>
      </c>
      <c r="M124" s="1735">
        <f t="shared" si="17"/>
        <v>0</v>
      </c>
      <c r="N124" s="1735">
        <f t="shared" si="18"/>
        <v>0</v>
      </c>
    </row>
    <row r="125" spans="1:14">
      <c r="A125" s="1798" t="s">
        <v>995</v>
      </c>
      <c r="B125" s="1812">
        <v>14000</v>
      </c>
      <c r="C125" s="1812">
        <v>46000</v>
      </c>
      <c r="D125" s="1812">
        <v>60000</v>
      </c>
      <c r="E125" s="1735"/>
      <c r="F125" s="1800" t="s">
        <v>995</v>
      </c>
      <c r="G125" s="1813">
        <v>16500</v>
      </c>
      <c r="H125" s="1813">
        <v>43500</v>
      </c>
      <c r="I125" s="1813">
        <v>60000</v>
      </c>
      <c r="J125" s="1735"/>
      <c r="K125" s="1796" t="b">
        <f t="shared" si="15"/>
        <v>1</v>
      </c>
      <c r="L125" s="1735">
        <f t="shared" si="16"/>
        <v>-2500</v>
      </c>
      <c r="M125" s="1735">
        <f t="shared" si="17"/>
        <v>2500</v>
      </c>
      <c r="N125" s="1735">
        <f t="shared" si="18"/>
        <v>0</v>
      </c>
    </row>
    <row r="126" spans="1:14">
      <c r="A126" s="1798" t="s">
        <v>1622</v>
      </c>
      <c r="B126" s="1812">
        <v>45000</v>
      </c>
      <c r="C126" s="1812">
        <v>45000</v>
      </c>
      <c r="D126" s="1812">
        <v>90000</v>
      </c>
      <c r="E126" s="1735"/>
      <c r="F126" s="1800" t="s">
        <v>1622</v>
      </c>
      <c r="G126" s="1813">
        <v>45000</v>
      </c>
      <c r="H126" s="1813">
        <v>45000</v>
      </c>
      <c r="I126" s="1813">
        <v>90000</v>
      </c>
      <c r="J126" s="1735"/>
      <c r="K126" s="1796" t="b">
        <f t="shared" si="15"/>
        <v>1</v>
      </c>
      <c r="L126" s="1735">
        <f t="shared" si="16"/>
        <v>0</v>
      </c>
      <c r="M126" s="1735">
        <f t="shared" si="17"/>
        <v>0</v>
      </c>
      <c r="N126" s="1735">
        <f t="shared" si="18"/>
        <v>0</v>
      </c>
    </row>
    <row r="127" spans="1:14">
      <c r="A127" s="1798" t="s">
        <v>1134</v>
      </c>
      <c r="B127" s="1812">
        <v>0</v>
      </c>
      <c r="C127" s="1812">
        <v>45000</v>
      </c>
      <c r="D127" s="1812">
        <v>45000</v>
      </c>
      <c r="E127" s="1735"/>
      <c r="F127" s="1800" t="s">
        <v>1134</v>
      </c>
      <c r="G127" s="1813">
        <v>0</v>
      </c>
      <c r="H127" s="1813">
        <v>30000</v>
      </c>
      <c r="I127" s="1813">
        <v>30000</v>
      </c>
      <c r="J127" s="1735"/>
      <c r="K127" s="1796" t="b">
        <f t="shared" si="15"/>
        <v>1</v>
      </c>
      <c r="L127" s="1735">
        <f t="shared" si="16"/>
        <v>0</v>
      </c>
      <c r="M127" s="1735">
        <f t="shared" si="17"/>
        <v>15000</v>
      </c>
      <c r="N127" s="1735">
        <f t="shared" si="18"/>
        <v>15000</v>
      </c>
    </row>
    <row r="128" spans="1:14">
      <c r="A128" s="1798" t="s">
        <v>716</v>
      </c>
      <c r="B128" s="1812">
        <v>1000</v>
      </c>
      <c r="C128" s="1812">
        <v>300000</v>
      </c>
      <c r="D128" s="1812">
        <v>301000</v>
      </c>
      <c r="E128" s="1735"/>
      <c r="F128" s="1800" t="s">
        <v>716</v>
      </c>
      <c r="G128" s="1813">
        <v>1000</v>
      </c>
      <c r="H128" s="1813">
        <v>250000</v>
      </c>
      <c r="I128" s="1813">
        <v>251000</v>
      </c>
      <c r="J128" s="1735"/>
      <c r="K128" s="1796" t="b">
        <f t="shared" si="15"/>
        <v>1</v>
      </c>
      <c r="L128" s="1735">
        <f t="shared" si="16"/>
        <v>0</v>
      </c>
      <c r="M128" s="1735">
        <f t="shared" si="17"/>
        <v>50000</v>
      </c>
      <c r="N128" s="1735">
        <f t="shared" si="18"/>
        <v>50000</v>
      </c>
    </row>
    <row r="129" spans="1:14">
      <c r="A129" s="1798" t="s">
        <v>717</v>
      </c>
      <c r="B129" s="1812">
        <v>0</v>
      </c>
      <c r="C129" s="1812">
        <v>30000</v>
      </c>
      <c r="D129" s="1812">
        <v>30000</v>
      </c>
      <c r="E129" s="1735"/>
      <c r="F129" s="1800" t="s">
        <v>717</v>
      </c>
      <c r="G129" s="1813">
        <v>0</v>
      </c>
      <c r="H129" s="1813">
        <v>22500</v>
      </c>
      <c r="I129" s="1813">
        <v>22500</v>
      </c>
      <c r="J129" s="1735"/>
      <c r="K129" s="1796" t="b">
        <f t="shared" si="15"/>
        <v>1</v>
      </c>
      <c r="L129" s="1735">
        <f t="shared" si="16"/>
        <v>0</v>
      </c>
      <c r="M129" s="1735">
        <f t="shared" si="17"/>
        <v>7500</v>
      </c>
      <c r="N129" s="1735">
        <f t="shared" si="18"/>
        <v>7500</v>
      </c>
    </row>
    <row r="130" spans="1:14">
      <c r="A130" s="1798" t="s">
        <v>1305</v>
      </c>
      <c r="B130" s="1812">
        <v>1</v>
      </c>
      <c r="C130" s="1812">
        <v>59999</v>
      </c>
      <c r="D130" s="1812">
        <v>60000</v>
      </c>
      <c r="E130" s="1735"/>
      <c r="F130" s="1800" t="s">
        <v>1305</v>
      </c>
      <c r="G130" s="1813">
        <v>1</v>
      </c>
      <c r="H130" s="1813">
        <v>39999</v>
      </c>
      <c r="I130" s="1813">
        <v>40000</v>
      </c>
      <c r="J130" s="1735"/>
      <c r="K130" s="1796" t="b">
        <f t="shared" si="15"/>
        <v>1</v>
      </c>
      <c r="L130" s="1735">
        <f t="shared" si="16"/>
        <v>0</v>
      </c>
      <c r="M130" s="1735">
        <f t="shared" si="17"/>
        <v>20000</v>
      </c>
      <c r="N130" s="1735">
        <f t="shared" si="18"/>
        <v>20000</v>
      </c>
    </row>
    <row r="131" spans="1:14">
      <c r="A131" s="1798" t="s">
        <v>1328</v>
      </c>
      <c r="B131" s="1812">
        <v>0</v>
      </c>
      <c r="C131" s="1812">
        <v>8500</v>
      </c>
      <c r="D131" s="1812">
        <v>8500</v>
      </c>
      <c r="E131" s="1735"/>
      <c r="F131" s="1800" t="s">
        <v>1328</v>
      </c>
      <c r="G131" s="1813">
        <v>0</v>
      </c>
      <c r="H131" s="1813">
        <v>0</v>
      </c>
      <c r="I131" s="1813">
        <v>0</v>
      </c>
      <c r="J131" s="1735"/>
      <c r="K131" s="1796" t="b">
        <f t="shared" si="15"/>
        <v>1</v>
      </c>
      <c r="L131" s="1735">
        <f t="shared" si="16"/>
        <v>0</v>
      </c>
      <c r="M131" s="1735">
        <f t="shared" si="17"/>
        <v>8500</v>
      </c>
      <c r="N131" s="1735">
        <f t="shared" si="18"/>
        <v>8500</v>
      </c>
    </row>
    <row r="132" spans="1:14">
      <c r="A132" s="1820" t="s">
        <v>1328</v>
      </c>
      <c r="B132" s="1812">
        <v>0</v>
      </c>
      <c r="C132" s="1812">
        <v>8500</v>
      </c>
      <c r="D132" s="1812">
        <v>8500</v>
      </c>
      <c r="E132" s="1735"/>
      <c r="F132" s="1821" t="s">
        <v>1328</v>
      </c>
      <c r="G132" s="1813">
        <v>0</v>
      </c>
      <c r="H132" s="1813">
        <v>0</v>
      </c>
      <c r="I132" s="1813">
        <v>0</v>
      </c>
      <c r="J132" s="1735"/>
      <c r="K132" s="1796" t="b">
        <f t="shared" si="15"/>
        <v>1</v>
      </c>
      <c r="L132" s="1735">
        <f t="shared" si="16"/>
        <v>0</v>
      </c>
      <c r="M132" s="1735">
        <f t="shared" si="17"/>
        <v>8500</v>
      </c>
      <c r="N132" s="1735">
        <f t="shared" si="18"/>
        <v>8500</v>
      </c>
    </row>
    <row r="133" spans="1:14">
      <c r="A133" s="1798" t="s">
        <v>1196</v>
      </c>
      <c r="B133" s="1812">
        <v>0</v>
      </c>
      <c r="C133" s="1812">
        <v>80000</v>
      </c>
      <c r="D133" s="1812">
        <v>80000</v>
      </c>
      <c r="E133" s="1735"/>
      <c r="F133" s="1800" t="s">
        <v>1196</v>
      </c>
      <c r="G133" s="1813">
        <v>0</v>
      </c>
      <c r="H133" s="1813">
        <v>80000</v>
      </c>
      <c r="I133" s="1813">
        <v>80000</v>
      </c>
      <c r="J133" s="1735"/>
      <c r="K133" s="1796" t="b">
        <f t="shared" si="15"/>
        <v>1</v>
      </c>
      <c r="L133" s="1735">
        <f t="shared" si="16"/>
        <v>0</v>
      </c>
      <c r="M133" s="1735">
        <f t="shared" si="17"/>
        <v>0</v>
      </c>
      <c r="N133" s="1735">
        <f t="shared" si="18"/>
        <v>0</v>
      </c>
    </row>
    <row r="134" spans="1:14">
      <c r="A134" s="889" t="s">
        <v>1027</v>
      </c>
      <c r="B134" s="1812">
        <v>29750</v>
      </c>
      <c r="C134" s="1812">
        <v>170250</v>
      </c>
      <c r="D134" s="1812">
        <v>200000</v>
      </c>
      <c r="E134" s="1735"/>
      <c r="F134" s="1800" t="s">
        <v>1027</v>
      </c>
      <c r="G134" s="1813">
        <v>29750</v>
      </c>
      <c r="H134" s="1813">
        <v>150250</v>
      </c>
      <c r="I134" s="1813">
        <v>180000</v>
      </c>
      <c r="J134" s="1735"/>
      <c r="K134" s="1796" t="b">
        <f t="shared" si="15"/>
        <v>1</v>
      </c>
      <c r="L134" s="1735">
        <f t="shared" si="16"/>
        <v>0</v>
      </c>
      <c r="M134" s="1735">
        <f t="shared" si="17"/>
        <v>20000</v>
      </c>
      <c r="N134" s="1735">
        <f t="shared" si="18"/>
        <v>20000</v>
      </c>
    </row>
    <row r="135" spans="1:14">
      <c r="A135" s="1798" t="s">
        <v>1329</v>
      </c>
      <c r="B135" s="1812">
        <v>51000</v>
      </c>
      <c r="C135" s="1812">
        <v>70500</v>
      </c>
      <c r="D135" s="1812">
        <v>121500</v>
      </c>
      <c r="E135" s="1735"/>
      <c r="F135" s="1800" t="s">
        <v>1329</v>
      </c>
      <c r="G135" s="1813">
        <v>51000</v>
      </c>
      <c r="H135" s="1813">
        <v>37500</v>
      </c>
      <c r="I135" s="1813">
        <v>88500</v>
      </c>
      <c r="J135" s="1735"/>
      <c r="K135" s="1796" t="b">
        <f t="shared" si="15"/>
        <v>1</v>
      </c>
      <c r="L135" s="1735">
        <f t="shared" si="16"/>
        <v>0</v>
      </c>
      <c r="M135" s="1735">
        <f t="shared" si="17"/>
        <v>33000</v>
      </c>
      <c r="N135" s="1735">
        <f t="shared" si="18"/>
        <v>33000</v>
      </c>
    </row>
    <row r="136" spans="1:14">
      <c r="A136" s="1798" t="s">
        <v>1313</v>
      </c>
      <c r="B136" s="1812">
        <v>0</v>
      </c>
      <c r="C136" s="1812">
        <v>200000</v>
      </c>
      <c r="D136" s="1812">
        <v>200000</v>
      </c>
      <c r="E136" s="1735"/>
      <c r="F136" s="1800" t="s">
        <v>1313</v>
      </c>
      <c r="G136" s="1813">
        <v>0</v>
      </c>
      <c r="H136" s="1813">
        <v>125000</v>
      </c>
      <c r="I136" s="1813">
        <v>125000</v>
      </c>
      <c r="J136" s="1735"/>
      <c r="K136" s="1796" t="b">
        <f t="shared" si="15"/>
        <v>1</v>
      </c>
      <c r="L136" s="1735">
        <f t="shared" si="16"/>
        <v>0</v>
      </c>
      <c r="M136" s="1735">
        <f t="shared" si="17"/>
        <v>75000</v>
      </c>
      <c r="N136" s="1735">
        <f t="shared" si="18"/>
        <v>75000</v>
      </c>
    </row>
    <row r="137" spans="1:14">
      <c r="A137" s="1798" t="s">
        <v>1623</v>
      </c>
      <c r="B137" s="1812">
        <v>80000</v>
      </c>
      <c r="C137" s="1812">
        <v>145000</v>
      </c>
      <c r="D137" s="1812">
        <v>225000</v>
      </c>
      <c r="E137" s="1735"/>
      <c r="F137" s="1800" t="s">
        <v>1623</v>
      </c>
      <c r="G137" s="1813">
        <v>80000</v>
      </c>
      <c r="H137" s="1813">
        <v>115000</v>
      </c>
      <c r="I137" s="1813">
        <v>195000</v>
      </c>
      <c r="J137" s="1735"/>
      <c r="K137" s="1796" t="b">
        <f t="shared" si="15"/>
        <v>1</v>
      </c>
      <c r="L137" s="1735">
        <f t="shared" si="16"/>
        <v>0</v>
      </c>
      <c r="M137" s="1735">
        <f t="shared" si="17"/>
        <v>30000</v>
      </c>
      <c r="N137" s="1735">
        <f t="shared" si="18"/>
        <v>30000</v>
      </c>
    </row>
    <row r="138" spans="1:14">
      <c r="A138" s="1798" t="s">
        <v>1198</v>
      </c>
      <c r="B138" s="1812">
        <v>0</v>
      </c>
      <c r="C138" s="1812">
        <v>50000</v>
      </c>
      <c r="D138" s="1812">
        <v>50000</v>
      </c>
      <c r="E138" s="1735"/>
      <c r="F138" s="1800" t="s">
        <v>1198</v>
      </c>
      <c r="G138" s="1813">
        <v>0</v>
      </c>
      <c r="H138" s="1813">
        <v>40000</v>
      </c>
      <c r="I138" s="1813">
        <v>40000</v>
      </c>
      <c r="J138" s="1735"/>
      <c r="K138" s="1796" t="b">
        <f t="shared" si="15"/>
        <v>1</v>
      </c>
      <c r="L138" s="1735">
        <f t="shared" si="16"/>
        <v>0</v>
      </c>
      <c r="M138" s="1735">
        <f t="shared" si="17"/>
        <v>10000</v>
      </c>
      <c r="N138" s="1735">
        <f t="shared" si="18"/>
        <v>10000</v>
      </c>
    </row>
    <row r="139" spans="1:14">
      <c r="A139" s="1798" t="s">
        <v>1197</v>
      </c>
      <c r="B139" s="1812">
        <v>30000</v>
      </c>
      <c r="C139" s="1812">
        <v>40000</v>
      </c>
      <c r="D139" s="1812">
        <v>70000</v>
      </c>
      <c r="E139" s="1735"/>
      <c r="F139" s="1800" t="s">
        <v>1197</v>
      </c>
      <c r="G139" s="1813">
        <v>25000</v>
      </c>
      <c r="H139" s="1813">
        <v>28000</v>
      </c>
      <c r="I139" s="1813">
        <v>53000</v>
      </c>
      <c r="J139" s="1735"/>
      <c r="K139" s="1796" t="b">
        <f t="shared" si="15"/>
        <v>1</v>
      </c>
      <c r="L139" s="1735">
        <f t="shared" si="16"/>
        <v>5000</v>
      </c>
      <c r="M139" s="1735">
        <f t="shared" si="17"/>
        <v>12000</v>
      </c>
      <c r="N139" s="1735">
        <f t="shared" si="18"/>
        <v>17000</v>
      </c>
    </row>
    <row r="140" spans="1:14">
      <c r="A140" s="1798" t="s">
        <v>724</v>
      </c>
      <c r="B140" s="1812">
        <v>70000</v>
      </c>
      <c r="C140" s="1812">
        <v>74000</v>
      </c>
      <c r="D140" s="1812">
        <v>144000</v>
      </c>
      <c r="E140" s="1735"/>
      <c r="F140" s="1800" t="s">
        <v>724</v>
      </c>
      <c r="G140" s="1813">
        <v>70000</v>
      </c>
      <c r="H140" s="1813">
        <v>40000</v>
      </c>
      <c r="I140" s="1813">
        <v>110000</v>
      </c>
      <c r="J140" s="1735"/>
      <c r="K140" s="1796" t="b">
        <f t="shared" ref="K140:K170" si="19">A140=F140</f>
        <v>1</v>
      </c>
      <c r="L140" s="1735">
        <f t="shared" ref="L140:L200" si="20">B140-G140</f>
        <v>0</v>
      </c>
      <c r="M140" s="1735">
        <f t="shared" ref="M140:M200" si="21">C140-H140</f>
        <v>34000</v>
      </c>
      <c r="N140" s="1735">
        <f t="shared" ref="N140:N200" si="22">D140-I140</f>
        <v>34000</v>
      </c>
    </row>
    <row r="141" spans="1:14">
      <c r="A141" s="1798" t="s">
        <v>1129</v>
      </c>
      <c r="B141" s="1812">
        <v>0</v>
      </c>
      <c r="C141" s="1812">
        <v>389500</v>
      </c>
      <c r="D141" s="1812">
        <v>389500</v>
      </c>
      <c r="E141" s="1735"/>
      <c r="F141" s="1800" t="s">
        <v>1129</v>
      </c>
      <c r="G141" s="1813">
        <v>0</v>
      </c>
      <c r="H141" s="1813">
        <v>210500</v>
      </c>
      <c r="I141" s="1813">
        <v>210500</v>
      </c>
      <c r="J141" s="1735"/>
      <c r="K141" s="1796" t="b">
        <f t="shared" si="19"/>
        <v>1</v>
      </c>
      <c r="L141" s="1735">
        <f t="shared" si="20"/>
        <v>0</v>
      </c>
      <c r="M141" s="1735">
        <f t="shared" si="21"/>
        <v>179000</v>
      </c>
      <c r="N141" s="1735">
        <f t="shared" si="22"/>
        <v>179000</v>
      </c>
    </row>
    <row r="142" spans="1:14">
      <c r="A142" s="1798" t="s">
        <v>1140</v>
      </c>
      <c r="B142" s="1812">
        <v>0</v>
      </c>
      <c r="C142" s="1812">
        <v>6500</v>
      </c>
      <c r="D142" s="1812">
        <v>6500</v>
      </c>
      <c r="E142" s="1735"/>
      <c r="F142" s="1800" t="s">
        <v>1140</v>
      </c>
      <c r="G142" s="1813">
        <v>0</v>
      </c>
      <c r="H142" s="1813">
        <v>6500</v>
      </c>
      <c r="I142" s="1813">
        <v>6500</v>
      </c>
      <c r="J142" s="1735"/>
      <c r="K142" s="1796" t="b">
        <f t="shared" si="19"/>
        <v>1</v>
      </c>
      <c r="L142" s="1735">
        <f t="shared" si="20"/>
        <v>0</v>
      </c>
      <c r="M142" s="1735">
        <f t="shared" si="21"/>
        <v>0</v>
      </c>
      <c r="N142" s="1735">
        <f t="shared" si="22"/>
        <v>0</v>
      </c>
    </row>
    <row r="143" spans="1:14">
      <c r="A143" s="1820" t="s">
        <v>1140</v>
      </c>
      <c r="B143" s="1812">
        <v>0</v>
      </c>
      <c r="C143" s="1812">
        <v>6500</v>
      </c>
      <c r="D143" s="1812">
        <v>6500</v>
      </c>
      <c r="E143" s="1735"/>
      <c r="F143" s="1821" t="s">
        <v>1140</v>
      </c>
      <c r="G143" s="1813">
        <v>0</v>
      </c>
      <c r="H143" s="1813">
        <v>6500</v>
      </c>
      <c r="I143" s="1813">
        <v>6500</v>
      </c>
      <c r="J143" s="1735"/>
      <c r="K143" s="1796" t="b">
        <f t="shared" si="19"/>
        <v>1</v>
      </c>
      <c r="L143" s="1735">
        <f t="shared" si="20"/>
        <v>0</v>
      </c>
      <c r="M143" s="1735">
        <f t="shared" si="21"/>
        <v>0</v>
      </c>
      <c r="N143" s="1735">
        <f t="shared" si="22"/>
        <v>0</v>
      </c>
    </row>
    <row r="144" spans="1:14">
      <c r="A144" s="1798" t="s">
        <v>986</v>
      </c>
      <c r="B144" s="1812">
        <v>0</v>
      </c>
      <c r="C144" s="1812">
        <v>18000</v>
      </c>
      <c r="D144" s="1812">
        <v>18000</v>
      </c>
      <c r="E144" s="1735"/>
      <c r="F144" s="1800" t="s">
        <v>986</v>
      </c>
      <c r="G144" s="1813">
        <v>0</v>
      </c>
      <c r="H144" s="1813">
        <v>18000</v>
      </c>
      <c r="I144" s="1813">
        <v>18000</v>
      </c>
      <c r="J144" s="1735"/>
      <c r="K144" s="1796" t="b">
        <f t="shared" si="19"/>
        <v>1</v>
      </c>
      <c r="L144" s="1735">
        <f t="shared" si="20"/>
        <v>0</v>
      </c>
      <c r="M144" s="1735">
        <f t="shared" si="21"/>
        <v>0</v>
      </c>
      <c r="N144" s="1735">
        <f t="shared" si="22"/>
        <v>0</v>
      </c>
    </row>
    <row r="145" spans="1:14">
      <c r="A145" s="1798" t="s">
        <v>1029</v>
      </c>
      <c r="B145" s="1812">
        <v>0</v>
      </c>
      <c r="C145" s="1812">
        <v>0</v>
      </c>
      <c r="D145" s="1812">
        <v>0</v>
      </c>
      <c r="E145" s="1735"/>
      <c r="F145" s="1800" t="s">
        <v>1029</v>
      </c>
      <c r="G145" s="1813">
        <v>0</v>
      </c>
      <c r="H145" s="1813">
        <v>0</v>
      </c>
      <c r="I145" s="1813">
        <v>0</v>
      </c>
      <c r="J145" s="1735"/>
      <c r="K145" s="1796" t="b">
        <f t="shared" si="19"/>
        <v>1</v>
      </c>
      <c r="L145" s="1735">
        <f t="shared" si="20"/>
        <v>0</v>
      </c>
      <c r="M145" s="1735">
        <f t="shared" si="21"/>
        <v>0</v>
      </c>
      <c r="N145" s="1735">
        <f t="shared" si="22"/>
        <v>0</v>
      </c>
    </row>
    <row r="146" spans="1:14">
      <c r="A146" s="1798" t="s">
        <v>1199</v>
      </c>
      <c r="B146" s="1812">
        <v>0</v>
      </c>
      <c r="C146" s="1812">
        <v>5000</v>
      </c>
      <c r="D146" s="1812">
        <v>5000</v>
      </c>
      <c r="E146" s="1735"/>
      <c r="F146" s="1800" t="s">
        <v>1199</v>
      </c>
      <c r="G146" s="1813">
        <v>0</v>
      </c>
      <c r="H146" s="1813">
        <v>5000</v>
      </c>
      <c r="I146" s="1813">
        <v>5000</v>
      </c>
      <c r="J146" s="1735"/>
      <c r="K146" s="1796" t="b">
        <f t="shared" si="19"/>
        <v>1</v>
      </c>
      <c r="L146" s="1735">
        <f t="shared" si="20"/>
        <v>0</v>
      </c>
      <c r="M146" s="1735">
        <f t="shared" si="21"/>
        <v>0</v>
      </c>
      <c r="N146" s="1735">
        <f t="shared" si="22"/>
        <v>0</v>
      </c>
    </row>
    <row r="147" spans="1:14">
      <c r="A147" s="850" t="s">
        <v>1634</v>
      </c>
      <c r="B147" s="1812">
        <v>0</v>
      </c>
      <c r="C147" s="1812">
        <v>26000</v>
      </c>
      <c r="D147" s="1812">
        <v>26000</v>
      </c>
      <c r="E147" s="1735"/>
      <c r="F147" s="850" t="s">
        <v>1634</v>
      </c>
      <c r="G147" s="1813">
        <v>0</v>
      </c>
      <c r="H147" s="1813">
        <v>16000</v>
      </c>
      <c r="I147" s="1813">
        <v>16000</v>
      </c>
      <c r="J147" s="1735"/>
      <c r="K147" s="1796" t="b">
        <f t="shared" si="19"/>
        <v>1</v>
      </c>
      <c r="L147" s="1735">
        <f t="shared" si="20"/>
        <v>0</v>
      </c>
      <c r="M147" s="1735">
        <f t="shared" si="21"/>
        <v>10000</v>
      </c>
      <c r="N147" s="1735">
        <f t="shared" si="22"/>
        <v>10000</v>
      </c>
    </row>
    <row r="148" spans="1:14">
      <c r="A148" s="1798" t="s">
        <v>679</v>
      </c>
      <c r="B148" s="1812">
        <v>0</v>
      </c>
      <c r="C148" s="1812">
        <v>170000</v>
      </c>
      <c r="D148" s="1812">
        <v>170000</v>
      </c>
      <c r="E148" s="1735"/>
      <c r="F148" s="1800" t="s">
        <v>679</v>
      </c>
      <c r="G148" s="1813">
        <v>0</v>
      </c>
      <c r="H148" s="1813">
        <v>125000</v>
      </c>
      <c r="I148" s="1813">
        <v>125000</v>
      </c>
      <c r="J148" s="1735"/>
      <c r="K148" s="1796" t="b">
        <f t="shared" si="19"/>
        <v>1</v>
      </c>
      <c r="L148" s="1735">
        <f t="shared" si="20"/>
        <v>0</v>
      </c>
      <c r="M148" s="1735">
        <f t="shared" si="21"/>
        <v>45000</v>
      </c>
      <c r="N148" s="1735">
        <f t="shared" si="22"/>
        <v>45000</v>
      </c>
    </row>
    <row r="149" spans="1:14">
      <c r="A149" s="1798" t="s">
        <v>1624</v>
      </c>
      <c r="B149" s="1812">
        <v>136200</v>
      </c>
      <c r="C149" s="1812">
        <v>72600</v>
      </c>
      <c r="D149" s="1812">
        <v>208800</v>
      </c>
      <c r="E149" s="1735"/>
      <c r="F149" s="1800" t="s">
        <v>1624</v>
      </c>
      <c r="G149" s="1813">
        <v>72600</v>
      </c>
      <c r="H149" s="1813">
        <v>132600</v>
      </c>
      <c r="I149" s="1813">
        <v>205200</v>
      </c>
      <c r="J149" s="1735"/>
      <c r="K149" s="1796" t="b">
        <f t="shared" si="19"/>
        <v>1</v>
      </c>
      <c r="L149" s="1735">
        <f t="shared" si="20"/>
        <v>63600</v>
      </c>
      <c r="M149" s="1735">
        <f t="shared" si="21"/>
        <v>-60000</v>
      </c>
      <c r="N149" s="1735">
        <f t="shared" si="22"/>
        <v>3600</v>
      </c>
    </row>
    <row r="150" spans="1:14">
      <c r="A150" s="1798" t="s">
        <v>1135</v>
      </c>
      <c r="B150" s="1812">
        <v>3500</v>
      </c>
      <c r="C150" s="1812">
        <v>31500</v>
      </c>
      <c r="D150" s="1812">
        <v>35000</v>
      </c>
      <c r="E150" s="1735"/>
      <c r="F150" s="1800" t="s">
        <v>1135</v>
      </c>
      <c r="G150" s="1813">
        <v>2500</v>
      </c>
      <c r="H150" s="1813">
        <v>42500</v>
      </c>
      <c r="I150" s="1813">
        <v>45000</v>
      </c>
      <c r="J150" s="1735"/>
      <c r="K150" s="1796" t="b">
        <f t="shared" si="19"/>
        <v>1</v>
      </c>
      <c r="L150" s="1735">
        <f t="shared" si="20"/>
        <v>1000</v>
      </c>
      <c r="M150" s="1735">
        <f t="shared" si="21"/>
        <v>-11000</v>
      </c>
      <c r="N150" s="1735">
        <f t="shared" si="22"/>
        <v>-10000</v>
      </c>
    </row>
    <row r="151" spans="1:14">
      <c r="A151" s="1798" t="s">
        <v>1625</v>
      </c>
      <c r="B151" s="1812">
        <v>80000</v>
      </c>
      <c r="C151" s="1812">
        <v>60000</v>
      </c>
      <c r="D151" s="1812">
        <v>140000</v>
      </c>
      <c r="E151" s="1735"/>
      <c r="F151" s="1800" t="s">
        <v>1625</v>
      </c>
      <c r="G151" s="1813">
        <v>80000</v>
      </c>
      <c r="H151" s="1813">
        <v>60000</v>
      </c>
      <c r="I151" s="1813">
        <v>140000</v>
      </c>
      <c r="J151" s="1735"/>
      <c r="K151" s="1796" t="b">
        <f t="shared" si="19"/>
        <v>1</v>
      </c>
      <c r="L151" s="1735">
        <f t="shared" si="20"/>
        <v>0</v>
      </c>
      <c r="M151" s="1735">
        <f t="shared" si="21"/>
        <v>0</v>
      </c>
      <c r="N151" s="1735">
        <f t="shared" si="22"/>
        <v>0</v>
      </c>
    </row>
    <row r="152" spans="1:14">
      <c r="A152" s="1798" t="s">
        <v>1008</v>
      </c>
      <c r="B152" s="1812">
        <v>20000</v>
      </c>
      <c r="C152" s="1812">
        <v>100000</v>
      </c>
      <c r="D152" s="1812">
        <v>120000</v>
      </c>
      <c r="E152" s="1735"/>
      <c r="F152" s="1800" t="s">
        <v>1008</v>
      </c>
      <c r="G152" s="1813">
        <v>16000</v>
      </c>
      <c r="H152" s="1813">
        <v>89000</v>
      </c>
      <c r="I152" s="1813">
        <v>105000</v>
      </c>
      <c r="J152" s="1735"/>
      <c r="K152" s="1796" t="b">
        <f t="shared" si="19"/>
        <v>1</v>
      </c>
      <c r="L152" s="1735">
        <f t="shared" si="20"/>
        <v>4000</v>
      </c>
      <c r="M152" s="1735">
        <f t="shared" si="21"/>
        <v>11000</v>
      </c>
      <c r="N152" s="1735">
        <f t="shared" si="22"/>
        <v>15000</v>
      </c>
    </row>
    <row r="153" spans="1:14">
      <c r="A153" s="1798" t="s">
        <v>1315</v>
      </c>
      <c r="B153" s="1812">
        <v>1500</v>
      </c>
      <c r="C153" s="1812">
        <v>148500</v>
      </c>
      <c r="D153" s="1812">
        <v>150000</v>
      </c>
      <c r="E153" s="1735"/>
      <c r="F153" s="1800" t="s">
        <v>1315</v>
      </c>
      <c r="G153" s="1813">
        <v>1500</v>
      </c>
      <c r="H153" s="1813">
        <v>148500</v>
      </c>
      <c r="I153" s="1813">
        <v>150000</v>
      </c>
      <c r="J153" s="1735"/>
      <c r="K153" s="1796" t="b">
        <f t="shared" si="19"/>
        <v>1</v>
      </c>
      <c r="L153" s="1735">
        <f t="shared" si="20"/>
        <v>0</v>
      </c>
      <c r="M153" s="1735">
        <f t="shared" si="21"/>
        <v>0</v>
      </c>
      <c r="N153" s="1735">
        <f t="shared" si="22"/>
        <v>0</v>
      </c>
    </row>
    <row r="154" spans="1:14">
      <c r="A154" s="850" t="s">
        <v>1324</v>
      </c>
      <c r="B154" s="1812">
        <v>53000</v>
      </c>
      <c r="C154" s="1812">
        <v>0</v>
      </c>
      <c r="D154" s="1812">
        <v>53000</v>
      </c>
      <c r="E154" s="1735"/>
      <c r="F154" s="1800"/>
      <c r="G154" s="1813"/>
      <c r="H154" s="1813"/>
      <c r="I154" s="1813"/>
      <c r="J154" s="1735"/>
      <c r="K154" s="1825" t="b">
        <f t="shared" si="19"/>
        <v>0</v>
      </c>
      <c r="L154" s="1735">
        <f t="shared" si="20"/>
        <v>53000</v>
      </c>
      <c r="M154" s="1735">
        <f t="shared" si="21"/>
        <v>0</v>
      </c>
      <c r="N154" s="1735">
        <f t="shared" si="22"/>
        <v>53000</v>
      </c>
    </row>
    <row r="155" spans="1:14">
      <c r="A155" s="1798" t="s">
        <v>1849</v>
      </c>
      <c r="B155" s="1812">
        <v>15400</v>
      </c>
      <c r="C155" s="1812">
        <v>50000</v>
      </c>
      <c r="D155" s="1812">
        <v>65400</v>
      </c>
      <c r="E155" s="1735"/>
      <c r="F155" s="1800"/>
      <c r="G155" s="1813"/>
      <c r="H155" s="1813"/>
      <c r="I155" s="1813"/>
      <c r="J155" s="1735"/>
      <c r="K155" s="1825" t="b">
        <f t="shared" si="19"/>
        <v>0</v>
      </c>
      <c r="L155" s="1735">
        <f t="shared" si="20"/>
        <v>15400</v>
      </c>
      <c r="M155" s="1735">
        <f t="shared" si="21"/>
        <v>50000</v>
      </c>
      <c r="N155" s="1735">
        <f t="shared" si="22"/>
        <v>65400</v>
      </c>
    </row>
    <row r="156" spans="1:14">
      <c r="A156" s="1800" t="s">
        <v>1629</v>
      </c>
      <c r="B156" s="1812">
        <v>0</v>
      </c>
      <c r="C156" s="1812">
        <v>8000</v>
      </c>
      <c r="D156" s="1812">
        <v>8000</v>
      </c>
      <c r="E156" s="1735"/>
      <c r="F156" s="1800" t="s">
        <v>1629</v>
      </c>
      <c r="G156" s="1813">
        <v>0</v>
      </c>
      <c r="H156" s="1813">
        <v>8000</v>
      </c>
      <c r="I156" s="1813">
        <v>8000</v>
      </c>
      <c r="J156" s="1735"/>
      <c r="K156" s="1796" t="b">
        <f t="shared" si="19"/>
        <v>1</v>
      </c>
      <c r="L156" s="1735">
        <f t="shared" si="20"/>
        <v>0</v>
      </c>
      <c r="M156" s="1735">
        <f t="shared" si="21"/>
        <v>0</v>
      </c>
      <c r="N156" s="1735">
        <f t="shared" si="22"/>
        <v>0</v>
      </c>
    </row>
    <row r="157" spans="1:14">
      <c r="A157" s="1798" t="s">
        <v>1000</v>
      </c>
      <c r="B157" s="1812">
        <v>40000</v>
      </c>
      <c r="C157" s="1812">
        <v>0</v>
      </c>
      <c r="D157" s="1812">
        <v>40000</v>
      </c>
      <c r="E157" s="1735"/>
      <c r="F157" s="1800" t="s">
        <v>1000</v>
      </c>
      <c r="G157" s="1813">
        <v>0</v>
      </c>
      <c r="H157" s="1813">
        <v>37500</v>
      </c>
      <c r="I157" s="1813">
        <v>37500</v>
      </c>
      <c r="J157" s="1735"/>
      <c r="K157" s="1796" t="b">
        <f t="shared" si="19"/>
        <v>1</v>
      </c>
      <c r="L157" s="1735">
        <f t="shared" si="20"/>
        <v>40000</v>
      </c>
      <c r="M157" s="1735">
        <f t="shared" si="21"/>
        <v>-37500</v>
      </c>
      <c r="N157" s="1735">
        <f t="shared" si="22"/>
        <v>2500</v>
      </c>
    </row>
    <row r="158" spans="1:14">
      <c r="A158" s="1798"/>
      <c r="B158" s="1812"/>
      <c r="C158" s="1812"/>
      <c r="D158" s="1812"/>
      <c r="E158" s="1735"/>
      <c r="F158" s="1800" t="s">
        <v>634</v>
      </c>
      <c r="G158" s="1813">
        <v>0</v>
      </c>
      <c r="H158" s="1813">
        <v>125000</v>
      </c>
      <c r="I158" s="1813">
        <v>125000</v>
      </c>
      <c r="J158" s="1735"/>
      <c r="K158" s="1825" t="b">
        <f t="shared" si="19"/>
        <v>0</v>
      </c>
      <c r="L158" s="1735">
        <f t="shared" si="20"/>
        <v>0</v>
      </c>
      <c r="M158" s="1735">
        <f t="shared" si="21"/>
        <v>-125000</v>
      </c>
      <c r="N158" s="1735">
        <f t="shared" si="22"/>
        <v>-125000</v>
      </c>
    </row>
    <row r="159" spans="1:14">
      <c r="A159" s="1798" t="s">
        <v>1161</v>
      </c>
      <c r="B159" s="1812">
        <v>140000</v>
      </c>
      <c r="C159" s="1812">
        <v>35000</v>
      </c>
      <c r="D159" s="1812">
        <v>175000</v>
      </c>
      <c r="E159" s="1735"/>
      <c r="F159" s="1800" t="s">
        <v>1161</v>
      </c>
      <c r="G159" s="1813">
        <v>140000</v>
      </c>
      <c r="H159" s="1813">
        <v>35000</v>
      </c>
      <c r="I159" s="1813">
        <v>175000</v>
      </c>
      <c r="J159" s="1735"/>
      <c r="K159" s="1796" t="b">
        <f t="shared" si="19"/>
        <v>1</v>
      </c>
      <c r="L159" s="1735">
        <f t="shared" si="20"/>
        <v>0</v>
      </c>
      <c r="M159" s="1735">
        <f t="shared" si="21"/>
        <v>0</v>
      </c>
      <c r="N159" s="1735">
        <f t="shared" si="22"/>
        <v>0</v>
      </c>
    </row>
    <row r="160" spans="1:14">
      <c r="A160" s="1798" t="s">
        <v>1200</v>
      </c>
      <c r="B160" s="1812">
        <v>0</v>
      </c>
      <c r="C160" s="1812">
        <v>5148</v>
      </c>
      <c r="D160" s="1812">
        <v>5148</v>
      </c>
      <c r="E160" s="1735"/>
      <c r="F160" s="1800" t="s">
        <v>1200</v>
      </c>
      <c r="G160" s="1813">
        <v>0</v>
      </c>
      <c r="H160" s="1813">
        <v>4966</v>
      </c>
      <c r="I160" s="1813">
        <v>4966</v>
      </c>
      <c r="J160" s="1735"/>
      <c r="K160" s="1796" t="b">
        <f t="shared" si="19"/>
        <v>1</v>
      </c>
      <c r="L160" s="1735">
        <f t="shared" si="20"/>
        <v>0</v>
      </c>
      <c r="M160" s="1735">
        <f t="shared" si="21"/>
        <v>182</v>
      </c>
      <c r="N160" s="1735">
        <f t="shared" si="22"/>
        <v>182</v>
      </c>
    </row>
    <row r="161" spans="1:14">
      <c r="A161" s="850" t="s">
        <v>1626</v>
      </c>
      <c r="B161" s="1812">
        <v>0</v>
      </c>
      <c r="C161" s="1812">
        <v>0</v>
      </c>
      <c r="D161" s="1812">
        <v>0</v>
      </c>
      <c r="E161" s="1735"/>
      <c r="F161" s="850" t="s">
        <v>1626</v>
      </c>
      <c r="G161" s="1813">
        <v>0</v>
      </c>
      <c r="H161" s="1813">
        <v>100000</v>
      </c>
      <c r="I161" s="1813">
        <v>100000</v>
      </c>
      <c r="J161" s="1735"/>
      <c r="K161" s="1796" t="b">
        <f t="shared" si="19"/>
        <v>1</v>
      </c>
      <c r="L161" s="1735">
        <f t="shared" si="20"/>
        <v>0</v>
      </c>
      <c r="M161" s="1735">
        <f t="shared" si="21"/>
        <v>-100000</v>
      </c>
      <c r="N161" s="1735">
        <f t="shared" si="22"/>
        <v>-100000</v>
      </c>
    </row>
    <row r="162" spans="1:14">
      <c r="A162" s="1798" t="s">
        <v>1307</v>
      </c>
      <c r="B162" s="1812">
        <v>0</v>
      </c>
      <c r="C162" s="1812">
        <v>65000</v>
      </c>
      <c r="D162" s="1812">
        <v>65000</v>
      </c>
      <c r="E162" s="1735"/>
      <c r="F162" s="1800" t="s">
        <v>1307</v>
      </c>
      <c r="G162" s="1813">
        <v>0</v>
      </c>
      <c r="H162" s="1813">
        <v>55000</v>
      </c>
      <c r="I162" s="1813">
        <v>55000</v>
      </c>
      <c r="J162" s="1735"/>
      <c r="K162" s="1796" t="b">
        <f t="shared" si="19"/>
        <v>1</v>
      </c>
      <c r="L162" s="1735">
        <f t="shared" si="20"/>
        <v>0</v>
      </c>
      <c r="M162" s="1735">
        <f t="shared" si="21"/>
        <v>10000</v>
      </c>
      <c r="N162" s="1735">
        <f t="shared" si="22"/>
        <v>10000</v>
      </c>
    </row>
    <row r="163" spans="1:14">
      <c r="A163" s="1798" t="s">
        <v>1010</v>
      </c>
      <c r="B163" s="1812">
        <v>0</v>
      </c>
      <c r="C163" s="1812">
        <v>60000</v>
      </c>
      <c r="D163" s="1812">
        <v>60000</v>
      </c>
      <c r="E163" s="1735"/>
      <c r="F163" s="1800" t="s">
        <v>1010</v>
      </c>
      <c r="G163" s="1813">
        <v>0</v>
      </c>
      <c r="H163" s="1813">
        <v>45000</v>
      </c>
      <c r="I163" s="1813">
        <v>45000</v>
      </c>
      <c r="J163" s="1735"/>
      <c r="K163" s="1796" t="b">
        <f t="shared" si="19"/>
        <v>1</v>
      </c>
      <c r="L163" s="1735">
        <f t="shared" si="20"/>
        <v>0</v>
      </c>
      <c r="M163" s="1735">
        <f t="shared" si="21"/>
        <v>15000</v>
      </c>
      <c r="N163" s="1735">
        <f t="shared" si="22"/>
        <v>15000</v>
      </c>
    </row>
    <row r="164" spans="1:14">
      <c r="A164" s="1798" t="s">
        <v>680</v>
      </c>
      <c r="B164" s="1812">
        <v>0</v>
      </c>
      <c r="C164" s="1812">
        <v>55000</v>
      </c>
      <c r="D164" s="1812">
        <v>55000</v>
      </c>
      <c r="E164" s="1735"/>
      <c r="F164" s="1800" t="s">
        <v>680</v>
      </c>
      <c r="G164" s="1813">
        <v>0</v>
      </c>
      <c r="H164" s="1813">
        <v>48000</v>
      </c>
      <c r="I164" s="1813">
        <v>48000</v>
      </c>
      <c r="J164" s="1735"/>
      <c r="K164" s="1796" t="b">
        <f t="shared" si="19"/>
        <v>1</v>
      </c>
      <c r="L164" s="1735">
        <f t="shared" si="20"/>
        <v>0</v>
      </c>
      <c r="M164" s="1735">
        <f t="shared" si="21"/>
        <v>7000</v>
      </c>
      <c r="N164" s="1735">
        <f t="shared" si="22"/>
        <v>7000</v>
      </c>
    </row>
    <row r="165" spans="1:14">
      <c r="A165" s="1798" t="s">
        <v>1201</v>
      </c>
      <c r="B165" s="1812">
        <v>11000</v>
      </c>
      <c r="C165" s="1812">
        <v>125000</v>
      </c>
      <c r="D165" s="1812">
        <v>136000</v>
      </c>
      <c r="E165" s="1735"/>
      <c r="F165" s="1800" t="s">
        <v>1201</v>
      </c>
      <c r="G165" s="1813">
        <v>11000</v>
      </c>
      <c r="H165" s="1813">
        <v>79000</v>
      </c>
      <c r="I165" s="1813">
        <v>90000</v>
      </c>
      <c r="J165" s="1735"/>
      <c r="K165" s="1796" t="b">
        <f t="shared" si="19"/>
        <v>1</v>
      </c>
      <c r="L165" s="1735">
        <f t="shared" si="20"/>
        <v>0</v>
      </c>
      <c r="M165" s="1735">
        <f t="shared" si="21"/>
        <v>46000</v>
      </c>
      <c r="N165" s="1735">
        <f t="shared" si="22"/>
        <v>46000</v>
      </c>
    </row>
    <row r="166" spans="1:14">
      <c r="A166" s="850" t="s">
        <v>1627</v>
      </c>
      <c r="B166" s="1812">
        <v>65000</v>
      </c>
      <c r="C166" s="1812">
        <v>10000</v>
      </c>
      <c r="D166" s="1812">
        <v>75000</v>
      </c>
      <c r="E166" s="1735"/>
      <c r="F166" s="1800" t="s">
        <v>1627</v>
      </c>
      <c r="G166" s="1813">
        <v>65000</v>
      </c>
      <c r="H166" s="1813">
        <v>10000</v>
      </c>
      <c r="I166" s="1813">
        <v>75000</v>
      </c>
      <c r="J166" s="1735"/>
      <c r="K166" s="1796" t="b">
        <f t="shared" si="19"/>
        <v>1</v>
      </c>
      <c r="L166" s="1735">
        <f t="shared" si="20"/>
        <v>0</v>
      </c>
      <c r="M166" s="1735">
        <f t="shared" si="21"/>
        <v>0</v>
      </c>
      <c r="N166" s="1735">
        <f t="shared" si="22"/>
        <v>0</v>
      </c>
    </row>
    <row r="167" spans="1:14">
      <c r="A167" s="1798" t="s">
        <v>696</v>
      </c>
      <c r="B167" s="1812">
        <v>0</v>
      </c>
      <c r="C167" s="1812">
        <v>40000</v>
      </c>
      <c r="D167" s="1812">
        <v>40000</v>
      </c>
      <c r="E167" s="1735"/>
      <c r="F167" s="1800" t="s">
        <v>696</v>
      </c>
      <c r="G167" s="1813">
        <v>0</v>
      </c>
      <c r="H167" s="1813">
        <v>25000</v>
      </c>
      <c r="I167" s="1813">
        <v>25000</v>
      </c>
      <c r="J167" s="1735"/>
      <c r="K167" s="1796" t="b">
        <f t="shared" si="19"/>
        <v>1</v>
      </c>
      <c r="L167" s="1735">
        <f t="shared" si="20"/>
        <v>0</v>
      </c>
      <c r="M167" s="1735">
        <f t="shared" si="21"/>
        <v>15000</v>
      </c>
      <c r="N167" s="1735">
        <f t="shared" si="22"/>
        <v>15000</v>
      </c>
    </row>
    <row r="168" spans="1:14">
      <c r="A168" s="1798" t="s">
        <v>1832</v>
      </c>
      <c r="B168" s="1812">
        <v>100</v>
      </c>
      <c r="C168" s="1812">
        <v>49900</v>
      </c>
      <c r="D168" s="1812">
        <v>50000</v>
      </c>
      <c r="E168" s="1735"/>
      <c r="F168" s="850" t="s">
        <v>465</v>
      </c>
      <c r="G168" s="1813">
        <v>100</v>
      </c>
      <c r="H168" s="1813">
        <v>44900</v>
      </c>
      <c r="I168" s="1813">
        <v>45000</v>
      </c>
      <c r="J168" s="1735"/>
      <c r="K168" s="1796" t="b">
        <f t="shared" si="19"/>
        <v>0</v>
      </c>
      <c r="L168" s="1735">
        <f t="shared" si="20"/>
        <v>0</v>
      </c>
      <c r="M168" s="1735">
        <f t="shared" si="21"/>
        <v>5000</v>
      </c>
      <c r="N168" s="1735">
        <f t="shared" si="22"/>
        <v>5000</v>
      </c>
    </row>
    <row r="169" spans="1:14">
      <c r="A169" s="1798" t="s">
        <v>1015</v>
      </c>
      <c r="B169" s="1812">
        <v>0</v>
      </c>
      <c r="C169" s="1812">
        <v>140000</v>
      </c>
      <c r="D169" s="1812">
        <v>140000</v>
      </c>
      <c r="E169" s="1735"/>
      <c r="F169" s="889" t="s">
        <v>1015</v>
      </c>
      <c r="G169" s="1813">
        <v>0</v>
      </c>
      <c r="H169" s="1813">
        <v>120000</v>
      </c>
      <c r="I169" s="1813">
        <v>120000</v>
      </c>
      <c r="J169" s="1735"/>
      <c r="K169" s="1796" t="b">
        <f t="shared" si="19"/>
        <v>1</v>
      </c>
      <c r="L169" s="1735">
        <f t="shared" si="20"/>
        <v>0</v>
      </c>
      <c r="M169" s="1735">
        <f t="shared" si="21"/>
        <v>20000</v>
      </c>
      <c r="N169" s="1735">
        <f t="shared" si="22"/>
        <v>20000</v>
      </c>
    </row>
    <row r="170" spans="1:14">
      <c r="A170" s="1805" t="s">
        <v>1628</v>
      </c>
      <c r="B170" s="1818">
        <v>0</v>
      </c>
      <c r="C170" s="1818">
        <v>160000</v>
      </c>
      <c r="D170" s="1818">
        <v>160000</v>
      </c>
      <c r="E170" s="1735"/>
      <c r="F170" s="1800" t="s">
        <v>1628</v>
      </c>
      <c r="G170" s="1813">
        <v>0</v>
      </c>
      <c r="H170" s="1813">
        <v>125000</v>
      </c>
      <c r="I170" s="1813">
        <v>125000</v>
      </c>
      <c r="J170" s="1735"/>
      <c r="K170" s="1796" t="b">
        <f t="shared" si="19"/>
        <v>1</v>
      </c>
      <c r="L170" s="1735">
        <f t="shared" si="20"/>
        <v>0</v>
      </c>
      <c r="M170" s="1735">
        <f t="shared" si="21"/>
        <v>35000</v>
      </c>
      <c r="N170" s="1735">
        <f t="shared" si="22"/>
        <v>35000</v>
      </c>
    </row>
    <row r="171" spans="1:14">
      <c r="A171" s="1822" t="s">
        <v>1628</v>
      </c>
      <c r="B171" s="1818">
        <v>0</v>
      </c>
      <c r="C171" s="1818">
        <v>160000</v>
      </c>
      <c r="D171" s="1818">
        <v>160000</v>
      </c>
      <c r="E171" s="1735"/>
      <c r="F171" s="1821" t="s">
        <v>1628</v>
      </c>
      <c r="G171" s="1813">
        <v>0</v>
      </c>
      <c r="H171" s="1813">
        <v>125000</v>
      </c>
      <c r="I171" s="1813">
        <v>125000</v>
      </c>
      <c r="J171" s="1735"/>
      <c r="K171" s="1796" t="b">
        <f t="shared" ref="K171:K200" si="23">A171=F171</f>
        <v>1</v>
      </c>
      <c r="L171" s="1735">
        <f t="shared" si="20"/>
        <v>0</v>
      </c>
      <c r="M171" s="1735">
        <f t="shared" si="21"/>
        <v>35000</v>
      </c>
      <c r="N171" s="1735">
        <f t="shared" si="22"/>
        <v>35000</v>
      </c>
    </row>
    <row r="172" spans="1:14">
      <c r="A172" s="1798" t="s">
        <v>1309</v>
      </c>
      <c r="B172" s="1812">
        <v>0</v>
      </c>
      <c r="C172" s="1812">
        <v>135000</v>
      </c>
      <c r="D172" s="1812">
        <v>135000</v>
      </c>
      <c r="E172" s="1735"/>
      <c r="F172" s="1800" t="s">
        <v>1309</v>
      </c>
      <c r="G172" s="1813">
        <v>0</v>
      </c>
      <c r="H172" s="1813">
        <v>130000</v>
      </c>
      <c r="I172" s="1813">
        <v>130000</v>
      </c>
      <c r="J172" s="1735"/>
      <c r="K172" s="1796" t="b">
        <f t="shared" si="23"/>
        <v>1</v>
      </c>
      <c r="L172" s="1735">
        <f t="shared" si="20"/>
        <v>0</v>
      </c>
      <c r="M172" s="1735">
        <f t="shared" si="21"/>
        <v>5000</v>
      </c>
      <c r="N172" s="1735">
        <f t="shared" si="22"/>
        <v>5000</v>
      </c>
    </row>
    <row r="173" spans="1:14">
      <c r="A173" s="1798" t="s">
        <v>1322</v>
      </c>
      <c r="B173" s="1812">
        <v>0</v>
      </c>
      <c r="C173" s="1812">
        <v>3750</v>
      </c>
      <c r="D173" s="1812">
        <v>3750</v>
      </c>
      <c r="E173" s="1735"/>
      <c r="F173" s="1800" t="s">
        <v>1322</v>
      </c>
      <c r="G173" s="1813">
        <v>0</v>
      </c>
      <c r="H173" s="1813">
        <v>3750</v>
      </c>
      <c r="I173" s="1813">
        <v>3750</v>
      </c>
      <c r="J173" s="1735"/>
      <c r="K173" s="1796" t="b">
        <f t="shared" si="23"/>
        <v>1</v>
      </c>
      <c r="L173" s="1735">
        <f t="shared" si="20"/>
        <v>0</v>
      </c>
      <c r="M173" s="1735">
        <f t="shared" si="21"/>
        <v>0</v>
      </c>
      <c r="N173" s="1735">
        <f t="shared" si="22"/>
        <v>0</v>
      </c>
    </row>
    <row r="174" spans="1:14">
      <c r="A174" s="1798" t="s">
        <v>961</v>
      </c>
      <c r="B174" s="1812">
        <v>0</v>
      </c>
      <c r="C174" s="1812">
        <v>60000</v>
      </c>
      <c r="D174" s="1812">
        <v>60000</v>
      </c>
      <c r="E174" s="1735"/>
      <c r="F174" s="1800" t="s">
        <v>961</v>
      </c>
      <c r="G174" s="1813">
        <v>0</v>
      </c>
      <c r="H174" s="1813">
        <v>60000</v>
      </c>
      <c r="I174" s="1813">
        <v>60000</v>
      </c>
      <c r="J174" s="1735"/>
      <c r="K174" s="1796" t="b">
        <f t="shared" si="23"/>
        <v>1</v>
      </c>
      <c r="L174" s="1735">
        <f t="shared" si="20"/>
        <v>0</v>
      </c>
      <c r="M174" s="1735">
        <f t="shared" si="21"/>
        <v>0</v>
      </c>
      <c r="N174" s="1735">
        <f t="shared" si="22"/>
        <v>0</v>
      </c>
    </row>
    <row r="175" spans="1:14">
      <c r="A175" s="1798" t="s">
        <v>1852</v>
      </c>
      <c r="B175" s="1812">
        <v>0</v>
      </c>
      <c r="C175" s="1812">
        <v>15000</v>
      </c>
      <c r="D175" s="1812">
        <v>15000</v>
      </c>
      <c r="E175" s="1735"/>
      <c r="F175" s="1800"/>
      <c r="G175" s="1813"/>
      <c r="H175" s="1813"/>
      <c r="I175" s="1813"/>
      <c r="J175" s="1735"/>
      <c r="K175" s="1825" t="b">
        <f t="shared" si="23"/>
        <v>0</v>
      </c>
      <c r="L175" s="1735">
        <f t="shared" si="20"/>
        <v>0</v>
      </c>
      <c r="M175" s="1735">
        <f t="shared" si="21"/>
        <v>15000</v>
      </c>
      <c r="N175" s="1735">
        <f t="shared" si="22"/>
        <v>15000</v>
      </c>
    </row>
    <row r="176" spans="1:14">
      <c r="A176" s="1798" t="s">
        <v>553</v>
      </c>
      <c r="B176" s="1812">
        <v>0</v>
      </c>
      <c r="C176" s="1812">
        <v>50000</v>
      </c>
      <c r="D176" s="1812">
        <v>50000</v>
      </c>
      <c r="E176" s="1735"/>
      <c r="F176" s="1800" t="s">
        <v>553</v>
      </c>
      <c r="G176" s="1813">
        <v>0</v>
      </c>
      <c r="H176" s="1813">
        <v>50000</v>
      </c>
      <c r="I176" s="1813">
        <v>50000</v>
      </c>
      <c r="J176" s="1735"/>
      <c r="K176" s="1796" t="b">
        <f t="shared" si="23"/>
        <v>1</v>
      </c>
      <c r="L176" s="1735">
        <f t="shared" si="20"/>
        <v>0</v>
      </c>
      <c r="M176" s="1735">
        <f t="shared" si="21"/>
        <v>0</v>
      </c>
      <c r="N176" s="1735">
        <f t="shared" si="22"/>
        <v>0</v>
      </c>
    </row>
    <row r="177" spans="1:14">
      <c r="A177" s="1798" t="s">
        <v>262</v>
      </c>
      <c r="B177" s="1812">
        <v>0</v>
      </c>
      <c r="C177" s="1812">
        <v>150000</v>
      </c>
      <c r="D177" s="1812">
        <v>150000</v>
      </c>
      <c r="E177" s="1735"/>
      <c r="F177" s="1800" t="s">
        <v>262</v>
      </c>
      <c r="G177" s="1813">
        <v>0</v>
      </c>
      <c r="H177" s="1813">
        <v>150000</v>
      </c>
      <c r="I177" s="1813">
        <v>150000</v>
      </c>
      <c r="J177" s="1735"/>
      <c r="K177" s="1796" t="b">
        <f t="shared" si="23"/>
        <v>1</v>
      </c>
      <c r="L177" s="1735">
        <f t="shared" si="20"/>
        <v>0</v>
      </c>
      <c r="M177" s="1735">
        <f t="shared" si="21"/>
        <v>0</v>
      </c>
      <c r="N177" s="1735">
        <f t="shared" si="22"/>
        <v>0</v>
      </c>
    </row>
    <row r="178" spans="1:14">
      <c r="A178" s="1798" t="s">
        <v>929</v>
      </c>
      <c r="B178" s="1812">
        <v>0</v>
      </c>
      <c r="C178" s="1812">
        <v>85000</v>
      </c>
      <c r="D178" s="1812">
        <v>85000</v>
      </c>
      <c r="E178" s="1735"/>
      <c r="F178" s="1800" t="s">
        <v>929</v>
      </c>
      <c r="G178" s="1813">
        <v>0</v>
      </c>
      <c r="H178" s="1813">
        <v>85000</v>
      </c>
      <c r="I178" s="1813">
        <v>85000</v>
      </c>
      <c r="J178" s="1735"/>
      <c r="K178" s="1796" t="b">
        <f t="shared" si="23"/>
        <v>1</v>
      </c>
      <c r="L178" s="1735">
        <f t="shared" si="20"/>
        <v>0</v>
      </c>
      <c r="M178" s="1735">
        <f t="shared" si="21"/>
        <v>0</v>
      </c>
      <c r="N178" s="1735">
        <f t="shared" si="22"/>
        <v>0</v>
      </c>
    </row>
    <row r="179" spans="1:14">
      <c r="A179" s="1798" t="s">
        <v>1137</v>
      </c>
      <c r="B179" s="1812">
        <v>0</v>
      </c>
      <c r="C179" s="1812">
        <v>2500</v>
      </c>
      <c r="D179" s="1812">
        <v>2500</v>
      </c>
      <c r="E179" s="1735"/>
      <c r="F179" s="1800" t="s">
        <v>1137</v>
      </c>
      <c r="G179" s="1813">
        <v>0</v>
      </c>
      <c r="H179" s="1813">
        <v>2500</v>
      </c>
      <c r="I179" s="1813">
        <v>2500</v>
      </c>
      <c r="J179" s="1735"/>
      <c r="K179" s="1796" t="b">
        <f t="shared" si="23"/>
        <v>1</v>
      </c>
      <c r="L179" s="1735">
        <f t="shared" si="20"/>
        <v>0</v>
      </c>
      <c r="M179" s="1735">
        <f t="shared" si="21"/>
        <v>0</v>
      </c>
      <c r="N179" s="1735">
        <f t="shared" si="22"/>
        <v>0</v>
      </c>
    </row>
    <row r="180" spans="1:14">
      <c r="A180" s="850" t="s">
        <v>1146</v>
      </c>
      <c r="B180" s="1812">
        <v>25000</v>
      </c>
      <c r="C180" s="1812">
        <v>40000</v>
      </c>
      <c r="D180" s="1812">
        <v>65000</v>
      </c>
      <c r="E180" s="1735"/>
      <c r="F180" s="850" t="s">
        <v>1146</v>
      </c>
      <c r="G180" s="1813">
        <v>40000</v>
      </c>
      <c r="H180" s="1813">
        <v>40000</v>
      </c>
      <c r="I180" s="1813">
        <v>80000</v>
      </c>
      <c r="J180" s="1735"/>
      <c r="K180" s="1796" t="b">
        <f t="shared" si="23"/>
        <v>1</v>
      </c>
      <c r="L180" s="1735">
        <f t="shared" si="20"/>
        <v>-15000</v>
      </c>
      <c r="M180" s="1735">
        <f t="shared" si="21"/>
        <v>0</v>
      </c>
      <c r="N180" s="1735">
        <f t="shared" si="22"/>
        <v>-15000</v>
      </c>
    </row>
    <row r="181" spans="1:14">
      <c r="A181" s="1798" t="s">
        <v>1331</v>
      </c>
      <c r="B181" s="1812">
        <v>180000</v>
      </c>
      <c r="C181" s="1812">
        <v>20000</v>
      </c>
      <c r="D181" s="1812">
        <v>200000</v>
      </c>
      <c r="E181" s="1735"/>
      <c r="F181" s="1800" t="s">
        <v>1331</v>
      </c>
      <c r="G181" s="1813">
        <v>20000</v>
      </c>
      <c r="H181" s="1813">
        <v>130000</v>
      </c>
      <c r="I181" s="1813">
        <v>150000</v>
      </c>
      <c r="J181" s="1735"/>
      <c r="K181" s="1796" t="b">
        <f t="shared" si="23"/>
        <v>1</v>
      </c>
      <c r="L181" s="1735">
        <f t="shared" si="20"/>
        <v>160000</v>
      </c>
      <c r="M181" s="1735">
        <f t="shared" si="21"/>
        <v>-110000</v>
      </c>
      <c r="N181" s="1735">
        <f t="shared" si="22"/>
        <v>50000</v>
      </c>
    </row>
    <row r="182" spans="1:14">
      <c r="A182" s="1798" t="s">
        <v>1012</v>
      </c>
      <c r="B182" s="1812">
        <v>800</v>
      </c>
      <c r="C182" s="1812">
        <v>74200</v>
      </c>
      <c r="D182" s="1812">
        <v>75000</v>
      </c>
      <c r="E182" s="1735"/>
      <c r="F182" s="1800" t="s">
        <v>1012</v>
      </c>
      <c r="G182" s="1813">
        <v>1000</v>
      </c>
      <c r="H182" s="1813">
        <v>74000</v>
      </c>
      <c r="I182" s="1813">
        <v>75000</v>
      </c>
      <c r="J182" s="1735"/>
      <c r="K182" s="1796" t="b">
        <f t="shared" si="23"/>
        <v>1</v>
      </c>
      <c r="L182" s="1735">
        <f t="shared" si="20"/>
        <v>-200</v>
      </c>
      <c r="M182" s="1735">
        <f t="shared" si="21"/>
        <v>200</v>
      </c>
      <c r="N182" s="1735">
        <f t="shared" si="22"/>
        <v>0</v>
      </c>
    </row>
    <row r="183" spans="1:14">
      <c r="A183" s="1798" t="s">
        <v>265</v>
      </c>
      <c r="B183" s="1812">
        <v>0</v>
      </c>
      <c r="C183" s="1812">
        <v>4202</v>
      </c>
      <c r="D183" s="1812">
        <v>4202</v>
      </c>
      <c r="E183" s="1735"/>
      <c r="F183" s="1800" t="s">
        <v>265</v>
      </c>
      <c r="G183" s="1813">
        <v>0</v>
      </c>
      <c r="H183" s="1813">
        <v>4902</v>
      </c>
      <c r="I183" s="1813">
        <v>4902</v>
      </c>
      <c r="J183" s="1735"/>
      <c r="K183" s="1796" t="b">
        <f t="shared" si="23"/>
        <v>1</v>
      </c>
      <c r="L183" s="1735">
        <f t="shared" si="20"/>
        <v>0</v>
      </c>
      <c r="M183" s="1735">
        <f t="shared" si="21"/>
        <v>-700</v>
      </c>
      <c r="N183" s="1735">
        <f t="shared" si="22"/>
        <v>-700</v>
      </c>
    </row>
    <row r="184" spans="1:14">
      <c r="A184" s="1798" t="s">
        <v>1310</v>
      </c>
      <c r="B184" s="1812">
        <v>0</v>
      </c>
      <c r="C184" s="1812">
        <v>4000</v>
      </c>
      <c r="D184" s="1812">
        <v>4000</v>
      </c>
      <c r="E184" s="1735"/>
      <c r="F184" s="1800" t="s">
        <v>1310</v>
      </c>
      <c r="G184" s="1813">
        <v>0</v>
      </c>
      <c r="H184" s="1813">
        <v>0</v>
      </c>
      <c r="I184" s="1813">
        <v>0</v>
      </c>
      <c r="J184" s="1735"/>
      <c r="K184" s="1796" t="b">
        <f t="shared" si="23"/>
        <v>1</v>
      </c>
      <c r="L184" s="1735">
        <f t="shared" si="20"/>
        <v>0</v>
      </c>
      <c r="M184" s="1735">
        <f t="shared" si="21"/>
        <v>4000</v>
      </c>
      <c r="N184" s="1735">
        <f t="shared" si="22"/>
        <v>4000</v>
      </c>
    </row>
    <row r="185" spans="1:14">
      <c r="A185" s="1798" t="s">
        <v>1411</v>
      </c>
      <c r="B185" s="1812">
        <v>0</v>
      </c>
      <c r="C185" s="1812">
        <v>22500</v>
      </c>
      <c r="D185" s="1812">
        <v>22500</v>
      </c>
      <c r="E185" s="1735"/>
      <c r="F185" s="1800" t="s">
        <v>1411</v>
      </c>
      <c r="G185" s="1813">
        <v>0</v>
      </c>
      <c r="H185" s="1813">
        <v>22500</v>
      </c>
      <c r="I185" s="1813">
        <v>22500</v>
      </c>
      <c r="J185" s="1735"/>
      <c r="K185" s="1796" t="b">
        <f t="shared" si="23"/>
        <v>1</v>
      </c>
      <c r="L185" s="1735">
        <f t="shared" si="20"/>
        <v>0</v>
      </c>
      <c r="M185" s="1735">
        <f t="shared" si="21"/>
        <v>0</v>
      </c>
      <c r="N185" s="1735">
        <f t="shared" si="22"/>
        <v>0</v>
      </c>
    </row>
    <row r="186" spans="1:14">
      <c r="A186" s="1820" t="s">
        <v>1411</v>
      </c>
      <c r="B186" s="1812">
        <v>0</v>
      </c>
      <c r="C186" s="1812">
        <v>22500</v>
      </c>
      <c r="D186" s="1812">
        <v>22500</v>
      </c>
      <c r="E186" s="1735"/>
      <c r="F186" s="1821" t="s">
        <v>1411</v>
      </c>
      <c r="G186" s="1813">
        <v>0</v>
      </c>
      <c r="H186" s="1813">
        <v>22500</v>
      </c>
      <c r="I186" s="1813">
        <v>22500</v>
      </c>
      <c r="J186" s="1735"/>
      <c r="K186" s="1796" t="b">
        <f t="shared" si="23"/>
        <v>1</v>
      </c>
      <c r="L186" s="1735">
        <f t="shared" si="20"/>
        <v>0</v>
      </c>
      <c r="M186" s="1735">
        <f t="shared" si="21"/>
        <v>0</v>
      </c>
      <c r="N186" s="1735">
        <f t="shared" si="22"/>
        <v>0</v>
      </c>
    </row>
    <row r="187" spans="1:14">
      <c r="A187" s="1798" t="s">
        <v>1335</v>
      </c>
      <c r="B187" s="1812">
        <v>0</v>
      </c>
      <c r="C187" s="1812">
        <v>175000</v>
      </c>
      <c r="D187" s="1812">
        <v>175000</v>
      </c>
      <c r="E187" s="1735"/>
      <c r="F187" s="1798" t="s">
        <v>1335</v>
      </c>
      <c r="G187" s="1812">
        <v>0</v>
      </c>
      <c r="H187" s="1812">
        <v>100000</v>
      </c>
      <c r="I187" s="1812">
        <v>100000</v>
      </c>
      <c r="J187" s="1735"/>
      <c r="K187" s="1796" t="b">
        <f t="shared" si="23"/>
        <v>1</v>
      </c>
      <c r="L187" s="1735">
        <f t="shared" si="20"/>
        <v>0</v>
      </c>
      <c r="M187" s="1735">
        <f t="shared" si="21"/>
        <v>75000</v>
      </c>
      <c r="N187" s="1735">
        <f t="shared" si="22"/>
        <v>75000</v>
      </c>
    </row>
    <row r="188" spans="1:14">
      <c r="A188" s="850" t="s">
        <v>1416</v>
      </c>
      <c r="B188" s="1812">
        <v>0</v>
      </c>
      <c r="C188" s="1812">
        <v>130000</v>
      </c>
      <c r="D188" s="1812">
        <v>130000</v>
      </c>
      <c r="E188" s="1735"/>
      <c r="F188" s="850" t="s">
        <v>1416</v>
      </c>
      <c r="G188" s="1813">
        <v>0</v>
      </c>
      <c r="H188" s="1813">
        <v>130000</v>
      </c>
      <c r="I188" s="1813">
        <v>130000</v>
      </c>
      <c r="J188" s="1735"/>
      <c r="K188" s="1796" t="b">
        <f t="shared" si="23"/>
        <v>1</v>
      </c>
      <c r="L188" s="1735">
        <f t="shared" si="20"/>
        <v>0</v>
      </c>
      <c r="M188" s="1735">
        <f t="shared" si="21"/>
        <v>0</v>
      </c>
      <c r="N188" s="1735">
        <f t="shared" si="22"/>
        <v>0</v>
      </c>
    </row>
    <row r="189" spans="1:14">
      <c r="A189" s="1798" t="s">
        <v>707</v>
      </c>
      <c r="B189" s="1812">
        <v>10000</v>
      </c>
      <c r="C189" s="1812">
        <v>36500</v>
      </c>
      <c r="D189" s="1812">
        <v>46500</v>
      </c>
      <c r="E189" s="1735"/>
      <c r="F189" s="1800" t="s">
        <v>707</v>
      </c>
      <c r="G189" s="1813">
        <v>10000</v>
      </c>
      <c r="H189" s="1813">
        <v>36500</v>
      </c>
      <c r="I189" s="1813">
        <v>46500</v>
      </c>
      <c r="J189" s="1735"/>
      <c r="K189" s="1796" t="b">
        <f t="shared" si="23"/>
        <v>1</v>
      </c>
      <c r="L189" s="1735">
        <f t="shared" si="20"/>
        <v>0</v>
      </c>
      <c r="M189" s="1735">
        <f t="shared" si="21"/>
        <v>0</v>
      </c>
      <c r="N189" s="1735">
        <f t="shared" si="22"/>
        <v>0</v>
      </c>
    </row>
    <row r="190" spans="1:14">
      <c r="A190" s="1798" t="s">
        <v>1402</v>
      </c>
      <c r="B190" s="1812">
        <v>0</v>
      </c>
      <c r="C190" s="1812">
        <v>90000</v>
      </c>
      <c r="D190" s="1812">
        <v>90000</v>
      </c>
      <c r="E190" s="1735"/>
      <c r="F190" s="1800" t="s">
        <v>1402</v>
      </c>
      <c r="G190" s="1813">
        <v>0</v>
      </c>
      <c r="H190" s="1813">
        <v>90000</v>
      </c>
      <c r="I190" s="1813">
        <v>90000</v>
      </c>
      <c r="J190" s="1735"/>
      <c r="K190" s="1796" t="b">
        <f t="shared" si="23"/>
        <v>1</v>
      </c>
      <c r="L190" s="1735">
        <f t="shared" si="20"/>
        <v>0</v>
      </c>
      <c r="M190" s="1735">
        <f t="shared" si="21"/>
        <v>0</v>
      </c>
      <c r="N190" s="1735">
        <f t="shared" si="22"/>
        <v>0</v>
      </c>
    </row>
    <row r="191" spans="1:14">
      <c r="A191" s="1798" t="s">
        <v>620</v>
      </c>
      <c r="B191" s="1812">
        <v>0</v>
      </c>
      <c r="C191" s="1812">
        <v>1815</v>
      </c>
      <c r="D191" s="1812">
        <v>1815</v>
      </c>
      <c r="E191" s="1735"/>
      <c r="F191" s="1800" t="s">
        <v>620</v>
      </c>
      <c r="G191" s="1813">
        <v>0</v>
      </c>
      <c r="H191" s="1813">
        <v>0</v>
      </c>
      <c r="I191" s="1813">
        <v>0</v>
      </c>
      <c r="J191" s="1735"/>
      <c r="K191" s="1796" t="b">
        <f t="shared" si="23"/>
        <v>1</v>
      </c>
      <c r="L191" s="1735">
        <f t="shared" si="20"/>
        <v>0</v>
      </c>
      <c r="M191" s="1735">
        <f t="shared" si="21"/>
        <v>1815</v>
      </c>
      <c r="N191" s="1735">
        <f t="shared" si="22"/>
        <v>1815</v>
      </c>
    </row>
    <row r="192" spans="1:14">
      <c r="A192" s="850" t="s">
        <v>721</v>
      </c>
      <c r="B192" s="1812">
        <v>0</v>
      </c>
      <c r="C192" s="1812">
        <v>4500</v>
      </c>
      <c r="D192" s="1812">
        <v>4500</v>
      </c>
      <c r="E192" s="1735"/>
      <c r="F192" s="850" t="s">
        <v>721</v>
      </c>
      <c r="G192" s="1813">
        <v>0</v>
      </c>
      <c r="H192" s="1813">
        <v>4500</v>
      </c>
      <c r="I192" s="1813">
        <v>4500</v>
      </c>
      <c r="J192" s="1735"/>
      <c r="K192" s="1796" t="b">
        <f t="shared" si="23"/>
        <v>1</v>
      </c>
      <c r="L192" s="1735">
        <f t="shared" si="20"/>
        <v>0</v>
      </c>
      <c r="M192" s="1735">
        <f t="shared" si="21"/>
        <v>0</v>
      </c>
      <c r="N192" s="1735">
        <f t="shared" si="22"/>
        <v>0</v>
      </c>
    </row>
    <row r="193" spans="1:195">
      <c r="A193" s="1798" t="s">
        <v>1080</v>
      </c>
      <c r="B193" s="1812">
        <v>0</v>
      </c>
      <c r="C193" s="1812">
        <v>3764</v>
      </c>
      <c r="D193" s="1812">
        <v>3764</v>
      </c>
      <c r="E193" s="1735"/>
      <c r="F193" s="1800" t="s">
        <v>1080</v>
      </c>
      <c r="G193" s="1813">
        <v>0</v>
      </c>
      <c r="H193" s="1813">
        <v>3564</v>
      </c>
      <c r="I193" s="1813">
        <v>3564</v>
      </c>
      <c r="J193" s="1735"/>
      <c r="K193" s="1796" t="b">
        <f t="shared" si="23"/>
        <v>1</v>
      </c>
      <c r="L193" s="1735">
        <f t="shared" si="20"/>
        <v>0</v>
      </c>
      <c r="M193" s="1735">
        <f t="shared" si="21"/>
        <v>200</v>
      </c>
      <c r="N193" s="1735">
        <f t="shared" si="22"/>
        <v>200</v>
      </c>
    </row>
    <row r="194" spans="1:195">
      <c r="A194" s="1798" t="s">
        <v>708</v>
      </c>
      <c r="B194" s="1812">
        <v>0</v>
      </c>
      <c r="C194" s="1812">
        <v>30000</v>
      </c>
      <c r="D194" s="1812">
        <v>30000</v>
      </c>
      <c r="E194" s="1735"/>
      <c r="F194" s="1800" t="s">
        <v>708</v>
      </c>
      <c r="G194" s="1813">
        <v>0</v>
      </c>
      <c r="H194" s="1813">
        <v>17500</v>
      </c>
      <c r="I194" s="1813">
        <v>17500</v>
      </c>
      <c r="J194" s="1735"/>
      <c r="K194" s="1796" t="b">
        <f t="shared" si="23"/>
        <v>1</v>
      </c>
      <c r="L194" s="1735">
        <f t="shared" si="20"/>
        <v>0</v>
      </c>
      <c r="M194" s="1735">
        <f t="shared" si="21"/>
        <v>12500</v>
      </c>
      <c r="N194" s="1735">
        <f t="shared" si="22"/>
        <v>12500</v>
      </c>
    </row>
    <row r="195" spans="1:195">
      <c r="A195" s="1798" t="s">
        <v>1630</v>
      </c>
      <c r="B195" s="1812">
        <v>0</v>
      </c>
      <c r="C195" s="1812">
        <v>55000</v>
      </c>
      <c r="D195" s="1812">
        <v>55000</v>
      </c>
      <c r="E195" s="1735"/>
      <c r="F195" s="1800" t="s">
        <v>1630</v>
      </c>
      <c r="G195" s="1813">
        <v>0</v>
      </c>
      <c r="H195" s="1813">
        <v>45000</v>
      </c>
      <c r="I195" s="1813">
        <v>45000</v>
      </c>
      <c r="J195" s="1735"/>
      <c r="K195" s="1796" t="b">
        <f t="shared" si="23"/>
        <v>1</v>
      </c>
      <c r="L195" s="1735">
        <f t="shared" si="20"/>
        <v>0</v>
      </c>
      <c r="M195" s="1735">
        <f t="shared" si="21"/>
        <v>10000</v>
      </c>
      <c r="N195" s="1735">
        <f t="shared" si="22"/>
        <v>10000</v>
      </c>
    </row>
    <row r="196" spans="1:195">
      <c r="A196" s="1800" t="s">
        <v>1833</v>
      </c>
      <c r="B196" s="1812">
        <v>65000</v>
      </c>
      <c r="C196" s="1812">
        <v>0</v>
      </c>
      <c r="D196" s="1812">
        <v>65000</v>
      </c>
      <c r="E196" s="1735"/>
      <c r="F196" s="1800" t="s">
        <v>1833</v>
      </c>
      <c r="G196" s="1813">
        <v>0</v>
      </c>
      <c r="H196" s="1813">
        <v>65000</v>
      </c>
      <c r="I196" s="1813">
        <v>65000</v>
      </c>
      <c r="J196" s="1735"/>
      <c r="K196" s="1796" t="b">
        <f t="shared" si="23"/>
        <v>1</v>
      </c>
      <c r="L196" s="1735">
        <f t="shared" si="20"/>
        <v>65000</v>
      </c>
      <c r="M196" s="1735">
        <f t="shared" si="21"/>
        <v>-65000</v>
      </c>
      <c r="N196" s="1735">
        <f t="shared" si="22"/>
        <v>0</v>
      </c>
    </row>
    <row r="197" spans="1:195">
      <c r="A197" s="1798" t="s">
        <v>1333</v>
      </c>
      <c r="B197" s="1812">
        <v>100</v>
      </c>
      <c r="C197" s="1812">
        <v>17500</v>
      </c>
      <c r="D197" s="1812">
        <v>17600</v>
      </c>
      <c r="E197" s="1735"/>
      <c r="F197" s="1800" t="s">
        <v>1333</v>
      </c>
      <c r="G197" s="1813">
        <v>100</v>
      </c>
      <c r="H197" s="1813">
        <v>17500</v>
      </c>
      <c r="I197" s="1813">
        <v>17600</v>
      </c>
      <c r="J197" s="1735"/>
      <c r="K197" s="1796" t="b">
        <f t="shared" si="23"/>
        <v>1</v>
      </c>
      <c r="L197" s="1735">
        <f t="shared" si="20"/>
        <v>0</v>
      </c>
      <c r="M197" s="1735">
        <f t="shared" si="21"/>
        <v>0</v>
      </c>
      <c r="N197" s="1735">
        <f t="shared" si="22"/>
        <v>0</v>
      </c>
    </row>
    <row r="198" spans="1:195">
      <c r="A198" s="1798" t="s">
        <v>1334</v>
      </c>
      <c r="B198" s="1812">
        <v>0</v>
      </c>
      <c r="C198" s="1812">
        <v>5113</v>
      </c>
      <c r="D198" s="1812">
        <v>5113</v>
      </c>
      <c r="E198" s="1735"/>
      <c r="F198" s="1800" t="s">
        <v>1334</v>
      </c>
      <c r="G198" s="1813">
        <v>0</v>
      </c>
      <c r="H198" s="1813">
        <v>5057</v>
      </c>
      <c r="I198" s="1813">
        <v>5057</v>
      </c>
      <c r="J198" s="1735"/>
      <c r="K198" s="1796" t="b">
        <f t="shared" si="23"/>
        <v>1</v>
      </c>
      <c r="L198" s="1735">
        <f t="shared" si="20"/>
        <v>0</v>
      </c>
      <c r="M198" s="1735">
        <f t="shared" si="21"/>
        <v>56</v>
      </c>
      <c r="N198" s="1735">
        <f t="shared" si="22"/>
        <v>56</v>
      </c>
    </row>
    <row r="199" spans="1:195">
      <c r="A199" s="1798" t="s">
        <v>722</v>
      </c>
      <c r="B199" s="1812">
        <v>1000</v>
      </c>
      <c r="C199" s="1812">
        <v>84000</v>
      </c>
      <c r="D199" s="1812">
        <v>85000</v>
      </c>
      <c r="E199" s="1735"/>
      <c r="F199" s="1800" t="s">
        <v>722</v>
      </c>
      <c r="G199" s="1813">
        <v>14400</v>
      </c>
      <c r="H199" s="1813">
        <v>53600</v>
      </c>
      <c r="I199" s="1813">
        <v>68000</v>
      </c>
      <c r="J199" s="1735"/>
      <c r="K199" s="1796" t="b">
        <f t="shared" si="23"/>
        <v>1</v>
      </c>
      <c r="L199" s="1735">
        <f t="shared" si="20"/>
        <v>-13400</v>
      </c>
      <c r="M199" s="1735">
        <f t="shared" si="21"/>
        <v>30400</v>
      </c>
      <c r="N199" s="1735">
        <f t="shared" si="22"/>
        <v>17000</v>
      </c>
    </row>
    <row r="200" spans="1:195">
      <c r="A200" s="1798" t="s">
        <v>697</v>
      </c>
      <c r="B200" s="1812">
        <v>0</v>
      </c>
      <c r="C200" s="1812">
        <v>50000</v>
      </c>
      <c r="D200" s="1812">
        <v>50000</v>
      </c>
      <c r="E200" s="1735"/>
      <c r="F200" s="1800" t="s">
        <v>697</v>
      </c>
      <c r="G200" s="1813">
        <v>0</v>
      </c>
      <c r="H200" s="1813">
        <v>50000</v>
      </c>
      <c r="I200" s="1813">
        <v>50000</v>
      </c>
      <c r="J200" s="1735"/>
      <c r="K200" s="1796" t="b">
        <f t="shared" si="23"/>
        <v>1</v>
      </c>
      <c r="L200" s="1735">
        <f t="shared" si="20"/>
        <v>0</v>
      </c>
      <c r="M200" s="1735">
        <f t="shared" si="21"/>
        <v>0</v>
      </c>
      <c r="N200" s="1735">
        <f t="shared" si="22"/>
        <v>0</v>
      </c>
    </row>
    <row r="201" spans="1:195">
      <c r="A201" s="1735"/>
      <c r="B201" s="1735"/>
      <c r="C201" s="1735"/>
      <c r="D201" s="1735"/>
      <c r="E201" s="1735"/>
      <c r="F201" s="1735"/>
      <c r="G201" s="1735"/>
      <c r="H201" s="1735"/>
      <c r="I201" s="1735"/>
      <c r="J201" s="1735"/>
    </row>
    <row r="202" spans="1:195">
      <c r="A202" s="1735"/>
      <c r="B202" s="1735"/>
      <c r="C202" s="1735"/>
      <c r="D202" s="1735"/>
      <c r="F202" s="1735"/>
      <c r="G202" s="1735"/>
      <c r="H202" s="1735"/>
      <c r="I202" s="1735"/>
      <c r="J202" s="1735"/>
    </row>
    <row r="203" spans="1:195">
      <c r="A203" s="1735"/>
      <c r="B203" s="1735"/>
      <c r="C203" s="1735"/>
      <c r="D203" s="1735"/>
      <c r="F203" s="1735"/>
      <c r="G203" s="1735"/>
      <c r="H203" s="1735"/>
      <c r="I203" s="1735"/>
      <c r="J203" s="1735"/>
    </row>
    <row r="204" spans="1:195" ht="15.6">
      <c r="A204" s="1734" t="s">
        <v>1886</v>
      </c>
      <c r="B204" s="1735"/>
      <c r="C204" s="1735"/>
      <c r="D204" s="1735"/>
      <c r="F204" s="1735"/>
      <c r="G204" s="1735"/>
      <c r="H204" s="1735"/>
      <c r="I204" s="1735"/>
      <c r="J204" s="1735"/>
    </row>
    <row r="205" spans="1:195">
      <c r="A205" s="1735"/>
      <c r="B205" s="1735"/>
      <c r="C205" s="1735"/>
      <c r="D205" s="1735"/>
      <c r="F205" s="1735"/>
      <c r="G205" s="1735"/>
      <c r="H205" s="1735"/>
      <c r="I205" s="1735"/>
      <c r="J205" s="1735"/>
    </row>
    <row r="206" spans="1:195" ht="69.75" customHeight="1">
      <c r="A206" s="1735"/>
      <c r="B206" s="1735"/>
      <c r="C206" s="1735"/>
      <c r="D206" s="1735"/>
      <c r="E206" s="1827" t="s">
        <v>544</v>
      </c>
      <c r="F206" s="928" t="s">
        <v>99</v>
      </c>
      <c r="G206" s="928" t="s">
        <v>100</v>
      </c>
      <c r="H206" s="1828" t="s">
        <v>81</v>
      </c>
      <c r="I206" s="1828" t="s">
        <v>71</v>
      </c>
      <c r="J206" s="1828" t="s">
        <v>4</v>
      </c>
      <c r="K206" s="1829" t="s">
        <v>934</v>
      </c>
      <c r="L206" s="1830" t="s">
        <v>101</v>
      </c>
      <c r="M206" s="1831" t="s">
        <v>102</v>
      </c>
      <c r="N206" s="1831" t="s">
        <v>103</v>
      </c>
      <c r="O206" s="1831" t="s">
        <v>104</v>
      </c>
      <c r="P206" s="1831" t="s">
        <v>105</v>
      </c>
      <c r="Q206" s="1817" t="s">
        <v>106</v>
      </c>
      <c r="R206" s="1817" t="s">
        <v>107</v>
      </c>
      <c r="S206" s="1817" t="s">
        <v>108</v>
      </c>
      <c r="T206" s="1832" t="s">
        <v>109</v>
      </c>
      <c r="U206" s="1832" t="s">
        <v>110</v>
      </c>
      <c r="V206" s="1832" t="s">
        <v>111</v>
      </c>
      <c r="W206" s="1817" t="s">
        <v>120</v>
      </c>
      <c r="X206" s="1817" t="s">
        <v>121</v>
      </c>
      <c r="Y206" s="1832" t="s">
        <v>122</v>
      </c>
      <c r="Z206" s="1832" t="s">
        <v>123</v>
      </c>
      <c r="AA206" s="1817" t="s">
        <v>115</v>
      </c>
      <c r="AB206" s="1817" t="s">
        <v>114</v>
      </c>
      <c r="AC206" s="1832" t="s">
        <v>113</v>
      </c>
      <c r="AD206" s="1832" t="s">
        <v>112</v>
      </c>
      <c r="AE206" s="1833" t="s">
        <v>116</v>
      </c>
      <c r="AF206" s="1833" t="s">
        <v>124</v>
      </c>
      <c r="AG206" s="1832" t="s">
        <v>125</v>
      </c>
      <c r="AH206" s="1833" t="s">
        <v>117</v>
      </c>
      <c r="AI206" s="1817" t="s">
        <v>127</v>
      </c>
      <c r="AJ206" s="1832" t="s">
        <v>126</v>
      </c>
      <c r="AK206" s="1834" t="s">
        <v>1296</v>
      </c>
      <c r="AL206" s="1834" t="s">
        <v>1167</v>
      </c>
      <c r="AM206" s="1817" t="s">
        <v>118</v>
      </c>
      <c r="AN206" s="1832" t="s">
        <v>119</v>
      </c>
      <c r="AO206" s="1817" t="s">
        <v>128</v>
      </c>
      <c r="AP206" s="1817" t="s">
        <v>61</v>
      </c>
      <c r="AQ206" s="1817" t="s">
        <v>129</v>
      </c>
      <c r="AR206" s="1817" t="s">
        <v>130</v>
      </c>
      <c r="AS206" s="1835" t="s">
        <v>53</v>
      </c>
      <c r="AT206" s="1835" t="s">
        <v>54</v>
      </c>
      <c r="AU206" s="1835" t="s">
        <v>55</v>
      </c>
      <c r="AV206" s="1835" t="s">
        <v>56</v>
      </c>
      <c r="AW206" s="1252" t="s">
        <v>131</v>
      </c>
      <c r="AX206" s="1836" t="s">
        <v>1174</v>
      </c>
      <c r="AY206" s="1836" t="s">
        <v>1168</v>
      </c>
      <c r="AZ206" s="1836" t="s">
        <v>1169</v>
      </c>
      <c r="BA206" s="1836" t="s">
        <v>1170</v>
      </c>
      <c r="BB206" s="1836" t="s">
        <v>1171</v>
      </c>
      <c r="BC206" s="1836" t="s">
        <v>1172</v>
      </c>
      <c r="BD206" s="1836" t="s">
        <v>1173</v>
      </c>
      <c r="BE206" s="1837" t="s">
        <v>132</v>
      </c>
      <c r="BF206" s="1837" t="s">
        <v>133</v>
      </c>
      <c r="BG206" s="1837" t="s">
        <v>896</v>
      </c>
      <c r="BH206" s="1837" t="s">
        <v>897</v>
      </c>
      <c r="BI206" s="1836" t="s">
        <v>1175</v>
      </c>
      <c r="BJ206" s="1837" t="s">
        <v>134</v>
      </c>
      <c r="BK206" s="1837" t="s">
        <v>135</v>
      </c>
      <c r="BL206" s="1838" t="s">
        <v>136</v>
      </c>
      <c r="BM206" s="1838" t="s">
        <v>137</v>
      </c>
      <c r="BN206" s="1837" t="s">
        <v>140</v>
      </c>
      <c r="BO206" s="1252" t="s">
        <v>138</v>
      </c>
      <c r="BP206" s="1836" t="s">
        <v>1176</v>
      </c>
      <c r="BQ206" s="1836" t="s">
        <v>1177</v>
      </c>
      <c r="BR206" s="1836" t="s">
        <v>1178</v>
      </c>
      <c r="BS206" s="1839" t="s">
        <v>139</v>
      </c>
      <c r="BT206" s="1836" t="s">
        <v>1231</v>
      </c>
      <c r="BU206" s="1836" t="s">
        <v>1179</v>
      </c>
      <c r="BV206" s="1836" t="s">
        <v>1267</v>
      </c>
      <c r="BW206" s="1836" t="s">
        <v>1234</v>
      </c>
      <c r="BX206" s="1836" t="s">
        <v>1268</v>
      </c>
      <c r="BY206" s="1836" t="s">
        <v>1269</v>
      </c>
      <c r="BZ206" s="1840" t="s">
        <v>7</v>
      </c>
      <c r="CA206" s="1841" t="s">
        <v>8</v>
      </c>
      <c r="CB206" s="1841" t="s">
        <v>9</v>
      </c>
      <c r="CC206" s="1842" t="s">
        <v>141</v>
      </c>
      <c r="CD206" s="1841" t="s">
        <v>45</v>
      </c>
      <c r="CE206" s="1841" t="s">
        <v>142</v>
      </c>
      <c r="CF206" s="1841" t="s">
        <v>143</v>
      </c>
      <c r="CG206" s="1841" t="s">
        <v>144</v>
      </c>
      <c r="CH206" s="1841" t="s">
        <v>12</v>
      </c>
      <c r="CI206" s="1841" t="s">
        <v>145</v>
      </c>
      <c r="CJ206" s="1841" t="s">
        <v>58</v>
      </c>
      <c r="CK206" s="1843" t="s">
        <v>184</v>
      </c>
      <c r="CL206" s="1843" t="s">
        <v>185</v>
      </c>
      <c r="CM206" s="1843" t="s">
        <v>186</v>
      </c>
      <c r="CN206" s="1843" t="s">
        <v>187</v>
      </c>
      <c r="CO206" s="1843" t="s">
        <v>188</v>
      </c>
      <c r="CP206" s="1843" t="s">
        <v>189</v>
      </c>
      <c r="CQ206" s="1843" t="s">
        <v>190</v>
      </c>
      <c r="CR206" s="1843" t="s">
        <v>191</v>
      </c>
      <c r="CS206" s="1843" t="s">
        <v>192</v>
      </c>
      <c r="CT206" s="1843" t="s">
        <v>193</v>
      </c>
      <c r="CU206" s="1843" t="s">
        <v>194</v>
      </c>
      <c r="CV206" s="1841" t="s">
        <v>16</v>
      </c>
      <c r="CW206" s="1841" t="s">
        <v>17</v>
      </c>
      <c r="CX206" s="1841" t="s">
        <v>18</v>
      </c>
      <c r="CY206" s="1841" t="s">
        <v>19</v>
      </c>
      <c r="CZ206" s="1841" t="s">
        <v>41</v>
      </c>
      <c r="DA206" s="1841" t="s">
        <v>20</v>
      </c>
      <c r="DB206" s="1841" t="s">
        <v>59</v>
      </c>
      <c r="DC206" s="1844" t="s">
        <v>195</v>
      </c>
      <c r="DD206" s="1844" t="s">
        <v>196</v>
      </c>
      <c r="DE206" s="1844" t="s">
        <v>197</v>
      </c>
      <c r="DF206" s="1844" t="s">
        <v>198</v>
      </c>
      <c r="DG206" s="1844" t="s">
        <v>199</v>
      </c>
      <c r="DH206" s="1844" t="s">
        <v>200</v>
      </c>
      <c r="DI206" s="1844" t="s">
        <v>201</v>
      </c>
      <c r="DJ206" s="1841" t="s">
        <v>146</v>
      </c>
      <c r="DK206" s="1845" t="s">
        <v>1270</v>
      </c>
      <c r="DL206" s="1845" t="s">
        <v>1271</v>
      </c>
      <c r="DM206" s="1845" t="s">
        <v>1272</v>
      </c>
      <c r="DN206" s="1846" t="s">
        <v>1273</v>
      </c>
      <c r="DO206" s="1845" t="s">
        <v>1274</v>
      </c>
      <c r="DP206" s="1845" t="s">
        <v>1275</v>
      </c>
      <c r="DQ206" s="1845" t="s">
        <v>1276</v>
      </c>
      <c r="DR206" s="1845" t="s">
        <v>1277</v>
      </c>
      <c r="DS206" s="1845" t="s">
        <v>1278</v>
      </c>
      <c r="DT206" s="1845" t="s">
        <v>1279</v>
      </c>
      <c r="DU206" s="1845" t="s">
        <v>1280</v>
      </c>
      <c r="DV206" s="1845" t="s">
        <v>1281</v>
      </c>
      <c r="DW206" s="1845" t="s">
        <v>1282</v>
      </c>
      <c r="DX206" s="1845" t="s">
        <v>1283</v>
      </c>
      <c r="DY206" s="1845" t="s">
        <v>1284</v>
      </c>
      <c r="DZ206" s="1845" t="s">
        <v>1285</v>
      </c>
      <c r="EA206" s="1845" t="s">
        <v>1286</v>
      </c>
      <c r="EB206" s="1845" t="s">
        <v>1287</v>
      </c>
      <c r="EC206" s="1845" t="s">
        <v>1288</v>
      </c>
      <c r="ED206" s="1845" t="s">
        <v>166</v>
      </c>
      <c r="EE206" s="1845" t="s">
        <v>167</v>
      </c>
      <c r="EF206" s="1845" t="s">
        <v>168</v>
      </c>
      <c r="EG206" s="1847" t="s">
        <v>1180</v>
      </c>
      <c r="EH206" s="1847" t="s">
        <v>1181</v>
      </c>
      <c r="EI206" s="1847" t="s">
        <v>1182</v>
      </c>
      <c r="EJ206" s="1845" t="s">
        <v>1246</v>
      </c>
      <c r="EK206" s="928" t="s">
        <v>169</v>
      </c>
      <c r="EL206" s="1848" t="s">
        <v>170</v>
      </c>
      <c r="EM206" s="928" t="s">
        <v>171</v>
      </c>
      <c r="EN206" s="928" t="s">
        <v>172</v>
      </c>
      <c r="EO206" s="1849" t="s">
        <v>183</v>
      </c>
      <c r="EP206" s="1848" t="s">
        <v>173</v>
      </c>
      <c r="EQ206" s="928" t="s">
        <v>174</v>
      </c>
      <c r="ER206" s="1850" t="s">
        <v>1881</v>
      </c>
      <c r="ES206" s="1850" t="s">
        <v>1252</v>
      </c>
      <c r="ET206" s="1850" t="s">
        <v>1253</v>
      </c>
      <c r="EU206" s="1850" t="s">
        <v>1882</v>
      </c>
      <c r="EV206" s="1848" t="s">
        <v>175</v>
      </c>
      <c r="EW206" s="928" t="s">
        <v>176</v>
      </c>
      <c r="EX206" s="1850" t="s">
        <v>1883</v>
      </c>
      <c r="EY206" s="928" t="s">
        <v>177</v>
      </c>
      <c r="EZ206" s="928" t="s">
        <v>22</v>
      </c>
      <c r="FA206" s="928" t="s">
        <v>23</v>
      </c>
      <c r="FB206" s="928" t="s">
        <v>12</v>
      </c>
      <c r="FC206" s="928" t="s">
        <v>24</v>
      </c>
      <c r="FD206" s="928" t="s">
        <v>25</v>
      </c>
      <c r="FE206" s="928" t="s">
        <v>178</v>
      </c>
      <c r="FF206" s="928" t="s">
        <v>508</v>
      </c>
      <c r="FG206" s="928" t="s">
        <v>509</v>
      </c>
      <c r="FH206" s="1851" t="s">
        <v>202</v>
      </c>
      <c r="FI206" s="1851" t="s">
        <v>203</v>
      </c>
      <c r="FJ206" s="1851" t="s">
        <v>204</v>
      </c>
      <c r="FK206" s="1851" t="s">
        <v>192</v>
      </c>
      <c r="FL206" s="1851" t="s">
        <v>205</v>
      </c>
      <c r="FM206" s="1851" t="s">
        <v>206</v>
      </c>
      <c r="FN206" s="1851" t="s">
        <v>207</v>
      </c>
      <c r="FO206" s="1851" t="s">
        <v>208</v>
      </c>
      <c r="FP206" s="1851" t="s">
        <v>209</v>
      </c>
      <c r="FQ206" s="928" t="s">
        <v>561</v>
      </c>
      <c r="FR206" s="1852" t="s">
        <v>562</v>
      </c>
      <c r="FS206" s="928" t="s">
        <v>31</v>
      </c>
      <c r="FT206" s="928" t="s">
        <v>32</v>
      </c>
      <c r="FU206" s="928" t="s">
        <v>48</v>
      </c>
      <c r="FV206" s="928" t="s">
        <v>70</v>
      </c>
      <c r="FW206" s="928" t="s">
        <v>42</v>
      </c>
      <c r="FX206" s="928" t="s">
        <v>33</v>
      </c>
      <c r="FY206" s="1852" t="s">
        <v>34</v>
      </c>
      <c r="FZ206" s="928" t="s">
        <v>210</v>
      </c>
      <c r="GA206" s="928" t="s">
        <v>211</v>
      </c>
      <c r="GB206" s="928" t="s">
        <v>212</v>
      </c>
      <c r="GC206" s="928" t="s">
        <v>213</v>
      </c>
      <c r="GD206" s="928" t="s">
        <v>214</v>
      </c>
      <c r="GE206" s="928" t="s">
        <v>215</v>
      </c>
      <c r="GF206" s="928" t="s">
        <v>216</v>
      </c>
      <c r="GG206" s="928" t="s">
        <v>217</v>
      </c>
      <c r="GH206" s="928" t="s">
        <v>218</v>
      </c>
      <c r="GI206" s="928" t="s">
        <v>35</v>
      </c>
      <c r="GJ206" s="928" t="s">
        <v>180</v>
      </c>
      <c r="GK206" s="928" t="s">
        <v>181</v>
      </c>
      <c r="GL206" s="928" t="s">
        <v>179</v>
      </c>
      <c r="GM206" s="928" t="s">
        <v>182</v>
      </c>
    </row>
    <row r="207" spans="1:195">
      <c r="A207" s="1872" t="s">
        <v>1884</v>
      </c>
      <c r="B207" s="1874" t="s">
        <v>1844</v>
      </c>
      <c r="C207" s="1873"/>
      <c r="E207" s="1854"/>
      <c r="F207" s="1853">
        <v>1</v>
      </c>
      <c r="G207" s="1853">
        <v>1</v>
      </c>
      <c r="H207" s="1853">
        <v>3452</v>
      </c>
      <c r="I207" s="1853">
        <v>2632</v>
      </c>
      <c r="J207" s="1853">
        <v>3452</v>
      </c>
      <c r="K207" s="1853">
        <v>3452</v>
      </c>
      <c r="L207" s="1855"/>
      <c r="M207" s="1855"/>
      <c r="N207" s="1855"/>
      <c r="O207" s="1855"/>
      <c r="P207" s="1855"/>
      <c r="Q207" s="1853">
        <v>180000</v>
      </c>
      <c r="R207" s="1853">
        <v>389500</v>
      </c>
      <c r="S207" s="1853">
        <v>389500</v>
      </c>
      <c r="T207" s="1856"/>
      <c r="U207" s="1856"/>
      <c r="V207" s="1856"/>
      <c r="W207" s="1853">
        <v>29689</v>
      </c>
      <c r="X207" s="1853">
        <v>29689</v>
      </c>
      <c r="Y207" s="1856"/>
      <c r="Z207" s="1856"/>
      <c r="AA207" s="1853">
        <v>5500</v>
      </c>
      <c r="AB207" s="1853">
        <v>0.44763316742560627</v>
      </c>
      <c r="AC207" s="1856"/>
      <c r="AD207" s="1857"/>
      <c r="AE207" s="1853">
        <v>1</v>
      </c>
      <c r="AF207" s="1853">
        <v>4410</v>
      </c>
      <c r="AG207" s="1856"/>
      <c r="AH207" s="1853">
        <v>1</v>
      </c>
      <c r="AI207" s="1858">
        <v>2120</v>
      </c>
      <c r="AJ207" s="1858">
        <v>0</v>
      </c>
      <c r="AK207" s="1853">
        <v>1</v>
      </c>
      <c r="AL207" s="1853">
        <v>30000</v>
      </c>
      <c r="AM207" s="1858">
        <v>44827</v>
      </c>
      <c r="AN207" s="1859">
        <v>0</v>
      </c>
      <c r="AO207" s="1858">
        <v>2600</v>
      </c>
      <c r="AP207" s="1858">
        <v>3900</v>
      </c>
      <c r="AQ207" s="1858">
        <v>45376</v>
      </c>
      <c r="AR207" s="1858">
        <v>0</v>
      </c>
      <c r="AS207" s="1860"/>
      <c r="AT207" s="1860"/>
      <c r="AU207" s="1860"/>
      <c r="AV207" s="1860"/>
      <c r="AW207" s="1860"/>
      <c r="AX207" s="1853">
        <v>1</v>
      </c>
      <c r="AY207" s="1853">
        <v>1</v>
      </c>
      <c r="AZ207" s="1853">
        <v>1</v>
      </c>
      <c r="BA207" s="1853">
        <v>1</v>
      </c>
      <c r="BB207" s="1853">
        <v>1</v>
      </c>
      <c r="BC207" s="1853">
        <v>1</v>
      </c>
      <c r="BD207" s="1853">
        <v>1</v>
      </c>
      <c r="BE207" s="1853">
        <v>1</v>
      </c>
      <c r="BF207" s="1853">
        <v>43631000</v>
      </c>
      <c r="BG207" s="1853">
        <v>5898310</v>
      </c>
      <c r="BH207" s="1853">
        <v>46511100</v>
      </c>
      <c r="BI207" s="1853">
        <v>104143560</v>
      </c>
      <c r="BJ207" s="1853">
        <v>18291197</v>
      </c>
      <c r="BK207" s="1853">
        <v>9586789</v>
      </c>
      <c r="BL207" s="1861">
        <v>18.805035976229245</v>
      </c>
      <c r="BM207" s="1853">
        <v>1</v>
      </c>
      <c r="BN207" s="1853">
        <v>30973851</v>
      </c>
      <c r="BO207" s="1856"/>
      <c r="BP207" s="1853">
        <v>45975171</v>
      </c>
      <c r="BQ207" s="1853">
        <v>57676356</v>
      </c>
      <c r="BR207" s="1853">
        <v>4.899298253657741</v>
      </c>
      <c r="BS207" s="1853">
        <v>1</v>
      </c>
      <c r="BT207" s="1853">
        <v>69603912</v>
      </c>
      <c r="BU207" s="1853">
        <v>117534951</v>
      </c>
      <c r="BV207" s="1853">
        <v>2.4317927438781615</v>
      </c>
      <c r="BW207" s="1862">
        <v>84182.372426222122</v>
      </c>
      <c r="BX207" s="1862">
        <v>60823.256614754828</v>
      </c>
      <c r="BY207" s="1862">
        <v>120481.11983205414</v>
      </c>
      <c r="BZ207" s="1853">
        <v>4675764</v>
      </c>
      <c r="CA207" s="1853">
        <v>1832690</v>
      </c>
      <c r="CB207" s="1853">
        <v>2810629</v>
      </c>
      <c r="CC207" s="1853">
        <v>3022277</v>
      </c>
      <c r="CD207" s="1853">
        <v>47780374</v>
      </c>
      <c r="CE207" s="1853">
        <v>7090930</v>
      </c>
      <c r="CF207" s="1853">
        <v>10650</v>
      </c>
      <c r="CG207" s="1853">
        <v>6178283</v>
      </c>
      <c r="CH207" s="1853">
        <v>2499373</v>
      </c>
      <c r="CI207" s="1853">
        <v>6204970</v>
      </c>
      <c r="CJ207" s="1862">
        <v>59534134</v>
      </c>
      <c r="CK207" s="1863">
        <v>0.29593178235189277</v>
      </c>
      <c r="CL207" s="1863">
        <v>0.11448265344958901</v>
      </c>
      <c r="CM207" s="1863">
        <v>0.20386709534456526</v>
      </c>
      <c r="CN207" s="1863">
        <v>0.30868048023093964</v>
      </c>
      <c r="CO207" s="1863">
        <v>1</v>
      </c>
      <c r="CP207" s="1863">
        <v>0.28173588845262415</v>
      </c>
      <c r="CQ207" s="1863">
        <v>1.0907280942880669E-3</v>
      </c>
      <c r="CR207" s="1863">
        <v>0.25909784982498607</v>
      </c>
      <c r="CS207" s="1863">
        <v>0.16411321756299393</v>
      </c>
      <c r="CT207" s="1863">
        <v>0.30280338540533569</v>
      </c>
      <c r="CU207" s="1863">
        <v>1</v>
      </c>
      <c r="CV207" s="1853">
        <v>28629107</v>
      </c>
      <c r="CW207" s="1853">
        <v>4077367</v>
      </c>
      <c r="CX207" s="1853">
        <v>1360671</v>
      </c>
      <c r="CY207" s="1853">
        <v>20381445</v>
      </c>
      <c r="CZ207" s="1853">
        <v>1388674</v>
      </c>
      <c r="DA207" s="1853">
        <v>1473258</v>
      </c>
      <c r="DB207" s="1853">
        <v>56687714</v>
      </c>
      <c r="DC207" s="1863">
        <v>0.63736895033877172</v>
      </c>
      <c r="DD207" s="1863">
        <v>0.16366334176777758</v>
      </c>
      <c r="DE207" s="1863">
        <v>0.10157612639402723</v>
      </c>
      <c r="DF207" s="1863">
        <v>0.54938754370663767</v>
      </c>
      <c r="DG207" s="1863">
        <v>6.7175117773972504E-2</v>
      </c>
      <c r="DH207" s="1863">
        <v>8.6661445746460702E-2</v>
      </c>
      <c r="DI207" s="1863">
        <v>1</v>
      </c>
      <c r="DJ207" s="1864">
        <v>2878074</v>
      </c>
      <c r="DK207" s="1858">
        <v>5453.4388588929824</v>
      </c>
      <c r="DL207" s="1858">
        <v>1448.378577754977</v>
      </c>
      <c r="DM207" s="1858">
        <v>5750.7323369709275</v>
      </c>
      <c r="DN207" s="1858">
        <v>4279.5045797149169</v>
      </c>
      <c r="DO207" s="1858">
        <v>29689</v>
      </c>
      <c r="DP207" s="1858">
        <v>8763.436143588413</v>
      </c>
      <c r="DQ207" s="1858">
        <v>18.479027238379782</v>
      </c>
      <c r="DR207" s="1858">
        <v>6399.2129972926905</v>
      </c>
      <c r="DS207" s="1858">
        <v>2842.2154629675688</v>
      </c>
      <c r="DT207" s="1858">
        <v>13056.341486035888</v>
      </c>
      <c r="DU207" s="1858">
        <v>46268.369241242079</v>
      </c>
      <c r="DV207" s="1858">
        <v>23355.959383718116</v>
      </c>
      <c r="DW207" s="1858">
        <v>4327.2955414693079</v>
      </c>
      <c r="DX207" s="1858">
        <v>2354.3933613136528</v>
      </c>
      <c r="DY207" s="1858">
        <v>19981.952009973527</v>
      </c>
      <c r="DZ207" s="1858">
        <v>1887.9057445370579</v>
      </c>
      <c r="EA207" s="1858">
        <v>3099.99235210392</v>
      </c>
      <c r="EB207" s="1858">
        <v>44534.310374880413</v>
      </c>
      <c r="EC207" s="1858">
        <v>5259.2163614890887</v>
      </c>
      <c r="ED207" s="1853">
        <v>660</v>
      </c>
      <c r="EE207" s="1853">
        <v>1</v>
      </c>
      <c r="EF207" s="1853">
        <v>337</v>
      </c>
      <c r="EG207" s="1853">
        <v>2312133</v>
      </c>
      <c r="EH207" s="1853">
        <v>1</v>
      </c>
      <c r="EI207" s="1865">
        <v>0.3</v>
      </c>
      <c r="EJ207" s="1866">
        <v>34.520000000000003</v>
      </c>
      <c r="EK207" s="1853">
        <v>1</v>
      </c>
      <c r="EL207" s="1853">
        <v>2600</v>
      </c>
      <c r="EM207" s="1853">
        <v>1</v>
      </c>
      <c r="EN207" s="1865">
        <v>0.2</v>
      </c>
      <c r="EO207" s="1853">
        <v>1</v>
      </c>
      <c r="EP207" s="1853">
        <v>325</v>
      </c>
      <c r="EQ207" s="1853">
        <v>1</v>
      </c>
      <c r="ER207" s="1853">
        <v>1</v>
      </c>
      <c r="ES207" s="1858">
        <v>9237.1432001784815</v>
      </c>
      <c r="ET207" s="1867">
        <v>192.39301575893032</v>
      </c>
      <c r="EU207" s="1853">
        <v>8</v>
      </c>
      <c r="EV207" s="1853">
        <v>300000</v>
      </c>
      <c r="EW207" s="1853">
        <v>27965</v>
      </c>
      <c r="EX207" s="1853">
        <v>2</v>
      </c>
      <c r="EY207" s="1853">
        <v>6178283</v>
      </c>
      <c r="EZ207" s="1853">
        <v>4120835</v>
      </c>
      <c r="FA207" s="1868">
        <v>2764687</v>
      </c>
      <c r="FB207" s="1853">
        <v>2499373</v>
      </c>
      <c r="FC207" s="1853">
        <v>1112758</v>
      </c>
      <c r="FD207" s="1868">
        <v>2601835</v>
      </c>
      <c r="FE207" s="1868">
        <v>8486088</v>
      </c>
      <c r="FF207" s="1868">
        <v>4077367</v>
      </c>
      <c r="FG207" s="1868">
        <v>4659283</v>
      </c>
      <c r="FH207" s="1869">
        <v>1</v>
      </c>
      <c r="FI207" s="1869">
        <v>0.83327572861850907</v>
      </c>
      <c r="FJ207" s="1869">
        <v>0.8234035956213509</v>
      </c>
      <c r="FK207" s="1869">
        <v>1</v>
      </c>
      <c r="FL207" s="1869">
        <v>0.92208476988977695</v>
      </c>
      <c r="FM207" s="1869">
        <v>3.3368768855049562</v>
      </c>
      <c r="FN207" s="1869">
        <v>1</v>
      </c>
      <c r="FO207" s="1869">
        <v>0.76514986789223727</v>
      </c>
      <c r="FP207" s="1869">
        <v>1</v>
      </c>
      <c r="FQ207" s="1853">
        <v>8416796</v>
      </c>
      <c r="FR207" s="1870">
        <v>0</v>
      </c>
      <c r="FS207" s="1853">
        <v>2384601</v>
      </c>
      <c r="FT207" s="1853">
        <v>335373</v>
      </c>
      <c r="FU207" s="1853">
        <v>156226</v>
      </c>
      <c r="FV207" s="1853">
        <v>189071</v>
      </c>
      <c r="FW207" s="1853">
        <v>5421488</v>
      </c>
      <c r="FX207" s="1853">
        <v>13732200</v>
      </c>
      <c r="FY207" s="1870">
        <v>98468.600000000093</v>
      </c>
      <c r="FZ207" s="1869">
        <v>2.3289916610562664</v>
      </c>
      <c r="GA207" s="1869">
        <v>0</v>
      </c>
      <c r="GB207" s="1869">
        <v>0.46037477767992402</v>
      </c>
      <c r="GC207" s="1869">
        <v>0.12366670041665313</v>
      </c>
      <c r="GD207" s="1869">
        <v>4.654772547647737E-2</v>
      </c>
      <c r="GE207" s="1869">
        <v>6.8408326496014429E-2</v>
      </c>
      <c r="GF207" s="1869">
        <v>1.5130786774744884</v>
      </c>
      <c r="GG207" s="1869">
        <v>3.4590517554151674</v>
      </c>
      <c r="GH207" s="1869">
        <v>0.10116694853829428</v>
      </c>
      <c r="GI207" s="1871">
        <v>9.2129957375341469</v>
      </c>
      <c r="GJ207" s="1853">
        <v>1</v>
      </c>
      <c r="GK207" s="1865">
        <v>0.2</v>
      </c>
      <c r="GL207" s="1853">
        <v>1</v>
      </c>
      <c r="GM207" s="1865">
        <v>0.15</v>
      </c>
    </row>
    <row r="208" spans="1:195">
      <c r="A208" s="1872" t="s">
        <v>1885</v>
      </c>
      <c r="B208" s="1874" t="s">
        <v>1826</v>
      </c>
      <c r="C208" s="1873"/>
      <c r="E208" s="1854"/>
      <c r="F208" s="1853">
        <v>1</v>
      </c>
      <c r="G208" s="1853">
        <v>1</v>
      </c>
      <c r="H208" s="1853">
        <v>3452</v>
      </c>
      <c r="I208" s="1853">
        <v>2575</v>
      </c>
      <c r="J208" s="1853">
        <v>3452</v>
      </c>
      <c r="K208" s="1853">
        <v>3451.5646105357946</v>
      </c>
      <c r="L208" s="1855"/>
      <c r="M208" s="1855"/>
      <c r="N208" s="1855"/>
      <c r="O208" s="1855"/>
      <c r="P208" s="1855"/>
      <c r="Q208" s="1853">
        <v>140000</v>
      </c>
      <c r="R208" s="1853">
        <v>250000</v>
      </c>
      <c r="S208" s="1853">
        <v>251000</v>
      </c>
      <c r="T208" s="1856"/>
      <c r="U208" s="1856"/>
      <c r="V208" s="1856"/>
      <c r="W208" s="1853">
        <v>29689</v>
      </c>
      <c r="X208" s="1853">
        <v>29425</v>
      </c>
      <c r="Y208" s="1856"/>
      <c r="Z208" s="1856"/>
      <c r="AA208" s="1853">
        <v>2491</v>
      </c>
      <c r="AB208" s="1853">
        <v>0.94444444444444442</v>
      </c>
      <c r="AC208" s="1856"/>
      <c r="AD208" s="1857"/>
      <c r="AE208" s="1853">
        <v>1</v>
      </c>
      <c r="AF208" s="1853">
        <v>7200</v>
      </c>
      <c r="AG208" s="1856"/>
      <c r="AH208" s="1853">
        <v>1</v>
      </c>
      <c r="AI208" s="1858">
        <v>10000</v>
      </c>
      <c r="AJ208" s="1858">
        <v>0</v>
      </c>
      <c r="AK208" s="1853">
        <v>1</v>
      </c>
      <c r="AL208" s="1853">
        <v>8785</v>
      </c>
      <c r="AM208" s="1858">
        <v>33025</v>
      </c>
      <c r="AN208" s="1859">
        <v>0</v>
      </c>
      <c r="AO208" s="1858">
        <v>2600</v>
      </c>
      <c r="AP208" s="1858">
        <v>3900</v>
      </c>
      <c r="AQ208" s="1858">
        <v>37125</v>
      </c>
      <c r="AR208" s="1858">
        <v>0</v>
      </c>
      <c r="AS208" s="1860"/>
      <c r="AT208" s="1860"/>
      <c r="AU208" s="1860"/>
      <c r="AV208" s="1860"/>
      <c r="AW208" s="1860"/>
      <c r="AX208" s="1853">
        <v>1</v>
      </c>
      <c r="AY208" s="1853">
        <v>1</v>
      </c>
      <c r="AZ208" s="1853">
        <v>1</v>
      </c>
      <c r="BA208" s="1853">
        <v>1</v>
      </c>
      <c r="BB208" s="1853">
        <v>1</v>
      </c>
      <c r="BC208" s="1853">
        <v>1</v>
      </c>
      <c r="BD208" s="1853">
        <v>1</v>
      </c>
      <c r="BE208" s="1853">
        <v>1</v>
      </c>
      <c r="BF208" s="1853">
        <v>45631000</v>
      </c>
      <c r="BG208" s="1853">
        <v>5186255</v>
      </c>
      <c r="BH208" s="1853">
        <v>47487300</v>
      </c>
      <c r="BI208" s="1853">
        <v>103812463</v>
      </c>
      <c r="BJ208" s="1853">
        <v>17411148</v>
      </c>
      <c r="BK208" s="1853">
        <v>10000841</v>
      </c>
      <c r="BL208" s="1861">
        <v>29.933181380837173</v>
      </c>
      <c r="BM208" s="1853">
        <v>1</v>
      </c>
      <c r="BN208" s="1853">
        <v>32100834</v>
      </c>
      <c r="BO208" s="1856"/>
      <c r="BP208" s="1853">
        <v>33488316</v>
      </c>
      <c r="BQ208" s="1853">
        <v>50712284</v>
      </c>
      <c r="BR208" s="1853">
        <v>5.8725274725274721</v>
      </c>
      <c r="BS208" s="1853">
        <v>1</v>
      </c>
      <c r="BT208" s="1853">
        <v>63148647</v>
      </c>
      <c r="BU208" s="1853">
        <v>85490000</v>
      </c>
      <c r="BV208" s="1853">
        <v>5.3810698966341217</v>
      </c>
      <c r="BW208" s="1862">
        <v>80529.001426467163</v>
      </c>
      <c r="BX208" s="1862">
        <v>55877.571952193241</v>
      </c>
      <c r="BY208" s="1862">
        <v>40231.02642359108</v>
      </c>
      <c r="BZ208" s="1853">
        <v>4275312</v>
      </c>
      <c r="CA208" s="1853">
        <v>1490092</v>
      </c>
      <c r="CB208" s="1853">
        <v>2110937</v>
      </c>
      <c r="CC208" s="1853">
        <v>3333314</v>
      </c>
      <c r="CD208" s="1853">
        <v>45275544</v>
      </c>
      <c r="CE208" s="1853">
        <v>1658000</v>
      </c>
      <c r="CF208" s="1853">
        <v>293319</v>
      </c>
      <c r="CG208" s="1853">
        <v>8727343</v>
      </c>
      <c r="CH208" s="1853">
        <v>1821088</v>
      </c>
      <c r="CI208" s="1853">
        <v>6794963</v>
      </c>
      <c r="CJ208" s="1862">
        <v>61091655</v>
      </c>
      <c r="CK208" s="1863">
        <v>0.27880306272937766</v>
      </c>
      <c r="CL208" s="1863">
        <v>0.11052291233699309</v>
      </c>
      <c r="CM208" s="1863">
        <v>0.16844075813003362</v>
      </c>
      <c r="CN208" s="1863">
        <v>0.27456041468862513</v>
      </c>
      <c r="CO208" s="1863">
        <v>0.85388010031335659</v>
      </c>
      <c r="CP208" s="1863">
        <v>0.14828632552283333</v>
      </c>
      <c r="CQ208" s="1863">
        <v>7.2403259786951224E-2</v>
      </c>
      <c r="CR208" s="1863">
        <v>0.25597965532848266</v>
      </c>
      <c r="CS208" s="1863">
        <v>0.14142457978156428</v>
      </c>
      <c r="CT208" s="1863">
        <v>0.32042108700062255</v>
      </c>
      <c r="CU208" s="1863">
        <v>1</v>
      </c>
      <c r="CV208" s="1853">
        <v>29968104</v>
      </c>
      <c r="CW208" s="1853">
        <v>5476946</v>
      </c>
      <c r="CX208" s="1853">
        <v>2207335</v>
      </c>
      <c r="CY208" s="1853">
        <v>20898311</v>
      </c>
      <c r="CZ208" s="1853">
        <v>1445000</v>
      </c>
      <c r="DA208" s="1853">
        <v>1308653</v>
      </c>
      <c r="DB208" s="1853">
        <v>57244442</v>
      </c>
      <c r="DC208" s="1863">
        <v>0.62942004800223661</v>
      </c>
      <c r="DD208" s="1863">
        <v>0.15286639095482688</v>
      </c>
      <c r="DE208" s="1863">
        <v>0.20652536240979674</v>
      </c>
      <c r="DF208" s="1863">
        <v>0.54245209254547599</v>
      </c>
      <c r="DG208" s="1863">
        <v>4.6095923129031255E-2</v>
      </c>
      <c r="DH208" s="1863">
        <v>7.4228783825687566E-2</v>
      </c>
      <c r="DI208" s="1863">
        <v>1</v>
      </c>
      <c r="DJ208" s="1864">
        <v>3847213</v>
      </c>
      <c r="DK208" s="1858">
        <v>4824.3272106553959</v>
      </c>
      <c r="DL208" s="1858">
        <v>1142.8573013339412</v>
      </c>
      <c r="DM208" s="1858">
        <v>4339.267343434125</v>
      </c>
      <c r="DN208" s="1858">
        <v>3816.4281053931181</v>
      </c>
      <c r="DO208" s="1858">
        <v>29425</v>
      </c>
      <c r="DP208" s="1858">
        <v>3694.5290267879659</v>
      </c>
      <c r="DQ208" s="1858">
        <v>724.41468828432778</v>
      </c>
      <c r="DR208" s="1858">
        <v>6515.7244213744834</v>
      </c>
      <c r="DS208" s="1858">
        <v>2138.4045975373961</v>
      </c>
      <c r="DT208" s="1858">
        <v>15141.247309680481</v>
      </c>
      <c r="DU208" s="1858">
        <v>47254.216167274477</v>
      </c>
      <c r="DV208" s="1858">
        <v>23019.166424535018</v>
      </c>
      <c r="DW208" s="1858">
        <v>4144.659675686532</v>
      </c>
      <c r="DX208" s="1858">
        <v>2220.4666648372004</v>
      </c>
      <c r="DY208" s="1858">
        <v>20523.775292601727</v>
      </c>
      <c r="DZ208" s="1858">
        <v>1240.5907763510795</v>
      </c>
      <c r="EA208" s="1858">
        <v>2772.3964190867696</v>
      </c>
      <c r="EB208" s="1858">
        <v>44794.41745899769</v>
      </c>
      <c r="EC208" s="1858">
        <v>3630.2594755693226</v>
      </c>
      <c r="ED208" s="1853">
        <v>847</v>
      </c>
      <c r="EE208" s="1853">
        <v>1</v>
      </c>
      <c r="EF208" s="1853">
        <v>350</v>
      </c>
      <c r="EG208" s="1853">
        <v>2331140</v>
      </c>
      <c r="EH208" s="1853">
        <v>1</v>
      </c>
      <c r="EI208" s="1865">
        <v>0.37</v>
      </c>
      <c r="EJ208" s="1866">
        <v>36.332259058271525</v>
      </c>
      <c r="EK208" s="1853">
        <v>1</v>
      </c>
      <c r="EL208" s="1853">
        <v>2600</v>
      </c>
      <c r="EM208" s="1853">
        <v>1</v>
      </c>
      <c r="EN208" s="1865">
        <v>0.2</v>
      </c>
      <c r="EO208" s="1853">
        <v>1</v>
      </c>
      <c r="EP208" s="1853">
        <v>325</v>
      </c>
      <c r="EQ208" s="1853">
        <v>1</v>
      </c>
      <c r="ER208" s="1853">
        <v>1</v>
      </c>
      <c r="ES208" s="1858">
        <v>7591.8971424094252</v>
      </c>
      <c r="ET208" s="1867">
        <v>0</v>
      </c>
      <c r="EU208" s="1853">
        <v>8</v>
      </c>
      <c r="EV208" s="1853">
        <v>423559</v>
      </c>
      <c r="EW208" s="1853">
        <v>61073</v>
      </c>
      <c r="EX208" s="1853">
        <v>2</v>
      </c>
      <c r="EY208" s="1853">
        <v>8727343</v>
      </c>
      <c r="EZ208" s="1853">
        <v>5042436</v>
      </c>
      <c r="FA208" s="1868">
        <v>3684907</v>
      </c>
      <c r="FB208" s="1853">
        <v>1821088</v>
      </c>
      <c r="FC208" s="1853">
        <v>847761</v>
      </c>
      <c r="FD208" s="1868">
        <v>1879000</v>
      </c>
      <c r="FE208" s="1868">
        <v>10117848</v>
      </c>
      <c r="FF208" s="1868">
        <v>5476946</v>
      </c>
      <c r="FG208" s="1868">
        <v>4640902</v>
      </c>
      <c r="FH208" s="1869">
        <v>1</v>
      </c>
      <c r="FI208" s="1869">
        <v>0.72707754810964997</v>
      </c>
      <c r="FJ208" s="1869">
        <v>0.68355776566082527</v>
      </c>
      <c r="FK208" s="1869">
        <v>1</v>
      </c>
      <c r="FL208" s="1869">
        <v>0.7021383782625007</v>
      </c>
      <c r="FM208" s="1869">
        <v>1.1244763614602036</v>
      </c>
      <c r="FN208" s="1869">
        <v>1</v>
      </c>
      <c r="FO208" s="1869">
        <v>0.67048219967516409</v>
      </c>
      <c r="FP208" s="1869">
        <v>0.68288310484819958</v>
      </c>
      <c r="FQ208" s="1853">
        <v>9613668</v>
      </c>
      <c r="FR208" s="1870">
        <v>0</v>
      </c>
      <c r="FS208" s="1853">
        <v>2565365</v>
      </c>
      <c r="FT208" s="1853">
        <v>438084</v>
      </c>
      <c r="FU208" s="1853">
        <v>311322</v>
      </c>
      <c r="FV208" s="1853">
        <v>156711</v>
      </c>
      <c r="FW208" s="1853">
        <v>4413333</v>
      </c>
      <c r="FX208" s="1853">
        <v>14913822</v>
      </c>
      <c r="FY208" s="1870">
        <v>0</v>
      </c>
      <c r="FZ208" s="1869">
        <v>1.9049495209299732</v>
      </c>
      <c r="GA208" s="1869">
        <v>0</v>
      </c>
      <c r="GB208" s="1869">
        <v>0.4796671780823889</v>
      </c>
      <c r="GC208" s="1869">
        <v>7.3586496538404544E-2</v>
      </c>
      <c r="GD208" s="1869">
        <v>5.2067783215052649E-2</v>
      </c>
      <c r="GE208" s="1869">
        <v>8.606917043466257E-2</v>
      </c>
      <c r="GF208" s="1869">
        <v>1.0167141236925428</v>
      </c>
      <c r="GG208" s="1869">
        <v>2.8058907536876792</v>
      </c>
      <c r="GH208" s="1869">
        <v>0</v>
      </c>
      <c r="GI208" s="1871">
        <v>9.6639603388283373</v>
      </c>
      <c r="GJ208" s="1853">
        <v>1</v>
      </c>
      <c r="GK208" s="1865">
        <v>0.15</v>
      </c>
      <c r="GL208" s="1853">
        <v>1</v>
      </c>
      <c r="GM208" s="1865">
        <v>0.1</v>
      </c>
    </row>
    <row r="209" spans="1:195" s="1875" customFormat="1">
      <c r="A209" s="1876"/>
      <c r="B209" s="1877"/>
      <c r="C209" s="1806"/>
      <c r="E209" s="1878"/>
      <c r="F209" s="1876">
        <f>F207-F208</f>
        <v>0</v>
      </c>
      <c r="G209" s="1876">
        <f t="shared" ref="G209:BR209" si="24">G207-G208</f>
        <v>0</v>
      </c>
      <c r="H209" s="1876">
        <f t="shared" si="24"/>
        <v>0</v>
      </c>
      <c r="I209" s="1876">
        <f t="shared" si="24"/>
        <v>57</v>
      </c>
      <c r="J209" s="1876">
        <f t="shared" si="24"/>
        <v>0</v>
      </c>
      <c r="K209" s="1876">
        <f t="shared" si="24"/>
        <v>0.43538946420540015</v>
      </c>
      <c r="L209" s="1876">
        <f t="shared" si="24"/>
        <v>0</v>
      </c>
      <c r="M209" s="1876">
        <f t="shared" si="24"/>
        <v>0</v>
      </c>
      <c r="N209" s="1876">
        <f t="shared" si="24"/>
        <v>0</v>
      </c>
      <c r="O209" s="1876">
        <f t="shared" si="24"/>
        <v>0</v>
      </c>
      <c r="P209" s="1876">
        <f t="shared" si="24"/>
        <v>0</v>
      </c>
      <c r="Q209" s="1876">
        <f t="shared" si="24"/>
        <v>40000</v>
      </c>
      <c r="R209" s="1876">
        <f t="shared" si="24"/>
        <v>139500</v>
      </c>
      <c r="S209" s="1876">
        <f t="shared" si="24"/>
        <v>138500</v>
      </c>
      <c r="T209" s="1876">
        <f t="shared" si="24"/>
        <v>0</v>
      </c>
      <c r="U209" s="1876">
        <f t="shared" si="24"/>
        <v>0</v>
      </c>
      <c r="V209" s="1876">
        <f t="shared" si="24"/>
        <v>0</v>
      </c>
      <c r="W209" s="1876">
        <f t="shared" si="24"/>
        <v>0</v>
      </c>
      <c r="X209" s="1876">
        <f t="shared" si="24"/>
        <v>264</v>
      </c>
      <c r="Y209" s="1876">
        <f t="shared" si="24"/>
        <v>0</v>
      </c>
      <c r="Z209" s="1876">
        <f t="shared" si="24"/>
        <v>0</v>
      </c>
      <c r="AA209" s="1876">
        <f t="shared" si="24"/>
        <v>3009</v>
      </c>
      <c r="AB209" s="1876">
        <f t="shared" si="24"/>
        <v>-0.49681127701883815</v>
      </c>
      <c r="AC209" s="1876">
        <f t="shared" si="24"/>
        <v>0</v>
      </c>
      <c r="AD209" s="1879">
        <f t="shared" si="24"/>
        <v>0</v>
      </c>
      <c r="AE209" s="1876">
        <f t="shared" si="24"/>
        <v>0</v>
      </c>
      <c r="AF209" s="1876">
        <f t="shared" si="24"/>
        <v>-2790</v>
      </c>
      <c r="AG209" s="1876">
        <f t="shared" si="24"/>
        <v>0</v>
      </c>
      <c r="AH209" s="1876">
        <f t="shared" si="24"/>
        <v>0</v>
      </c>
      <c r="AI209" s="1880">
        <f t="shared" si="24"/>
        <v>-7880</v>
      </c>
      <c r="AJ209" s="1880">
        <f t="shared" si="24"/>
        <v>0</v>
      </c>
      <c r="AK209" s="1876">
        <f t="shared" si="24"/>
        <v>0</v>
      </c>
      <c r="AL209" s="1876">
        <f t="shared" si="24"/>
        <v>21215</v>
      </c>
      <c r="AM209" s="1880">
        <f t="shared" si="24"/>
        <v>11802</v>
      </c>
      <c r="AN209" s="1880">
        <f t="shared" si="24"/>
        <v>0</v>
      </c>
      <c r="AO209" s="1880">
        <f t="shared" si="24"/>
        <v>0</v>
      </c>
      <c r="AP209" s="1880">
        <f t="shared" si="24"/>
        <v>0</v>
      </c>
      <c r="AQ209" s="1880">
        <f t="shared" si="24"/>
        <v>8251</v>
      </c>
      <c r="AR209" s="1880">
        <f t="shared" si="24"/>
        <v>0</v>
      </c>
      <c r="AS209" s="1881">
        <f t="shared" si="24"/>
        <v>0</v>
      </c>
      <c r="AT209" s="1881">
        <f t="shared" si="24"/>
        <v>0</v>
      </c>
      <c r="AU209" s="1881">
        <f t="shared" si="24"/>
        <v>0</v>
      </c>
      <c r="AV209" s="1881">
        <f t="shared" si="24"/>
        <v>0</v>
      </c>
      <c r="AW209" s="1881">
        <f t="shared" si="24"/>
        <v>0</v>
      </c>
      <c r="AX209" s="1876">
        <f t="shared" si="24"/>
        <v>0</v>
      </c>
      <c r="AY209" s="1876">
        <f t="shared" si="24"/>
        <v>0</v>
      </c>
      <c r="AZ209" s="1876">
        <f t="shared" si="24"/>
        <v>0</v>
      </c>
      <c r="BA209" s="1876">
        <f t="shared" si="24"/>
        <v>0</v>
      </c>
      <c r="BB209" s="1876">
        <f t="shared" si="24"/>
        <v>0</v>
      </c>
      <c r="BC209" s="1876">
        <f t="shared" si="24"/>
        <v>0</v>
      </c>
      <c r="BD209" s="1876">
        <f t="shared" si="24"/>
        <v>0</v>
      </c>
      <c r="BE209" s="1876">
        <f t="shared" si="24"/>
        <v>0</v>
      </c>
      <c r="BF209" s="1876">
        <f t="shared" si="24"/>
        <v>-2000000</v>
      </c>
      <c r="BG209" s="1876">
        <f t="shared" si="24"/>
        <v>712055</v>
      </c>
      <c r="BH209" s="1876">
        <f t="shared" si="24"/>
        <v>-976200</v>
      </c>
      <c r="BI209" s="1876">
        <f t="shared" si="24"/>
        <v>331097</v>
      </c>
      <c r="BJ209" s="1876">
        <f t="shared" si="24"/>
        <v>880049</v>
      </c>
      <c r="BK209" s="1876">
        <f t="shared" si="24"/>
        <v>-414052</v>
      </c>
      <c r="BL209" s="1882">
        <f t="shared" si="24"/>
        <v>-11.128145404607928</v>
      </c>
      <c r="BM209" s="1876">
        <f t="shared" si="24"/>
        <v>0</v>
      </c>
      <c r="BN209" s="1876">
        <f t="shared" si="24"/>
        <v>-1126983</v>
      </c>
      <c r="BO209" s="1876">
        <f t="shared" si="24"/>
        <v>0</v>
      </c>
      <c r="BP209" s="1876">
        <f t="shared" si="24"/>
        <v>12486855</v>
      </c>
      <c r="BQ209" s="1876">
        <f t="shared" si="24"/>
        <v>6964072</v>
      </c>
      <c r="BR209" s="1876">
        <f t="shared" si="24"/>
        <v>-0.97322921886973113</v>
      </c>
      <c r="BS209" s="1876">
        <f t="shared" ref="BS209:ED209" si="25">BS207-BS208</f>
        <v>0</v>
      </c>
      <c r="BT209" s="1876">
        <f t="shared" si="25"/>
        <v>6455265</v>
      </c>
      <c r="BU209" s="1876">
        <f t="shared" si="25"/>
        <v>32044951</v>
      </c>
      <c r="BV209" s="1876">
        <f t="shared" si="25"/>
        <v>-2.9492771527559603</v>
      </c>
      <c r="BW209" s="1883">
        <f t="shared" si="25"/>
        <v>3653.3709997549595</v>
      </c>
      <c r="BX209" s="1883">
        <f t="shared" si="25"/>
        <v>4945.6846625615872</v>
      </c>
      <c r="BY209" s="1883">
        <f t="shared" si="25"/>
        <v>80250.093408463057</v>
      </c>
      <c r="BZ209" s="1876">
        <f t="shared" si="25"/>
        <v>400452</v>
      </c>
      <c r="CA209" s="1876">
        <f t="shared" si="25"/>
        <v>342598</v>
      </c>
      <c r="CB209" s="1876">
        <f t="shared" si="25"/>
        <v>699692</v>
      </c>
      <c r="CC209" s="1876">
        <f t="shared" si="25"/>
        <v>-311037</v>
      </c>
      <c r="CD209" s="1876">
        <f t="shared" si="25"/>
        <v>2504830</v>
      </c>
      <c r="CE209" s="1876">
        <f t="shared" si="25"/>
        <v>5432930</v>
      </c>
      <c r="CF209" s="1876">
        <f t="shared" si="25"/>
        <v>-282669</v>
      </c>
      <c r="CG209" s="1876">
        <f t="shared" si="25"/>
        <v>-2549060</v>
      </c>
      <c r="CH209" s="1876">
        <f t="shared" si="25"/>
        <v>678285</v>
      </c>
      <c r="CI209" s="1876">
        <f t="shared" si="25"/>
        <v>-589993</v>
      </c>
      <c r="CJ209" s="1883">
        <f t="shared" si="25"/>
        <v>-1557521</v>
      </c>
      <c r="CK209" s="1884">
        <f t="shared" si="25"/>
        <v>1.7128719622515109E-2</v>
      </c>
      <c r="CL209" s="1884">
        <f t="shared" si="25"/>
        <v>3.9597411125959214E-3</v>
      </c>
      <c r="CM209" s="1884">
        <f t="shared" si="25"/>
        <v>3.5426337214531645E-2</v>
      </c>
      <c r="CN209" s="1884">
        <f t="shared" si="25"/>
        <v>3.4120065542314504E-2</v>
      </c>
      <c r="CO209" s="1884">
        <f t="shared" si="25"/>
        <v>0.14611989968664341</v>
      </c>
      <c r="CP209" s="1884">
        <f t="shared" si="25"/>
        <v>0.13344956292979082</v>
      </c>
      <c r="CQ209" s="1884">
        <f t="shared" si="25"/>
        <v>-7.1312531692663161E-2</v>
      </c>
      <c r="CR209" s="1884">
        <f t="shared" si="25"/>
        <v>3.1181944965034125E-3</v>
      </c>
      <c r="CS209" s="1884">
        <f t="shared" si="25"/>
        <v>2.2688637781429655E-2</v>
      </c>
      <c r="CT209" s="1884">
        <f t="shared" si="25"/>
        <v>-1.7617701595286861E-2</v>
      </c>
      <c r="CU209" s="1884">
        <f t="shared" si="25"/>
        <v>0</v>
      </c>
      <c r="CV209" s="1876">
        <f t="shared" si="25"/>
        <v>-1338997</v>
      </c>
      <c r="CW209" s="1876">
        <f t="shared" si="25"/>
        <v>-1399579</v>
      </c>
      <c r="CX209" s="1876">
        <f t="shared" si="25"/>
        <v>-846664</v>
      </c>
      <c r="CY209" s="1876">
        <f t="shared" si="25"/>
        <v>-516866</v>
      </c>
      <c r="CZ209" s="1876">
        <f t="shared" si="25"/>
        <v>-56326</v>
      </c>
      <c r="DA209" s="1876">
        <f t="shared" si="25"/>
        <v>164605</v>
      </c>
      <c r="DB209" s="1876">
        <f t="shared" si="25"/>
        <v>-556728</v>
      </c>
      <c r="DC209" s="1884">
        <f t="shared" si="25"/>
        <v>7.948902336535113E-3</v>
      </c>
      <c r="DD209" s="1884">
        <f t="shared" si="25"/>
        <v>1.0796950812950706E-2</v>
      </c>
      <c r="DE209" s="1884">
        <f t="shared" si="25"/>
        <v>-0.10494923601576951</v>
      </c>
      <c r="DF209" s="1884">
        <f t="shared" si="25"/>
        <v>6.9354511611616765E-3</v>
      </c>
      <c r="DG209" s="1884">
        <f t="shared" si="25"/>
        <v>2.1079194644941249E-2</v>
      </c>
      <c r="DH209" s="1884">
        <f t="shared" si="25"/>
        <v>1.2432661920773136E-2</v>
      </c>
      <c r="DI209" s="1884">
        <f t="shared" si="25"/>
        <v>0</v>
      </c>
      <c r="DJ209" s="1885">
        <f t="shared" si="25"/>
        <v>-969139</v>
      </c>
      <c r="DK209" s="1880">
        <f t="shared" si="25"/>
        <v>629.11164823758645</v>
      </c>
      <c r="DL209" s="1880">
        <f t="shared" si="25"/>
        <v>305.52127642103574</v>
      </c>
      <c r="DM209" s="1880">
        <f t="shared" si="25"/>
        <v>1411.4649935368025</v>
      </c>
      <c r="DN209" s="1880">
        <f t="shared" si="25"/>
        <v>463.07647432179874</v>
      </c>
      <c r="DO209" s="1876">
        <f t="shared" si="25"/>
        <v>264</v>
      </c>
      <c r="DP209" s="1876">
        <f t="shared" si="25"/>
        <v>5068.9071168004466</v>
      </c>
      <c r="DQ209" s="1876">
        <f t="shared" si="25"/>
        <v>-705.935661045948</v>
      </c>
      <c r="DR209" s="1876">
        <f t="shared" si="25"/>
        <v>-116.51142408179294</v>
      </c>
      <c r="DS209" s="1876">
        <f t="shared" si="25"/>
        <v>703.81086543017273</v>
      </c>
      <c r="DT209" s="1876">
        <f t="shared" si="25"/>
        <v>-2084.9058236445926</v>
      </c>
      <c r="DU209" s="1876">
        <f t="shared" si="25"/>
        <v>-985.84692603239819</v>
      </c>
      <c r="DV209" s="1876">
        <f t="shared" si="25"/>
        <v>336.79295918309799</v>
      </c>
      <c r="DW209" s="1876">
        <f t="shared" si="25"/>
        <v>182.63586578277591</v>
      </c>
      <c r="DX209" s="1876">
        <f t="shared" si="25"/>
        <v>133.92669647645243</v>
      </c>
      <c r="DY209" s="1876">
        <f t="shared" si="25"/>
        <v>-541.8232826282001</v>
      </c>
      <c r="DZ209" s="1876">
        <f t="shared" si="25"/>
        <v>647.31496818597839</v>
      </c>
      <c r="EA209" s="1876">
        <f t="shared" si="25"/>
        <v>327.5959330171504</v>
      </c>
      <c r="EB209" s="1876">
        <f t="shared" si="25"/>
        <v>-260.10708411727683</v>
      </c>
      <c r="EC209" s="1876">
        <f t="shared" si="25"/>
        <v>1628.9568859197661</v>
      </c>
      <c r="ED209" s="1876">
        <f t="shared" si="25"/>
        <v>-187</v>
      </c>
      <c r="EE209" s="1876">
        <f t="shared" ref="EE209:GM209" si="26">EE207-EE208</f>
        <v>0</v>
      </c>
      <c r="EF209" s="1876">
        <f t="shared" si="26"/>
        <v>-13</v>
      </c>
      <c r="EG209" s="1876">
        <f t="shared" si="26"/>
        <v>-19007</v>
      </c>
      <c r="EH209" s="1876">
        <f t="shared" si="26"/>
        <v>0</v>
      </c>
      <c r="EI209" s="1879">
        <f t="shared" si="26"/>
        <v>-7.0000000000000007E-2</v>
      </c>
      <c r="EJ209" s="1886">
        <f t="shared" si="26"/>
        <v>-1.8122590582715219</v>
      </c>
      <c r="EK209" s="1876">
        <f t="shared" si="26"/>
        <v>0</v>
      </c>
      <c r="EL209" s="1876">
        <f t="shared" si="26"/>
        <v>0</v>
      </c>
      <c r="EM209" s="1876">
        <f t="shared" si="26"/>
        <v>0</v>
      </c>
      <c r="EN209" s="1879">
        <f t="shared" si="26"/>
        <v>0</v>
      </c>
      <c r="EO209" s="1876">
        <f t="shared" si="26"/>
        <v>0</v>
      </c>
      <c r="EP209" s="1876">
        <f t="shared" si="26"/>
        <v>0</v>
      </c>
      <c r="EQ209" s="1876">
        <f t="shared" si="26"/>
        <v>0</v>
      </c>
      <c r="ER209" s="1876">
        <f t="shared" si="26"/>
        <v>0</v>
      </c>
      <c r="ES209" s="1880">
        <f t="shared" si="26"/>
        <v>1645.2460577690563</v>
      </c>
      <c r="ET209" s="1887">
        <f t="shared" si="26"/>
        <v>192.39301575893032</v>
      </c>
      <c r="EU209" s="1876">
        <f t="shared" si="26"/>
        <v>0</v>
      </c>
      <c r="EV209" s="1876">
        <f t="shared" si="26"/>
        <v>-123559</v>
      </c>
      <c r="EW209" s="1876">
        <f t="shared" si="26"/>
        <v>-33108</v>
      </c>
      <c r="EX209" s="1876">
        <f t="shared" si="26"/>
        <v>0</v>
      </c>
      <c r="EY209" s="1876">
        <f t="shared" si="26"/>
        <v>-2549060</v>
      </c>
      <c r="EZ209" s="1876">
        <f t="shared" si="26"/>
        <v>-921601</v>
      </c>
      <c r="FA209" s="1876">
        <f t="shared" si="26"/>
        <v>-920220</v>
      </c>
      <c r="FB209" s="1876">
        <f t="shared" si="26"/>
        <v>678285</v>
      </c>
      <c r="FC209" s="1876">
        <f t="shared" si="26"/>
        <v>264997</v>
      </c>
      <c r="FD209" s="1876">
        <f t="shared" si="26"/>
        <v>722835</v>
      </c>
      <c r="FE209" s="1876">
        <f t="shared" si="26"/>
        <v>-1631760</v>
      </c>
      <c r="FF209" s="1876">
        <f t="shared" si="26"/>
        <v>-1399579</v>
      </c>
      <c r="FG209" s="1876">
        <f t="shared" si="26"/>
        <v>18381</v>
      </c>
      <c r="FH209" s="1888">
        <f t="shared" si="26"/>
        <v>0</v>
      </c>
      <c r="FI209" s="1888">
        <f t="shared" si="26"/>
        <v>0.1061981805088591</v>
      </c>
      <c r="FJ209" s="1888">
        <f t="shared" si="26"/>
        <v>0.13984582996052564</v>
      </c>
      <c r="FK209" s="1888">
        <f t="shared" si="26"/>
        <v>0</v>
      </c>
      <c r="FL209" s="1888">
        <f t="shared" si="26"/>
        <v>0.21994639162727625</v>
      </c>
      <c r="FM209" s="1888">
        <f t="shared" si="26"/>
        <v>2.2124005240447526</v>
      </c>
      <c r="FN209" s="1888">
        <f t="shared" si="26"/>
        <v>0</v>
      </c>
      <c r="FO209" s="1888">
        <f t="shared" si="26"/>
        <v>9.4667668217073175E-2</v>
      </c>
      <c r="FP209" s="1888">
        <f t="shared" si="26"/>
        <v>0.31711689515180042</v>
      </c>
      <c r="FQ209" s="1876">
        <f t="shared" si="26"/>
        <v>-1196872</v>
      </c>
      <c r="FR209" s="1889">
        <f t="shared" si="26"/>
        <v>0</v>
      </c>
      <c r="FS209" s="1876">
        <f t="shared" si="26"/>
        <v>-180764</v>
      </c>
      <c r="FT209" s="1876">
        <f t="shared" si="26"/>
        <v>-102711</v>
      </c>
      <c r="FU209" s="1876">
        <f t="shared" si="26"/>
        <v>-155096</v>
      </c>
      <c r="FV209" s="1876">
        <f t="shared" si="26"/>
        <v>32360</v>
      </c>
      <c r="FW209" s="1876">
        <f t="shared" si="26"/>
        <v>1008155</v>
      </c>
      <c r="FX209" s="1876">
        <f t="shared" si="26"/>
        <v>-1181622</v>
      </c>
      <c r="FY209" s="1889">
        <f t="shared" si="26"/>
        <v>98468.600000000093</v>
      </c>
      <c r="FZ209" s="1888">
        <f t="shared" si="26"/>
        <v>0.42404214012629327</v>
      </c>
      <c r="GA209" s="1888">
        <f t="shared" si="26"/>
        <v>0</v>
      </c>
      <c r="GB209" s="1888">
        <f t="shared" si="26"/>
        <v>-1.9292400402464882E-2</v>
      </c>
      <c r="GC209" s="1888">
        <f t="shared" si="26"/>
        <v>5.0080203878248589E-2</v>
      </c>
      <c r="GD209" s="1888">
        <f t="shared" si="26"/>
        <v>-5.5200577385752791E-3</v>
      </c>
      <c r="GE209" s="1888">
        <f t="shared" si="26"/>
        <v>-1.7660843938648141E-2</v>
      </c>
      <c r="GF209" s="1888">
        <f t="shared" si="26"/>
        <v>0.49636455378194566</v>
      </c>
      <c r="GG209" s="1888">
        <f t="shared" si="26"/>
        <v>0.65316100172748826</v>
      </c>
      <c r="GH209" s="1888">
        <f t="shared" si="26"/>
        <v>0.10116694853829428</v>
      </c>
      <c r="GI209" s="1890">
        <f t="shared" si="26"/>
        <v>-0.45096460129419036</v>
      </c>
      <c r="GJ209" s="1876">
        <f t="shared" si="26"/>
        <v>0</v>
      </c>
      <c r="GK209" s="1879">
        <f t="shared" si="26"/>
        <v>5.0000000000000017E-2</v>
      </c>
      <c r="GL209" s="1876">
        <f t="shared" si="26"/>
        <v>0</v>
      </c>
      <c r="GM209" s="1879">
        <f t="shared" si="26"/>
        <v>4.9999999999999989E-2</v>
      </c>
    </row>
    <row r="216" spans="1:195" ht="17.399999999999999">
      <c r="A216" s="1891" t="s">
        <v>1903</v>
      </c>
    </row>
    <row r="218" spans="1:195" ht="14.4">
      <c r="A218" s="1671" t="s">
        <v>1888</v>
      </c>
      <c r="E218" s="1899" t="s">
        <v>1904</v>
      </c>
    </row>
    <row r="219" spans="1:195" ht="14.4">
      <c r="A219" s="1904" t="s">
        <v>1889</v>
      </c>
      <c r="E219" s="1899" t="s">
        <v>1928</v>
      </c>
    </row>
    <row r="220" spans="1:195" ht="14.4">
      <c r="A220" s="1904" t="s">
        <v>1890</v>
      </c>
      <c r="E220" s="1899" t="s">
        <v>1123</v>
      </c>
    </row>
    <row r="221" spans="1:195" ht="14.4">
      <c r="A221" s="1904" t="s">
        <v>1891</v>
      </c>
      <c r="E221" s="1899" t="s">
        <v>1928</v>
      </c>
    </row>
    <row r="222" spans="1:195" ht="14.4">
      <c r="A222" s="1904"/>
      <c r="E222" s="1899"/>
    </row>
    <row r="223" spans="1:195" ht="14.4">
      <c r="A223" s="1904" t="s">
        <v>1892</v>
      </c>
      <c r="E223" s="1899"/>
    </row>
    <row r="224" spans="1:195" ht="14.4">
      <c r="A224" s="1904" t="s">
        <v>1893</v>
      </c>
      <c r="E224" s="1899" t="s">
        <v>1123</v>
      </c>
    </row>
    <row r="225" spans="1:11" ht="14.4">
      <c r="A225" s="1904" t="s">
        <v>1894</v>
      </c>
      <c r="E225" s="1899" t="s">
        <v>1123</v>
      </c>
    </row>
    <row r="226" spans="1:11" ht="14.4">
      <c r="A226" s="1904" t="s">
        <v>1895</v>
      </c>
      <c r="E226" s="1899" t="s">
        <v>1123</v>
      </c>
    </row>
    <row r="227" spans="1:11" ht="14.4">
      <c r="A227" s="1909"/>
      <c r="B227" s="1875"/>
      <c r="C227" s="1875"/>
      <c r="D227" s="1875"/>
      <c r="E227" s="1905"/>
      <c r="F227" s="1875"/>
      <c r="G227" s="1905"/>
      <c r="H227" s="1905"/>
      <c r="I227" s="1905"/>
      <c r="J227" s="1905" t="s">
        <v>1907</v>
      </c>
      <c r="K227" s="1899"/>
    </row>
    <row r="228" spans="1:11" ht="14.4">
      <c r="A228" s="1909"/>
      <c r="B228" s="1875"/>
      <c r="C228" s="1875"/>
      <c r="D228" s="1875"/>
      <c r="E228" s="1905"/>
      <c r="F228" s="1875"/>
      <c r="G228" s="1905"/>
      <c r="H228" s="1905"/>
      <c r="I228" s="1905"/>
      <c r="J228" s="1905" t="s">
        <v>1906</v>
      </c>
      <c r="K228" s="1899"/>
    </row>
    <row r="229" spans="1:11" ht="14.4">
      <c r="A229" s="1909" t="s">
        <v>1896</v>
      </c>
      <c r="B229" s="1875"/>
      <c r="C229" s="1875"/>
      <c r="D229" s="1875"/>
      <c r="E229" s="1905" t="s">
        <v>1905</v>
      </c>
      <c r="F229" s="1911"/>
      <c r="G229" s="1906" t="s">
        <v>1129</v>
      </c>
      <c r="H229" s="1905"/>
      <c r="I229" s="1905"/>
      <c r="J229" s="1907">
        <v>1953</v>
      </c>
      <c r="K229" s="1899" t="s">
        <v>1966</v>
      </c>
    </row>
    <row r="230" spans="1:11" ht="14.4">
      <c r="A230" s="1909"/>
      <c r="B230" s="1875"/>
      <c r="C230" s="1875"/>
      <c r="D230" s="1875"/>
      <c r="E230" s="1905"/>
      <c r="F230" s="1875"/>
      <c r="G230" s="1906" t="s">
        <v>1625</v>
      </c>
      <c r="H230" s="1905"/>
      <c r="I230" s="1905"/>
      <c r="J230" s="1907">
        <v>3653808</v>
      </c>
      <c r="K230" s="1899" t="s">
        <v>1966</v>
      </c>
    </row>
    <row r="231" spans="1:11" ht="14.4">
      <c r="A231" s="1909" t="s">
        <v>1897</v>
      </c>
      <c r="B231" s="1875"/>
      <c r="C231" s="1875"/>
      <c r="D231" s="1875"/>
      <c r="E231" s="1905" t="s">
        <v>1908</v>
      </c>
      <c r="F231" s="1875"/>
      <c r="G231" s="1906" t="s">
        <v>1832</v>
      </c>
      <c r="H231" s="1905"/>
      <c r="I231" s="1908"/>
      <c r="J231" s="1907">
        <v>7090930</v>
      </c>
      <c r="K231" s="1899" t="s">
        <v>1966</v>
      </c>
    </row>
    <row r="232" spans="1:11" ht="14.4">
      <c r="A232" s="1904"/>
      <c r="E232" s="1899"/>
      <c r="G232" s="1899"/>
      <c r="H232" s="1899"/>
      <c r="I232" s="1899"/>
      <c r="J232" s="1899"/>
      <c r="K232" s="1899"/>
    </row>
    <row r="233" spans="1:11" ht="14.4">
      <c r="A233" s="1904" t="s">
        <v>1898</v>
      </c>
      <c r="E233" s="1899" t="s">
        <v>1909</v>
      </c>
    </row>
    <row r="234" spans="1:11" ht="14.4">
      <c r="A234" s="1904"/>
      <c r="E234" s="1899"/>
    </row>
    <row r="235" spans="1:11" ht="14.4">
      <c r="A235" s="1904" t="s">
        <v>1899</v>
      </c>
      <c r="E235" s="1899" t="s">
        <v>1681</v>
      </c>
    </row>
    <row r="236" spans="1:11" ht="14.4">
      <c r="A236" s="1904"/>
      <c r="E236" s="1899"/>
    </row>
    <row r="237" spans="1:11" ht="14.4">
      <c r="A237" s="1904"/>
      <c r="E237" s="1899"/>
    </row>
    <row r="238" spans="1:11" ht="14.4">
      <c r="A238" s="1904" t="s">
        <v>1900</v>
      </c>
      <c r="E238" s="1899" t="s">
        <v>1599</v>
      </c>
    </row>
    <row r="239" spans="1:11" ht="14.4">
      <c r="A239" s="1904"/>
      <c r="E239" s="1899"/>
    </row>
    <row r="240" spans="1:11" ht="14.4">
      <c r="A240" s="1904" t="s">
        <v>1901</v>
      </c>
      <c r="E240" s="1899" t="s">
        <v>1599</v>
      </c>
    </row>
    <row r="241" spans="1:8" ht="14.4">
      <c r="A241" s="1904"/>
      <c r="E241" s="1899"/>
    </row>
    <row r="242" spans="1:8" ht="14.4">
      <c r="A242" s="1904" t="s">
        <v>1902</v>
      </c>
      <c r="E242" s="1899" t="s">
        <v>1665</v>
      </c>
    </row>
    <row r="243" spans="1:8" ht="14.4">
      <c r="A243" s="1671"/>
      <c r="E243" s="1899"/>
    </row>
    <row r="244" spans="1:8">
      <c r="E244" s="1899"/>
    </row>
    <row r="245" spans="1:8">
      <c r="E245" s="1899"/>
    </row>
    <row r="246" spans="1:8" ht="17.399999999999999">
      <c r="A246" s="1891" t="s">
        <v>1920</v>
      </c>
      <c r="E246" s="1899"/>
    </row>
    <row r="247" spans="1:8">
      <c r="E247" s="1899"/>
    </row>
    <row r="248" spans="1:8" ht="14.4">
      <c r="A248" s="1671" t="s">
        <v>264</v>
      </c>
      <c r="E248" s="1899"/>
    </row>
    <row r="249" spans="1:8" ht="14.4">
      <c r="A249" s="1904" t="s">
        <v>1910</v>
      </c>
      <c r="E249" s="1899" t="s">
        <v>1599</v>
      </c>
    </row>
    <row r="250" spans="1:8" ht="14.4">
      <c r="A250" s="1909" t="s">
        <v>1911</v>
      </c>
      <c r="B250" s="1911"/>
      <c r="C250" s="1911"/>
      <c r="D250" s="1911"/>
      <c r="E250" s="1910" t="s">
        <v>1923</v>
      </c>
      <c r="F250" s="1911"/>
      <c r="G250" s="1875"/>
      <c r="H250" s="1899" t="s">
        <v>1966</v>
      </c>
    </row>
    <row r="251" spans="1:8" ht="14.4">
      <c r="A251" s="1671"/>
      <c r="E251" s="1899"/>
    </row>
    <row r="252" spans="1:8" ht="14.4">
      <c r="A252" s="1671" t="s">
        <v>1912</v>
      </c>
      <c r="E252" s="1899"/>
    </row>
    <row r="253" spans="1:8" ht="14.4">
      <c r="A253" s="1904" t="s">
        <v>1913</v>
      </c>
      <c r="E253" s="1899" t="s">
        <v>1921</v>
      </c>
    </row>
    <row r="254" spans="1:8" ht="14.4">
      <c r="A254" s="1904" t="s">
        <v>1914</v>
      </c>
      <c r="E254" s="1899" t="s">
        <v>1665</v>
      </c>
    </row>
    <row r="255" spans="1:8" ht="14.4">
      <c r="A255" s="1671"/>
      <c r="E255" s="1899"/>
    </row>
    <row r="256" spans="1:8" ht="14.4">
      <c r="A256" s="1671"/>
      <c r="E256" s="1899"/>
    </row>
    <row r="257" spans="1:5" ht="14.4">
      <c r="A257" s="1671" t="s">
        <v>260</v>
      </c>
      <c r="E257" s="1899"/>
    </row>
    <row r="258" spans="1:5" ht="14.4">
      <c r="A258" s="1904" t="s">
        <v>1915</v>
      </c>
      <c r="E258" s="1899" t="s">
        <v>1665</v>
      </c>
    </row>
    <row r="259" spans="1:5" ht="14.4">
      <c r="A259" s="1904" t="s">
        <v>1916</v>
      </c>
      <c r="E259" s="1899" t="s">
        <v>1681</v>
      </c>
    </row>
    <row r="260" spans="1:5" ht="14.4">
      <c r="A260" s="1671"/>
      <c r="E260" s="1899"/>
    </row>
    <row r="261" spans="1:5" ht="14.4">
      <c r="A261" s="1671" t="s">
        <v>1917</v>
      </c>
      <c r="E261" s="1899"/>
    </row>
    <row r="262" spans="1:5" ht="14.4">
      <c r="A262" s="1904" t="s">
        <v>1918</v>
      </c>
      <c r="E262" s="1899" t="s">
        <v>1922</v>
      </c>
    </row>
    <row r="263" spans="1:5" ht="14.4">
      <c r="A263" s="1904" t="s">
        <v>1919</v>
      </c>
      <c r="E263" s="1899" t="s">
        <v>1922</v>
      </c>
    </row>
    <row r="266" spans="1:5" ht="17.399999999999999">
      <c r="A266" s="1891" t="s">
        <v>1926</v>
      </c>
    </row>
    <row r="268" spans="1:5">
      <c r="A268" s="1900" t="s">
        <v>1927</v>
      </c>
      <c r="B268" s="1900"/>
    </row>
    <row r="272" spans="1:5" ht="17.399999999999999">
      <c r="A272" s="1891" t="s">
        <v>1929</v>
      </c>
    </row>
    <row r="274" spans="1:9" ht="14.4">
      <c r="A274" s="1904" t="s">
        <v>1933</v>
      </c>
      <c r="I274" s="1899" t="s">
        <v>1665</v>
      </c>
    </row>
    <row r="275" spans="1:9" ht="14.4">
      <c r="A275" s="1671"/>
      <c r="I275" s="1899"/>
    </row>
    <row r="276" spans="1:9" ht="14.4">
      <c r="A276" s="1904" t="s">
        <v>1934</v>
      </c>
      <c r="I276" s="1899" t="s">
        <v>1665</v>
      </c>
    </row>
    <row r="277" spans="1:9" ht="14.4">
      <c r="A277" s="1671"/>
      <c r="I277" s="1899"/>
    </row>
    <row r="278" spans="1:9" ht="14.4">
      <c r="A278" s="1904" t="s">
        <v>1935</v>
      </c>
      <c r="I278" s="1899" t="s">
        <v>1968</v>
      </c>
    </row>
    <row r="279" spans="1:9" ht="14.4">
      <c r="A279" s="1904" t="s">
        <v>1936</v>
      </c>
      <c r="I279" s="1899" t="s">
        <v>1665</v>
      </c>
    </row>
    <row r="280" spans="1:9" ht="14.4">
      <c r="A280" s="1671" t="s">
        <v>1937</v>
      </c>
      <c r="I280" s="1899"/>
    </row>
    <row r="281" spans="1:9" ht="14.4">
      <c r="A281" s="1671" t="s">
        <v>1938</v>
      </c>
      <c r="I281" s="1899"/>
    </row>
    <row r="282" spans="1:9" ht="14.4">
      <c r="A282" s="1904" t="s">
        <v>1939</v>
      </c>
      <c r="I282" s="1899" t="s">
        <v>1665</v>
      </c>
    </row>
    <row r="283" spans="1:9" ht="14.4">
      <c r="A283" s="1671"/>
      <c r="I283" s="1899"/>
    </row>
    <row r="284" spans="1:9" ht="14.4">
      <c r="A284" s="1902" t="s">
        <v>1940</v>
      </c>
      <c r="I284" s="1899"/>
    </row>
    <row r="285" spans="1:9" ht="14.4">
      <c r="A285" s="1904" t="s">
        <v>1941</v>
      </c>
      <c r="I285" s="1899"/>
    </row>
    <row r="286" spans="1:9" ht="14.4">
      <c r="A286" s="1904" t="s">
        <v>1127</v>
      </c>
      <c r="I286" s="1899" t="s">
        <v>1964</v>
      </c>
    </row>
    <row r="287" spans="1:9" ht="14.4">
      <c r="A287" s="1904" t="s">
        <v>1509</v>
      </c>
      <c r="I287" s="1899" t="s">
        <v>1665</v>
      </c>
    </row>
    <row r="288" spans="1:9" ht="14.4">
      <c r="A288" s="1904" t="s">
        <v>1511</v>
      </c>
      <c r="I288" s="1899" t="s">
        <v>1665</v>
      </c>
    </row>
    <row r="289" spans="1:9" ht="14.4">
      <c r="A289" s="1904" t="s">
        <v>1512</v>
      </c>
      <c r="I289" s="1899" t="s">
        <v>1665</v>
      </c>
    </row>
    <row r="290" spans="1:9" ht="14.4">
      <c r="A290" s="1671"/>
      <c r="I290" s="1899"/>
    </row>
    <row r="291" spans="1:9" ht="14.4">
      <c r="A291" s="1904" t="s">
        <v>1942</v>
      </c>
      <c r="I291" s="1899"/>
    </row>
    <row r="292" spans="1:9" ht="14.4">
      <c r="A292" s="1904" t="s">
        <v>1943</v>
      </c>
      <c r="I292" s="1899" t="s">
        <v>1665</v>
      </c>
    </row>
    <row r="293" spans="1:9" ht="14.4">
      <c r="A293" s="1671"/>
      <c r="I293" s="1899"/>
    </row>
    <row r="294" spans="1:9" ht="14.4">
      <c r="A294" s="1904" t="s">
        <v>1944</v>
      </c>
      <c r="I294" s="1899"/>
    </row>
    <row r="295" spans="1:9" ht="14.4">
      <c r="A295" s="1904" t="s">
        <v>1945</v>
      </c>
      <c r="I295" s="1899" t="s">
        <v>1665</v>
      </c>
    </row>
    <row r="296" spans="1:9" ht="14.4">
      <c r="A296" s="1671"/>
      <c r="I296" s="1899"/>
    </row>
    <row r="297" spans="1:9" ht="14.4">
      <c r="A297" s="1671" t="s">
        <v>1946</v>
      </c>
      <c r="I297" s="1899"/>
    </row>
    <row r="298" spans="1:9" ht="14.4">
      <c r="A298" s="1904" t="s">
        <v>1947</v>
      </c>
      <c r="I298" s="1899" t="s">
        <v>1665</v>
      </c>
    </row>
    <row r="299" spans="1:9" ht="14.4">
      <c r="A299" s="1671"/>
      <c r="I299" s="1899"/>
    </row>
    <row r="300" spans="1:9" ht="14.4">
      <c r="A300" s="1902" t="s">
        <v>1948</v>
      </c>
      <c r="I300" s="1899"/>
    </row>
    <row r="301" spans="1:9" ht="14.4">
      <c r="A301" s="1671"/>
      <c r="I301" s="1899"/>
    </row>
    <row r="302" spans="1:9" ht="14.4">
      <c r="A302" s="1904" t="s">
        <v>1949</v>
      </c>
      <c r="I302" s="1899" t="s">
        <v>1963</v>
      </c>
    </row>
    <row r="303" spans="1:9" ht="14.4">
      <c r="A303" s="1904" t="s">
        <v>1950</v>
      </c>
      <c r="I303" s="1899" t="s">
        <v>1665</v>
      </c>
    </row>
    <row r="304" spans="1:9" ht="14.4">
      <c r="A304" s="1904" t="s">
        <v>1951</v>
      </c>
      <c r="I304" s="1899" t="s">
        <v>1665</v>
      </c>
    </row>
    <row r="305" spans="1:15" ht="14.4">
      <c r="A305" s="1904" t="s">
        <v>1952</v>
      </c>
      <c r="I305" s="1899" t="s">
        <v>1665</v>
      </c>
    </row>
    <row r="306" spans="1:15" ht="14.4">
      <c r="A306" s="1904" t="s">
        <v>1953</v>
      </c>
      <c r="I306" s="1899" t="s">
        <v>1665</v>
      </c>
    </row>
    <row r="307" spans="1:15" ht="14.4">
      <c r="A307" s="1671"/>
      <c r="I307" s="1899"/>
    </row>
    <row r="308" spans="1:15" ht="14.4">
      <c r="A308" s="1671"/>
      <c r="I308" s="1899"/>
    </row>
    <row r="309" spans="1:15" ht="14.4">
      <c r="A309" s="1904" t="s">
        <v>1954</v>
      </c>
      <c r="I309" s="1903" t="s">
        <v>1960</v>
      </c>
    </row>
    <row r="310" spans="1:15" ht="14.4">
      <c r="A310" s="1904" t="s">
        <v>1955</v>
      </c>
      <c r="I310" s="1899" t="s">
        <v>1961</v>
      </c>
    </row>
    <row r="311" spans="1:15" ht="14.4">
      <c r="A311" s="1892" t="s">
        <v>1956</v>
      </c>
      <c r="B311" s="1893"/>
      <c r="C311" s="1893"/>
      <c r="D311" s="1893"/>
      <c r="E311" s="1893"/>
      <c r="F311" s="1893"/>
      <c r="G311" s="1893"/>
      <c r="H311" s="1893"/>
      <c r="I311" s="1901" t="s">
        <v>1965</v>
      </c>
      <c r="J311" s="1893"/>
      <c r="K311" s="1893"/>
      <c r="L311" s="1893"/>
      <c r="M311" s="1893"/>
      <c r="N311" s="1893"/>
      <c r="O311" s="1893"/>
    </row>
    <row r="312" spans="1:15" ht="14.4">
      <c r="A312" s="1904" t="s">
        <v>1957</v>
      </c>
      <c r="I312" s="1899" t="s">
        <v>1665</v>
      </c>
    </row>
    <row r="313" spans="1:15" ht="14.4">
      <c r="A313" s="1671"/>
    </row>
    <row r="314" spans="1:15" ht="14.4">
      <c r="A314" s="1904" t="s">
        <v>1958</v>
      </c>
      <c r="I314" s="1899" t="s">
        <v>1959</v>
      </c>
    </row>
    <row r="316" spans="1:15" ht="14.4">
      <c r="A316" s="1904" t="s">
        <v>1930</v>
      </c>
      <c r="I316" s="1899" t="s">
        <v>1967</v>
      </c>
    </row>
    <row r="317" spans="1:15" ht="14.4">
      <c r="A317" s="1671"/>
      <c r="I317" s="1899"/>
    </row>
    <row r="318" spans="1:15" ht="14.4">
      <c r="A318" s="1904" t="s">
        <v>1931</v>
      </c>
      <c r="I318" s="1899" t="s">
        <v>1665</v>
      </c>
    </row>
    <row r="319" spans="1:15" ht="14.4">
      <c r="A319" s="1671"/>
      <c r="I319" s="1899"/>
    </row>
    <row r="320" spans="1:15" ht="14.4">
      <c r="A320" s="1904" t="s">
        <v>1932</v>
      </c>
      <c r="I320" s="1899" t="s">
        <v>1969</v>
      </c>
    </row>
    <row r="321" spans="1:9" ht="14.4">
      <c r="A321" s="1671"/>
      <c r="I321" s="1899"/>
    </row>
    <row r="324" spans="1:9" ht="17.399999999999999">
      <c r="A324" s="1891" t="s">
        <v>1970</v>
      </c>
    </row>
    <row r="327" spans="1:9" ht="14.4">
      <c r="A327" s="1912" t="s">
        <v>1971</v>
      </c>
    </row>
    <row r="328" spans="1:9" ht="14.4">
      <c r="A328" s="1671" t="s">
        <v>1972</v>
      </c>
      <c r="I328" s="1899" t="s">
        <v>1665</v>
      </c>
    </row>
    <row r="329" spans="1:9" ht="14.4">
      <c r="A329" s="1671" t="s">
        <v>1973</v>
      </c>
      <c r="I329" s="1899" t="s">
        <v>1665</v>
      </c>
    </row>
    <row r="330" spans="1:9" ht="14.4">
      <c r="A330" s="1671" t="s">
        <v>1974</v>
      </c>
      <c r="I330" s="1899" t="s">
        <v>1665</v>
      </c>
    </row>
    <row r="331" spans="1:9" ht="14.4">
      <c r="A331" s="1671" t="s">
        <v>1975</v>
      </c>
      <c r="I331" s="1899" t="s">
        <v>1665</v>
      </c>
    </row>
    <row r="332" spans="1:9" ht="14.4">
      <c r="A332" s="1671" t="s">
        <v>1976</v>
      </c>
      <c r="I332" s="1899" t="s">
        <v>1665</v>
      </c>
    </row>
    <row r="333" spans="1:9" ht="14.4">
      <c r="A333" s="1671"/>
    </row>
    <row r="334" spans="1:9" ht="14.4">
      <c r="A334" s="1912" t="s">
        <v>1977</v>
      </c>
    </row>
    <row r="335" spans="1:9" ht="14.4">
      <c r="A335" s="1671" t="s">
        <v>1978</v>
      </c>
      <c r="I335" s="1899" t="s">
        <v>1665</v>
      </c>
    </row>
    <row r="336" spans="1:9" ht="14.4">
      <c r="A336" s="1671"/>
    </row>
    <row r="337" spans="1:9" ht="14.4">
      <c r="A337" s="1912" t="s">
        <v>1979</v>
      </c>
    </row>
    <row r="338" spans="1:9" ht="14.4">
      <c r="A338" s="1671" t="s">
        <v>1980</v>
      </c>
      <c r="I338" s="1899" t="s">
        <v>1665</v>
      </c>
    </row>
    <row r="344" spans="1:9" ht="17.399999999999999">
      <c r="A344" s="1891" t="s">
        <v>1983</v>
      </c>
    </row>
    <row r="345" spans="1:9">
      <c r="A345" s="1796" t="s">
        <v>1984</v>
      </c>
    </row>
    <row r="350" spans="1:9" ht="17.399999999999999">
      <c r="A350" s="1891" t="s">
        <v>1985</v>
      </c>
    </row>
    <row r="352" spans="1:9">
      <c r="A352" s="1796" t="s">
        <v>1437</v>
      </c>
      <c r="I352" s="1899" t="s">
        <v>1665</v>
      </c>
    </row>
    <row r="382" spans="1:9" ht="14.4">
      <c r="A382" s="1913" t="s">
        <v>1986</v>
      </c>
    </row>
    <row r="383" spans="1:9" ht="14.4">
      <c r="A383" s="1914" t="s">
        <v>1987</v>
      </c>
      <c r="H383" s="1899" t="s">
        <v>2040</v>
      </c>
      <c r="I383" s="1899" t="s">
        <v>2045</v>
      </c>
    </row>
    <row r="384" spans="1:9" ht="14.4">
      <c r="A384" s="1914" t="s">
        <v>1988</v>
      </c>
      <c r="H384" s="1899" t="s">
        <v>2040</v>
      </c>
    </row>
    <row r="385" spans="1:8" ht="14.4">
      <c r="A385" s="1914" t="s">
        <v>1989</v>
      </c>
      <c r="H385" s="1899" t="s">
        <v>2040</v>
      </c>
    </row>
    <row r="386" spans="1:8" ht="14.4">
      <c r="A386" s="1914" t="s">
        <v>1990</v>
      </c>
      <c r="H386" s="1899" t="s">
        <v>2040</v>
      </c>
    </row>
    <row r="387" spans="1:8" ht="14.4">
      <c r="A387" s="1914" t="s">
        <v>1991</v>
      </c>
      <c r="H387" s="1899" t="s">
        <v>2040</v>
      </c>
    </row>
    <row r="388" spans="1:8" ht="14.4">
      <c r="A388" s="1914" t="s">
        <v>1992</v>
      </c>
      <c r="H388" s="1899" t="s">
        <v>2040</v>
      </c>
    </row>
    <row r="389" spans="1:8" ht="14.4">
      <c r="A389" s="1914" t="s">
        <v>1993</v>
      </c>
      <c r="H389" s="1899" t="s">
        <v>2040</v>
      </c>
    </row>
    <row r="390" spans="1:8" ht="14.4">
      <c r="A390" s="1914" t="s">
        <v>1994</v>
      </c>
      <c r="H390" s="1899" t="s">
        <v>2040</v>
      </c>
    </row>
    <row r="391" spans="1:8" ht="14.4">
      <c r="A391" s="1914" t="s">
        <v>1995</v>
      </c>
      <c r="H391" s="1899" t="s">
        <v>2040</v>
      </c>
    </row>
    <row r="392" spans="1:8" ht="14.4">
      <c r="A392" s="1914" t="s">
        <v>1996</v>
      </c>
      <c r="H392" s="1899" t="s">
        <v>2040</v>
      </c>
    </row>
    <row r="393" spans="1:8" ht="14.4">
      <c r="A393" s="1914" t="s">
        <v>1997</v>
      </c>
      <c r="H393" s="1899" t="s">
        <v>2040</v>
      </c>
    </row>
    <row r="394" spans="1:8" ht="14.4">
      <c r="A394" s="1914" t="s">
        <v>1998</v>
      </c>
      <c r="H394" s="1899" t="s">
        <v>2040</v>
      </c>
    </row>
    <row r="395" spans="1:8" ht="14.4">
      <c r="A395" s="1914" t="s">
        <v>1999</v>
      </c>
      <c r="H395" s="1899" t="s">
        <v>2040</v>
      </c>
    </row>
    <row r="396" spans="1:8" ht="14.4">
      <c r="A396" s="1914" t="s">
        <v>2000</v>
      </c>
      <c r="H396" s="1899" t="s">
        <v>2040</v>
      </c>
    </row>
    <row r="397" spans="1:8" ht="14.4">
      <c r="A397" s="1914"/>
    </row>
    <row r="398" spans="1:8" ht="14.4">
      <c r="A398" s="1913" t="s">
        <v>2001</v>
      </c>
    </row>
    <row r="399" spans="1:8" ht="14.4">
      <c r="A399" s="1914" t="s">
        <v>2002</v>
      </c>
      <c r="H399" s="1899" t="s">
        <v>1665</v>
      </c>
    </row>
    <row r="400" spans="1:8" ht="14.4">
      <c r="A400" s="1914" t="s">
        <v>2003</v>
      </c>
      <c r="H400" s="1899" t="s">
        <v>1665</v>
      </c>
    </row>
    <row r="401" spans="1:8" ht="14.4">
      <c r="A401" s="1914"/>
    </row>
    <row r="402" spans="1:8" ht="14.4">
      <c r="A402" s="1913" t="s">
        <v>2004</v>
      </c>
      <c r="H402" s="1899" t="s">
        <v>1665</v>
      </c>
    </row>
    <row r="403" spans="1:8" ht="14.4">
      <c r="A403" s="1914"/>
    </row>
    <row r="404" spans="1:8" ht="14.4">
      <c r="A404" s="1913" t="s">
        <v>2005</v>
      </c>
    </row>
    <row r="405" spans="1:8" ht="14.4">
      <c r="A405" s="1914" t="s">
        <v>2006</v>
      </c>
      <c r="H405" s="1899" t="s">
        <v>1665</v>
      </c>
    </row>
    <row r="406" spans="1:8" ht="14.4">
      <c r="A406" s="1914"/>
    </row>
    <row r="407" spans="1:8" ht="14.4">
      <c r="A407" s="1914" t="s">
        <v>2007</v>
      </c>
      <c r="H407" s="1899" t="s">
        <v>2039</v>
      </c>
    </row>
    <row r="408" spans="1:8" ht="14.4">
      <c r="A408" s="1914" t="s">
        <v>2008</v>
      </c>
      <c r="H408" s="1899" t="s">
        <v>2039</v>
      </c>
    </row>
    <row r="409" spans="1:8" ht="14.4">
      <c r="A409" s="1914" t="s">
        <v>2009</v>
      </c>
      <c r="H409" s="1899" t="s">
        <v>1665</v>
      </c>
    </row>
    <row r="410" spans="1:8" ht="14.4">
      <c r="A410" s="1914"/>
    </row>
    <row r="411" spans="1:8" ht="14.4">
      <c r="A411" s="1914"/>
    </row>
    <row r="412" spans="1:8" ht="14.4">
      <c r="A412" s="1915" t="s">
        <v>1437</v>
      </c>
    </row>
    <row r="413" spans="1:8" ht="14.4">
      <c r="A413" s="1914" t="s">
        <v>2010</v>
      </c>
      <c r="H413" s="1899" t="s">
        <v>1665</v>
      </c>
    </row>
    <row r="414" spans="1:8" ht="14.4">
      <c r="A414" s="1914" t="s">
        <v>2011</v>
      </c>
      <c r="H414" s="1899" t="s">
        <v>2043</v>
      </c>
    </row>
    <row r="415" spans="1:8" ht="14.4">
      <c r="A415" s="1914" t="s">
        <v>2012</v>
      </c>
      <c r="H415" s="1899" t="s">
        <v>2043</v>
      </c>
    </row>
    <row r="416" spans="1:8" ht="14.4">
      <c r="A416" s="1914" t="s">
        <v>2013</v>
      </c>
      <c r="H416" s="1899" t="s">
        <v>2043</v>
      </c>
    </row>
    <row r="417" spans="1:24" ht="14.4">
      <c r="A417" s="1914"/>
    </row>
    <row r="418" spans="1:24" ht="14.4">
      <c r="A418" s="1914"/>
    </row>
    <row r="419" spans="1:24" ht="14.4">
      <c r="A419" s="1913" t="s">
        <v>632</v>
      </c>
    </row>
    <row r="420" spans="1:24" ht="14.4">
      <c r="A420" s="1914" t="s">
        <v>2014</v>
      </c>
      <c r="H420" s="1899" t="s">
        <v>1665</v>
      </c>
    </row>
    <row r="421" spans="1:24" ht="14.4">
      <c r="A421" s="1914" t="s">
        <v>2015</v>
      </c>
      <c r="H421" s="1899" t="s">
        <v>1665</v>
      </c>
    </row>
    <row r="422" spans="1:24" ht="14.4">
      <c r="A422" s="1914" t="s">
        <v>2016</v>
      </c>
      <c r="H422" s="1899" t="s">
        <v>1665</v>
      </c>
    </row>
    <row r="423" spans="1:24" ht="14.4">
      <c r="A423" s="1914" t="s">
        <v>2017</v>
      </c>
      <c r="H423" s="1899" t="s">
        <v>1665</v>
      </c>
    </row>
    <row r="424" spans="1:24" ht="14.4">
      <c r="A424" s="1914" t="s">
        <v>2018</v>
      </c>
      <c r="H424" s="1893" t="s">
        <v>2044</v>
      </c>
      <c r="I424" s="1893"/>
      <c r="J424" s="1893"/>
      <c r="K424" s="1893"/>
      <c r="L424" s="1893"/>
      <c r="M424" s="1893"/>
      <c r="N424" s="1893"/>
      <c r="O424" s="1893"/>
      <c r="P424" s="1893"/>
      <c r="Q424" s="1893"/>
      <c r="R424" s="1893"/>
      <c r="S424" s="1893"/>
      <c r="T424" s="1893"/>
      <c r="U424" s="1893"/>
      <c r="V424" s="1893"/>
      <c r="W424" s="1893"/>
      <c r="X424" s="1893"/>
    </row>
    <row r="425" spans="1:24" ht="14.4">
      <c r="A425" s="1914" t="s">
        <v>2019</v>
      </c>
      <c r="H425" s="1893" t="s">
        <v>2042</v>
      </c>
      <c r="I425" s="1893"/>
      <c r="J425" s="1893"/>
      <c r="K425" s="1893"/>
      <c r="L425" s="1893"/>
      <c r="M425" s="1893"/>
      <c r="N425" s="1893"/>
      <c r="O425" s="1893"/>
      <c r="P425" s="1893"/>
      <c r="Q425" s="1893"/>
      <c r="R425" s="1893"/>
      <c r="S425" s="1893"/>
      <c r="T425" s="1893"/>
      <c r="U425" s="1893"/>
      <c r="V425" s="1893"/>
      <c r="W425" s="1893"/>
      <c r="X425" s="1893"/>
    </row>
    <row r="426" spans="1:24" ht="14.4">
      <c r="A426" s="1914"/>
    </row>
    <row r="427" spans="1:24" ht="14.4">
      <c r="A427" s="1913" t="s">
        <v>263</v>
      </c>
    </row>
    <row r="428" spans="1:24" ht="14.4">
      <c r="A428" s="1914" t="s">
        <v>2020</v>
      </c>
      <c r="H428" s="1899" t="s">
        <v>2039</v>
      </c>
    </row>
    <row r="429" spans="1:24" ht="14.4">
      <c r="A429" s="1914" t="s">
        <v>2021</v>
      </c>
      <c r="H429" s="1899" t="s">
        <v>1665</v>
      </c>
    </row>
    <row r="430" spans="1:24" ht="14.4">
      <c r="A430" s="1914" t="s">
        <v>2022</v>
      </c>
      <c r="H430" s="1899" t="s">
        <v>1665</v>
      </c>
    </row>
    <row r="431" spans="1:24" ht="14.4">
      <c r="A431" s="1914"/>
    </row>
    <row r="432" spans="1:24" ht="14.4">
      <c r="A432" s="1913" t="s">
        <v>2023</v>
      </c>
    </row>
    <row r="433" spans="1:8" ht="14.4">
      <c r="A433" s="1914" t="s">
        <v>2024</v>
      </c>
      <c r="H433" s="1899" t="s">
        <v>1665</v>
      </c>
    </row>
    <row r="434" spans="1:8">
      <c r="A434" s="1916"/>
    </row>
    <row r="435" spans="1:8" ht="14.4">
      <c r="A435" s="1913" t="s">
        <v>1138</v>
      </c>
    </row>
    <row r="436" spans="1:8" ht="14.4">
      <c r="A436" s="1914" t="s">
        <v>2025</v>
      </c>
      <c r="H436" s="1899" t="s">
        <v>1665</v>
      </c>
    </row>
    <row r="437" spans="1:8" ht="14.4">
      <c r="A437" s="1914"/>
    </row>
    <row r="438" spans="1:8" ht="14.4">
      <c r="A438" s="1913" t="s">
        <v>2026</v>
      </c>
    </row>
    <row r="439" spans="1:8" ht="14.4">
      <c r="A439" s="1914" t="s">
        <v>2027</v>
      </c>
      <c r="H439" s="1899" t="s">
        <v>1665</v>
      </c>
    </row>
    <row r="440" spans="1:8" ht="14.4">
      <c r="A440" s="1914" t="s">
        <v>2028</v>
      </c>
      <c r="H440" s="1899" t="s">
        <v>1665</v>
      </c>
    </row>
    <row r="441" spans="1:8" ht="14.4">
      <c r="A441" s="1913"/>
    </row>
    <row r="442" spans="1:8" ht="14.4">
      <c r="A442" s="1913" t="s">
        <v>2029</v>
      </c>
      <c r="H442" s="1899" t="s">
        <v>2041</v>
      </c>
    </row>
    <row r="443" spans="1:8" ht="14.4">
      <c r="A443" s="1914" t="s">
        <v>2030</v>
      </c>
      <c r="H443" s="1899" t="s">
        <v>1665</v>
      </c>
    </row>
    <row r="444" spans="1:8" ht="14.4">
      <c r="A444" s="1914" t="s">
        <v>2031</v>
      </c>
      <c r="H444" s="1899" t="s">
        <v>1665</v>
      </c>
    </row>
    <row r="445" spans="1:8" ht="14.4">
      <c r="A445" s="1913"/>
    </row>
    <row r="446" spans="1:8" ht="14.4">
      <c r="A446" s="1913" t="s">
        <v>2032</v>
      </c>
    </row>
    <row r="447" spans="1:8" ht="14.4">
      <c r="A447" s="1914" t="s">
        <v>2033</v>
      </c>
      <c r="H447" s="1899" t="s">
        <v>1665</v>
      </c>
    </row>
    <row r="448" spans="1:8" ht="14.4">
      <c r="A448" s="1913"/>
    </row>
    <row r="449" spans="1:8" ht="14.4">
      <c r="A449" s="1913" t="s">
        <v>2034</v>
      </c>
    </row>
    <row r="450" spans="1:8" ht="14.4">
      <c r="A450" s="1914" t="s">
        <v>2035</v>
      </c>
      <c r="H450" s="1899" t="s">
        <v>1665</v>
      </c>
    </row>
    <row r="451" spans="1:8" ht="14.4">
      <c r="A451" s="1914" t="s">
        <v>2036</v>
      </c>
      <c r="H451" s="1899" t="s">
        <v>1665</v>
      </c>
    </row>
    <row r="452" spans="1:8" ht="14.4">
      <c r="A452" s="1914" t="s">
        <v>2037</v>
      </c>
      <c r="H452" s="1899" t="s">
        <v>1665</v>
      </c>
    </row>
    <row r="453" spans="1:8" ht="14.4">
      <c r="A453" s="1914" t="s">
        <v>2038</v>
      </c>
      <c r="H453" s="1899" t="s">
        <v>1665</v>
      </c>
    </row>
    <row r="456" spans="1:8" ht="17.399999999999999">
      <c r="A456" s="1891" t="s">
        <v>2058</v>
      </c>
    </row>
    <row r="458" spans="1:8" ht="14.4">
      <c r="A458" s="1671" t="s">
        <v>2046</v>
      </c>
    </row>
    <row r="459" spans="1:8" ht="14.4">
      <c r="A459" s="1671" t="s">
        <v>2047</v>
      </c>
      <c r="H459" s="1899" t="s">
        <v>1665</v>
      </c>
    </row>
    <row r="460" spans="1:8" ht="14.4">
      <c r="A460" s="1671"/>
    </row>
    <row r="461" spans="1:8" ht="14.4">
      <c r="A461" s="1671" t="s">
        <v>2048</v>
      </c>
    </row>
    <row r="462" spans="1:8" ht="14.4">
      <c r="A462" s="1671" t="s">
        <v>2049</v>
      </c>
      <c r="H462" s="1899" t="s">
        <v>2060</v>
      </c>
    </row>
    <row r="463" spans="1:8" ht="14.4">
      <c r="A463" s="1671"/>
    </row>
    <row r="464" spans="1:8" ht="14.4">
      <c r="A464" s="1917" t="s">
        <v>2059</v>
      </c>
      <c r="H464" s="1899" t="s">
        <v>2061</v>
      </c>
    </row>
    <row r="465" spans="1:8" ht="14.4">
      <c r="A465" s="1917"/>
    </row>
    <row r="466" spans="1:8" ht="14.4">
      <c r="A466" s="1671"/>
    </row>
    <row r="467" spans="1:8" ht="14.4">
      <c r="A467" s="1671" t="s">
        <v>2050</v>
      </c>
      <c r="H467" s="1899" t="s">
        <v>2061</v>
      </c>
    </row>
    <row r="468" spans="1:8" ht="14.4">
      <c r="A468" s="1671" t="s">
        <v>2021</v>
      </c>
    </row>
    <row r="469" spans="1:8" ht="14.4">
      <c r="A469" s="1671" t="s">
        <v>2051</v>
      </c>
    </row>
    <row r="470" spans="1:8" ht="14.4">
      <c r="A470" s="1671"/>
    </row>
    <row r="471" spans="1:8" ht="14.4">
      <c r="A471" s="1671" t="s">
        <v>2052</v>
      </c>
    </row>
    <row r="472" spans="1:8" ht="14.4">
      <c r="A472" s="1671" t="s">
        <v>2053</v>
      </c>
      <c r="H472" s="1899" t="s">
        <v>1681</v>
      </c>
    </row>
    <row r="473" spans="1:8" ht="14.4">
      <c r="A473" s="1671" t="s">
        <v>2054</v>
      </c>
      <c r="H473" s="1899" t="s">
        <v>1681</v>
      </c>
    </row>
    <row r="474" spans="1:8" ht="14.4">
      <c r="A474" s="1671" t="s">
        <v>2055</v>
      </c>
      <c r="H474" s="1899" t="s">
        <v>1681</v>
      </c>
    </row>
    <row r="475" spans="1:8" ht="14.4">
      <c r="A475" s="1671"/>
    </row>
    <row r="476" spans="1:8" ht="14.4">
      <c r="A476" s="1671" t="s">
        <v>2056</v>
      </c>
      <c r="H476" s="1899" t="s">
        <v>1681</v>
      </c>
    </row>
    <row r="477" spans="1:8" ht="14.4">
      <c r="A477" s="1671" t="s">
        <v>2057</v>
      </c>
      <c r="H477" s="1899" t="s">
        <v>1681</v>
      </c>
    </row>
    <row r="481" spans="1:9" ht="14.4">
      <c r="A481" s="1671" t="s">
        <v>2062</v>
      </c>
      <c r="H481" s="1899"/>
      <c r="I481" s="1899"/>
    </row>
    <row r="482" spans="1:9" ht="14.4">
      <c r="A482" s="1671"/>
      <c r="H482" s="1899"/>
      <c r="I482" s="1899"/>
    </row>
    <row r="483" spans="1:9" ht="14.4">
      <c r="A483" s="1918" t="s">
        <v>2063</v>
      </c>
      <c r="H483" s="1899" t="s">
        <v>2079</v>
      </c>
      <c r="I483" s="1899"/>
    </row>
    <row r="484" spans="1:9" ht="14.4">
      <c r="A484" s="1918" t="s">
        <v>2064</v>
      </c>
      <c r="H484" s="1899" t="s">
        <v>2080</v>
      </c>
      <c r="I484" s="1899"/>
    </row>
    <row r="485" spans="1:9" ht="14.4">
      <c r="A485" s="1918"/>
      <c r="H485" s="1899"/>
      <c r="I485" s="1899"/>
    </row>
    <row r="486" spans="1:9" ht="14.4">
      <c r="A486" s="1918" t="s">
        <v>2065</v>
      </c>
      <c r="H486" s="1899" t="s">
        <v>2081</v>
      </c>
      <c r="I486" s="1899"/>
    </row>
    <row r="487" spans="1:9" ht="14.4">
      <c r="A487" s="1918" t="s">
        <v>2066</v>
      </c>
      <c r="H487" s="1899"/>
      <c r="I487" s="1899"/>
    </row>
    <row r="488" spans="1:9" ht="14.4">
      <c r="A488" s="1918" t="s">
        <v>2067</v>
      </c>
      <c r="H488" s="1899"/>
      <c r="I488" s="1899"/>
    </row>
    <row r="489" spans="1:9" ht="14.4">
      <c r="A489" s="1918" t="s">
        <v>2068</v>
      </c>
      <c r="H489" s="1899"/>
      <c r="I489" s="1899"/>
    </row>
    <row r="490" spans="1:9" ht="14.4">
      <c r="A490" s="1918"/>
      <c r="H490" s="1899"/>
      <c r="I490" s="1899"/>
    </row>
    <row r="491" spans="1:9" ht="14.4">
      <c r="A491" s="1918" t="s">
        <v>2069</v>
      </c>
      <c r="H491" s="1899" t="s">
        <v>2081</v>
      </c>
      <c r="I491" s="1899"/>
    </row>
    <row r="492" spans="1:9" ht="14.4">
      <c r="A492" s="1918" t="s">
        <v>2070</v>
      </c>
      <c r="H492" s="1899"/>
      <c r="I492" s="1899"/>
    </row>
    <row r="493" spans="1:9" ht="14.4">
      <c r="A493" s="1918" t="s">
        <v>2071</v>
      </c>
      <c r="H493" s="1899"/>
      <c r="I493" s="1899"/>
    </row>
    <row r="494" spans="1:9" ht="14.4">
      <c r="A494" s="1918" t="s">
        <v>2072</v>
      </c>
      <c r="H494" s="1899"/>
      <c r="I494" s="1899"/>
    </row>
    <row r="495" spans="1:9" ht="14.4">
      <c r="A495" s="1918"/>
      <c r="H495" s="1899"/>
      <c r="I495" s="1899"/>
    </row>
    <row r="496" spans="1:9" ht="14.4">
      <c r="A496" s="1918" t="s">
        <v>2073</v>
      </c>
      <c r="H496" s="1899" t="s">
        <v>2081</v>
      </c>
      <c r="I496" s="1899"/>
    </row>
    <row r="497" spans="1:9" ht="14.4">
      <c r="A497" s="1918" t="s">
        <v>2074</v>
      </c>
      <c r="H497" s="1899"/>
      <c r="I497" s="1899"/>
    </row>
    <row r="498" spans="1:9" ht="14.4">
      <c r="A498" s="1918" t="s">
        <v>2075</v>
      </c>
      <c r="H498" s="1899" t="s">
        <v>2083</v>
      </c>
      <c r="I498" s="1899"/>
    </row>
    <row r="499" spans="1:9" ht="14.4">
      <c r="A499" s="1918"/>
      <c r="H499" s="1899"/>
      <c r="I499" s="1899"/>
    </row>
    <row r="500" spans="1:9" ht="14.4">
      <c r="A500" s="1918" t="s">
        <v>2076</v>
      </c>
      <c r="H500" s="1899"/>
      <c r="I500" s="1899"/>
    </row>
    <row r="501" spans="1:9" ht="14.4">
      <c r="A501" s="1918" t="s">
        <v>2077</v>
      </c>
      <c r="H501" s="1899" t="s">
        <v>2084</v>
      </c>
      <c r="I501" s="1899"/>
    </row>
    <row r="502" spans="1:9" ht="14.4">
      <c r="A502" s="1918" t="s">
        <v>2078</v>
      </c>
      <c r="H502" s="1899"/>
      <c r="I502" s="1899"/>
    </row>
    <row r="506" spans="1:9" ht="17.399999999999999">
      <c r="A506" s="1891" t="s">
        <v>2085</v>
      </c>
    </row>
    <row r="508" spans="1:9" ht="15">
      <c r="A508" s="1523"/>
    </row>
    <row r="509" spans="1:9" ht="14.4">
      <c r="A509" s="1922" t="s">
        <v>2086</v>
      </c>
      <c r="H509" s="1899" t="s">
        <v>2114</v>
      </c>
    </row>
    <row r="510" spans="1:9" ht="14.4">
      <c r="A510" s="1918" t="s">
        <v>2087</v>
      </c>
    </row>
    <row r="511" spans="1:9" ht="14.4">
      <c r="A511" s="1918" t="s">
        <v>2088</v>
      </c>
    </row>
    <row r="512" spans="1:9" ht="14.4">
      <c r="A512" s="1918" t="s">
        <v>2089</v>
      </c>
    </row>
    <row r="513" spans="1:12" ht="14.4">
      <c r="A513" s="1918" t="s">
        <v>2090</v>
      </c>
    </row>
    <row r="514" spans="1:12" ht="14.4">
      <c r="A514" s="1918" t="s">
        <v>2091</v>
      </c>
    </row>
    <row r="515" spans="1:12" ht="14.4">
      <c r="A515" s="1918" t="s">
        <v>2092</v>
      </c>
    </row>
    <row r="516" spans="1:12" ht="14.4">
      <c r="A516" s="1918"/>
    </row>
    <row r="517" spans="1:12" ht="14.4">
      <c r="A517" s="1922" t="s">
        <v>2093</v>
      </c>
    </row>
    <row r="518" spans="1:12" ht="14.4">
      <c r="A518" s="1918" t="s">
        <v>2094</v>
      </c>
      <c r="H518" s="1899" t="s">
        <v>2115</v>
      </c>
    </row>
    <row r="519" spans="1:12" ht="14.4">
      <c r="A519" s="1918"/>
    </row>
    <row r="520" spans="1:12" ht="14.4">
      <c r="A520" s="1922" t="s">
        <v>2095</v>
      </c>
    </row>
    <row r="521" spans="1:12" ht="14.4">
      <c r="A521" s="1918" t="s">
        <v>2096</v>
      </c>
      <c r="H521" s="1899" t="s">
        <v>2106</v>
      </c>
    </row>
    <row r="522" spans="1:12" ht="14.4">
      <c r="A522" s="1918" t="s">
        <v>2097</v>
      </c>
      <c r="K522" s="1899" t="s">
        <v>1665</v>
      </c>
    </row>
    <row r="523" spans="1:12" ht="14.4">
      <c r="A523" s="1918"/>
    </row>
    <row r="524" spans="1:12" ht="14.4">
      <c r="A524" s="1922" t="s">
        <v>2098</v>
      </c>
    </row>
    <row r="525" spans="1:12" ht="14.4">
      <c r="A525" s="1918" t="s">
        <v>2099</v>
      </c>
      <c r="H525" s="1899" t="s">
        <v>2107</v>
      </c>
    </row>
    <row r="526" spans="1:12" ht="14.4">
      <c r="A526" s="1918" t="s">
        <v>2100</v>
      </c>
      <c r="J526" s="1899" t="s">
        <v>2108</v>
      </c>
      <c r="L526" s="1899" t="s">
        <v>2109</v>
      </c>
    </row>
    <row r="527" spans="1:12" ht="14.4">
      <c r="A527" s="1918"/>
    </row>
    <row r="528" spans="1:12" ht="14.4">
      <c r="A528" s="1922" t="s">
        <v>2101</v>
      </c>
    </row>
    <row r="529" spans="1:9" ht="14.4">
      <c r="A529" s="1918" t="s">
        <v>2102</v>
      </c>
      <c r="I529" s="1899" t="s">
        <v>2110</v>
      </c>
    </row>
    <row r="530" spans="1:9" ht="14.4">
      <c r="A530" s="1918" t="s">
        <v>2103</v>
      </c>
      <c r="I530" s="1899" t="s">
        <v>2111</v>
      </c>
    </row>
    <row r="531" spans="1:9" ht="14.4">
      <c r="A531" s="1918" t="s">
        <v>2104</v>
      </c>
      <c r="I531" s="1899"/>
    </row>
    <row r="532" spans="1:9">
      <c r="I532" s="1899" t="s">
        <v>2112</v>
      </c>
    </row>
    <row r="534" spans="1:9">
      <c r="I534" s="1899" t="s">
        <v>2113</v>
      </c>
    </row>
    <row r="537" spans="1:9" ht="17.399999999999999">
      <c r="A537" s="1891" t="s">
        <v>2123</v>
      </c>
    </row>
    <row r="540" spans="1:9" ht="14.4">
      <c r="A540" s="1912" t="s">
        <v>2116</v>
      </c>
    </row>
    <row r="541" spans="1:9" ht="14.4">
      <c r="A541" s="1918" t="s">
        <v>2117</v>
      </c>
    </row>
    <row r="542" spans="1:9" ht="14.4">
      <c r="A542" s="1918"/>
      <c r="H542" s="1899" t="s">
        <v>2124</v>
      </c>
    </row>
    <row r="543" spans="1:9" ht="14.4">
      <c r="A543" s="1912" t="s">
        <v>2095</v>
      </c>
    </row>
    <row r="544" spans="1:9" ht="14.4">
      <c r="A544" s="1918" t="s">
        <v>2118</v>
      </c>
      <c r="H544" s="1899" t="s">
        <v>2126</v>
      </c>
    </row>
    <row r="545" spans="1:17" ht="14.4">
      <c r="A545" s="1918"/>
    </row>
    <row r="546" spans="1:17" ht="14.4">
      <c r="A546" s="1912" t="s">
        <v>2098</v>
      </c>
    </row>
    <row r="547" spans="1:17" ht="14.4">
      <c r="A547" s="1918" t="s">
        <v>2119</v>
      </c>
      <c r="Q547" s="1899" t="s">
        <v>2130</v>
      </c>
    </row>
    <row r="548" spans="1:17" ht="14.4">
      <c r="A548" s="1918" t="s">
        <v>2120</v>
      </c>
      <c r="Q548" s="1899" t="s">
        <v>2129</v>
      </c>
    </row>
    <row r="549" spans="1:17" ht="14.4">
      <c r="A549" s="1918" t="s">
        <v>2121</v>
      </c>
      <c r="Q549" s="1899" t="s">
        <v>2127</v>
      </c>
    </row>
    <row r="550" spans="1:17" ht="14.4">
      <c r="A550" s="1918"/>
    </row>
    <row r="551" spans="1:17" ht="14.4">
      <c r="A551" s="1912" t="s">
        <v>2101</v>
      </c>
    </row>
    <row r="552" spans="1:17" ht="14.4">
      <c r="A552" s="1918" t="s">
        <v>2122</v>
      </c>
      <c r="H552" s="1899" t="s">
        <v>2128</v>
      </c>
    </row>
  </sheetData>
  <sortState xmlns:xlrd2="http://schemas.microsoft.com/office/spreadsheetml/2017/richdata2" ref="F75:I198">
    <sortCondition ref="F75:F198"/>
  </sortState>
  <pageMargins left="0.7" right="0.7" top="0.75" bottom="0.75" header="0.3" footer="0.3"/>
  <pageSetup orientation="portrait" r:id="rId1"/>
  <customProperties>
    <customPr name="OrphanNamesChecked" r:id="rId2"/>
  </customProperties>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4"/>
  <dimension ref="A1:P329"/>
  <sheetViews>
    <sheetView showGridLines="0" zoomScale="85" zoomScaleNormal="85" zoomScaleSheetLayoutView="85" workbookViewId="0">
      <pane ySplit="3" topLeftCell="A311" activePane="bottomLeft" state="frozen"/>
      <selection pane="bottomLeft" activeCell="B330" sqref="B330"/>
    </sheetView>
  </sheetViews>
  <sheetFormatPr defaultColWidth="8.90625" defaultRowHeight="14.4"/>
  <cols>
    <col min="1" max="1" width="19.6328125" style="1996" customWidth="1"/>
    <col min="2" max="2" width="40.453125" style="1996" customWidth="1"/>
    <col min="3" max="3" width="26.90625" style="1996" customWidth="1"/>
    <col min="4" max="5" width="8.90625" style="1996"/>
    <col min="6" max="6" width="14.36328125" style="1996" customWidth="1"/>
    <col min="7" max="7" width="9.90625" style="1996" customWidth="1"/>
    <col min="8" max="16384" width="8.90625" style="1996"/>
  </cols>
  <sheetData>
    <row r="1" spans="2:15">
      <c r="B1" s="1995" t="s">
        <v>2199</v>
      </c>
    </row>
    <row r="3" spans="2:15">
      <c r="B3" s="1997" t="s">
        <v>2200</v>
      </c>
      <c r="C3" s="1997"/>
      <c r="D3" s="1997"/>
      <c r="E3" s="1997"/>
      <c r="F3" s="1997"/>
      <c r="G3" s="1997"/>
      <c r="H3" s="1997"/>
      <c r="I3" s="1997"/>
      <c r="J3" s="1997"/>
      <c r="K3" s="1997"/>
      <c r="L3" s="1997"/>
      <c r="M3" s="1997"/>
      <c r="N3" s="1997"/>
      <c r="O3" s="1997"/>
    </row>
    <row r="4" spans="2:15">
      <c r="B4" s="1998" t="s">
        <v>1861</v>
      </c>
      <c r="C4" s="1989"/>
    </row>
    <row r="5" spans="2:15">
      <c r="B5" s="1990" t="s">
        <v>1018</v>
      </c>
      <c r="C5" s="1991" t="s">
        <v>2163</v>
      </c>
      <c r="D5" s="1999"/>
      <c r="E5" s="1999"/>
      <c r="F5" s="1999" t="s">
        <v>2165</v>
      </c>
      <c r="G5" s="1999"/>
      <c r="H5" s="1999" t="s">
        <v>2206</v>
      </c>
    </row>
    <row r="6" spans="2:15">
      <c r="B6" s="1992" t="s">
        <v>961</v>
      </c>
      <c r="C6" s="1991" t="s">
        <v>2164</v>
      </c>
      <c r="D6" s="1999"/>
      <c r="E6" s="1999"/>
      <c r="F6" s="1999" t="s">
        <v>2165</v>
      </c>
      <c r="G6" s="1999"/>
      <c r="H6" s="1999" t="s">
        <v>2206</v>
      </c>
    </row>
    <row r="7" spans="2:15">
      <c r="B7" s="1992" t="s">
        <v>1322</v>
      </c>
      <c r="C7" s="1991" t="s">
        <v>2166</v>
      </c>
    </row>
    <row r="8" spans="2:15">
      <c r="C8" s="1989"/>
    </row>
    <row r="10" spans="2:15">
      <c r="B10" s="1998" t="s">
        <v>2167</v>
      </c>
    </row>
    <row r="11" spans="2:15">
      <c r="B11" s="2071" t="s">
        <v>1427</v>
      </c>
    </row>
    <row r="12" spans="2:15">
      <c r="B12" s="2001" t="s">
        <v>1625</v>
      </c>
      <c r="C12" s="1999" t="s">
        <v>2202</v>
      </c>
      <c r="D12" s="1999"/>
      <c r="E12" s="1999"/>
      <c r="F12" s="1999"/>
      <c r="G12" s="1992"/>
      <c r="H12" s="1993"/>
      <c r="I12" s="1989"/>
      <c r="J12" s="1989"/>
    </row>
    <row r="13" spans="2:15">
      <c r="B13" s="2001" t="s">
        <v>1008</v>
      </c>
      <c r="C13" s="1999" t="s">
        <v>2365</v>
      </c>
      <c r="G13" s="1992"/>
      <c r="H13" s="1993"/>
      <c r="I13" s="1989"/>
      <c r="J13" s="1989"/>
    </row>
    <row r="14" spans="2:15">
      <c r="B14" s="2001" t="s">
        <v>1832</v>
      </c>
      <c r="C14" s="1999" t="s">
        <v>2168</v>
      </c>
      <c r="D14" s="1999"/>
      <c r="E14" s="1999"/>
      <c r="F14" s="1999" t="s">
        <v>2169</v>
      </c>
      <c r="G14" s="1992"/>
      <c r="H14" s="1994" t="s">
        <v>2201</v>
      </c>
      <c r="I14" s="1989" t="s">
        <v>2203</v>
      </c>
      <c r="J14" s="1989"/>
    </row>
    <row r="17" spans="2:5">
      <c r="B17" s="1998" t="s">
        <v>2170</v>
      </c>
    </row>
    <row r="18" spans="2:5">
      <c r="B18" s="2001" t="s">
        <v>1029</v>
      </c>
      <c r="C18" s="1999" t="s">
        <v>2204</v>
      </c>
      <c r="D18" s="1999"/>
      <c r="E18" s="1991" t="s">
        <v>2203</v>
      </c>
    </row>
    <row r="19" spans="2:5">
      <c r="B19" s="2001" t="s">
        <v>708</v>
      </c>
      <c r="C19" s="1999" t="s">
        <v>2204</v>
      </c>
      <c r="D19" s="1999"/>
      <c r="E19" s="1991" t="s">
        <v>2203</v>
      </c>
    </row>
    <row r="22" spans="2:5">
      <c r="B22" s="1998" t="s">
        <v>2171</v>
      </c>
    </row>
    <row r="23" spans="2:5">
      <c r="B23" s="2001" t="s">
        <v>1849</v>
      </c>
      <c r="C23" s="1999" t="s">
        <v>2204</v>
      </c>
      <c r="D23" s="1999"/>
      <c r="E23" s="1991" t="s">
        <v>2203</v>
      </c>
    </row>
    <row r="26" spans="2:5">
      <c r="B26" s="1998" t="s">
        <v>2172</v>
      </c>
    </row>
    <row r="27" spans="2:5">
      <c r="B27" s="1990" t="s">
        <v>701</v>
      </c>
      <c r="C27" s="1999" t="s">
        <v>2173</v>
      </c>
      <c r="D27" s="2002"/>
      <c r="E27" s="1996" t="s">
        <v>2174</v>
      </c>
    </row>
    <row r="28" spans="2:5">
      <c r="B28" s="1990" t="s">
        <v>1312</v>
      </c>
      <c r="C28" s="1999" t="s">
        <v>2181</v>
      </c>
      <c r="D28" s="2002"/>
    </row>
    <row r="32" spans="2:5">
      <c r="B32" s="1998" t="s">
        <v>438</v>
      </c>
    </row>
    <row r="33" spans="2:9">
      <c r="B33" s="1992" t="s">
        <v>1146</v>
      </c>
      <c r="C33" s="1999" t="s">
        <v>2176</v>
      </c>
      <c r="D33" s="1999"/>
      <c r="E33" s="1999"/>
      <c r="F33" s="1999" t="s">
        <v>2177</v>
      </c>
      <c r="G33" s="1999"/>
      <c r="H33" s="1999"/>
      <c r="I33" s="1999" t="s">
        <v>2205</v>
      </c>
    </row>
    <row r="35" spans="2:9">
      <c r="B35" s="1998" t="s">
        <v>2178</v>
      </c>
    </row>
    <row r="36" spans="2:9">
      <c r="B36" s="2001" t="s">
        <v>1630</v>
      </c>
      <c r="C36" s="1999" t="s">
        <v>2175</v>
      </c>
    </row>
    <row r="37" spans="2:9">
      <c r="B37" s="1990" t="s">
        <v>1312</v>
      </c>
      <c r="C37" s="1999" t="s">
        <v>2179</v>
      </c>
    </row>
    <row r="38" spans="2:9">
      <c r="B38" s="1990" t="s">
        <v>679</v>
      </c>
      <c r="C38" s="1999" t="s">
        <v>2179</v>
      </c>
      <c r="F38" s="1999" t="s">
        <v>2364</v>
      </c>
    </row>
    <row r="39" spans="2:9">
      <c r="B39" s="2000"/>
    </row>
    <row r="40" spans="2:9">
      <c r="B40" s="1998" t="s">
        <v>2182</v>
      </c>
    </row>
    <row r="41" spans="2:9">
      <c r="B41" s="1990" t="s">
        <v>1312</v>
      </c>
      <c r="C41" s="1992" t="s">
        <v>2183</v>
      </c>
    </row>
    <row r="42" spans="2:9">
      <c r="B42" s="2078" t="s">
        <v>708</v>
      </c>
      <c r="C42" s="2079" t="s">
        <v>2184</v>
      </c>
      <c r="D42" s="2079"/>
      <c r="F42" s="2079" t="s">
        <v>2185</v>
      </c>
      <c r="G42" s="2079"/>
      <c r="H42" s="2079"/>
      <c r="I42" s="2079"/>
    </row>
    <row r="44" spans="2:9">
      <c r="B44" s="1998" t="s">
        <v>2186</v>
      </c>
    </row>
    <row r="45" spans="2:9">
      <c r="B45" s="1755" t="s">
        <v>2187</v>
      </c>
      <c r="E45" s="2003"/>
      <c r="F45" s="2003"/>
    </row>
    <row r="46" spans="2:9">
      <c r="B46" s="2001" t="s">
        <v>2146</v>
      </c>
      <c r="C46" s="2004">
        <v>234</v>
      </c>
      <c r="D46" s="1999"/>
      <c r="E46" s="1999"/>
      <c r="F46" s="1999" t="s">
        <v>2210</v>
      </c>
      <c r="H46" s="1999" t="s">
        <v>2208</v>
      </c>
    </row>
    <row r="47" spans="2:9">
      <c r="B47" s="2001" t="s">
        <v>2149</v>
      </c>
      <c r="C47" s="2004">
        <v>86</v>
      </c>
      <c r="F47" s="1999" t="s">
        <v>2206</v>
      </c>
    </row>
    <row r="48" spans="2:9">
      <c r="B48" s="2001" t="s">
        <v>2152</v>
      </c>
      <c r="C48" s="2004">
        <v>110</v>
      </c>
      <c r="F48" s="1999" t="s">
        <v>2206</v>
      </c>
    </row>
    <row r="49" spans="1:14">
      <c r="B49" s="2001"/>
      <c r="C49" s="2004"/>
      <c r="F49" s="1999"/>
    </row>
    <row r="50" spans="1:14">
      <c r="B50" s="1999" t="s">
        <v>2150</v>
      </c>
      <c r="C50" s="1999">
        <v>220</v>
      </c>
      <c r="D50" s="1999"/>
      <c r="E50" s="1999"/>
      <c r="F50" s="1999" t="s">
        <v>2363</v>
      </c>
    </row>
    <row r="51" spans="1:14">
      <c r="B51" s="1999" t="s">
        <v>2148</v>
      </c>
      <c r="C51" s="1999">
        <v>170</v>
      </c>
      <c r="D51" s="1999"/>
      <c r="E51" s="1999"/>
      <c r="F51" s="1999" t="s">
        <v>2363</v>
      </c>
    </row>
    <row r="52" spans="1:14">
      <c r="B52" s="1755"/>
      <c r="C52" s="2004"/>
    </row>
    <row r="53" spans="1:14">
      <c r="B53" s="1755"/>
      <c r="C53" s="2004"/>
    </row>
    <row r="54" spans="1:14">
      <c r="B54" s="1998" t="s">
        <v>2189</v>
      </c>
    </row>
    <row r="55" spans="1:14">
      <c r="B55" s="2001" t="s">
        <v>2190</v>
      </c>
      <c r="C55" s="1999" t="s">
        <v>2191</v>
      </c>
      <c r="D55" s="1999"/>
      <c r="E55" s="1999"/>
      <c r="F55" s="1999" t="s">
        <v>2192</v>
      </c>
      <c r="G55" s="1999"/>
      <c r="H55" s="1999"/>
      <c r="I55" s="1999" t="s">
        <v>2201</v>
      </c>
      <c r="J55" s="1999"/>
      <c r="K55" s="1999"/>
      <c r="L55" s="1999"/>
      <c r="M55" s="1999"/>
      <c r="N55" s="1999" t="s">
        <v>2206</v>
      </c>
    </row>
    <row r="56" spans="1:14">
      <c r="B56" s="2001" t="s">
        <v>2193</v>
      </c>
      <c r="C56" s="1999" t="s">
        <v>2194</v>
      </c>
      <c r="D56" s="1999"/>
      <c r="E56" s="1999"/>
      <c r="F56" s="1999"/>
      <c r="G56" s="1999"/>
      <c r="H56" s="1999"/>
      <c r="I56" s="2005" t="s">
        <v>2207</v>
      </c>
      <c r="J56" s="1999"/>
      <c r="K56" s="1999"/>
      <c r="L56" s="1999"/>
      <c r="M56" s="1999"/>
      <c r="N56" s="1999" t="s">
        <v>2209</v>
      </c>
    </row>
    <row r="57" spans="1:14">
      <c r="B57" s="2001" t="s">
        <v>2196</v>
      </c>
      <c r="C57" s="1999" t="s">
        <v>2195</v>
      </c>
      <c r="D57" s="1999"/>
      <c r="E57" s="1999"/>
      <c r="F57" s="1999" t="s">
        <v>2192</v>
      </c>
      <c r="G57" s="1999"/>
      <c r="H57" s="1999"/>
      <c r="I57" s="1999" t="s">
        <v>2201</v>
      </c>
      <c r="J57" s="1999"/>
      <c r="K57" s="1999"/>
      <c r="L57" s="1999"/>
      <c r="M57" s="1999"/>
      <c r="N57" s="1999" t="s">
        <v>2206</v>
      </c>
    </row>
    <row r="58" spans="1:14">
      <c r="B58" s="2000" t="s">
        <v>2197</v>
      </c>
      <c r="C58" s="1996" t="s">
        <v>2198</v>
      </c>
    </row>
    <row r="61" spans="1:14" ht="21">
      <c r="A61" s="2072"/>
      <c r="B61" s="2073" t="s">
        <v>2212</v>
      </c>
      <c r="C61" s="2072"/>
      <c r="D61" s="2072"/>
      <c r="E61" s="2072"/>
      <c r="F61" s="2072"/>
      <c r="G61" s="2072"/>
      <c r="H61" s="2072"/>
      <c r="I61" s="2072"/>
      <c r="J61" s="2072"/>
    </row>
    <row r="62" spans="1:14">
      <c r="E62" s="2006"/>
    </row>
    <row r="63" spans="1:14">
      <c r="B63" s="2068" t="s">
        <v>2213</v>
      </c>
    </row>
    <row r="64" spans="1:14">
      <c r="B64" s="2069"/>
    </row>
    <row r="65" spans="1:2">
      <c r="A65" s="1996" t="s">
        <v>1665</v>
      </c>
      <c r="B65" s="2069" t="s">
        <v>2214</v>
      </c>
    </row>
    <row r="66" spans="1:2">
      <c r="A66" s="1996" t="s">
        <v>1665</v>
      </c>
      <c r="B66" s="2069" t="s">
        <v>2215</v>
      </c>
    </row>
    <row r="67" spans="1:2">
      <c r="A67" s="1996" t="s">
        <v>1665</v>
      </c>
      <c r="B67" s="2069" t="s">
        <v>2216</v>
      </c>
    </row>
    <row r="68" spans="1:2">
      <c r="B68" s="2069"/>
    </row>
    <row r="69" spans="1:2">
      <c r="A69" s="1996" t="s">
        <v>1665</v>
      </c>
      <c r="B69" s="2069" t="s">
        <v>2217</v>
      </c>
    </row>
    <row r="70" spans="1:2">
      <c r="B70" s="2069"/>
    </row>
    <row r="71" spans="1:2">
      <c r="A71" s="1996" t="s">
        <v>1665</v>
      </c>
      <c r="B71" s="2069" t="s">
        <v>2218</v>
      </c>
    </row>
    <row r="72" spans="1:2">
      <c r="B72" s="2069"/>
    </row>
    <row r="73" spans="1:2">
      <c r="A73" s="1996" t="s">
        <v>1665</v>
      </c>
      <c r="B73" s="2069" t="s">
        <v>2219</v>
      </c>
    </row>
    <row r="74" spans="1:2">
      <c r="B74" s="2069"/>
    </row>
    <row r="75" spans="1:2">
      <c r="A75" s="1996" t="s">
        <v>1665</v>
      </c>
      <c r="B75" s="2069" t="s">
        <v>2220</v>
      </c>
    </row>
    <row r="76" spans="1:2">
      <c r="B76" s="2069"/>
    </row>
    <row r="77" spans="1:2">
      <c r="B77" s="2068" t="s">
        <v>2052</v>
      </c>
    </row>
    <row r="78" spans="1:2">
      <c r="B78" s="2069"/>
    </row>
    <row r="79" spans="1:2">
      <c r="A79" s="1996" t="s">
        <v>1665</v>
      </c>
      <c r="B79" s="2069" t="s">
        <v>2221</v>
      </c>
    </row>
    <row r="80" spans="1:2">
      <c r="A80" s="1996" t="s">
        <v>1665</v>
      </c>
      <c r="B80" s="2069" t="s">
        <v>2222</v>
      </c>
    </row>
    <row r="81" spans="1:2">
      <c r="A81" s="1996" t="s">
        <v>1665</v>
      </c>
      <c r="B81" s="2069" t="s">
        <v>2223</v>
      </c>
    </row>
    <row r="82" spans="1:2">
      <c r="A82" s="1996" t="s">
        <v>1665</v>
      </c>
      <c r="B82" s="2069" t="s">
        <v>2224</v>
      </c>
    </row>
    <row r="83" spans="1:2">
      <c r="A83" s="1996" t="s">
        <v>1665</v>
      </c>
      <c r="B83" s="2069" t="s">
        <v>2225</v>
      </c>
    </row>
    <row r="84" spans="1:2">
      <c r="B84" s="2069"/>
    </row>
    <row r="85" spans="1:2">
      <c r="A85" s="1996" t="s">
        <v>1665</v>
      </c>
      <c r="B85" s="2069" t="s">
        <v>2226</v>
      </c>
    </row>
    <row r="86" spans="1:2">
      <c r="A86" s="1996" t="s">
        <v>1665</v>
      </c>
      <c r="B86" s="2069" t="s">
        <v>2227</v>
      </c>
    </row>
    <row r="87" spans="1:2">
      <c r="A87" s="1996" t="s">
        <v>1665</v>
      </c>
      <c r="B87" s="2069" t="s">
        <v>2228</v>
      </c>
    </row>
    <row r="88" spans="1:2">
      <c r="A88" s="1996" t="s">
        <v>1665</v>
      </c>
      <c r="B88" s="2069" t="s">
        <v>2229</v>
      </c>
    </row>
    <row r="89" spans="1:2">
      <c r="A89" s="1996" t="s">
        <v>1665</v>
      </c>
      <c r="B89" s="2069" t="s">
        <v>2230</v>
      </c>
    </row>
    <row r="90" spans="1:2">
      <c r="A90" s="1996" t="s">
        <v>1665</v>
      </c>
      <c r="B90" s="2069" t="s">
        <v>2231</v>
      </c>
    </row>
    <row r="91" spans="1:2">
      <c r="A91" s="1996" t="s">
        <v>1665</v>
      </c>
      <c r="B91" s="2069" t="s">
        <v>2232</v>
      </c>
    </row>
    <row r="92" spans="1:2">
      <c r="A92" s="1996" t="s">
        <v>1665</v>
      </c>
      <c r="B92" s="2069" t="s">
        <v>2233</v>
      </c>
    </row>
    <row r="93" spans="1:2">
      <c r="B93" s="2069"/>
    </row>
    <row r="94" spans="1:2">
      <c r="B94" s="2069"/>
    </row>
    <row r="95" spans="1:2">
      <c r="B95" s="2068" t="s">
        <v>2234</v>
      </c>
    </row>
    <row r="96" spans="1:2">
      <c r="A96" s="1996" t="s">
        <v>1665</v>
      </c>
      <c r="B96" s="2069" t="s">
        <v>2235</v>
      </c>
    </row>
    <row r="97" spans="1:10">
      <c r="A97" s="1996" t="s">
        <v>1665</v>
      </c>
      <c r="B97" s="2070" t="s">
        <v>2236</v>
      </c>
    </row>
    <row r="98" spans="1:10">
      <c r="A98" s="1996" t="s">
        <v>1665</v>
      </c>
      <c r="B98" s="2070" t="s">
        <v>2237</v>
      </c>
    </row>
    <row r="99" spans="1:10">
      <c r="A99" s="1996" t="s">
        <v>1665</v>
      </c>
      <c r="B99" s="2070" t="s">
        <v>2238</v>
      </c>
    </row>
    <row r="100" spans="1:10">
      <c r="A100" s="1996" t="s">
        <v>1665</v>
      </c>
      <c r="B100" s="2070" t="s">
        <v>2239</v>
      </c>
    </row>
    <row r="102" spans="1:10" ht="21">
      <c r="A102" s="2072"/>
      <c r="B102" s="2073" t="s">
        <v>2241</v>
      </c>
      <c r="C102" s="2072"/>
      <c r="D102" s="2072"/>
      <c r="E102" s="2072"/>
      <c r="F102" s="2072"/>
      <c r="G102" s="2072"/>
      <c r="H102" s="2072"/>
      <c r="I102" s="2072"/>
      <c r="J102" s="2072"/>
    </row>
    <row r="104" spans="1:10">
      <c r="A104" s="1996" t="s">
        <v>1665</v>
      </c>
      <c r="B104" s="2067" t="s">
        <v>2240</v>
      </c>
    </row>
    <row r="105" spans="1:10">
      <c r="A105" s="1996" t="s">
        <v>1665</v>
      </c>
      <c r="B105" s="2067" t="s">
        <v>2242</v>
      </c>
    </row>
    <row r="108" spans="1:10" ht="21">
      <c r="A108" s="2072"/>
      <c r="B108" s="2073" t="s">
        <v>2246</v>
      </c>
      <c r="C108" s="2072"/>
      <c r="D108" s="2072"/>
      <c r="E108" s="2072"/>
      <c r="F108" s="2072"/>
      <c r="G108" s="2072"/>
      <c r="H108" s="2072"/>
      <c r="I108" s="2072"/>
      <c r="J108" s="2072"/>
    </row>
    <row r="110" spans="1:10">
      <c r="B110" s="2069" t="s">
        <v>2046</v>
      </c>
    </row>
    <row r="111" spans="1:10">
      <c r="B111" s="2069"/>
    </row>
    <row r="112" spans="1:10">
      <c r="A112" s="1996" t="s">
        <v>1665</v>
      </c>
      <c r="B112" s="2069" t="s">
        <v>2243</v>
      </c>
    </row>
    <row r="113" spans="1:10">
      <c r="A113" s="1996" t="s">
        <v>1665</v>
      </c>
      <c r="B113" s="2069" t="s">
        <v>2244</v>
      </c>
    </row>
    <row r="114" spans="1:10">
      <c r="A114" s="1996" t="s">
        <v>1665</v>
      </c>
      <c r="B114" s="2069" t="s">
        <v>2245</v>
      </c>
    </row>
    <row r="116" spans="1:10" ht="21">
      <c r="A116" s="2072"/>
      <c r="B116" s="2073" t="s">
        <v>2249</v>
      </c>
      <c r="C116" s="2072"/>
      <c r="D116" s="2072"/>
      <c r="E116" s="2072"/>
      <c r="F116" s="2072"/>
      <c r="G116" s="2072"/>
      <c r="H116" s="2072"/>
      <c r="I116" s="2072"/>
      <c r="J116" s="2072"/>
    </row>
    <row r="118" spans="1:10">
      <c r="A118" s="1996" t="s">
        <v>1599</v>
      </c>
      <c r="B118" s="2067" t="s">
        <v>2248</v>
      </c>
    </row>
    <row r="119" spans="1:10">
      <c r="A119" s="1996" t="s">
        <v>1599</v>
      </c>
      <c r="B119" s="1996" t="s">
        <v>2250</v>
      </c>
    </row>
    <row r="120" spans="1:10">
      <c r="A120" s="1996" t="s">
        <v>1599</v>
      </c>
      <c r="B120" s="1996" t="s">
        <v>2251</v>
      </c>
    </row>
    <row r="122" spans="1:10" ht="21">
      <c r="A122" s="2072"/>
      <c r="B122" s="2073" t="s">
        <v>2252</v>
      </c>
      <c r="C122" s="2072"/>
      <c r="D122" s="2072"/>
      <c r="E122" s="2072"/>
      <c r="F122" s="2072"/>
      <c r="G122" s="2072"/>
      <c r="H122" s="2072"/>
      <c r="I122" s="2072"/>
      <c r="J122" s="2072"/>
    </row>
    <row r="124" spans="1:10">
      <c r="B124" s="1996" t="s">
        <v>2253</v>
      </c>
      <c r="D124" s="1996" t="s">
        <v>2407</v>
      </c>
    </row>
    <row r="127" spans="1:10" ht="21">
      <c r="A127" s="2072"/>
      <c r="B127" s="2073" t="s">
        <v>2254</v>
      </c>
      <c r="C127" s="2072"/>
      <c r="D127" s="2072"/>
      <c r="E127" s="2072"/>
      <c r="F127" s="2072"/>
      <c r="G127" s="2072"/>
      <c r="H127" s="2072"/>
      <c r="I127" s="2072"/>
      <c r="J127" s="2072"/>
    </row>
    <row r="129" spans="1:8">
      <c r="A129" s="1996" t="s">
        <v>1763</v>
      </c>
      <c r="B129" s="2069" t="s">
        <v>2255</v>
      </c>
      <c r="G129" s="2081" t="s">
        <v>2339</v>
      </c>
      <c r="H129" s="2081" t="s">
        <v>2340</v>
      </c>
    </row>
    <row r="130" spans="1:8">
      <c r="B130" s="2069"/>
    </row>
    <row r="131" spans="1:8">
      <c r="B131" s="2069" t="s">
        <v>2256</v>
      </c>
    </row>
    <row r="132" spans="1:8">
      <c r="B132" s="2069"/>
    </row>
    <row r="133" spans="1:8">
      <c r="A133" s="1996" t="s">
        <v>1681</v>
      </c>
      <c r="B133" s="2069" t="s">
        <v>2257</v>
      </c>
      <c r="C133" s="2081" t="s">
        <v>2341</v>
      </c>
    </row>
    <row r="134" spans="1:8">
      <c r="B134" s="2069"/>
    </row>
    <row r="135" spans="1:8">
      <c r="A135" s="1996" t="s">
        <v>1961</v>
      </c>
      <c r="B135" s="2069" t="s">
        <v>2258</v>
      </c>
    </row>
    <row r="136" spans="1:8">
      <c r="B136" s="2069"/>
    </row>
    <row r="137" spans="1:8">
      <c r="B137" s="1913" t="s">
        <v>632</v>
      </c>
    </row>
    <row r="138" spans="1:8">
      <c r="A138" s="1996" t="s">
        <v>1681</v>
      </c>
      <c r="B138" s="1914" t="s">
        <v>2259</v>
      </c>
    </row>
    <row r="139" spans="1:8">
      <c r="A139" s="2082" t="s">
        <v>2362</v>
      </c>
      <c r="B139" s="1914" t="s">
        <v>2260</v>
      </c>
      <c r="D139" s="2081" t="s">
        <v>2343</v>
      </c>
    </row>
    <row r="140" spans="1:8">
      <c r="B140" s="1914"/>
    </row>
    <row r="141" spans="1:8">
      <c r="A141" s="2082" t="s">
        <v>2353</v>
      </c>
      <c r="B141" s="1913" t="s">
        <v>2261</v>
      </c>
      <c r="D141" s="2081" t="s">
        <v>2344</v>
      </c>
    </row>
    <row r="142" spans="1:8">
      <c r="B142" s="1914"/>
    </row>
    <row r="143" spans="1:8">
      <c r="A143" s="1996" t="s">
        <v>1681</v>
      </c>
      <c r="B143" s="1914" t="s">
        <v>2262</v>
      </c>
    </row>
    <row r="144" spans="1:8">
      <c r="A144" s="1996" t="s">
        <v>1681</v>
      </c>
      <c r="B144" s="1914" t="s">
        <v>2263</v>
      </c>
    </row>
    <row r="145" spans="1:3">
      <c r="A145" s="1996" t="s">
        <v>1681</v>
      </c>
      <c r="B145" s="1914" t="s">
        <v>2264</v>
      </c>
    </row>
    <row r="146" spans="1:3">
      <c r="B146" s="1914"/>
    </row>
    <row r="147" spans="1:3">
      <c r="A147" s="1996" t="s">
        <v>1681</v>
      </c>
      <c r="B147" s="1914" t="s">
        <v>2265</v>
      </c>
    </row>
    <row r="148" spans="1:3">
      <c r="B148" s="1914"/>
    </row>
    <row r="149" spans="1:3">
      <c r="B149" s="1913" t="s">
        <v>2266</v>
      </c>
    </row>
    <row r="150" spans="1:3">
      <c r="A150" s="1996" t="s">
        <v>1681</v>
      </c>
      <c r="B150" s="1914" t="s">
        <v>2267</v>
      </c>
    </row>
    <row r="151" spans="1:3">
      <c r="B151" s="1914"/>
    </row>
    <row r="152" spans="1:3">
      <c r="A152" s="1996" t="s">
        <v>1909</v>
      </c>
      <c r="B152" s="1913" t="s">
        <v>2268</v>
      </c>
    </row>
    <row r="153" spans="1:3">
      <c r="A153" s="1996" t="s">
        <v>1909</v>
      </c>
      <c r="B153" s="1914" t="s">
        <v>2269</v>
      </c>
    </row>
    <row r="154" spans="1:3">
      <c r="B154" s="1914"/>
    </row>
    <row r="155" spans="1:3">
      <c r="B155" s="1913" t="s">
        <v>2270</v>
      </c>
    </row>
    <row r="156" spans="1:3">
      <c r="A156" s="1996" t="s">
        <v>1909</v>
      </c>
      <c r="B156" s="1914" t="s">
        <v>2271</v>
      </c>
    </row>
    <row r="157" spans="1:3">
      <c r="A157" s="1996" t="s">
        <v>1909</v>
      </c>
      <c r="B157" s="1914" t="s">
        <v>2272</v>
      </c>
    </row>
    <row r="158" spans="1:3">
      <c r="B158" s="1914"/>
    </row>
    <row r="159" spans="1:3">
      <c r="B159" s="1913" t="s">
        <v>2273</v>
      </c>
      <c r="C159" s="2081" t="s">
        <v>2345</v>
      </c>
    </row>
    <row r="160" spans="1:3">
      <c r="A160" s="1996" t="s">
        <v>1681</v>
      </c>
      <c r="B160" s="1914" t="s">
        <v>2274</v>
      </c>
    </row>
    <row r="161" spans="1:5">
      <c r="A161" s="1996" t="s">
        <v>1681</v>
      </c>
      <c r="B161" s="1914" t="s">
        <v>2275</v>
      </c>
    </row>
    <row r="162" spans="1:5">
      <c r="A162" s="1996" t="s">
        <v>1909</v>
      </c>
      <c r="B162" s="1914" t="s">
        <v>2276</v>
      </c>
      <c r="C162" s="1996" t="s">
        <v>2347</v>
      </c>
    </row>
    <row r="163" spans="1:5">
      <c r="A163" s="1996" t="s">
        <v>1909</v>
      </c>
      <c r="B163" s="1914" t="s">
        <v>2277</v>
      </c>
      <c r="C163" s="1996" t="s">
        <v>2347</v>
      </c>
    </row>
    <row r="164" spans="1:5">
      <c r="A164" s="1996" t="s">
        <v>1681</v>
      </c>
      <c r="B164" s="1914" t="s">
        <v>2278</v>
      </c>
    </row>
    <row r="165" spans="1:5">
      <c r="A165" s="1996" t="s">
        <v>1681</v>
      </c>
      <c r="B165" s="1914" t="s">
        <v>2279</v>
      </c>
    </row>
    <row r="166" spans="1:5">
      <c r="A166" s="1996" t="s">
        <v>1909</v>
      </c>
      <c r="B166" s="1914" t="s">
        <v>2280</v>
      </c>
      <c r="E166" s="2081" t="s">
        <v>2346</v>
      </c>
    </row>
    <row r="167" spans="1:5">
      <c r="B167" s="1914"/>
    </row>
    <row r="168" spans="1:5">
      <c r="A168" s="1996" t="s">
        <v>1909</v>
      </c>
      <c r="B168" s="1913" t="s">
        <v>2281</v>
      </c>
    </row>
    <row r="169" spans="1:5">
      <c r="B169" s="1914"/>
    </row>
    <row r="170" spans="1:5">
      <c r="A170" s="1996" t="s">
        <v>1681</v>
      </c>
      <c r="B170" s="1913" t="s">
        <v>2282</v>
      </c>
    </row>
    <row r="171" spans="1:5">
      <c r="A171" s="1996" t="s">
        <v>1681</v>
      </c>
      <c r="B171" s="1914" t="s">
        <v>2283</v>
      </c>
    </row>
    <row r="172" spans="1:5">
      <c r="A172" s="1996" t="s">
        <v>1681</v>
      </c>
      <c r="B172" s="1914" t="s">
        <v>2284</v>
      </c>
    </row>
    <row r="173" spans="1:5">
      <c r="B173" s="1914"/>
    </row>
    <row r="174" spans="1:5">
      <c r="B174" s="1913" t="s">
        <v>2285</v>
      </c>
    </row>
    <row r="175" spans="1:5">
      <c r="A175" s="1996" t="s">
        <v>1681</v>
      </c>
      <c r="B175" s="1914" t="s">
        <v>2286</v>
      </c>
    </row>
    <row r="176" spans="1:5">
      <c r="A176" s="1996" t="s">
        <v>1681</v>
      </c>
      <c r="B176" s="1914" t="s">
        <v>2287</v>
      </c>
    </row>
    <row r="177" spans="1:14">
      <c r="A177" s="1996" t="s">
        <v>1681</v>
      </c>
      <c r="B177" s="1914" t="s">
        <v>2288</v>
      </c>
    </row>
    <row r="178" spans="1:14">
      <c r="A178" s="1996" t="s">
        <v>1681</v>
      </c>
      <c r="B178" s="1914" t="s">
        <v>2289</v>
      </c>
      <c r="J178" s="2081"/>
    </row>
    <row r="179" spans="1:14">
      <c r="B179" s="1914"/>
    </row>
    <row r="180" spans="1:14">
      <c r="B180" s="1913" t="s">
        <v>2290</v>
      </c>
    </row>
    <row r="181" spans="1:14">
      <c r="A181" s="1996" t="s">
        <v>1681</v>
      </c>
      <c r="B181" s="1914" t="s">
        <v>2291</v>
      </c>
      <c r="G181" s="2081"/>
      <c r="H181" s="2081"/>
    </row>
    <row r="182" spans="1:14">
      <c r="A182" s="1996" t="s">
        <v>1681</v>
      </c>
      <c r="B182" s="1914" t="s">
        <v>2292</v>
      </c>
      <c r="C182" s="2081" t="s">
        <v>2355</v>
      </c>
      <c r="G182" s="2081">
        <v>3833378</v>
      </c>
      <c r="H182" s="2081" t="s">
        <v>2359</v>
      </c>
    </row>
    <row r="183" spans="1:14">
      <c r="A183" s="1996" t="s">
        <v>1681</v>
      </c>
      <c r="B183" s="1914" t="s">
        <v>2293</v>
      </c>
      <c r="C183" s="2081" t="s">
        <v>2356</v>
      </c>
      <c r="G183" s="2081">
        <v>699729</v>
      </c>
      <c r="H183" s="2081" t="s">
        <v>2360</v>
      </c>
    </row>
    <row r="184" spans="1:14">
      <c r="A184" s="1996" t="s">
        <v>1681</v>
      </c>
      <c r="B184" s="1914" t="s">
        <v>2294</v>
      </c>
      <c r="C184" s="2081" t="s">
        <v>2357</v>
      </c>
      <c r="G184" s="2081">
        <f>+G182-G183</f>
        <v>3133649</v>
      </c>
      <c r="H184" s="2081" t="s">
        <v>2361</v>
      </c>
    </row>
    <row r="185" spans="1:14">
      <c r="A185" s="1996" t="s">
        <v>1681</v>
      </c>
      <c r="B185" s="1914" t="s">
        <v>2295</v>
      </c>
      <c r="C185" s="2081" t="s">
        <v>2358</v>
      </c>
      <c r="H185" s="2082" t="s">
        <v>2405</v>
      </c>
    </row>
    <row r="186" spans="1:14">
      <c r="B186" s="1914"/>
    </row>
    <row r="187" spans="1:14">
      <c r="B187" s="1913" t="s">
        <v>958</v>
      </c>
    </row>
    <row r="188" spans="1:14">
      <c r="A188" s="1996" t="s">
        <v>1681</v>
      </c>
      <c r="B188" s="1914" t="s">
        <v>2296</v>
      </c>
    </row>
    <row r="189" spans="1:14">
      <c r="A189" s="2082" t="s">
        <v>2353</v>
      </c>
      <c r="B189" s="1914" t="s">
        <v>2297</v>
      </c>
      <c r="C189" s="2081" t="s">
        <v>2368</v>
      </c>
      <c r="M189" s="2082" t="s">
        <v>2404</v>
      </c>
      <c r="N189" s="2082"/>
    </row>
    <row r="190" spans="1:14">
      <c r="A190" s="1996" t="s">
        <v>1681</v>
      </c>
      <c r="B190" s="1914" t="s">
        <v>2298</v>
      </c>
      <c r="C190" s="2081" t="s">
        <v>2354</v>
      </c>
    </row>
    <row r="191" spans="1:14">
      <c r="B191" s="1914"/>
    </row>
    <row r="192" spans="1:14">
      <c r="B192" s="1913" t="s">
        <v>2299</v>
      </c>
    </row>
    <row r="193" spans="1:3">
      <c r="A193" s="1996" t="s">
        <v>1681</v>
      </c>
      <c r="B193" s="1914" t="s">
        <v>2300</v>
      </c>
    </row>
    <row r="194" spans="1:3">
      <c r="A194" s="1996" t="s">
        <v>1681</v>
      </c>
      <c r="B194" s="1914" t="s">
        <v>2301</v>
      </c>
    </row>
    <row r="195" spans="1:3">
      <c r="A195" s="1996" t="s">
        <v>1681</v>
      </c>
      <c r="B195" s="1914" t="s">
        <v>2302</v>
      </c>
    </row>
    <row r="196" spans="1:3">
      <c r="B196" s="1914"/>
    </row>
    <row r="197" spans="1:3">
      <c r="B197" s="1913" t="s">
        <v>1834</v>
      </c>
    </row>
    <row r="198" spans="1:3">
      <c r="A198" s="1996" t="s">
        <v>1681</v>
      </c>
      <c r="B198" s="1914" t="s">
        <v>2303</v>
      </c>
    </row>
    <row r="199" spans="1:3">
      <c r="A199" s="1996" t="s">
        <v>1681</v>
      </c>
      <c r="B199" s="1914" t="s">
        <v>2304</v>
      </c>
    </row>
    <row r="200" spans="1:3">
      <c r="A200" s="1996" t="s">
        <v>1681</v>
      </c>
      <c r="B200" s="1914" t="s">
        <v>2305</v>
      </c>
      <c r="C200" s="2081">
        <v>2060831</v>
      </c>
    </row>
    <row r="201" spans="1:3">
      <c r="A201" s="1996" t="s">
        <v>1909</v>
      </c>
      <c r="B201" s="1914" t="s">
        <v>2306</v>
      </c>
      <c r="C201" s="2081"/>
    </row>
    <row r="202" spans="1:3">
      <c r="A202" s="1996" t="s">
        <v>1909</v>
      </c>
      <c r="B202" s="1914" t="s">
        <v>2307</v>
      </c>
      <c r="C202" s="2081">
        <v>243758</v>
      </c>
    </row>
    <row r="203" spans="1:3">
      <c r="A203" s="1996" t="s">
        <v>1909</v>
      </c>
      <c r="B203" s="1914" t="s">
        <v>2308</v>
      </c>
      <c r="C203" s="2081">
        <f>+C202+C200</f>
        <v>2304589</v>
      </c>
    </row>
    <row r="204" spans="1:3">
      <c r="B204" s="1914"/>
      <c r="C204" s="2081"/>
    </row>
    <row r="205" spans="1:3">
      <c r="B205" s="1913" t="s">
        <v>1008</v>
      </c>
      <c r="C205" s="2081"/>
    </row>
    <row r="206" spans="1:3">
      <c r="A206" s="1996" t="s">
        <v>1681</v>
      </c>
      <c r="B206" s="1914" t="s">
        <v>2309</v>
      </c>
      <c r="C206" s="2081"/>
    </row>
    <row r="207" spans="1:3">
      <c r="A207" s="1996" t="s">
        <v>1681</v>
      </c>
      <c r="B207" s="1914" t="s">
        <v>2310</v>
      </c>
      <c r="C207" s="2081"/>
    </row>
    <row r="208" spans="1:3">
      <c r="A208" s="1996" t="s">
        <v>1681</v>
      </c>
      <c r="B208" s="1914" t="s">
        <v>2311</v>
      </c>
      <c r="C208" s="2081"/>
    </row>
    <row r="209" spans="1:3">
      <c r="A209" s="1996" t="s">
        <v>1909</v>
      </c>
      <c r="B209" s="1914" t="s">
        <v>2312</v>
      </c>
      <c r="C209" s="2081" t="s">
        <v>2348</v>
      </c>
    </row>
    <row r="210" spans="1:3">
      <c r="B210" s="1914"/>
      <c r="C210" s="2081"/>
    </row>
    <row r="211" spans="1:3">
      <c r="B211" s="1913" t="s">
        <v>2313</v>
      </c>
      <c r="C211" s="2081"/>
    </row>
    <row r="212" spans="1:3">
      <c r="A212" s="1996" t="s">
        <v>1681</v>
      </c>
      <c r="B212" s="1914" t="s">
        <v>2314</v>
      </c>
      <c r="C212" s="2081"/>
    </row>
    <row r="213" spans="1:3">
      <c r="A213" s="1996" t="s">
        <v>1681</v>
      </c>
      <c r="B213" s="1914" t="s">
        <v>2315</v>
      </c>
      <c r="C213" s="2081"/>
    </row>
    <row r="214" spans="1:3">
      <c r="A214" s="1996" t="s">
        <v>1681</v>
      </c>
      <c r="B214" s="1914" t="s">
        <v>2316</v>
      </c>
      <c r="C214" s="2081"/>
    </row>
    <row r="215" spans="1:3">
      <c r="B215" s="2069"/>
      <c r="C215" s="2081"/>
    </row>
    <row r="216" spans="1:3">
      <c r="B216" s="1673" t="s">
        <v>2317</v>
      </c>
      <c r="C216" s="2081"/>
    </row>
    <row r="217" spans="1:3">
      <c r="A217" s="1996" t="s">
        <v>1681</v>
      </c>
      <c r="B217" s="2070" t="s">
        <v>2318</v>
      </c>
      <c r="C217" s="2081"/>
    </row>
    <row r="218" spans="1:3">
      <c r="A218" s="1996" t="s">
        <v>1681</v>
      </c>
      <c r="B218" s="2070" t="s">
        <v>2319</v>
      </c>
      <c r="C218" s="2081"/>
    </row>
    <row r="219" spans="1:3">
      <c r="A219" s="1996" t="s">
        <v>1681</v>
      </c>
      <c r="B219" s="2070" t="s">
        <v>2320</v>
      </c>
      <c r="C219" s="2081"/>
    </row>
    <row r="220" spans="1:3">
      <c r="A220" s="1996" t="s">
        <v>1681</v>
      </c>
      <c r="B220" s="2070" t="s">
        <v>2321</v>
      </c>
      <c r="C220" s="2081"/>
    </row>
    <row r="221" spans="1:3">
      <c r="B221" s="2070"/>
      <c r="C221" s="2081"/>
    </row>
    <row r="222" spans="1:3">
      <c r="B222" s="1673" t="s">
        <v>2322</v>
      </c>
      <c r="C222" s="2081"/>
    </row>
    <row r="223" spans="1:3">
      <c r="A223" s="1996" t="s">
        <v>1681</v>
      </c>
      <c r="B223" s="2070" t="s">
        <v>2323</v>
      </c>
      <c r="C223" s="2081" t="s">
        <v>2349</v>
      </c>
    </row>
    <row r="224" spans="1:3">
      <c r="B224" s="2080" t="s">
        <v>2324</v>
      </c>
      <c r="C224" s="2081"/>
    </row>
    <row r="225" spans="1:3">
      <c r="A225" s="1996" t="s">
        <v>1681</v>
      </c>
      <c r="B225" s="2070" t="s">
        <v>2325</v>
      </c>
      <c r="C225" s="2081"/>
    </row>
    <row r="226" spans="1:3">
      <c r="A226" s="1996" t="s">
        <v>1681</v>
      </c>
      <c r="B226" s="2070" t="s">
        <v>2326</v>
      </c>
    </row>
    <row r="227" spans="1:3">
      <c r="A227" s="1996" t="s">
        <v>1681</v>
      </c>
      <c r="B227" s="2070" t="s">
        <v>2327</v>
      </c>
    </row>
    <row r="228" spans="1:3">
      <c r="A228" s="1996" t="s">
        <v>1681</v>
      </c>
      <c r="B228" s="2070" t="s">
        <v>2328</v>
      </c>
    </row>
    <row r="229" spans="1:3">
      <c r="A229" s="1996" t="s">
        <v>1681</v>
      </c>
      <c r="B229" s="2070" t="s">
        <v>2329</v>
      </c>
    </row>
    <row r="230" spans="1:3">
      <c r="B230" s="2070"/>
    </row>
    <row r="231" spans="1:3">
      <c r="B231" s="1673" t="s">
        <v>2034</v>
      </c>
    </row>
    <row r="232" spans="1:3">
      <c r="A232" s="1996" t="s">
        <v>1681</v>
      </c>
      <c r="B232" s="2070" t="s">
        <v>2323</v>
      </c>
    </row>
    <row r="233" spans="1:3">
      <c r="B233" s="2069"/>
    </row>
    <row r="234" spans="1:3">
      <c r="B234" s="1673" t="s">
        <v>2330</v>
      </c>
    </row>
    <row r="235" spans="1:3">
      <c r="A235" s="1996" t="s">
        <v>1681</v>
      </c>
      <c r="B235" s="2070" t="s">
        <v>2331</v>
      </c>
    </row>
    <row r="236" spans="1:3">
      <c r="A236" s="1996" t="s">
        <v>1681</v>
      </c>
      <c r="B236" s="2070" t="s">
        <v>2332</v>
      </c>
    </row>
    <row r="237" spans="1:3">
      <c r="A237" s="1996" t="s">
        <v>1681</v>
      </c>
      <c r="B237" s="2070" t="s">
        <v>2333</v>
      </c>
    </row>
    <row r="238" spans="1:3">
      <c r="B238" s="2070"/>
    </row>
    <row r="239" spans="1:3">
      <c r="B239" s="2070"/>
    </row>
    <row r="240" spans="1:3">
      <c r="B240" s="1673" t="s">
        <v>2334</v>
      </c>
    </row>
    <row r="241" spans="1:12">
      <c r="A241" s="1996" t="s">
        <v>1681</v>
      </c>
      <c r="B241" s="2070" t="s">
        <v>2335</v>
      </c>
      <c r="L241" s="2081" t="s">
        <v>2351</v>
      </c>
    </row>
    <row r="242" spans="1:12">
      <c r="B242" s="2069"/>
      <c r="L242" s="2081" t="s">
        <v>2352</v>
      </c>
    </row>
    <row r="243" spans="1:12">
      <c r="B243" s="1673" t="s">
        <v>2336</v>
      </c>
    </row>
    <row r="244" spans="1:12">
      <c r="A244" s="1996" t="s">
        <v>1681</v>
      </c>
      <c r="B244" s="2070" t="s">
        <v>2337</v>
      </c>
    </row>
    <row r="245" spans="1:12">
      <c r="A245" s="1996" t="s">
        <v>1681</v>
      </c>
      <c r="B245" s="2070" t="s">
        <v>2338</v>
      </c>
    </row>
    <row r="246" spans="1:12">
      <c r="B246" s="2069"/>
    </row>
    <row r="247" spans="1:12">
      <c r="A247" s="2079" t="s">
        <v>2350</v>
      </c>
      <c r="B247" s="2110" t="s">
        <v>2417</v>
      </c>
      <c r="C247" s="2079"/>
      <c r="D247" s="2079"/>
      <c r="E247" s="2079"/>
      <c r="F247" s="2079"/>
      <c r="G247" s="2111" t="s">
        <v>2418</v>
      </c>
      <c r="H247" s="2079"/>
      <c r="I247" s="2079"/>
      <c r="J247" s="2079"/>
      <c r="K247" s="2079"/>
    </row>
    <row r="250" spans="1:12" ht="21">
      <c r="A250" s="2072"/>
      <c r="B250" s="2073" t="s">
        <v>2395</v>
      </c>
      <c r="C250" s="2072"/>
      <c r="D250" s="2072"/>
      <c r="E250" s="2072"/>
      <c r="F250" s="2072"/>
      <c r="G250" s="2072"/>
      <c r="H250" s="2072"/>
      <c r="I250" s="2072"/>
      <c r="J250" s="2072"/>
    </row>
    <row r="251" spans="1:12" ht="15.6">
      <c r="A251" s="1996" t="s">
        <v>1681</v>
      </c>
      <c r="B251" s="2086" t="s">
        <v>2369</v>
      </c>
    </row>
    <row r="252" spans="1:12" ht="15.6">
      <c r="A252" s="1996" t="s">
        <v>1681</v>
      </c>
      <c r="B252" s="2086" t="s">
        <v>2370</v>
      </c>
    </row>
    <row r="253" spans="1:12" ht="15.6">
      <c r="A253" s="1996" t="s">
        <v>1681</v>
      </c>
      <c r="B253" s="2086" t="s">
        <v>2371</v>
      </c>
    </row>
    <row r="254" spans="1:12" ht="15.6">
      <c r="A254" s="1996" t="s">
        <v>1909</v>
      </c>
      <c r="B254" s="2086" t="s">
        <v>2372</v>
      </c>
    </row>
    <row r="255" spans="1:12" ht="15.6">
      <c r="A255" s="1996" t="s">
        <v>1681</v>
      </c>
      <c r="B255" s="2086" t="s">
        <v>2373</v>
      </c>
    </row>
    <row r="256" spans="1:12" ht="15.6">
      <c r="A256" s="1996" t="s">
        <v>1681</v>
      </c>
      <c r="B256" s="2087" t="s">
        <v>2374</v>
      </c>
    </row>
    <row r="257" spans="1:16" ht="15.6">
      <c r="A257" s="1996" t="s">
        <v>1681</v>
      </c>
      <c r="B257" s="2087" t="s">
        <v>2375</v>
      </c>
    </row>
    <row r="258" spans="1:16" ht="15.6">
      <c r="A258" s="1996" t="s">
        <v>1681</v>
      </c>
      <c r="B258" s="2087" t="s">
        <v>2376</v>
      </c>
      <c r="D258" s="1996" t="s">
        <v>2398</v>
      </c>
      <c r="E258" s="1996" t="s">
        <v>2399</v>
      </c>
    </row>
    <row r="259" spans="1:16" ht="15.6">
      <c r="A259" s="1996" t="s">
        <v>1681</v>
      </c>
      <c r="B259" s="2087" t="s">
        <v>2377</v>
      </c>
      <c r="P259" s="1996" t="s">
        <v>2412</v>
      </c>
    </row>
    <row r="260" spans="1:16" ht="15.6">
      <c r="A260" s="1996" t="s">
        <v>1681</v>
      </c>
      <c r="B260" s="2087" t="s">
        <v>2378</v>
      </c>
      <c r="H260" s="1996" t="s">
        <v>2402</v>
      </c>
    </row>
    <row r="261" spans="1:16" ht="15.6">
      <c r="A261" s="1996" t="s">
        <v>2397</v>
      </c>
      <c r="B261" s="2087" t="s">
        <v>2379</v>
      </c>
    </row>
    <row r="262" spans="1:16" ht="15.6">
      <c r="A262" s="2079" t="s">
        <v>2400</v>
      </c>
      <c r="B262" s="2109" t="s">
        <v>2380</v>
      </c>
      <c r="C262" s="2111" t="s">
        <v>2401</v>
      </c>
      <c r="D262" s="2079"/>
    </row>
    <row r="263" spans="1:16" ht="15.6">
      <c r="B263" s="2085"/>
    </row>
    <row r="264" spans="1:16" ht="15.6">
      <c r="B264" s="2085" t="s">
        <v>2381</v>
      </c>
    </row>
    <row r="265" spans="1:16" ht="15.6">
      <c r="B265" s="2088" t="s">
        <v>2382</v>
      </c>
    </row>
    <row r="266" spans="1:16" ht="15">
      <c r="B266" s="2089"/>
    </row>
    <row r="267" spans="1:16" ht="15.6">
      <c r="B267" s="2097" t="s">
        <v>2383</v>
      </c>
    </row>
    <row r="268" spans="1:16" ht="15">
      <c r="A268" s="1996" t="s">
        <v>1665</v>
      </c>
      <c r="B268" s="2089" t="s">
        <v>2384</v>
      </c>
    </row>
    <row r="269" spans="1:16" ht="15">
      <c r="A269" s="1996" t="s">
        <v>2413</v>
      </c>
      <c r="B269" s="2090" t="s">
        <v>2385</v>
      </c>
      <c r="F269" s="2081" t="s">
        <v>2414</v>
      </c>
    </row>
    <row r="270" spans="1:16" ht="15">
      <c r="B270" s="2090"/>
    </row>
    <row r="271" spans="1:16" ht="15.6">
      <c r="B271" s="2092"/>
    </row>
    <row r="272" spans="1:16" ht="15.6">
      <c r="B272" s="2088" t="s">
        <v>436</v>
      </c>
    </row>
    <row r="273" spans="1:10" ht="15.6">
      <c r="B273" s="2088" t="s">
        <v>2386</v>
      </c>
    </row>
    <row r="274" spans="1:10" ht="15">
      <c r="B274" s="2089" t="s">
        <v>2387</v>
      </c>
    </row>
    <row r="275" spans="1:10" ht="15">
      <c r="A275" s="1996" t="s">
        <v>2416</v>
      </c>
      <c r="B275" s="2089" t="s">
        <v>2388</v>
      </c>
      <c r="C275" s="2081" t="s">
        <v>2415</v>
      </c>
    </row>
    <row r="276" spans="1:10" ht="15.6">
      <c r="B276" s="2097" t="s">
        <v>2389</v>
      </c>
    </row>
    <row r="277" spans="1:10" ht="15">
      <c r="A277" s="1996" t="s">
        <v>1665</v>
      </c>
      <c r="B277" s="2089" t="s">
        <v>2390</v>
      </c>
    </row>
    <row r="278" spans="1:10" ht="15">
      <c r="A278" s="1996" t="s">
        <v>1665</v>
      </c>
      <c r="B278" s="2089" t="s">
        <v>2391</v>
      </c>
    </row>
    <row r="279" spans="1:10" ht="15">
      <c r="A279" s="1996" t="s">
        <v>1665</v>
      </c>
      <c r="B279" s="2089" t="s">
        <v>2392</v>
      </c>
    </row>
    <row r="280" spans="1:10" ht="15.6">
      <c r="B280" s="2092"/>
    </row>
    <row r="281" spans="1:10" ht="15.6">
      <c r="B281" s="2088" t="s">
        <v>2101</v>
      </c>
    </row>
    <row r="282" spans="1:10" ht="15.6">
      <c r="B282" s="2088" t="s">
        <v>2393</v>
      </c>
    </row>
    <row r="283" spans="1:10" s="2094" customFormat="1" ht="15">
      <c r="A283" s="2094" t="s">
        <v>1665</v>
      </c>
      <c r="B283" s="2116" t="s">
        <v>2394</v>
      </c>
      <c r="C283" s="2118"/>
      <c r="D283" s="2117"/>
      <c r="E283" s="2117"/>
      <c r="F283" s="2117"/>
      <c r="G283" s="2117"/>
      <c r="H283" s="2117"/>
    </row>
    <row r="286" spans="1:10" ht="15">
      <c r="B286" s="2091"/>
    </row>
    <row r="287" spans="1:10" ht="21">
      <c r="A287" s="2072"/>
      <c r="B287" s="2073" t="s">
        <v>2409</v>
      </c>
      <c r="C287" s="2072"/>
      <c r="D287" s="2072"/>
      <c r="E287" s="2072"/>
      <c r="F287" s="2072"/>
      <c r="G287" s="2072"/>
      <c r="H287" s="2072"/>
      <c r="I287" s="2072"/>
      <c r="J287" s="2072"/>
    </row>
    <row r="289" spans="1:12">
      <c r="A289" s="2094" t="s">
        <v>2408</v>
      </c>
      <c r="B289" s="2095" t="s">
        <v>708</v>
      </c>
      <c r="C289" s="2094" t="s">
        <v>2184</v>
      </c>
      <c r="D289" s="2094"/>
      <c r="E289" s="2094"/>
      <c r="F289" s="2094" t="s">
        <v>2185</v>
      </c>
      <c r="G289" s="2094"/>
      <c r="H289" s="2094"/>
      <c r="I289" s="2094"/>
      <c r="J289" s="2094"/>
      <c r="K289" s="2094"/>
      <c r="L289" s="2094"/>
    </row>
    <row r="290" spans="1:12">
      <c r="B290" s="2096"/>
      <c r="C290" s="2096"/>
      <c r="D290" s="2096"/>
      <c r="E290" s="2096"/>
      <c r="F290" s="2096"/>
      <c r="G290" s="2096"/>
      <c r="H290" s="2096"/>
      <c r="I290" s="2096"/>
      <c r="J290" s="2096"/>
      <c r="K290" s="2094"/>
      <c r="L290" s="2094"/>
    </row>
    <row r="291" spans="1:12">
      <c r="A291" s="2094" t="s">
        <v>2408</v>
      </c>
      <c r="B291" s="2096" t="s">
        <v>2410</v>
      </c>
      <c r="C291" s="2096"/>
      <c r="D291" s="2096"/>
      <c r="E291" s="2096"/>
      <c r="F291" s="2096"/>
      <c r="G291" s="2096"/>
      <c r="H291" s="2096"/>
      <c r="I291" s="2096"/>
      <c r="J291" s="2096"/>
      <c r="K291" s="2094"/>
      <c r="L291" s="2094"/>
    </row>
    <row r="292" spans="1:12">
      <c r="A292" s="2094"/>
      <c r="B292" s="2096"/>
      <c r="C292" s="2096"/>
      <c r="D292" s="2096"/>
      <c r="E292" s="2096"/>
      <c r="F292" s="2096"/>
      <c r="G292" s="2096"/>
      <c r="H292" s="2096"/>
      <c r="I292" s="2096"/>
      <c r="J292" s="2096"/>
      <c r="K292" s="2094"/>
      <c r="L292" s="2094"/>
    </row>
    <row r="293" spans="1:12">
      <c r="A293" s="2094" t="s">
        <v>2408</v>
      </c>
      <c r="B293" s="2096" t="s">
        <v>2411</v>
      </c>
      <c r="C293" s="2096" t="s">
        <v>2401</v>
      </c>
      <c r="D293" s="2096"/>
      <c r="E293" s="2096"/>
      <c r="F293" s="2096"/>
      <c r="G293" s="2096"/>
      <c r="H293" s="2096"/>
      <c r="I293" s="2096"/>
      <c r="J293" s="2096"/>
      <c r="K293" s="2094"/>
      <c r="L293" s="2094"/>
    </row>
    <row r="294" spans="1:12">
      <c r="B294" s="2096"/>
      <c r="C294" s="2096"/>
      <c r="D294" s="2096"/>
      <c r="E294" s="2096"/>
      <c r="F294" s="2096"/>
      <c r="G294" s="2096"/>
      <c r="H294" s="2096"/>
      <c r="I294" s="2096"/>
      <c r="J294" s="2096"/>
    </row>
    <row r="295" spans="1:12" ht="15">
      <c r="A295" s="1996" t="s">
        <v>2420</v>
      </c>
      <c r="B295" s="2091" t="s">
        <v>2421</v>
      </c>
    </row>
    <row r="296" spans="1:12" ht="15">
      <c r="B296" s="2091"/>
    </row>
    <row r="297" spans="1:12" ht="15">
      <c r="B297" s="2091"/>
    </row>
    <row r="298" spans="1:12" ht="15">
      <c r="B298" s="2091"/>
    </row>
    <row r="299" spans="1:12" ht="21">
      <c r="A299" s="2072"/>
      <c r="B299" s="2073" t="s">
        <v>2422</v>
      </c>
      <c r="C299" s="2072"/>
      <c r="D299" s="2072"/>
      <c r="E299" s="2072"/>
      <c r="F299" s="2072"/>
      <c r="G299" s="2072"/>
      <c r="H299" s="2072"/>
      <c r="I299" s="2072"/>
      <c r="J299" s="2072"/>
    </row>
    <row r="300" spans="1:12" ht="15">
      <c r="B300" s="2091"/>
    </row>
    <row r="302" spans="1:12">
      <c r="B302" s="2119" t="s">
        <v>2423</v>
      </c>
    </row>
    <row r="303" spans="1:12">
      <c r="A303" s="1996" t="s">
        <v>1681</v>
      </c>
      <c r="B303" s="2119" t="s">
        <v>2424</v>
      </c>
    </row>
    <row r="304" spans="1:12">
      <c r="A304" s="1996" t="s">
        <v>1681</v>
      </c>
      <c r="B304" s="2119" t="s">
        <v>2425</v>
      </c>
    </row>
    <row r="305" spans="1:8">
      <c r="B305" s="2119"/>
    </row>
    <row r="306" spans="1:8">
      <c r="A306" s="1996" t="s">
        <v>1681</v>
      </c>
      <c r="B306" s="2119" t="s">
        <v>2426</v>
      </c>
    </row>
    <row r="307" spans="1:8">
      <c r="B307" s="2119"/>
    </row>
    <row r="308" spans="1:8">
      <c r="A308" s="1996" t="s">
        <v>1909</v>
      </c>
      <c r="B308" s="2119" t="s">
        <v>2427</v>
      </c>
    </row>
    <row r="310" spans="1:8">
      <c r="A310" s="1996" t="s">
        <v>1681</v>
      </c>
      <c r="B310" s="2119" t="s">
        <v>2428</v>
      </c>
    </row>
    <row r="311" spans="1:8">
      <c r="A311" s="1996" t="s">
        <v>1681</v>
      </c>
      <c r="B311" s="2119" t="s">
        <v>2429</v>
      </c>
    </row>
    <row r="312" spans="1:8">
      <c r="A312" s="1996" t="s">
        <v>1681</v>
      </c>
      <c r="B312" s="2119" t="s">
        <v>2430</v>
      </c>
    </row>
    <row r="313" spans="1:8">
      <c r="A313" s="1996" t="s">
        <v>1681</v>
      </c>
      <c r="B313" s="2119" t="s">
        <v>2431</v>
      </c>
    </row>
    <row r="314" spans="1:8">
      <c r="A314" s="1996" t="s">
        <v>1681</v>
      </c>
      <c r="B314" s="2119" t="s">
        <v>2432</v>
      </c>
    </row>
    <row r="315" spans="1:8">
      <c r="A315" s="1996" t="s">
        <v>1681</v>
      </c>
      <c r="B315" s="2067" t="s">
        <v>2433</v>
      </c>
    </row>
    <row r="318" spans="1:8">
      <c r="B318" s="2121" t="s">
        <v>2434</v>
      </c>
    </row>
    <row r="319" spans="1:8">
      <c r="A319" s="1996" t="s">
        <v>2442</v>
      </c>
      <c r="B319" s="2122" t="s">
        <v>2435</v>
      </c>
      <c r="H319" s="2081" t="s">
        <v>2440</v>
      </c>
    </row>
    <row r="320" spans="1:8">
      <c r="A320" s="1996" t="s">
        <v>2442</v>
      </c>
      <c r="B320" s="2122" t="s">
        <v>2436</v>
      </c>
      <c r="H320" s="2081" t="s">
        <v>2443</v>
      </c>
    </row>
    <row r="322" spans="1:7">
      <c r="B322" s="2121" t="s">
        <v>2437</v>
      </c>
    </row>
    <row r="323" spans="1:7">
      <c r="A323" s="1996" t="s">
        <v>1681</v>
      </c>
      <c r="B323" s="2122" t="s">
        <v>2438</v>
      </c>
      <c r="G323" s="2081" t="s">
        <v>2439</v>
      </c>
    </row>
    <row r="329" spans="1:7">
      <c r="B329" s="1996" t="s">
        <v>2444</v>
      </c>
    </row>
  </sheetData>
  <pageMargins left="0.7" right="0.7" top="0.75" bottom="0.75" header="0.3" footer="0.3"/>
  <pageSetup scale="40" orientation="portrait" horizontalDpi="0" verticalDpi="0" r:id="rId1"/>
  <customProperties>
    <customPr name="OrphanNamesChecked" r:id="rId2"/>
  </customPropertie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7">
    <pageSetUpPr fitToPage="1"/>
  </sheetPr>
  <dimension ref="A1:N158"/>
  <sheetViews>
    <sheetView showGridLines="0" zoomScale="80" zoomScaleNormal="80" workbookViewId="0">
      <pane ySplit="3" topLeftCell="A4" activePane="bottomLeft" state="frozen"/>
      <selection pane="bottomLeft" activeCell="H19" sqref="H19"/>
    </sheetView>
  </sheetViews>
  <sheetFormatPr defaultColWidth="8.90625" defaultRowHeight="14.4"/>
  <cols>
    <col min="1" max="1" width="32.6328125" style="1739" bestFit="1" customWidth="1"/>
    <col min="2" max="2" width="11.08984375" style="1739" bestFit="1" customWidth="1"/>
    <col min="3" max="5" width="11.6328125" style="1741" customWidth="1"/>
    <col min="6" max="6" width="6.81640625" style="1741" customWidth="1"/>
    <col min="7" max="7" width="7.453125" style="1739" bestFit="1" customWidth="1"/>
    <col min="8" max="8" width="9.90625" style="1739" bestFit="1" customWidth="1"/>
    <col min="9" max="9" width="32.6328125" style="1749" bestFit="1" customWidth="1"/>
    <col min="10" max="10" width="11.08984375" style="1749" bestFit="1" customWidth="1"/>
    <col min="11" max="11" width="7.81640625" style="1761" bestFit="1" customWidth="1"/>
    <col min="12" max="12" width="9.6328125" style="1761" customWidth="1"/>
    <col min="13" max="13" width="6.81640625" style="1761" bestFit="1" customWidth="1"/>
    <col min="14" max="14" width="39.6328125" style="1761" customWidth="1"/>
    <col min="15" max="16384" width="8.90625" style="1739"/>
  </cols>
  <sheetData>
    <row r="1" spans="1:14">
      <c r="A1" s="1738"/>
      <c r="C1" s="1740"/>
      <c r="N1" s="1778" t="s">
        <v>1841</v>
      </c>
    </row>
    <row r="2" spans="1:14" ht="21">
      <c r="A2" s="1765">
        <v>2021</v>
      </c>
      <c r="B2" s="1743"/>
      <c r="C2" s="1744"/>
      <c r="D2" s="1744"/>
      <c r="E2" s="1744"/>
      <c r="I2" s="1768">
        <v>2022</v>
      </c>
      <c r="J2" s="1769"/>
      <c r="K2" s="1770"/>
      <c r="L2" s="1770"/>
      <c r="M2" s="1770"/>
      <c r="N2" s="1742"/>
    </row>
    <row r="3" spans="1:14" ht="43.2">
      <c r="A3" s="1745" t="s">
        <v>0</v>
      </c>
      <c r="B3" s="1746" t="s">
        <v>257</v>
      </c>
      <c r="C3" s="1747" t="s">
        <v>106</v>
      </c>
      <c r="D3" s="1747" t="s">
        <v>107</v>
      </c>
      <c r="E3" s="1747" t="s">
        <v>108</v>
      </c>
      <c r="F3" s="1748"/>
      <c r="G3" s="1748" t="s">
        <v>1049</v>
      </c>
      <c r="H3" s="1748" t="s">
        <v>1050</v>
      </c>
      <c r="I3" s="1745" t="s">
        <v>0</v>
      </c>
      <c r="J3" s="1746" t="s">
        <v>257</v>
      </c>
      <c r="K3" s="1747" t="s">
        <v>106</v>
      </c>
      <c r="L3" s="1747" t="s">
        <v>107</v>
      </c>
      <c r="M3" s="1747" t="s">
        <v>108</v>
      </c>
      <c r="N3" s="1742"/>
    </row>
    <row r="4" spans="1:14">
      <c r="A4" s="1751" t="s">
        <v>698</v>
      </c>
      <c r="B4" s="1751" t="s">
        <v>258</v>
      </c>
      <c r="C4" s="1736">
        <v>20000</v>
      </c>
      <c r="D4" s="1736">
        <v>22500</v>
      </c>
      <c r="E4" s="1752">
        <v>42500</v>
      </c>
      <c r="F4" s="1740" t="b">
        <f t="shared" ref="F4:F35" si="0">+A4=I4</f>
        <v>0</v>
      </c>
      <c r="G4" s="1740">
        <f t="shared" ref="G4:G35" si="1">C4-K4</f>
        <v>20000</v>
      </c>
      <c r="H4" s="1740">
        <f t="shared" ref="H4:H35" si="2">D4-L4</f>
        <v>22500</v>
      </c>
      <c r="I4" s="1771"/>
      <c r="J4" s="1771"/>
      <c r="K4" s="1772"/>
      <c r="L4" s="1772"/>
      <c r="M4" s="1762"/>
      <c r="N4" s="1753"/>
    </row>
    <row r="5" spans="1:14">
      <c r="A5" s="1751" t="s">
        <v>1405</v>
      </c>
      <c r="B5" s="1751" t="s">
        <v>258</v>
      </c>
      <c r="C5" s="1736">
        <v>50000</v>
      </c>
      <c r="D5" s="1736">
        <v>65000</v>
      </c>
      <c r="E5" s="1752">
        <v>115000</v>
      </c>
      <c r="F5" s="1740" t="b">
        <f t="shared" si="0"/>
        <v>0</v>
      </c>
      <c r="G5" s="1740">
        <f t="shared" si="1"/>
        <v>50000</v>
      </c>
      <c r="H5" s="1740">
        <f t="shared" si="2"/>
        <v>65000</v>
      </c>
      <c r="I5" s="1771"/>
      <c r="J5" s="1771"/>
      <c r="K5" s="1772"/>
      <c r="L5" s="1772"/>
      <c r="M5" s="1762"/>
      <c r="N5" s="1753"/>
    </row>
    <row r="6" spans="1:14">
      <c r="A6" s="1750" t="s">
        <v>958</v>
      </c>
      <c r="B6" s="1751" t="s">
        <v>546</v>
      </c>
      <c r="C6" s="1736">
        <v>68000</v>
      </c>
      <c r="D6" s="1736">
        <v>62000</v>
      </c>
      <c r="E6" s="1752">
        <v>130000</v>
      </c>
      <c r="F6" s="1740" t="b">
        <f t="shared" si="0"/>
        <v>0</v>
      </c>
      <c r="G6" s="1740">
        <f t="shared" si="1"/>
        <v>68000</v>
      </c>
      <c r="H6" s="1740">
        <f t="shared" si="2"/>
        <v>62000</v>
      </c>
      <c r="I6" s="1771"/>
      <c r="J6" s="1771"/>
      <c r="K6" s="1772"/>
      <c r="L6" s="1772"/>
      <c r="M6" s="1762"/>
      <c r="N6" s="1754"/>
    </row>
    <row r="7" spans="1:14">
      <c r="A7" s="1750" t="s">
        <v>1406</v>
      </c>
      <c r="B7" s="1751" t="s">
        <v>546</v>
      </c>
      <c r="C7" s="1736">
        <v>0</v>
      </c>
      <c r="D7" s="1736">
        <v>25000</v>
      </c>
      <c r="E7" s="1752">
        <v>25000</v>
      </c>
      <c r="F7" s="1740" t="b">
        <f t="shared" si="0"/>
        <v>0</v>
      </c>
      <c r="G7" s="1740">
        <f t="shared" si="1"/>
        <v>0</v>
      </c>
      <c r="H7" s="1740">
        <f t="shared" si="2"/>
        <v>25000</v>
      </c>
      <c r="I7" s="1771"/>
      <c r="J7" s="1771"/>
      <c r="K7" s="1772"/>
      <c r="L7" s="1772"/>
      <c r="M7" s="1762"/>
      <c r="N7" s="1753"/>
    </row>
    <row r="8" spans="1:14">
      <c r="A8" s="1750" t="s">
        <v>1018</v>
      </c>
      <c r="B8" s="1751" t="s">
        <v>264</v>
      </c>
      <c r="C8" s="1736">
        <v>0</v>
      </c>
      <c r="D8" s="1736">
        <v>5000</v>
      </c>
      <c r="E8" s="1752">
        <v>5000</v>
      </c>
      <c r="F8" s="1740" t="b">
        <f t="shared" si="0"/>
        <v>0</v>
      </c>
      <c r="G8" s="1740">
        <f t="shared" si="1"/>
        <v>0</v>
      </c>
      <c r="H8" s="1740">
        <f t="shared" si="2"/>
        <v>5000</v>
      </c>
      <c r="I8" s="1771"/>
      <c r="J8" s="1771"/>
      <c r="K8" s="1772"/>
      <c r="L8" s="1772"/>
      <c r="M8" s="1762"/>
      <c r="N8" s="1742"/>
    </row>
    <row r="9" spans="1:14">
      <c r="A9" s="1750" t="s">
        <v>1127</v>
      </c>
      <c r="B9" s="1751" t="s">
        <v>547</v>
      </c>
      <c r="C9" s="1736">
        <v>62500</v>
      </c>
      <c r="D9" s="1736">
        <v>187500</v>
      </c>
      <c r="E9" s="1752">
        <v>250000</v>
      </c>
      <c r="F9" s="1740" t="b">
        <f t="shared" si="0"/>
        <v>0</v>
      </c>
      <c r="G9" s="1740">
        <f t="shared" si="1"/>
        <v>62500</v>
      </c>
      <c r="H9" s="1740">
        <f t="shared" si="2"/>
        <v>187500</v>
      </c>
      <c r="I9" s="1771"/>
      <c r="J9" s="1771"/>
      <c r="K9" s="1772"/>
      <c r="L9" s="1772"/>
      <c r="M9" s="1762"/>
      <c r="N9" s="1753"/>
    </row>
    <row r="10" spans="1:14">
      <c r="A10" s="1750" t="s">
        <v>1335</v>
      </c>
      <c r="B10" s="1751" t="s">
        <v>412</v>
      </c>
      <c r="C10" s="1736">
        <v>0</v>
      </c>
      <c r="D10" s="1736">
        <v>100000</v>
      </c>
      <c r="E10" s="1752">
        <v>100000</v>
      </c>
      <c r="F10" s="1740" t="b">
        <f t="shared" si="0"/>
        <v>0</v>
      </c>
      <c r="G10" s="1740">
        <f t="shared" si="1"/>
        <v>0</v>
      </c>
      <c r="H10" s="1740">
        <f t="shared" si="2"/>
        <v>100000</v>
      </c>
      <c r="I10" s="1771"/>
      <c r="J10" s="1771"/>
      <c r="K10" s="1772"/>
      <c r="L10" s="1772"/>
      <c r="M10" s="1762"/>
      <c r="N10" s="1754"/>
    </row>
    <row r="11" spans="1:14">
      <c r="A11" s="1750" t="s">
        <v>701</v>
      </c>
      <c r="B11" s="1751" t="s">
        <v>546</v>
      </c>
      <c r="C11" s="1736">
        <v>0</v>
      </c>
      <c r="D11" s="1736">
        <v>22500</v>
      </c>
      <c r="E11" s="1752">
        <v>22500</v>
      </c>
      <c r="F11" s="1740" t="b">
        <f t="shared" si="0"/>
        <v>0</v>
      </c>
      <c r="G11" s="1740">
        <f t="shared" si="1"/>
        <v>0</v>
      </c>
      <c r="H11" s="1740">
        <f t="shared" si="2"/>
        <v>22500</v>
      </c>
      <c r="I11" s="1771"/>
      <c r="J11" s="1771"/>
      <c r="K11" s="1772"/>
      <c r="L11" s="1772"/>
      <c r="M11" s="1762"/>
      <c r="N11" s="1753"/>
    </row>
    <row r="12" spans="1:14">
      <c r="A12" s="1751" t="s">
        <v>266</v>
      </c>
      <c r="B12" s="1751" t="s">
        <v>547</v>
      </c>
      <c r="C12" s="1736">
        <v>0</v>
      </c>
      <c r="D12" s="1736">
        <v>45000</v>
      </c>
      <c r="E12" s="1752">
        <v>45000</v>
      </c>
      <c r="F12" s="1740" t="b">
        <f t="shared" si="0"/>
        <v>0</v>
      </c>
      <c r="G12" s="1740">
        <f t="shared" si="1"/>
        <v>0</v>
      </c>
      <c r="H12" s="1740">
        <f t="shared" si="2"/>
        <v>45000</v>
      </c>
      <c r="I12" s="1771"/>
      <c r="J12" s="1771"/>
      <c r="K12" s="1772"/>
      <c r="L12" s="1772"/>
      <c r="M12" s="1762"/>
      <c r="N12" s="1753"/>
    </row>
    <row r="13" spans="1:14">
      <c r="A13" s="1750" t="s">
        <v>957</v>
      </c>
      <c r="B13" s="1751" t="s">
        <v>258</v>
      </c>
      <c r="C13" s="1736">
        <v>0</v>
      </c>
      <c r="D13" s="1736">
        <v>95000</v>
      </c>
      <c r="E13" s="1752">
        <v>95000</v>
      </c>
      <c r="F13" s="1740" t="b">
        <f t="shared" si="0"/>
        <v>0</v>
      </c>
      <c r="G13" s="1740">
        <f t="shared" si="1"/>
        <v>0</v>
      </c>
      <c r="H13" s="1740">
        <f t="shared" si="2"/>
        <v>95000</v>
      </c>
      <c r="I13" s="1771"/>
      <c r="J13" s="1771"/>
      <c r="K13" s="1772"/>
      <c r="L13" s="1772"/>
      <c r="M13" s="1762"/>
      <c r="N13" s="1753"/>
    </row>
    <row r="14" spans="1:14">
      <c r="A14" s="1750" t="s">
        <v>1325</v>
      </c>
      <c r="B14" s="1751" t="s">
        <v>258</v>
      </c>
      <c r="C14" s="1736">
        <v>100</v>
      </c>
      <c r="D14" s="1736">
        <v>69900</v>
      </c>
      <c r="E14" s="1752">
        <v>70000</v>
      </c>
      <c r="F14" s="1740" t="b">
        <f t="shared" si="0"/>
        <v>0</v>
      </c>
      <c r="G14" s="1740">
        <f t="shared" si="1"/>
        <v>100</v>
      </c>
      <c r="H14" s="1740">
        <f t="shared" si="2"/>
        <v>69900</v>
      </c>
      <c r="I14" s="1771"/>
      <c r="J14" s="1771"/>
      <c r="K14" s="1772"/>
      <c r="L14" s="1772"/>
      <c r="M14" s="1762"/>
      <c r="N14" s="1753"/>
    </row>
    <row r="15" spans="1:14">
      <c r="A15" s="1750" t="s">
        <v>637</v>
      </c>
      <c r="B15" s="1751" t="s">
        <v>258</v>
      </c>
      <c r="C15" s="1736">
        <v>30000</v>
      </c>
      <c r="D15" s="1736">
        <v>35000</v>
      </c>
      <c r="E15" s="1752">
        <v>65000</v>
      </c>
      <c r="F15" s="1740" t="b">
        <f t="shared" si="0"/>
        <v>0</v>
      </c>
      <c r="G15" s="1740">
        <f t="shared" si="1"/>
        <v>30000</v>
      </c>
      <c r="H15" s="1740">
        <f t="shared" si="2"/>
        <v>35000</v>
      </c>
      <c r="I15" s="1771"/>
      <c r="J15" s="1771"/>
      <c r="K15" s="1772"/>
      <c r="L15" s="1772"/>
      <c r="M15" s="1762"/>
      <c r="N15" s="1753"/>
    </row>
    <row r="16" spans="1:14">
      <c r="A16" s="1750" t="s">
        <v>1316</v>
      </c>
      <c r="B16" s="1751" t="s">
        <v>258</v>
      </c>
      <c r="C16" s="1736">
        <v>20000</v>
      </c>
      <c r="D16" s="1736">
        <v>70000</v>
      </c>
      <c r="E16" s="1752">
        <v>90000</v>
      </c>
      <c r="F16" s="1740" t="b">
        <f t="shared" si="0"/>
        <v>0</v>
      </c>
      <c r="G16" s="1740">
        <f t="shared" si="1"/>
        <v>20000</v>
      </c>
      <c r="H16" s="1740">
        <f t="shared" si="2"/>
        <v>70000</v>
      </c>
      <c r="I16" s="1771"/>
      <c r="J16" s="1771"/>
      <c r="K16" s="1772"/>
      <c r="L16" s="1772"/>
      <c r="M16" s="1762"/>
      <c r="N16" s="1753"/>
    </row>
    <row r="17" spans="1:14">
      <c r="A17" s="1751" t="s">
        <v>624</v>
      </c>
      <c r="B17" s="1751" t="s">
        <v>547</v>
      </c>
      <c r="C17" s="1736">
        <v>0</v>
      </c>
      <c r="D17" s="1736">
        <v>95000</v>
      </c>
      <c r="E17" s="1752">
        <v>95000</v>
      </c>
      <c r="F17" s="1740" t="b">
        <f t="shared" si="0"/>
        <v>0</v>
      </c>
      <c r="G17" s="1740">
        <f t="shared" si="1"/>
        <v>0</v>
      </c>
      <c r="H17" s="1740">
        <f t="shared" si="2"/>
        <v>95000</v>
      </c>
      <c r="I17" s="1771"/>
      <c r="J17" s="1771"/>
      <c r="K17" s="1772"/>
      <c r="L17" s="1772"/>
      <c r="M17" s="1762"/>
      <c r="N17" s="1753"/>
    </row>
    <row r="18" spans="1:14">
      <c r="A18" s="1750" t="s">
        <v>1006</v>
      </c>
      <c r="B18" s="1751" t="s">
        <v>258</v>
      </c>
      <c r="C18" s="1736">
        <v>0</v>
      </c>
      <c r="D18" s="1736">
        <v>70000</v>
      </c>
      <c r="E18" s="1752">
        <v>70000</v>
      </c>
      <c r="F18" s="1740" t="b">
        <f t="shared" si="0"/>
        <v>0</v>
      </c>
      <c r="G18" s="1740">
        <f t="shared" si="1"/>
        <v>0</v>
      </c>
      <c r="H18" s="1740">
        <f t="shared" si="2"/>
        <v>70000</v>
      </c>
      <c r="I18" s="1771"/>
      <c r="J18" s="1771"/>
      <c r="K18" s="1772"/>
      <c r="L18" s="1772"/>
      <c r="M18" s="1762"/>
      <c r="N18" s="1754"/>
    </row>
    <row r="19" spans="1:14">
      <c r="A19" s="1751" t="s">
        <v>1416</v>
      </c>
      <c r="B19" s="1751" t="s">
        <v>547</v>
      </c>
      <c r="C19" s="1736">
        <v>0</v>
      </c>
      <c r="D19" s="1736">
        <v>130000</v>
      </c>
      <c r="E19" s="1752">
        <v>130000</v>
      </c>
      <c r="F19" s="1740" t="b">
        <f t="shared" si="0"/>
        <v>0</v>
      </c>
      <c r="G19" s="1740">
        <f t="shared" si="1"/>
        <v>0</v>
      </c>
      <c r="H19" s="1740">
        <f t="shared" si="2"/>
        <v>130000</v>
      </c>
      <c r="I19" s="1771"/>
      <c r="J19" s="1771"/>
      <c r="K19" s="1772"/>
      <c r="L19" s="1772"/>
      <c r="M19" s="1762"/>
      <c r="N19" s="1753"/>
    </row>
    <row r="20" spans="1:14">
      <c r="A20" s="1750" t="s">
        <v>1303</v>
      </c>
      <c r="B20" s="1751" t="s">
        <v>547</v>
      </c>
      <c r="C20" s="1736">
        <v>0</v>
      </c>
      <c r="D20" s="1736">
        <v>80000</v>
      </c>
      <c r="E20" s="1752">
        <v>80000</v>
      </c>
      <c r="F20" s="1740" t="b">
        <f t="shared" si="0"/>
        <v>0</v>
      </c>
      <c r="G20" s="1740">
        <f t="shared" si="1"/>
        <v>0</v>
      </c>
      <c r="H20" s="1740">
        <f t="shared" si="2"/>
        <v>80000</v>
      </c>
      <c r="I20" s="1771"/>
      <c r="J20" s="1771"/>
      <c r="K20" s="1772"/>
      <c r="L20" s="1772"/>
      <c r="M20" s="1762"/>
      <c r="N20" s="1753"/>
    </row>
    <row r="21" spans="1:14">
      <c r="A21" s="1750" t="s">
        <v>1144</v>
      </c>
      <c r="B21" s="1751" t="s">
        <v>264</v>
      </c>
      <c r="C21" s="1736">
        <v>0</v>
      </c>
      <c r="D21" s="1736">
        <v>3000</v>
      </c>
      <c r="E21" s="1752">
        <v>3000</v>
      </c>
      <c r="F21" s="1740" t="b">
        <f t="shared" si="0"/>
        <v>0</v>
      </c>
      <c r="G21" s="1740">
        <f t="shared" si="1"/>
        <v>0</v>
      </c>
      <c r="H21" s="1740">
        <f t="shared" si="2"/>
        <v>3000</v>
      </c>
      <c r="I21" s="1771"/>
      <c r="J21" s="1771"/>
      <c r="K21" s="1772"/>
      <c r="L21" s="1772"/>
      <c r="M21" s="1762"/>
      <c r="N21" s="1754"/>
    </row>
    <row r="22" spans="1:14">
      <c r="A22" s="1750" t="s">
        <v>1128</v>
      </c>
      <c r="B22" s="1751" t="s">
        <v>412</v>
      </c>
      <c r="C22" s="1736">
        <v>0</v>
      </c>
      <c r="D22" s="1736">
        <v>17500</v>
      </c>
      <c r="E22" s="1752">
        <v>17500</v>
      </c>
      <c r="F22" s="1740" t="b">
        <f t="shared" si="0"/>
        <v>0</v>
      </c>
      <c r="G22" s="1740">
        <f t="shared" si="1"/>
        <v>0</v>
      </c>
      <c r="H22" s="1740">
        <f t="shared" si="2"/>
        <v>17500</v>
      </c>
      <c r="I22" s="1771"/>
      <c r="J22" s="1771"/>
      <c r="K22" s="1772"/>
      <c r="L22" s="1772"/>
      <c r="M22" s="1762"/>
      <c r="N22" s="1753"/>
    </row>
    <row r="23" spans="1:14">
      <c r="A23" s="1750" t="s">
        <v>713</v>
      </c>
      <c r="B23" s="1751" t="s">
        <v>546</v>
      </c>
      <c r="C23" s="1736">
        <v>0</v>
      </c>
      <c r="D23" s="1736">
        <v>100000</v>
      </c>
      <c r="E23" s="1752">
        <v>100000</v>
      </c>
      <c r="F23" s="1740" t="b">
        <f t="shared" si="0"/>
        <v>0</v>
      </c>
      <c r="G23" s="1740">
        <f t="shared" si="1"/>
        <v>0</v>
      </c>
      <c r="H23" s="1740">
        <f t="shared" si="2"/>
        <v>100000</v>
      </c>
      <c r="I23" s="1771"/>
      <c r="J23" s="1771"/>
      <c r="K23" s="1772"/>
      <c r="L23" s="1772"/>
      <c r="M23" s="1762"/>
      <c r="N23" s="1742"/>
    </row>
    <row r="24" spans="1:14">
      <c r="A24" s="1751" t="s">
        <v>683</v>
      </c>
      <c r="B24" s="1751" t="s">
        <v>547</v>
      </c>
      <c r="C24" s="1736">
        <v>1</v>
      </c>
      <c r="D24" s="1736">
        <v>47499</v>
      </c>
      <c r="E24" s="1752">
        <v>47500</v>
      </c>
      <c r="F24" s="1740" t="b">
        <f t="shared" si="0"/>
        <v>0</v>
      </c>
      <c r="G24" s="1740">
        <f t="shared" si="1"/>
        <v>1</v>
      </c>
      <c r="H24" s="1740">
        <f t="shared" si="2"/>
        <v>47499</v>
      </c>
      <c r="I24" s="1771"/>
      <c r="J24" s="1771"/>
      <c r="K24" s="1772"/>
      <c r="L24" s="1772"/>
      <c r="M24" s="1762"/>
      <c r="N24" s="1753"/>
    </row>
    <row r="25" spans="1:14">
      <c r="A25" s="1751" t="s">
        <v>684</v>
      </c>
      <c r="B25" s="1751" t="s">
        <v>264</v>
      </c>
      <c r="C25" s="1736">
        <v>0</v>
      </c>
      <c r="D25" s="1736">
        <v>3500</v>
      </c>
      <c r="E25" s="1752">
        <v>3500</v>
      </c>
      <c r="F25" s="1740" t="b">
        <f t="shared" si="0"/>
        <v>0</v>
      </c>
      <c r="G25" s="1740">
        <f t="shared" si="1"/>
        <v>0</v>
      </c>
      <c r="H25" s="1740">
        <f t="shared" si="2"/>
        <v>3500</v>
      </c>
      <c r="I25" s="1771"/>
      <c r="J25" s="1771"/>
      <c r="K25" s="1772"/>
      <c r="L25" s="1772"/>
      <c r="M25" s="1762"/>
      <c r="N25" s="1753"/>
    </row>
    <row r="26" spans="1:14">
      <c r="A26" s="1750" t="s">
        <v>1408</v>
      </c>
      <c r="B26" s="1751" t="s">
        <v>546</v>
      </c>
      <c r="C26" s="1736">
        <v>1000</v>
      </c>
      <c r="D26" s="1736">
        <v>49000</v>
      </c>
      <c r="E26" s="1752">
        <v>50000</v>
      </c>
      <c r="F26" s="1740" t="b">
        <f t="shared" si="0"/>
        <v>0</v>
      </c>
      <c r="G26" s="1740">
        <f t="shared" si="1"/>
        <v>1000</v>
      </c>
      <c r="H26" s="1740">
        <f t="shared" si="2"/>
        <v>49000</v>
      </c>
      <c r="I26" s="1771"/>
      <c r="J26" s="1771"/>
      <c r="K26" s="1772"/>
      <c r="L26" s="1772"/>
      <c r="M26" s="1762"/>
      <c r="N26" s="1753"/>
    </row>
    <row r="27" spans="1:14">
      <c r="A27" s="1750" t="s">
        <v>1326</v>
      </c>
      <c r="B27" s="1751" t="s">
        <v>258</v>
      </c>
      <c r="C27" s="1736">
        <v>1000</v>
      </c>
      <c r="D27" s="1736">
        <v>79000</v>
      </c>
      <c r="E27" s="1752">
        <v>80000</v>
      </c>
      <c r="F27" s="1740" t="b">
        <f t="shared" si="0"/>
        <v>0</v>
      </c>
      <c r="G27" s="1740">
        <f t="shared" si="1"/>
        <v>1000</v>
      </c>
      <c r="H27" s="1740">
        <f t="shared" si="2"/>
        <v>79000</v>
      </c>
      <c r="I27" s="1771"/>
      <c r="J27" s="1771"/>
      <c r="K27" s="1772"/>
      <c r="L27" s="1772"/>
      <c r="M27" s="1762"/>
      <c r="N27" s="1753"/>
    </row>
    <row r="28" spans="1:14">
      <c r="A28" s="1750" t="s">
        <v>523</v>
      </c>
      <c r="B28" s="1751" t="s">
        <v>412</v>
      </c>
      <c r="C28" s="1736">
        <v>0</v>
      </c>
      <c r="D28" s="1736">
        <v>30000</v>
      </c>
      <c r="E28" s="1752">
        <v>30000</v>
      </c>
      <c r="F28" s="1740" t="b">
        <f t="shared" si="0"/>
        <v>0</v>
      </c>
      <c r="G28" s="1740">
        <f t="shared" si="1"/>
        <v>0</v>
      </c>
      <c r="H28" s="1740">
        <f t="shared" si="2"/>
        <v>30000</v>
      </c>
      <c r="I28" s="1771"/>
      <c r="J28" s="1771"/>
      <c r="K28" s="1772"/>
      <c r="L28" s="1772"/>
      <c r="M28" s="1762"/>
      <c r="N28" s="1742"/>
    </row>
    <row r="29" spans="1:14">
      <c r="A29" s="1750" t="s">
        <v>445</v>
      </c>
      <c r="B29" s="1751" t="s">
        <v>546</v>
      </c>
      <c r="C29" s="1736">
        <v>0</v>
      </c>
      <c r="D29" s="1736">
        <v>35000</v>
      </c>
      <c r="E29" s="1752">
        <v>35000</v>
      </c>
      <c r="F29" s="1740" t="b">
        <f t="shared" si="0"/>
        <v>0</v>
      </c>
      <c r="G29" s="1740">
        <f t="shared" si="1"/>
        <v>0</v>
      </c>
      <c r="H29" s="1740">
        <f t="shared" si="2"/>
        <v>35000</v>
      </c>
      <c r="I29" s="1771"/>
      <c r="J29" s="1771"/>
      <c r="K29" s="1772"/>
      <c r="L29" s="1772"/>
      <c r="M29" s="1762"/>
      <c r="N29" s="1753"/>
    </row>
    <row r="30" spans="1:14">
      <c r="A30" s="1751" t="s">
        <v>1318</v>
      </c>
      <c r="B30" s="1751" t="s">
        <v>547</v>
      </c>
      <c r="C30" s="1736">
        <v>100</v>
      </c>
      <c r="D30" s="1736">
        <v>54900</v>
      </c>
      <c r="E30" s="1752">
        <v>55000</v>
      </c>
      <c r="F30" s="1740" t="b">
        <f t="shared" si="0"/>
        <v>0</v>
      </c>
      <c r="G30" s="1740">
        <f t="shared" si="1"/>
        <v>100</v>
      </c>
      <c r="H30" s="1740">
        <f t="shared" si="2"/>
        <v>54900</v>
      </c>
      <c r="I30" s="1771"/>
      <c r="J30" s="1771"/>
      <c r="K30" s="1772"/>
      <c r="L30" s="1772"/>
      <c r="M30" s="1762"/>
      <c r="N30" s="1753"/>
    </row>
    <row r="31" spans="1:14">
      <c r="A31" s="1750" t="s">
        <v>985</v>
      </c>
      <c r="B31" s="1751" t="s">
        <v>546</v>
      </c>
      <c r="C31" s="1736">
        <v>0</v>
      </c>
      <c r="D31" s="1736">
        <v>200000</v>
      </c>
      <c r="E31" s="1752">
        <v>200000</v>
      </c>
      <c r="F31" s="1740" t="b">
        <f t="shared" si="0"/>
        <v>0</v>
      </c>
      <c r="G31" s="1740">
        <f t="shared" si="1"/>
        <v>0</v>
      </c>
      <c r="H31" s="1740">
        <f t="shared" si="2"/>
        <v>200000</v>
      </c>
      <c r="I31" s="1771"/>
      <c r="J31" s="1771"/>
      <c r="K31" s="1772"/>
      <c r="L31" s="1772"/>
      <c r="M31" s="1762"/>
      <c r="N31" s="1742"/>
    </row>
    <row r="32" spans="1:14">
      <c r="A32" s="1750" t="s">
        <v>1304</v>
      </c>
      <c r="B32" s="1751" t="s">
        <v>547</v>
      </c>
      <c r="C32" s="1736">
        <v>1</v>
      </c>
      <c r="D32" s="1736">
        <v>49999</v>
      </c>
      <c r="E32" s="1752">
        <v>50000</v>
      </c>
      <c r="F32" s="1740" t="b">
        <f t="shared" si="0"/>
        <v>0</v>
      </c>
      <c r="G32" s="1740">
        <f t="shared" si="1"/>
        <v>1</v>
      </c>
      <c r="H32" s="1740">
        <f t="shared" si="2"/>
        <v>49999</v>
      </c>
      <c r="I32" s="1771"/>
      <c r="J32" s="1771"/>
      <c r="K32" s="1772"/>
      <c r="L32" s="1772"/>
      <c r="M32" s="1762"/>
      <c r="N32" s="1742"/>
    </row>
    <row r="33" spans="1:14">
      <c r="A33" s="1750" t="s">
        <v>686</v>
      </c>
      <c r="B33" s="1751" t="s">
        <v>547</v>
      </c>
      <c r="C33" s="1736">
        <v>0</v>
      </c>
      <c r="D33" s="1736">
        <v>30000</v>
      </c>
      <c r="E33" s="1752">
        <v>30000</v>
      </c>
      <c r="F33" s="1740" t="b">
        <f t="shared" si="0"/>
        <v>0</v>
      </c>
      <c r="G33" s="1740">
        <f t="shared" si="1"/>
        <v>0</v>
      </c>
      <c r="H33" s="1740">
        <f t="shared" si="2"/>
        <v>30000</v>
      </c>
      <c r="I33" s="1771"/>
      <c r="J33" s="1771"/>
      <c r="K33" s="1772"/>
      <c r="L33" s="1772"/>
      <c r="M33" s="1762"/>
      <c r="N33" s="1753"/>
    </row>
    <row r="34" spans="1:14" ht="12.75" customHeight="1">
      <c r="A34" s="1750" t="s">
        <v>965</v>
      </c>
      <c r="B34" s="1751" t="s">
        <v>264</v>
      </c>
      <c r="C34" s="1736">
        <v>0</v>
      </c>
      <c r="D34" s="1736">
        <v>3134</v>
      </c>
      <c r="E34" s="1752">
        <v>3134</v>
      </c>
      <c r="F34" s="1740" t="b">
        <f t="shared" si="0"/>
        <v>0</v>
      </c>
      <c r="G34" s="1740">
        <f t="shared" si="1"/>
        <v>0</v>
      </c>
      <c r="H34" s="1740">
        <f t="shared" si="2"/>
        <v>3134</v>
      </c>
      <c r="I34" s="1771"/>
      <c r="J34" s="1771"/>
      <c r="K34" s="1772"/>
      <c r="L34" s="1772"/>
      <c r="M34" s="1762"/>
      <c r="N34" s="1742"/>
    </row>
    <row r="35" spans="1:14">
      <c r="A35" s="1750" t="s">
        <v>916</v>
      </c>
      <c r="B35" s="1751" t="s">
        <v>546</v>
      </c>
      <c r="C35" s="1736">
        <v>5100</v>
      </c>
      <c r="D35" s="1736">
        <v>17900</v>
      </c>
      <c r="E35" s="1752">
        <v>23000</v>
      </c>
      <c r="F35" s="1740" t="b">
        <f t="shared" si="0"/>
        <v>0</v>
      </c>
      <c r="G35" s="1740">
        <f t="shared" si="1"/>
        <v>5100</v>
      </c>
      <c r="H35" s="1740">
        <f t="shared" si="2"/>
        <v>17900</v>
      </c>
      <c r="I35" s="1771"/>
      <c r="J35" s="1771"/>
      <c r="K35" s="1772"/>
      <c r="L35" s="1772"/>
      <c r="M35" s="1762"/>
      <c r="N35" s="1742"/>
    </row>
    <row r="36" spans="1:14">
      <c r="A36" s="1750" t="s">
        <v>1194</v>
      </c>
      <c r="B36" s="1751" t="s">
        <v>264</v>
      </c>
      <c r="C36" s="1736">
        <v>0</v>
      </c>
      <c r="D36" s="1736">
        <v>4000</v>
      </c>
      <c r="E36" s="1752">
        <v>4000</v>
      </c>
      <c r="F36" s="1740" t="b">
        <f t="shared" ref="F36:F67" si="3">+A36=I36</f>
        <v>0</v>
      </c>
      <c r="G36" s="1740">
        <f t="shared" ref="G36:G67" si="4">C36-K36</f>
        <v>0</v>
      </c>
      <c r="H36" s="1740">
        <f t="shared" ref="H36:H67" si="5">D36-L36</f>
        <v>4000</v>
      </c>
      <c r="I36" s="1771"/>
      <c r="J36" s="1771"/>
      <c r="K36" s="1772"/>
      <c r="L36" s="1772"/>
      <c r="M36" s="1762"/>
      <c r="N36" s="1742"/>
    </row>
    <row r="37" spans="1:14">
      <c r="A37" s="1750" t="s">
        <v>635</v>
      </c>
      <c r="B37" s="1751" t="s">
        <v>264</v>
      </c>
      <c r="C37" s="1736">
        <v>0</v>
      </c>
      <c r="D37" s="1736">
        <v>3000</v>
      </c>
      <c r="E37" s="1752">
        <v>3000</v>
      </c>
      <c r="F37" s="1740" t="b">
        <f t="shared" si="3"/>
        <v>0</v>
      </c>
      <c r="G37" s="1740">
        <f t="shared" si="4"/>
        <v>0</v>
      </c>
      <c r="H37" s="1740">
        <f t="shared" si="5"/>
        <v>3000</v>
      </c>
      <c r="I37" s="1771"/>
      <c r="J37" s="1771"/>
      <c r="K37" s="1772"/>
      <c r="L37" s="1772"/>
      <c r="M37" s="1762"/>
      <c r="N37" s="1742"/>
    </row>
    <row r="38" spans="1:14">
      <c r="A38" s="1751" t="s">
        <v>550</v>
      </c>
      <c r="B38" s="1751" t="s">
        <v>258</v>
      </c>
      <c r="C38" s="1736">
        <v>0</v>
      </c>
      <c r="D38" s="1736">
        <v>75000</v>
      </c>
      <c r="E38" s="1752">
        <v>75000</v>
      </c>
      <c r="F38" s="1740" t="b">
        <f t="shared" si="3"/>
        <v>0</v>
      </c>
      <c r="G38" s="1740">
        <f t="shared" si="4"/>
        <v>0</v>
      </c>
      <c r="H38" s="1740">
        <f t="shared" si="5"/>
        <v>75000</v>
      </c>
      <c r="I38" s="1771"/>
      <c r="J38" s="1771"/>
      <c r="K38" s="1772"/>
      <c r="L38" s="1772"/>
      <c r="M38" s="1762"/>
      <c r="N38" s="1756"/>
    </row>
    <row r="39" spans="1:14">
      <c r="A39" s="1750" t="s">
        <v>1427</v>
      </c>
      <c r="B39" s="1751" t="s">
        <v>547</v>
      </c>
      <c r="C39" s="1736">
        <v>0</v>
      </c>
      <c r="D39" s="1736">
        <v>175000</v>
      </c>
      <c r="E39" s="1752">
        <v>175000</v>
      </c>
      <c r="F39" s="1740" t="b">
        <f t="shared" si="3"/>
        <v>0</v>
      </c>
      <c r="G39" s="1740">
        <f t="shared" si="4"/>
        <v>0</v>
      </c>
      <c r="H39" s="1740">
        <f t="shared" si="5"/>
        <v>175000</v>
      </c>
      <c r="I39" s="1771"/>
      <c r="J39" s="1771"/>
      <c r="K39" s="1772"/>
      <c r="L39" s="1772"/>
      <c r="M39" s="1762"/>
      <c r="N39" s="1756"/>
    </row>
    <row r="40" spans="1:14">
      <c r="A40" s="1750" t="s">
        <v>1195</v>
      </c>
      <c r="B40" s="1751" t="s">
        <v>547</v>
      </c>
      <c r="C40" s="1736">
        <v>24000</v>
      </c>
      <c r="D40" s="1736">
        <v>36000</v>
      </c>
      <c r="E40" s="1752">
        <v>60000</v>
      </c>
      <c r="F40" s="1740" t="b">
        <f t="shared" si="3"/>
        <v>0</v>
      </c>
      <c r="G40" s="1740">
        <f t="shared" si="4"/>
        <v>24000</v>
      </c>
      <c r="H40" s="1740">
        <f t="shared" si="5"/>
        <v>36000</v>
      </c>
      <c r="I40" s="1771"/>
      <c r="J40" s="1771"/>
      <c r="K40" s="1772"/>
      <c r="L40" s="1772"/>
      <c r="M40" s="1762"/>
      <c r="N40" s="1756"/>
    </row>
    <row r="41" spans="1:14">
      <c r="A41" s="1750" t="s">
        <v>917</v>
      </c>
      <c r="B41" s="1751" t="s">
        <v>412</v>
      </c>
      <c r="C41" s="1736">
        <v>0</v>
      </c>
      <c r="D41" s="1736">
        <v>45000</v>
      </c>
      <c r="E41" s="1752">
        <v>45000</v>
      </c>
      <c r="F41" s="1740" t="b">
        <f t="shared" si="3"/>
        <v>0</v>
      </c>
      <c r="G41" s="1740">
        <f t="shared" si="4"/>
        <v>0</v>
      </c>
      <c r="H41" s="1740">
        <f t="shared" si="5"/>
        <v>45000</v>
      </c>
      <c r="I41" s="1771"/>
      <c r="J41" s="1771"/>
      <c r="K41" s="1772"/>
      <c r="L41" s="1772"/>
      <c r="M41" s="1762"/>
      <c r="N41" s="1742"/>
    </row>
    <row r="42" spans="1:14">
      <c r="A42" s="1750" t="s">
        <v>630</v>
      </c>
      <c r="B42" s="1751" t="s">
        <v>546</v>
      </c>
      <c r="C42" s="1736">
        <v>2000</v>
      </c>
      <c r="D42" s="1736">
        <v>140000</v>
      </c>
      <c r="E42" s="1752">
        <v>142000</v>
      </c>
      <c r="F42" s="1740" t="b">
        <f t="shared" si="3"/>
        <v>0</v>
      </c>
      <c r="G42" s="1740">
        <f t="shared" si="4"/>
        <v>2000</v>
      </c>
      <c r="H42" s="1740">
        <f t="shared" si="5"/>
        <v>140000</v>
      </c>
      <c r="I42" s="1771"/>
      <c r="J42" s="1771"/>
      <c r="K42" s="1772"/>
      <c r="L42" s="1772"/>
      <c r="M42" s="1762"/>
      <c r="N42" s="1756"/>
    </row>
    <row r="43" spans="1:14">
      <c r="A43" s="1750" t="s">
        <v>839</v>
      </c>
      <c r="B43" s="1751" t="s">
        <v>618</v>
      </c>
      <c r="C43" s="1736">
        <v>0</v>
      </c>
      <c r="D43" s="1736">
        <v>37500</v>
      </c>
      <c r="E43" s="1752">
        <v>37500</v>
      </c>
      <c r="F43" s="1740" t="b">
        <f t="shared" si="3"/>
        <v>0</v>
      </c>
      <c r="G43" s="1740">
        <f t="shared" si="4"/>
        <v>0</v>
      </c>
      <c r="H43" s="1740">
        <f t="shared" si="5"/>
        <v>37500</v>
      </c>
      <c r="I43" s="1771"/>
      <c r="J43" s="1771"/>
      <c r="K43" s="1772"/>
      <c r="L43" s="1772"/>
      <c r="M43" s="1762"/>
      <c r="N43" s="1756"/>
    </row>
    <row r="44" spans="1:14">
      <c r="A44" s="1751" t="s">
        <v>1138</v>
      </c>
      <c r="B44" s="1751" t="s">
        <v>618</v>
      </c>
      <c r="C44" s="1736">
        <v>68000</v>
      </c>
      <c r="D44" s="1736">
        <v>9000</v>
      </c>
      <c r="E44" s="1752">
        <v>77000</v>
      </c>
      <c r="F44" s="1740" t="b">
        <f t="shared" si="3"/>
        <v>0</v>
      </c>
      <c r="G44" s="1740">
        <f t="shared" si="4"/>
        <v>68000</v>
      </c>
      <c r="H44" s="1740">
        <f t="shared" si="5"/>
        <v>9000</v>
      </c>
      <c r="I44" s="1771"/>
      <c r="J44" s="1771"/>
      <c r="K44" s="1772"/>
      <c r="L44" s="1772"/>
      <c r="M44" s="1762"/>
      <c r="N44" s="1756"/>
    </row>
    <row r="45" spans="1:14">
      <c r="A45" s="1750" t="s">
        <v>1148</v>
      </c>
      <c r="B45" s="1751" t="s">
        <v>264</v>
      </c>
      <c r="C45" s="1736">
        <v>0</v>
      </c>
      <c r="D45" s="1736">
        <v>4000</v>
      </c>
      <c r="E45" s="1752">
        <v>4000</v>
      </c>
      <c r="F45" s="1740" t="b">
        <f t="shared" si="3"/>
        <v>0</v>
      </c>
      <c r="G45" s="1740">
        <f t="shared" si="4"/>
        <v>0</v>
      </c>
      <c r="H45" s="1740">
        <f t="shared" si="5"/>
        <v>4000</v>
      </c>
      <c r="I45" s="1771"/>
      <c r="J45" s="1771"/>
      <c r="K45" s="1772"/>
      <c r="L45" s="1772"/>
      <c r="M45" s="1762"/>
      <c r="N45" s="1756"/>
    </row>
    <row r="46" spans="1:14">
      <c r="A46" s="1750" t="s">
        <v>541</v>
      </c>
      <c r="B46" s="1751" t="s">
        <v>264</v>
      </c>
      <c r="C46" s="1736">
        <v>0</v>
      </c>
      <c r="D46" s="1736">
        <v>5000</v>
      </c>
      <c r="E46" s="1752">
        <v>5000</v>
      </c>
      <c r="F46" s="1740" t="b">
        <f t="shared" si="3"/>
        <v>0</v>
      </c>
      <c r="G46" s="1740">
        <f t="shared" si="4"/>
        <v>0</v>
      </c>
      <c r="H46" s="1740">
        <f t="shared" si="5"/>
        <v>5000</v>
      </c>
      <c r="I46" s="1771"/>
      <c r="J46" s="1771"/>
      <c r="K46" s="1772"/>
      <c r="L46" s="1772"/>
      <c r="M46" s="1762"/>
      <c r="N46" s="1742"/>
    </row>
    <row r="47" spans="1:14">
      <c r="A47" s="1750" t="s">
        <v>541</v>
      </c>
      <c r="B47" s="1751" t="s">
        <v>412</v>
      </c>
      <c r="C47" s="1736">
        <v>0</v>
      </c>
      <c r="D47" s="1736">
        <v>5000</v>
      </c>
      <c r="E47" s="1752">
        <v>5000</v>
      </c>
      <c r="F47" s="1740" t="b">
        <f t="shared" si="3"/>
        <v>0</v>
      </c>
      <c r="G47" s="1740">
        <f t="shared" si="4"/>
        <v>0</v>
      </c>
      <c r="H47" s="1740">
        <f t="shared" si="5"/>
        <v>5000</v>
      </c>
      <c r="I47" s="1771"/>
      <c r="J47" s="1771"/>
      <c r="K47" s="1772"/>
      <c r="L47" s="1772"/>
      <c r="M47" s="1762"/>
      <c r="N47" s="1756"/>
    </row>
    <row r="48" spans="1:14">
      <c r="A48" s="1750" t="s">
        <v>1831</v>
      </c>
      <c r="B48" s="1751" t="s">
        <v>546</v>
      </c>
      <c r="C48" s="1736">
        <v>0</v>
      </c>
      <c r="D48" s="1736">
        <v>50000</v>
      </c>
      <c r="E48" s="1752">
        <v>50000</v>
      </c>
      <c r="F48" s="1740" t="b">
        <f t="shared" si="3"/>
        <v>0</v>
      </c>
      <c r="G48" s="1740">
        <f t="shared" si="4"/>
        <v>0</v>
      </c>
      <c r="H48" s="1740">
        <f t="shared" si="5"/>
        <v>50000</v>
      </c>
      <c r="I48" s="1771"/>
      <c r="J48" s="1771"/>
      <c r="K48" s="1772"/>
      <c r="L48" s="1772"/>
      <c r="M48" s="1762"/>
      <c r="N48" s="1756"/>
    </row>
    <row r="49" spans="1:14">
      <c r="A49" s="1750" t="s">
        <v>1327</v>
      </c>
      <c r="B49" s="1751" t="s">
        <v>412</v>
      </c>
      <c r="C49" s="1736">
        <v>0</v>
      </c>
      <c r="D49" s="1736">
        <v>15000</v>
      </c>
      <c r="E49" s="1752">
        <v>15000</v>
      </c>
      <c r="F49" s="1740" t="b">
        <f t="shared" si="3"/>
        <v>0</v>
      </c>
      <c r="G49" s="1740">
        <f t="shared" si="4"/>
        <v>0</v>
      </c>
      <c r="H49" s="1740">
        <f t="shared" si="5"/>
        <v>15000</v>
      </c>
      <c r="I49" s="1771"/>
      <c r="J49" s="1771"/>
      <c r="K49" s="1772"/>
      <c r="L49" s="1772"/>
      <c r="M49" s="1762"/>
      <c r="N49" s="1742"/>
    </row>
    <row r="50" spans="1:14">
      <c r="A50" s="1750" t="s">
        <v>995</v>
      </c>
      <c r="B50" s="1751" t="s">
        <v>258</v>
      </c>
      <c r="C50" s="1736">
        <v>16500</v>
      </c>
      <c r="D50" s="1736">
        <v>43500</v>
      </c>
      <c r="E50" s="1752">
        <v>60000</v>
      </c>
      <c r="F50" s="1740" t="b">
        <f t="shared" si="3"/>
        <v>0</v>
      </c>
      <c r="G50" s="1740">
        <f t="shared" si="4"/>
        <v>16500</v>
      </c>
      <c r="H50" s="1740">
        <f t="shared" si="5"/>
        <v>43500</v>
      </c>
      <c r="I50" s="1771"/>
      <c r="J50" s="1771"/>
      <c r="K50" s="1772"/>
      <c r="L50" s="1772"/>
      <c r="M50" s="1762"/>
      <c r="N50" s="1742"/>
    </row>
    <row r="51" spans="1:14">
      <c r="A51" s="1751" t="s">
        <v>1622</v>
      </c>
      <c r="B51" s="1751" t="s">
        <v>546</v>
      </c>
      <c r="C51" s="1736">
        <v>45000</v>
      </c>
      <c r="D51" s="1736">
        <v>45000</v>
      </c>
      <c r="E51" s="1752">
        <v>90000</v>
      </c>
      <c r="F51" s="1740" t="b">
        <f t="shared" si="3"/>
        <v>0</v>
      </c>
      <c r="G51" s="1740">
        <f t="shared" si="4"/>
        <v>45000</v>
      </c>
      <c r="H51" s="1740">
        <f t="shared" si="5"/>
        <v>45000</v>
      </c>
      <c r="I51" s="1771"/>
      <c r="J51" s="1771"/>
      <c r="K51" s="1772"/>
      <c r="L51" s="1772"/>
      <c r="M51" s="1762"/>
      <c r="N51" s="1742"/>
    </row>
    <row r="52" spans="1:14">
      <c r="A52" s="1751" t="s">
        <v>1134</v>
      </c>
      <c r="B52" s="1757" t="s">
        <v>547</v>
      </c>
      <c r="C52" s="1736">
        <v>0</v>
      </c>
      <c r="D52" s="1736">
        <v>30000</v>
      </c>
      <c r="E52" s="1752">
        <v>30000</v>
      </c>
      <c r="F52" s="1740" t="b">
        <f t="shared" si="3"/>
        <v>0</v>
      </c>
      <c r="G52" s="1740">
        <f t="shared" si="4"/>
        <v>0</v>
      </c>
      <c r="H52" s="1740">
        <f t="shared" si="5"/>
        <v>30000</v>
      </c>
      <c r="I52" s="1773"/>
      <c r="J52" s="1773"/>
      <c r="K52" s="1774"/>
      <c r="L52" s="1774"/>
      <c r="M52" s="1762"/>
      <c r="N52" s="1742"/>
    </row>
    <row r="53" spans="1:14">
      <c r="A53" s="1750" t="s">
        <v>716</v>
      </c>
      <c r="B53" s="1751" t="s">
        <v>546</v>
      </c>
      <c r="C53" s="1736">
        <v>1000</v>
      </c>
      <c r="D53" s="1736">
        <v>250000</v>
      </c>
      <c r="E53" s="1752">
        <v>251000</v>
      </c>
      <c r="F53" s="1740" t="b">
        <f t="shared" si="3"/>
        <v>0</v>
      </c>
      <c r="G53" s="1740">
        <f t="shared" si="4"/>
        <v>1000</v>
      </c>
      <c r="H53" s="1740">
        <f t="shared" si="5"/>
        <v>250000</v>
      </c>
      <c r="I53" s="1771"/>
      <c r="J53" s="1771"/>
      <c r="K53" s="1772"/>
      <c r="L53" s="1772"/>
      <c r="M53" s="1762"/>
      <c r="N53" s="1742"/>
    </row>
    <row r="54" spans="1:14">
      <c r="A54" s="1750" t="s">
        <v>717</v>
      </c>
      <c r="B54" s="1751" t="s">
        <v>618</v>
      </c>
      <c r="C54" s="1736">
        <v>0</v>
      </c>
      <c r="D54" s="1736">
        <v>22500</v>
      </c>
      <c r="E54" s="1752">
        <v>22500</v>
      </c>
      <c r="F54" s="1740" t="b">
        <f t="shared" si="3"/>
        <v>0</v>
      </c>
      <c r="G54" s="1740">
        <f t="shared" si="4"/>
        <v>0</v>
      </c>
      <c r="H54" s="1740">
        <f t="shared" si="5"/>
        <v>22500</v>
      </c>
      <c r="I54" s="1771"/>
      <c r="J54" s="1771"/>
      <c r="K54" s="1772"/>
      <c r="L54" s="1772"/>
      <c r="M54" s="1762"/>
      <c r="N54" s="1742"/>
    </row>
    <row r="55" spans="1:14">
      <c r="A55" s="1750" t="s">
        <v>1305</v>
      </c>
      <c r="B55" s="1751" t="s">
        <v>618</v>
      </c>
      <c r="C55" s="1736">
        <v>1</v>
      </c>
      <c r="D55" s="1736">
        <v>39999</v>
      </c>
      <c r="E55" s="1752">
        <v>40000</v>
      </c>
      <c r="F55" s="1740" t="b">
        <f t="shared" si="3"/>
        <v>0</v>
      </c>
      <c r="G55" s="1740">
        <f t="shared" si="4"/>
        <v>1</v>
      </c>
      <c r="H55" s="1740">
        <f t="shared" si="5"/>
        <v>39999</v>
      </c>
      <c r="I55" s="1771"/>
      <c r="J55" s="1771"/>
      <c r="K55" s="1772"/>
      <c r="L55" s="1772"/>
      <c r="M55" s="1762"/>
      <c r="N55" s="1742"/>
    </row>
    <row r="56" spans="1:14">
      <c r="A56" s="1750" t="s">
        <v>1196</v>
      </c>
      <c r="B56" s="1751" t="s">
        <v>547</v>
      </c>
      <c r="C56" s="1736">
        <v>0</v>
      </c>
      <c r="D56" s="1736">
        <v>80000</v>
      </c>
      <c r="E56" s="1752">
        <v>80000</v>
      </c>
      <c r="F56" s="1740" t="b">
        <f t="shared" si="3"/>
        <v>0</v>
      </c>
      <c r="G56" s="1740">
        <f t="shared" si="4"/>
        <v>0</v>
      </c>
      <c r="H56" s="1740">
        <f t="shared" si="5"/>
        <v>80000</v>
      </c>
      <c r="I56" s="1771"/>
      <c r="J56" s="1771"/>
      <c r="K56" s="1772"/>
      <c r="L56" s="1772"/>
      <c r="M56" s="1762"/>
      <c r="N56" s="1742"/>
    </row>
    <row r="57" spans="1:14">
      <c r="A57" s="1750" t="s">
        <v>1027</v>
      </c>
      <c r="B57" s="1751" t="s">
        <v>618</v>
      </c>
      <c r="C57" s="1736">
        <v>29750</v>
      </c>
      <c r="D57" s="1736">
        <v>150250</v>
      </c>
      <c r="E57" s="1752">
        <v>180000</v>
      </c>
      <c r="F57" s="1740" t="b">
        <f t="shared" si="3"/>
        <v>0</v>
      </c>
      <c r="G57" s="1740">
        <f t="shared" si="4"/>
        <v>29750</v>
      </c>
      <c r="H57" s="1740">
        <f t="shared" si="5"/>
        <v>150250</v>
      </c>
      <c r="I57" s="1771"/>
      <c r="J57" s="1771"/>
      <c r="K57" s="1772"/>
      <c r="L57" s="1772"/>
      <c r="M57" s="1762"/>
      <c r="N57" s="1742"/>
    </row>
    <row r="58" spans="1:14">
      <c r="A58" s="1750" t="s">
        <v>1329</v>
      </c>
      <c r="B58" s="1751" t="s">
        <v>546</v>
      </c>
      <c r="C58" s="1736">
        <v>51000</v>
      </c>
      <c r="D58" s="1736">
        <v>37500</v>
      </c>
      <c r="E58" s="1752">
        <v>88500</v>
      </c>
      <c r="F58" s="1740" t="b">
        <f t="shared" si="3"/>
        <v>0</v>
      </c>
      <c r="G58" s="1740">
        <f t="shared" si="4"/>
        <v>51000</v>
      </c>
      <c r="H58" s="1740">
        <f t="shared" si="5"/>
        <v>37500</v>
      </c>
      <c r="I58" s="1771"/>
      <c r="J58" s="1771"/>
      <c r="K58" s="1772"/>
      <c r="L58" s="1772"/>
      <c r="M58" s="1762"/>
      <c r="N58" s="1742"/>
    </row>
    <row r="59" spans="1:14">
      <c r="A59" s="1750" t="s">
        <v>1313</v>
      </c>
      <c r="B59" s="1751" t="s">
        <v>618</v>
      </c>
      <c r="C59" s="1736">
        <v>0</v>
      </c>
      <c r="D59" s="1736">
        <v>125000</v>
      </c>
      <c r="E59" s="1752">
        <v>125000</v>
      </c>
      <c r="F59" s="1740" t="b">
        <f t="shared" si="3"/>
        <v>0</v>
      </c>
      <c r="G59" s="1740">
        <f t="shared" si="4"/>
        <v>0</v>
      </c>
      <c r="H59" s="1740">
        <f t="shared" si="5"/>
        <v>125000</v>
      </c>
      <c r="I59" s="1771"/>
      <c r="J59" s="1771"/>
      <c r="K59" s="1772"/>
      <c r="L59" s="1772"/>
      <c r="M59" s="1762"/>
      <c r="N59" s="1742"/>
    </row>
    <row r="60" spans="1:14">
      <c r="A60" s="1750" t="s">
        <v>1623</v>
      </c>
      <c r="B60" s="1751" t="s">
        <v>618</v>
      </c>
      <c r="C60" s="1736">
        <v>80000</v>
      </c>
      <c r="D60" s="1736">
        <v>115000</v>
      </c>
      <c r="E60" s="1752">
        <v>195000</v>
      </c>
      <c r="F60" s="1740" t="b">
        <f t="shared" si="3"/>
        <v>0</v>
      </c>
      <c r="G60" s="1740">
        <f t="shared" si="4"/>
        <v>80000</v>
      </c>
      <c r="H60" s="1740">
        <f t="shared" si="5"/>
        <v>115000</v>
      </c>
      <c r="I60" s="1771"/>
      <c r="J60" s="1771"/>
      <c r="K60" s="1772"/>
      <c r="L60" s="1772"/>
      <c r="M60" s="1762"/>
      <c r="N60" s="1742"/>
    </row>
    <row r="61" spans="1:14">
      <c r="A61" s="1750" t="s">
        <v>1198</v>
      </c>
      <c r="B61" s="1751" t="s">
        <v>547</v>
      </c>
      <c r="C61" s="1736">
        <v>0</v>
      </c>
      <c r="D61" s="1736">
        <v>40000</v>
      </c>
      <c r="E61" s="1752">
        <v>40000</v>
      </c>
      <c r="F61" s="1740" t="b">
        <f t="shared" si="3"/>
        <v>0</v>
      </c>
      <c r="G61" s="1740">
        <f t="shared" si="4"/>
        <v>0</v>
      </c>
      <c r="H61" s="1740">
        <f t="shared" si="5"/>
        <v>40000</v>
      </c>
      <c r="I61" s="1771"/>
      <c r="J61" s="1771"/>
      <c r="K61" s="1772"/>
      <c r="L61" s="1772"/>
      <c r="M61" s="1762"/>
      <c r="N61" s="1742"/>
    </row>
    <row r="62" spans="1:14">
      <c r="A62" s="1750" t="s">
        <v>1197</v>
      </c>
      <c r="B62" s="1751" t="s">
        <v>412</v>
      </c>
      <c r="C62" s="1736">
        <v>25000</v>
      </c>
      <c r="D62" s="1736">
        <v>28000</v>
      </c>
      <c r="E62" s="1752">
        <v>53000</v>
      </c>
      <c r="F62" s="1740" t="b">
        <f t="shared" si="3"/>
        <v>0</v>
      </c>
      <c r="G62" s="1740">
        <f t="shared" si="4"/>
        <v>25000</v>
      </c>
      <c r="H62" s="1740">
        <f t="shared" si="5"/>
        <v>28000</v>
      </c>
      <c r="I62" s="1771"/>
      <c r="J62" s="1771"/>
      <c r="K62" s="1772"/>
      <c r="L62" s="1772"/>
      <c r="M62" s="1762"/>
      <c r="N62" s="1742"/>
    </row>
    <row r="63" spans="1:14">
      <c r="A63" s="1759" t="s">
        <v>724</v>
      </c>
      <c r="B63" s="1760" t="s">
        <v>412</v>
      </c>
      <c r="C63" s="1736">
        <v>70000</v>
      </c>
      <c r="D63" s="1736">
        <v>40000</v>
      </c>
      <c r="E63" s="1752">
        <v>110000</v>
      </c>
      <c r="F63" s="1740" t="b">
        <f t="shared" si="3"/>
        <v>0</v>
      </c>
      <c r="G63" s="1740">
        <f t="shared" si="4"/>
        <v>70000</v>
      </c>
      <c r="H63" s="1740">
        <f t="shared" si="5"/>
        <v>40000</v>
      </c>
      <c r="I63" s="1771"/>
      <c r="J63" s="1773"/>
      <c r="K63" s="1774"/>
      <c r="L63" s="1774"/>
      <c r="M63" s="1762"/>
      <c r="N63" s="1742"/>
    </row>
    <row r="64" spans="1:14">
      <c r="A64" s="1750" t="s">
        <v>1129</v>
      </c>
      <c r="B64" s="1751" t="s">
        <v>546</v>
      </c>
      <c r="C64" s="1736">
        <v>0</v>
      </c>
      <c r="D64" s="1736">
        <v>210500</v>
      </c>
      <c r="E64" s="1752">
        <v>210500</v>
      </c>
      <c r="F64" s="1740" t="b">
        <f t="shared" si="3"/>
        <v>0</v>
      </c>
      <c r="G64" s="1740">
        <f t="shared" si="4"/>
        <v>0</v>
      </c>
      <c r="H64" s="1740">
        <f t="shared" si="5"/>
        <v>210500</v>
      </c>
      <c r="I64" s="1771"/>
      <c r="J64" s="1771"/>
      <c r="K64" s="1772"/>
      <c r="L64" s="1772"/>
      <c r="M64" s="1762"/>
      <c r="N64" s="1742"/>
    </row>
    <row r="65" spans="1:14">
      <c r="A65" s="1750" t="s">
        <v>1140</v>
      </c>
      <c r="B65" s="1751" t="s">
        <v>264</v>
      </c>
      <c r="C65" s="1736">
        <v>0</v>
      </c>
      <c r="D65" s="1736">
        <v>6500</v>
      </c>
      <c r="E65" s="1752">
        <v>6500</v>
      </c>
      <c r="F65" s="1740" t="b">
        <f t="shared" si="3"/>
        <v>0</v>
      </c>
      <c r="G65" s="1740">
        <f t="shared" si="4"/>
        <v>0</v>
      </c>
      <c r="H65" s="1740">
        <f t="shared" si="5"/>
        <v>6500</v>
      </c>
      <c r="I65" s="1771"/>
      <c r="J65" s="1771"/>
      <c r="K65" s="1772"/>
      <c r="L65" s="1772"/>
      <c r="M65" s="1762"/>
      <c r="N65" s="1753"/>
    </row>
    <row r="66" spans="1:14">
      <c r="A66" s="1750" t="s">
        <v>1140</v>
      </c>
      <c r="B66" s="1751" t="s">
        <v>412</v>
      </c>
      <c r="C66" s="1736">
        <v>0</v>
      </c>
      <c r="D66" s="1736">
        <v>6500</v>
      </c>
      <c r="E66" s="1752">
        <v>6500</v>
      </c>
      <c r="F66" s="1740" t="b">
        <f t="shared" si="3"/>
        <v>0</v>
      </c>
      <c r="G66" s="1740">
        <f t="shared" si="4"/>
        <v>0</v>
      </c>
      <c r="H66" s="1740">
        <f t="shared" si="5"/>
        <v>6500</v>
      </c>
      <c r="I66" s="1771"/>
      <c r="J66" s="1771"/>
      <c r="K66" s="1772"/>
      <c r="L66" s="1772"/>
      <c r="M66" s="1762"/>
      <c r="N66" s="1753"/>
    </row>
    <row r="67" spans="1:14">
      <c r="A67" s="1750" t="s">
        <v>986</v>
      </c>
      <c r="B67" s="1751" t="s">
        <v>412</v>
      </c>
      <c r="C67" s="1736">
        <v>0</v>
      </c>
      <c r="D67" s="1736">
        <v>18000</v>
      </c>
      <c r="E67" s="1752">
        <v>18000</v>
      </c>
      <c r="F67" s="1740" t="b">
        <f t="shared" si="3"/>
        <v>0</v>
      </c>
      <c r="G67" s="1740">
        <f t="shared" si="4"/>
        <v>0</v>
      </c>
      <c r="H67" s="1740">
        <f t="shared" si="5"/>
        <v>18000</v>
      </c>
      <c r="I67" s="1771"/>
      <c r="J67" s="1771"/>
      <c r="K67" s="1772"/>
      <c r="L67" s="1772"/>
      <c r="M67" s="1762"/>
      <c r="N67" s="1754"/>
    </row>
    <row r="68" spans="1:14">
      <c r="A68" s="1750" t="s">
        <v>1029</v>
      </c>
      <c r="B68" s="1751" t="s">
        <v>264</v>
      </c>
      <c r="C68" s="1736">
        <v>0</v>
      </c>
      <c r="D68" s="1736">
        <v>0</v>
      </c>
      <c r="E68" s="1752">
        <v>0</v>
      </c>
      <c r="F68" s="1740" t="b">
        <f t="shared" ref="F68:F99" si="6">+A68=I68</f>
        <v>0</v>
      </c>
      <c r="G68" s="1740">
        <f t="shared" ref="G68:G99" si="7">C68-K68</f>
        <v>0</v>
      </c>
      <c r="H68" s="1740">
        <f t="shared" ref="H68:H99" si="8">D68-L68</f>
        <v>0</v>
      </c>
      <c r="I68" s="1771"/>
      <c r="J68" s="1771"/>
      <c r="K68" s="1772"/>
      <c r="L68" s="1772"/>
      <c r="M68" s="1762"/>
      <c r="N68" s="1753"/>
    </row>
    <row r="69" spans="1:14">
      <c r="A69" s="1750" t="s">
        <v>1199</v>
      </c>
      <c r="B69" s="1751" t="s">
        <v>264</v>
      </c>
      <c r="C69" s="1736">
        <v>0</v>
      </c>
      <c r="D69" s="1736">
        <v>5000</v>
      </c>
      <c r="E69" s="1752">
        <v>5000</v>
      </c>
      <c r="F69" s="1740" t="b">
        <f t="shared" si="6"/>
        <v>0</v>
      </c>
      <c r="G69" s="1740">
        <f t="shared" si="7"/>
        <v>0</v>
      </c>
      <c r="H69" s="1740">
        <f t="shared" si="8"/>
        <v>5000</v>
      </c>
      <c r="I69" s="1771"/>
      <c r="J69" s="1771"/>
      <c r="K69" s="1772"/>
      <c r="L69" s="1772"/>
      <c r="M69" s="1762"/>
      <c r="N69" s="1753"/>
    </row>
    <row r="70" spans="1:14">
      <c r="A70" s="1750" t="s">
        <v>679</v>
      </c>
      <c r="B70" s="1751" t="s">
        <v>618</v>
      </c>
      <c r="C70" s="1736">
        <v>0</v>
      </c>
      <c r="D70" s="1736">
        <v>125000</v>
      </c>
      <c r="E70" s="1752">
        <v>125000</v>
      </c>
      <c r="F70" s="1740" t="b">
        <f t="shared" si="6"/>
        <v>0</v>
      </c>
      <c r="G70" s="1740">
        <f t="shared" si="7"/>
        <v>0</v>
      </c>
      <c r="H70" s="1740">
        <f t="shared" si="8"/>
        <v>125000</v>
      </c>
      <c r="I70" s="1771"/>
      <c r="J70" s="1771"/>
      <c r="K70" s="1772"/>
      <c r="L70" s="1772"/>
      <c r="M70" s="1762"/>
      <c r="N70" s="1754"/>
    </row>
    <row r="71" spans="1:14">
      <c r="A71" s="1750" t="s">
        <v>1624</v>
      </c>
      <c r="B71" s="1751" t="s">
        <v>546</v>
      </c>
      <c r="C71" s="1736">
        <v>72600</v>
      </c>
      <c r="D71" s="1736">
        <v>132600</v>
      </c>
      <c r="E71" s="1758">
        <v>205200</v>
      </c>
      <c r="F71" s="1740" t="b">
        <f t="shared" si="6"/>
        <v>0</v>
      </c>
      <c r="G71" s="1740">
        <f t="shared" si="7"/>
        <v>72600</v>
      </c>
      <c r="H71" s="1740">
        <f t="shared" si="8"/>
        <v>132600</v>
      </c>
      <c r="I71" s="1771"/>
      <c r="J71" s="1771"/>
      <c r="K71" s="1772"/>
      <c r="L71" s="1772"/>
      <c r="M71" s="1762"/>
      <c r="N71" s="1753"/>
    </row>
    <row r="72" spans="1:14">
      <c r="A72" s="1750" t="s">
        <v>1135</v>
      </c>
      <c r="B72" s="1751" t="s">
        <v>618</v>
      </c>
      <c r="C72" s="1736">
        <v>2500</v>
      </c>
      <c r="D72" s="1736">
        <v>42500</v>
      </c>
      <c r="E72" s="1752">
        <v>45000</v>
      </c>
      <c r="F72" s="1740" t="b">
        <f t="shared" si="6"/>
        <v>0</v>
      </c>
      <c r="G72" s="1740">
        <f t="shared" si="7"/>
        <v>2500</v>
      </c>
      <c r="H72" s="1740">
        <f t="shared" si="8"/>
        <v>42500</v>
      </c>
      <c r="I72" s="1771"/>
      <c r="J72" s="1771"/>
      <c r="K72" s="1772"/>
      <c r="L72" s="1772"/>
      <c r="M72" s="1762"/>
      <c r="N72" s="1753"/>
    </row>
    <row r="73" spans="1:14">
      <c r="A73" s="1750" t="s">
        <v>1625</v>
      </c>
      <c r="B73" s="1751" t="s">
        <v>546</v>
      </c>
      <c r="C73" s="1736">
        <v>80000</v>
      </c>
      <c r="D73" s="1736">
        <v>60000</v>
      </c>
      <c r="E73" s="1752">
        <v>140000</v>
      </c>
      <c r="F73" s="1740" t="b">
        <f t="shared" si="6"/>
        <v>0</v>
      </c>
      <c r="G73" s="1740">
        <f t="shared" si="7"/>
        <v>80000</v>
      </c>
      <c r="H73" s="1740">
        <f t="shared" si="8"/>
        <v>60000</v>
      </c>
      <c r="I73" s="1771"/>
      <c r="J73" s="1771"/>
      <c r="K73" s="1772"/>
      <c r="L73" s="1772"/>
      <c r="M73" s="1762"/>
      <c r="N73" s="1753"/>
    </row>
    <row r="74" spans="1:14">
      <c r="A74" s="1759" t="s">
        <v>1008</v>
      </c>
      <c r="B74" s="1760" t="s">
        <v>258</v>
      </c>
      <c r="C74" s="1736">
        <v>16000</v>
      </c>
      <c r="D74" s="1736">
        <v>89000</v>
      </c>
      <c r="E74" s="1752">
        <v>105000</v>
      </c>
      <c r="F74" s="1740" t="b">
        <f t="shared" si="6"/>
        <v>0</v>
      </c>
      <c r="G74" s="1740">
        <f t="shared" si="7"/>
        <v>16000</v>
      </c>
      <c r="H74" s="1740">
        <f t="shared" si="8"/>
        <v>89000</v>
      </c>
      <c r="I74" s="1773"/>
      <c r="J74" s="1773"/>
      <c r="K74" s="1774"/>
      <c r="L74" s="1774"/>
      <c r="M74" s="1762"/>
      <c r="N74" s="1753"/>
    </row>
    <row r="75" spans="1:14">
      <c r="A75" s="1750" t="s">
        <v>1315</v>
      </c>
      <c r="B75" s="1751" t="s">
        <v>547</v>
      </c>
      <c r="C75" s="1736">
        <v>1500</v>
      </c>
      <c r="D75" s="1736">
        <v>148500</v>
      </c>
      <c r="E75" s="1752">
        <v>150000</v>
      </c>
      <c r="F75" s="1740" t="b">
        <f t="shared" si="6"/>
        <v>0</v>
      </c>
      <c r="G75" s="1740">
        <f t="shared" si="7"/>
        <v>1500</v>
      </c>
      <c r="H75" s="1740">
        <f t="shared" si="8"/>
        <v>148500</v>
      </c>
      <c r="I75" s="1771"/>
      <c r="J75" s="1771"/>
      <c r="K75" s="1772"/>
      <c r="L75" s="1772"/>
      <c r="M75" s="1762"/>
      <c r="N75" s="1742"/>
    </row>
    <row r="76" spans="1:14">
      <c r="A76" s="1750" t="s">
        <v>1000</v>
      </c>
      <c r="B76" s="1751" t="s">
        <v>412</v>
      </c>
      <c r="C76" s="1736">
        <v>0</v>
      </c>
      <c r="D76" s="1736">
        <v>37500</v>
      </c>
      <c r="E76" s="1752">
        <v>37500</v>
      </c>
      <c r="F76" s="1740" t="b">
        <f t="shared" si="6"/>
        <v>0</v>
      </c>
      <c r="G76" s="1740">
        <f t="shared" si="7"/>
        <v>0</v>
      </c>
      <c r="H76" s="1740">
        <f t="shared" si="8"/>
        <v>37500</v>
      </c>
      <c r="I76" s="1771"/>
      <c r="J76" s="1771"/>
      <c r="K76" s="1772"/>
      <c r="L76" s="1772"/>
      <c r="M76" s="1762"/>
    </row>
    <row r="77" spans="1:14">
      <c r="A77" s="1750" t="s">
        <v>634</v>
      </c>
      <c r="B77" s="1751" t="s">
        <v>618</v>
      </c>
      <c r="C77" s="1736">
        <v>0</v>
      </c>
      <c r="D77" s="1736">
        <v>125000</v>
      </c>
      <c r="E77" s="1752">
        <v>125000</v>
      </c>
      <c r="F77" s="1740" t="b">
        <f t="shared" si="6"/>
        <v>0</v>
      </c>
      <c r="G77" s="1740">
        <f t="shared" si="7"/>
        <v>0</v>
      </c>
      <c r="H77" s="1740">
        <f t="shared" si="8"/>
        <v>125000</v>
      </c>
      <c r="I77" s="1771"/>
      <c r="J77" s="1771"/>
      <c r="K77" s="1772"/>
      <c r="L77" s="1772"/>
      <c r="M77" s="1762"/>
    </row>
    <row r="78" spans="1:14">
      <c r="A78" s="1750" t="s">
        <v>1200</v>
      </c>
      <c r="B78" s="1751" t="s">
        <v>264</v>
      </c>
      <c r="C78" s="1736">
        <v>0</v>
      </c>
      <c r="D78" s="1736">
        <v>4966</v>
      </c>
      <c r="E78" s="1752">
        <v>4966</v>
      </c>
      <c r="F78" s="1740" t="b">
        <f t="shared" si="6"/>
        <v>0</v>
      </c>
      <c r="G78" s="1740">
        <f t="shared" si="7"/>
        <v>0</v>
      </c>
      <c r="H78" s="1740">
        <f t="shared" si="8"/>
        <v>4966</v>
      </c>
      <c r="I78" s="1771"/>
      <c r="J78" s="1771"/>
      <c r="K78" s="1772"/>
      <c r="L78" s="1772"/>
      <c r="M78" s="1762"/>
    </row>
    <row r="79" spans="1:14">
      <c r="A79" s="1750" t="s">
        <v>1307</v>
      </c>
      <c r="B79" s="1751" t="s">
        <v>618</v>
      </c>
      <c r="C79" s="1736">
        <v>0</v>
      </c>
      <c r="D79" s="1736">
        <v>55000</v>
      </c>
      <c r="E79" s="1752">
        <v>55000</v>
      </c>
      <c r="F79" s="1740" t="b">
        <f t="shared" si="6"/>
        <v>0</v>
      </c>
      <c r="G79" s="1740">
        <f t="shared" si="7"/>
        <v>0</v>
      </c>
      <c r="H79" s="1740">
        <f t="shared" si="8"/>
        <v>55000</v>
      </c>
      <c r="I79" s="1771"/>
      <c r="J79" s="1771"/>
      <c r="K79" s="1772"/>
      <c r="L79" s="1772"/>
      <c r="M79" s="1762"/>
    </row>
    <row r="80" spans="1:14">
      <c r="A80" s="1750" t="s">
        <v>1010</v>
      </c>
      <c r="B80" s="1751" t="s">
        <v>547</v>
      </c>
      <c r="C80" s="1736">
        <v>0</v>
      </c>
      <c r="D80" s="1736">
        <v>45000</v>
      </c>
      <c r="E80" s="1752">
        <v>45000</v>
      </c>
      <c r="F80" s="1740" t="b">
        <f t="shared" si="6"/>
        <v>0</v>
      </c>
      <c r="G80" s="1740">
        <f t="shared" si="7"/>
        <v>0</v>
      </c>
      <c r="H80" s="1740">
        <f t="shared" si="8"/>
        <v>45000</v>
      </c>
      <c r="I80" s="1771"/>
      <c r="J80" s="1771"/>
      <c r="K80" s="1772"/>
      <c r="L80" s="1772"/>
      <c r="M80" s="1762"/>
    </row>
    <row r="81" spans="1:13">
      <c r="A81" s="1750" t="s">
        <v>680</v>
      </c>
      <c r="B81" s="1751" t="s">
        <v>547</v>
      </c>
      <c r="C81" s="1736">
        <v>0</v>
      </c>
      <c r="D81" s="1736">
        <v>48000</v>
      </c>
      <c r="E81" s="1752">
        <v>48000</v>
      </c>
      <c r="F81" s="1740" t="b">
        <f t="shared" si="6"/>
        <v>0</v>
      </c>
      <c r="G81" s="1740">
        <f t="shared" si="7"/>
        <v>0</v>
      </c>
      <c r="H81" s="1740">
        <f t="shared" si="8"/>
        <v>48000</v>
      </c>
      <c r="I81" s="1771"/>
      <c r="J81" s="1771"/>
      <c r="K81" s="1772"/>
      <c r="L81" s="1772"/>
      <c r="M81" s="1762"/>
    </row>
    <row r="82" spans="1:13">
      <c r="A82" s="1750" t="s">
        <v>1201</v>
      </c>
      <c r="B82" s="1751" t="s">
        <v>546</v>
      </c>
      <c r="C82" s="1736">
        <v>11000</v>
      </c>
      <c r="D82" s="1736">
        <v>79000</v>
      </c>
      <c r="E82" s="1752">
        <v>90000</v>
      </c>
      <c r="F82" s="1740" t="b">
        <f t="shared" si="6"/>
        <v>0</v>
      </c>
      <c r="G82" s="1740">
        <f t="shared" si="7"/>
        <v>11000</v>
      </c>
      <c r="H82" s="1740">
        <f t="shared" si="8"/>
        <v>79000</v>
      </c>
      <c r="I82" s="1771"/>
      <c r="J82" s="1771"/>
      <c r="K82" s="1772"/>
      <c r="L82" s="1772"/>
      <c r="M82" s="1762"/>
    </row>
    <row r="83" spans="1:13">
      <c r="A83" s="1750" t="s">
        <v>1627</v>
      </c>
      <c r="B83" s="1751" t="s">
        <v>618</v>
      </c>
      <c r="C83" s="1736">
        <v>65000</v>
      </c>
      <c r="D83" s="1736">
        <v>10000</v>
      </c>
      <c r="E83" s="1752">
        <v>75000</v>
      </c>
      <c r="F83" s="1740" t="b">
        <f t="shared" si="6"/>
        <v>0</v>
      </c>
      <c r="G83" s="1740">
        <f t="shared" si="7"/>
        <v>65000</v>
      </c>
      <c r="H83" s="1740">
        <f t="shared" si="8"/>
        <v>10000</v>
      </c>
      <c r="I83" s="1771"/>
      <c r="J83" s="1771"/>
      <c r="K83" s="1772"/>
      <c r="L83" s="1772"/>
      <c r="M83" s="1762"/>
    </row>
    <row r="84" spans="1:13">
      <c r="A84" s="1750" t="s">
        <v>707</v>
      </c>
      <c r="B84" s="1751" t="s">
        <v>618</v>
      </c>
      <c r="C84" s="1736">
        <v>10000</v>
      </c>
      <c r="D84" s="1736">
        <v>36500</v>
      </c>
      <c r="E84" s="1752">
        <v>46500</v>
      </c>
      <c r="F84" s="1740" t="b">
        <f t="shared" si="6"/>
        <v>0</v>
      </c>
      <c r="G84" s="1740">
        <f t="shared" si="7"/>
        <v>10000</v>
      </c>
      <c r="H84" s="1740">
        <f t="shared" si="8"/>
        <v>36500</v>
      </c>
      <c r="I84" s="1771"/>
      <c r="J84" s="1771"/>
      <c r="K84" s="1772"/>
      <c r="L84" s="1772"/>
      <c r="M84" s="1762"/>
    </row>
    <row r="85" spans="1:13">
      <c r="A85" s="1750" t="s">
        <v>1402</v>
      </c>
      <c r="B85" s="1751" t="s">
        <v>258</v>
      </c>
      <c r="C85" s="1736">
        <v>0</v>
      </c>
      <c r="D85" s="1736">
        <v>90000</v>
      </c>
      <c r="E85" s="1752">
        <v>90000</v>
      </c>
      <c r="F85" s="1740" t="b">
        <f t="shared" si="6"/>
        <v>0</v>
      </c>
      <c r="G85" s="1740">
        <f t="shared" si="7"/>
        <v>0</v>
      </c>
      <c r="H85" s="1740">
        <f t="shared" si="8"/>
        <v>90000</v>
      </c>
      <c r="I85" s="1771"/>
      <c r="J85" s="1771"/>
      <c r="K85" s="1772"/>
      <c r="L85" s="1772"/>
      <c r="M85" s="1762"/>
    </row>
    <row r="86" spans="1:13">
      <c r="A86" s="1750" t="s">
        <v>696</v>
      </c>
      <c r="B86" s="1751" t="s">
        <v>547</v>
      </c>
      <c r="C86" s="1736">
        <v>0</v>
      </c>
      <c r="D86" s="1736">
        <v>25000</v>
      </c>
      <c r="E86" s="1752">
        <v>25000</v>
      </c>
      <c r="F86" s="1740" t="b">
        <f t="shared" si="6"/>
        <v>0</v>
      </c>
      <c r="G86" s="1740">
        <f t="shared" si="7"/>
        <v>0</v>
      </c>
      <c r="H86" s="1740">
        <f t="shared" si="8"/>
        <v>25000</v>
      </c>
      <c r="I86" s="1771"/>
      <c r="J86" s="1771"/>
      <c r="K86" s="1772"/>
      <c r="L86" s="1772"/>
      <c r="M86" s="1762"/>
    </row>
    <row r="87" spans="1:13">
      <c r="A87" s="1750" t="s">
        <v>1015</v>
      </c>
      <c r="B87" s="1751" t="s">
        <v>547</v>
      </c>
      <c r="C87" s="1736">
        <v>0</v>
      </c>
      <c r="D87" s="1736">
        <v>120000</v>
      </c>
      <c r="E87" s="1752">
        <v>120000</v>
      </c>
      <c r="F87" s="1740" t="b">
        <f t="shared" si="6"/>
        <v>0</v>
      </c>
      <c r="G87" s="1740">
        <f t="shared" si="7"/>
        <v>0</v>
      </c>
      <c r="H87" s="1740">
        <f t="shared" si="8"/>
        <v>120000</v>
      </c>
      <c r="I87" s="1771"/>
      <c r="J87" s="1771"/>
      <c r="K87" s="1772"/>
      <c r="L87" s="1772"/>
      <c r="M87" s="1762"/>
    </row>
    <row r="88" spans="1:13">
      <c r="A88" s="1750" t="s">
        <v>1628</v>
      </c>
      <c r="B88" s="1751" t="s">
        <v>258</v>
      </c>
      <c r="C88" s="1736">
        <v>0</v>
      </c>
      <c r="D88" s="1736">
        <v>125000</v>
      </c>
      <c r="E88" s="1752">
        <v>125000</v>
      </c>
      <c r="F88" s="1740" t="b">
        <f t="shared" si="6"/>
        <v>0</v>
      </c>
      <c r="G88" s="1740">
        <f t="shared" si="7"/>
        <v>0</v>
      </c>
      <c r="H88" s="1740">
        <f t="shared" si="8"/>
        <v>125000</v>
      </c>
      <c r="I88" s="1775"/>
      <c r="J88" s="1771"/>
      <c r="K88" s="1772"/>
      <c r="L88" s="1772"/>
      <c r="M88" s="1762"/>
    </row>
    <row r="89" spans="1:13">
      <c r="A89" s="1750" t="s">
        <v>1628</v>
      </c>
      <c r="B89" s="1751" t="s">
        <v>412</v>
      </c>
      <c r="C89" s="1736">
        <v>0</v>
      </c>
      <c r="D89" s="1736">
        <v>125000</v>
      </c>
      <c r="E89" s="1752">
        <v>125000</v>
      </c>
      <c r="F89" s="1740" t="b">
        <f t="shared" si="6"/>
        <v>0</v>
      </c>
      <c r="G89" s="1740">
        <f t="shared" si="7"/>
        <v>0</v>
      </c>
      <c r="H89" s="1740">
        <f t="shared" si="8"/>
        <v>125000</v>
      </c>
      <c r="I89" s="1771"/>
      <c r="J89" s="1771"/>
      <c r="K89" s="1772"/>
      <c r="L89" s="1772"/>
      <c r="M89" s="1762"/>
    </row>
    <row r="90" spans="1:13">
      <c r="A90" s="1750" t="s">
        <v>1309</v>
      </c>
      <c r="B90" s="1751" t="s">
        <v>547</v>
      </c>
      <c r="C90" s="1736">
        <v>0</v>
      </c>
      <c r="D90" s="1736">
        <v>130000</v>
      </c>
      <c r="E90" s="1752">
        <v>130000</v>
      </c>
      <c r="F90" s="1740" t="b">
        <f t="shared" si="6"/>
        <v>0</v>
      </c>
      <c r="G90" s="1740">
        <f t="shared" si="7"/>
        <v>0</v>
      </c>
      <c r="H90" s="1740">
        <f t="shared" si="8"/>
        <v>130000</v>
      </c>
      <c r="I90" s="1771"/>
      <c r="J90" s="1771"/>
      <c r="K90" s="1772"/>
      <c r="L90" s="1772"/>
      <c r="M90" s="1762"/>
    </row>
    <row r="91" spans="1:13">
      <c r="A91" s="1751" t="s">
        <v>1322</v>
      </c>
      <c r="B91" s="1751" t="s">
        <v>264</v>
      </c>
      <c r="C91" s="1736">
        <v>0</v>
      </c>
      <c r="D91" s="1736">
        <v>3750</v>
      </c>
      <c r="E91" s="1752">
        <v>3750</v>
      </c>
      <c r="F91" s="1740" t="b">
        <f t="shared" si="6"/>
        <v>0</v>
      </c>
      <c r="G91" s="1740">
        <f t="shared" si="7"/>
        <v>0</v>
      </c>
      <c r="H91" s="1740">
        <f t="shared" si="8"/>
        <v>3750</v>
      </c>
      <c r="I91" s="1771"/>
      <c r="J91" s="1771"/>
      <c r="K91" s="1772"/>
      <c r="L91" s="1772"/>
      <c r="M91" s="1762"/>
    </row>
    <row r="92" spans="1:13">
      <c r="A92" s="1750" t="s">
        <v>961</v>
      </c>
      <c r="B92" s="1751" t="s">
        <v>618</v>
      </c>
      <c r="C92" s="1736">
        <v>0</v>
      </c>
      <c r="D92" s="1736">
        <v>60000</v>
      </c>
      <c r="E92" s="1752">
        <v>60000</v>
      </c>
      <c r="F92" s="1740" t="b">
        <f t="shared" si="6"/>
        <v>0</v>
      </c>
      <c r="G92" s="1740">
        <f t="shared" si="7"/>
        <v>0</v>
      </c>
      <c r="H92" s="1740">
        <f t="shared" si="8"/>
        <v>60000</v>
      </c>
      <c r="I92" s="1771"/>
      <c r="J92" s="1771"/>
      <c r="K92" s="1772"/>
      <c r="L92" s="1772"/>
      <c r="M92" s="1762"/>
    </row>
    <row r="93" spans="1:13">
      <c r="A93" s="1750" t="s">
        <v>553</v>
      </c>
      <c r="B93" s="1751" t="s">
        <v>618</v>
      </c>
      <c r="C93" s="1736">
        <v>0</v>
      </c>
      <c r="D93" s="1736">
        <v>50000</v>
      </c>
      <c r="E93" s="1752">
        <v>50000</v>
      </c>
      <c r="F93" s="1740" t="b">
        <f t="shared" si="6"/>
        <v>0</v>
      </c>
      <c r="G93" s="1740">
        <f t="shared" si="7"/>
        <v>0</v>
      </c>
      <c r="H93" s="1740">
        <f t="shared" si="8"/>
        <v>50000</v>
      </c>
      <c r="I93" s="1771"/>
      <c r="J93" s="1771"/>
      <c r="K93" s="1772"/>
      <c r="L93" s="1772"/>
      <c r="M93" s="1762"/>
    </row>
    <row r="94" spans="1:13">
      <c r="A94" s="1750" t="s">
        <v>262</v>
      </c>
      <c r="B94" s="1751" t="s">
        <v>546</v>
      </c>
      <c r="C94" s="1736">
        <v>0</v>
      </c>
      <c r="D94" s="1736">
        <v>150000</v>
      </c>
      <c r="E94" s="1752">
        <v>150000</v>
      </c>
      <c r="F94" s="1740" t="b">
        <f t="shared" si="6"/>
        <v>0</v>
      </c>
      <c r="G94" s="1740">
        <f t="shared" si="7"/>
        <v>0</v>
      </c>
      <c r="H94" s="1740">
        <f t="shared" si="8"/>
        <v>150000</v>
      </c>
      <c r="I94" s="1771"/>
      <c r="J94" s="1771"/>
      <c r="K94" s="1772"/>
      <c r="L94" s="1772"/>
      <c r="M94" s="1762"/>
    </row>
    <row r="95" spans="1:13">
      <c r="A95" s="1750" t="s">
        <v>929</v>
      </c>
      <c r="B95" s="1751" t="s">
        <v>547</v>
      </c>
      <c r="C95" s="1736">
        <v>0</v>
      </c>
      <c r="D95" s="1736">
        <v>85000</v>
      </c>
      <c r="E95" s="1752">
        <v>85000</v>
      </c>
      <c r="F95" s="1740" t="b">
        <f t="shared" si="6"/>
        <v>0</v>
      </c>
      <c r="G95" s="1740">
        <f t="shared" si="7"/>
        <v>0</v>
      </c>
      <c r="H95" s="1740">
        <f t="shared" si="8"/>
        <v>85000</v>
      </c>
      <c r="I95" s="1771"/>
      <c r="J95" s="1771"/>
      <c r="K95" s="1772"/>
      <c r="L95" s="1772"/>
      <c r="M95" s="1762"/>
    </row>
    <row r="96" spans="1:13">
      <c r="A96" s="1750" t="s">
        <v>1137</v>
      </c>
      <c r="B96" s="1751" t="s">
        <v>264</v>
      </c>
      <c r="C96" s="1736">
        <v>0</v>
      </c>
      <c r="D96" s="1736">
        <v>2500</v>
      </c>
      <c r="E96" s="1752">
        <v>2500</v>
      </c>
      <c r="F96" s="1740" t="b">
        <f t="shared" si="6"/>
        <v>0</v>
      </c>
      <c r="G96" s="1740">
        <f t="shared" si="7"/>
        <v>0</v>
      </c>
      <c r="H96" s="1740">
        <f t="shared" si="8"/>
        <v>2500</v>
      </c>
      <c r="I96" s="1771"/>
      <c r="J96" s="1771"/>
      <c r="K96" s="1772"/>
      <c r="L96" s="1772"/>
      <c r="M96" s="1762"/>
    </row>
    <row r="97" spans="1:13">
      <c r="A97" s="1750" t="s">
        <v>1146</v>
      </c>
      <c r="B97" s="1751" t="s">
        <v>546</v>
      </c>
      <c r="C97" s="1736">
        <v>40000</v>
      </c>
      <c r="D97" s="1736">
        <v>40000</v>
      </c>
      <c r="E97" s="1752">
        <v>80000</v>
      </c>
      <c r="F97" s="1740" t="b">
        <f t="shared" si="6"/>
        <v>0</v>
      </c>
      <c r="G97" s="1740">
        <f t="shared" si="7"/>
        <v>40000</v>
      </c>
      <c r="H97" s="1740">
        <f t="shared" si="8"/>
        <v>40000</v>
      </c>
      <c r="I97" s="1771"/>
      <c r="J97" s="1771"/>
      <c r="K97" s="1776"/>
      <c r="L97" s="1776"/>
      <c r="M97" s="1762"/>
    </row>
    <row r="98" spans="1:13">
      <c r="A98" s="1751" t="s">
        <v>1331</v>
      </c>
      <c r="B98" s="1751" t="s">
        <v>258</v>
      </c>
      <c r="C98" s="1736">
        <v>20000</v>
      </c>
      <c r="D98" s="1736">
        <v>130000</v>
      </c>
      <c r="E98" s="1752">
        <v>150000</v>
      </c>
      <c r="F98" s="1740" t="b">
        <f t="shared" si="6"/>
        <v>0</v>
      </c>
      <c r="G98" s="1740">
        <f t="shared" si="7"/>
        <v>20000</v>
      </c>
      <c r="H98" s="1740">
        <f t="shared" si="8"/>
        <v>130000</v>
      </c>
      <c r="I98" s="1771"/>
      <c r="J98" s="1771"/>
      <c r="K98" s="1772"/>
      <c r="L98" s="1772"/>
      <c r="M98" s="1762"/>
    </row>
    <row r="99" spans="1:13">
      <c r="A99" s="1751" t="s">
        <v>265</v>
      </c>
      <c r="B99" s="1751" t="s">
        <v>264</v>
      </c>
      <c r="C99" s="1736">
        <v>0</v>
      </c>
      <c r="D99" s="1736">
        <v>4902</v>
      </c>
      <c r="E99" s="1752">
        <v>4902</v>
      </c>
      <c r="F99" s="1740" t="b">
        <f t="shared" si="6"/>
        <v>0</v>
      </c>
      <c r="G99" s="1740">
        <f t="shared" si="7"/>
        <v>0</v>
      </c>
      <c r="H99" s="1740">
        <f t="shared" si="8"/>
        <v>4902</v>
      </c>
      <c r="I99" s="1777"/>
      <c r="J99" s="1771"/>
      <c r="K99" s="1772"/>
      <c r="L99" s="1772"/>
      <c r="M99" s="1762"/>
    </row>
    <row r="100" spans="1:13">
      <c r="A100" s="1750" t="s">
        <v>1012</v>
      </c>
      <c r="B100" s="1751" t="s">
        <v>258</v>
      </c>
      <c r="C100" s="1736">
        <v>1000</v>
      </c>
      <c r="D100" s="1736">
        <v>74000</v>
      </c>
      <c r="E100" s="1752">
        <v>75000</v>
      </c>
      <c r="F100" s="1740" t="b">
        <f t="shared" ref="F100:F129" si="9">+A100=I100</f>
        <v>0</v>
      </c>
      <c r="G100" s="1740">
        <f t="shared" ref="G100:G128" si="10">C100-K100</f>
        <v>1000</v>
      </c>
      <c r="H100" s="1740">
        <f t="shared" ref="H100:H128" si="11">D100-L100</f>
        <v>74000</v>
      </c>
      <c r="I100" s="1771"/>
      <c r="J100" s="1771"/>
      <c r="K100" s="1772"/>
      <c r="L100" s="1772"/>
      <c r="M100" s="1762"/>
    </row>
    <row r="101" spans="1:13">
      <c r="A101" s="1759" t="s">
        <v>1310</v>
      </c>
      <c r="B101" s="1760" t="s">
        <v>618</v>
      </c>
      <c r="C101" s="1736">
        <v>0</v>
      </c>
      <c r="D101" s="1736">
        <v>0</v>
      </c>
      <c r="E101" s="1752">
        <v>0</v>
      </c>
      <c r="F101" s="1740" t="b">
        <f t="shared" si="9"/>
        <v>0</v>
      </c>
      <c r="G101" s="1740">
        <f t="shared" si="10"/>
        <v>0</v>
      </c>
      <c r="H101" s="1740">
        <f t="shared" si="11"/>
        <v>0</v>
      </c>
      <c r="I101" s="1773"/>
      <c r="J101" s="1773"/>
      <c r="K101" s="1774"/>
      <c r="L101" s="1774"/>
      <c r="M101" s="1762"/>
    </row>
    <row r="102" spans="1:13">
      <c r="A102" s="1750" t="s">
        <v>1411</v>
      </c>
      <c r="B102" s="1751" t="s">
        <v>618</v>
      </c>
      <c r="C102" s="1736">
        <v>0</v>
      </c>
      <c r="D102" s="1736">
        <v>22500</v>
      </c>
      <c r="E102" s="1752">
        <v>22500</v>
      </c>
      <c r="F102" s="1740" t="b">
        <f t="shared" si="9"/>
        <v>0</v>
      </c>
      <c r="G102" s="1740">
        <f t="shared" si="10"/>
        <v>0</v>
      </c>
      <c r="H102" s="1740">
        <f t="shared" si="11"/>
        <v>22500</v>
      </c>
      <c r="I102" s="1771"/>
      <c r="J102" s="1771"/>
      <c r="K102" s="1774"/>
      <c r="L102" s="1774"/>
      <c r="M102" s="1762"/>
    </row>
    <row r="103" spans="1:13">
      <c r="A103" s="1750" t="s">
        <v>1411</v>
      </c>
      <c r="B103" s="1751" t="s">
        <v>412</v>
      </c>
      <c r="C103" s="1736">
        <v>0</v>
      </c>
      <c r="D103" s="1736">
        <v>22500</v>
      </c>
      <c r="E103" s="1752">
        <v>22500</v>
      </c>
      <c r="F103" s="1740" t="b">
        <f t="shared" si="9"/>
        <v>0</v>
      </c>
      <c r="G103" s="1740">
        <f t="shared" si="10"/>
        <v>0</v>
      </c>
      <c r="H103" s="1740">
        <f t="shared" si="11"/>
        <v>22500</v>
      </c>
      <c r="I103" s="1771"/>
      <c r="J103" s="1771"/>
      <c r="K103" s="1772"/>
      <c r="L103" s="1772"/>
      <c r="M103" s="1762"/>
    </row>
    <row r="104" spans="1:13">
      <c r="A104" s="1750" t="s">
        <v>682</v>
      </c>
      <c r="B104" s="1751" t="s">
        <v>547</v>
      </c>
      <c r="C104" s="1736">
        <v>0</v>
      </c>
      <c r="D104" s="1736">
        <v>150000</v>
      </c>
      <c r="E104" s="1752">
        <v>150000</v>
      </c>
      <c r="F104" s="1740" t="b">
        <f t="shared" si="9"/>
        <v>0</v>
      </c>
      <c r="G104" s="1740">
        <f t="shared" si="10"/>
        <v>0</v>
      </c>
      <c r="H104" s="1740">
        <f t="shared" si="11"/>
        <v>150000</v>
      </c>
      <c r="I104" s="1771"/>
      <c r="J104" s="1771"/>
      <c r="K104" s="1772"/>
      <c r="L104" s="1772"/>
      <c r="M104" s="1762"/>
    </row>
    <row r="105" spans="1:13">
      <c r="A105" s="1750" t="s">
        <v>465</v>
      </c>
      <c r="B105" s="1751" t="s">
        <v>546</v>
      </c>
      <c r="C105" s="1736">
        <v>100</v>
      </c>
      <c r="D105" s="1736">
        <v>44900</v>
      </c>
      <c r="E105" s="1752">
        <v>45000</v>
      </c>
      <c r="F105" s="1740" t="b">
        <f t="shared" si="9"/>
        <v>0</v>
      </c>
      <c r="G105" s="1740">
        <f t="shared" si="10"/>
        <v>100</v>
      </c>
      <c r="H105" s="1740">
        <f t="shared" si="11"/>
        <v>44900</v>
      </c>
      <c r="I105" s="1771"/>
      <c r="J105" s="1771"/>
      <c r="K105" s="1772"/>
      <c r="L105" s="1772"/>
      <c r="M105" s="1762"/>
    </row>
    <row r="106" spans="1:13">
      <c r="A106" s="1750" t="s">
        <v>620</v>
      </c>
      <c r="B106" s="1751" t="s">
        <v>618</v>
      </c>
      <c r="C106" s="1736">
        <v>0</v>
      </c>
      <c r="D106" s="1736">
        <v>0</v>
      </c>
      <c r="E106" s="1752">
        <v>0</v>
      </c>
      <c r="F106" s="1740" t="b">
        <f t="shared" si="9"/>
        <v>0</v>
      </c>
      <c r="G106" s="1740">
        <f t="shared" si="10"/>
        <v>0</v>
      </c>
      <c r="H106" s="1740">
        <f t="shared" si="11"/>
        <v>0</v>
      </c>
      <c r="I106" s="1771"/>
      <c r="J106" s="1771"/>
      <c r="K106" s="1772"/>
      <c r="L106" s="1772"/>
      <c r="M106" s="1762"/>
    </row>
    <row r="107" spans="1:13">
      <c r="A107" s="1750" t="s">
        <v>721</v>
      </c>
      <c r="B107" s="1751" t="s">
        <v>264</v>
      </c>
      <c r="C107" s="1736">
        <v>0</v>
      </c>
      <c r="D107" s="1736">
        <v>4500</v>
      </c>
      <c r="E107" s="1752">
        <v>4500</v>
      </c>
      <c r="F107" s="1740" t="b">
        <f t="shared" si="9"/>
        <v>0</v>
      </c>
      <c r="G107" s="1740">
        <f t="shared" si="10"/>
        <v>0</v>
      </c>
      <c r="H107" s="1740">
        <f t="shared" si="11"/>
        <v>4500</v>
      </c>
      <c r="I107" s="1771"/>
      <c r="J107" s="1771"/>
      <c r="K107" s="1772"/>
      <c r="L107" s="1772"/>
      <c r="M107" s="1762"/>
    </row>
    <row r="108" spans="1:13">
      <c r="A108" s="1750" t="s">
        <v>1080</v>
      </c>
      <c r="B108" s="1751" t="s">
        <v>264</v>
      </c>
      <c r="C108" s="1736">
        <v>0</v>
      </c>
      <c r="D108" s="1736">
        <v>3564</v>
      </c>
      <c r="E108" s="1752">
        <v>3564</v>
      </c>
      <c r="F108" s="1740" t="b">
        <f t="shared" si="9"/>
        <v>0</v>
      </c>
      <c r="G108" s="1740">
        <f t="shared" si="10"/>
        <v>0</v>
      </c>
      <c r="H108" s="1740">
        <f t="shared" si="11"/>
        <v>3564</v>
      </c>
      <c r="I108" s="1771"/>
      <c r="J108" s="1771"/>
      <c r="K108" s="1772"/>
      <c r="L108" s="1772"/>
      <c r="M108" s="1762"/>
    </row>
    <row r="109" spans="1:13">
      <c r="A109" s="1751" t="s">
        <v>708</v>
      </c>
      <c r="B109" s="1751" t="s">
        <v>618</v>
      </c>
      <c r="C109" s="1736">
        <v>0</v>
      </c>
      <c r="D109" s="1736">
        <v>17500</v>
      </c>
      <c r="E109" s="1752">
        <v>17500</v>
      </c>
      <c r="F109" s="1740" t="b">
        <f t="shared" si="9"/>
        <v>0</v>
      </c>
      <c r="G109" s="1740">
        <f t="shared" si="10"/>
        <v>0</v>
      </c>
      <c r="H109" s="1740">
        <f t="shared" si="11"/>
        <v>17500</v>
      </c>
      <c r="I109" s="1771"/>
      <c r="J109" s="1771"/>
      <c r="K109" s="1772"/>
      <c r="L109" s="1772"/>
      <c r="M109" s="1762"/>
    </row>
    <row r="110" spans="1:13">
      <c r="A110" s="1750" t="s">
        <v>1630</v>
      </c>
      <c r="B110" s="1751" t="s">
        <v>547</v>
      </c>
      <c r="C110" s="1736">
        <v>0</v>
      </c>
      <c r="D110" s="1736">
        <v>45000</v>
      </c>
      <c r="E110" s="1752">
        <v>45000</v>
      </c>
      <c r="F110" s="1740" t="b">
        <f t="shared" si="9"/>
        <v>0</v>
      </c>
      <c r="G110" s="1740">
        <f t="shared" si="10"/>
        <v>0</v>
      </c>
      <c r="H110" s="1740">
        <f t="shared" si="11"/>
        <v>45000</v>
      </c>
      <c r="I110" s="1771"/>
      <c r="J110" s="1771"/>
      <c r="K110" s="1772"/>
      <c r="L110" s="1772"/>
      <c r="M110" s="1762"/>
    </row>
    <row r="111" spans="1:13">
      <c r="A111" s="1750" t="s">
        <v>1833</v>
      </c>
      <c r="B111" s="1751" t="s">
        <v>547</v>
      </c>
      <c r="C111" s="1736">
        <v>0</v>
      </c>
      <c r="D111" s="1736">
        <v>65000</v>
      </c>
      <c r="E111" s="1752">
        <v>65000</v>
      </c>
      <c r="F111" s="1740" t="b">
        <f t="shared" si="9"/>
        <v>0</v>
      </c>
      <c r="G111" s="1740">
        <f t="shared" si="10"/>
        <v>0</v>
      </c>
      <c r="H111" s="1740">
        <f t="shared" si="11"/>
        <v>65000</v>
      </c>
      <c r="I111" s="1771"/>
      <c r="J111" s="1771"/>
      <c r="K111" s="1772"/>
      <c r="L111" s="1772"/>
      <c r="M111" s="1762"/>
    </row>
    <row r="112" spans="1:13">
      <c r="A112" s="1750" t="s">
        <v>1333</v>
      </c>
      <c r="B112" s="1751" t="s">
        <v>412</v>
      </c>
      <c r="C112" s="1736">
        <v>100</v>
      </c>
      <c r="D112" s="1736">
        <v>17500</v>
      </c>
      <c r="E112" s="1752">
        <v>17600</v>
      </c>
      <c r="F112" s="1740" t="b">
        <f t="shared" si="9"/>
        <v>0</v>
      </c>
      <c r="G112" s="1740">
        <f t="shared" si="10"/>
        <v>100</v>
      </c>
      <c r="H112" s="1740">
        <f t="shared" si="11"/>
        <v>17500</v>
      </c>
      <c r="I112" s="1771"/>
      <c r="J112" s="1771"/>
      <c r="K112" s="1772"/>
      <c r="L112" s="1772"/>
      <c r="M112" s="1762"/>
    </row>
    <row r="113" spans="1:14">
      <c r="A113" s="1750" t="s">
        <v>1323</v>
      </c>
      <c r="B113" s="1751" t="s">
        <v>258</v>
      </c>
      <c r="C113" s="1736">
        <v>11250</v>
      </c>
      <c r="D113" s="1736">
        <v>73750</v>
      </c>
      <c r="E113" s="1752">
        <v>85000</v>
      </c>
      <c r="F113" s="1740" t="b">
        <f t="shared" si="9"/>
        <v>0</v>
      </c>
      <c r="G113" s="1740">
        <f t="shared" si="10"/>
        <v>11250</v>
      </c>
      <c r="H113" s="1740">
        <f t="shared" si="11"/>
        <v>73750</v>
      </c>
      <c r="I113" s="1771"/>
      <c r="J113" s="1771"/>
      <c r="K113" s="1772"/>
      <c r="L113" s="1772"/>
      <c r="M113" s="1762"/>
    </row>
    <row r="114" spans="1:14">
      <c r="A114" s="1750" t="s">
        <v>1334</v>
      </c>
      <c r="B114" s="1751" t="s">
        <v>264</v>
      </c>
      <c r="C114" s="1736">
        <v>0</v>
      </c>
      <c r="D114" s="1736">
        <v>5057</v>
      </c>
      <c r="E114" s="1752">
        <v>5057</v>
      </c>
      <c r="F114" s="1740" t="b">
        <f t="shared" si="9"/>
        <v>0</v>
      </c>
      <c r="G114" s="1740">
        <f t="shared" si="10"/>
        <v>0</v>
      </c>
      <c r="H114" s="1740">
        <f t="shared" si="11"/>
        <v>5057</v>
      </c>
      <c r="I114" s="1771"/>
      <c r="J114" s="1771"/>
      <c r="K114" s="1772"/>
      <c r="L114" s="1772"/>
      <c r="M114" s="1762"/>
    </row>
    <row r="115" spans="1:14">
      <c r="A115" s="1759" t="s">
        <v>722</v>
      </c>
      <c r="B115" s="1760" t="s">
        <v>258</v>
      </c>
      <c r="C115" s="1736">
        <v>14400</v>
      </c>
      <c r="D115" s="1736">
        <v>53600</v>
      </c>
      <c r="E115" s="1752">
        <v>68000</v>
      </c>
      <c r="F115" s="1740" t="b">
        <f t="shared" si="9"/>
        <v>0</v>
      </c>
      <c r="G115" s="1740">
        <f t="shared" si="10"/>
        <v>14400</v>
      </c>
      <c r="H115" s="1740">
        <f t="shared" si="11"/>
        <v>53600</v>
      </c>
      <c r="I115" s="1773"/>
      <c r="J115" s="1773"/>
      <c r="K115" s="1774"/>
      <c r="L115" s="1774"/>
      <c r="M115" s="1762"/>
    </row>
    <row r="116" spans="1:14">
      <c r="A116" s="1755" t="s">
        <v>697</v>
      </c>
      <c r="B116" s="1751" t="s">
        <v>547</v>
      </c>
      <c r="C116" s="1737">
        <v>0</v>
      </c>
      <c r="D116" s="1737">
        <v>50000</v>
      </c>
      <c r="E116" s="1752">
        <v>50000</v>
      </c>
      <c r="F116" s="1740" t="b">
        <f t="shared" si="9"/>
        <v>0</v>
      </c>
      <c r="G116" s="1740">
        <f t="shared" si="10"/>
        <v>0</v>
      </c>
      <c r="H116" s="1740">
        <f t="shared" si="11"/>
        <v>50000</v>
      </c>
      <c r="I116" s="1771"/>
      <c r="J116" s="1771"/>
      <c r="K116" s="1772"/>
      <c r="L116" s="1772"/>
      <c r="M116" s="1762"/>
    </row>
    <row r="117" spans="1:14">
      <c r="A117" s="1751" t="s">
        <v>1328</v>
      </c>
      <c r="B117" s="1751" t="s">
        <v>618</v>
      </c>
      <c r="C117" s="1736">
        <v>0</v>
      </c>
      <c r="D117" s="1736">
        <v>0</v>
      </c>
      <c r="E117" s="1752">
        <v>0</v>
      </c>
      <c r="F117" s="1740" t="b">
        <f t="shared" si="9"/>
        <v>0</v>
      </c>
      <c r="G117" s="1740">
        <f t="shared" si="10"/>
        <v>0</v>
      </c>
      <c r="H117" s="1740">
        <f t="shared" si="11"/>
        <v>0</v>
      </c>
      <c r="I117" s="1771"/>
      <c r="J117" s="1771"/>
      <c r="K117" s="1772"/>
      <c r="L117" s="1772"/>
      <c r="M117" s="1762"/>
    </row>
    <row r="118" spans="1:14">
      <c r="A118" s="1750" t="s">
        <v>1328</v>
      </c>
      <c r="B118" s="1751" t="s">
        <v>412</v>
      </c>
      <c r="C118" s="1736">
        <v>0</v>
      </c>
      <c r="D118" s="1736">
        <v>0</v>
      </c>
      <c r="E118" s="1752">
        <v>0</v>
      </c>
      <c r="F118" s="1740" t="b">
        <f t="shared" si="9"/>
        <v>0</v>
      </c>
      <c r="G118" s="1740">
        <f t="shared" si="10"/>
        <v>0</v>
      </c>
      <c r="H118" s="1740">
        <f t="shared" si="11"/>
        <v>0</v>
      </c>
      <c r="I118" s="1771"/>
      <c r="J118" s="1771"/>
      <c r="K118" s="1772"/>
      <c r="L118" s="1772"/>
      <c r="M118" s="1762"/>
    </row>
    <row r="119" spans="1:14">
      <c r="A119" s="1750" t="s">
        <v>1160</v>
      </c>
      <c r="B119" s="1751" t="s">
        <v>546</v>
      </c>
      <c r="C119" s="1736">
        <v>100000</v>
      </c>
      <c r="D119" s="1736">
        <v>50000</v>
      </c>
      <c r="E119" s="1752">
        <v>150000</v>
      </c>
      <c r="F119" s="1740" t="b">
        <f t="shared" si="9"/>
        <v>0</v>
      </c>
      <c r="G119" s="1740">
        <f t="shared" si="10"/>
        <v>100000</v>
      </c>
      <c r="H119" s="1740">
        <f t="shared" si="11"/>
        <v>50000</v>
      </c>
      <c r="I119" s="1771"/>
      <c r="J119" s="1771"/>
      <c r="K119" s="1772"/>
      <c r="L119" s="1772"/>
      <c r="M119" s="1762"/>
    </row>
    <row r="120" spans="1:14">
      <c r="A120" s="1750" t="s">
        <v>1161</v>
      </c>
      <c r="B120" s="1751" t="s">
        <v>546</v>
      </c>
      <c r="C120" s="1736">
        <v>140000</v>
      </c>
      <c r="D120" s="1736">
        <v>35000</v>
      </c>
      <c r="E120" s="1752">
        <v>175000</v>
      </c>
      <c r="F120" s="1740" t="b">
        <f t="shared" si="9"/>
        <v>0</v>
      </c>
      <c r="G120" s="1740">
        <f t="shared" si="10"/>
        <v>140000</v>
      </c>
      <c r="H120" s="1740">
        <f t="shared" si="11"/>
        <v>35000</v>
      </c>
      <c r="I120" s="1771"/>
      <c r="J120" s="1771"/>
      <c r="K120" s="1772"/>
      <c r="L120" s="1772"/>
      <c r="M120" s="1762"/>
    </row>
    <row r="121" spans="1:14">
      <c r="A121" s="1751" t="s">
        <v>1407</v>
      </c>
      <c r="B121" s="1751" t="s">
        <v>264</v>
      </c>
      <c r="C121" s="1736">
        <v>0</v>
      </c>
      <c r="D121" s="1736">
        <v>3500</v>
      </c>
      <c r="E121" s="1752">
        <v>3500</v>
      </c>
      <c r="F121" s="1740" t="b">
        <f t="shared" si="9"/>
        <v>0</v>
      </c>
      <c r="G121" s="1740">
        <f t="shared" si="10"/>
        <v>0</v>
      </c>
      <c r="H121" s="1740">
        <f t="shared" si="11"/>
        <v>3500</v>
      </c>
      <c r="I121" s="1771"/>
      <c r="J121" s="1771"/>
      <c r="K121" s="1772"/>
      <c r="L121" s="1772"/>
      <c r="M121" s="1762"/>
      <c r="N121" s="1762"/>
    </row>
    <row r="122" spans="1:14">
      <c r="A122" s="1750" t="s">
        <v>1629</v>
      </c>
      <c r="B122" s="1751" t="s">
        <v>412</v>
      </c>
      <c r="C122" s="1736">
        <v>0</v>
      </c>
      <c r="D122" s="1736">
        <v>8000</v>
      </c>
      <c r="E122" s="1752">
        <v>8000</v>
      </c>
      <c r="F122" s="1740" t="b">
        <f t="shared" si="9"/>
        <v>0</v>
      </c>
      <c r="G122" s="1740">
        <f t="shared" si="10"/>
        <v>0</v>
      </c>
      <c r="H122" s="1740">
        <f t="shared" si="11"/>
        <v>8000</v>
      </c>
      <c r="I122" s="1771"/>
      <c r="J122" s="1771"/>
      <c r="K122" s="1772"/>
      <c r="L122" s="1772"/>
      <c r="M122" s="1762"/>
      <c r="N122" s="1762"/>
    </row>
    <row r="123" spans="1:14">
      <c r="A123" s="1750" t="s">
        <v>1626</v>
      </c>
      <c r="B123" s="1751" t="s">
        <v>618</v>
      </c>
      <c r="C123" s="1736">
        <v>0</v>
      </c>
      <c r="D123" s="1736">
        <v>100000</v>
      </c>
      <c r="E123" s="1752">
        <v>100000</v>
      </c>
      <c r="F123" s="1740" t="b">
        <f t="shared" si="9"/>
        <v>0</v>
      </c>
      <c r="G123" s="1740">
        <f t="shared" si="10"/>
        <v>0</v>
      </c>
      <c r="H123" s="1740">
        <f t="shared" si="11"/>
        <v>100000</v>
      </c>
      <c r="I123" s="1771"/>
      <c r="J123" s="1771"/>
      <c r="K123" s="1772"/>
      <c r="L123" s="1772"/>
      <c r="M123" s="1762"/>
      <c r="N123" s="1762"/>
    </row>
    <row r="124" spans="1:14">
      <c r="A124" s="1750" t="s">
        <v>1312</v>
      </c>
      <c r="B124" s="1751" t="s">
        <v>546</v>
      </c>
      <c r="C124" s="1736">
        <v>60000</v>
      </c>
      <c r="D124" s="1736">
        <v>115000</v>
      </c>
      <c r="E124" s="1752">
        <v>175000</v>
      </c>
      <c r="F124" s="1740" t="b">
        <f t="shared" si="9"/>
        <v>0</v>
      </c>
      <c r="G124" s="1740">
        <f t="shared" si="10"/>
        <v>60000</v>
      </c>
      <c r="H124" s="1740">
        <f t="shared" si="11"/>
        <v>115000</v>
      </c>
      <c r="I124" s="1771"/>
      <c r="J124" s="1771"/>
      <c r="K124" s="1772"/>
      <c r="L124" s="1772"/>
      <c r="M124" s="1762"/>
      <c r="N124" s="1762"/>
    </row>
    <row r="125" spans="1:14">
      <c r="A125" s="1750" t="s">
        <v>1634</v>
      </c>
      <c r="B125" s="1751" t="s">
        <v>546</v>
      </c>
      <c r="C125" s="1736">
        <v>0</v>
      </c>
      <c r="D125" s="1736">
        <v>16000</v>
      </c>
      <c r="E125" s="1752">
        <v>16000</v>
      </c>
      <c r="F125" s="1740" t="b">
        <f t="shared" si="9"/>
        <v>0</v>
      </c>
      <c r="G125" s="1740">
        <f t="shared" si="10"/>
        <v>0</v>
      </c>
      <c r="H125" s="1740">
        <f t="shared" si="11"/>
        <v>16000</v>
      </c>
      <c r="I125" s="1775"/>
      <c r="J125" s="1771"/>
      <c r="K125" s="1772"/>
      <c r="L125" s="1772"/>
      <c r="M125" s="1762"/>
      <c r="N125" s="1762"/>
    </row>
    <row r="126" spans="1:14">
      <c r="A126" s="1750" t="s">
        <v>1333</v>
      </c>
      <c r="B126" s="1751" t="s">
        <v>412</v>
      </c>
      <c r="C126" s="1736">
        <v>100</v>
      </c>
      <c r="D126" s="1736">
        <v>17500</v>
      </c>
      <c r="E126" s="1752">
        <v>70000</v>
      </c>
      <c r="F126" s="1740" t="b">
        <f t="shared" si="9"/>
        <v>0</v>
      </c>
      <c r="G126" s="1740">
        <f t="shared" si="10"/>
        <v>100</v>
      </c>
      <c r="H126" s="1740">
        <f t="shared" si="11"/>
        <v>17500</v>
      </c>
      <c r="I126" s="1771"/>
      <c r="J126" s="1771"/>
      <c r="K126" s="1772"/>
      <c r="L126" s="1772"/>
      <c r="M126" s="1762"/>
      <c r="N126" s="1762"/>
    </row>
    <row r="127" spans="1:14">
      <c r="A127" s="1750" t="s">
        <v>1334</v>
      </c>
      <c r="B127" s="1751" t="s">
        <v>264</v>
      </c>
      <c r="C127" s="1736">
        <v>0</v>
      </c>
      <c r="D127" s="1736">
        <v>5057</v>
      </c>
      <c r="E127" s="1752">
        <v>100000</v>
      </c>
      <c r="F127" s="1740" t="b">
        <f t="shared" si="9"/>
        <v>0</v>
      </c>
      <c r="G127" s="1740">
        <f t="shared" si="10"/>
        <v>0</v>
      </c>
      <c r="H127" s="1740">
        <f t="shared" si="11"/>
        <v>5057</v>
      </c>
      <c r="I127" s="1771"/>
      <c r="J127" s="1771"/>
      <c r="K127" s="1772"/>
      <c r="L127" s="1772"/>
      <c r="M127" s="1762"/>
      <c r="N127" s="1762"/>
    </row>
    <row r="128" spans="1:14">
      <c r="A128" s="1750" t="s">
        <v>722</v>
      </c>
      <c r="B128" s="1751" t="s">
        <v>258</v>
      </c>
      <c r="C128" s="1736">
        <v>14400</v>
      </c>
      <c r="D128" s="1736">
        <v>53600</v>
      </c>
      <c r="E128" s="1752">
        <v>40000</v>
      </c>
      <c r="F128" s="1740" t="b">
        <f t="shared" si="9"/>
        <v>0</v>
      </c>
      <c r="G128" s="1740">
        <f t="shared" si="10"/>
        <v>14400</v>
      </c>
      <c r="H128" s="1740">
        <f t="shared" si="11"/>
        <v>53600</v>
      </c>
      <c r="I128" s="1771"/>
      <c r="J128" s="1771"/>
      <c r="K128" s="1772"/>
      <c r="L128" s="1772"/>
      <c r="M128" s="1762"/>
      <c r="N128" s="1762"/>
    </row>
    <row r="129" spans="1:14">
      <c r="A129" s="1750" t="s">
        <v>697</v>
      </c>
      <c r="B129" s="1751" t="s">
        <v>547</v>
      </c>
      <c r="C129" s="1736">
        <v>0</v>
      </c>
      <c r="D129" s="1736">
        <v>50000</v>
      </c>
      <c r="E129" s="1752">
        <v>100000</v>
      </c>
      <c r="F129" s="1740" t="b">
        <f t="shared" si="9"/>
        <v>0</v>
      </c>
      <c r="G129" s="1740"/>
      <c r="H129" s="1740"/>
      <c r="I129" s="1771"/>
      <c r="J129" s="1771"/>
      <c r="K129" s="1772"/>
      <c r="L129" s="1772"/>
      <c r="M129" s="1762"/>
      <c r="N129" s="1762"/>
    </row>
    <row r="130" spans="1:14">
      <c r="A130" s="1751"/>
      <c r="B130" s="1751"/>
      <c r="C130" s="1736"/>
      <c r="D130" s="1736"/>
      <c r="E130" s="1752"/>
      <c r="F130" s="1752"/>
      <c r="G130" s="1740"/>
      <c r="H130" s="1740"/>
      <c r="I130" s="1763"/>
      <c r="J130" s="1771"/>
      <c r="K130" s="1762"/>
      <c r="L130" s="1762"/>
      <c r="M130" s="1762"/>
      <c r="N130" s="1762"/>
    </row>
    <row r="131" spans="1:14">
      <c r="A131" s="1751"/>
      <c r="B131" s="1751"/>
      <c r="C131" s="1752"/>
      <c r="D131" s="1752"/>
      <c r="E131" s="1752"/>
      <c r="F131" s="1752"/>
      <c r="G131" s="1740"/>
      <c r="H131" s="1740"/>
      <c r="I131" s="1763"/>
      <c r="J131" s="1771"/>
      <c r="K131" s="1762"/>
      <c r="L131" s="1762"/>
      <c r="M131" s="1762"/>
      <c r="N131" s="1762"/>
    </row>
    <row r="132" spans="1:14">
      <c r="A132" s="1750"/>
      <c r="B132" s="1751"/>
      <c r="C132" s="1736"/>
      <c r="D132" s="1736"/>
      <c r="E132" s="1752"/>
      <c r="F132" s="1752"/>
      <c r="G132" s="1740"/>
      <c r="H132" s="1740"/>
      <c r="I132" s="1763"/>
      <c r="J132" s="1771"/>
      <c r="K132" s="1762"/>
      <c r="L132" s="1762"/>
      <c r="M132" s="1762"/>
      <c r="N132" s="1762"/>
    </row>
    <row r="133" spans="1:14">
      <c r="A133" s="1751"/>
      <c r="B133" s="1751"/>
      <c r="C133" s="1752"/>
      <c r="D133" s="1752"/>
      <c r="E133" s="1752"/>
      <c r="F133" s="1752"/>
      <c r="G133" s="1740"/>
      <c r="H133" s="1740"/>
      <c r="I133" s="1763"/>
      <c r="J133" s="1771"/>
      <c r="K133" s="1762"/>
      <c r="L133" s="1762"/>
      <c r="M133" s="1762"/>
      <c r="N133" s="1762"/>
    </row>
    <row r="134" spans="1:14">
      <c r="A134" s="1750"/>
      <c r="B134" s="1751"/>
      <c r="C134" s="1736"/>
      <c r="D134" s="1736"/>
      <c r="E134" s="1752"/>
      <c r="F134" s="1752"/>
      <c r="G134" s="1740"/>
      <c r="H134" s="1740"/>
      <c r="I134" s="1763"/>
      <c r="J134" s="1771"/>
      <c r="K134" s="1762"/>
      <c r="L134" s="1762"/>
      <c r="M134" s="1762"/>
      <c r="N134" s="1762"/>
    </row>
    <row r="135" spans="1:14">
      <c r="A135" s="1751"/>
      <c r="B135" s="1751"/>
      <c r="C135" s="1752"/>
      <c r="D135" s="1752"/>
      <c r="E135" s="1752"/>
      <c r="F135" s="1752"/>
      <c r="G135" s="1740"/>
      <c r="H135" s="1740"/>
      <c r="I135" s="1763"/>
      <c r="J135" s="1771"/>
      <c r="K135" s="1762"/>
      <c r="L135" s="1762"/>
      <c r="M135" s="1762"/>
    </row>
    <row r="136" spans="1:14">
      <c r="A136" s="1751"/>
      <c r="B136" s="1751"/>
      <c r="C136" s="1752"/>
      <c r="D136" s="1752"/>
      <c r="E136" s="1752"/>
      <c r="F136" s="1752"/>
      <c r="G136" s="1740"/>
      <c r="H136" s="1740"/>
      <c r="I136" s="1763"/>
      <c r="J136" s="1771"/>
      <c r="K136" s="1762"/>
      <c r="L136" s="1762"/>
      <c r="M136" s="1762"/>
    </row>
    <row r="137" spans="1:14">
      <c r="A137" s="1750"/>
      <c r="B137" s="1751"/>
      <c r="C137" s="1736"/>
      <c r="D137" s="1736"/>
      <c r="E137" s="1752"/>
      <c r="F137" s="1752"/>
      <c r="G137" s="1740"/>
      <c r="H137" s="1740"/>
      <c r="I137" s="1763"/>
      <c r="J137" s="1771"/>
      <c r="K137" s="1762"/>
      <c r="L137" s="1762"/>
      <c r="M137" s="1762"/>
    </row>
    <row r="138" spans="1:14">
      <c r="A138" s="1751"/>
      <c r="B138" s="1751"/>
      <c r="C138" s="1752"/>
      <c r="D138" s="1752"/>
      <c r="E138" s="1752"/>
      <c r="F138" s="1752"/>
      <c r="G138" s="1740"/>
      <c r="H138" s="1740"/>
      <c r="I138" s="1763"/>
      <c r="J138" s="1771"/>
      <c r="K138" s="1762"/>
      <c r="L138" s="1762"/>
      <c r="M138" s="1762"/>
    </row>
    <row r="139" spans="1:14">
      <c r="A139" s="1751"/>
      <c r="B139" s="1751"/>
      <c r="C139" s="1736"/>
      <c r="D139" s="1736"/>
      <c r="E139" s="1752"/>
      <c r="F139" s="1752"/>
      <c r="G139" s="1740"/>
      <c r="H139" s="1740"/>
      <c r="I139" s="1764"/>
      <c r="J139" s="1771"/>
      <c r="K139" s="1762"/>
      <c r="L139" s="1762"/>
      <c r="M139" s="1762"/>
    </row>
    <row r="140" spans="1:14">
      <c r="A140" s="1751"/>
      <c r="B140" s="1751"/>
      <c r="C140" s="1736"/>
      <c r="D140" s="1736"/>
      <c r="E140" s="1752"/>
      <c r="F140" s="1752"/>
      <c r="G140" s="1740"/>
      <c r="H140" s="1740"/>
      <c r="I140" s="1764"/>
      <c r="J140" s="1771"/>
      <c r="K140" s="1762"/>
      <c r="L140" s="1762"/>
      <c r="M140" s="1762"/>
    </row>
    <row r="141" spans="1:14">
      <c r="A141" s="1751"/>
      <c r="B141" s="1751"/>
      <c r="C141" s="1752"/>
      <c r="D141" s="1752"/>
      <c r="E141" s="1752"/>
      <c r="F141" s="1752"/>
      <c r="G141" s="1740"/>
      <c r="H141" s="1740"/>
      <c r="I141" s="1764"/>
      <c r="J141" s="1771"/>
      <c r="K141" s="1762"/>
      <c r="L141" s="1762"/>
      <c r="M141" s="1762"/>
    </row>
    <row r="142" spans="1:14">
      <c r="A142" s="1750"/>
      <c r="B142" s="1751"/>
      <c r="C142" s="1736"/>
      <c r="D142" s="1736"/>
      <c r="E142" s="1752"/>
      <c r="F142" s="1752"/>
      <c r="G142" s="1740"/>
      <c r="H142" s="1740"/>
      <c r="I142" s="1764"/>
      <c r="J142" s="1771"/>
    </row>
    <row r="143" spans="1:14">
      <c r="A143" s="1751"/>
      <c r="B143" s="1751"/>
      <c r="C143" s="1736"/>
      <c r="D143" s="1736"/>
      <c r="E143" s="1752"/>
      <c r="F143" s="1752"/>
      <c r="G143" s="1740"/>
      <c r="H143" s="1740"/>
      <c r="I143" s="1763"/>
      <c r="J143" s="1771"/>
      <c r="K143" s="1762"/>
      <c r="L143" s="1762"/>
      <c r="M143" s="1762"/>
      <c r="N143" s="1762"/>
    </row>
    <row r="144" spans="1:14">
      <c r="A144" s="1750"/>
      <c r="B144" s="1751"/>
      <c r="C144" s="1736"/>
      <c r="D144" s="1736"/>
      <c r="E144" s="1752"/>
      <c r="F144" s="1752"/>
      <c r="G144" s="1740"/>
      <c r="H144" s="1740"/>
      <c r="I144" s="1763"/>
      <c r="J144" s="1771"/>
      <c r="K144" s="1762"/>
      <c r="L144" s="1762"/>
      <c r="M144" s="1762"/>
    </row>
    <row r="145" spans="1:13">
      <c r="A145" s="1751"/>
      <c r="B145" s="1751"/>
      <c r="C145" s="1736"/>
      <c r="D145" s="1736"/>
      <c r="E145" s="1752"/>
      <c r="F145" s="1752"/>
      <c r="I145" s="1763"/>
      <c r="J145" s="1771"/>
      <c r="K145" s="1762"/>
      <c r="L145" s="1762"/>
      <c r="M145" s="1762"/>
    </row>
    <row r="146" spans="1:13">
      <c r="A146" s="1750"/>
      <c r="B146" s="1751"/>
      <c r="C146" s="1736"/>
      <c r="D146" s="1736"/>
      <c r="E146" s="1752"/>
      <c r="F146" s="1752"/>
      <c r="I146" s="1763"/>
      <c r="J146" s="1771"/>
      <c r="K146" s="1762"/>
      <c r="L146" s="1762"/>
      <c r="M146" s="1762"/>
    </row>
    <row r="147" spans="1:13">
      <c r="A147" s="1751"/>
      <c r="B147" s="1751"/>
      <c r="C147" s="1736"/>
      <c r="D147" s="1736"/>
      <c r="E147" s="1752"/>
      <c r="F147" s="1752"/>
      <c r="K147" s="1762"/>
      <c r="L147" s="1762"/>
      <c r="M147" s="1762"/>
    </row>
    <row r="148" spans="1:13">
      <c r="A148" s="1750"/>
      <c r="B148" s="1751"/>
      <c r="C148" s="1736"/>
      <c r="D148" s="1736"/>
      <c r="E148" s="1752"/>
      <c r="F148" s="1752"/>
      <c r="I148" s="1763"/>
      <c r="J148" s="1771"/>
      <c r="K148" s="1762"/>
      <c r="L148" s="1762"/>
      <c r="M148" s="1762"/>
    </row>
    <row r="149" spans="1:13">
      <c r="A149" s="1751"/>
      <c r="B149" s="1751"/>
      <c r="C149" s="1736"/>
      <c r="D149" s="1736"/>
      <c r="E149" s="1752"/>
      <c r="F149" s="1752"/>
    </row>
    <row r="150" spans="1:13">
      <c r="A150" s="1750"/>
      <c r="B150" s="1751"/>
      <c r="C150" s="1736"/>
      <c r="D150" s="1736"/>
      <c r="E150" s="1752"/>
      <c r="F150" s="1752"/>
    </row>
    <row r="151" spans="1:13">
      <c r="A151" s="1751"/>
      <c r="B151" s="1751"/>
      <c r="C151" s="1736"/>
      <c r="D151" s="1736"/>
      <c r="E151" s="1752"/>
      <c r="F151" s="1752"/>
    </row>
    <row r="152" spans="1:13">
      <c r="A152" s="1750"/>
      <c r="B152" s="1751"/>
      <c r="C152" s="1736"/>
      <c r="D152" s="1736"/>
      <c r="E152" s="1752"/>
    </row>
    <row r="153" spans="1:13">
      <c r="A153" s="1751"/>
      <c r="B153" s="1751"/>
      <c r="C153" s="1736"/>
      <c r="D153" s="1736"/>
      <c r="E153" s="1752"/>
    </row>
    <row r="154" spans="1:13">
      <c r="A154" s="1750"/>
      <c r="B154" s="1751"/>
      <c r="C154" s="1736"/>
      <c r="D154" s="1736"/>
      <c r="E154" s="1752"/>
    </row>
    <row r="155" spans="1:13">
      <c r="A155" s="1751"/>
      <c r="B155" s="1751"/>
      <c r="C155" s="1736"/>
      <c r="D155" s="1736"/>
      <c r="E155" s="1752"/>
    </row>
    <row r="156" spans="1:13">
      <c r="A156" s="1750"/>
      <c r="B156" s="1751"/>
      <c r="C156" s="1736"/>
      <c r="D156" s="1736"/>
      <c r="E156" s="1752"/>
    </row>
    <row r="157" spans="1:13">
      <c r="A157" s="1751"/>
      <c r="B157" s="1751"/>
      <c r="C157" s="1736"/>
      <c r="D157" s="1736"/>
      <c r="E157" s="1752"/>
    </row>
    <row r="158" spans="1:13">
      <c r="A158" s="1751"/>
      <c r="B158" s="1751"/>
    </row>
  </sheetData>
  <autoFilter ref="A3:M129" xr:uid="{00000000-0009-0000-0000-000009000000}"/>
  <sortState xmlns:xlrd2="http://schemas.microsoft.com/office/spreadsheetml/2017/richdata2" ref="A6:F125">
    <sortCondition ref="A6:A125"/>
  </sortState>
  <pageMargins left="0.25" right="0.25" top="0.75" bottom="0.75" header="0.3" footer="0.3"/>
  <pageSetup scale="59" fitToHeight="0" orientation="portrait" r:id="rId1"/>
  <rowBreaks count="1" manualBreakCount="1">
    <brk id="76" max="16383" man="1"/>
  </rowBreaks>
  <customProperties>
    <customPr name="OrphanNamesChecke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pageSetUpPr fitToPage="1"/>
  </sheetPr>
  <dimension ref="A1:AS296"/>
  <sheetViews>
    <sheetView showGridLines="0" topLeftCell="A206" zoomScale="85" zoomScaleNormal="85" zoomScaleSheetLayoutView="85" workbookViewId="0">
      <selection activeCell="A241" sqref="A241"/>
    </sheetView>
  </sheetViews>
  <sheetFormatPr defaultColWidth="8.90625" defaultRowHeight="13.8" outlineLevelCol="1"/>
  <cols>
    <col min="1" max="1" width="14.54296875" style="1386" customWidth="1"/>
    <col min="2" max="2" width="11.54296875" style="1386" customWidth="1"/>
    <col min="3" max="3" width="15" style="1428" customWidth="1"/>
    <col min="4" max="4" width="7.08984375" style="1386" customWidth="1"/>
    <col min="5" max="5" width="7.08984375" style="1428" customWidth="1"/>
    <col min="6" max="6" width="7.08984375" style="1386" customWidth="1"/>
    <col min="7" max="7" width="11" style="1386" hidden="1" customWidth="1" outlineLevel="1"/>
    <col min="8" max="8" width="33.36328125" style="1386" hidden="1" customWidth="1" outlineLevel="1"/>
    <col min="9" max="10" width="8.90625" style="1429" hidden="1" customWidth="1" outlineLevel="1"/>
    <col min="11" max="11" width="8.90625" style="1430" hidden="1" customWidth="1" outlineLevel="1"/>
    <col min="12" max="12" width="33.36328125" style="1386" hidden="1" customWidth="1" outlineLevel="1"/>
    <col min="13" max="13" width="3.6328125" style="1386" hidden="1" customWidth="1" outlineLevel="1"/>
    <col min="14" max="14" width="4.6328125" style="1386" hidden="1" customWidth="1" outlineLevel="1"/>
    <col min="15" max="15" width="8.36328125" style="1386" hidden="1" customWidth="1" outlineLevel="1"/>
    <col min="16" max="16" width="33.36328125" style="1386" hidden="1" customWidth="1" outlineLevel="1"/>
    <col min="17" max="17" width="3.6328125" style="1386" hidden="1" customWidth="1" outlineLevel="1"/>
    <col min="18" max="18" width="4.6328125" style="1386" hidden="1" customWidth="1" outlineLevel="1"/>
    <col min="19" max="19" width="8.36328125" style="1386" hidden="1" customWidth="1" outlineLevel="1"/>
    <col min="20" max="21" width="5.1796875" style="1386" hidden="1" customWidth="1" outlineLevel="1"/>
    <col min="22" max="22" width="7.08984375" style="1386" hidden="1" customWidth="1" outlineLevel="1"/>
    <col min="23" max="24" width="3.81640625" style="1386" hidden="1" customWidth="1" outlineLevel="1"/>
    <col min="25" max="26" width="8.90625" style="1386" hidden="1" customWidth="1" outlineLevel="1"/>
    <col min="27" max="27" width="7.08984375" style="1386" customWidth="1" collapsed="1"/>
    <col min="28" max="28" width="7.08984375" style="1386" customWidth="1"/>
    <col min="29" max="29" width="11.08984375" style="1386" customWidth="1"/>
    <col min="30" max="30" width="9.36328125" style="1386" customWidth="1"/>
    <col min="31" max="32" width="8.90625" style="1386"/>
    <col min="33" max="38" width="7.54296875" style="1386" customWidth="1"/>
    <col min="39" max="39" width="8.90625" style="1386"/>
    <col min="40" max="40" width="2" style="1386" bestFit="1" customWidth="1"/>
    <col min="41" max="41" width="5.453125" style="1386" bestFit="1" customWidth="1"/>
    <col min="42" max="42" width="4.6328125" style="1386" bestFit="1" customWidth="1"/>
    <col min="43" max="43" width="5.08984375" style="1386" bestFit="1" customWidth="1"/>
    <col min="44" max="44" width="4.6328125" style="1386" bestFit="1" customWidth="1"/>
    <col min="45" max="16384" width="8.90625" style="1386"/>
  </cols>
  <sheetData>
    <row r="1" spans="1:25">
      <c r="U1" s="1431" t="s">
        <v>1448</v>
      </c>
      <c r="V1" s="1432"/>
    </row>
    <row r="2" spans="1:25" ht="14.4" thickBot="1">
      <c r="A2" s="1433" t="s">
        <v>1387</v>
      </c>
      <c r="B2" s="1433"/>
      <c r="C2" s="1433"/>
      <c r="D2" s="1434"/>
      <c r="E2" s="1434"/>
      <c r="H2" s="1432" t="s">
        <v>1432</v>
      </c>
      <c r="I2" s="1435" t="s">
        <v>1423</v>
      </c>
      <c r="J2" s="1435" t="s">
        <v>1424</v>
      </c>
      <c r="K2" s="1435" t="s">
        <v>1425</v>
      </c>
      <c r="L2" s="1432" t="s">
        <v>1422</v>
      </c>
      <c r="M2" s="1435" t="s">
        <v>1423</v>
      </c>
      <c r="N2" s="1435" t="s">
        <v>1424</v>
      </c>
      <c r="O2" s="1435" t="s">
        <v>1425</v>
      </c>
      <c r="P2" s="1432" t="s">
        <v>1421</v>
      </c>
      <c r="Q2" s="1435" t="s">
        <v>1423</v>
      </c>
      <c r="R2" s="1435" t="s">
        <v>1424</v>
      </c>
      <c r="S2" s="1435" t="s">
        <v>1425</v>
      </c>
      <c r="T2" s="1432" t="s">
        <v>1450</v>
      </c>
      <c r="W2" s="1432"/>
      <c r="X2" s="1432" t="s">
        <v>1449</v>
      </c>
      <c r="Y2" s="1432"/>
    </row>
    <row r="3" spans="1:25">
      <c r="H3" s="1013" t="s">
        <v>1302</v>
      </c>
      <c r="I3" s="1429">
        <v>27</v>
      </c>
      <c r="J3" s="1429">
        <v>250</v>
      </c>
      <c r="K3" s="1436">
        <v>45226</v>
      </c>
      <c r="L3" s="1013" t="s">
        <v>1302</v>
      </c>
      <c r="M3" s="1437">
        <v>27</v>
      </c>
      <c r="N3" s="1437">
        <v>250</v>
      </c>
      <c r="O3" s="1437">
        <v>44726</v>
      </c>
      <c r="P3" s="1013" t="s">
        <v>1302</v>
      </c>
      <c r="Q3" s="1437">
        <v>27</v>
      </c>
      <c r="R3" s="1437">
        <v>250</v>
      </c>
      <c r="S3" s="1437">
        <v>44359</v>
      </c>
      <c r="T3" s="1386">
        <f>M3-Q3</f>
        <v>0</v>
      </c>
      <c r="U3" s="1386">
        <f>N3-R3</f>
        <v>0</v>
      </c>
      <c r="V3" s="1438">
        <f>(O3-S3)/O3</f>
        <v>8.2055180431963512E-3</v>
      </c>
      <c r="X3" s="1386">
        <f>I3-Q3</f>
        <v>0</v>
      </c>
      <c r="Y3" s="1386">
        <f t="shared" ref="Y3:Y23" si="0">J3-N3</f>
        <v>0</v>
      </c>
    </row>
    <row r="4" spans="1:25">
      <c r="C4" s="1386"/>
      <c r="E4" s="1386"/>
      <c r="H4" s="1013" t="s">
        <v>958</v>
      </c>
      <c r="I4" s="1429">
        <v>54</v>
      </c>
      <c r="J4" s="1429">
        <v>400</v>
      </c>
      <c r="K4" s="1439">
        <v>90000</v>
      </c>
      <c r="L4" s="1013" t="s">
        <v>958</v>
      </c>
      <c r="M4" s="1437">
        <v>54</v>
      </c>
      <c r="N4" s="1437">
        <v>400</v>
      </c>
      <c r="O4" s="1437">
        <v>84932</v>
      </c>
      <c r="P4" s="1013" t="s">
        <v>958</v>
      </c>
      <c r="Q4" s="1437">
        <v>54</v>
      </c>
      <c r="R4" s="1437">
        <v>400</v>
      </c>
      <c r="S4" s="1437">
        <v>90000</v>
      </c>
      <c r="T4" s="1386">
        <f t="shared" ref="T4:T38" si="1">M4-Q4</f>
        <v>0</v>
      </c>
      <c r="U4" s="1386">
        <f t="shared" ref="U4:U38" si="2">N4-R4</f>
        <v>0</v>
      </c>
      <c r="V4" s="1438">
        <f t="shared" ref="V4:V38" si="3">(O4-S4)/O4</f>
        <v>-5.9671266424904633E-2</v>
      </c>
      <c r="X4" s="1386">
        <f t="shared" ref="X4:X46" si="4">I4-Q4</f>
        <v>0</v>
      </c>
      <c r="Y4" s="1386">
        <f t="shared" si="0"/>
        <v>0</v>
      </c>
    </row>
    <row r="5" spans="1:25">
      <c r="A5" s="1386">
        <v>1</v>
      </c>
      <c r="B5" s="1440" t="s">
        <v>1418</v>
      </c>
      <c r="C5" s="1440" t="s">
        <v>1419</v>
      </c>
      <c r="E5" s="1386"/>
      <c r="H5" s="1013" t="s">
        <v>1019</v>
      </c>
      <c r="I5" s="1429">
        <v>36</v>
      </c>
      <c r="J5" s="1429">
        <v>225</v>
      </c>
      <c r="K5" s="1437">
        <v>49310</v>
      </c>
      <c r="L5" s="1013" t="s">
        <v>1019</v>
      </c>
      <c r="M5" s="1437">
        <v>36</v>
      </c>
      <c r="N5" s="1437">
        <v>225</v>
      </c>
      <c r="O5" s="1437">
        <v>48950</v>
      </c>
      <c r="P5" s="1013" t="s">
        <v>1019</v>
      </c>
      <c r="Q5" s="1437">
        <v>36</v>
      </c>
      <c r="R5" s="1437">
        <v>225</v>
      </c>
      <c r="S5" s="1437">
        <v>47684</v>
      </c>
      <c r="T5" s="1386">
        <f t="shared" si="1"/>
        <v>0</v>
      </c>
      <c r="U5" s="1386">
        <f t="shared" si="2"/>
        <v>0</v>
      </c>
      <c r="V5" s="1438">
        <f t="shared" si="3"/>
        <v>2.5863125638406537E-2</v>
      </c>
      <c r="X5" s="1386">
        <f t="shared" si="4"/>
        <v>0</v>
      </c>
      <c r="Y5" s="1386">
        <f t="shared" si="0"/>
        <v>0</v>
      </c>
    </row>
    <row r="6" spans="1:25">
      <c r="A6" s="1386">
        <v>2</v>
      </c>
      <c r="B6" s="1440" t="s">
        <v>1420</v>
      </c>
      <c r="C6" s="1440" t="s">
        <v>1503</v>
      </c>
      <c r="E6" s="1386"/>
      <c r="H6" s="1013" t="s">
        <v>1418</v>
      </c>
      <c r="I6" s="1429">
        <v>72</v>
      </c>
      <c r="J6" s="1429">
        <v>625</v>
      </c>
      <c r="K6" s="1437">
        <v>87112</v>
      </c>
      <c r="L6" s="1013" t="s">
        <v>1325</v>
      </c>
      <c r="M6" s="1437">
        <v>72</v>
      </c>
      <c r="N6" s="1437">
        <v>625</v>
      </c>
      <c r="O6" s="1437">
        <v>105008</v>
      </c>
      <c r="P6" s="1013" t="s">
        <v>1325</v>
      </c>
      <c r="Q6" s="1437">
        <v>72</v>
      </c>
      <c r="R6" s="1437">
        <v>625</v>
      </c>
      <c r="S6" s="1437">
        <v>105008</v>
      </c>
      <c r="T6" s="1386">
        <f t="shared" si="1"/>
        <v>0</v>
      </c>
      <c r="U6" s="1386">
        <f t="shared" si="2"/>
        <v>0</v>
      </c>
      <c r="V6" s="1438">
        <f t="shared" si="3"/>
        <v>0</v>
      </c>
      <c r="X6" s="1386">
        <f t="shared" si="4"/>
        <v>0</v>
      </c>
      <c r="Y6" s="1386">
        <f t="shared" si="0"/>
        <v>0</v>
      </c>
    </row>
    <row r="7" spans="1:25">
      <c r="C7" s="1386"/>
      <c r="E7" s="1386"/>
      <c r="H7" s="1013" t="s">
        <v>993</v>
      </c>
      <c r="I7" s="1429">
        <v>36</v>
      </c>
      <c r="J7" s="1429">
        <v>300</v>
      </c>
      <c r="K7" s="1439">
        <v>37532</v>
      </c>
      <c r="L7" s="1013" t="s">
        <v>637</v>
      </c>
      <c r="M7" s="1437">
        <v>36</v>
      </c>
      <c r="N7" s="1437">
        <v>300</v>
      </c>
      <c r="O7" s="1437">
        <v>38339</v>
      </c>
      <c r="P7" s="1013" t="s">
        <v>637</v>
      </c>
      <c r="Q7" s="1437">
        <v>36</v>
      </c>
      <c r="R7" s="1437">
        <v>300</v>
      </c>
      <c r="S7" s="1437">
        <v>35415</v>
      </c>
      <c r="T7" s="1386">
        <f t="shared" si="1"/>
        <v>0</v>
      </c>
      <c r="U7" s="1386">
        <f t="shared" si="2"/>
        <v>0</v>
      </c>
      <c r="V7" s="1438">
        <f t="shared" si="3"/>
        <v>7.6266986619369315E-2</v>
      </c>
      <c r="X7" s="1386">
        <f t="shared" si="4"/>
        <v>0</v>
      </c>
      <c r="Y7" s="1386">
        <f t="shared" si="0"/>
        <v>0</v>
      </c>
    </row>
    <row r="8" spans="1:25">
      <c r="A8" s="1386">
        <v>3</v>
      </c>
      <c r="B8" s="1440" t="s">
        <v>1451</v>
      </c>
      <c r="C8" s="1440" t="s">
        <v>1472</v>
      </c>
      <c r="E8" s="1386"/>
      <c r="H8" s="1013" t="s">
        <v>624</v>
      </c>
      <c r="I8" s="1429">
        <v>90</v>
      </c>
      <c r="J8" s="1429">
        <v>430</v>
      </c>
      <c r="K8" s="1436">
        <v>116693</v>
      </c>
      <c r="L8" s="1013" t="s">
        <v>624</v>
      </c>
      <c r="M8" s="1437">
        <v>90</v>
      </c>
      <c r="N8" s="1437">
        <v>430</v>
      </c>
      <c r="O8" s="1437">
        <v>119535</v>
      </c>
      <c r="P8" s="1013" t="s">
        <v>624</v>
      </c>
      <c r="Q8" s="1437">
        <v>90</v>
      </c>
      <c r="R8" s="1437">
        <v>430</v>
      </c>
      <c r="S8" s="1437">
        <v>113676</v>
      </c>
      <c r="T8" s="1386">
        <f t="shared" si="1"/>
        <v>0</v>
      </c>
      <c r="U8" s="1386">
        <f t="shared" si="2"/>
        <v>0</v>
      </c>
      <c r="V8" s="1438">
        <f t="shared" si="3"/>
        <v>4.9014932864851299E-2</v>
      </c>
      <c r="X8" s="1386">
        <f t="shared" si="4"/>
        <v>0</v>
      </c>
      <c r="Y8" s="1386">
        <f t="shared" si="0"/>
        <v>0</v>
      </c>
    </row>
    <row r="9" spans="1:25">
      <c r="C9" s="1440"/>
      <c r="E9" s="1386"/>
      <c r="H9" s="1013" t="s">
        <v>1006</v>
      </c>
      <c r="I9" s="1429">
        <v>36</v>
      </c>
      <c r="J9" s="1429">
        <v>240</v>
      </c>
      <c r="K9" s="1437">
        <v>50151</v>
      </c>
      <c r="L9" s="1013" t="s">
        <v>1006</v>
      </c>
      <c r="M9" s="1437">
        <v>36</v>
      </c>
      <c r="N9" s="1437">
        <v>240</v>
      </c>
      <c r="O9" s="1437">
        <v>58600</v>
      </c>
      <c r="P9" s="1441" t="s">
        <v>1006</v>
      </c>
      <c r="Q9" s="1442">
        <v>36</v>
      </c>
      <c r="R9" s="1442">
        <v>210</v>
      </c>
      <c r="S9" s="1442">
        <v>50839</v>
      </c>
      <c r="T9" s="1443">
        <f t="shared" si="1"/>
        <v>0</v>
      </c>
      <c r="U9" s="1444">
        <f t="shared" si="2"/>
        <v>30</v>
      </c>
      <c r="V9" s="1445">
        <f t="shared" si="3"/>
        <v>0.13244027303754266</v>
      </c>
      <c r="X9" s="1386">
        <f t="shared" si="4"/>
        <v>0</v>
      </c>
      <c r="Y9" s="1386">
        <f t="shared" si="0"/>
        <v>0</v>
      </c>
    </row>
    <row r="10" spans="1:25">
      <c r="A10" s="1386">
        <v>4</v>
      </c>
      <c r="B10" s="1440" t="s">
        <v>1463</v>
      </c>
      <c r="C10" s="1440" t="s">
        <v>1464</v>
      </c>
      <c r="E10" s="1386"/>
      <c r="H10" s="1011" t="s">
        <v>682</v>
      </c>
      <c r="I10" s="1429">
        <v>36</v>
      </c>
      <c r="J10" s="1429">
        <v>235</v>
      </c>
      <c r="K10" s="1436">
        <v>39076</v>
      </c>
      <c r="L10" s="1011" t="s">
        <v>682</v>
      </c>
      <c r="M10" s="1437">
        <v>36</v>
      </c>
      <c r="N10" s="1437">
        <v>235</v>
      </c>
      <c r="O10" s="1437">
        <v>44689</v>
      </c>
      <c r="P10" s="1011" t="s">
        <v>682</v>
      </c>
      <c r="Q10" s="1437">
        <v>36</v>
      </c>
      <c r="R10" s="1437">
        <v>235</v>
      </c>
      <c r="S10" s="1437">
        <v>41911</v>
      </c>
      <c r="T10" s="1386">
        <f t="shared" si="1"/>
        <v>0</v>
      </c>
      <c r="U10" s="1386">
        <f t="shared" si="2"/>
        <v>0</v>
      </c>
      <c r="V10" s="1438">
        <f t="shared" si="3"/>
        <v>6.2162948376557989E-2</v>
      </c>
      <c r="X10" s="1386">
        <f t="shared" si="4"/>
        <v>0</v>
      </c>
      <c r="Y10" s="1386">
        <f t="shared" si="0"/>
        <v>0</v>
      </c>
    </row>
    <row r="11" spans="1:25">
      <c r="C11" s="1386"/>
      <c r="E11" s="1386"/>
      <c r="H11" s="1013" t="s">
        <v>259</v>
      </c>
      <c r="I11" s="1429">
        <v>27</v>
      </c>
      <c r="J11" s="1429">
        <v>135</v>
      </c>
      <c r="K11" s="1437">
        <v>22270</v>
      </c>
      <c r="L11" s="1013" t="s">
        <v>1326</v>
      </c>
      <c r="M11" s="1437">
        <v>27</v>
      </c>
      <c r="N11" s="1437">
        <v>135</v>
      </c>
      <c r="O11" s="1437">
        <v>31007</v>
      </c>
      <c r="P11" s="1013" t="s">
        <v>1326</v>
      </c>
      <c r="Q11" s="1437">
        <v>27</v>
      </c>
      <c r="R11" s="1437">
        <v>135</v>
      </c>
      <c r="S11" s="1437">
        <v>38321</v>
      </c>
      <c r="T11" s="1386">
        <f t="shared" si="1"/>
        <v>0</v>
      </c>
      <c r="U11" s="1386">
        <f t="shared" si="2"/>
        <v>0</v>
      </c>
      <c r="V11" s="1438">
        <f t="shared" si="3"/>
        <v>-0.2358822201438385</v>
      </c>
      <c r="X11" s="1386">
        <f t="shared" si="4"/>
        <v>0</v>
      </c>
      <c r="Y11" s="1386">
        <f t="shared" si="0"/>
        <v>0</v>
      </c>
    </row>
    <row r="12" spans="1:25">
      <c r="C12" s="1386"/>
      <c r="E12" s="1386"/>
      <c r="H12" s="1013" t="s">
        <v>407</v>
      </c>
      <c r="I12" s="1429">
        <v>36</v>
      </c>
      <c r="J12" s="1429">
        <v>200</v>
      </c>
      <c r="K12" s="1436">
        <v>52328</v>
      </c>
      <c r="L12" s="1013" t="s">
        <v>1304</v>
      </c>
      <c r="M12" s="1437">
        <v>36</v>
      </c>
      <c r="N12" s="1437">
        <v>200</v>
      </c>
      <c r="O12" s="1437">
        <v>48246</v>
      </c>
      <c r="P12" s="1013" t="s">
        <v>1304</v>
      </c>
      <c r="Q12" s="1437">
        <v>36</v>
      </c>
      <c r="R12" s="1437">
        <v>200</v>
      </c>
      <c r="S12" s="1437">
        <v>41989</v>
      </c>
      <c r="T12" s="1386">
        <f t="shared" si="1"/>
        <v>0</v>
      </c>
      <c r="U12" s="1386">
        <f t="shared" si="2"/>
        <v>0</v>
      </c>
      <c r="V12" s="1438">
        <f t="shared" si="3"/>
        <v>0.12968950793848194</v>
      </c>
      <c r="X12" s="1386">
        <f t="shared" si="4"/>
        <v>0</v>
      </c>
      <c r="Y12" s="1386">
        <f t="shared" si="0"/>
        <v>0</v>
      </c>
    </row>
    <row r="13" spans="1:25">
      <c r="A13" s="1386">
        <v>5</v>
      </c>
      <c r="B13" s="1440" t="s">
        <v>724</v>
      </c>
      <c r="C13" s="1440" t="s">
        <v>1465</v>
      </c>
      <c r="E13" s="1386"/>
      <c r="H13" s="1013" t="s">
        <v>686</v>
      </c>
      <c r="I13" s="1429">
        <v>36</v>
      </c>
      <c r="J13" s="1429">
        <v>240</v>
      </c>
      <c r="K13" s="1437">
        <v>47453</v>
      </c>
      <c r="L13" s="1013" t="s">
        <v>686</v>
      </c>
      <c r="M13" s="1437">
        <v>36</v>
      </c>
      <c r="N13" s="1437">
        <v>240</v>
      </c>
      <c r="O13" s="1437">
        <v>43109</v>
      </c>
      <c r="P13" s="1013" t="s">
        <v>686</v>
      </c>
      <c r="Q13" s="1437">
        <v>36</v>
      </c>
      <c r="R13" s="1437">
        <v>240</v>
      </c>
      <c r="S13" s="1437">
        <v>44992</v>
      </c>
      <c r="T13" s="1386">
        <f t="shared" si="1"/>
        <v>0</v>
      </c>
      <c r="U13" s="1386">
        <f t="shared" si="2"/>
        <v>0</v>
      </c>
      <c r="V13" s="1438">
        <f t="shared" si="3"/>
        <v>-4.3679974019346306E-2</v>
      </c>
      <c r="X13" s="1386">
        <f t="shared" si="4"/>
        <v>0</v>
      </c>
      <c r="Y13" s="1386">
        <f t="shared" si="0"/>
        <v>0</v>
      </c>
    </row>
    <row r="14" spans="1:25">
      <c r="A14" s="1386">
        <v>6</v>
      </c>
      <c r="B14" s="1440" t="s">
        <v>1127</v>
      </c>
      <c r="C14" s="1440" t="s">
        <v>1465</v>
      </c>
      <c r="E14" s="1386"/>
      <c r="H14" s="1011" t="s">
        <v>1133</v>
      </c>
      <c r="I14" s="1429">
        <v>36</v>
      </c>
      <c r="J14" s="1429">
        <v>275</v>
      </c>
      <c r="K14" s="1436">
        <v>45565</v>
      </c>
      <c r="L14" s="1011" t="s">
        <v>1133</v>
      </c>
      <c r="M14" s="1437">
        <v>36</v>
      </c>
      <c r="N14" s="1437">
        <v>275</v>
      </c>
      <c r="O14" s="1437">
        <v>50043</v>
      </c>
      <c r="P14" s="1011" t="s">
        <v>1133</v>
      </c>
      <c r="Q14" s="1437">
        <v>36</v>
      </c>
      <c r="R14" s="1437">
        <v>275</v>
      </c>
      <c r="S14" s="1437">
        <v>45681</v>
      </c>
      <c r="T14" s="1386">
        <f t="shared" si="1"/>
        <v>0</v>
      </c>
      <c r="U14" s="1386">
        <f t="shared" si="2"/>
        <v>0</v>
      </c>
      <c r="V14" s="1438">
        <f t="shared" si="3"/>
        <v>8.7165038067262154E-2</v>
      </c>
      <c r="X14" s="1386">
        <f t="shared" si="4"/>
        <v>0</v>
      </c>
      <c r="Y14" s="1386">
        <f t="shared" si="0"/>
        <v>0</v>
      </c>
    </row>
    <row r="15" spans="1:25">
      <c r="A15" s="1386">
        <v>7</v>
      </c>
      <c r="B15" s="1440" t="s">
        <v>266</v>
      </c>
      <c r="C15" s="1440" t="s">
        <v>1465</v>
      </c>
      <c r="E15" s="1386"/>
      <c r="H15" s="1013" t="s">
        <v>1426</v>
      </c>
      <c r="I15" s="1429">
        <v>27</v>
      </c>
      <c r="J15" s="1429">
        <v>165</v>
      </c>
      <c r="K15" s="1436">
        <v>60789</v>
      </c>
      <c r="L15" s="1013" t="s">
        <v>1194</v>
      </c>
      <c r="M15" s="1437">
        <v>27</v>
      </c>
      <c r="N15" s="1437">
        <v>165</v>
      </c>
      <c r="O15" s="1437">
        <v>60471</v>
      </c>
      <c r="P15" s="1013" t="s">
        <v>1194</v>
      </c>
      <c r="Q15" s="1437">
        <v>27</v>
      </c>
      <c r="R15" s="1437">
        <v>165</v>
      </c>
      <c r="S15" s="1437">
        <v>60813</v>
      </c>
      <c r="T15" s="1386">
        <f t="shared" si="1"/>
        <v>0</v>
      </c>
      <c r="U15" s="1386">
        <f t="shared" si="2"/>
        <v>0</v>
      </c>
      <c r="V15" s="1438">
        <f t="shared" si="3"/>
        <v>-5.6556035124274446E-3</v>
      </c>
      <c r="X15" s="1386">
        <f t="shared" si="4"/>
        <v>0</v>
      </c>
      <c r="Y15" s="1386">
        <f t="shared" si="0"/>
        <v>0</v>
      </c>
    </row>
    <row r="16" spans="1:25">
      <c r="A16" s="1386">
        <v>8</v>
      </c>
      <c r="B16" s="1440" t="s">
        <v>682</v>
      </c>
      <c r="C16" s="1440" t="s">
        <v>1465</v>
      </c>
      <c r="E16" s="1386"/>
      <c r="H16" s="1013" t="s">
        <v>261</v>
      </c>
      <c r="I16" s="1429">
        <v>36</v>
      </c>
      <c r="J16" s="1429">
        <v>210</v>
      </c>
      <c r="K16" s="1437">
        <v>36678</v>
      </c>
      <c r="L16" s="1013" t="s">
        <v>1312</v>
      </c>
      <c r="M16" s="1437">
        <v>36</v>
      </c>
      <c r="N16" s="1437">
        <v>210</v>
      </c>
      <c r="O16" s="1437">
        <v>38784</v>
      </c>
      <c r="P16" s="1013" t="s">
        <v>1312</v>
      </c>
      <c r="Q16" s="1437">
        <v>36</v>
      </c>
      <c r="R16" s="1437">
        <v>210</v>
      </c>
      <c r="S16" s="1437">
        <v>36250</v>
      </c>
      <c r="T16" s="1386">
        <f t="shared" si="1"/>
        <v>0</v>
      </c>
      <c r="U16" s="1386">
        <f t="shared" si="2"/>
        <v>0</v>
      </c>
      <c r="V16" s="1438">
        <f t="shared" si="3"/>
        <v>6.5336221122112209E-2</v>
      </c>
      <c r="X16" s="1386">
        <f t="shared" si="4"/>
        <v>0</v>
      </c>
      <c r="Y16" s="1386">
        <f t="shared" si="0"/>
        <v>0</v>
      </c>
    </row>
    <row r="17" spans="1:25">
      <c r="A17" s="1386">
        <v>9</v>
      </c>
      <c r="B17" s="1440" t="s">
        <v>1315</v>
      </c>
      <c r="C17" s="1440" t="s">
        <v>1465</v>
      </c>
      <c r="E17" s="1386"/>
      <c r="H17" s="1013" t="s">
        <v>550</v>
      </c>
      <c r="I17" s="1429">
        <v>36</v>
      </c>
      <c r="J17" s="1429">
        <v>230</v>
      </c>
      <c r="K17" s="1439">
        <v>43785</v>
      </c>
      <c r="L17" s="1013" t="s">
        <v>550</v>
      </c>
      <c r="M17" s="1437">
        <v>36</v>
      </c>
      <c r="N17" s="1437">
        <v>230</v>
      </c>
      <c r="O17" s="1437">
        <v>42500</v>
      </c>
      <c r="P17" s="1013" t="s">
        <v>550</v>
      </c>
      <c r="Q17" s="1437">
        <v>36</v>
      </c>
      <c r="R17" s="1437">
        <v>230</v>
      </c>
      <c r="S17" s="1437">
        <v>41500</v>
      </c>
      <c r="T17" s="1386">
        <f t="shared" si="1"/>
        <v>0</v>
      </c>
      <c r="U17" s="1386">
        <f t="shared" si="2"/>
        <v>0</v>
      </c>
      <c r="V17" s="1438">
        <f t="shared" si="3"/>
        <v>2.3529411764705882E-2</v>
      </c>
      <c r="X17" s="1386">
        <f t="shared" si="4"/>
        <v>0</v>
      </c>
      <c r="Y17" s="1386">
        <f t="shared" si="0"/>
        <v>0</v>
      </c>
    </row>
    <row r="18" spans="1:25">
      <c r="A18" s="1386">
        <v>10</v>
      </c>
      <c r="B18" s="1440" t="s">
        <v>1028</v>
      </c>
      <c r="C18" s="1386" t="s">
        <v>1465</v>
      </c>
      <c r="E18" s="1386"/>
      <c r="H18" s="1013" t="s">
        <v>1427</v>
      </c>
      <c r="I18" s="1429">
        <v>54</v>
      </c>
      <c r="J18" s="1429">
        <v>495</v>
      </c>
      <c r="K18" s="1437">
        <v>64523</v>
      </c>
      <c r="L18" s="1013" t="s">
        <v>1023</v>
      </c>
      <c r="M18" s="1437">
        <v>54</v>
      </c>
      <c r="N18" s="1437">
        <v>495</v>
      </c>
      <c r="O18" s="1437">
        <v>66356</v>
      </c>
      <c r="P18" s="1013" t="s">
        <v>1023</v>
      </c>
      <c r="Q18" s="1437">
        <v>54</v>
      </c>
      <c r="R18" s="1437">
        <v>495</v>
      </c>
      <c r="S18" s="1437">
        <v>71926</v>
      </c>
      <c r="T18" s="1386">
        <f t="shared" si="1"/>
        <v>0</v>
      </c>
      <c r="U18" s="1386">
        <f t="shared" si="2"/>
        <v>0</v>
      </c>
      <c r="V18" s="1438">
        <f t="shared" si="3"/>
        <v>-8.3941165832780759E-2</v>
      </c>
      <c r="X18" s="1386">
        <f t="shared" si="4"/>
        <v>0</v>
      </c>
      <c r="Y18" s="1386">
        <f t="shared" si="0"/>
        <v>0</v>
      </c>
    </row>
    <row r="19" spans="1:25">
      <c r="A19" s="1386">
        <v>11</v>
      </c>
      <c r="B19" s="1440" t="s">
        <v>1005</v>
      </c>
      <c r="C19" s="1440" t="s">
        <v>1465</v>
      </c>
      <c r="E19" s="1386"/>
      <c r="H19" s="1013" t="s">
        <v>1024</v>
      </c>
      <c r="I19" s="1429">
        <v>36</v>
      </c>
      <c r="J19" s="1429">
        <v>188</v>
      </c>
      <c r="K19" s="1437">
        <v>36930</v>
      </c>
      <c r="L19" s="1013" t="s">
        <v>839</v>
      </c>
      <c r="M19" s="1437">
        <v>36</v>
      </c>
      <c r="N19" s="1437">
        <v>210</v>
      </c>
      <c r="O19" s="1437">
        <v>37315</v>
      </c>
      <c r="P19" s="1013" t="s">
        <v>839</v>
      </c>
      <c r="Q19" s="1437">
        <v>36</v>
      </c>
      <c r="R19" s="1437">
        <v>210</v>
      </c>
      <c r="S19" s="1437">
        <v>41000</v>
      </c>
      <c r="T19" s="1386">
        <f t="shared" si="1"/>
        <v>0</v>
      </c>
      <c r="U19" s="1386">
        <f t="shared" si="2"/>
        <v>0</v>
      </c>
      <c r="V19" s="1438">
        <f t="shared" si="3"/>
        <v>-9.8753852338201789E-2</v>
      </c>
      <c r="X19" s="1386">
        <f t="shared" si="4"/>
        <v>0</v>
      </c>
      <c r="Y19" s="1386">
        <f t="shared" si="0"/>
        <v>-22</v>
      </c>
    </row>
    <row r="20" spans="1:25">
      <c r="A20" s="1386">
        <v>12</v>
      </c>
      <c r="B20" s="1386" t="s">
        <v>1160</v>
      </c>
      <c r="C20" s="1386" t="s">
        <v>1465</v>
      </c>
      <c r="E20" s="1386"/>
      <c r="H20" s="1013" t="s">
        <v>1138</v>
      </c>
      <c r="I20" s="1429">
        <v>36</v>
      </c>
      <c r="J20" s="1429">
        <v>250</v>
      </c>
      <c r="K20" s="1436">
        <v>43518</v>
      </c>
      <c r="L20" s="1013" t="s">
        <v>1138</v>
      </c>
      <c r="M20" s="1437">
        <v>36</v>
      </c>
      <c r="N20" s="1437">
        <v>201</v>
      </c>
      <c r="O20" s="1437">
        <v>44872</v>
      </c>
      <c r="P20" s="1013" t="s">
        <v>1138</v>
      </c>
      <c r="Q20" s="1437">
        <v>36</v>
      </c>
      <c r="R20" s="1437">
        <v>201</v>
      </c>
      <c r="S20" s="1437">
        <v>44872</v>
      </c>
      <c r="T20" s="1386">
        <f t="shared" si="1"/>
        <v>0</v>
      </c>
      <c r="U20" s="1386">
        <f t="shared" si="2"/>
        <v>0</v>
      </c>
      <c r="V20" s="1438">
        <f t="shared" si="3"/>
        <v>0</v>
      </c>
      <c r="X20" s="1386">
        <f t="shared" si="4"/>
        <v>0</v>
      </c>
      <c r="Y20" s="1386">
        <f t="shared" si="0"/>
        <v>49</v>
      </c>
    </row>
    <row r="21" spans="1:25">
      <c r="A21" s="1386">
        <v>13</v>
      </c>
      <c r="B21" s="1440" t="s">
        <v>634</v>
      </c>
      <c r="C21" s="1440" t="s">
        <v>1465</v>
      </c>
      <c r="E21" s="1386"/>
      <c r="H21" s="1013" t="s">
        <v>1148</v>
      </c>
      <c r="I21" s="1429">
        <v>27</v>
      </c>
      <c r="J21" s="1429">
        <v>150</v>
      </c>
      <c r="K21" s="1437">
        <v>72024</v>
      </c>
      <c r="L21" s="1013" t="s">
        <v>1148</v>
      </c>
      <c r="M21" s="1437">
        <v>27</v>
      </c>
      <c r="N21" s="1437">
        <v>150</v>
      </c>
      <c r="O21" s="1437">
        <v>68518</v>
      </c>
      <c r="P21" s="1013" t="s">
        <v>1148</v>
      </c>
      <c r="Q21" s="1437">
        <v>27</v>
      </c>
      <c r="R21" s="1437">
        <v>150</v>
      </c>
      <c r="S21" s="1437">
        <v>68074</v>
      </c>
      <c r="T21" s="1386">
        <f t="shared" si="1"/>
        <v>0</v>
      </c>
      <c r="U21" s="1386">
        <f t="shared" si="2"/>
        <v>0</v>
      </c>
      <c r="V21" s="1438">
        <f t="shared" si="3"/>
        <v>6.4800490382089376E-3</v>
      </c>
      <c r="X21" s="1386">
        <f t="shared" si="4"/>
        <v>0</v>
      </c>
      <c r="Y21" s="1386">
        <f t="shared" si="0"/>
        <v>0</v>
      </c>
    </row>
    <row r="22" spans="1:25">
      <c r="A22" s="1386">
        <v>14</v>
      </c>
      <c r="B22" s="1386" t="s">
        <v>697</v>
      </c>
      <c r="C22" s="1386" t="s">
        <v>1465</v>
      </c>
      <c r="E22" s="1386"/>
      <c r="H22" s="1013" t="s">
        <v>1134</v>
      </c>
      <c r="I22" s="1429">
        <v>36</v>
      </c>
      <c r="J22" s="1429">
        <v>300</v>
      </c>
      <c r="K22" s="1436">
        <v>44442</v>
      </c>
      <c r="L22" s="1013" t="s">
        <v>1134</v>
      </c>
      <c r="M22" s="1437">
        <v>36</v>
      </c>
      <c r="N22" s="1437">
        <v>300</v>
      </c>
      <c r="O22" s="1437">
        <v>61262</v>
      </c>
      <c r="P22" s="1441" t="s">
        <v>1134</v>
      </c>
      <c r="Q22" s="1442">
        <v>36</v>
      </c>
      <c r="R22" s="1442">
        <v>240</v>
      </c>
      <c r="S22" s="1442">
        <v>59942</v>
      </c>
      <c r="T22" s="1443">
        <f t="shared" si="1"/>
        <v>0</v>
      </c>
      <c r="U22" s="1444">
        <f t="shared" si="2"/>
        <v>60</v>
      </c>
      <c r="V22" s="1445">
        <f t="shared" si="3"/>
        <v>2.1546798994482714E-2</v>
      </c>
      <c r="X22" s="1386">
        <f t="shared" si="4"/>
        <v>0</v>
      </c>
      <c r="Y22" s="1386">
        <f t="shared" si="0"/>
        <v>0</v>
      </c>
    </row>
    <row r="23" spans="1:25">
      <c r="A23" s="1386">
        <v>15</v>
      </c>
      <c r="B23" s="1386" t="s">
        <v>920</v>
      </c>
      <c r="C23" s="1386" t="s">
        <v>1465</v>
      </c>
      <c r="E23" s="1386"/>
      <c r="H23" s="1013" t="s">
        <v>1027</v>
      </c>
      <c r="I23" s="1429">
        <v>54</v>
      </c>
      <c r="J23" s="1429">
        <v>315</v>
      </c>
      <c r="K23" s="1437">
        <v>47789</v>
      </c>
      <c r="L23" s="1013" t="s">
        <v>1027</v>
      </c>
      <c r="M23" s="1437">
        <v>54</v>
      </c>
      <c r="N23" s="1437">
        <v>318</v>
      </c>
      <c r="O23" s="1437">
        <v>49343</v>
      </c>
      <c r="P23" s="1013" t="s">
        <v>1027</v>
      </c>
      <c r="Q23" s="1437">
        <v>54</v>
      </c>
      <c r="R23" s="1437">
        <v>315</v>
      </c>
      <c r="S23" s="1437">
        <v>50272</v>
      </c>
      <c r="T23" s="1386">
        <f t="shared" si="1"/>
        <v>0</v>
      </c>
      <c r="U23" s="1386">
        <f t="shared" si="2"/>
        <v>3</v>
      </c>
      <c r="V23" s="1438">
        <f t="shared" si="3"/>
        <v>-1.8827391929959671E-2</v>
      </c>
      <c r="X23" s="1386">
        <f t="shared" si="4"/>
        <v>0</v>
      </c>
      <c r="Y23" s="1386">
        <f t="shared" si="0"/>
        <v>-3</v>
      </c>
    </row>
    <row r="24" spans="1:25">
      <c r="C24" s="1386"/>
      <c r="E24" s="1386"/>
      <c r="H24" s="1013"/>
      <c r="K24" s="1437"/>
      <c r="L24" s="1013"/>
      <c r="M24" s="1437"/>
      <c r="N24" s="1437"/>
      <c r="O24" s="1437"/>
      <c r="P24" s="1013"/>
      <c r="Q24" s="1437"/>
      <c r="R24" s="1437"/>
      <c r="S24" s="1437"/>
      <c r="V24" s="1438"/>
    </row>
    <row r="25" spans="1:25">
      <c r="A25" s="1386">
        <v>16</v>
      </c>
      <c r="B25" s="1440" t="s">
        <v>1336</v>
      </c>
      <c r="C25" s="1440" t="s">
        <v>1466</v>
      </c>
      <c r="E25" s="1386"/>
      <c r="H25" s="1013" t="s">
        <v>995</v>
      </c>
      <c r="I25" s="1429">
        <v>54</v>
      </c>
      <c r="J25" s="1429">
        <v>483</v>
      </c>
      <c r="K25" s="1439">
        <v>87592</v>
      </c>
      <c r="L25" s="1013" t="s">
        <v>995</v>
      </c>
      <c r="M25" s="1437">
        <v>54</v>
      </c>
      <c r="N25" s="1437">
        <v>483</v>
      </c>
      <c r="O25" s="1437">
        <v>87400</v>
      </c>
      <c r="P25" s="1013" t="s">
        <v>995</v>
      </c>
      <c r="Q25" s="1437">
        <v>54</v>
      </c>
      <c r="R25" s="1437">
        <v>483</v>
      </c>
      <c r="S25" s="1437">
        <v>83600</v>
      </c>
      <c r="T25" s="1386">
        <f>M25-Q25</f>
        <v>0</v>
      </c>
      <c r="U25" s="1386">
        <f>N25-R25</f>
        <v>0</v>
      </c>
      <c r="V25" s="1438">
        <f>(O25-S25)/O25</f>
        <v>4.3478260869565216E-2</v>
      </c>
      <c r="X25" s="1386">
        <f>I25-Q25</f>
        <v>0</v>
      </c>
      <c r="Y25" s="1386">
        <f t="shared" ref="Y25:Y46" si="5">J25-N25</f>
        <v>0</v>
      </c>
    </row>
    <row r="26" spans="1:25">
      <c r="C26" s="1386"/>
      <c r="E26" s="1386"/>
      <c r="H26" s="1011" t="s">
        <v>1028</v>
      </c>
      <c r="I26" s="1429">
        <v>54</v>
      </c>
      <c r="J26" s="1429">
        <v>466</v>
      </c>
      <c r="K26" s="1437">
        <v>66000</v>
      </c>
      <c r="L26" s="1011" t="s">
        <v>1028</v>
      </c>
      <c r="M26" s="1437">
        <v>54</v>
      </c>
      <c r="N26" s="1437">
        <v>466</v>
      </c>
      <c r="O26" s="1437">
        <v>62355</v>
      </c>
      <c r="P26" s="1011" t="s">
        <v>1028</v>
      </c>
      <c r="Q26" s="1437">
        <v>54</v>
      </c>
      <c r="R26" s="1437">
        <v>466</v>
      </c>
      <c r="S26" s="1437">
        <v>55642</v>
      </c>
      <c r="T26" s="1386">
        <f t="shared" si="1"/>
        <v>0</v>
      </c>
      <c r="U26" s="1386">
        <f t="shared" si="2"/>
        <v>0</v>
      </c>
      <c r="V26" s="1438">
        <f t="shared" si="3"/>
        <v>0.10765776601715982</v>
      </c>
      <c r="X26" s="1386">
        <f t="shared" si="4"/>
        <v>0</v>
      </c>
      <c r="Y26" s="1386">
        <f t="shared" si="5"/>
        <v>0</v>
      </c>
    </row>
    <row r="27" spans="1:25">
      <c r="A27" s="1386">
        <v>17</v>
      </c>
      <c r="B27" s="1440" t="s">
        <v>1127</v>
      </c>
      <c r="C27" s="1440" t="s">
        <v>1467</v>
      </c>
      <c r="E27" s="1386"/>
      <c r="H27" s="1013" t="s">
        <v>704</v>
      </c>
      <c r="I27" s="1429">
        <v>36</v>
      </c>
      <c r="J27" s="1429">
        <v>123</v>
      </c>
      <c r="K27" s="1436">
        <v>34859</v>
      </c>
      <c r="L27" s="1013" t="s">
        <v>1313</v>
      </c>
      <c r="M27" s="1437">
        <v>36</v>
      </c>
      <c r="N27" s="1437">
        <v>123</v>
      </c>
      <c r="O27" s="1437">
        <v>33210</v>
      </c>
      <c r="P27" s="1013" t="s">
        <v>1313</v>
      </c>
      <c r="Q27" s="1437">
        <v>36</v>
      </c>
      <c r="R27" s="1437">
        <v>123</v>
      </c>
      <c r="S27" s="1437">
        <v>33983</v>
      </c>
      <c r="T27" s="1386">
        <f t="shared" si="1"/>
        <v>0</v>
      </c>
      <c r="U27" s="1386">
        <f t="shared" si="2"/>
        <v>0</v>
      </c>
      <c r="V27" s="1438">
        <f t="shared" si="3"/>
        <v>-2.327612165010539E-2</v>
      </c>
      <c r="X27" s="1386">
        <f t="shared" si="4"/>
        <v>0</v>
      </c>
      <c r="Y27" s="1386">
        <f t="shared" si="5"/>
        <v>0</v>
      </c>
    </row>
    <row r="28" spans="1:25">
      <c r="C28" s="1386"/>
      <c r="E28" s="1386"/>
      <c r="H28" s="1013" t="s">
        <v>1135</v>
      </c>
      <c r="I28" s="1429">
        <v>36</v>
      </c>
      <c r="J28" s="1429">
        <v>275</v>
      </c>
      <c r="K28" s="1436">
        <v>37526</v>
      </c>
      <c r="L28" s="1013" t="s">
        <v>1135</v>
      </c>
      <c r="M28" s="1437">
        <v>36</v>
      </c>
      <c r="N28" s="1437">
        <v>275</v>
      </c>
      <c r="O28" s="1437">
        <v>39250</v>
      </c>
      <c r="P28" s="1013" t="s">
        <v>1135</v>
      </c>
      <c r="Q28" s="1437">
        <v>36</v>
      </c>
      <c r="R28" s="1437">
        <v>275</v>
      </c>
      <c r="S28" s="1437">
        <v>41079</v>
      </c>
      <c r="T28" s="1386">
        <f t="shared" si="1"/>
        <v>0</v>
      </c>
      <c r="U28" s="1386">
        <f t="shared" si="2"/>
        <v>0</v>
      </c>
      <c r="V28" s="1438">
        <f t="shared" si="3"/>
        <v>-4.6598726114649679E-2</v>
      </c>
      <c r="X28" s="1386">
        <f t="shared" si="4"/>
        <v>0</v>
      </c>
      <c r="Y28" s="1386">
        <f t="shared" si="5"/>
        <v>0</v>
      </c>
    </row>
    <row r="29" spans="1:25">
      <c r="C29" s="1386"/>
      <c r="E29" s="1386"/>
      <c r="H29" s="1013" t="s">
        <v>1030</v>
      </c>
      <c r="I29" s="1429">
        <v>36</v>
      </c>
      <c r="J29" s="1429">
        <v>270</v>
      </c>
      <c r="K29" s="1437">
        <v>63190</v>
      </c>
      <c r="L29" s="1013" t="s">
        <v>843</v>
      </c>
      <c r="M29" s="1437">
        <v>36</v>
      </c>
      <c r="N29" s="1437">
        <v>270</v>
      </c>
      <c r="O29" s="1437">
        <v>62491</v>
      </c>
      <c r="P29" s="1013" t="s">
        <v>843</v>
      </c>
      <c r="Q29" s="1437">
        <v>36</v>
      </c>
      <c r="R29" s="1437">
        <v>270</v>
      </c>
      <c r="S29" s="1437">
        <v>66195</v>
      </c>
      <c r="T29" s="1386">
        <f t="shared" si="1"/>
        <v>0</v>
      </c>
      <c r="U29" s="1386">
        <f t="shared" si="2"/>
        <v>0</v>
      </c>
      <c r="V29" s="1438">
        <f t="shared" si="3"/>
        <v>-5.9272535245075288E-2</v>
      </c>
      <c r="X29" s="1386">
        <f t="shared" si="4"/>
        <v>0</v>
      </c>
      <c r="Y29" s="1386">
        <f t="shared" si="5"/>
        <v>0</v>
      </c>
    </row>
    <row r="30" spans="1:25">
      <c r="A30" s="1386">
        <v>18</v>
      </c>
      <c r="B30" s="1440" t="s">
        <v>1324</v>
      </c>
      <c r="C30" s="1440" t="s">
        <v>1468</v>
      </c>
      <c r="E30" s="1386"/>
      <c r="H30" s="1013" t="s">
        <v>1031</v>
      </c>
      <c r="I30" s="1429">
        <v>36</v>
      </c>
      <c r="J30" s="1429">
        <v>244</v>
      </c>
      <c r="K30" s="1437">
        <v>30980</v>
      </c>
      <c r="L30" s="1013" t="s">
        <v>680</v>
      </c>
      <c r="M30" s="1437">
        <v>36</v>
      </c>
      <c r="N30" s="1437">
        <v>105</v>
      </c>
      <c r="O30" s="1437">
        <v>51885</v>
      </c>
      <c r="P30" s="1013" t="s">
        <v>680</v>
      </c>
      <c r="Q30" s="1437">
        <v>36</v>
      </c>
      <c r="R30" s="1437">
        <v>105</v>
      </c>
      <c r="S30" s="1437">
        <v>52500</v>
      </c>
      <c r="T30" s="1386">
        <f t="shared" si="1"/>
        <v>0</v>
      </c>
      <c r="U30" s="1386">
        <f t="shared" si="2"/>
        <v>0</v>
      </c>
      <c r="V30" s="1438">
        <f t="shared" si="3"/>
        <v>-1.185313674472391E-2</v>
      </c>
      <c r="X30" s="1386">
        <f t="shared" si="4"/>
        <v>0</v>
      </c>
      <c r="Y30" s="1386">
        <f t="shared" si="5"/>
        <v>139</v>
      </c>
    </row>
    <row r="31" spans="1:25">
      <c r="A31" s="1386">
        <v>19</v>
      </c>
      <c r="B31" s="1440" t="s">
        <v>1136</v>
      </c>
      <c r="C31" s="1440" t="s">
        <v>1468</v>
      </c>
      <c r="E31" s="1386"/>
      <c r="H31" s="1013" t="s">
        <v>1428</v>
      </c>
      <c r="I31" s="1429">
        <v>36</v>
      </c>
      <c r="J31" s="1429">
        <v>165</v>
      </c>
      <c r="K31" s="1436">
        <v>51552</v>
      </c>
      <c r="L31" s="1013" t="s">
        <v>1308</v>
      </c>
      <c r="M31" s="1437">
        <v>36</v>
      </c>
      <c r="N31" s="1437">
        <v>250</v>
      </c>
      <c r="O31" s="1437">
        <v>50856</v>
      </c>
      <c r="P31" s="1013" t="s">
        <v>1308</v>
      </c>
      <c r="Q31" s="1437">
        <v>36</v>
      </c>
      <c r="R31" s="1437">
        <v>250</v>
      </c>
      <c r="S31" s="1437">
        <v>50000</v>
      </c>
      <c r="T31" s="1386">
        <f t="shared" si="1"/>
        <v>0</v>
      </c>
      <c r="U31" s="1386">
        <f t="shared" si="2"/>
        <v>0</v>
      </c>
      <c r="V31" s="1438">
        <f t="shared" si="3"/>
        <v>1.6831838917728489E-2</v>
      </c>
      <c r="X31" s="1386">
        <f t="shared" si="4"/>
        <v>0</v>
      </c>
      <c r="Y31" s="1386">
        <f t="shared" si="5"/>
        <v>-85</v>
      </c>
    </row>
    <row r="32" spans="1:25">
      <c r="A32" s="1386">
        <v>20</v>
      </c>
      <c r="B32" s="1386" t="s">
        <v>1146</v>
      </c>
      <c r="C32" s="1386" t="s">
        <v>1469</v>
      </c>
      <c r="E32" s="1386"/>
      <c r="H32" s="1013" t="s">
        <v>696</v>
      </c>
      <c r="I32" s="1429">
        <v>36</v>
      </c>
      <c r="J32" s="1429">
        <v>375</v>
      </c>
      <c r="K32" s="1436">
        <v>48210</v>
      </c>
      <c r="L32" s="1013" t="s">
        <v>696</v>
      </c>
      <c r="M32" s="1437">
        <v>36</v>
      </c>
      <c r="N32" s="1437">
        <v>375</v>
      </c>
      <c r="O32" s="1437">
        <v>47981</v>
      </c>
      <c r="P32" s="1013" t="s">
        <v>696</v>
      </c>
      <c r="Q32" s="1437">
        <v>36</v>
      </c>
      <c r="R32" s="1437">
        <v>375</v>
      </c>
      <c r="S32" s="1437">
        <v>43500</v>
      </c>
      <c r="T32" s="1386">
        <f t="shared" si="1"/>
        <v>0</v>
      </c>
      <c r="U32" s="1386">
        <f t="shared" si="2"/>
        <v>0</v>
      </c>
      <c r="V32" s="1438">
        <f t="shared" si="3"/>
        <v>9.3391133990537917E-2</v>
      </c>
      <c r="X32" s="1386">
        <f t="shared" si="4"/>
        <v>0</v>
      </c>
      <c r="Y32" s="1386">
        <f t="shared" si="5"/>
        <v>0</v>
      </c>
    </row>
    <row r="33" spans="1:25">
      <c r="A33" s="1386">
        <v>21</v>
      </c>
      <c r="B33" s="1386" t="s">
        <v>1018</v>
      </c>
      <c r="C33" s="1386" t="s">
        <v>1468</v>
      </c>
      <c r="E33" s="1386"/>
      <c r="H33" s="1011" t="s">
        <v>465</v>
      </c>
      <c r="I33" s="1429">
        <v>36</v>
      </c>
      <c r="J33" s="1429">
        <v>232</v>
      </c>
      <c r="K33" s="1436">
        <v>54119</v>
      </c>
      <c r="L33" s="1011" t="s">
        <v>465</v>
      </c>
      <c r="M33" s="1437">
        <v>36</v>
      </c>
      <c r="N33" s="1437">
        <v>232</v>
      </c>
      <c r="O33" s="1437">
        <v>54778</v>
      </c>
      <c r="P33" s="1011" t="s">
        <v>465</v>
      </c>
      <c r="Q33" s="1437">
        <v>36</v>
      </c>
      <c r="R33" s="1437">
        <v>232</v>
      </c>
      <c r="S33" s="1437">
        <v>54778</v>
      </c>
      <c r="T33" s="1386">
        <f t="shared" si="1"/>
        <v>0</v>
      </c>
      <c r="U33" s="1386">
        <f t="shared" si="2"/>
        <v>0</v>
      </c>
      <c r="V33" s="1438">
        <f t="shared" si="3"/>
        <v>0</v>
      </c>
      <c r="X33" s="1386">
        <f t="shared" si="4"/>
        <v>0</v>
      </c>
      <c r="Y33" s="1386">
        <f t="shared" si="5"/>
        <v>0</v>
      </c>
    </row>
    <row r="34" spans="1:25">
      <c r="A34" s="1386">
        <v>22</v>
      </c>
      <c r="B34" s="1386" t="s">
        <v>641</v>
      </c>
      <c r="C34" s="1386" t="s">
        <v>1468</v>
      </c>
      <c r="E34" s="1386"/>
      <c r="H34" s="1056" t="s">
        <v>1015</v>
      </c>
      <c r="I34" s="1429">
        <v>36</v>
      </c>
      <c r="J34" s="1429">
        <v>323</v>
      </c>
      <c r="K34" s="1437">
        <v>29392</v>
      </c>
      <c r="L34" s="1056" t="s">
        <v>1015</v>
      </c>
      <c r="M34" s="1437">
        <v>36</v>
      </c>
      <c r="N34" s="1437">
        <v>323</v>
      </c>
      <c r="O34" s="1437">
        <v>29384</v>
      </c>
      <c r="P34" s="1056" t="s">
        <v>1015</v>
      </c>
      <c r="Q34" s="1437">
        <v>36</v>
      </c>
      <c r="R34" s="1437">
        <v>323</v>
      </c>
      <c r="S34" s="1437">
        <v>37120</v>
      </c>
      <c r="T34" s="1386">
        <f t="shared" si="1"/>
        <v>0</v>
      </c>
      <c r="U34" s="1386">
        <f t="shared" si="2"/>
        <v>0</v>
      </c>
      <c r="V34" s="1438">
        <f t="shared" si="3"/>
        <v>-0.26327252926762862</v>
      </c>
      <c r="X34" s="1386">
        <f t="shared" si="4"/>
        <v>0</v>
      </c>
      <c r="Y34" s="1386">
        <f t="shared" si="5"/>
        <v>0</v>
      </c>
    </row>
    <row r="35" spans="1:25">
      <c r="C35" s="1386"/>
      <c r="E35" s="1386"/>
      <c r="H35" s="1013" t="s">
        <v>1429</v>
      </c>
      <c r="I35" s="1429">
        <v>36</v>
      </c>
      <c r="J35" s="1429">
        <v>220</v>
      </c>
      <c r="K35" s="1436">
        <v>38857</v>
      </c>
      <c r="L35" s="1013" t="s">
        <v>1309</v>
      </c>
      <c r="M35" s="1437">
        <v>36</v>
      </c>
      <c r="N35" s="1437">
        <v>220</v>
      </c>
      <c r="O35" s="1437">
        <v>39631</v>
      </c>
      <c r="P35" s="1013" t="s">
        <v>1309</v>
      </c>
      <c r="Q35" s="1437">
        <v>36</v>
      </c>
      <c r="R35" s="1437">
        <v>220</v>
      </c>
      <c r="S35" s="1437">
        <v>40160</v>
      </c>
      <c r="T35" s="1386">
        <f t="shared" si="1"/>
        <v>0</v>
      </c>
      <c r="U35" s="1386">
        <f t="shared" si="2"/>
        <v>0</v>
      </c>
      <c r="V35" s="1438">
        <f t="shared" si="3"/>
        <v>-1.334813655976382E-2</v>
      </c>
      <c r="X35" s="1386">
        <f t="shared" si="4"/>
        <v>0</v>
      </c>
      <c r="Y35" s="1386">
        <f t="shared" si="5"/>
        <v>0</v>
      </c>
    </row>
    <row r="36" spans="1:25">
      <c r="A36" s="1386">
        <v>23</v>
      </c>
      <c r="B36" s="1446" t="s">
        <v>1197</v>
      </c>
      <c r="C36" s="1440" t="s">
        <v>1470</v>
      </c>
      <c r="E36" s="1386"/>
      <c r="H36" s="1013" t="s">
        <v>553</v>
      </c>
      <c r="I36" s="1429">
        <v>27</v>
      </c>
      <c r="J36" s="1429">
        <v>200</v>
      </c>
      <c r="K36" s="1437">
        <v>46185</v>
      </c>
      <c r="L36" s="1013" t="s">
        <v>553</v>
      </c>
      <c r="M36" s="1437">
        <v>27</v>
      </c>
      <c r="N36" s="1437">
        <v>200</v>
      </c>
      <c r="O36" s="1437">
        <v>48543</v>
      </c>
      <c r="P36" s="1013" t="s">
        <v>553</v>
      </c>
      <c r="Q36" s="1437">
        <v>27</v>
      </c>
      <c r="R36" s="1437">
        <v>200</v>
      </c>
      <c r="S36" s="1437">
        <v>48717</v>
      </c>
      <c r="T36" s="1386">
        <f t="shared" si="1"/>
        <v>0</v>
      </c>
      <c r="U36" s="1386">
        <f t="shared" si="2"/>
        <v>0</v>
      </c>
      <c r="V36" s="1438">
        <f t="shared" si="3"/>
        <v>-3.5844508992027685E-3</v>
      </c>
      <c r="X36" s="1386">
        <f t="shared" si="4"/>
        <v>0</v>
      </c>
      <c r="Y36" s="1386">
        <f t="shared" si="5"/>
        <v>0</v>
      </c>
    </row>
    <row r="37" spans="1:25">
      <c r="C37" s="1386"/>
      <c r="E37" s="1386"/>
      <c r="H37" s="1013" t="s">
        <v>929</v>
      </c>
      <c r="I37" s="1429">
        <v>54</v>
      </c>
      <c r="J37" s="1429">
        <v>350</v>
      </c>
      <c r="K37" s="1437">
        <v>88458</v>
      </c>
      <c r="L37" s="1013" t="s">
        <v>929</v>
      </c>
      <c r="M37" s="1437">
        <v>54</v>
      </c>
      <c r="N37" s="1437">
        <v>330</v>
      </c>
      <c r="O37" s="1437">
        <v>85707</v>
      </c>
      <c r="P37" s="1013" t="s">
        <v>929</v>
      </c>
      <c r="Q37" s="1437">
        <v>54</v>
      </c>
      <c r="R37" s="1437">
        <v>330</v>
      </c>
      <c r="S37" s="1437">
        <v>88000</v>
      </c>
      <c r="T37" s="1386">
        <f t="shared" si="1"/>
        <v>0</v>
      </c>
      <c r="U37" s="1386">
        <f t="shared" si="2"/>
        <v>0</v>
      </c>
      <c r="V37" s="1438">
        <f t="shared" si="3"/>
        <v>-2.6753940751630557E-2</v>
      </c>
      <c r="X37" s="1386">
        <f t="shared" si="4"/>
        <v>0</v>
      </c>
      <c r="Y37" s="1386">
        <f t="shared" si="5"/>
        <v>20</v>
      </c>
    </row>
    <row r="38" spans="1:25">
      <c r="A38" s="1386">
        <v>24</v>
      </c>
      <c r="B38" s="1446" t="s">
        <v>679</v>
      </c>
      <c r="C38" s="1440" t="s">
        <v>1471</v>
      </c>
      <c r="D38" s="1447"/>
      <c r="E38" s="1386"/>
      <c r="H38" s="1011" t="s">
        <v>1001</v>
      </c>
      <c r="I38" s="1429">
        <v>36</v>
      </c>
      <c r="J38" s="1429">
        <v>190</v>
      </c>
      <c r="K38" s="1437">
        <v>31540</v>
      </c>
      <c r="L38" s="1011" t="s">
        <v>1001</v>
      </c>
      <c r="M38" s="1437">
        <v>36</v>
      </c>
      <c r="N38" s="1437">
        <v>290</v>
      </c>
      <c r="O38" s="1437">
        <v>39203</v>
      </c>
      <c r="P38" s="1011" t="s">
        <v>1001</v>
      </c>
      <c r="Q38" s="1437">
        <v>36</v>
      </c>
      <c r="R38" s="1437">
        <v>290</v>
      </c>
      <c r="S38" s="1437">
        <v>36000</v>
      </c>
      <c r="T38" s="1386">
        <f t="shared" si="1"/>
        <v>0</v>
      </c>
      <c r="U38" s="1386">
        <f t="shared" si="2"/>
        <v>0</v>
      </c>
      <c r="V38" s="1438">
        <f t="shared" si="3"/>
        <v>8.1702930898145551E-2</v>
      </c>
      <c r="X38" s="1386">
        <f t="shared" si="4"/>
        <v>0</v>
      </c>
      <c r="Y38" s="1386">
        <f t="shared" si="5"/>
        <v>-100</v>
      </c>
    </row>
    <row r="39" spans="1:25">
      <c r="E39" s="1386"/>
      <c r="H39" s="1013" t="s">
        <v>711</v>
      </c>
      <c r="I39" s="1429">
        <v>27</v>
      </c>
      <c r="J39" s="1429">
        <v>65</v>
      </c>
      <c r="K39" s="1437">
        <v>16750</v>
      </c>
      <c r="X39" s="1386">
        <f t="shared" si="4"/>
        <v>27</v>
      </c>
      <c r="Y39" s="1386">
        <f t="shared" si="5"/>
        <v>65</v>
      </c>
    </row>
    <row r="40" spans="1:25">
      <c r="C40" s="1386"/>
      <c r="E40" s="1386"/>
      <c r="H40" s="1013" t="s">
        <v>1430</v>
      </c>
      <c r="I40" s="1429">
        <v>45</v>
      </c>
      <c r="J40" s="1429">
        <v>286</v>
      </c>
      <c r="K40" s="1437">
        <v>56700</v>
      </c>
      <c r="L40" s="1013" t="s">
        <v>641</v>
      </c>
      <c r="M40" s="1437">
        <v>45</v>
      </c>
      <c r="N40" s="1437">
        <v>286</v>
      </c>
      <c r="O40" s="1437">
        <v>54892</v>
      </c>
      <c r="P40" s="1441" t="s">
        <v>641</v>
      </c>
      <c r="Q40" s="1442">
        <v>45</v>
      </c>
      <c r="R40" s="1442">
        <v>228</v>
      </c>
      <c r="S40" s="1442">
        <v>53230</v>
      </c>
      <c r="T40" s="1443">
        <f t="shared" ref="T40:U46" si="6">M40-Q40</f>
        <v>0</v>
      </c>
      <c r="U40" s="1444">
        <f t="shared" si="6"/>
        <v>58</v>
      </c>
      <c r="V40" s="1445">
        <f t="shared" ref="V40:V46" si="7">(O40-S40)/O40</f>
        <v>3.0277636085404066E-2</v>
      </c>
      <c r="X40" s="1386">
        <f t="shared" si="4"/>
        <v>0</v>
      </c>
      <c r="Y40" s="1386">
        <f t="shared" si="5"/>
        <v>0</v>
      </c>
    </row>
    <row r="41" spans="1:25">
      <c r="B41" s="1448" t="s">
        <v>1501</v>
      </c>
      <c r="C41" s="1386"/>
      <c r="E41" s="1386"/>
      <c r="H41" s="1011" t="s">
        <v>1139</v>
      </c>
      <c r="I41" s="1429">
        <v>54</v>
      </c>
      <c r="J41" s="1429">
        <v>663.5</v>
      </c>
      <c r="K41" s="1437">
        <v>107000</v>
      </c>
      <c r="L41" s="1013" t="s">
        <v>1139</v>
      </c>
      <c r="M41" s="1437">
        <v>54</v>
      </c>
      <c r="N41" s="1437">
        <v>664</v>
      </c>
      <c r="O41" s="1437">
        <v>97000</v>
      </c>
      <c r="P41" s="1449" t="s">
        <v>1139</v>
      </c>
      <c r="Q41" s="1442">
        <v>54</v>
      </c>
      <c r="R41" s="1442">
        <v>399</v>
      </c>
      <c r="S41" s="1442">
        <v>90000</v>
      </c>
      <c r="T41" s="1443">
        <f t="shared" si="6"/>
        <v>0</v>
      </c>
      <c r="U41" s="1444">
        <f t="shared" si="6"/>
        <v>265</v>
      </c>
      <c r="V41" s="1445">
        <f t="shared" si="7"/>
        <v>7.2164948453608241E-2</v>
      </c>
      <c r="X41" s="1386">
        <f t="shared" si="4"/>
        <v>0</v>
      </c>
      <c r="Y41" s="1386">
        <f t="shared" si="5"/>
        <v>-0.5</v>
      </c>
    </row>
    <row r="42" spans="1:25">
      <c r="B42" s="1450" t="s">
        <v>1473</v>
      </c>
      <c r="C42" s="1386"/>
      <c r="E42" s="1386"/>
      <c r="H42" s="1011" t="s">
        <v>1013</v>
      </c>
      <c r="I42" s="1429">
        <v>27</v>
      </c>
      <c r="J42" s="1429">
        <v>244</v>
      </c>
      <c r="K42" s="1437">
        <v>28307</v>
      </c>
      <c r="L42" s="1011" t="s">
        <v>1013</v>
      </c>
      <c r="M42" s="1437">
        <v>27</v>
      </c>
      <c r="N42" s="1437">
        <v>244</v>
      </c>
      <c r="O42" s="1437">
        <v>27100</v>
      </c>
      <c r="P42" s="1011" t="s">
        <v>1416</v>
      </c>
      <c r="Q42" s="1437">
        <v>27</v>
      </c>
      <c r="R42" s="1437">
        <v>244</v>
      </c>
      <c r="S42" s="1437">
        <v>30041</v>
      </c>
      <c r="T42" s="1386">
        <f t="shared" si="6"/>
        <v>0</v>
      </c>
      <c r="U42" s="1386">
        <f t="shared" si="6"/>
        <v>0</v>
      </c>
      <c r="V42" s="1438">
        <f t="shared" si="7"/>
        <v>-0.10852398523985241</v>
      </c>
      <c r="X42" s="1386">
        <f t="shared" si="4"/>
        <v>0</v>
      </c>
      <c r="Y42" s="1386">
        <f t="shared" si="5"/>
        <v>0</v>
      </c>
    </row>
    <row r="43" spans="1:25">
      <c r="B43" s="1450" t="s">
        <v>1474</v>
      </c>
      <c r="C43" s="1386"/>
      <c r="E43" s="1386"/>
      <c r="H43" s="1013" t="s">
        <v>1131</v>
      </c>
      <c r="I43" s="1429">
        <v>36</v>
      </c>
      <c r="J43" s="1429">
        <v>190</v>
      </c>
      <c r="K43" s="1436">
        <v>53460</v>
      </c>
      <c r="L43" s="1011" t="s">
        <v>1131</v>
      </c>
      <c r="M43" s="1437">
        <v>36</v>
      </c>
      <c r="N43" s="1437">
        <v>185</v>
      </c>
      <c r="O43" s="1437">
        <v>48143</v>
      </c>
      <c r="P43" s="1011" t="s">
        <v>1131</v>
      </c>
      <c r="Q43" s="1437">
        <v>36</v>
      </c>
      <c r="R43" s="1437">
        <v>185</v>
      </c>
      <c r="S43" s="1437">
        <v>48469</v>
      </c>
      <c r="T43" s="1386">
        <f t="shared" si="6"/>
        <v>0</v>
      </c>
      <c r="U43" s="1386">
        <f t="shared" si="6"/>
        <v>0</v>
      </c>
      <c r="V43" s="1438">
        <f t="shared" si="7"/>
        <v>-6.7714932596639179E-3</v>
      </c>
      <c r="X43" s="1386">
        <f t="shared" si="4"/>
        <v>0</v>
      </c>
      <c r="Y43" s="1386">
        <f t="shared" si="5"/>
        <v>5</v>
      </c>
    </row>
    <row r="44" spans="1:25">
      <c r="B44" s="1450" t="s">
        <v>1475</v>
      </c>
      <c r="C44" s="1386"/>
      <c r="E44" s="1386"/>
      <c r="H44" s="1013" t="s">
        <v>620</v>
      </c>
      <c r="I44" s="1429">
        <v>54</v>
      </c>
      <c r="J44" s="1429">
        <v>300</v>
      </c>
      <c r="K44" s="1436">
        <v>141733</v>
      </c>
      <c r="L44" s="1013" t="s">
        <v>620</v>
      </c>
      <c r="M44" s="1437">
        <v>54</v>
      </c>
      <c r="N44" s="1437">
        <v>252</v>
      </c>
      <c r="O44" s="1437">
        <v>143685</v>
      </c>
      <c r="P44" s="1013" t="s">
        <v>620</v>
      </c>
      <c r="Q44" s="1437">
        <v>54</v>
      </c>
      <c r="R44" s="1437">
        <v>252</v>
      </c>
      <c r="S44" s="1437">
        <v>144917</v>
      </c>
      <c r="T44" s="1386">
        <f t="shared" si="6"/>
        <v>0</v>
      </c>
      <c r="U44" s="1386">
        <f t="shared" si="6"/>
        <v>0</v>
      </c>
      <c r="V44" s="1438">
        <f t="shared" si="7"/>
        <v>-8.5743118627553336E-3</v>
      </c>
      <c r="X44" s="1386">
        <f t="shared" si="4"/>
        <v>0</v>
      </c>
      <c r="Y44" s="1386">
        <f t="shared" si="5"/>
        <v>48</v>
      </c>
    </row>
    <row r="45" spans="1:25">
      <c r="B45" s="1450" t="s">
        <v>1476</v>
      </c>
      <c r="C45" s="1386"/>
      <c r="E45" s="1386"/>
      <c r="H45" s="1013" t="s">
        <v>1431</v>
      </c>
      <c r="I45" s="1429">
        <v>36</v>
      </c>
      <c r="J45" s="1429">
        <v>212</v>
      </c>
      <c r="K45" s="1439">
        <v>53000</v>
      </c>
      <c r="L45" s="1013" t="s">
        <v>722</v>
      </c>
      <c r="M45" s="1437">
        <v>36</v>
      </c>
      <c r="N45" s="1437">
        <v>212</v>
      </c>
      <c r="O45" s="1437">
        <v>45046</v>
      </c>
      <c r="P45" s="1013" t="s">
        <v>722</v>
      </c>
      <c r="Q45" s="1437">
        <v>36</v>
      </c>
      <c r="R45" s="1437">
        <v>212</v>
      </c>
      <c r="S45" s="1437">
        <v>48050</v>
      </c>
      <c r="T45" s="1386">
        <f t="shared" si="6"/>
        <v>0</v>
      </c>
      <c r="U45" s="1386">
        <f t="shared" si="6"/>
        <v>0</v>
      </c>
      <c r="V45" s="1438">
        <f t="shared" si="7"/>
        <v>-6.6687386227411979E-2</v>
      </c>
      <c r="X45" s="1386">
        <f t="shared" si="4"/>
        <v>0</v>
      </c>
      <c r="Y45" s="1386">
        <f t="shared" si="5"/>
        <v>0</v>
      </c>
    </row>
    <row r="46" spans="1:25">
      <c r="B46" s="1450" t="s">
        <v>1477</v>
      </c>
      <c r="C46" s="1386"/>
      <c r="E46" s="1386"/>
      <c r="H46" s="1386" t="s">
        <v>697</v>
      </c>
      <c r="I46" s="1429">
        <v>27</v>
      </c>
      <c r="J46" s="1429">
        <v>175</v>
      </c>
      <c r="K46" s="1436">
        <v>41701</v>
      </c>
      <c r="L46" s="1013" t="s">
        <v>697</v>
      </c>
      <c r="M46" s="1437">
        <v>27</v>
      </c>
      <c r="N46" s="1437">
        <v>175</v>
      </c>
      <c r="O46" s="1437">
        <v>39111</v>
      </c>
      <c r="P46" s="1013" t="s">
        <v>697</v>
      </c>
      <c r="Q46" s="1437">
        <v>27</v>
      </c>
      <c r="R46" s="1437">
        <v>175</v>
      </c>
      <c r="S46" s="1437">
        <v>43000</v>
      </c>
      <c r="T46" s="1386">
        <f t="shared" si="6"/>
        <v>0</v>
      </c>
      <c r="U46" s="1386">
        <f t="shared" si="6"/>
        <v>0</v>
      </c>
      <c r="V46" s="1438">
        <f t="shared" si="7"/>
        <v>-9.9434941576538566E-2</v>
      </c>
      <c r="X46" s="1386">
        <f t="shared" si="4"/>
        <v>0</v>
      </c>
      <c r="Y46" s="1386">
        <f t="shared" si="5"/>
        <v>0</v>
      </c>
    </row>
    <row r="47" spans="1:25">
      <c r="B47" s="1450" t="s">
        <v>1478</v>
      </c>
    </row>
    <row r="48" spans="1:25">
      <c r="B48" s="1450" t="s">
        <v>1479</v>
      </c>
    </row>
    <row r="49" spans="2:25">
      <c r="B49" s="1450" t="s">
        <v>1480</v>
      </c>
    </row>
    <row r="50" spans="2:25">
      <c r="B50" s="1450" t="s">
        <v>1481</v>
      </c>
      <c r="C50" s="1386"/>
      <c r="E50" s="1386"/>
      <c r="U50" s="1431" t="s">
        <v>1448</v>
      </c>
    </row>
    <row r="51" spans="2:25">
      <c r="B51" s="1450" t="s">
        <v>1482</v>
      </c>
      <c r="C51" s="1386"/>
      <c r="E51" s="1386"/>
      <c r="H51" s="1432" t="s">
        <v>1432</v>
      </c>
      <c r="K51" s="1451"/>
      <c r="L51" s="1432" t="s">
        <v>1422</v>
      </c>
      <c r="M51" s="1435" t="s">
        <v>1423</v>
      </c>
      <c r="N51" s="1435" t="s">
        <v>1424</v>
      </c>
      <c r="O51" s="1435" t="s">
        <v>1425</v>
      </c>
      <c r="P51" s="1432" t="s">
        <v>1421</v>
      </c>
      <c r="Q51" s="1435" t="s">
        <v>1423</v>
      </c>
      <c r="R51" s="1435" t="s">
        <v>1424</v>
      </c>
      <c r="S51" s="1435" t="s">
        <v>1425</v>
      </c>
      <c r="T51" s="1432" t="s">
        <v>1450</v>
      </c>
      <c r="W51" s="1432"/>
      <c r="X51" s="1432"/>
      <c r="Y51" s="1432"/>
    </row>
    <row r="52" spans="2:25">
      <c r="B52" s="1450" t="s">
        <v>1483</v>
      </c>
      <c r="C52" s="1386"/>
      <c r="E52" s="1386"/>
      <c r="H52" s="1011" t="s">
        <v>698</v>
      </c>
      <c r="I52" s="1429">
        <v>18</v>
      </c>
      <c r="J52" s="1429">
        <v>148</v>
      </c>
      <c r="K52" s="1452">
        <v>22387</v>
      </c>
      <c r="L52" s="1013" t="s">
        <v>698</v>
      </c>
      <c r="M52" s="1452">
        <v>18</v>
      </c>
      <c r="N52" s="1452">
        <v>106</v>
      </c>
      <c r="O52" s="1452">
        <v>18524</v>
      </c>
      <c r="P52" s="1013" t="s">
        <v>698</v>
      </c>
      <c r="Q52" s="1452">
        <v>18</v>
      </c>
      <c r="R52" s="1452">
        <v>106</v>
      </c>
      <c r="S52" s="1452">
        <v>23366</v>
      </c>
      <c r="T52" s="1386">
        <f>M52-Q52</f>
        <v>0</v>
      </c>
      <c r="U52" s="1386">
        <f>N52-R52</f>
        <v>0</v>
      </c>
      <c r="V52" s="1438">
        <f>(O52-S52)/O52</f>
        <v>-0.26139062837400129</v>
      </c>
      <c r="X52" s="1386">
        <f t="shared" ref="X52" si="8">I52-Q52</f>
        <v>0</v>
      </c>
      <c r="Y52" s="1386">
        <f>J52-N52</f>
        <v>42</v>
      </c>
    </row>
    <row r="53" spans="2:25">
      <c r="B53" s="1450" t="s">
        <v>1484</v>
      </c>
      <c r="C53" s="1386"/>
      <c r="E53" s="1386"/>
      <c r="H53" s="1013" t="s">
        <v>1005</v>
      </c>
      <c r="I53" s="1429">
        <v>18</v>
      </c>
      <c r="J53" s="1429">
        <v>200</v>
      </c>
      <c r="K53" s="1452">
        <v>14857</v>
      </c>
      <c r="L53" s="1013" t="s">
        <v>1005</v>
      </c>
      <c r="M53" s="1452">
        <v>18</v>
      </c>
      <c r="N53" s="1452">
        <v>160</v>
      </c>
      <c r="O53" s="1452">
        <v>16000</v>
      </c>
      <c r="P53" s="1441" t="s">
        <v>1005</v>
      </c>
      <c r="Q53" s="1453">
        <v>18</v>
      </c>
      <c r="R53" s="1453">
        <v>80</v>
      </c>
      <c r="S53" s="1453">
        <v>10263</v>
      </c>
      <c r="T53" s="1443">
        <f t="shared" ref="T53:T96" si="9">M53-Q53</f>
        <v>0</v>
      </c>
      <c r="U53" s="1454">
        <f t="shared" ref="U53:U96" si="10">N53-R53</f>
        <v>80</v>
      </c>
      <c r="V53" s="1445">
        <f t="shared" ref="V53:V96" si="11">(O53-S53)/O53</f>
        <v>0.35856250000000001</v>
      </c>
      <c r="X53" s="1386">
        <f>I53-Q53</f>
        <v>0</v>
      </c>
      <c r="Y53" s="1386">
        <f>J53-N53</f>
        <v>40</v>
      </c>
    </row>
    <row r="54" spans="2:25">
      <c r="B54" s="1450" t="s">
        <v>1485</v>
      </c>
      <c r="C54" s="1386"/>
      <c r="E54" s="1386"/>
      <c r="H54" s="1056" t="s">
        <v>1127</v>
      </c>
      <c r="I54" s="1429">
        <v>18</v>
      </c>
      <c r="J54" s="1429">
        <v>83</v>
      </c>
      <c r="K54" s="1455">
        <v>19960</v>
      </c>
      <c r="L54" s="1013" t="s">
        <v>1127</v>
      </c>
      <c r="M54" s="1452">
        <v>18</v>
      </c>
      <c r="N54" s="1452">
        <v>83</v>
      </c>
      <c r="O54" s="1452">
        <v>21128</v>
      </c>
      <c r="P54" s="1013" t="s">
        <v>1127</v>
      </c>
      <c r="Q54" s="1452">
        <v>18</v>
      </c>
      <c r="R54" s="1452">
        <v>83</v>
      </c>
      <c r="S54" s="1452">
        <v>19954</v>
      </c>
      <c r="T54" s="1386">
        <f t="shared" si="9"/>
        <v>0</v>
      </c>
      <c r="U54" s="1386">
        <f t="shared" si="10"/>
        <v>0</v>
      </c>
      <c r="V54" s="1438">
        <f t="shared" si="11"/>
        <v>5.5566073457023857E-2</v>
      </c>
      <c r="X54" s="1386">
        <f>I54-Q54</f>
        <v>0</v>
      </c>
      <c r="Y54" s="1386">
        <f>J54-N54</f>
        <v>0</v>
      </c>
    </row>
    <row r="55" spans="2:25">
      <c r="B55" s="1450" t="s">
        <v>1486</v>
      </c>
      <c r="C55" s="1386"/>
      <c r="E55" s="1386"/>
      <c r="H55" s="1056" t="s">
        <v>266</v>
      </c>
      <c r="I55" s="1429">
        <v>18</v>
      </c>
      <c r="J55" s="1429">
        <v>120</v>
      </c>
      <c r="K55" s="1455">
        <v>25725</v>
      </c>
      <c r="L55" s="1013" t="s">
        <v>266</v>
      </c>
      <c r="M55" s="1452">
        <v>18</v>
      </c>
      <c r="N55" s="1452">
        <v>120</v>
      </c>
      <c r="O55" s="1452">
        <v>28960</v>
      </c>
      <c r="P55" s="1013" t="s">
        <v>266</v>
      </c>
      <c r="Q55" s="1452">
        <v>18</v>
      </c>
      <c r="R55" s="1452">
        <v>120</v>
      </c>
      <c r="S55" s="1452">
        <v>28851</v>
      </c>
      <c r="T55" s="1386">
        <f t="shared" si="9"/>
        <v>0</v>
      </c>
      <c r="U55" s="1386">
        <f t="shared" si="10"/>
        <v>0</v>
      </c>
      <c r="V55" s="1438">
        <f t="shared" si="11"/>
        <v>3.7638121546961327E-3</v>
      </c>
      <c r="X55" s="1386">
        <f t="shared" ref="X55:X97" si="12">I55-Q55</f>
        <v>0</v>
      </c>
      <c r="Y55" s="1386">
        <f t="shared" ref="Y55:Y97" si="13">J55-N55</f>
        <v>0</v>
      </c>
    </row>
    <row r="56" spans="2:25">
      <c r="B56" s="1450" t="s">
        <v>1487</v>
      </c>
      <c r="C56" s="1386"/>
      <c r="E56" s="1386"/>
      <c r="H56" s="1011" t="s">
        <v>957</v>
      </c>
      <c r="I56" s="1429">
        <v>18</v>
      </c>
      <c r="J56" s="1429">
        <v>133</v>
      </c>
      <c r="K56" s="1452">
        <v>16141</v>
      </c>
      <c r="L56" s="1011" t="s">
        <v>957</v>
      </c>
      <c r="M56" s="1452">
        <v>18</v>
      </c>
      <c r="N56" s="1452">
        <v>110</v>
      </c>
      <c r="O56" s="1452">
        <v>13700</v>
      </c>
      <c r="P56" s="1011" t="s">
        <v>957</v>
      </c>
      <c r="Q56" s="1452">
        <v>18</v>
      </c>
      <c r="R56" s="1452">
        <v>110</v>
      </c>
      <c r="S56" s="1452">
        <v>11653</v>
      </c>
      <c r="T56" s="1386">
        <f t="shared" si="9"/>
        <v>0</v>
      </c>
      <c r="U56" s="1386">
        <f t="shared" si="10"/>
        <v>0</v>
      </c>
      <c r="V56" s="1438">
        <f t="shared" si="11"/>
        <v>0.14941605839416058</v>
      </c>
      <c r="X56" s="1386">
        <f t="shared" si="12"/>
        <v>0</v>
      </c>
      <c r="Y56" s="1386">
        <f t="shared" si="13"/>
        <v>23</v>
      </c>
    </row>
    <row r="57" spans="2:25">
      <c r="B57" s="1456"/>
      <c r="C57" s="1386"/>
      <c r="E57" s="1386"/>
      <c r="H57" s="1056" t="s">
        <v>617</v>
      </c>
      <c r="I57" s="1429">
        <v>18</v>
      </c>
      <c r="J57" s="1429">
        <v>150</v>
      </c>
      <c r="K57" s="1455">
        <v>16831</v>
      </c>
      <c r="L57" s="1013" t="s">
        <v>1316</v>
      </c>
      <c r="M57" s="1452">
        <v>18</v>
      </c>
      <c r="N57" s="1452">
        <v>150</v>
      </c>
      <c r="O57" s="1452">
        <v>23580</v>
      </c>
      <c r="P57" s="1013" t="s">
        <v>1316</v>
      </c>
      <c r="Q57" s="1452">
        <v>18</v>
      </c>
      <c r="R57" s="1452">
        <v>150</v>
      </c>
      <c r="S57" s="1452">
        <v>15588</v>
      </c>
      <c r="T57" s="1386">
        <f t="shared" si="9"/>
        <v>0</v>
      </c>
      <c r="U57" s="1386">
        <f t="shared" si="10"/>
        <v>0</v>
      </c>
      <c r="V57" s="1438">
        <f t="shared" si="11"/>
        <v>0.33893129770992364</v>
      </c>
      <c r="X57" s="1386">
        <f t="shared" si="12"/>
        <v>0</v>
      </c>
      <c r="Y57" s="1386">
        <f t="shared" si="13"/>
        <v>0</v>
      </c>
    </row>
    <row r="58" spans="2:25">
      <c r="B58" s="1450" t="s">
        <v>1488</v>
      </c>
      <c r="C58" s="1386"/>
      <c r="E58" s="1386"/>
      <c r="H58" s="1011" t="s">
        <v>1016</v>
      </c>
      <c r="I58" s="1429">
        <v>18</v>
      </c>
      <c r="J58" s="1429">
        <v>100</v>
      </c>
      <c r="K58" s="1452">
        <v>48080</v>
      </c>
      <c r="L58" s="1013" t="s">
        <v>1192</v>
      </c>
      <c r="M58" s="1452">
        <v>18</v>
      </c>
      <c r="N58" s="1452">
        <v>100</v>
      </c>
      <c r="O58" s="1452">
        <v>78814</v>
      </c>
      <c r="P58" s="1013" t="s">
        <v>1192</v>
      </c>
      <c r="Q58" s="1452">
        <v>18</v>
      </c>
      <c r="R58" s="1452">
        <v>100</v>
      </c>
      <c r="S58" s="1452">
        <v>46647</v>
      </c>
      <c r="T58" s="1386">
        <f t="shared" si="9"/>
        <v>0</v>
      </c>
      <c r="U58" s="1386">
        <f t="shared" si="10"/>
        <v>0</v>
      </c>
      <c r="V58" s="1438">
        <f t="shared" si="11"/>
        <v>0.40813814804476362</v>
      </c>
      <c r="X58" s="1386">
        <f t="shared" si="12"/>
        <v>0</v>
      </c>
      <c r="Y58" s="1386">
        <f t="shared" si="13"/>
        <v>0</v>
      </c>
    </row>
    <row r="59" spans="2:25">
      <c r="B59" s="1450" t="s">
        <v>1489</v>
      </c>
      <c r="C59" s="1386"/>
      <c r="E59" s="1386"/>
      <c r="H59" s="1056" t="s">
        <v>1440</v>
      </c>
      <c r="I59" s="1429">
        <v>18</v>
      </c>
      <c r="J59" s="1429">
        <v>103</v>
      </c>
      <c r="K59" s="1455">
        <v>24620</v>
      </c>
      <c r="L59" s="1013" t="s">
        <v>1303</v>
      </c>
      <c r="M59" s="1452">
        <v>18</v>
      </c>
      <c r="N59" s="1452">
        <v>103</v>
      </c>
      <c r="O59" s="1452">
        <v>21550</v>
      </c>
      <c r="P59" s="1013" t="s">
        <v>1303</v>
      </c>
      <c r="Q59" s="1452">
        <v>18</v>
      </c>
      <c r="R59" s="1452">
        <v>103</v>
      </c>
      <c r="S59" s="1452">
        <v>23293</v>
      </c>
      <c r="T59" s="1386">
        <f t="shared" si="9"/>
        <v>0</v>
      </c>
      <c r="U59" s="1386">
        <f t="shared" si="10"/>
        <v>0</v>
      </c>
      <c r="V59" s="1438">
        <f t="shared" si="11"/>
        <v>-8.0881670533642688E-2</v>
      </c>
      <c r="X59" s="1386">
        <f t="shared" si="12"/>
        <v>0</v>
      </c>
      <c r="Y59" s="1386">
        <f t="shared" si="13"/>
        <v>0</v>
      </c>
    </row>
    <row r="60" spans="2:25">
      <c r="B60" s="1450" t="s">
        <v>1490</v>
      </c>
      <c r="C60" s="1386"/>
      <c r="E60" s="1386"/>
      <c r="H60" s="1013" t="s">
        <v>1144</v>
      </c>
      <c r="I60" s="1429">
        <v>18</v>
      </c>
      <c r="J60" s="1429">
        <v>126</v>
      </c>
      <c r="K60" s="1452">
        <v>56306</v>
      </c>
      <c r="L60" s="1013" t="s">
        <v>1144</v>
      </c>
      <c r="M60" s="1452">
        <v>18</v>
      </c>
      <c r="N60" s="1452">
        <v>126</v>
      </c>
      <c r="O60" s="1452">
        <v>52736</v>
      </c>
      <c r="P60" s="1013" t="s">
        <v>1144</v>
      </c>
      <c r="Q60" s="1452">
        <v>18</v>
      </c>
      <c r="R60" s="1452">
        <v>126</v>
      </c>
      <c r="S60" s="1452">
        <v>54621</v>
      </c>
      <c r="T60" s="1386">
        <f t="shared" si="9"/>
        <v>0</v>
      </c>
      <c r="U60" s="1386">
        <f t="shared" si="10"/>
        <v>0</v>
      </c>
      <c r="V60" s="1438">
        <f t="shared" si="11"/>
        <v>-3.5744083737864078E-2</v>
      </c>
      <c r="X60" s="1386">
        <f t="shared" si="12"/>
        <v>0</v>
      </c>
      <c r="Y60" s="1386">
        <f t="shared" si="13"/>
        <v>0</v>
      </c>
    </row>
    <row r="61" spans="2:25">
      <c r="B61" s="1450" t="s">
        <v>1491</v>
      </c>
      <c r="C61" s="1386"/>
      <c r="E61" s="1386"/>
      <c r="H61" s="1457" t="s">
        <v>1142</v>
      </c>
      <c r="I61" s="1429">
        <v>18</v>
      </c>
      <c r="J61" s="1429">
        <v>125</v>
      </c>
      <c r="K61" s="1458">
        <v>34000</v>
      </c>
      <c r="L61" s="1013" t="s">
        <v>1323</v>
      </c>
      <c r="M61" s="1452">
        <v>18</v>
      </c>
      <c r="N61" s="1452">
        <v>125</v>
      </c>
      <c r="O61" s="1452">
        <v>32000</v>
      </c>
      <c r="P61" s="1013" t="s">
        <v>1323</v>
      </c>
      <c r="Q61" s="1452">
        <v>18</v>
      </c>
      <c r="R61" s="1452">
        <v>125</v>
      </c>
      <c r="S61" s="1452">
        <v>32362</v>
      </c>
      <c r="T61" s="1386">
        <f t="shared" si="9"/>
        <v>0</v>
      </c>
      <c r="U61" s="1386">
        <f t="shared" si="10"/>
        <v>0</v>
      </c>
      <c r="V61" s="1438">
        <f t="shared" si="11"/>
        <v>-1.13125E-2</v>
      </c>
      <c r="X61" s="1386">
        <f t="shared" si="12"/>
        <v>0</v>
      </c>
      <c r="Y61" s="1386">
        <f t="shared" si="13"/>
        <v>0</v>
      </c>
    </row>
    <row r="62" spans="2:25">
      <c r="B62" s="1450" t="s">
        <v>1492</v>
      </c>
      <c r="C62" s="1386"/>
      <c r="E62" s="1386"/>
      <c r="H62" s="1056" t="s">
        <v>713</v>
      </c>
      <c r="I62" s="1429">
        <v>18</v>
      </c>
      <c r="J62" s="1429">
        <v>130</v>
      </c>
      <c r="K62" s="1455">
        <v>14064</v>
      </c>
      <c r="L62" s="1013" t="s">
        <v>713</v>
      </c>
      <c r="M62" s="1452">
        <v>18</v>
      </c>
      <c r="N62" s="1452">
        <v>130</v>
      </c>
      <c r="O62" s="1452">
        <v>14578</v>
      </c>
      <c r="P62" s="1011" t="s">
        <v>713</v>
      </c>
      <c r="Q62" s="1452">
        <v>18</v>
      </c>
      <c r="R62" s="1452">
        <v>130</v>
      </c>
      <c r="S62" s="1452">
        <v>14578</v>
      </c>
      <c r="T62" s="1386">
        <f t="shared" si="9"/>
        <v>0</v>
      </c>
      <c r="U62" s="1386">
        <f t="shared" si="10"/>
        <v>0</v>
      </c>
      <c r="V62" s="1438">
        <f t="shared" si="11"/>
        <v>0</v>
      </c>
      <c r="X62" s="1386">
        <f t="shared" si="12"/>
        <v>0</v>
      </c>
      <c r="Y62" s="1386">
        <f t="shared" si="13"/>
        <v>0</v>
      </c>
    </row>
    <row r="63" spans="2:25">
      <c r="B63" s="1456"/>
      <c r="C63" s="1386"/>
      <c r="E63" s="1386"/>
      <c r="H63" s="1056" t="s">
        <v>683</v>
      </c>
      <c r="I63" s="1429">
        <v>18</v>
      </c>
      <c r="J63" s="1429">
        <v>92</v>
      </c>
      <c r="K63" s="1455">
        <v>29889</v>
      </c>
      <c r="L63" s="1011" t="s">
        <v>683</v>
      </c>
      <c r="M63" s="1452">
        <v>18</v>
      </c>
      <c r="N63" s="1452">
        <v>92</v>
      </c>
      <c r="O63" s="1452">
        <v>29627</v>
      </c>
      <c r="P63" s="1011" t="s">
        <v>683</v>
      </c>
      <c r="Q63" s="1452">
        <v>18</v>
      </c>
      <c r="R63" s="1452">
        <v>92</v>
      </c>
      <c r="S63" s="1452">
        <v>26663</v>
      </c>
      <c r="T63" s="1386">
        <f t="shared" si="9"/>
        <v>0</v>
      </c>
      <c r="U63" s="1386">
        <f t="shared" si="10"/>
        <v>0</v>
      </c>
      <c r="V63" s="1438">
        <f t="shared" si="11"/>
        <v>0.10004387889425187</v>
      </c>
      <c r="X63" s="1386">
        <f t="shared" si="12"/>
        <v>0</v>
      </c>
      <c r="Y63" s="1386">
        <f t="shared" si="13"/>
        <v>0</v>
      </c>
    </row>
    <row r="64" spans="2:25">
      <c r="B64" s="1450" t="s">
        <v>1493</v>
      </c>
      <c r="C64" s="1386"/>
      <c r="E64" s="1386"/>
      <c r="H64" s="1056" t="s">
        <v>1433</v>
      </c>
      <c r="I64" s="1429">
        <v>18</v>
      </c>
      <c r="J64" s="1429">
        <v>75</v>
      </c>
      <c r="K64" s="1455">
        <v>36416</v>
      </c>
      <c r="L64" s="1013" t="s">
        <v>684</v>
      </c>
      <c r="M64" s="1452">
        <v>18</v>
      </c>
      <c r="N64" s="1452">
        <v>75</v>
      </c>
      <c r="O64" s="1452">
        <v>37806</v>
      </c>
      <c r="P64" s="1013" t="s">
        <v>684</v>
      </c>
      <c r="Q64" s="1452">
        <v>18</v>
      </c>
      <c r="R64" s="1452">
        <v>75</v>
      </c>
      <c r="S64" s="1452">
        <v>35903</v>
      </c>
      <c r="T64" s="1386">
        <f t="shared" si="9"/>
        <v>0</v>
      </c>
      <c r="U64" s="1386">
        <f t="shared" si="10"/>
        <v>0</v>
      </c>
      <c r="V64" s="1438">
        <f t="shared" si="11"/>
        <v>5.0335925514468603E-2</v>
      </c>
      <c r="X64" s="1386">
        <f t="shared" si="12"/>
        <v>0</v>
      </c>
      <c r="Y64" s="1386">
        <f t="shared" si="13"/>
        <v>0</v>
      </c>
    </row>
    <row r="65" spans="2:25">
      <c r="B65" s="1456"/>
      <c r="C65" s="1386"/>
      <c r="E65" s="1386"/>
      <c r="H65" s="1056" t="s">
        <v>1434</v>
      </c>
      <c r="I65" s="1429">
        <v>18</v>
      </c>
      <c r="J65" s="1429">
        <v>120</v>
      </c>
      <c r="K65" s="1455">
        <v>34000</v>
      </c>
      <c r="L65" s="1013" t="s">
        <v>1193</v>
      </c>
      <c r="M65" s="1452">
        <v>18</v>
      </c>
      <c r="N65" s="1452">
        <v>120</v>
      </c>
      <c r="O65" s="1452">
        <v>33494</v>
      </c>
      <c r="P65" s="1013" t="s">
        <v>1193</v>
      </c>
      <c r="Q65" s="1452">
        <v>18</v>
      </c>
      <c r="R65" s="1452">
        <v>120</v>
      </c>
      <c r="S65" s="1452">
        <v>33494</v>
      </c>
      <c r="T65" s="1386">
        <f t="shared" si="9"/>
        <v>0</v>
      </c>
      <c r="U65" s="1386">
        <f t="shared" si="10"/>
        <v>0</v>
      </c>
      <c r="V65" s="1438">
        <f t="shared" si="11"/>
        <v>0</v>
      </c>
      <c r="X65" s="1386">
        <f t="shared" si="12"/>
        <v>0</v>
      </c>
      <c r="Y65" s="1386">
        <f t="shared" si="13"/>
        <v>0</v>
      </c>
    </row>
    <row r="66" spans="2:25">
      <c r="B66" s="1450" t="s">
        <v>1494</v>
      </c>
      <c r="C66" s="1386"/>
      <c r="E66" s="1386"/>
      <c r="H66" s="1011" t="s">
        <v>1446</v>
      </c>
      <c r="I66" s="1429">
        <v>18</v>
      </c>
      <c r="J66" s="1429">
        <v>79</v>
      </c>
      <c r="K66" s="1452">
        <v>15096</v>
      </c>
      <c r="L66" s="1013" t="s">
        <v>964</v>
      </c>
      <c r="M66" s="1452">
        <v>18</v>
      </c>
      <c r="N66" s="1452">
        <v>79</v>
      </c>
      <c r="O66" s="1452">
        <v>15000</v>
      </c>
      <c r="P66" s="1013" t="s">
        <v>964</v>
      </c>
      <c r="Q66" s="1452">
        <v>18</v>
      </c>
      <c r="R66" s="1452">
        <v>79</v>
      </c>
      <c r="S66" s="1452">
        <v>19076</v>
      </c>
      <c r="T66" s="1386">
        <f t="shared" si="9"/>
        <v>0</v>
      </c>
      <c r="U66" s="1386">
        <f t="shared" si="10"/>
        <v>0</v>
      </c>
      <c r="V66" s="1438">
        <f t="shared" si="11"/>
        <v>-0.27173333333333333</v>
      </c>
      <c r="X66" s="1386">
        <f t="shared" si="12"/>
        <v>0</v>
      </c>
      <c r="Y66" s="1386">
        <f t="shared" si="13"/>
        <v>0</v>
      </c>
    </row>
    <row r="67" spans="2:25">
      <c r="B67" s="1456"/>
      <c r="C67" s="1386"/>
      <c r="E67" s="1386"/>
      <c r="H67" s="1011"/>
      <c r="K67" s="1452"/>
      <c r="L67" s="1013" t="s">
        <v>445</v>
      </c>
      <c r="M67" s="1452">
        <v>18</v>
      </c>
      <c r="N67" s="1452">
        <v>95</v>
      </c>
      <c r="O67" s="1452">
        <v>30000</v>
      </c>
      <c r="P67" s="1013" t="s">
        <v>445</v>
      </c>
      <c r="Q67" s="1452">
        <v>18</v>
      </c>
      <c r="R67" s="1452">
        <v>95</v>
      </c>
      <c r="S67" s="1452">
        <v>30000</v>
      </c>
      <c r="T67" s="1386">
        <f t="shared" si="9"/>
        <v>0</v>
      </c>
      <c r="U67" s="1386">
        <f t="shared" si="10"/>
        <v>0</v>
      </c>
      <c r="V67" s="1438">
        <f t="shared" si="11"/>
        <v>0</v>
      </c>
      <c r="X67" s="1386">
        <f t="shared" si="12"/>
        <v>-18</v>
      </c>
      <c r="Y67" s="1386">
        <f t="shared" si="13"/>
        <v>-95</v>
      </c>
    </row>
    <row r="68" spans="2:25">
      <c r="B68" s="1450" t="s">
        <v>1495</v>
      </c>
      <c r="C68" s="1386"/>
      <c r="E68" s="1386"/>
      <c r="H68" s="1011" t="s">
        <v>927</v>
      </c>
      <c r="I68" s="1429">
        <v>18</v>
      </c>
      <c r="J68" s="1429">
        <v>72</v>
      </c>
      <c r="K68" s="1458">
        <v>28891</v>
      </c>
      <c r="L68" s="1013" t="s">
        <v>1318</v>
      </c>
      <c r="M68" s="1452">
        <v>18</v>
      </c>
      <c r="N68" s="1452">
        <v>72</v>
      </c>
      <c r="O68" s="1452">
        <v>23436</v>
      </c>
      <c r="P68" s="1013" t="s">
        <v>1318</v>
      </c>
      <c r="Q68" s="1452">
        <v>18</v>
      </c>
      <c r="R68" s="1452">
        <v>72</v>
      </c>
      <c r="S68" s="1452">
        <v>26000</v>
      </c>
      <c r="T68" s="1386">
        <f t="shared" si="9"/>
        <v>0</v>
      </c>
      <c r="U68" s="1386">
        <f t="shared" si="10"/>
        <v>0</v>
      </c>
      <c r="V68" s="1438">
        <f t="shared" si="11"/>
        <v>-0.10940433521078682</v>
      </c>
      <c r="X68" s="1386">
        <f t="shared" si="12"/>
        <v>0</v>
      </c>
      <c r="Y68" s="1386">
        <f t="shared" si="13"/>
        <v>0</v>
      </c>
    </row>
    <row r="69" spans="2:25">
      <c r="B69" s="1456"/>
      <c r="C69" s="1386"/>
      <c r="E69" s="1386"/>
      <c r="H69" s="1056" t="s">
        <v>1132</v>
      </c>
      <c r="I69" s="1429">
        <v>18</v>
      </c>
      <c r="J69" s="1429">
        <v>95</v>
      </c>
      <c r="K69" s="1455">
        <v>35383</v>
      </c>
      <c r="L69" s="1013" t="s">
        <v>1132</v>
      </c>
      <c r="M69" s="1452">
        <v>18</v>
      </c>
      <c r="N69" s="1452">
        <v>95</v>
      </c>
      <c r="O69" s="1452">
        <v>33893</v>
      </c>
      <c r="P69" s="1013" t="s">
        <v>1132</v>
      </c>
      <c r="Q69" s="1452">
        <v>18</v>
      </c>
      <c r="R69" s="1452">
        <v>95</v>
      </c>
      <c r="S69" s="1452">
        <v>33893</v>
      </c>
      <c r="T69" s="1386">
        <f t="shared" si="9"/>
        <v>0</v>
      </c>
      <c r="U69" s="1386">
        <f t="shared" si="10"/>
        <v>0</v>
      </c>
      <c r="V69" s="1438">
        <f t="shared" si="11"/>
        <v>0</v>
      </c>
      <c r="X69" s="1386">
        <f t="shared" si="12"/>
        <v>0</v>
      </c>
      <c r="Y69" s="1386">
        <f t="shared" si="13"/>
        <v>0</v>
      </c>
    </row>
    <row r="70" spans="2:25">
      <c r="B70" s="1450" t="s">
        <v>1496</v>
      </c>
      <c r="C70" s="1386"/>
      <c r="E70" s="1386"/>
      <c r="H70" s="1056" t="s">
        <v>985</v>
      </c>
      <c r="I70" s="1429">
        <v>18</v>
      </c>
      <c r="J70" s="1429">
        <v>82</v>
      </c>
      <c r="K70" s="1455">
        <v>20000</v>
      </c>
      <c r="L70" s="1013" t="s">
        <v>985</v>
      </c>
      <c r="M70" s="1452">
        <v>18</v>
      </c>
      <c r="N70" s="1452">
        <v>82.18</v>
      </c>
      <c r="O70" s="1452">
        <v>20000</v>
      </c>
      <c r="P70" s="1013" t="s">
        <v>985</v>
      </c>
      <c r="Q70" s="1452">
        <v>18</v>
      </c>
      <c r="R70" s="1452">
        <v>82.18</v>
      </c>
      <c r="S70" s="1452">
        <v>20000</v>
      </c>
      <c r="T70" s="1386">
        <f t="shared" si="9"/>
        <v>0</v>
      </c>
      <c r="U70" s="1386">
        <f t="shared" si="10"/>
        <v>0</v>
      </c>
      <c r="V70" s="1438">
        <f t="shared" si="11"/>
        <v>0</v>
      </c>
      <c r="X70" s="1386">
        <f t="shared" si="12"/>
        <v>0</v>
      </c>
      <c r="Y70" s="1386">
        <f t="shared" si="13"/>
        <v>-0.18000000000000682</v>
      </c>
    </row>
    <row r="71" spans="2:25">
      <c r="B71" s="1456"/>
      <c r="C71" s="1386"/>
      <c r="E71" s="1386"/>
      <c r="H71" s="1013" t="s">
        <v>965</v>
      </c>
      <c r="I71" s="1429">
        <v>18</v>
      </c>
      <c r="J71" s="1429">
        <v>65</v>
      </c>
      <c r="K71" s="1452">
        <v>45100</v>
      </c>
      <c r="L71" s="1013" t="s">
        <v>965</v>
      </c>
      <c r="M71" s="1452">
        <v>18</v>
      </c>
      <c r="N71" s="1452">
        <v>65</v>
      </c>
      <c r="O71" s="1452">
        <v>43457</v>
      </c>
      <c r="P71" s="1013" t="s">
        <v>965</v>
      </c>
      <c r="Q71" s="1452">
        <v>18</v>
      </c>
      <c r="R71" s="1452">
        <v>65</v>
      </c>
      <c r="S71" s="1452">
        <v>46200</v>
      </c>
      <c r="T71" s="1386">
        <f t="shared" si="9"/>
        <v>0</v>
      </c>
      <c r="U71" s="1386">
        <f t="shared" si="10"/>
        <v>0</v>
      </c>
      <c r="V71" s="1438">
        <f t="shared" si="11"/>
        <v>-6.3119865614285384E-2</v>
      </c>
      <c r="X71" s="1386">
        <f t="shared" si="12"/>
        <v>0</v>
      </c>
      <c r="Y71" s="1386">
        <f t="shared" si="13"/>
        <v>0</v>
      </c>
    </row>
    <row r="72" spans="2:25">
      <c r="B72" s="1450" t="s">
        <v>1497</v>
      </c>
      <c r="C72" s="1386"/>
      <c r="E72" s="1386"/>
      <c r="H72" s="1013"/>
      <c r="K72" s="1452"/>
      <c r="L72" s="1013" t="s">
        <v>1160</v>
      </c>
      <c r="M72" s="1452">
        <v>18</v>
      </c>
      <c r="N72" s="1452">
        <v>115</v>
      </c>
      <c r="O72" s="1452">
        <v>18980</v>
      </c>
      <c r="P72" s="1013" t="s">
        <v>1160</v>
      </c>
      <c r="Q72" s="1452">
        <v>18</v>
      </c>
      <c r="R72" s="1452">
        <v>115</v>
      </c>
      <c r="S72" s="1452">
        <v>18980</v>
      </c>
      <c r="T72" s="1386">
        <f t="shared" si="9"/>
        <v>0</v>
      </c>
      <c r="U72" s="1386">
        <f t="shared" si="10"/>
        <v>0</v>
      </c>
      <c r="V72" s="1438">
        <f t="shared" si="11"/>
        <v>0</v>
      </c>
      <c r="X72" s="1386">
        <f t="shared" si="12"/>
        <v>-18</v>
      </c>
      <c r="Y72" s="1386">
        <f t="shared" si="13"/>
        <v>-115</v>
      </c>
    </row>
    <row r="73" spans="2:25">
      <c r="B73" s="1456"/>
      <c r="C73" s="1386"/>
      <c r="E73" s="1386"/>
      <c r="H73" s="1011" t="s">
        <v>1022</v>
      </c>
      <c r="I73" s="1429">
        <v>18</v>
      </c>
      <c r="J73" s="1429">
        <v>145</v>
      </c>
      <c r="K73" s="1452">
        <v>33453</v>
      </c>
      <c r="L73" s="1013" t="s">
        <v>1319</v>
      </c>
      <c r="M73" s="1452">
        <v>18</v>
      </c>
      <c r="N73" s="1452">
        <v>145</v>
      </c>
      <c r="O73" s="1452">
        <v>30290</v>
      </c>
      <c r="P73" s="1013"/>
      <c r="Q73" s="1452"/>
      <c r="R73" s="1452"/>
      <c r="S73" s="1452"/>
      <c r="T73" s="1386">
        <f t="shared" si="9"/>
        <v>18</v>
      </c>
      <c r="U73" s="1386">
        <f t="shared" si="10"/>
        <v>145</v>
      </c>
      <c r="V73" s="1438">
        <f t="shared" si="11"/>
        <v>1</v>
      </c>
      <c r="X73" s="1386">
        <f t="shared" si="12"/>
        <v>18</v>
      </c>
      <c r="Y73" s="1386">
        <f t="shared" si="13"/>
        <v>0</v>
      </c>
    </row>
    <row r="74" spans="2:25">
      <c r="B74" s="1450" t="s">
        <v>1498</v>
      </c>
      <c r="C74" s="1386"/>
      <c r="E74" s="1386"/>
      <c r="H74" s="1011" t="s">
        <v>635</v>
      </c>
      <c r="I74" s="1429">
        <v>18</v>
      </c>
      <c r="J74" s="1429">
        <v>52</v>
      </c>
      <c r="K74" s="1452">
        <v>40390</v>
      </c>
      <c r="L74" s="1013" t="s">
        <v>635</v>
      </c>
      <c r="M74" s="1452">
        <v>18</v>
      </c>
      <c r="N74" s="1452">
        <v>52</v>
      </c>
      <c r="O74" s="1452">
        <v>23198</v>
      </c>
      <c r="P74" s="1013" t="s">
        <v>635</v>
      </c>
      <c r="Q74" s="1452">
        <v>18</v>
      </c>
      <c r="R74" s="1452">
        <v>52</v>
      </c>
      <c r="S74" s="1452">
        <v>23198</v>
      </c>
      <c r="T74" s="1386">
        <f t="shared" si="9"/>
        <v>0</v>
      </c>
      <c r="U74" s="1386">
        <f t="shared" si="10"/>
        <v>0</v>
      </c>
      <c r="V74" s="1438">
        <f t="shared" si="11"/>
        <v>0</v>
      </c>
      <c r="X74" s="1386">
        <f t="shared" si="12"/>
        <v>0</v>
      </c>
      <c r="Y74" s="1386">
        <f t="shared" si="13"/>
        <v>0</v>
      </c>
    </row>
    <row r="75" spans="2:25">
      <c r="B75" s="1456"/>
      <c r="C75" s="1386"/>
      <c r="E75" s="1386"/>
      <c r="H75" s="1056" t="s">
        <v>1435</v>
      </c>
      <c r="I75" s="1429">
        <v>18</v>
      </c>
      <c r="J75" s="1429">
        <v>117</v>
      </c>
      <c r="K75" s="1455">
        <v>30435</v>
      </c>
      <c r="L75" s="1013" t="s">
        <v>1195</v>
      </c>
      <c r="M75" s="1452">
        <v>18</v>
      </c>
      <c r="N75" s="1452">
        <v>117</v>
      </c>
      <c r="O75" s="1452">
        <v>32252</v>
      </c>
      <c r="P75" s="1013" t="s">
        <v>1195</v>
      </c>
      <c r="Q75" s="1452">
        <v>18</v>
      </c>
      <c r="R75" s="1452">
        <v>117</v>
      </c>
      <c r="S75" s="1452">
        <v>32252</v>
      </c>
      <c r="T75" s="1386">
        <f t="shared" si="9"/>
        <v>0</v>
      </c>
      <c r="U75" s="1386">
        <f t="shared" si="10"/>
        <v>0</v>
      </c>
      <c r="V75" s="1438">
        <f t="shared" si="11"/>
        <v>0</v>
      </c>
      <c r="X75" s="1386">
        <f t="shared" si="12"/>
        <v>0</v>
      </c>
      <c r="Y75" s="1386">
        <f t="shared" si="13"/>
        <v>0</v>
      </c>
    </row>
    <row r="76" spans="2:25">
      <c r="B76" s="1450" t="s">
        <v>1499</v>
      </c>
      <c r="C76" s="1386"/>
      <c r="E76" s="1386"/>
      <c r="H76" s="1011" t="s">
        <v>1436</v>
      </c>
      <c r="I76" s="1429">
        <v>18</v>
      </c>
      <c r="J76" s="1429">
        <v>110</v>
      </c>
      <c r="K76" s="1455">
        <v>13767</v>
      </c>
      <c r="L76" s="1013" t="s">
        <v>630</v>
      </c>
      <c r="M76" s="1452">
        <v>18</v>
      </c>
      <c r="N76" s="1452">
        <v>110</v>
      </c>
      <c r="O76" s="1452">
        <v>14427</v>
      </c>
      <c r="P76" s="1013" t="s">
        <v>630</v>
      </c>
      <c r="Q76" s="1452">
        <v>18</v>
      </c>
      <c r="R76" s="1452">
        <v>110</v>
      </c>
      <c r="S76" s="1452">
        <v>13677</v>
      </c>
      <c r="T76" s="1386">
        <f t="shared" si="9"/>
        <v>0</v>
      </c>
      <c r="U76" s="1386">
        <f t="shared" si="10"/>
        <v>0</v>
      </c>
      <c r="V76" s="1438">
        <f t="shared" si="11"/>
        <v>5.1985859846121855E-2</v>
      </c>
      <c r="X76" s="1386">
        <f t="shared" si="12"/>
        <v>0</v>
      </c>
      <c r="Y76" s="1386">
        <f t="shared" si="13"/>
        <v>0</v>
      </c>
    </row>
    <row r="77" spans="2:25">
      <c r="B77" s="1456"/>
      <c r="C77" s="1386"/>
      <c r="E77" s="1386"/>
      <c r="H77" s="1056" t="s">
        <v>726</v>
      </c>
      <c r="I77" s="1429">
        <v>18</v>
      </c>
      <c r="J77" s="1429">
        <v>141</v>
      </c>
      <c r="K77" s="1455">
        <v>16032</v>
      </c>
      <c r="L77" s="1013" t="s">
        <v>726</v>
      </c>
      <c r="M77" s="1452">
        <v>18</v>
      </c>
      <c r="N77" s="1452">
        <v>211</v>
      </c>
      <c r="O77" s="1452">
        <v>17862</v>
      </c>
      <c r="P77" s="1441" t="s">
        <v>726</v>
      </c>
      <c r="Q77" s="1453">
        <v>18</v>
      </c>
      <c r="R77" s="1453">
        <v>141</v>
      </c>
      <c r="S77" s="1453">
        <v>17042</v>
      </c>
      <c r="T77" s="1443">
        <f t="shared" si="9"/>
        <v>0</v>
      </c>
      <c r="U77" s="1454">
        <f t="shared" si="10"/>
        <v>70</v>
      </c>
      <c r="V77" s="1445">
        <f t="shared" si="11"/>
        <v>4.5907513156421456E-2</v>
      </c>
      <c r="X77" s="1386">
        <f t="shared" si="12"/>
        <v>0</v>
      </c>
      <c r="Y77" s="1386">
        <f t="shared" si="13"/>
        <v>-70</v>
      </c>
    </row>
    <row r="78" spans="2:25">
      <c r="B78" s="1450" t="s">
        <v>1500</v>
      </c>
      <c r="C78" s="1386"/>
      <c r="E78" s="1386"/>
      <c r="H78" s="1056" t="s">
        <v>1159</v>
      </c>
      <c r="I78" s="1429">
        <v>18</v>
      </c>
      <c r="J78" s="1429">
        <v>105</v>
      </c>
      <c r="K78" s="1455">
        <v>13889</v>
      </c>
      <c r="L78" s="1056" t="s">
        <v>1159</v>
      </c>
      <c r="M78" s="1452">
        <v>18</v>
      </c>
      <c r="N78" s="1452">
        <v>105</v>
      </c>
      <c r="O78" s="1452">
        <v>14000</v>
      </c>
      <c r="P78" s="1056" t="s">
        <v>1159</v>
      </c>
      <c r="Q78" s="1452">
        <v>18</v>
      </c>
      <c r="R78" s="1452">
        <v>105</v>
      </c>
      <c r="S78" s="1452">
        <v>14000</v>
      </c>
      <c r="T78" s="1386">
        <f t="shared" si="9"/>
        <v>0</v>
      </c>
      <c r="U78" s="1386">
        <f t="shared" si="10"/>
        <v>0</v>
      </c>
      <c r="V78" s="1438">
        <f t="shared" si="11"/>
        <v>0</v>
      </c>
      <c r="X78" s="1386">
        <f t="shared" si="12"/>
        <v>0</v>
      </c>
      <c r="Y78" s="1386">
        <f t="shared" si="13"/>
        <v>0</v>
      </c>
    </row>
    <row r="79" spans="2:25">
      <c r="C79" s="1386"/>
      <c r="E79" s="1386"/>
      <c r="H79" s="1011" t="s">
        <v>716</v>
      </c>
      <c r="I79" s="1429">
        <v>18</v>
      </c>
      <c r="J79" s="1429">
        <v>185</v>
      </c>
      <c r="K79" s="1458">
        <v>13900</v>
      </c>
      <c r="L79" s="1013" t="s">
        <v>716</v>
      </c>
      <c r="M79" s="1452">
        <v>18</v>
      </c>
      <c r="N79" s="1452">
        <v>185</v>
      </c>
      <c r="O79" s="1452">
        <v>13000</v>
      </c>
      <c r="P79" s="1013" t="s">
        <v>716</v>
      </c>
      <c r="Q79" s="1452">
        <v>18</v>
      </c>
      <c r="R79" s="1452">
        <v>185</v>
      </c>
      <c r="S79" s="1452">
        <v>13584</v>
      </c>
      <c r="T79" s="1386">
        <f t="shared" si="9"/>
        <v>0</v>
      </c>
      <c r="U79" s="1386">
        <f t="shared" si="10"/>
        <v>0</v>
      </c>
      <c r="V79" s="1438">
        <f t="shared" si="11"/>
        <v>-4.492307692307692E-2</v>
      </c>
      <c r="X79" s="1386">
        <f t="shared" si="12"/>
        <v>0</v>
      </c>
      <c r="Y79" s="1386">
        <f t="shared" si="13"/>
        <v>0</v>
      </c>
    </row>
    <row r="80" spans="2:25">
      <c r="C80" s="1386"/>
      <c r="E80" s="1386"/>
      <c r="H80" s="1011" t="s">
        <v>1025</v>
      </c>
      <c r="I80" s="1429">
        <v>18</v>
      </c>
      <c r="J80" s="1429">
        <v>70</v>
      </c>
      <c r="K80" s="1452">
        <v>20000</v>
      </c>
      <c r="L80" s="1011" t="s">
        <v>1025</v>
      </c>
      <c r="M80" s="1452">
        <v>18</v>
      </c>
      <c r="N80" s="1452">
        <v>70</v>
      </c>
      <c r="O80" s="1452">
        <v>20000</v>
      </c>
      <c r="P80" s="1011" t="s">
        <v>1025</v>
      </c>
      <c r="Q80" s="1452">
        <v>18</v>
      </c>
      <c r="R80" s="1452">
        <v>70</v>
      </c>
      <c r="S80" s="1452">
        <v>20000</v>
      </c>
      <c r="T80" s="1386">
        <f t="shared" si="9"/>
        <v>0</v>
      </c>
      <c r="U80" s="1386">
        <f t="shared" si="10"/>
        <v>0</v>
      </c>
      <c r="V80" s="1438">
        <f t="shared" si="11"/>
        <v>0</v>
      </c>
      <c r="X80" s="1386">
        <f t="shared" si="12"/>
        <v>0</v>
      </c>
      <c r="Y80" s="1386">
        <f t="shared" si="13"/>
        <v>0</v>
      </c>
    </row>
    <row r="81" spans="1:25">
      <c r="C81" s="1386"/>
      <c r="E81" s="1386"/>
      <c r="H81" s="1457" t="s">
        <v>466</v>
      </c>
      <c r="I81" s="1429">
        <v>18</v>
      </c>
      <c r="J81" s="1429">
        <v>100</v>
      </c>
      <c r="K81" s="1458">
        <v>22032</v>
      </c>
      <c r="L81" s="1011" t="s">
        <v>466</v>
      </c>
      <c r="M81" s="1452">
        <v>18</v>
      </c>
      <c r="N81" s="1452">
        <v>100</v>
      </c>
      <c r="O81" s="1452">
        <v>22158</v>
      </c>
      <c r="P81" s="1011" t="s">
        <v>466</v>
      </c>
      <c r="Q81" s="1452">
        <v>18</v>
      </c>
      <c r="R81" s="1452">
        <v>100</v>
      </c>
      <c r="S81" s="1452">
        <v>22158</v>
      </c>
      <c r="T81" s="1386">
        <f t="shared" si="9"/>
        <v>0</v>
      </c>
      <c r="U81" s="1386">
        <f t="shared" si="10"/>
        <v>0</v>
      </c>
      <c r="V81" s="1438">
        <f t="shared" si="11"/>
        <v>0</v>
      </c>
      <c r="X81" s="1386">
        <f t="shared" si="12"/>
        <v>0</v>
      </c>
      <c r="Y81" s="1386">
        <f t="shared" si="13"/>
        <v>0</v>
      </c>
    </row>
    <row r="82" spans="1:25">
      <c r="C82" s="1386"/>
      <c r="E82" s="1386"/>
      <c r="H82" s="1011" t="s">
        <v>1026</v>
      </c>
      <c r="I82" s="1429">
        <v>18</v>
      </c>
      <c r="J82" s="1429">
        <v>90</v>
      </c>
      <c r="K82" s="1452">
        <v>37311</v>
      </c>
      <c r="L82" s="1011" t="s">
        <v>1026</v>
      </c>
      <c r="M82" s="1452">
        <v>18</v>
      </c>
      <c r="N82" s="1452">
        <v>82</v>
      </c>
      <c r="O82" s="1452">
        <v>38346</v>
      </c>
      <c r="P82" s="1011" t="s">
        <v>1026</v>
      </c>
      <c r="Q82" s="1452">
        <v>18</v>
      </c>
      <c r="R82" s="1452">
        <v>82</v>
      </c>
      <c r="S82" s="1452">
        <v>38951</v>
      </c>
      <c r="T82" s="1386">
        <f t="shared" si="9"/>
        <v>0</v>
      </c>
      <c r="U82" s="1386">
        <f t="shared" si="10"/>
        <v>0</v>
      </c>
      <c r="V82" s="1438">
        <f t="shared" si="11"/>
        <v>-1.5777395295467584E-2</v>
      </c>
      <c r="X82" s="1386">
        <f t="shared" si="12"/>
        <v>0</v>
      </c>
      <c r="Y82" s="1386">
        <f t="shared" si="13"/>
        <v>8</v>
      </c>
    </row>
    <row r="83" spans="1:25">
      <c r="C83" s="1386"/>
      <c r="E83" s="1386"/>
      <c r="H83" s="1056" t="s">
        <v>691</v>
      </c>
      <c r="I83" s="1429">
        <v>18</v>
      </c>
      <c r="J83" s="1429">
        <v>150</v>
      </c>
      <c r="K83" s="1455">
        <v>26612</v>
      </c>
      <c r="L83" s="1011" t="s">
        <v>691</v>
      </c>
      <c r="M83" s="1452">
        <v>18</v>
      </c>
      <c r="N83" s="1452">
        <v>150</v>
      </c>
      <c r="O83" s="1452">
        <v>21793</v>
      </c>
      <c r="P83" s="1011" t="s">
        <v>691</v>
      </c>
      <c r="Q83" s="1452">
        <v>18</v>
      </c>
      <c r="R83" s="1452">
        <v>150</v>
      </c>
      <c r="S83" s="1452">
        <v>23228</v>
      </c>
      <c r="T83" s="1386">
        <f t="shared" si="9"/>
        <v>0</v>
      </c>
      <c r="U83" s="1386">
        <f t="shared" si="10"/>
        <v>0</v>
      </c>
      <c r="V83" s="1438">
        <f t="shared" si="11"/>
        <v>-6.5846831551415588E-2</v>
      </c>
      <c r="X83" s="1386">
        <f t="shared" si="12"/>
        <v>0</v>
      </c>
      <c r="Y83" s="1386">
        <f t="shared" si="13"/>
        <v>0</v>
      </c>
    </row>
    <row r="84" spans="1:25">
      <c r="C84" s="1386"/>
      <c r="E84" s="1386"/>
      <c r="H84" s="1056" t="s">
        <v>1437</v>
      </c>
      <c r="I84" s="1429">
        <v>18</v>
      </c>
      <c r="J84" s="1429">
        <v>95</v>
      </c>
      <c r="K84" s="1455">
        <v>14225</v>
      </c>
      <c r="L84" s="1013" t="s">
        <v>1314</v>
      </c>
      <c r="M84" s="1452">
        <v>18</v>
      </c>
      <c r="N84" s="1452">
        <v>95</v>
      </c>
      <c r="O84" s="1452">
        <v>13173</v>
      </c>
      <c r="P84" s="1013" t="s">
        <v>1314</v>
      </c>
      <c r="Q84" s="1452">
        <v>18</v>
      </c>
      <c r="R84" s="1452">
        <v>95</v>
      </c>
      <c r="S84" s="1452">
        <v>14840</v>
      </c>
      <c r="T84" s="1386">
        <f t="shared" si="9"/>
        <v>0</v>
      </c>
      <c r="U84" s="1386">
        <f t="shared" si="10"/>
        <v>0</v>
      </c>
      <c r="V84" s="1438">
        <f t="shared" si="11"/>
        <v>-0.12654672436043421</v>
      </c>
      <c r="X84" s="1386">
        <f t="shared" si="12"/>
        <v>0</v>
      </c>
      <c r="Y84" s="1386">
        <f t="shared" si="13"/>
        <v>0</v>
      </c>
    </row>
    <row r="85" spans="1:25">
      <c r="A85" s="1459" t="s">
        <v>1534</v>
      </c>
      <c r="B85" s="1459"/>
      <c r="C85" s="1460"/>
      <c r="D85" s="1459"/>
      <c r="E85" s="1459"/>
      <c r="H85" s="1056" t="s">
        <v>1438</v>
      </c>
      <c r="I85" s="1429">
        <v>18</v>
      </c>
      <c r="J85" s="1429">
        <v>103</v>
      </c>
      <c r="K85" s="1455">
        <v>28791</v>
      </c>
      <c r="L85" s="1013" t="s">
        <v>1198</v>
      </c>
      <c r="M85" s="1452">
        <v>18</v>
      </c>
      <c r="N85" s="1452">
        <v>103</v>
      </c>
      <c r="O85" s="1452">
        <v>29420</v>
      </c>
      <c r="P85" s="1013" t="s">
        <v>1198</v>
      </c>
      <c r="Q85" s="1452">
        <v>18</v>
      </c>
      <c r="R85" s="1452">
        <v>103</v>
      </c>
      <c r="S85" s="1452">
        <v>30000</v>
      </c>
      <c r="T85" s="1386">
        <f t="shared" si="9"/>
        <v>0</v>
      </c>
      <c r="U85" s="1386">
        <f t="shared" si="10"/>
        <v>0</v>
      </c>
      <c r="V85" s="1438">
        <f t="shared" si="11"/>
        <v>-1.9714479945615229E-2</v>
      </c>
      <c r="X85" s="1386">
        <f t="shared" si="12"/>
        <v>0</v>
      </c>
      <c r="Y85" s="1386">
        <f t="shared" si="13"/>
        <v>0</v>
      </c>
    </row>
    <row r="86" spans="1:25">
      <c r="E86" s="1386"/>
      <c r="H86" s="1056"/>
      <c r="K86" s="1455"/>
      <c r="L86" s="1013" t="s">
        <v>1306</v>
      </c>
      <c r="M86" s="1452">
        <v>18</v>
      </c>
      <c r="N86" s="1452">
        <v>120</v>
      </c>
      <c r="O86" s="1452">
        <v>17092</v>
      </c>
      <c r="P86" s="1013" t="s">
        <v>1129</v>
      </c>
      <c r="Q86" s="1452">
        <v>18</v>
      </c>
      <c r="R86" s="1452">
        <v>120</v>
      </c>
      <c r="S86" s="1452">
        <v>24837</v>
      </c>
      <c r="T86" s="1386">
        <f t="shared" si="9"/>
        <v>0</v>
      </c>
      <c r="U86" s="1386">
        <f t="shared" si="10"/>
        <v>0</v>
      </c>
      <c r="V86" s="1438">
        <f t="shared" si="11"/>
        <v>-0.45313597004446526</v>
      </c>
      <c r="X86" s="1386">
        <f t="shared" si="12"/>
        <v>-18</v>
      </c>
      <c r="Y86" s="1386">
        <f t="shared" si="13"/>
        <v>-120</v>
      </c>
    </row>
    <row r="87" spans="1:25">
      <c r="A87" s="1448" t="s">
        <v>1504</v>
      </c>
      <c r="C87" s="1386"/>
      <c r="E87" s="1386"/>
      <c r="H87" s="1457" t="s">
        <v>1140</v>
      </c>
      <c r="I87" s="1429">
        <v>18</v>
      </c>
      <c r="J87" s="1429">
        <v>62</v>
      </c>
      <c r="K87" s="1458">
        <v>25178</v>
      </c>
      <c r="L87" s="1013" t="s">
        <v>1140</v>
      </c>
      <c r="M87" s="1452">
        <v>18</v>
      </c>
      <c r="N87" s="1452">
        <v>62</v>
      </c>
      <c r="O87" s="1452">
        <v>25882</v>
      </c>
      <c r="P87" s="1013" t="s">
        <v>1140</v>
      </c>
      <c r="Q87" s="1452">
        <v>18</v>
      </c>
      <c r="R87" s="1452">
        <v>62</v>
      </c>
      <c r="S87" s="1452">
        <v>26766</v>
      </c>
      <c r="T87" s="1386">
        <f t="shared" si="9"/>
        <v>0</v>
      </c>
      <c r="U87" s="1386">
        <f t="shared" si="10"/>
        <v>0</v>
      </c>
      <c r="V87" s="1438">
        <f t="shared" si="11"/>
        <v>-3.4155011204698243E-2</v>
      </c>
      <c r="X87" s="1386">
        <f t="shared" si="12"/>
        <v>0</v>
      </c>
      <c r="Y87" s="1386">
        <f t="shared" si="13"/>
        <v>0</v>
      </c>
    </row>
    <row r="88" spans="1:25">
      <c r="A88" s="1386">
        <v>1</v>
      </c>
      <c r="B88" s="1475" t="s">
        <v>1005</v>
      </c>
      <c r="C88" s="1475" t="s">
        <v>1465</v>
      </c>
      <c r="D88" s="1474"/>
      <c r="E88" s="1474"/>
      <c r="F88" s="1462" t="s">
        <v>1555</v>
      </c>
      <c r="H88" s="1056" t="s">
        <v>640</v>
      </c>
      <c r="I88" s="1429">
        <v>18</v>
      </c>
      <c r="J88" s="1429">
        <v>110</v>
      </c>
      <c r="K88" s="1455">
        <v>17391</v>
      </c>
      <c r="L88" s="1013"/>
      <c r="M88" s="1452"/>
      <c r="N88" s="1452"/>
      <c r="O88" s="1452"/>
    </row>
    <row r="89" spans="1:25">
      <c r="A89" s="1386">
        <v>2</v>
      </c>
      <c r="B89" s="1440" t="s">
        <v>1160</v>
      </c>
      <c r="C89" s="1440" t="s">
        <v>1465</v>
      </c>
      <c r="E89" s="1386"/>
      <c r="H89" s="1011" t="s">
        <v>1029</v>
      </c>
      <c r="I89" s="1429">
        <v>18</v>
      </c>
      <c r="J89" s="1429">
        <v>125</v>
      </c>
      <c r="K89" s="1452">
        <v>60288</v>
      </c>
      <c r="L89" s="1013" t="s">
        <v>1029</v>
      </c>
      <c r="M89" s="1452">
        <v>18</v>
      </c>
      <c r="N89" s="1452">
        <v>125</v>
      </c>
      <c r="O89" s="1452">
        <v>58570</v>
      </c>
      <c r="P89" s="1013" t="s">
        <v>1029</v>
      </c>
      <c r="Q89" s="1452">
        <v>18</v>
      </c>
      <c r="R89" s="1452">
        <v>125</v>
      </c>
      <c r="S89" s="1452">
        <v>58295</v>
      </c>
      <c r="T89" s="1386">
        <f t="shared" si="9"/>
        <v>0</v>
      </c>
      <c r="U89" s="1386">
        <f t="shared" si="10"/>
        <v>0</v>
      </c>
      <c r="V89" s="1438">
        <f t="shared" si="11"/>
        <v>4.6952364691821751E-3</v>
      </c>
      <c r="X89" s="1386">
        <f t="shared" si="12"/>
        <v>0</v>
      </c>
      <c r="Y89" s="1386">
        <f t="shared" si="13"/>
        <v>0</v>
      </c>
    </row>
    <row r="90" spans="1:25">
      <c r="A90" s="1386">
        <v>3</v>
      </c>
      <c r="B90" s="1440" t="s">
        <v>697</v>
      </c>
      <c r="C90" s="1440" t="s">
        <v>1465</v>
      </c>
      <c r="E90" s="1386"/>
      <c r="H90" s="1056" t="s">
        <v>1439</v>
      </c>
      <c r="I90" s="1429">
        <v>18</v>
      </c>
      <c r="J90" s="1429">
        <v>126</v>
      </c>
      <c r="K90" s="1455">
        <v>55966</v>
      </c>
      <c r="L90" s="1013" t="s">
        <v>1199</v>
      </c>
      <c r="M90" s="1452">
        <v>18</v>
      </c>
      <c r="N90" s="1452">
        <v>126</v>
      </c>
      <c r="O90" s="1452">
        <v>48777</v>
      </c>
      <c r="P90" s="1013" t="s">
        <v>1199</v>
      </c>
      <c r="Q90" s="1452">
        <v>18</v>
      </c>
      <c r="R90" s="1452">
        <v>126</v>
      </c>
      <c r="S90" s="1452">
        <v>54000</v>
      </c>
      <c r="T90" s="1386">
        <f t="shared" si="9"/>
        <v>0</v>
      </c>
      <c r="U90" s="1386">
        <f t="shared" si="10"/>
        <v>0</v>
      </c>
      <c r="V90" s="1438">
        <f t="shared" si="11"/>
        <v>-0.10707915615966541</v>
      </c>
      <c r="X90" s="1386">
        <f t="shared" si="12"/>
        <v>0</v>
      </c>
      <c r="Y90" s="1386">
        <f t="shared" si="13"/>
        <v>0</v>
      </c>
    </row>
    <row r="91" spans="1:25">
      <c r="A91" s="1386">
        <v>4</v>
      </c>
      <c r="B91" s="1440" t="s">
        <v>920</v>
      </c>
      <c r="C91" s="1440" t="s">
        <v>1465</v>
      </c>
      <c r="E91" s="1386"/>
      <c r="H91" s="1056"/>
      <c r="K91" s="1455"/>
      <c r="L91" s="1011" t="s">
        <v>1130</v>
      </c>
      <c r="M91" s="1452">
        <v>18</v>
      </c>
      <c r="N91" s="1452">
        <v>35</v>
      </c>
      <c r="O91" s="1452">
        <v>8329</v>
      </c>
      <c r="P91" s="1011" t="s">
        <v>1130</v>
      </c>
      <c r="Q91" s="1452">
        <v>18</v>
      </c>
      <c r="R91" s="1452">
        <v>35</v>
      </c>
      <c r="S91" s="1452">
        <v>8194</v>
      </c>
      <c r="T91" s="1386">
        <f t="shared" si="9"/>
        <v>0</v>
      </c>
      <c r="U91" s="1386">
        <f t="shared" si="10"/>
        <v>0</v>
      </c>
      <c r="V91" s="1438">
        <f t="shared" si="11"/>
        <v>1.6208428382759033E-2</v>
      </c>
      <c r="X91" s="1386">
        <f t="shared" si="12"/>
        <v>-18</v>
      </c>
      <c r="Y91" s="1386">
        <f t="shared" si="13"/>
        <v>-35</v>
      </c>
    </row>
    <row r="92" spans="1:25">
      <c r="B92" s="1440"/>
      <c r="C92" s="1440"/>
      <c r="E92" s="1386"/>
      <c r="H92" s="1056"/>
      <c r="K92" s="1455"/>
      <c r="L92" s="1011"/>
      <c r="M92" s="1452"/>
      <c r="N92" s="1452"/>
      <c r="O92" s="1452"/>
      <c r="P92" s="1011"/>
      <c r="Q92" s="1452"/>
      <c r="R92" s="1452"/>
      <c r="S92" s="1452"/>
      <c r="V92" s="1438"/>
    </row>
    <row r="93" spans="1:25">
      <c r="A93" s="1386">
        <v>5</v>
      </c>
      <c r="B93" s="1440" t="s">
        <v>1505</v>
      </c>
      <c r="C93" s="1440" t="s">
        <v>1506</v>
      </c>
      <c r="E93" s="1386"/>
      <c r="F93" s="1462" t="s">
        <v>1556</v>
      </c>
      <c r="H93" s="1056" t="s">
        <v>1441</v>
      </c>
      <c r="I93" s="1429">
        <v>18</v>
      </c>
      <c r="J93" s="1429">
        <v>83</v>
      </c>
      <c r="K93" s="1455">
        <v>15354</v>
      </c>
      <c r="L93" s="1013" t="s">
        <v>1315</v>
      </c>
      <c r="M93" s="1452">
        <v>18</v>
      </c>
      <c r="N93" s="1452">
        <v>80</v>
      </c>
      <c r="O93" s="1452">
        <v>15354</v>
      </c>
      <c r="P93" s="1441" t="s">
        <v>1315</v>
      </c>
      <c r="Q93" s="1453">
        <v>18</v>
      </c>
      <c r="R93" s="1453">
        <v>200</v>
      </c>
      <c r="S93" s="1453">
        <v>16413</v>
      </c>
      <c r="T93" s="1443">
        <f>M93-Q93</f>
        <v>0</v>
      </c>
      <c r="U93" s="1454">
        <f>N93-R93</f>
        <v>-120</v>
      </c>
      <c r="V93" s="1445">
        <f>(O93-S93)/O93</f>
        <v>-6.8972254787026177E-2</v>
      </c>
      <c r="X93" s="1386">
        <f>I93-Q93</f>
        <v>0</v>
      </c>
      <c r="Y93" s="1386">
        <f>J93-N93</f>
        <v>3</v>
      </c>
    </row>
    <row r="94" spans="1:25">
      <c r="B94" s="1440"/>
      <c r="C94" s="1440"/>
      <c r="E94" s="1386"/>
      <c r="H94" s="1056"/>
      <c r="K94" s="1455"/>
      <c r="L94" s="1013"/>
      <c r="M94" s="1452"/>
      <c r="N94" s="1452"/>
      <c r="O94" s="1452"/>
      <c r="P94" s="1441"/>
      <c r="Q94" s="1453"/>
      <c r="R94" s="1453"/>
      <c r="S94" s="1453"/>
      <c r="T94" s="1443"/>
      <c r="U94" s="1454"/>
      <c r="V94" s="1445"/>
    </row>
    <row r="95" spans="1:25">
      <c r="A95" s="1386">
        <v>6</v>
      </c>
      <c r="B95" s="1440" t="s">
        <v>1146</v>
      </c>
      <c r="C95" s="1440" t="s">
        <v>1469</v>
      </c>
      <c r="E95" s="1386"/>
      <c r="H95" s="1011" t="s">
        <v>551</v>
      </c>
      <c r="I95" s="1429">
        <v>18</v>
      </c>
      <c r="J95" s="1429">
        <v>100</v>
      </c>
      <c r="K95" s="1455">
        <v>15733</v>
      </c>
      <c r="L95" s="1013" t="s">
        <v>679</v>
      </c>
      <c r="M95" s="1452">
        <v>18</v>
      </c>
      <c r="N95" s="1452">
        <v>100</v>
      </c>
      <c r="O95" s="1452">
        <v>16599</v>
      </c>
      <c r="P95" s="1013" t="s">
        <v>679</v>
      </c>
      <c r="Q95" s="1452">
        <v>18</v>
      </c>
      <c r="R95" s="1452">
        <v>100</v>
      </c>
      <c r="S95" s="1452">
        <v>15950</v>
      </c>
      <c r="T95" s="1386">
        <f t="shared" si="9"/>
        <v>0</v>
      </c>
      <c r="U95" s="1386">
        <f t="shared" si="10"/>
        <v>0</v>
      </c>
      <c r="V95" s="1438">
        <f t="shared" si="11"/>
        <v>3.9098740888005301E-2</v>
      </c>
      <c r="X95" s="1386">
        <f t="shared" si="12"/>
        <v>0</v>
      </c>
      <c r="Y95" s="1386">
        <f t="shared" si="13"/>
        <v>0</v>
      </c>
    </row>
    <row r="96" spans="1:25">
      <c r="A96" s="1386">
        <v>7</v>
      </c>
      <c r="B96" s="1440" t="s">
        <v>1018</v>
      </c>
      <c r="C96" s="1440" t="s">
        <v>1468</v>
      </c>
      <c r="E96" s="1386"/>
      <c r="H96" s="1457" t="s">
        <v>999</v>
      </c>
      <c r="I96" s="1429">
        <v>18</v>
      </c>
      <c r="J96" s="1429">
        <v>135</v>
      </c>
      <c r="K96" s="1458">
        <v>16148</v>
      </c>
      <c r="L96" s="1013" t="s">
        <v>999</v>
      </c>
      <c r="M96" s="1452">
        <v>18</v>
      </c>
      <c r="N96" s="1452">
        <v>135</v>
      </c>
      <c r="O96" s="1452">
        <v>18337</v>
      </c>
      <c r="P96" s="1441" t="s">
        <v>999</v>
      </c>
      <c r="Q96" s="1453">
        <v>18</v>
      </c>
      <c r="R96" s="1453">
        <v>90</v>
      </c>
      <c r="S96" s="1453">
        <v>18953</v>
      </c>
      <c r="T96" s="1443">
        <f t="shared" si="9"/>
        <v>0</v>
      </c>
      <c r="U96" s="1454">
        <f t="shared" si="10"/>
        <v>45</v>
      </c>
      <c r="V96" s="1445">
        <f t="shared" si="11"/>
        <v>-3.3593281343731254E-2</v>
      </c>
      <c r="X96" s="1386">
        <f t="shared" si="12"/>
        <v>0</v>
      </c>
      <c r="Y96" s="1386">
        <f t="shared" si="13"/>
        <v>0</v>
      </c>
    </row>
    <row r="97" spans="1:25">
      <c r="A97" s="1386">
        <v>8</v>
      </c>
      <c r="B97" s="1440" t="s">
        <v>641</v>
      </c>
      <c r="C97" s="1440" t="s">
        <v>1468</v>
      </c>
      <c r="E97" s="1386"/>
      <c r="H97" s="1457"/>
      <c r="K97" s="1458"/>
      <c r="L97" s="1013" t="s">
        <v>1447</v>
      </c>
      <c r="M97" s="1452"/>
      <c r="N97" s="1452"/>
      <c r="O97" s="1452"/>
      <c r="P97" s="1011" t="s">
        <v>1145</v>
      </c>
      <c r="Q97" s="1452">
        <v>18</v>
      </c>
      <c r="R97" s="1452">
        <v>120</v>
      </c>
      <c r="S97" s="1452">
        <v>26152</v>
      </c>
      <c r="V97" s="1438"/>
      <c r="X97" s="1386">
        <f t="shared" si="12"/>
        <v>-18</v>
      </c>
      <c r="Y97" s="1386">
        <f t="shared" si="13"/>
        <v>0</v>
      </c>
    </row>
    <row r="98" spans="1:25">
      <c r="B98" s="1440"/>
      <c r="C98" s="1476"/>
      <c r="E98" s="1386"/>
      <c r="H98" s="1011" t="s">
        <v>634</v>
      </c>
      <c r="I98" s="1429">
        <v>18</v>
      </c>
      <c r="J98" s="1429">
        <v>88</v>
      </c>
      <c r="K98" s="1452">
        <v>22101</v>
      </c>
      <c r="L98" s="1013" t="s">
        <v>634</v>
      </c>
      <c r="M98" s="1452">
        <v>18</v>
      </c>
      <c r="N98" s="1452">
        <v>88</v>
      </c>
      <c r="O98" s="1452">
        <v>12408</v>
      </c>
      <c r="P98" s="1011" t="s">
        <v>634</v>
      </c>
      <c r="Q98" s="1452">
        <v>18</v>
      </c>
      <c r="R98" s="1452">
        <v>88</v>
      </c>
      <c r="S98" s="1452">
        <v>19599</v>
      </c>
      <c r="T98" s="1386">
        <f t="shared" ref="T98:T115" si="14">M98-Q98</f>
        <v>0</v>
      </c>
      <c r="U98" s="1386">
        <f t="shared" ref="U98:U115" si="15">N98-R98</f>
        <v>0</v>
      </c>
      <c r="V98" s="1438">
        <f t="shared" ref="V98:V115" si="16">(O98-S98)/O98</f>
        <v>-0.57954545454545459</v>
      </c>
      <c r="X98" s="1386">
        <f t="shared" ref="X98:X115" si="17">I98-Q98</f>
        <v>0</v>
      </c>
      <c r="Y98" s="1386">
        <f t="shared" ref="Y98:Y115" si="18">J98-N98</f>
        <v>0</v>
      </c>
    </row>
    <row r="99" spans="1:25">
      <c r="A99" s="1386">
        <v>9</v>
      </c>
      <c r="B99" s="1440" t="s">
        <v>1420</v>
      </c>
      <c r="C99" s="1476" t="s">
        <v>1502</v>
      </c>
      <c r="E99" s="1386"/>
      <c r="H99" s="1011" t="s">
        <v>1161</v>
      </c>
      <c r="I99" s="1429">
        <v>18</v>
      </c>
      <c r="J99" s="1429">
        <v>120</v>
      </c>
      <c r="K99" s="1452">
        <v>12453</v>
      </c>
      <c r="L99" s="1013" t="s">
        <v>1161</v>
      </c>
      <c r="M99" s="1452">
        <v>18</v>
      </c>
      <c r="N99" s="1452">
        <v>180</v>
      </c>
      <c r="O99" s="1452">
        <v>14730</v>
      </c>
      <c r="P99" s="1013" t="s">
        <v>1161</v>
      </c>
      <c r="Q99" s="1452">
        <v>18</v>
      </c>
      <c r="R99" s="1452">
        <v>180</v>
      </c>
      <c r="S99" s="1452">
        <v>16346</v>
      </c>
      <c r="T99" s="1386">
        <f t="shared" si="14"/>
        <v>0</v>
      </c>
      <c r="U99" s="1386">
        <f t="shared" si="15"/>
        <v>0</v>
      </c>
      <c r="V99" s="1438">
        <f t="shared" si="16"/>
        <v>-0.10970807875084861</v>
      </c>
      <c r="X99" s="1386">
        <f t="shared" si="17"/>
        <v>0</v>
      </c>
      <c r="Y99" s="1386">
        <f t="shared" si="18"/>
        <v>-60</v>
      </c>
    </row>
    <row r="100" spans="1:25">
      <c r="C100" s="1386"/>
      <c r="E100" s="1386"/>
      <c r="H100" s="1056" t="s">
        <v>1442</v>
      </c>
      <c r="I100" s="1429">
        <v>18</v>
      </c>
      <c r="J100" s="1429">
        <v>120</v>
      </c>
      <c r="K100" s="1455">
        <v>43900</v>
      </c>
      <c r="L100" s="1013" t="s">
        <v>1200</v>
      </c>
      <c r="M100" s="1452">
        <v>18</v>
      </c>
      <c r="N100" s="1452">
        <v>122</v>
      </c>
      <c r="O100" s="1452">
        <v>39022</v>
      </c>
      <c r="P100" s="1013" t="s">
        <v>1200</v>
      </c>
      <c r="Q100" s="1452">
        <v>18</v>
      </c>
      <c r="R100" s="1452">
        <v>120</v>
      </c>
      <c r="S100" s="1452">
        <v>37293</v>
      </c>
      <c r="T100" s="1386">
        <f t="shared" si="14"/>
        <v>0</v>
      </c>
      <c r="U100" s="1386">
        <f t="shared" si="15"/>
        <v>2</v>
      </c>
      <c r="V100" s="1438">
        <f t="shared" si="16"/>
        <v>4.4308338885756755E-2</v>
      </c>
      <c r="X100" s="1386">
        <f t="shared" si="17"/>
        <v>0</v>
      </c>
      <c r="Y100" s="1386">
        <f t="shared" si="18"/>
        <v>-2</v>
      </c>
    </row>
    <row r="101" spans="1:25">
      <c r="C101" s="1386"/>
      <c r="E101" s="1386"/>
      <c r="H101" s="1011" t="s">
        <v>263</v>
      </c>
      <c r="I101" s="1429">
        <v>18</v>
      </c>
      <c r="J101" s="1429">
        <v>110</v>
      </c>
      <c r="K101" s="1452">
        <v>17716</v>
      </c>
      <c r="L101" s="1013" t="s">
        <v>1321</v>
      </c>
      <c r="M101" s="1452">
        <v>18</v>
      </c>
      <c r="N101" s="1452">
        <v>110</v>
      </c>
      <c r="O101" s="1452">
        <v>18251</v>
      </c>
      <c r="P101" s="1013" t="s">
        <v>1321</v>
      </c>
      <c r="Q101" s="1452">
        <v>18</v>
      </c>
      <c r="R101" s="1452">
        <v>110</v>
      </c>
      <c r="S101" s="1452">
        <v>17625</v>
      </c>
      <c r="T101" s="1386">
        <f t="shared" si="14"/>
        <v>0</v>
      </c>
      <c r="U101" s="1386">
        <f t="shared" si="15"/>
        <v>0</v>
      </c>
      <c r="V101" s="1438">
        <f t="shared" si="16"/>
        <v>3.4299490438880059E-2</v>
      </c>
      <c r="X101" s="1386">
        <f t="shared" si="17"/>
        <v>0</v>
      </c>
      <c r="Y101" s="1386">
        <f t="shared" si="18"/>
        <v>0</v>
      </c>
    </row>
    <row r="102" spans="1:25">
      <c r="C102" s="1386"/>
      <c r="E102" s="1386"/>
      <c r="H102" s="1013" t="s">
        <v>1143</v>
      </c>
      <c r="I102" s="1429">
        <v>18</v>
      </c>
      <c r="J102" s="1429">
        <v>92</v>
      </c>
      <c r="K102" s="1452">
        <v>29901</v>
      </c>
      <c r="L102" s="1011" t="s">
        <v>1143</v>
      </c>
      <c r="M102" s="1452">
        <v>18</v>
      </c>
      <c r="N102" s="1452">
        <v>92</v>
      </c>
      <c r="O102" s="1452">
        <v>31000</v>
      </c>
      <c r="P102" s="1011" t="s">
        <v>1143</v>
      </c>
      <c r="Q102" s="1452">
        <v>18</v>
      </c>
      <c r="R102" s="1452">
        <v>92</v>
      </c>
      <c r="S102" s="1452">
        <v>32077</v>
      </c>
      <c r="T102" s="1386">
        <f t="shared" si="14"/>
        <v>0</v>
      </c>
      <c r="U102" s="1386">
        <f t="shared" si="15"/>
        <v>0</v>
      </c>
      <c r="V102" s="1438">
        <f t="shared" si="16"/>
        <v>-3.4741935483870966E-2</v>
      </c>
      <c r="X102" s="1386">
        <f t="shared" si="17"/>
        <v>0</v>
      </c>
      <c r="Y102" s="1386">
        <f t="shared" si="18"/>
        <v>0</v>
      </c>
    </row>
    <row r="103" spans="1:25">
      <c r="A103" s="1459" t="s">
        <v>1520</v>
      </c>
      <c r="B103" s="1459"/>
      <c r="C103" s="1460"/>
      <c r="D103" s="1459"/>
      <c r="E103" s="1459"/>
      <c r="H103" s="1457" t="s">
        <v>1010</v>
      </c>
      <c r="I103" s="1429">
        <v>18</v>
      </c>
      <c r="J103" s="1429">
        <v>131</v>
      </c>
      <c r="K103" s="1458">
        <v>21969</v>
      </c>
      <c r="L103" s="1013" t="s">
        <v>1330</v>
      </c>
      <c r="M103" s="1452">
        <v>18</v>
      </c>
      <c r="N103" s="1452">
        <v>120</v>
      </c>
      <c r="O103" s="1452">
        <v>26500</v>
      </c>
      <c r="P103" s="1013" t="s">
        <v>1330</v>
      </c>
      <c r="Q103" s="1452">
        <v>18</v>
      </c>
      <c r="R103" s="1452">
        <v>131</v>
      </c>
      <c r="S103" s="1452">
        <v>22000</v>
      </c>
      <c r="T103" s="1386">
        <f t="shared" si="14"/>
        <v>0</v>
      </c>
      <c r="U103" s="1386">
        <f t="shared" si="15"/>
        <v>-11</v>
      </c>
      <c r="V103" s="1438">
        <f t="shared" si="16"/>
        <v>0.16981132075471697</v>
      </c>
      <c r="X103" s="1386">
        <f t="shared" si="17"/>
        <v>0</v>
      </c>
      <c r="Y103" s="1386">
        <f t="shared" si="18"/>
        <v>11</v>
      </c>
    </row>
    <row r="104" spans="1:25">
      <c r="C104" s="1386"/>
      <c r="E104" s="1386"/>
      <c r="H104" s="1056" t="s">
        <v>1443</v>
      </c>
      <c r="I104" s="1429">
        <v>18</v>
      </c>
      <c r="J104" s="1429">
        <v>186</v>
      </c>
      <c r="K104" s="1455">
        <v>21315</v>
      </c>
      <c r="L104" s="1013" t="s">
        <v>1201</v>
      </c>
      <c r="M104" s="1452">
        <v>18</v>
      </c>
      <c r="N104" s="1452">
        <v>186</v>
      </c>
      <c r="O104" s="1452">
        <v>20000</v>
      </c>
      <c r="P104" s="1013" t="s">
        <v>1201</v>
      </c>
      <c r="Q104" s="1452">
        <v>18</v>
      </c>
      <c r="R104" s="1452">
        <v>186</v>
      </c>
      <c r="S104" s="1452">
        <v>20000</v>
      </c>
      <c r="T104" s="1386">
        <f t="shared" si="14"/>
        <v>0</v>
      </c>
      <c r="U104" s="1386">
        <f t="shared" si="15"/>
        <v>0</v>
      </c>
      <c r="V104" s="1438">
        <f t="shared" si="16"/>
        <v>0</v>
      </c>
      <c r="X104" s="1386">
        <f t="shared" si="17"/>
        <v>0</v>
      </c>
      <c r="Y104" s="1386">
        <f t="shared" si="18"/>
        <v>0</v>
      </c>
    </row>
    <row r="105" spans="1:25">
      <c r="A105" s="1440" t="s">
        <v>1507</v>
      </c>
      <c r="C105" s="1386"/>
      <c r="E105" s="1386"/>
      <c r="H105" s="1457" t="s">
        <v>557</v>
      </c>
      <c r="I105" s="1429">
        <v>18</v>
      </c>
      <c r="J105" s="1429">
        <v>95</v>
      </c>
      <c r="K105" s="1458">
        <v>17564</v>
      </c>
      <c r="L105" s="1457" t="s">
        <v>1336</v>
      </c>
      <c r="M105" s="1458">
        <v>18</v>
      </c>
      <c r="N105" s="1458">
        <v>95</v>
      </c>
      <c r="O105" s="1458">
        <v>20664</v>
      </c>
      <c r="P105" s="1013" t="s">
        <v>1336</v>
      </c>
      <c r="Q105" s="1452">
        <v>18</v>
      </c>
      <c r="R105" s="1452">
        <v>95</v>
      </c>
      <c r="S105" s="1452">
        <v>22800</v>
      </c>
      <c r="T105" s="1386">
        <f t="shared" si="14"/>
        <v>0</v>
      </c>
      <c r="U105" s="1386">
        <f t="shared" si="15"/>
        <v>0</v>
      </c>
      <c r="V105" s="1438">
        <f t="shared" si="16"/>
        <v>-0.10336817653890824</v>
      </c>
      <c r="X105" s="1386">
        <f t="shared" si="17"/>
        <v>0</v>
      </c>
      <c r="Y105" s="1386">
        <f t="shared" si="18"/>
        <v>0</v>
      </c>
    </row>
    <row r="106" spans="1:25">
      <c r="A106" s="1440" t="s">
        <v>1508</v>
      </c>
      <c r="C106" s="1386"/>
      <c r="E106" s="1386"/>
      <c r="H106" s="1457" t="s">
        <v>627</v>
      </c>
      <c r="I106" s="1429">
        <v>18</v>
      </c>
      <c r="J106" s="1429">
        <v>200</v>
      </c>
      <c r="K106" s="1458">
        <v>23100</v>
      </c>
      <c r="L106" s="1011" t="s">
        <v>627</v>
      </c>
      <c r="M106" s="1452">
        <v>18</v>
      </c>
      <c r="N106" s="1452">
        <v>124</v>
      </c>
      <c r="O106" s="1452">
        <v>23398</v>
      </c>
      <c r="P106" s="1011" t="s">
        <v>627</v>
      </c>
      <c r="Q106" s="1452">
        <v>18</v>
      </c>
      <c r="R106" s="1452">
        <v>124</v>
      </c>
      <c r="S106" s="1452">
        <v>23398</v>
      </c>
      <c r="T106" s="1386">
        <f t="shared" si="14"/>
        <v>0</v>
      </c>
      <c r="U106" s="1386">
        <f t="shared" si="15"/>
        <v>0</v>
      </c>
      <c r="V106" s="1438">
        <f t="shared" si="16"/>
        <v>0</v>
      </c>
      <c r="X106" s="1386">
        <f t="shared" si="17"/>
        <v>0</v>
      </c>
      <c r="Y106" s="1386">
        <f t="shared" si="18"/>
        <v>76</v>
      </c>
    </row>
    <row r="107" spans="1:25">
      <c r="A107" s="1440" t="s">
        <v>619</v>
      </c>
      <c r="C107" s="1386"/>
      <c r="E107" s="1386"/>
      <c r="H107" s="1013" t="s">
        <v>1445</v>
      </c>
      <c r="I107" s="1429">
        <v>18</v>
      </c>
      <c r="J107" s="1429">
        <v>97</v>
      </c>
      <c r="K107" s="1452">
        <v>35900</v>
      </c>
      <c r="L107" s="1013" t="s">
        <v>1322</v>
      </c>
      <c r="M107" s="1452">
        <v>18</v>
      </c>
      <c r="N107" s="1452">
        <v>97</v>
      </c>
      <c r="O107" s="1452">
        <v>34611</v>
      </c>
      <c r="P107" s="1013" t="s">
        <v>1322</v>
      </c>
      <c r="Q107" s="1452">
        <v>18</v>
      </c>
      <c r="R107" s="1452">
        <v>97</v>
      </c>
      <c r="S107" s="1452">
        <v>4956</v>
      </c>
      <c r="T107" s="1386">
        <f t="shared" si="14"/>
        <v>0</v>
      </c>
      <c r="U107" s="1386">
        <f t="shared" si="15"/>
        <v>0</v>
      </c>
      <c r="V107" s="1438">
        <f t="shared" si="16"/>
        <v>0.85680852908035021</v>
      </c>
      <c r="X107" s="1386">
        <f t="shared" si="17"/>
        <v>0</v>
      </c>
      <c r="Y107" s="1386">
        <f t="shared" si="18"/>
        <v>0</v>
      </c>
    </row>
    <row r="108" spans="1:25">
      <c r="A108" s="1440" t="s">
        <v>1509</v>
      </c>
      <c r="C108" s="1386"/>
      <c r="E108" s="1386"/>
      <c r="H108" s="1056" t="s">
        <v>1136</v>
      </c>
      <c r="I108" s="1429">
        <v>18</v>
      </c>
      <c r="J108" s="1429">
        <v>90</v>
      </c>
      <c r="K108" s="1455">
        <v>13411</v>
      </c>
      <c r="L108" s="1013" t="s">
        <v>1136</v>
      </c>
      <c r="M108" s="1452">
        <v>18</v>
      </c>
      <c r="N108" s="1452">
        <v>90</v>
      </c>
      <c r="O108" s="1452">
        <v>13092</v>
      </c>
      <c r="P108" s="1011" t="s">
        <v>1136</v>
      </c>
      <c r="Q108" s="1452">
        <v>18</v>
      </c>
      <c r="R108" s="1452">
        <v>90</v>
      </c>
      <c r="S108" s="1452">
        <v>13938</v>
      </c>
      <c r="T108" s="1386">
        <f t="shared" si="14"/>
        <v>0</v>
      </c>
      <c r="U108" s="1386">
        <f t="shared" si="15"/>
        <v>0</v>
      </c>
      <c r="V108" s="1438">
        <f t="shared" si="16"/>
        <v>-6.4619615032080663E-2</v>
      </c>
      <c r="X108" s="1386">
        <f t="shared" si="17"/>
        <v>0</v>
      </c>
      <c r="Y108" s="1386">
        <f t="shared" si="18"/>
        <v>0</v>
      </c>
    </row>
    <row r="109" spans="1:25">
      <c r="A109" s="1440" t="s">
        <v>1202</v>
      </c>
      <c r="C109" s="1386"/>
      <c r="E109" s="1386"/>
      <c r="H109" s="1056" t="s">
        <v>262</v>
      </c>
      <c r="I109" s="1429">
        <v>18</v>
      </c>
      <c r="J109" s="1429">
        <v>105</v>
      </c>
      <c r="K109" s="1455">
        <v>15007</v>
      </c>
      <c r="L109" s="1013" t="s">
        <v>262</v>
      </c>
      <c r="M109" s="1452">
        <v>18</v>
      </c>
      <c r="N109" s="1452">
        <v>106</v>
      </c>
      <c r="O109" s="1452">
        <v>15500</v>
      </c>
      <c r="P109" s="1013" t="s">
        <v>262</v>
      </c>
      <c r="Q109" s="1452">
        <v>18</v>
      </c>
      <c r="R109" s="1452">
        <v>105</v>
      </c>
      <c r="S109" s="1452">
        <v>16408</v>
      </c>
      <c r="T109" s="1386">
        <f t="shared" si="14"/>
        <v>0</v>
      </c>
      <c r="U109" s="1386">
        <f t="shared" si="15"/>
        <v>1</v>
      </c>
      <c r="V109" s="1438">
        <f t="shared" si="16"/>
        <v>-5.8580645161290322E-2</v>
      </c>
      <c r="X109" s="1386">
        <f t="shared" si="17"/>
        <v>0</v>
      </c>
      <c r="Y109" s="1386">
        <f t="shared" si="18"/>
        <v>-1</v>
      </c>
    </row>
    <row r="110" spans="1:25">
      <c r="A110" s="1440" t="s">
        <v>1510</v>
      </c>
      <c r="C110" s="1386"/>
      <c r="E110" s="1386"/>
      <c r="H110" s="1056" t="s">
        <v>1137</v>
      </c>
      <c r="I110" s="1429">
        <v>18</v>
      </c>
      <c r="J110" s="1429">
        <v>134</v>
      </c>
      <c r="K110" s="1455">
        <v>48376</v>
      </c>
      <c r="L110" s="1013" t="s">
        <v>1137</v>
      </c>
      <c r="M110" s="1452">
        <v>18</v>
      </c>
      <c r="N110" s="1452">
        <v>134</v>
      </c>
      <c r="O110" s="1452">
        <v>49000</v>
      </c>
      <c r="P110" s="1013" t="s">
        <v>1137</v>
      </c>
      <c r="Q110" s="1452">
        <v>18</v>
      </c>
      <c r="R110" s="1452">
        <v>134</v>
      </c>
      <c r="S110" s="1452">
        <v>49000</v>
      </c>
      <c r="T110" s="1386">
        <f t="shared" si="14"/>
        <v>0</v>
      </c>
      <c r="U110" s="1386">
        <f t="shared" si="15"/>
        <v>0</v>
      </c>
      <c r="V110" s="1438">
        <f t="shared" si="16"/>
        <v>0</v>
      </c>
      <c r="X110" s="1386">
        <f t="shared" si="17"/>
        <v>0</v>
      </c>
      <c r="Y110" s="1386">
        <f t="shared" si="18"/>
        <v>0</v>
      </c>
    </row>
    <row r="111" spans="1:25">
      <c r="A111" s="1440" t="s">
        <v>1511</v>
      </c>
      <c r="C111" s="1386"/>
      <c r="E111" s="1386"/>
      <c r="H111" s="1457" t="s">
        <v>1012</v>
      </c>
      <c r="I111" s="1429">
        <v>18</v>
      </c>
      <c r="J111" s="1429">
        <v>120</v>
      </c>
      <c r="K111" s="1458">
        <v>21465</v>
      </c>
      <c r="L111" s="1013" t="s">
        <v>1012</v>
      </c>
      <c r="M111" s="1452">
        <v>18</v>
      </c>
      <c r="N111" s="1452">
        <v>120</v>
      </c>
      <c r="O111" s="1452">
        <v>22786</v>
      </c>
      <c r="P111" s="1013" t="s">
        <v>1012</v>
      </c>
      <c r="Q111" s="1452">
        <v>18</v>
      </c>
      <c r="R111" s="1452">
        <v>120</v>
      </c>
      <c r="S111" s="1452">
        <v>22786</v>
      </c>
      <c r="T111" s="1386">
        <f t="shared" si="14"/>
        <v>0</v>
      </c>
      <c r="U111" s="1386">
        <f t="shared" si="15"/>
        <v>0</v>
      </c>
      <c r="V111" s="1438">
        <f t="shared" si="16"/>
        <v>0</v>
      </c>
      <c r="X111" s="1386">
        <f t="shared" si="17"/>
        <v>0</v>
      </c>
      <c r="Y111" s="1386">
        <f t="shared" si="18"/>
        <v>0</v>
      </c>
    </row>
    <row r="112" spans="1:25">
      <c r="A112" s="1440" t="s">
        <v>1512</v>
      </c>
      <c r="C112" s="1386"/>
      <c r="E112" s="1386"/>
      <c r="H112" s="1457" t="s">
        <v>265</v>
      </c>
      <c r="I112" s="1429">
        <v>18</v>
      </c>
      <c r="J112" s="1429">
        <v>62</v>
      </c>
      <c r="K112" s="1458">
        <v>42696</v>
      </c>
      <c r="L112" s="1013" t="s">
        <v>265</v>
      </c>
      <c r="M112" s="1452">
        <v>18</v>
      </c>
      <c r="N112" s="1452">
        <v>62</v>
      </c>
      <c r="O112" s="1452">
        <v>41726</v>
      </c>
      <c r="P112" s="1013" t="s">
        <v>265</v>
      </c>
      <c r="Q112" s="1452">
        <v>18</v>
      </c>
      <c r="R112" s="1452">
        <v>62</v>
      </c>
      <c r="S112" s="1452">
        <v>42919</v>
      </c>
      <c r="T112" s="1386">
        <f t="shared" si="14"/>
        <v>0</v>
      </c>
      <c r="U112" s="1386">
        <f t="shared" si="15"/>
        <v>0</v>
      </c>
      <c r="V112" s="1438">
        <f t="shared" si="16"/>
        <v>-2.8591286008723578E-2</v>
      </c>
      <c r="X112" s="1386">
        <f t="shared" si="17"/>
        <v>0</v>
      </c>
      <c r="Y112" s="1386">
        <f t="shared" si="18"/>
        <v>0</v>
      </c>
    </row>
    <row r="113" spans="1:25">
      <c r="A113" s="1440" t="s">
        <v>1513</v>
      </c>
      <c r="C113" s="1386"/>
      <c r="E113" s="1386"/>
      <c r="H113" s="1056" t="s">
        <v>1444</v>
      </c>
      <c r="I113" s="1429">
        <v>18</v>
      </c>
      <c r="J113" s="1429">
        <v>114</v>
      </c>
      <c r="K113" s="1455">
        <v>41856</v>
      </c>
      <c r="L113" s="1013" t="s">
        <v>1310</v>
      </c>
      <c r="M113" s="1452">
        <v>18</v>
      </c>
      <c r="N113" s="1452">
        <v>114</v>
      </c>
      <c r="O113" s="1452">
        <v>43367</v>
      </c>
      <c r="P113" s="1013" t="s">
        <v>1310</v>
      </c>
      <c r="Q113" s="1452">
        <v>18</v>
      </c>
      <c r="R113" s="1452">
        <v>114</v>
      </c>
      <c r="S113" s="1452">
        <v>43367</v>
      </c>
      <c r="T113" s="1386">
        <f t="shared" si="14"/>
        <v>0</v>
      </c>
      <c r="U113" s="1386">
        <f t="shared" si="15"/>
        <v>0</v>
      </c>
      <c r="V113" s="1438">
        <f t="shared" si="16"/>
        <v>0</v>
      </c>
      <c r="X113" s="1386">
        <f t="shared" si="17"/>
        <v>0</v>
      </c>
      <c r="Y113" s="1386">
        <f t="shared" si="18"/>
        <v>0</v>
      </c>
    </row>
    <row r="114" spans="1:25">
      <c r="C114" s="1386"/>
      <c r="E114" s="1386"/>
      <c r="L114" s="1013" t="s">
        <v>707</v>
      </c>
      <c r="M114" s="1452">
        <v>18</v>
      </c>
      <c r="N114" s="1452">
        <v>143</v>
      </c>
      <c r="O114" s="1452">
        <v>24369</v>
      </c>
      <c r="P114" s="1013" t="s">
        <v>707</v>
      </c>
      <c r="Q114" s="1452">
        <v>18</v>
      </c>
      <c r="R114" s="1452">
        <v>143</v>
      </c>
      <c r="S114" s="1452">
        <v>24182</v>
      </c>
      <c r="T114" s="1386">
        <f t="shared" si="14"/>
        <v>0</v>
      </c>
      <c r="U114" s="1386">
        <f t="shared" si="15"/>
        <v>0</v>
      </c>
      <c r="V114" s="1438">
        <f t="shared" si="16"/>
        <v>7.6736837785711352E-3</v>
      </c>
      <c r="X114" s="1386">
        <f t="shared" si="17"/>
        <v>-18</v>
      </c>
      <c r="Y114" s="1386">
        <f t="shared" si="18"/>
        <v>-143</v>
      </c>
    </row>
    <row r="115" spans="1:25">
      <c r="C115" s="1386"/>
      <c r="E115" s="1386"/>
      <c r="H115" s="1056" t="s">
        <v>920</v>
      </c>
      <c r="I115" s="1429">
        <v>18</v>
      </c>
      <c r="J115" s="1429">
        <v>157</v>
      </c>
      <c r="K115" s="1455">
        <v>25423</v>
      </c>
      <c r="L115" s="1013" t="s">
        <v>920</v>
      </c>
      <c r="M115" s="1452">
        <v>18</v>
      </c>
      <c r="N115" s="1452">
        <v>157.1</v>
      </c>
      <c r="O115" s="1452">
        <v>16213</v>
      </c>
      <c r="P115" s="1013" t="s">
        <v>920</v>
      </c>
      <c r="Q115" s="1452">
        <v>18</v>
      </c>
      <c r="R115" s="1452">
        <v>157.1</v>
      </c>
      <c r="S115" s="1452">
        <v>26709</v>
      </c>
      <c r="T115" s="1386">
        <f t="shared" si="14"/>
        <v>0</v>
      </c>
      <c r="U115" s="1386">
        <f t="shared" si="15"/>
        <v>0</v>
      </c>
      <c r="V115" s="1438">
        <f t="shared" si="16"/>
        <v>-0.64738173070992411</v>
      </c>
      <c r="X115" s="1386">
        <f t="shared" si="17"/>
        <v>0</v>
      </c>
      <c r="Y115" s="1386">
        <f t="shared" si="18"/>
        <v>-9.9999999999994316E-2</v>
      </c>
    </row>
    <row r="116" spans="1:25">
      <c r="A116" s="1440" t="s">
        <v>1514</v>
      </c>
      <c r="C116" s="1386"/>
      <c r="E116" s="1386"/>
      <c r="H116" s="1011" t="s">
        <v>1080</v>
      </c>
      <c r="I116" s="1429">
        <v>18</v>
      </c>
      <c r="J116" s="1429">
        <v>68</v>
      </c>
      <c r="K116" s="1452">
        <v>41771</v>
      </c>
      <c r="L116" s="1013" t="s">
        <v>1080</v>
      </c>
      <c r="M116" s="1452">
        <v>18</v>
      </c>
      <c r="N116" s="1452">
        <v>68</v>
      </c>
      <c r="O116" s="1452">
        <v>41102</v>
      </c>
      <c r="P116" s="1013" t="s">
        <v>1080</v>
      </c>
      <c r="Q116" s="1452">
        <v>18</v>
      </c>
      <c r="R116" s="1452">
        <v>68</v>
      </c>
      <c r="S116" s="1452">
        <v>43786</v>
      </c>
      <c r="T116" s="1386">
        <f t="shared" ref="T116:T118" si="19">M116-Q116</f>
        <v>0</v>
      </c>
      <c r="U116" s="1386">
        <f t="shared" ref="U116:U118" si="20">N116-R116</f>
        <v>0</v>
      </c>
      <c r="V116" s="1438">
        <f t="shared" ref="V116:V118" si="21">(O116-S116)/O116</f>
        <v>-6.5300958590822827E-2</v>
      </c>
      <c r="X116" s="1386">
        <f t="shared" ref="X116:X118" si="22">I116-Q116</f>
        <v>0</v>
      </c>
      <c r="Y116" s="1386">
        <f t="shared" ref="Y116:Y118" si="23">J116-N116</f>
        <v>0</v>
      </c>
    </row>
    <row r="117" spans="1:25">
      <c r="A117" s="1440" t="s">
        <v>1515</v>
      </c>
      <c r="C117" s="1386"/>
      <c r="E117" s="1386"/>
      <c r="H117" s="1457" t="s">
        <v>1141</v>
      </c>
      <c r="I117" s="1429">
        <v>18</v>
      </c>
      <c r="J117" s="1429">
        <v>127</v>
      </c>
      <c r="K117" s="1458">
        <v>32476</v>
      </c>
      <c r="L117" s="1013" t="s">
        <v>1141</v>
      </c>
      <c r="M117" s="1452">
        <v>18</v>
      </c>
      <c r="N117" s="1452">
        <v>127</v>
      </c>
      <c r="O117" s="1452">
        <v>31459</v>
      </c>
      <c r="P117" s="1013" t="s">
        <v>1141</v>
      </c>
      <c r="Q117" s="1452">
        <v>18</v>
      </c>
      <c r="R117" s="1452">
        <v>127</v>
      </c>
      <c r="S117" s="1452">
        <v>31528</v>
      </c>
      <c r="T117" s="1386">
        <f t="shared" si="19"/>
        <v>0</v>
      </c>
      <c r="U117" s="1386">
        <f t="shared" si="20"/>
        <v>0</v>
      </c>
      <c r="V117" s="1438">
        <f t="shared" si="21"/>
        <v>-2.1933310022569058E-3</v>
      </c>
      <c r="X117" s="1386">
        <f t="shared" si="22"/>
        <v>0</v>
      </c>
      <c r="Y117" s="1386">
        <f t="shared" si="23"/>
        <v>0</v>
      </c>
    </row>
    <row r="118" spans="1:25">
      <c r="A118" s="1440" t="s">
        <v>1516</v>
      </c>
      <c r="C118" s="1386"/>
      <c r="E118" s="1386"/>
      <c r="H118" s="1011" t="s">
        <v>1035</v>
      </c>
      <c r="I118" s="1429">
        <v>18</v>
      </c>
      <c r="J118" s="1429">
        <v>100</v>
      </c>
      <c r="K118" s="1452">
        <v>45790</v>
      </c>
      <c r="L118" s="1013" t="s">
        <v>1334</v>
      </c>
      <c r="M118" s="1452">
        <v>18</v>
      </c>
      <c r="N118" s="1452">
        <v>115</v>
      </c>
      <c r="O118" s="1452">
        <v>19339</v>
      </c>
      <c r="P118" s="1013" t="s">
        <v>1334</v>
      </c>
      <c r="Q118" s="1452">
        <v>18</v>
      </c>
      <c r="R118" s="1452">
        <v>115</v>
      </c>
      <c r="S118" s="1452">
        <v>39000</v>
      </c>
      <c r="T118" s="1386">
        <f t="shared" si="19"/>
        <v>0</v>
      </c>
      <c r="U118" s="1386">
        <f t="shared" si="20"/>
        <v>0</v>
      </c>
      <c r="V118" s="1438">
        <f t="shared" si="21"/>
        <v>-1.0166502921557474</v>
      </c>
      <c r="X118" s="1386">
        <f t="shared" si="22"/>
        <v>0</v>
      </c>
      <c r="Y118" s="1386">
        <f t="shared" si="23"/>
        <v>-15</v>
      </c>
    </row>
    <row r="119" spans="1:25">
      <c r="A119" s="1440" t="s">
        <v>1517</v>
      </c>
      <c r="C119" s="1386"/>
    </row>
    <row r="120" spans="1:25">
      <c r="A120" s="1440" t="s">
        <v>1518</v>
      </c>
      <c r="C120" s="1386"/>
    </row>
    <row r="121" spans="1:25">
      <c r="A121" s="1440" t="s">
        <v>1519</v>
      </c>
      <c r="C121" s="1386"/>
    </row>
    <row r="122" spans="1:25">
      <c r="A122" s="1461" t="s">
        <v>1521</v>
      </c>
      <c r="C122" s="1386"/>
    </row>
    <row r="123" spans="1:25">
      <c r="A123" s="1440" t="s">
        <v>1522</v>
      </c>
    </row>
    <row r="124" spans="1:25">
      <c r="A124" s="1462" t="s">
        <v>1532</v>
      </c>
    </row>
    <row r="125" spans="1:25">
      <c r="A125" s="1462" t="s">
        <v>1533</v>
      </c>
    </row>
    <row r="127" spans="1:25">
      <c r="A127" s="1440" t="s">
        <v>1523</v>
      </c>
    </row>
    <row r="128" spans="1:25">
      <c r="A128" s="1440" t="s">
        <v>1524</v>
      </c>
    </row>
    <row r="130" spans="1:11">
      <c r="A130" s="1440" t="s">
        <v>1525</v>
      </c>
    </row>
    <row r="131" spans="1:11">
      <c r="A131" s="1462" t="s">
        <v>1530</v>
      </c>
    </row>
    <row r="132" spans="1:11">
      <c r="A132" s="1440" t="s">
        <v>1526</v>
      </c>
    </row>
    <row r="133" spans="1:11">
      <c r="A133" s="1440"/>
    </row>
    <row r="134" spans="1:11">
      <c r="A134" s="1440" t="s">
        <v>1528</v>
      </c>
    </row>
    <row r="135" spans="1:11">
      <c r="A135" s="1440" t="s">
        <v>1527</v>
      </c>
    </row>
    <row r="136" spans="1:11">
      <c r="A136" s="1462" t="s">
        <v>1531</v>
      </c>
    </row>
    <row r="138" spans="1:11">
      <c r="A138" s="1463">
        <v>7180</v>
      </c>
      <c r="B138" s="1463">
        <v>700</v>
      </c>
      <c r="C138" s="1463">
        <v>400</v>
      </c>
      <c r="D138" s="1463">
        <v>8280</v>
      </c>
      <c r="E138" s="1428">
        <v>2018</v>
      </c>
    </row>
    <row r="139" spans="1:11">
      <c r="A139" s="1463">
        <v>7130</v>
      </c>
      <c r="B139" s="1463">
        <v>700</v>
      </c>
      <c r="C139" s="1463">
        <v>400</v>
      </c>
      <c r="D139" s="1463">
        <v>8230</v>
      </c>
      <c r="E139" s="1428">
        <v>2019</v>
      </c>
    </row>
    <row r="141" spans="1:11">
      <c r="A141" s="1013"/>
      <c r="B141" s="1437"/>
      <c r="C141" s="1013"/>
      <c r="D141" s="1437"/>
      <c r="H141" s="1429"/>
      <c r="J141" s="1430"/>
      <c r="K141" s="1386"/>
    </row>
    <row r="142" spans="1:11" ht="55.2">
      <c r="A142" s="1425" t="s">
        <v>121</v>
      </c>
      <c r="B142" s="1426" t="s">
        <v>124</v>
      </c>
      <c r="C142" s="1427" t="s">
        <v>1167</v>
      </c>
      <c r="D142" s="1425" t="s">
        <v>118</v>
      </c>
      <c r="H142" s="1429"/>
      <c r="J142" s="1430"/>
      <c r="K142" s="1386"/>
    </row>
    <row r="143" spans="1:11">
      <c r="A143" s="1428">
        <v>95184.48</v>
      </c>
      <c r="B143" s="1428">
        <v>13679</v>
      </c>
      <c r="C143" s="1428">
        <v>11521.26</v>
      </c>
      <c r="D143" s="1428">
        <v>120384.73999999999</v>
      </c>
      <c r="E143" s="1428">
        <v>2018</v>
      </c>
      <c r="H143" s="1429"/>
      <c r="J143" s="1430"/>
      <c r="K143" s="1386"/>
    </row>
    <row r="144" spans="1:11">
      <c r="A144" s="1428">
        <v>19</v>
      </c>
      <c r="B144" s="1428">
        <v>16</v>
      </c>
      <c r="C144" s="1428">
        <v>9</v>
      </c>
      <c r="D144" s="1428"/>
      <c r="E144" s="1428">
        <v>2018</v>
      </c>
      <c r="H144" s="1429"/>
      <c r="J144" s="1430"/>
      <c r="K144" s="1386"/>
    </row>
    <row r="145" spans="1:11">
      <c r="A145" s="1428">
        <v>5000</v>
      </c>
      <c r="B145" s="1428">
        <v>900</v>
      </c>
      <c r="C145" s="1428">
        <v>1280</v>
      </c>
      <c r="D145" s="1428">
        <v>7180</v>
      </c>
      <c r="E145" s="1428">
        <v>2018</v>
      </c>
      <c r="H145" s="1429"/>
      <c r="J145" s="1430"/>
      <c r="K145" s="1386"/>
    </row>
    <row r="146" spans="1:11">
      <c r="H146" s="1429"/>
      <c r="J146" s="1430"/>
      <c r="K146" s="1386"/>
    </row>
    <row r="147" spans="1:11">
      <c r="A147" s="1428">
        <v>97830</v>
      </c>
      <c r="B147" s="1428">
        <v>14464</v>
      </c>
      <c r="C147" s="1428">
        <v>9858.64</v>
      </c>
      <c r="D147" s="1428">
        <v>122182.64</v>
      </c>
      <c r="E147" s="1428">
        <v>2019</v>
      </c>
      <c r="H147" s="1429"/>
      <c r="J147" s="1430"/>
      <c r="K147" s="1386"/>
    </row>
    <row r="148" spans="1:11">
      <c r="A148" s="1428">
        <v>19</v>
      </c>
      <c r="B148" s="1428">
        <v>16</v>
      </c>
      <c r="C148" s="1428">
        <v>9</v>
      </c>
      <c r="D148" s="1428"/>
      <c r="E148" s="1428">
        <v>2019</v>
      </c>
      <c r="H148" s="1429"/>
      <c r="J148" s="1430"/>
      <c r="K148" s="1386"/>
    </row>
    <row r="149" spans="1:11">
      <c r="A149" s="1428">
        <v>5100</v>
      </c>
      <c r="B149" s="1428">
        <v>900</v>
      </c>
      <c r="C149" s="1428">
        <v>1100</v>
      </c>
      <c r="D149" s="1428">
        <v>7130</v>
      </c>
      <c r="E149" s="1428">
        <v>2019</v>
      </c>
      <c r="H149" s="1429"/>
      <c r="J149" s="1430"/>
      <c r="K149" s="1386"/>
    </row>
    <row r="150" spans="1:11">
      <c r="A150" s="1013"/>
      <c r="B150" s="1437"/>
      <c r="C150" s="1013"/>
      <c r="D150" s="1437"/>
      <c r="H150" s="1429"/>
      <c r="J150" s="1430"/>
      <c r="K150" s="1386"/>
    </row>
    <row r="151" spans="1:11">
      <c r="A151" s="1013"/>
      <c r="B151" s="1437"/>
      <c r="C151" s="1013"/>
      <c r="D151" s="1437"/>
      <c r="H151" s="1429"/>
      <c r="J151" s="1430"/>
      <c r="K151" s="1386"/>
    </row>
    <row r="152" spans="1:11">
      <c r="A152" s="1467" t="s">
        <v>1535</v>
      </c>
      <c r="B152" s="1468"/>
      <c r="C152" s="1467"/>
      <c r="D152" s="1468"/>
      <c r="E152" s="1469"/>
      <c r="H152" s="1429"/>
      <c r="J152" s="1430"/>
      <c r="K152" s="1386"/>
    </row>
    <row r="153" spans="1:11">
      <c r="A153" s="1464"/>
      <c r="B153" s="1464"/>
      <c r="C153" s="1013"/>
      <c r="D153" s="1437"/>
      <c r="H153" s="1429"/>
      <c r="J153" s="1430"/>
      <c r="K153" s="1386"/>
    </row>
    <row r="154" spans="1:11">
      <c r="A154" s="1456"/>
      <c r="B154" s="1464"/>
      <c r="C154" s="1013"/>
      <c r="D154" s="1437"/>
      <c r="H154" s="1429"/>
      <c r="J154" s="1430"/>
      <c r="K154" s="1386"/>
    </row>
    <row r="155" spans="1:11">
      <c r="A155" s="1471" t="s">
        <v>697</v>
      </c>
      <c r="B155" s="1471" t="s">
        <v>1548</v>
      </c>
      <c r="C155" s="1013"/>
      <c r="D155" s="1437"/>
      <c r="H155" s="1429"/>
      <c r="J155" s="1430"/>
      <c r="K155" s="1386"/>
    </row>
    <row r="156" spans="1:11">
      <c r="A156" s="1471" t="s">
        <v>920</v>
      </c>
      <c r="B156" s="1471" t="s">
        <v>1549</v>
      </c>
      <c r="C156" s="1013"/>
      <c r="D156" s="1437"/>
      <c r="F156" s="1428" t="s">
        <v>1550</v>
      </c>
      <c r="H156" s="1429"/>
      <c r="J156" s="1430"/>
      <c r="K156" s="1386"/>
    </row>
    <row r="157" spans="1:11">
      <c r="A157" s="1471" t="s">
        <v>1160</v>
      </c>
      <c r="B157" s="1471" t="s">
        <v>1551</v>
      </c>
      <c r="C157" s="1013"/>
      <c r="D157" s="1437"/>
      <c r="F157" s="1428" t="s">
        <v>1550</v>
      </c>
      <c r="H157" s="1429"/>
      <c r="J157" s="1430"/>
      <c r="K157" s="1386"/>
    </row>
    <row r="158" spans="1:11">
      <c r="A158" s="1466"/>
      <c r="B158" s="1464"/>
      <c r="C158" s="1013"/>
      <c r="D158" s="1437"/>
      <c r="H158" s="1429"/>
      <c r="J158" s="1430"/>
      <c r="K158" s="1386"/>
    </row>
    <row r="159" spans="1:11">
      <c r="A159" s="1471" t="s">
        <v>1146</v>
      </c>
      <c r="B159" s="1471" t="s">
        <v>1552</v>
      </c>
      <c r="C159" s="1446"/>
      <c r="D159" s="1437"/>
      <c r="H159" s="1429"/>
      <c r="J159" s="1430"/>
      <c r="K159" s="1386"/>
    </row>
    <row r="160" spans="1:11">
      <c r="A160" s="1471" t="s">
        <v>641</v>
      </c>
      <c r="B160" s="1471" t="s">
        <v>1553</v>
      </c>
    </row>
    <row r="161" spans="1:11">
      <c r="A161" s="1471" t="s">
        <v>1018</v>
      </c>
      <c r="B161" s="1471" t="s">
        <v>1554</v>
      </c>
      <c r="C161" s="1386"/>
      <c r="D161" s="1428"/>
      <c r="E161" s="1386"/>
      <c r="H161" s="1429"/>
      <c r="J161" s="1430"/>
      <c r="K161" s="1386"/>
    </row>
    <row r="162" spans="1:11">
      <c r="B162" s="1465"/>
    </row>
    <row r="163" spans="1:11">
      <c r="A163" s="1471" t="s">
        <v>1420</v>
      </c>
      <c r="B163" s="1471" t="s">
        <v>1545</v>
      </c>
    </row>
    <row r="164" spans="1:11">
      <c r="A164" s="1466"/>
      <c r="B164" s="1464"/>
      <c r="G164" s="1386">
        <v>0</v>
      </c>
      <c r="H164" s="1386">
        <v>9</v>
      </c>
      <c r="I164" s="1429">
        <v>11521.26</v>
      </c>
      <c r="J164" s="1429">
        <v>120384.73999999999</v>
      </c>
    </row>
    <row r="165" spans="1:11">
      <c r="A165" s="1473" t="s">
        <v>1536</v>
      </c>
      <c r="B165" s="1464"/>
      <c r="G165" s="1386">
        <v>0</v>
      </c>
      <c r="H165" s="1386">
        <v>19</v>
      </c>
      <c r="I165" s="1429">
        <v>9</v>
      </c>
    </row>
    <row r="166" spans="1:11">
      <c r="G166" s="1386">
        <v>0</v>
      </c>
      <c r="H166" s="1386">
        <v>0.47</v>
      </c>
      <c r="I166" s="1429">
        <v>1280</v>
      </c>
      <c r="J166" s="1429">
        <v>7180</v>
      </c>
    </row>
    <row r="167" spans="1:11">
      <c r="A167" s="1470" t="s">
        <v>1537</v>
      </c>
      <c r="E167" s="1461" t="s">
        <v>1544</v>
      </c>
    </row>
    <row r="168" spans="1:11">
      <c r="A168" s="1466"/>
    </row>
    <row r="169" spans="1:11">
      <c r="A169" s="1470" t="s">
        <v>1538</v>
      </c>
    </row>
    <row r="170" spans="1:11">
      <c r="A170" s="1466"/>
    </row>
    <row r="171" spans="1:11">
      <c r="A171" s="1470" t="s">
        <v>1539</v>
      </c>
    </row>
    <row r="172" spans="1:11">
      <c r="A172" s="1466"/>
    </row>
    <row r="173" spans="1:11">
      <c r="A173" s="1470" t="s">
        <v>1540</v>
      </c>
    </row>
    <row r="174" spans="1:11">
      <c r="A174" s="1466"/>
    </row>
    <row r="175" spans="1:11">
      <c r="A175" s="1470" t="s">
        <v>1541</v>
      </c>
    </row>
    <row r="176" spans="1:11">
      <c r="A176" s="1472" t="s">
        <v>1546</v>
      </c>
    </row>
    <row r="177" spans="1:30">
      <c r="A177" s="1472" t="s">
        <v>1547</v>
      </c>
    </row>
    <row r="178" spans="1:30">
      <c r="A178" s="1472"/>
    </row>
    <row r="179" spans="1:30">
      <c r="A179" s="1470" t="s">
        <v>1542</v>
      </c>
    </row>
    <row r="180" spans="1:30">
      <c r="A180" s="1466"/>
    </row>
    <row r="181" spans="1:30">
      <c r="A181" s="1470" t="s">
        <v>1543</v>
      </c>
      <c r="B181" s="1440"/>
    </row>
    <row r="182" spans="1:30" ht="45" customHeight="1">
      <c r="A182" s="1466"/>
    </row>
    <row r="183" spans="1:30">
      <c r="A183" s="1459" t="s">
        <v>1558</v>
      </c>
      <c r="B183" s="1477"/>
      <c r="C183" s="1469"/>
      <c r="D183" s="1477"/>
      <c r="E183" s="1469"/>
    </row>
    <row r="184" spans="1:30">
      <c r="A184" s="1462" t="s">
        <v>1583</v>
      </c>
    </row>
    <row r="185" spans="1:30">
      <c r="A185" s="1386" t="s">
        <v>1557</v>
      </c>
    </row>
    <row r="186" spans="1:30">
      <c r="A186" s="1474" t="s">
        <v>1005</v>
      </c>
      <c r="B186" s="1474" t="s">
        <v>1465</v>
      </c>
      <c r="C186" s="1474"/>
      <c r="D186" s="1474"/>
      <c r="E186" s="1462" t="s">
        <v>1555</v>
      </c>
    </row>
    <row r="187" spans="1:30">
      <c r="A187" s="1443" t="s">
        <v>1505</v>
      </c>
      <c r="B187" s="1443" t="s">
        <v>1506</v>
      </c>
      <c r="C187" s="1443"/>
      <c r="D187" s="1443"/>
      <c r="E187" s="1444" t="s">
        <v>1556</v>
      </c>
    </row>
    <row r="191" spans="1:30">
      <c r="A191" s="1459" t="s">
        <v>1559</v>
      </c>
      <c r="B191" s="1459"/>
      <c r="C191" s="1460"/>
      <c r="D191" s="1459"/>
      <c r="E191" s="1460"/>
      <c r="F191" s="1459"/>
      <c r="G191" s="1459"/>
      <c r="H191" s="1459"/>
      <c r="I191" s="1495"/>
      <c r="J191" s="1495"/>
      <c r="K191" s="1459"/>
      <c r="L191" s="1459"/>
      <c r="M191" s="1459"/>
      <c r="N191" s="1459"/>
      <c r="O191" s="1459"/>
      <c r="P191" s="1459"/>
      <c r="Q191" s="1459"/>
      <c r="R191" s="1459"/>
      <c r="S191" s="1459"/>
      <c r="T191" s="1459"/>
      <c r="U191" s="1459"/>
      <c r="V191" s="1459"/>
      <c r="W191" s="1459"/>
      <c r="X191" s="1459"/>
      <c r="Y191" s="1459"/>
      <c r="Z191" s="1459"/>
      <c r="AA191" s="1459"/>
      <c r="AB191" s="1459"/>
      <c r="AC191" s="1459"/>
      <c r="AD191" s="1459"/>
    </row>
    <row r="192" spans="1:30">
      <c r="A192" s="1478" t="s">
        <v>1560</v>
      </c>
    </row>
    <row r="193" spans="1:38">
      <c r="A193" s="1478" t="s">
        <v>1561</v>
      </c>
      <c r="AA193" s="1461" t="s">
        <v>1565</v>
      </c>
    </row>
    <row r="194" spans="1:38">
      <c r="A194" s="1478" t="s">
        <v>1562</v>
      </c>
    </row>
    <row r="195" spans="1:38">
      <c r="A195" s="1478" t="s">
        <v>1563</v>
      </c>
    </row>
    <row r="196" spans="1:38">
      <c r="A196" s="1480" t="s">
        <v>1569</v>
      </c>
      <c r="C196" s="1386"/>
      <c r="E196" s="1386"/>
    </row>
    <row r="197" spans="1:38">
      <c r="A197" s="1480"/>
      <c r="C197" s="1386"/>
      <c r="E197" s="1386"/>
    </row>
    <row r="198" spans="1:38" ht="14.4">
      <c r="A198" s="1479" t="s">
        <v>1566</v>
      </c>
    </row>
    <row r="199" spans="1:38" ht="14.4">
      <c r="A199" s="1479" t="s">
        <v>1564</v>
      </c>
    </row>
    <row r="205" spans="1:38" ht="69">
      <c r="C205" s="1386"/>
      <c r="D205" s="1484" t="s">
        <v>173</v>
      </c>
      <c r="E205" s="1484" t="s">
        <v>61</v>
      </c>
      <c r="F205" s="1484" t="s">
        <v>1567</v>
      </c>
      <c r="G205" s="1484"/>
      <c r="H205" s="1484"/>
      <c r="I205" s="1484"/>
      <c r="J205" s="1484"/>
      <c r="K205" s="1484"/>
      <c r="L205" s="1484"/>
      <c r="M205" s="1484"/>
      <c r="N205" s="1484"/>
      <c r="O205" s="1484"/>
      <c r="P205" s="1484"/>
      <c r="Q205" s="1484"/>
      <c r="R205" s="1484"/>
      <c r="S205" s="1484"/>
      <c r="T205" s="1484"/>
      <c r="U205" s="1484"/>
      <c r="V205" s="1484"/>
      <c r="W205" s="1484"/>
      <c r="X205" s="1484"/>
      <c r="Y205" s="1484"/>
      <c r="Z205" s="1484"/>
      <c r="AA205" s="1484" t="s">
        <v>121</v>
      </c>
      <c r="AB205" s="1484" t="s">
        <v>124</v>
      </c>
      <c r="AC205" s="1484" t="s">
        <v>127</v>
      </c>
      <c r="AD205" s="1484" t="s">
        <v>1167</v>
      </c>
      <c r="AF205" s="1484" t="s">
        <v>173</v>
      </c>
      <c r="AG205" s="1484" t="s">
        <v>61</v>
      </c>
      <c r="AH205" s="1484" t="s">
        <v>1567</v>
      </c>
      <c r="AI205" s="1484" t="s">
        <v>121</v>
      </c>
      <c r="AJ205" s="1484" t="s">
        <v>124</v>
      </c>
      <c r="AK205" s="1484" t="s">
        <v>127</v>
      </c>
      <c r="AL205" s="1484" t="s">
        <v>1167</v>
      </c>
    </row>
    <row r="206" spans="1:38" ht="14.4">
      <c r="D206" s="1482" t="s">
        <v>1568</v>
      </c>
      <c r="E206" s="1485"/>
      <c r="F206" s="1485"/>
      <c r="G206" s="1485"/>
      <c r="H206" s="1485"/>
      <c r="I206" s="1483"/>
      <c r="J206" s="1483"/>
      <c r="K206" s="1486"/>
      <c r="L206" s="1485"/>
      <c r="M206" s="1485"/>
      <c r="N206" s="1485"/>
      <c r="O206" s="1485"/>
      <c r="P206" s="1485"/>
      <c r="Q206" s="1485"/>
      <c r="R206" s="1485"/>
      <c r="S206" s="1485"/>
      <c r="T206" s="1485"/>
      <c r="U206" s="1485"/>
      <c r="V206" s="1485"/>
      <c r="W206" s="1485"/>
      <c r="X206" s="1485"/>
      <c r="Y206" s="1485"/>
      <c r="Z206" s="1485"/>
      <c r="AA206" s="1485"/>
      <c r="AB206" s="1485"/>
      <c r="AC206" s="1485"/>
      <c r="AD206" s="1485"/>
      <c r="AF206" s="1482" t="s">
        <v>1421</v>
      </c>
      <c r="AG206" s="1485"/>
      <c r="AH206" s="1485"/>
      <c r="AI206" s="1485"/>
      <c r="AJ206" s="1485"/>
      <c r="AK206" s="1485"/>
      <c r="AL206" s="1485"/>
    </row>
    <row r="207" spans="1:38">
      <c r="D207" s="1487"/>
      <c r="E207" s="1487"/>
      <c r="F207" s="1487"/>
      <c r="G207" s="1487"/>
      <c r="H207" s="1487"/>
      <c r="I207" s="1487"/>
      <c r="J207" s="1487"/>
      <c r="K207" s="1487"/>
      <c r="L207" s="1487"/>
      <c r="M207" s="1487"/>
      <c r="N207" s="1487"/>
      <c r="O207" s="1487"/>
      <c r="P207" s="1487"/>
      <c r="Q207" s="1487"/>
      <c r="R207" s="1487"/>
      <c r="S207" s="1487"/>
      <c r="T207" s="1487"/>
      <c r="U207" s="1487"/>
      <c r="V207" s="1487"/>
      <c r="W207" s="1487"/>
      <c r="X207" s="1487"/>
      <c r="Y207" s="1487"/>
      <c r="Z207" s="1487"/>
      <c r="AA207" s="1487"/>
      <c r="AB207" s="1487"/>
      <c r="AC207" s="1487"/>
      <c r="AD207" s="1487"/>
    </row>
    <row r="208" spans="1:38">
      <c r="D208" s="1487">
        <v>1794.1833333333334</v>
      </c>
      <c r="E208" s="1487"/>
      <c r="F208" s="1487">
        <v>20000</v>
      </c>
      <c r="G208" s="1487"/>
      <c r="H208" s="1487"/>
      <c r="I208" s="1487"/>
      <c r="J208" s="1487"/>
      <c r="K208" s="1487"/>
      <c r="L208" s="1487"/>
      <c r="M208" s="1487"/>
      <c r="N208" s="1487"/>
      <c r="O208" s="1487"/>
      <c r="P208" s="1487"/>
      <c r="Q208" s="1487"/>
      <c r="R208" s="1487"/>
      <c r="S208" s="1487"/>
      <c r="T208" s="1487"/>
      <c r="U208" s="1487"/>
      <c r="V208" s="1487"/>
      <c r="W208" s="1487"/>
      <c r="X208" s="1487"/>
      <c r="Y208" s="1487"/>
      <c r="Z208" s="1487"/>
      <c r="AA208" s="1487">
        <v>298007.83999999997</v>
      </c>
      <c r="AB208" s="1487">
        <v>16338</v>
      </c>
      <c r="AC208" s="1487">
        <v>1545</v>
      </c>
      <c r="AD208" s="1487">
        <v>37863</v>
      </c>
      <c r="AF208" s="1487">
        <v>1852.5</v>
      </c>
      <c r="AG208" s="1487"/>
      <c r="AH208" s="1487">
        <v>20000</v>
      </c>
      <c r="AI208" s="1487">
        <v>309446</v>
      </c>
      <c r="AJ208" s="1487">
        <v>22890</v>
      </c>
      <c r="AK208" s="1487">
        <v>0</v>
      </c>
      <c r="AL208" s="1487">
        <v>34777</v>
      </c>
    </row>
    <row r="209" spans="3:45">
      <c r="D209" s="1487">
        <v>13</v>
      </c>
      <c r="E209" s="1487"/>
      <c r="F209" s="1487">
        <v>11</v>
      </c>
      <c r="G209" s="1487"/>
      <c r="H209" s="1487"/>
      <c r="I209" s="1487"/>
      <c r="J209" s="1487"/>
      <c r="K209" s="1487"/>
      <c r="L209" s="1487"/>
      <c r="M209" s="1487"/>
      <c r="N209" s="1487"/>
      <c r="O209" s="1487"/>
      <c r="P209" s="1487"/>
      <c r="Q209" s="1487"/>
      <c r="R209" s="1487"/>
      <c r="S209" s="1487"/>
      <c r="T209" s="1487"/>
      <c r="U209" s="1487"/>
      <c r="V209" s="1487"/>
      <c r="W209" s="1487"/>
      <c r="X209" s="1487"/>
      <c r="Y209" s="1487"/>
      <c r="Z209" s="1487"/>
      <c r="AA209" s="1487">
        <v>17</v>
      </c>
      <c r="AB209" s="1487">
        <v>12</v>
      </c>
      <c r="AC209" s="1487">
        <v>1</v>
      </c>
      <c r="AD209" s="1487">
        <v>14</v>
      </c>
      <c r="AF209" s="1487">
        <v>12</v>
      </c>
      <c r="AG209" s="1487"/>
      <c r="AH209" s="1487">
        <v>11</v>
      </c>
      <c r="AI209" s="1487">
        <v>17</v>
      </c>
      <c r="AJ209" s="1487">
        <v>13</v>
      </c>
      <c r="AK209" s="1487">
        <v>0</v>
      </c>
      <c r="AL209" s="1487">
        <v>15</v>
      </c>
    </row>
    <row r="210" spans="3:45" ht="14.4">
      <c r="D210" s="1487">
        <v>140</v>
      </c>
      <c r="E210" s="1488">
        <f>ROUND(D210*12,-2)</f>
        <v>1700</v>
      </c>
      <c r="F210" s="1489">
        <v>1800</v>
      </c>
      <c r="G210" s="1489"/>
      <c r="H210" s="1489"/>
      <c r="I210" s="1489"/>
      <c r="J210" s="1489"/>
      <c r="K210" s="1489"/>
      <c r="L210" s="1489"/>
      <c r="M210" s="1489"/>
      <c r="N210" s="1489"/>
      <c r="O210" s="1489"/>
      <c r="P210" s="1489"/>
      <c r="Q210" s="1489"/>
      <c r="R210" s="1489"/>
      <c r="S210" s="1489"/>
      <c r="T210" s="1489"/>
      <c r="U210" s="1489"/>
      <c r="V210" s="1489"/>
      <c r="W210" s="1489"/>
      <c r="X210" s="1489"/>
      <c r="Y210" s="1489"/>
      <c r="Z210" s="1489"/>
      <c r="AA210" s="1489">
        <v>17500</v>
      </c>
      <c r="AB210" s="1489">
        <v>1400</v>
      </c>
      <c r="AC210" s="1489">
        <v>1550</v>
      </c>
      <c r="AD210" s="1490">
        <v>2700</v>
      </c>
      <c r="AE210" s="1491">
        <f>SUM(E210:AD210)</f>
        <v>26650</v>
      </c>
      <c r="AF210" s="1487">
        <v>150</v>
      </c>
      <c r="AG210" s="1488">
        <f>ROUND(AF210*12,-2)</f>
        <v>1800</v>
      </c>
      <c r="AH210" s="1489">
        <v>1800</v>
      </c>
      <c r="AI210" s="1489">
        <v>18200</v>
      </c>
      <c r="AJ210" s="1489">
        <v>1800</v>
      </c>
      <c r="AK210" s="1489">
        <v>0</v>
      </c>
      <c r="AL210" s="1490">
        <v>2320</v>
      </c>
      <c r="AM210" s="1491">
        <f>SUM(AG210:AL210)</f>
        <v>25920</v>
      </c>
      <c r="AN210" s="1386">
        <f>AH210-F210</f>
        <v>0</v>
      </c>
      <c r="AO210" s="1386">
        <f>AI210-AA210</f>
        <v>700</v>
      </c>
      <c r="AP210" s="1386">
        <f t="shared" ref="AP210:AR210" si="24">AJ210-AB210</f>
        <v>400</v>
      </c>
      <c r="AQ210" s="1386">
        <f t="shared" si="24"/>
        <v>-1550</v>
      </c>
      <c r="AR210" s="1386">
        <f t="shared" si="24"/>
        <v>-380</v>
      </c>
      <c r="AS210" s="1386">
        <f>AM210-AE210</f>
        <v>-730</v>
      </c>
    </row>
    <row r="211" spans="3:45">
      <c r="D211" s="1487"/>
      <c r="E211" s="1487"/>
      <c r="F211" s="1487"/>
      <c r="G211" s="1487"/>
      <c r="H211" s="1487"/>
      <c r="I211" s="1487"/>
      <c r="J211" s="1487"/>
      <c r="K211" s="1487"/>
      <c r="L211" s="1487"/>
      <c r="M211" s="1487"/>
      <c r="N211" s="1487"/>
      <c r="O211" s="1487"/>
      <c r="P211" s="1487"/>
      <c r="Q211" s="1487"/>
      <c r="R211" s="1487"/>
      <c r="S211" s="1487"/>
      <c r="T211" s="1487"/>
      <c r="U211" s="1487"/>
      <c r="V211" s="1487"/>
      <c r="W211" s="1487"/>
      <c r="X211" s="1487"/>
      <c r="Y211" s="1487"/>
      <c r="Z211" s="1487"/>
      <c r="AA211" s="1487"/>
      <c r="AB211" s="1487"/>
      <c r="AC211" s="1487"/>
      <c r="AD211" s="1487"/>
      <c r="AG211" s="1428"/>
    </row>
    <row r="212" spans="3:45">
      <c r="C212" s="1013" t="s">
        <v>698</v>
      </c>
      <c r="E212" s="1386">
        <v>0</v>
      </c>
      <c r="F212" s="1386">
        <v>1250</v>
      </c>
      <c r="AA212" s="1386">
        <v>12200</v>
      </c>
      <c r="AB212" s="1386">
        <v>1380</v>
      </c>
      <c r="AC212" s="1386">
        <v>0</v>
      </c>
      <c r="AD212" s="1386">
        <v>0</v>
      </c>
      <c r="AG212" s="1386">
        <v>200</v>
      </c>
      <c r="AH212" s="1386">
        <v>1250</v>
      </c>
      <c r="AI212" s="1386">
        <v>12575</v>
      </c>
      <c r="AJ212" s="1386">
        <v>1380</v>
      </c>
      <c r="AK212" s="1386">
        <v>0</v>
      </c>
      <c r="AL212" s="1386">
        <v>960</v>
      </c>
    </row>
    <row r="213" spans="3:45">
      <c r="C213" s="1013" t="s">
        <v>1302</v>
      </c>
      <c r="D213" s="1487"/>
      <c r="E213" s="1386">
        <v>166.66666666666666</v>
      </c>
      <c r="F213" s="1487">
        <v>1800</v>
      </c>
      <c r="G213" s="1487"/>
      <c r="H213" s="1487"/>
      <c r="I213" s="1487"/>
      <c r="J213" s="1487"/>
      <c r="K213" s="1487"/>
      <c r="L213" s="1487"/>
      <c r="M213" s="1487"/>
      <c r="N213" s="1487"/>
      <c r="O213" s="1487"/>
      <c r="P213" s="1487"/>
      <c r="Q213" s="1487"/>
      <c r="R213" s="1487"/>
      <c r="S213" s="1487"/>
      <c r="T213" s="1487"/>
      <c r="U213" s="1487"/>
      <c r="V213" s="1487"/>
      <c r="W213" s="1487"/>
      <c r="X213" s="1487"/>
      <c r="Y213" s="1487"/>
      <c r="Z213" s="1487"/>
      <c r="AA213" s="1487">
        <v>22006</v>
      </c>
      <c r="AB213" s="1487">
        <v>1756</v>
      </c>
      <c r="AC213" s="1487">
        <v>0</v>
      </c>
      <c r="AD213" s="1487">
        <v>2720</v>
      </c>
      <c r="AG213" s="1386">
        <v>0</v>
      </c>
      <c r="AH213" s="1386">
        <v>1800</v>
      </c>
      <c r="AI213" s="1386">
        <v>22727</v>
      </c>
      <c r="AJ213" s="1386">
        <v>1885</v>
      </c>
      <c r="AK213" s="1386">
        <v>0</v>
      </c>
      <c r="AL213" s="1386">
        <v>2720</v>
      </c>
    </row>
    <row r="214" spans="3:45">
      <c r="C214" s="1011" t="s">
        <v>957</v>
      </c>
      <c r="E214" s="1386">
        <v>125</v>
      </c>
      <c r="F214" s="1386">
        <v>2500</v>
      </c>
      <c r="AA214" s="1386">
        <v>18136</v>
      </c>
      <c r="AB214" s="1386">
        <v>1200</v>
      </c>
      <c r="AC214" s="1386">
        <v>0</v>
      </c>
      <c r="AD214" s="1386">
        <v>3108</v>
      </c>
      <c r="AG214" s="1386">
        <v>100</v>
      </c>
      <c r="AH214" s="1386">
        <v>2500</v>
      </c>
      <c r="AI214" s="1386">
        <v>19289</v>
      </c>
      <c r="AJ214" s="1386">
        <v>1200</v>
      </c>
      <c r="AK214" s="1386">
        <v>0</v>
      </c>
      <c r="AL214" s="1386">
        <v>3108</v>
      </c>
    </row>
    <row r="215" spans="3:45">
      <c r="C215" s="1013" t="s">
        <v>1325</v>
      </c>
      <c r="E215" s="1386">
        <v>1.6666666666666666E-2</v>
      </c>
      <c r="F215" s="1386">
        <v>0</v>
      </c>
      <c r="AA215" s="1386">
        <v>16060</v>
      </c>
      <c r="AB215" s="1386">
        <v>0</v>
      </c>
      <c r="AC215" s="1386">
        <v>0</v>
      </c>
      <c r="AD215" s="1386">
        <v>0</v>
      </c>
      <c r="AG215" s="1386">
        <v>150</v>
      </c>
      <c r="AH215" s="1386">
        <v>0</v>
      </c>
      <c r="AI215" s="1386">
        <v>16440</v>
      </c>
      <c r="AJ215" s="1386">
        <v>0</v>
      </c>
      <c r="AK215" s="1386">
        <v>0</v>
      </c>
      <c r="AL215" s="1386">
        <v>0</v>
      </c>
    </row>
    <row r="216" spans="3:45">
      <c r="C216" s="1013" t="s">
        <v>637</v>
      </c>
      <c r="D216" s="1487"/>
      <c r="E216" s="1386">
        <v>100</v>
      </c>
      <c r="F216" s="1487">
        <v>1500</v>
      </c>
      <c r="G216" s="1487"/>
      <c r="H216" s="1487"/>
      <c r="I216" s="1487"/>
      <c r="J216" s="1487"/>
      <c r="K216" s="1487"/>
      <c r="L216" s="1487"/>
      <c r="M216" s="1487"/>
      <c r="N216" s="1487"/>
      <c r="O216" s="1487"/>
      <c r="P216" s="1487"/>
      <c r="Q216" s="1487"/>
      <c r="R216" s="1487"/>
      <c r="S216" s="1487"/>
      <c r="T216" s="1487"/>
      <c r="U216" s="1487"/>
      <c r="V216" s="1487"/>
      <c r="W216" s="1487"/>
      <c r="X216" s="1487"/>
      <c r="Y216" s="1487"/>
      <c r="Z216" s="1487"/>
      <c r="AA216" s="1487">
        <v>14460</v>
      </c>
      <c r="AB216" s="1487">
        <v>0</v>
      </c>
      <c r="AC216" s="1487">
        <v>0</v>
      </c>
      <c r="AD216" s="1487">
        <v>1008</v>
      </c>
      <c r="AG216" s="1386">
        <v>220</v>
      </c>
      <c r="AH216" s="1386">
        <v>1500</v>
      </c>
      <c r="AI216" s="1386">
        <v>14850</v>
      </c>
      <c r="AJ216" s="1386">
        <v>0</v>
      </c>
      <c r="AK216" s="1386">
        <v>0</v>
      </c>
      <c r="AL216" s="1386">
        <v>1008</v>
      </c>
    </row>
    <row r="217" spans="3:45">
      <c r="C217" s="1013" t="s">
        <v>1316</v>
      </c>
      <c r="E217" s="1386">
        <v>200</v>
      </c>
      <c r="F217" s="1386">
        <v>0</v>
      </c>
      <c r="AA217" s="1386">
        <v>20012</v>
      </c>
      <c r="AB217" s="1386">
        <v>1200</v>
      </c>
      <c r="AC217" s="1386">
        <v>0</v>
      </c>
      <c r="AD217" s="1386">
        <v>3540</v>
      </c>
      <c r="AG217" s="1386">
        <v>152.08333333333334</v>
      </c>
      <c r="AH217" s="1386">
        <v>0</v>
      </c>
      <c r="AI217" s="1386">
        <v>20557</v>
      </c>
      <c r="AJ217" s="1386">
        <v>1300</v>
      </c>
      <c r="AK217" s="1386">
        <v>0</v>
      </c>
      <c r="AL217" s="1386">
        <v>3650</v>
      </c>
    </row>
    <row r="218" spans="3:45">
      <c r="C218" s="1013" t="s">
        <v>1006</v>
      </c>
      <c r="E218" s="1386">
        <v>150</v>
      </c>
      <c r="F218" s="1386">
        <v>0</v>
      </c>
      <c r="AA218" s="1386">
        <v>18797</v>
      </c>
      <c r="AB218" s="1386">
        <v>900</v>
      </c>
      <c r="AC218" s="1386">
        <v>0</v>
      </c>
      <c r="AD218" s="1386">
        <v>768</v>
      </c>
      <c r="AG218" s="1386">
        <v>0</v>
      </c>
      <c r="AH218" s="1386">
        <v>0</v>
      </c>
      <c r="AI218" s="1386">
        <v>19047</v>
      </c>
      <c r="AJ218" s="1386">
        <v>1537</v>
      </c>
      <c r="AK218" s="1386">
        <v>0</v>
      </c>
      <c r="AL218" s="1386">
        <v>768</v>
      </c>
    </row>
    <row r="219" spans="3:45">
      <c r="C219" s="1013" t="s">
        <v>1323</v>
      </c>
      <c r="E219" s="1386">
        <v>0</v>
      </c>
      <c r="F219" s="1386">
        <v>2500</v>
      </c>
      <c r="AA219" s="1386">
        <v>16288</v>
      </c>
      <c r="AB219" s="1386">
        <v>1789</v>
      </c>
      <c r="AC219" s="1386">
        <v>0</v>
      </c>
      <c r="AD219" s="1386">
        <v>0</v>
      </c>
      <c r="AG219" s="1386">
        <v>135</v>
      </c>
      <c r="AH219" s="1386">
        <v>2500</v>
      </c>
      <c r="AI219" s="1386">
        <v>16944</v>
      </c>
      <c r="AJ219" s="1386">
        <v>2058</v>
      </c>
      <c r="AK219" s="1386">
        <v>0</v>
      </c>
      <c r="AL219" s="1386">
        <v>0</v>
      </c>
    </row>
    <row r="220" spans="3:45">
      <c r="C220" s="1013" t="s">
        <v>1326</v>
      </c>
      <c r="E220" s="1386">
        <v>220</v>
      </c>
      <c r="F220" s="1386">
        <v>0</v>
      </c>
      <c r="AA220" s="1386">
        <v>20744</v>
      </c>
      <c r="AB220" s="1386">
        <v>0</v>
      </c>
      <c r="AC220" s="1386">
        <v>1545</v>
      </c>
      <c r="AD220" s="1386">
        <v>6120</v>
      </c>
      <c r="AG220" s="1386">
        <v>55.416666666666664</v>
      </c>
      <c r="AH220" s="1386">
        <v>0</v>
      </c>
      <c r="AI220" s="1386">
        <v>22236</v>
      </c>
      <c r="AJ220" s="1386">
        <v>4920</v>
      </c>
      <c r="AK220" s="1386">
        <v>0</v>
      </c>
      <c r="AL220" s="1386">
        <v>1200</v>
      </c>
    </row>
    <row r="221" spans="3:45">
      <c r="C221" s="1013" t="s">
        <v>550</v>
      </c>
      <c r="E221" s="1386">
        <v>0</v>
      </c>
      <c r="F221" s="1386">
        <v>1750</v>
      </c>
      <c r="AA221" s="1386">
        <v>15570.84</v>
      </c>
      <c r="AB221" s="1386">
        <v>0</v>
      </c>
      <c r="AC221" s="1386">
        <v>0</v>
      </c>
      <c r="AD221" s="1386">
        <v>2316</v>
      </c>
      <c r="AG221" s="1386">
        <v>200</v>
      </c>
      <c r="AH221" s="1386">
        <v>1750</v>
      </c>
      <c r="AI221" s="1386">
        <v>16114</v>
      </c>
      <c r="AJ221" s="1386">
        <v>0</v>
      </c>
      <c r="AK221" s="1386">
        <v>0</v>
      </c>
      <c r="AL221" s="1386">
        <v>3516</v>
      </c>
    </row>
    <row r="222" spans="3:45">
      <c r="C222" s="1013" t="s">
        <v>995</v>
      </c>
      <c r="E222" s="1386">
        <v>55.416666666666664</v>
      </c>
      <c r="F222" s="1386">
        <v>1400</v>
      </c>
      <c r="AA222" s="1386">
        <v>11228</v>
      </c>
      <c r="AB222" s="1386">
        <v>440</v>
      </c>
      <c r="AC222" s="1386">
        <v>0</v>
      </c>
      <c r="AD222" s="1386">
        <v>940</v>
      </c>
      <c r="AG222" s="1386">
        <v>120</v>
      </c>
      <c r="AH222" s="1386">
        <v>1400</v>
      </c>
      <c r="AI222" s="1386">
        <v>11717</v>
      </c>
      <c r="AJ222" s="1386">
        <v>840</v>
      </c>
      <c r="AK222" s="1386">
        <v>0</v>
      </c>
      <c r="AL222" s="1386">
        <v>540</v>
      </c>
    </row>
    <row r="223" spans="3:45">
      <c r="C223" s="1011" t="s">
        <v>1145</v>
      </c>
      <c r="E223" s="1386">
        <v>152.08333333333334</v>
      </c>
      <c r="F223" s="1386">
        <v>2000</v>
      </c>
      <c r="AA223" s="1386">
        <v>19246</v>
      </c>
      <c r="AB223" s="1386">
        <v>48</v>
      </c>
      <c r="AC223" s="1386">
        <v>0</v>
      </c>
      <c r="AD223" s="1386">
        <v>4887</v>
      </c>
      <c r="AG223" s="1386">
        <v>0</v>
      </c>
      <c r="AH223" s="1386">
        <v>2000</v>
      </c>
      <c r="AI223" s="1386">
        <v>19741</v>
      </c>
      <c r="AJ223" s="1386">
        <v>48</v>
      </c>
      <c r="AK223" s="1386">
        <v>0</v>
      </c>
      <c r="AL223" s="1386">
        <v>4851</v>
      </c>
    </row>
    <row r="224" spans="3:45">
      <c r="C224" s="1011" t="s">
        <v>627</v>
      </c>
      <c r="E224" s="1386">
        <v>115</v>
      </c>
      <c r="F224" s="1386">
        <v>0</v>
      </c>
      <c r="AA224" s="1386">
        <v>16651</v>
      </c>
      <c r="AB224" s="1386">
        <v>990</v>
      </c>
      <c r="AC224" s="1386">
        <v>0</v>
      </c>
      <c r="AD224" s="1386">
        <v>2100</v>
      </c>
      <c r="AG224" s="1386">
        <v>0</v>
      </c>
      <c r="AH224" s="1386">
        <v>0</v>
      </c>
      <c r="AI224" s="1386">
        <v>17317</v>
      </c>
      <c r="AJ224" s="1386">
        <v>990</v>
      </c>
      <c r="AK224" s="1386">
        <v>0</v>
      </c>
      <c r="AL224" s="1386">
        <v>2100</v>
      </c>
    </row>
    <row r="225" spans="1:38">
      <c r="C225" s="1011" t="s">
        <v>1001</v>
      </c>
      <c r="E225" s="1386">
        <v>325</v>
      </c>
      <c r="F225" s="1386">
        <v>2400</v>
      </c>
      <c r="AA225" s="1386">
        <v>22230</v>
      </c>
      <c r="AB225" s="1386">
        <v>1500</v>
      </c>
      <c r="AC225" s="1386">
        <v>0</v>
      </c>
      <c r="AD225" s="1386">
        <v>3420</v>
      </c>
      <c r="AG225" s="1386">
        <v>125</v>
      </c>
      <c r="AH225" s="1386">
        <v>2400</v>
      </c>
      <c r="AI225" s="1386">
        <v>23178</v>
      </c>
      <c r="AJ225" s="1386">
        <v>1500</v>
      </c>
      <c r="AK225" s="1386">
        <v>0</v>
      </c>
      <c r="AL225" s="1386">
        <v>3420</v>
      </c>
    </row>
    <row r="226" spans="1:38">
      <c r="C226" s="1013" t="s">
        <v>1012</v>
      </c>
      <c r="E226" s="1386">
        <v>115</v>
      </c>
      <c r="F226" s="1386">
        <v>2000</v>
      </c>
      <c r="I226" s="1386"/>
      <c r="J226" s="1386"/>
      <c r="K226" s="1386"/>
      <c r="AA226" s="1386">
        <v>18085</v>
      </c>
      <c r="AB226" s="1386">
        <v>0</v>
      </c>
      <c r="AC226" s="1386">
        <v>0</v>
      </c>
      <c r="AD226" s="1386">
        <v>4140</v>
      </c>
      <c r="AG226" s="1386">
        <v>325</v>
      </c>
      <c r="AH226" s="1386">
        <v>2000</v>
      </c>
      <c r="AI226" s="1386">
        <v>18685</v>
      </c>
      <c r="AJ226" s="1386">
        <v>0</v>
      </c>
      <c r="AK226" s="1386">
        <v>0</v>
      </c>
      <c r="AL226" s="1386">
        <v>4140</v>
      </c>
    </row>
    <row r="227" spans="1:38">
      <c r="C227" s="1011" t="s">
        <v>1131</v>
      </c>
      <c r="D227" s="1487"/>
      <c r="E227" s="1386">
        <v>0</v>
      </c>
      <c r="F227" s="1487">
        <v>0</v>
      </c>
      <c r="G227" s="1487"/>
      <c r="H227" s="1487"/>
      <c r="I227" s="1487"/>
      <c r="J227" s="1487"/>
      <c r="K227" s="1487"/>
      <c r="L227" s="1487"/>
      <c r="M227" s="1487"/>
      <c r="N227" s="1487"/>
      <c r="O227" s="1487"/>
      <c r="P227" s="1487"/>
      <c r="Q227" s="1487"/>
      <c r="R227" s="1487"/>
      <c r="S227" s="1487"/>
      <c r="T227" s="1487"/>
      <c r="U227" s="1487"/>
      <c r="V227" s="1487"/>
      <c r="W227" s="1487"/>
      <c r="X227" s="1487"/>
      <c r="Y227" s="1487"/>
      <c r="Z227" s="1487"/>
      <c r="AA227" s="1487">
        <v>23046</v>
      </c>
      <c r="AB227" s="1487">
        <v>3810</v>
      </c>
      <c r="AC227" s="1487">
        <v>0</v>
      </c>
      <c r="AD227" s="1487">
        <v>1020</v>
      </c>
      <c r="AG227" s="1386">
        <v>0</v>
      </c>
      <c r="AH227" s="1386">
        <v>0</v>
      </c>
      <c r="AI227" s="1386">
        <v>23814</v>
      </c>
      <c r="AJ227" s="1386">
        <v>3810</v>
      </c>
      <c r="AK227" s="1386">
        <v>0</v>
      </c>
      <c r="AL227" s="1386">
        <v>1020</v>
      </c>
    </row>
    <row r="228" spans="1:38">
      <c r="C228" s="1013" t="s">
        <v>722</v>
      </c>
      <c r="E228" s="1386">
        <v>70</v>
      </c>
      <c r="F228" s="1386">
        <v>900</v>
      </c>
      <c r="AA228" s="1386">
        <v>13248</v>
      </c>
      <c r="AB228" s="1386">
        <v>1325</v>
      </c>
      <c r="AC228" s="1386">
        <v>0</v>
      </c>
      <c r="AD228" s="1386">
        <v>1776</v>
      </c>
      <c r="AG228" s="1386">
        <v>70</v>
      </c>
      <c r="AH228" s="1386">
        <v>900</v>
      </c>
      <c r="AI228" s="1386">
        <v>14215</v>
      </c>
      <c r="AJ228" s="1386">
        <v>1422</v>
      </c>
      <c r="AK228" s="1386">
        <v>0</v>
      </c>
      <c r="AL228" s="1386">
        <v>1776</v>
      </c>
    </row>
    <row r="229" spans="1:38">
      <c r="E229" s="1492">
        <v>1794.1833333333334</v>
      </c>
      <c r="F229" s="1492">
        <v>20000</v>
      </c>
      <c r="AA229" s="1493">
        <v>298007.83999999997</v>
      </c>
      <c r="AB229" s="1492">
        <v>16338</v>
      </c>
      <c r="AC229" s="1492">
        <v>1545</v>
      </c>
      <c r="AD229" s="1492">
        <v>37863</v>
      </c>
      <c r="AG229" s="1492">
        <v>1852.5</v>
      </c>
      <c r="AH229" s="1492">
        <v>20000</v>
      </c>
      <c r="AI229" s="1492">
        <v>309446</v>
      </c>
      <c r="AJ229" s="1493">
        <v>22890</v>
      </c>
      <c r="AK229" s="1492">
        <v>0</v>
      </c>
      <c r="AL229" s="1492">
        <v>34777</v>
      </c>
    </row>
    <row r="230" spans="1:38">
      <c r="E230" s="1492">
        <v>13</v>
      </c>
      <c r="F230" s="1492">
        <v>11</v>
      </c>
      <c r="AA230" s="1493">
        <v>17</v>
      </c>
      <c r="AB230" s="1492">
        <v>12</v>
      </c>
      <c r="AC230" s="1492">
        <v>1</v>
      </c>
      <c r="AD230" s="1492">
        <v>14</v>
      </c>
      <c r="AG230" s="1492">
        <v>12</v>
      </c>
      <c r="AH230" s="1492">
        <v>11</v>
      </c>
      <c r="AI230" s="1492">
        <v>17</v>
      </c>
      <c r="AJ230" s="1493">
        <v>13</v>
      </c>
      <c r="AK230" s="1492">
        <v>0</v>
      </c>
      <c r="AL230" s="1492">
        <v>15</v>
      </c>
    </row>
    <row r="231" spans="1:38">
      <c r="E231" s="1494">
        <v>140</v>
      </c>
      <c r="F231" s="1494">
        <v>1800</v>
      </c>
      <c r="AA231" s="1494">
        <v>17500</v>
      </c>
      <c r="AB231" s="1494">
        <v>1360</v>
      </c>
      <c r="AC231" s="1494">
        <v>1550</v>
      </c>
      <c r="AD231" s="1494">
        <v>2700</v>
      </c>
      <c r="AG231" s="1494">
        <v>150</v>
      </c>
      <c r="AH231" s="1494">
        <v>1800</v>
      </c>
      <c r="AI231" s="1494">
        <v>18200</v>
      </c>
      <c r="AJ231" s="1494">
        <v>1760</v>
      </c>
      <c r="AK231" s="1494">
        <v>0</v>
      </c>
      <c r="AL231" s="1494">
        <v>2320</v>
      </c>
    </row>
    <row r="236" spans="1:38" ht="15.6">
      <c r="A236" s="1498" t="s">
        <v>1582</v>
      </c>
      <c r="B236" s="1499"/>
      <c r="C236" s="1500"/>
      <c r="D236" s="1499"/>
      <c r="E236" s="1500"/>
      <c r="F236" s="1499"/>
      <c r="G236" s="1499"/>
      <c r="H236" s="1499"/>
      <c r="I236" s="1501"/>
      <c r="J236" s="1501"/>
      <c r="K236" s="1499"/>
      <c r="L236" s="1499"/>
      <c r="M236" s="1499"/>
      <c r="N236" s="1499"/>
      <c r="O236" s="1499"/>
      <c r="P236" s="1499"/>
      <c r="Q236" s="1499"/>
      <c r="R236" s="1499"/>
      <c r="S236" s="1499"/>
      <c r="T236" s="1499"/>
      <c r="U236" s="1499"/>
      <c r="V236" s="1499"/>
      <c r="W236" s="1499"/>
      <c r="X236" s="1499"/>
      <c r="Y236" s="1499"/>
      <c r="Z236" s="1499"/>
      <c r="AA236" s="1499"/>
      <c r="AB236" s="1499"/>
    </row>
    <row r="237" spans="1:38">
      <c r="A237" s="1478" t="s">
        <v>1571</v>
      </c>
    </row>
    <row r="238" spans="1:38">
      <c r="A238" s="1496"/>
    </row>
    <row r="239" spans="1:38">
      <c r="A239" s="1478" t="s">
        <v>1572</v>
      </c>
    </row>
    <row r="240" spans="1:38" ht="14.4" thickBot="1">
      <c r="A240" s="1496"/>
    </row>
    <row r="241" spans="1:34">
      <c r="A241" s="1478" t="s">
        <v>1573</v>
      </c>
      <c r="AC241" s="1503" t="s">
        <v>934</v>
      </c>
      <c r="AD241" s="1504" t="s">
        <v>1179</v>
      </c>
      <c r="AE241" s="1504"/>
      <c r="AF241" s="1505"/>
    </row>
    <row r="242" spans="1:34">
      <c r="A242" s="1496"/>
      <c r="AC242" s="1506">
        <v>18395.693337185468</v>
      </c>
      <c r="AD242" s="1507">
        <v>505574770</v>
      </c>
      <c r="AE242" s="1507"/>
      <c r="AF242" s="1508"/>
    </row>
    <row r="243" spans="1:34">
      <c r="A243" s="1478" t="s">
        <v>1574</v>
      </c>
      <c r="AC243" s="1506">
        <v>24</v>
      </c>
      <c r="AD243" s="1507">
        <v>24</v>
      </c>
      <c r="AE243" s="1507"/>
      <c r="AF243" s="1508"/>
    </row>
    <row r="244" spans="1:34">
      <c r="A244" s="1496"/>
      <c r="AC244" s="1506">
        <v>770</v>
      </c>
      <c r="AD244" s="1507">
        <v>21065600</v>
      </c>
      <c r="AE244" s="1507">
        <f>ROUND(AD244/AC244,-1)</f>
        <v>27360</v>
      </c>
      <c r="AF244" s="1508"/>
    </row>
    <row r="245" spans="1:34">
      <c r="A245" s="1478" t="s">
        <v>1575</v>
      </c>
      <c r="AC245" s="1506"/>
      <c r="AD245" s="1507"/>
      <c r="AE245" s="1507"/>
      <c r="AF245" s="1508"/>
    </row>
    <row r="246" spans="1:34">
      <c r="A246" s="1462" t="s">
        <v>1588</v>
      </c>
      <c r="AC246" s="1509">
        <v>1670.4760076775433</v>
      </c>
      <c r="AD246" s="1510">
        <v>2598058</v>
      </c>
      <c r="AE246" s="1511" t="s">
        <v>1410</v>
      </c>
      <c r="AF246" s="1508"/>
    </row>
    <row r="247" spans="1:34">
      <c r="AC247" s="1506"/>
      <c r="AD247" s="1507"/>
      <c r="AE247" s="1507"/>
      <c r="AF247" s="1508"/>
    </row>
    <row r="248" spans="1:34">
      <c r="A248" s="1478" t="s">
        <v>1576</v>
      </c>
      <c r="AC248" s="1506">
        <f>AC242-AC246</f>
        <v>16725.217329507926</v>
      </c>
      <c r="AD248" s="1507">
        <f>AD242-AD246</f>
        <v>502976712</v>
      </c>
      <c r="AE248" s="1507"/>
      <c r="AF248" s="1508"/>
    </row>
    <row r="249" spans="1:34" ht="15.6">
      <c r="A249" s="1497" t="s">
        <v>1577</v>
      </c>
      <c r="AC249" s="1506">
        <v>23</v>
      </c>
      <c r="AD249" s="1507">
        <v>23</v>
      </c>
      <c r="AE249" s="1507"/>
      <c r="AF249" s="1508"/>
    </row>
    <row r="250" spans="1:34" ht="15.6">
      <c r="A250" s="1497" t="s">
        <v>1578</v>
      </c>
      <c r="AC250" s="1506">
        <f>ROUND(AC248/AC249,-1)</f>
        <v>730</v>
      </c>
      <c r="AD250" s="1507">
        <f>ROUND(AD248/AD249,-2)</f>
        <v>21868600</v>
      </c>
      <c r="AE250" s="1507">
        <f>ROUND(AD250/AC250,-1)</f>
        <v>29960</v>
      </c>
      <c r="AF250" s="1508" t="s">
        <v>1587</v>
      </c>
      <c r="AG250" s="1386" t="s">
        <v>1585</v>
      </c>
    </row>
    <row r="251" spans="1:34" ht="16.2" thickBot="1">
      <c r="A251" s="1497" t="s">
        <v>1579</v>
      </c>
      <c r="AC251" s="1512"/>
      <c r="AD251" s="1513"/>
      <c r="AE251" s="1513"/>
      <c r="AF251" s="1514"/>
      <c r="AG251" s="1386">
        <f>'IN ROWS'!IH39</f>
        <v>33910</v>
      </c>
      <c r="AH251" s="1386" t="s">
        <v>1586</v>
      </c>
    </row>
    <row r="252" spans="1:34" ht="15.6">
      <c r="A252" s="1497"/>
    </row>
    <row r="253" spans="1:34" ht="15.6">
      <c r="A253" s="1502" t="s">
        <v>1580</v>
      </c>
    </row>
    <row r="254" spans="1:34" ht="15.6">
      <c r="A254" s="1497"/>
    </row>
    <row r="255" spans="1:34" ht="15.6">
      <c r="A255" s="1502" t="s">
        <v>1581</v>
      </c>
      <c r="E255" s="1428">
        <f>+E257-E256</f>
        <v>3142712</v>
      </c>
    </row>
    <row r="256" spans="1:34">
      <c r="A256" s="1462" t="s">
        <v>1588</v>
      </c>
      <c r="E256" s="1428">
        <v>856763</v>
      </c>
    </row>
    <row r="257" spans="1:32">
      <c r="E257" s="1428">
        <v>3999475</v>
      </c>
    </row>
    <row r="262" spans="1:32" ht="18">
      <c r="A262" s="1516" t="s">
        <v>1594</v>
      </c>
      <c r="B262" s="1516"/>
      <c r="C262" s="1517"/>
      <c r="D262" s="1516"/>
      <c r="E262" s="1517"/>
      <c r="F262" s="1516"/>
      <c r="G262" s="1516"/>
      <c r="H262" s="1516"/>
      <c r="I262" s="1518"/>
      <c r="J262" s="1518"/>
      <c r="K262" s="1516"/>
      <c r="L262" s="1516"/>
      <c r="M262" s="1516"/>
      <c r="N262" s="1516"/>
      <c r="O262" s="1516"/>
      <c r="P262" s="1516"/>
      <c r="Q262" s="1516"/>
      <c r="R262" s="1516"/>
      <c r="S262" s="1516"/>
      <c r="T262" s="1516"/>
      <c r="U262" s="1516"/>
      <c r="V262" s="1516"/>
      <c r="W262" s="1516"/>
      <c r="X262" s="1516"/>
      <c r="Y262" s="1516"/>
      <c r="Z262" s="1516"/>
      <c r="AA262" s="1516"/>
      <c r="AB262" s="1516"/>
      <c r="AC262" s="1516"/>
      <c r="AD262" s="1516"/>
      <c r="AE262" s="1516"/>
      <c r="AF262" s="1516"/>
    </row>
    <row r="263" spans="1:32">
      <c r="A263" s="1496" t="s">
        <v>1589</v>
      </c>
    </row>
    <row r="264" spans="1:32">
      <c r="A264" s="1496"/>
    </row>
    <row r="265" spans="1:32">
      <c r="A265" s="1496" t="s">
        <v>1590</v>
      </c>
    </row>
    <row r="266" spans="1:32">
      <c r="A266" s="1496" t="s">
        <v>1591</v>
      </c>
      <c r="AC266" s="1462" t="s">
        <v>1600</v>
      </c>
    </row>
    <row r="267" spans="1:32">
      <c r="A267" s="1496"/>
    </row>
    <row r="268" spans="1:32">
      <c r="A268" s="1496" t="s">
        <v>1592</v>
      </c>
      <c r="E268" s="1461" t="s">
        <v>1595</v>
      </c>
      <c r="AB268" s="1462"/>
      <c r="AC268" s="1462"/>
    </row>
    <row r="269" spans="1:32">
      <c r="A269" s="1496"/>
    </row>
    <row r="270" spans="1:32">
      <c r="A270" s="1496" t="s">
        <v>1593</v>
      </c>
      <c r="AF270" s="1515" t="s">
        <v>1596</v>
      </c>
    </row>
    <row r="271" spans="1:32">
      <c r="A271" s="1496"/>
    </row>
    <row r="272" spans="1:32" ht="15.6">
      <c r="A272" s="1496" t="s">
        <v>1597</v>
      </c>
      <c r="E272" s="1519" t="s">
        <v>1598</v>
      </c>
      <c r="AC272" s="1515" t="s">
        <v>1599</v>
      </c>
    </row>
    <row r="273" spans="1:33">
      <c r="A273" s="1496"/>
    </row>
    <row r="276" spans="1:33" ht="18">
      <c r="A276" s="1516" t="s">
        <v>1601</v>
      </c>
      <c r="B276" s="1516"/>
      <c r="C276" s="1517"/>
      <c r="D276" s="1516"/>
      <c r="E276" s="1517"/>
      <c r="F276" s="1516"/>
      <c r="G276" s="1516"/>
      <c r="H276" s="1516"/>
      <c r="I276" s="1518"/>
      <c r="J276" s="1518"/>
      <c r="K276" s="1516"/>
      <c r="L276" s="1516"/>
      <c r="M276" s="1516"/>
      <c r="N276" s="1516"/>
      <c r="O276" s="1516"/>
      <c r="P276" s="1516"/>
      <c r="Q276" s="1516"/>
      <c r="R276" s="1516"/>
      <c r="S276" s="1516"/>
      <c r="T276" s="1516"/>
      <c r="U276" s="1516"/>
      <c r="V276" s="1516"/>
      <c r="W276" s="1516"/>
      <c r="X276" s="1516"/>
      <c r="Y276" s="1516"/>
      <c r="Z276" s="1516"/>
      <c r="AA276" s="1516"/>
      <c r="AB276" s="1516"/>
      <c r="AC276" s="1516"/>
      <c r="AD276" s="1516"/>
      <c r="AE276" s="1516"/>
      <c r="AF276" s="1516"/>
    </row>
    <row r="278" spans="1:33" ht="14.4">
      <c r="A278" s="1520" t="s">
        <v>1602</v>
      </c>
    </row>
    <row r="279" spans="1:33" ht="14.4">
      <c r="A279" s="1520"/>
      <c r="AC279" s="1459"/>
      <c r="AD279" s="1459" t="s">
        <v>1617</v>
      </c>
      <c r="AE279" s="1459" t="s">
        <v>1615</v>
      </c>
      <c r="AF279" s="1459" t="s">
        <v>1614</v>
      </c>
      <c r="AG279" s="1459" t="s">
        <v>1616</v>
      </c>
    </row>
    <row r="280" spans="1:33" ht="14.4">
      <c r="A280" s="1521" t="s">
        <v>1603</v>
      </c>
      <c r="F280" s="1386" t="s">
        <v>1610</v>
      </c>
      <c r="AC280" s="1386" t="s">
        <v>264</v>
      </c>
      <c r="AD280" s="1386" t="s">
        <v>1611</v>
      </c>
      <c r="AE280" s="1386">
        <v>61300</v>
      </c>
      <c r="AF280" s="1386">
        <v>7200</v>
      </c>
      <c r="AG280" s="1386">
        <f>AE280-AF280</f>
        <v>54100</v>
      </c>
    </row>
    <row r="281" spans="1:33" ht="14.4">
      <c r="A281" s="1520"/>
      <c r="AD281" s="1386" t="s">
        <v>1612</v>
      </c>
      <c r="AE281" s="1386">
        <v>59800</v>
      </c>
      <c r="AF281" s="1386">
        <v>7200</v>
      </c>
      <c r="AG281" s="1386">
        <f>AE281-AF281</f>
        <v>52600</v>
      </c>
    </row>
    <row r="282" spans="1:33" ht="14.4">
      <c r="A282" s="1521" t="s">
        <v>1604</v>
      </c>
      <c r="F282" s="1386" t="s">
        <v>1610</v>
      </c>
    </row>
    <row r="283" spans="1:33" ht="14.4">
      <c r="A283" s="1520"/>
      <c r="F283" s="1386" t="s">
        <v>1618</v>
      </c>
      <c r="AC283" s="1386" t="s">
        <v>1613</v>
      </c>
      <c r="AD283" s="1386" t="s">
        <v>1611</v>
      </c>
      <c r="AE283" s="1386">
        <v>84300</v>
      </c>
      <c r="AF283" s="1386">
        <v>1070</v>
      </c>
      <c r="AG283" s="1386">
        <f>AE283-AF283</f>
        <v>83230</v>
      </c>
    </row>
    <row r="284" spans="1:33" ht="15.6">
      <c r="A284" s="1520" t="s">
        <v>1605</v>
      </c>
      <c r="F284"/>
      <c r="AD284" s="1386" t="s">
        <v>1612</v>
      </c>
      <c r="AE284" s="1386">
        <v>84600</v>
      </c>
      <c r="AF284" s="1386">
        <v>9100</v>
      </c>
      <c r="AG284" s="1386">
        <f>AE284-AF284</f>
        <v>75500</v>
      </c>
    </row>
    <row r="285" spans="1:33" ht="14.4">
      <c r="A285" s="1520" t="s">
        <v>1609</v>
      </c>
      <c r="B285" s="1386">
        <v>2018</v>
      </c>
      <c r="C285" s="1428">
        <v>2017</v>
      </c>
    </row>
    <row r="286" spans="1:33" ht="14.4">
      <c r="A286" s="1520"/>
      <c r="B286" s="1386">
        <v>205331</v>
      </c>
      <c r="C286" s="1428">
        <v>201232</v>
      </c>
    </row>
    <row r="287" spans="1:33" ht="15">
      <c r="A287" s="1522"/>
      <c r="B287" s="1386">
        <v>16346</v>
      </c>
      <c r="C287" s="1428">
        <v>10920</v>
      </c>
      <c r="F287" s="1428" t="s">
        <v>1610</v>
      </c>
    </row>
    <row r="288" spans="1:33" ht="15">
      <c r="A288" s="1522"/>
      <c r="B288" s="1386">
        <f>B286-B287</f>
        <v>188985</v>
      </c>
      <c r="C288" s="1428">
        <f>C286-C287</f>
        <v>190312</v>
      </c>
      <c r="F288" s="1386" t="s">
        <v>1618</v>
      </c>
    </row>
    <row r="289" spans="1:4" ht="15.6">
      <c r="A289" s="1523"/>
    </row>
    <row r="290" spans="1:4" ht="14.4">
      <c r="A290" s="1520"/>
    </row>
    <row r="291" spans="1:4" ht="14.4">
      <c r="A291" s="1521" t="s">
        <v>1606</v>
      </c>
    </row>
    <row r="292" spans="1:4" ht="14.4">
      <c r="A292" s="1520"/>
    </row>
    <row r="293" spans="1:4" ht="14.4">
      <c r="A293" s="1520" t="s">
        <v>1607</v>
      </c>
    </row>
    <row r="294" spans="1:4" ht="14.4">
      <c r="A294" s="1520"/>
    </row>
    <row r="295" spans="1:4" ht="14.4">
      <c r="A295" s="1520" t="s">
        <v>1608</v>
      </c>
      <c r="C295" s="1428" t="s">
        <v>1619</v>
      </c>
      <c r="D295" s="1428" t="s">
        <v>1610</v>
      </c>
    </row>
    <row r="296" spans="1:4" ht="14.4">
      <c r="A296" s="1520"/>
      <c r="D296" s="1386" t="s">
        <v>1618</v>
      </c>
    </row>
  </sheetData>
  <sortState xmlns:xlrd2="http://schemas.microsoft.com/office/spreadsheetml/2017/richdata2" ref="AF212:AM228">
    <sortCondition ref="AF212:AF228"/>
  </sortState>
  <pageMargins left="0.7" right="0.7" top="0.75" bottom="0.75" header="0.3" footer="0.3"/>
  <pageSetup fitToHeight="0" orientation="landscape" r:id="rId1"/>
  <customProperties>
    <customPr name="OrphanNamesChecked" r:id="rId2"/>
  </customPropertie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pageSetUpPr fitToPage="1"/>
  </sheetPr>
  <dimension ref="A2:W389"/>
  <sheetViews>
    <sheetView showGridLines="0" zoomScale="85" zoomScaleNormal="85" zoomScaleSheetLayoutView="85" workbookViewId="0">
      <selection activeCell="A2" sqref="A2:E2"/>
    </sheetView>
  </sheetViews>
  <sheetFormatPr defaultColWidth="8.90625" defaultRowHeight="13.8"/>
  <cols>
    <col min="1" max="1" width="32" style="1534" customWidth="1"/>
    <col min="2" max="2" width="13" style="1534" bestFit="1" customWidth="1"/>
    <col min="3" max="3" width="18.6328125" style="1428" customWidth="1"/>
    <col min="4" max="4" width="12.6328125" style="1534" customWidth="1"/>
    <col min="5" max="5" width="18" style="1428" customWidth="1"/>
    <col min="6" max="6" width="15.36328125" style="1534" customWidth="1"/>
    <col min="7" max="7" width="11.08984375" style="1534" customWidth="1"/>
    <col min="8" max="8" width="9.36328125" style="1534" customWidth="1"/>
    <col min="9" max="10" width="8.90625" style="1534"/>
    <col min="11" max="11" width="8.54296875" style="1534" customWidth="1"/>
    <col min="12" max="12" width="21.36328125" style="1534" bestFit="1" customWidth="1"/>
    <col min="13" max="15" width="7.54296875" style="1534" customWidth="1"/>
    <col min="16" max="20" width="9.453125" style="1534" customWidth="1"/>
    <col min="21" max="21" width="5.08984375" style="1534" bestFit="1" customWidth="1"/>
    <col min="22" max="22" width="4.6328125" style="1534" bestFit="1" customWidth="1"/>
    <col min="23" max="16384" width="8.90625" style="1534"/>
  </cols>
  <sheetData>
    <row r="2" spans="1:7" ht="14.4" thickBot="1">
      <c r="A2" s="1433" t="s">
        <v>1663</v>
      </c>
      <c r="B2" s="1433"/>
      <c r="C2" s="1433"/>
      <c r="D2" s="1434"/>
      <c r="E2" s="1434"/>
    </row>
    <row r="4" spans="1:7">
      <c r="A4" s="1534" t="s">
        <v>1641</v>
      </c>
      <c r="D4" s="1662" t="s">
        <v>1763</v>
      </c>
    </row>
    <row r="5" spans="1:7">
      <c r="C5" s="1534"/>
      <c r="D5" s="1487"/>
      <c r="E5" s="1534"/>
    </row>
    <row r="6" spans="1:7">
      <c r="A6" s="1554" t="s">
        <v>0</v>
      </c>
      <c r="B6" s="1554" t="s">
        <v>257</v>
      </c>
      <c r="C6" s="1554"/>
      <c r="D6" s="1487"/>
      <c r="E6" s="1534"/>
    </row>
    <row r="7" spans="1:7">
      <c r="A7" s="1659" t="s">
        <v>541</v>
      </c>
      <c r="B7" s="1011" t="s">
        <v>264</v>
      </c>
      <c r="C7" s="1437" t="s">
        <v>1460</v>
      </c>
      <c r="D7" s="1487" t="s">
        <v>962</v>
      </c>
      <c r="E7" s="1534"/>
      <c r="F7" s="1651"/>
      <c r="G7" s="1652"/>
    </row>
    <row r="8" spans="1:7">
      <c r="A8" s="1660" t="s">
        <v>541</v>
      </c>
      <c r="B8" s="1556" t="s">
        <v>412</v>
      </c>
      <c r="C8" s="1437" t="s">
        <v>1453</v>
      </c>
      <c r="D8" s="1487" t="s">
        <v>962</v>
      </c>
      <c r="E8" s="1534"/>
      <c r="F8" s="1651"/>
      <c r="G8" s="1652"/>
    </row>
    <row r="9" spans="1:7">
      <c r="A9" s="1446" t="s">
        <v>1127</v>
      </c>
      <c r="B9" s="1565" t="s">
        <v>547</v>
      </c>
      <c r="C9" s="1567" t="s">
        <v>1456</v>
      </c>
      <c r="D9" s="1487" t="s">
        <v>1760</v>
      </c>
      <c r="E9" s="1534"/>
      <c r="F9" s="1653" t="s">
        <v>1754</v>
      </c>
      <c r="G9" s="1652"/>
    </row>
    <row r="10" spans="1:7">
      <c r="A10" s="1658" t="s">
        <v>1327</v>
      </c>
      <c r="B10" s="1011" t="s">
        <v>412</v>
      </c>
      <c r="C10" s="1437" t="s">
        <v>1529</v>
      </c>
      <c r="D10" s="1487" t="s">
        <v>1761</v>
      </c>
      <c r="E10" s="1534"/>
      <c r="F10" s="1654" t="s">
        <v>1755</v>
      </c>
      <c r="G10" s="1652"/>
    </row>
    <row r="11" spans="1:7">
      <c r="A11" s="1446" t="s">
        <v>1129</v>
      </c>
      <c r="B11" s="1565" t="s">
        <v>546</v>
      </c>
      <c r="C11" s="1567" t="s">
        <v>1457</v>
      </c>
      <c r="D11" s="1487" t="s">
        <v>1760</v>
      </c>
      <c r="E11" s="1534"/>
      <c r="F11" s="1651" t="s">
        <v>1756</v>
      </c>
      <c r="G11" s="1652"/>
    </row>
    <row r="12" spans="1:7">
      <c r="A12" s="1661" t="s">
        <v>1140</v>
      </c>
      <c r="B12" s="1556" t="s">
        <v>412</v>
      </c>
      <c r="C12" s="1437" t="s">
        <v>1452</v>
      </c>
      <c r="D12" s="1487" t="s">
        <v>962</v>
      </c>
      <c r="E12" s="1534"/>
      <c r="F12" s="1651"/>
      <c r="G12" s="1652"/>
    </row>
    <row r="13" spans="1:7">
      <c r="A13" s="1446" t="s">
        <v>1326</v>
      </c>
      <c r="B13" s="1565" t="s">
        <v>258</v>
      </c>
      <c r="C13" s="1567" t="s">
        <v>1570</v>
      </c>
      <c r="D13" s="1487" t="s">
        <v>1760</v>
      </c>
      <c r="E13" s="1534"/>
      <c r="F13" s="1654" t="s">
        <v>1757</v>
      </c>
      <c r="G13" s="1652"/>
    </row>
    <row r="14" spans="1:7">
      <c r="A14" s="1565" t="s">
        <v>1145</v>
      </c>
      <c r="B14" s="1565" t="s">
        <v>258</v>
      </c>
      <c r="C14" s="1567" t="s">
        <v>1457</v>
      </c>
      <c r="D14" s="1487" t="s">
        <v>1760</v>
      </c>
      <c r="E14" s="1534"/>
      <c r="F14" s="1654" t="s">
        <v>1757</v>
      </c>
      <c r="G14" s="1652"/>
    </row>
    <row r="15" spans="1:7">
      <c r="A15" s="1658" t="s">
        <v>1315</v>
      </c>
      <c r="B15" s="1011" t="s">
        <v>547</v>
      </c>
      <c r="C15" s="1437" t="s">
        <v>1455</v>
      </c>
      <c r="D15" s="1487" t="s">
        <v>1638</v>
      </c>
      <c r="E15" s="1534"/>
      <c r="F15" s="1651"/>
      <c r="G15" s="1652"/>
    </row>
    <row r="16" spans="1:7">
      <c r="A16" s="1658" t="s">
        <v>1310</v>
      </c>
      <c r="B16" s="1011" t="s">
        <v>618</v>
      </c>
      <c r="C16" s="1437" t="s">
        <v>1725</v>
      </c>
      <c r="D16" s="1487" t="s">
        <v>1638</v>
      </c>
      <c r="E16" s="1534"/>
      <c r="F16" s="1651"/>
      <c r="G16" s="1652"/>
    </row>
    <row r="17" spans="1:16">
      <c r="A17" s="1658" t="s">
        <v>630</v>
      </c>
      <c r="B17" s="1011" t="s">
        <v>546</v>
      </c>
      <c r="C17" s="1557" t="s">
        <v>1459</v>
      </c>
      <c r="D17" s="1487" t="s">
        <v>1105</v>
      </c>
      <c r="E17" s="1534"/>
      <c r="F17" s="1654" t="s">
        <v>1118</v>
      </c>
      <c r="G17" s="1652"/>
    </row>
    <row r="18" spans="1:16">
      <c r="A18" s="1659" t="s">
        <v>1130</v>
      </c>
      <c r="B18" s="1011" t="s">
        <v>546</v>
      </c>
      <c r="C18" s="1437" t="s">
        <v>1460</v>
      </c>
      <c r="D18" s="1487" t="s">
        <v>1105</v>
      </c>
      <c r="E18" s="1534"/>
      <c r="F18" s="1654" t="s">
        <v>962</v>
      </c>
      <c r="G18" s="1652"/>
    </row>
    <row r="19" spans="1:16">
      <c r="A19" s="1660" t="s">
        <v>627</v>
      </c>
      <c r="B19" s="1556" t="s">
        <v>412</v>
      </c>
      <c r="C19" s="1437" t="s">
        <v>1452</v>
      </c>
      <c r="D19" s="1487" t="s">
        <v>962</v>
      </c>
      <c r="E19" s="1534"/>
      <c r="F19" s="1651"/>
      <c r="G19" s="1652"/>
    </row>
    <row r="20" spans="1:16">
      <c r="A20" s="1659" t="s">
        <v>1136</v>
      </c>
      <c r="B20" s="1011" t="s">
        <v>618</v>
      </c>
      <c r="C20" s="1437" t="s">
        <v>1458</v>
      </c>
      <c r="D20" s="1487" t="s">
        <v>1638</v>
      </c>
      <c r="E20" s="1534"/>
      <c r="F20" s="1651"/>
      <c r="G20" s="1652"/>
    </row>
    <row r="21" spans="1:16">
      <c r="A21" s="1658" t="s">
        <v>1146</v>
      </c>
      <c r="B21" s="1011" t="s">
        <v>546</v>
      </c>
      <c r="C21" s="1558" t="s">
        <v>1461</v>
      </c>
      <c r="D21" s="1487" t="s">
        <v>1105</v>
      </c>
      <c r="E21" s="1534"/>
      <c r="F21" s="1654" t="s">
        <v>962</v>
      </c>
      <c r="G21" s="1652"/>
    </row>
    <row r="22" spans="1:16">
      <c r="A22" s="1659" t="s">
        <v>1026</v>
      </c>
      <c r="B22" s="1011" t="s">
        <v>618</v>
      </c>
      <c r="C22" s="1437" t="s">
        <v>1725</v>
      </c>
      <c r="D22" s="1487" t="s">
        <v>1638</v>
      </c>
      <c r="E22" s="1534"/>
      <c r="F22" s="1651"/>
      <c r="G22" s="1652"/>
    </row>
    <row r="23" spans="1:16">
      <c r="A23" s="1660" t="s">
        <v>1026</v>
      </c>
      <c r="B23" s="1556" t="s">
        <v>412</v>
      </c>
      <c r="C23" s="1559" t="s">
        <v>1726</v>
      </c>
      <c r="D23" s="1487" t="s">
        <v>1638</v>
      </c>
      <c r="E23" s="1534"/>
      <c r="F23" s="1651"/>
      <c r="G23" s="1652"/>
    </row>
    <row r="24" spans="1:16">
      <c r="A24" s="1658" t="s">
        <v>1199</v>
      </c>
      <c r="B24" s="1011" t="s">
        <v>264</v>
      </c>
      <c r="C24" s="1560" t="s">
        <v>1454</v>
      </c>
      <c r="D24" s="1487" t="s">
        <v>962</v>
      </c>
      <c r="E24" s="1534"/>
      <c r="F24" s="1651" t="s">
        <v>1758</v>
      </c>
      <c r="G24" s="1652"/>
    </row>
    <row r="25" spans="1:16">
      <c r="A25" s="1656" t="s">
        <v>1410</v>
      </c>
      <c r="B25" s="1657" t="s">
        <v>618</v>
      </c>
      <c r="C25" s="1567" t="s">
        <v>1462</v>
      </c>
      <c r="D25" s="1487"/>
      <c r="E25" s="1534"/>
      <c r="F25" s="1651" t="s">
        <v>1759</v>
      </c>
      <c r="G25" s="1652"/>
    </row>
    <row r="26" spans="1:16">
      <c r="A26" s="1658" t="s">
        <v>1322</v>
      </c>
      <c r="B26" s="1011" t="s">
        <v>264</v>
      </c>
      <c r="C26" s="1558" t="s">
        <v>1458</v>
      </c>
      <c r="D26" s="1487" t="s">
        <v>1762</v>
      </c>
      <c r="E26" s="1534"/>
      <c r="F26" s="1654" t="s">
        <v>1755</v>
      </c>
      <c r="G26" s="1652"/>
    </row>
    <row r="27" spans="1:16">
      <c r="A27" s="1660" t="s">
        <v>1002</v>
      </c>
      <c r="B27" s="1556" t="s">
        <v>412</v>
      </c>
      <c r="C27" s="1437" t="s">
        <v>1452</v>
      </c>
      <c r="D27" s="1487" t="s">
        <v>962</v>
      </c>
      <c r="E27" s="1534"/>
      <c r="F27" s="1651"/>
      <c r="G27" s="1655"/>
    </row>
    <row r="28" spans="1:16">
      <c r="D28" s="1555"/>
      <c r="E28" s="1534"/>
    </row>
    <row r="30" spans="1:16">
      <c r="A30" s="1561"/>
      <c r="B30" s="1561"/>
      <c r="C30" s="1562"/>
      <c r="D30" s="1561"/>
      <c r="E30" s="1562"/>
      <c r="F30" s="1561"/>
      <c r="G30" s="1561"/>
      <c r="H30" s="1561"/>
      <c r="I30" s="1561"/>
      <c r="J30" s="1561"/>
      <c r="K30" s="1561"/>
      <c r="L30" s="1561"/>
      <c r="M30" s="1561"/>
      <c r="N30" s="1561"/>
      <c r="O30" s="1561"/>
      <c r="P30" s="1561"/>
    </row>
    <row r="34" spans="1:13">
      <c r="A34" s="1635" t="s">
        <v>1027</v>
      </c>
      <c r="B34" s="1440" t="s">
        <v>1636</v>
      </c>
      <c r="F34" s="1462" t="s">
        <v>1665</v>
      </c>
    </row>
    <row r="39" spans="1:13" ht="27.6">
      <c r="A39" s="1448" t="s">
        <v>1643</v>
      </c>
      <c r="B39" s="1563" t="s">
        <v>1294</v>
      </c>
      <c r="C39" s="1564" t="s">
        <v>9</v>
      </c>
      <c r="D39" s="1564" t="s">
        <v>18</v>
      </c>
      <c r="L39" s="1550"/>
      <c r="M39" s="1550"/>
    </row>
    <row r="40" spans="1:13" ht="15" customHeight="1">
      <c r="A40" s="1565" t="s">
        <v>1406</v>
      </c>
      <c r="B40" s="1566" t="s">
        <v>1637</v>
      </c>
      <c r="C40" s="1567">
        <v>0</v>
      </c>
      <c r="D40" s="1567">
        <v>122982</v>
      </c>
      <c r="E40" s="1476"/>
      <c r="F40" s="1462" t="s">
        <v>1665</v>
      </c>
      <c r="G40" s="1568" t="s">
        <v>1660</v>
      </c>
      <c r="H40" s="1568"/>
      <c r="I40" s="1568"/>
    </row>
    <row r="41" spans="1:13">
      <c r="A41" s="1565" t="s">
        <v>1018</v>
      </c>
      <c r="B41" s="1566" t="s">
        <v>1637</v>
      </c>
      <c r="C41" s="1567">
        <v>0</v>
      </c>
      <c r="D41" s="1567">
        <v>5961</v>
      </c>
      <c r="E41" s="1476"/>
      <c r="F41" s="1462" t="s">
        <v>1665</v>
      </c>
      <c r="G41" s="1462" t="s">
        <v>1664</v>
      </c>
    </row>
    <row r="42" spans="1:13">
      <c r="A42" s="1565" t="s">
        <v>1006</v>
      </c>
      <c r="B42" s="1566" t="s">
        <v>1637</v>
      </c>
      <c r="C42" s="1567">
        <v>0</v>
      </c>
      <c r="D42" s="1567">
        <v>461381</v>
      </c>
      <c r="E42" s="1476"/>
      <c r="F42" s="1462" t="s">
        <v>1665</v>
      </c>
    </row>
    <row r="43" spans="1:13">
      <c r="A43" s="1565" t="s">
        <v>1403</v>
      </c>
      <c r="B43" s="1566" t="s">
        <v>1637</v>
      </c>
      <c r="C43" s="1567">
        <v>0</v>
      </c>
      <c r="D43" s="1567">
        <v>930750</v>
      </c>
      <c r="E43" s="1476"/>
      <c r="F43" s="1462" t="s">
        <v>1665</v>
      </c>
    </row>
    <row r="44" spans="1:13">
      <c r="A44" s="1565" t="s">
        <v>1027</v>
      </c>
      <c r="B44" s="1566" t="s">
        <v>1637</v>
      </c>
      <c r="C44" s="1567">
        <v>1794000</v>
      </c>
      <c r="D44" s="1567">
        <v>0</v>
      </c>
      <c r="E44" s="1476"/>
      <c r="F44" s="1462" t="s">
        <v>1665</v>
      </c>
    </row>
    <row r="45" spans="1:13">
      <c r="A45" s="1565" t="s">
        <v>1627</v>
      </c>
      <c r="B45" s="1566" t="s">
        <v>1637</v>
      </c>
      <c r="C45" s="1567">
        <v>0</v>
      </c>
      <c r="D45" s="1567">
        <v>220875</v>
      </c>
      <c r="E45" s="1476"/>
      <c r="F45" s="1462" t="s">
        <v>1665</v>
      </c>
    </row>
    <row r="46" spans="1:13">
      <c r="A46" s="1565" t="s">
        <v>1322</v>
      </c>
      <c r="B46" s="1566" t="s">
        <v>1637</v>
      </c>
      <c r="C46" s="1567">
        <v>0</v>
      </c>
      <c r="D46" s="1567">
        <v>21196</v>
      </c>
      <c r="E46" s="1476"/>
      <c r="F46" s="1462" t="s">
        <v>1665</v>
      </c>
    </row>
    <row r="47" spans="1:13">
      <c r="A47" s="1565" t="s">
        <v>961</v>
      </c>
      <c r="B47" s="1566" t="s">
        <v>1637</v>
      </c>
      <c r="C47" s="1567">
        <v>0</v>
      </c>
      <c r="D47" s="1567">
        <v>409620</v>
      </c>
      <c r="E47" s="1476"/>
      <c r="F47" s="1462" t="s">
        <v>1665</v>
      </c>
    </row>
    <row r="48" spans="1:13">
      <c r="A48" s="1565" t="s">
        <v>708</v>
      </c>
      <c r="B48" s="1566" t="s">
        <v>1637</v>
      </c>
      <c r="C48" s="1567">
        <v>0</v>
      </c>
      <c r="D48" s="1567">
        <v>169252</v>
      </c>
      <c r="E48" s="1476"/>
      <c r="F48" s="1462" t="s">
        <v>1665</v>
      </c>
    </row>
    <row r="56" spans="1:7" ht="27.6">
      <c r="A56" s="1448" t="s">
        <v>1643</v>
      </c>
      <c r="B56" s="1563" t="s">
        <v>1347</v>
      </c>
      <c r="C56" s="1426" t="s">
        <v>117</v>
      </c>
      <c r="D56" s="1564" t="s">
        <v>142</v>
      </c>
    </row>
    <row r="57" spans="1:7">
      <c r="A57" s="1565" t="s">
        <v>1406</v>
      </c>
      <c r="B57" s="1566" t="s">
        <v>1637</v>
      </c>
      <c r="C57" s="1567">
        <v>1</v>
      </c>
      <c r="D57" s="1567">
        <v>0</v>
      </c>
      <c r="F57" s="1462" t="s">
        <v>1665</v>
      </c>
    </row>
    <row r="58" spans="1:7">
      <c r="A58" s="1565" t="s">
        <v>1006</v>
      </c>
      <c r="B58" s="1566" t="s">
        <v>1637</v>
      </c>
      <c r="C58" s="1567">
        <v>1</v>
      </c>
      <c r="D58" s="1567">
        <v>0</v>
      </c>
      <c r="F58" s="1462" t="s">
        <v>1665</v>
      </c>
      <c r="G58" s="1462"/>
    </row>
    <row r="59" spans="1:7">
      <c r="A59" s="1569" t="s">
        <v>1627</v>
      </c>
      <c r="B59" s="1570" t="s">
        <v>1637</v>
      </c>
      <c r="C59" s="1571">
        <v>0</v>
      </c>
      <c r="D59" s="1571">
        <v>498343</v>
      </c>
      <c r="E59" s="1572"/>
      <c r="F59" s="1573" t="s">
        <v>1665</v>
      </c>
    </row>
    <row r="60" spans="1:7">
      <c r="A60" s="1569" t="s">
        <v>265</v>
      </c>
      <c r="B60" s="1566" t="s">
        <v>1637</v>
      </c>
      <c r="C60" s="1567">
        <v>1</v>
      </c>
      <c r="D60" s="1567">
        <v>0</v>
      </c>
      <c r="F60" s="1462" t="s">
        <v>1665</v>
      </c>
    </row>
    <row r="66" spans="1:8">
      <c r="A66" s="1574" t="s">
        <v>1643</v>
      </c>
      <c r="B66" s="1575" t="s">
        <v>1350</v>
      </c>
      <c r="C66" s="1576" t="s">
        <v>1296</v>
      </c>
      <c r="D66" s="1577" t="s">
        <v>1167</v>
      </c>
    </row>
    <row r="67" spans="1:8">
      <c r="A67" s="1565" t="s">
        <v>1018</v>
      </c>
      <c r="B67" s="1566" t="s">
        <v>1637</v>
      </c>
      <c r="C67" s="1578">
        <v>1</v>
      </c>
      <c r="D67" s="1578">
        <v>0</v>
      </c>
      <c r="G67" s="1462" t="s">
        <v>1661</v>
      </c>
    </row>
    <row r="68" spans="1:8" ht="15" customHeight="1">
      <c r="A68" s="1565" t="s">
        <v>1202</v>
      </c>
      <c r="B68" s="1566" t="s">
        <v>1637</v>
      </c>
      <c r="C68" s="1578">
        <v>0</v>
      </c>
      <c r="D68" s="1578">
        <v>2900</v>
      </c>
      <c r="G68" s="1462" t="s">
        <v>1662</v>
      </c>
    </row>
    <row r="69" spans="1:8">
      <c r="A69" s="1440"/>
      <c r="B69" s="1440"/>
      <c r="C69" s="1476"/>
      <c r="D69" s="1440"/>
    </row>
    <row r="70" spans="1:8">
      <c r="A70" s="1440"/>
      <c r="B70" s="1440"/>
      <c r="C70" s="1476"/>
      <c r="D70" s="1440"/>
    </row>
    <row r="71" spans="1:8">
      <c r="A71" s="1440"/>
      <c r="B71" s="1440"/>
      <c r="C71" s="1476"/>
      <c r="D71" s="1440"/>
    </row>
    <row r="72" spans="1:8">
      <c r="A72" s="1440"/>
      <c r="B72" s="1440"/>
      <c r="C72" s="1476"/>
      <c r="D72" s="1440"/>
    </row>
    <row r="73" spans="1:8">
      <c r="A73" s="1574" t="s">
        <v>1643</v>
      </c>
      <c r="B73" s="1575" t="s">
        <v>1348</v>
      </c>
      <c r="C73" s="1579" t="s">
        <v>116</v>
      </c>
      <c r="D73" s="1579" t="s">
        <v>124</v>
      </c>
    </row>
    <row r="74" spans="1:8">
      <c r="A74" s="1565" t="s">
        <v>1199</v>
      </c>
      <c r="B74" s="1566" t="s">
        <v>1637</v>
      </c>
      <c r="C74" s="1567">
        <v>1</v>
      </c>
      <c r="D74" s="1567">
        <v>0</v>
      </c>
      <c r="G74" s="1462" t="s">
        <v>1662</v>
      </c>
    </row>
    <row r="80" spans="1:8">
      <c r="A80" s="1574" t="s">
        <v>1642</v>
      </c>
      <c r="B80" s="1580" t="s">
        <v>1246</v>
      </c>
      <c r="C80" s="1581" t="s">
        <v>166</v>
      </c>
      <c r="D80" s="1581" t="s">
        <v>167</v>
      </c>
      <c r="E80" s="1581" t="s">
        <v>168</v>
      </c>
      <c r="H80" s="1462" t="s">
        <v>1665</v>
      </c>
    </row>
    <row r="81" spans="1:14">
      <c r="A81" s="1565" t="s">
        <v>523</v>
      </c>
      <c r="B81" s="1582" t="e">
        <v>#DIV/0!</v>
      </c>
      <c r="C81" s="1583">
        <v>0</v>
      </c>
      <c r="D81" s="1567">
        <v>0</v>
      </c>
      <c r="E81" s="1567">
        <v>0</v>
      </c>
    </row>
    <row r="82" spans="1:14">
      <c r="A82" s="1565" t="s">
        <v>1627</v>
      </c>
      <c r="B82" s="1582" t="e">
        <v>#DIV/0!</v>
      </c>
      <c r="C82" s="1583">
        <v>0</v>
      </c>
      <c r="D82" s="1567">
        <v>1</v>
      </c>
      <c r="E82" s="1567">
        <v>0</v>
      </c>
    </row>
    <row r="86" spans="1:14">
      <c r="A86" s="1574" t="s">
        <v>1642</v>
      </c>
      <c r="B86" s="1584" t="s">
        <v>1176</v>
      </c>
      <c r="C86" s="1584" t="s">
        <v>1177</v>
      </c>
      <c r="D86" s="1584" t="s">
        <v>1178</v>
      </c>
      <c r="E86" s="1585" t="s">
        <v>139</v>
      </c>
      <c r="F86" s="1584" t="s">
        <v>1231</v>
      </c>
      <c r="G86" s="1584" t="s">
        <v>1179</v>
      </c>
      <c r="H86" s="1584" t="s">
        <v>1267</v>
      </c>
    </row>
    <row r="87" spans="1:14">
      <c r="A87" s="1565" t="s">
        <v>262</v>
      </c>
      <c r="B87" s="1578">
        <v>0</v>
      </c>
      <c r="C87" s="1578">
        <v>0</v>
      </c>
      <c r="D87" s="1586" t="e">
        <v>#DIV/0!</v>
      </c>
      <c r="E87" s="1587" t="s">
        <v>1631</v>
      </c>
      <c r="F87" s="1588">
        <v>0</v>
      </c>
      <c r="G87" s="1588">
        <v>0</v>
      </c>
      <c r="H87" s="1586" t="e">
        <v>#DIV/0!</v>
      </c>
      <c r="J87" s="1462" t="s">
        <v>1665</v>
      </c>
    </row>
    <row r="88" spans="1:14">
      <c r="A88" s="1634" t="s">
        <v>1731</v>
      </c>
    </row>
    <row r="90" spans="1:14" ht="15" customHeight="1">
      <c r="L90" s="1602"/>
    </row>
    <row r="91" spans="1:14">
      <c r="L91" s="1602"/>
    </row>
    <row r="93" spans="1:14">
      <c r="A93" s="1534" t="s">
        <v>1666</v>
      </c>
    </row>
    <row r="95" spans="1:14">
      <c r="A95" s="1459" t="s">
        <v>1644</v>
      </c>
      <c r="B95" s="1459"/>
      <c r="C95" s="1460"/>
      <c r="D95" s="1459"/>
      <c r="E95" s="1460"/>
      <c r="F95" s="1459"/>
      <c r="G95" s="1459"/>
      <c r="H95" s="1459"/>
      <c r="I95" s="1459"/>
      <c r="J95" s="1459"/>
      <c r="K95" s="1459"/>
      <c r="L95" s="1459"/>
      <c r="M95" s="1459"/>
      <c r="N95" s="1459"/>
    </row>
    <row r="96" spans="1:14">
      <c r="A96" s="1589"/>
      <c r="B96" s="1590"/>
      <c r="C96" s="1590"/>
      <c r="D96" s="1590"/>
      <c r="E96" s="1590"/>
      <c r="F96" s="1590"/>
      <c r="G96" s="1590"/>
      <c r="H96" s="1590"/>
      <c r="I96" s="1590"/>
      <c r="J96" s="1590"/>
    </row>
    <row r="97" spans="1:14">
      <c r="A97" s="1591" t="s">
        <v>1645</v>
      </c>
      <c r="B97" s="1589"/>
      <c r="C97" s="1589"/>
      <c r="D97" s="1589"/>
      <c r="E97" s="1590"/>
      <c r="F97" s="1590"/>
      <c r="G97" s="1590"/>
      <c r="H97" s="1592" t="s">
        <v>1653</v>
      </c>
      <c r="I97" s="1590"/>
      <c r="J97" s="1590"/>
    </row>
    <row r="98" spans="1:14">
      <c r="A98" s="1591" t="s">
        <v>1646</v>
      </c>
      <c r="B98" s="1589"/>
      <c r="C98" s="1589"/>
      <c r="D98" s="1589"/>
      <c r="E98" s="1589"/>
      <c r="F98" s="1589"/>
      <c r="G98" s="1590"/>
      <c r="H98" s="1592" t="s">
        <v>1652</v>
      </c>
      <c r="I98" s="1590"/>
      <c r="J98" s="1590"/>
    </row>
    <row r="99" spans="1:14">
      <c r="A99" s="1593" t="s">
        <v>1647</v>
      </c>
      <c r="B99" s="1594"/>
      <c r="C99" s="1594"/>
      <c r="D99" s="1594"/>
      <c r="E99" s="1594"/>
      <c r="F99" s="1594"/>
      <c r="G99" s="1594"/>
      <c r="H99" s="1592" t="s">
        <v>1651</v>
      </c>
      <c r="I99" s="1590"/>
      <c r="J99" s="1590"/>
    </row>
    <row r="100" spans="1:14">
      <c r="A100" s="1593" t="s">
        <v>1648</v>
      </c>
      <c r="B100" s="1594"/>
      <c r="C100" s="1590"/>
      <c r="D100" s="1590"/>
      <c r="E100" s="1590"/>
      <c r="F100" s="1590"/>
      <c r="G100" s="1590"/>
      <c r="H100" s="1592" t="s">
        <v>1651</v>
      </c>
      <c r="I100" s="1590"/>
      <c r="J100" s="1590"/>
    </row>
    <row r="101" spans="1:14">
      <c r="A101" s="1595" t="s">
        <v>1649</v>
      </c>
      <c r="B101" s="1595"/>
      <c r="C101" s="1595"/>
      <c r="D101" s="1595"/>
      <c r="E101" s="1595"/>
      <c r="F101" s="1595"/>
      <c r="G101" s="1595"/>
      <c r="H101" s="1596" t="s">
        <v>1659</v>
      </c>
      <c r="I101" s="1595"/>
      <c r="J101" s="1595"/>
      <c r="K101" s="1443"/>
      <c r="L101" s="1443"/>
      <c r="M101" s="1443"/>
      <c r="N101" s="1443"/>
    </row>
    <row r="102" spans="1:14">
      <c r="A102" s="1593" t="s">
        <v>1650</v>
      </c>
      <c r="B102" s="1594"/>
      <c r="C102" s="1594"/>
      <c r="D102" s="1590"/>
      <c r="E102" s="1590"/>
      <c r="F102" s="1590"/>
      <c r="G102" s="1590"/>
      <c r="H102" s="1592" t="s">
        <v>1651</v>
      </c>
      <c r="I102" s="1590"/>
      <c r="J102" s="1590"/>
    </row>
    <row r="103" spans="1:14">
      <c r="A103" s="1466"/>
      <c r="B103" s="1464"/>
      <c r="C103" s="1464"/>
      <c r="D103" s="1464"/>
      <c r="E103" s="1464"/>
      <c r="F103" s="1464"/>
      <c r="G103" s="1464"/>
      <c r="H103" s="1464"/>
      <c r="I103" s="1464"/>
      <c r="J103" s="1464"/>
    </row>
    <row r="104" spans="1:14">
      <c r="A104" s="1459" t="s">
        <v>1675</v>
      </c>
      <c r="B104" s="1459"/>
      <c r="C104" s="1460"/>
      <c r="D104" s="1459"/>
      <c r="E104" s="1460"/>
      <c r="F104" s="1459"/>
      <c r="G104" s="1459"/>
      <c r="H104" s="1459"/>
      <c r="I104" s="1459"/>
      <c r="J104" s="1459"/>
      <c r="K104" s="1459"/>
      <c r="L104" s="1459"/>
      <c r="M104" s="1459"/>
      <c r="N104" s="1459"/>
    </row>
    <row r="105" spans="1:14" s="1428" customFormat="1">
      <c r="A105" s="1597" t="s">
        <v>1676</v>
      </c>
      <c r="B105" s="1598"/>
      <c r="C105" s="1598"/>
      <c r="D105" s="1598"/>
      <c r="E105" s="1598"/>
      <c r="F105" s="1598"/>
      <c r="G105" s="1598"/>
      <c r="H105" s="1599" t="s">
        <v>1596</v>
      </c>
      <c r="I105" s="1598"/>
      <c r="J105" s="1600"/>
      <c r="K105" s="1600"/>
      <c r="L105" s="1600"/>
    </row>
    <row r="106" spans="1:14" s="1428" customFormat="1">
      <c r="A106" s="1597" t="s">
        <v>1667</v>
      </c>
      <c r="B106" s="1598"/>
      <c r="D106" s="1600"/>
      <c r="E106" s="1600"/>
      <c r="F106" s="1600"/>
      <c r="G106" s="1600"/>
      <c r="H106" s="1599" t="s">
        <v>1596</v>
      </c>
      <c r="I106" s="1600"/>
      <c r="J106" s="1600"/>
      <c r="K106" s="1600"/>
      <c r="L106" s="1600"/>
    </row>
    <row r="107" spans="1:14" s="1428" customFormat="1">
      <c r="A107" s="1597" t="s">
        <v>1668</v>
      </c>
      <c r="B107" s="1598"/>
      <c r="D107" s="1600"/>
      <c r="E107" s="1600"/>
      <c r="F107" s="1600"/>
      <c r="G107" s="1600"/>
      <c r="H107" s="1599" t="s">
        <v>1596</v>
      </c>
      <c r="I107" s="1600"/>
      <c r="J107" s="1600"/>
      <c r="K107" s="1600"/>
      <c r="L107" s="1600"/>
    </row>
    <row r="108" spans="1:14" s="1428" customFormat="1">
      <c r="A108" s="1597" t="s">
        <v>1669</v>
      </c>
      <c r="B108" s="1600"/>
      <c r="D108" s="1600"/>
      <c r="E108" s="1600"/>
      <c r="F108" s="1600"/>
      <c r="G108" s="1600"/>
      <c r="H108" s="1599" t="s">
        <v>1596</v>
      </c>
      <c r="I108" s="1600"/>
      <c r="J108" s="1600"/>
      <c r="K108" s="1600"/>
      <c r="L108" s="1600"/>
    </row>
    <row r="109" spans="1:14" s="1428" customFormat="1">
      <c r="A109" s="1597" t="s">
        <v>1670</v>
      </c>
      <c r="B109" s="1598"/>
      <c r="D109" s="1600"/>
      <c r="E109" s="1600"/>
      <c r="F109" s="1600"/>
      <c r="G109" s="1600"/>
      <c r="H109" s="1599" t="s">
        <v>1596</v>
      </c>
      <c r="I109" s="1600"/>
      <c r="J109" s="1600"/>
      <c r="K109" s="1600"/>
      <c r="L109" s="1600"/>
    </row>
    <row r="110" spans="1:14" s="1428" customFormat="1">
      <c r="A110" s="1597" t="s">
        <v>1671</v>
      </c>
      <c r="B110" s="1598"/>
      <c r="D110" s="1600"/>
      <c r="E110" s="1600"/>
      <c r="F110" s="1600"/>
      <c r="G110" s="1600"/>
      <c r="H110" s="1599" t="s">
        <v>1596</v>
      </c>
      <c r="I110" s="1600"/>
      <c r="J110" s="1600"/>
      <c r="K110" s="1600"/>
      <c r="L110" s="1600"/>
    </row>
    <row r="111" spans="1:14" s="1428" customFormat="1">
      <c r="A111" s="1597" t="s">
        <v>1672</v>
      </c>
      <c r="B111" s="1598"/>
      <c r="D111" s="1600"/>
      <c r="E111" s="1600"/>
      <c r="F111" s="1600"/>
      <c r="G111" s="1600"/>
      <c r="H111" s="1599" t="s">
        <v>1596</v>
      </c>
      <c r="I111" s="1600"/>
      <c r="J111" s="1600"/>
      <c r="K111" s="1600"/>
      <c r="L111" s="1600"/>
    </row>
    <row r="112" spans="1:14" s="1428" customFormat="1">
      <c r="A112" s="1597" t="s">
        <v>1677</v>
      </c>
      <c r="B112" s="1598"/>
      <c r="D112" s="1600"/>
      <c r="E112" s="1600"/>
      <c r="F112" s="1600"/>
      <c r="G112" s="1600"/>
      <c r="H112" s="1599" t="s">
        <v>1596</v>
      </c>
      <c r="I112" s="1600"/>
      <c r="J112" s="1600"/>
      <c r="K112" s="1600"/>
      <c r="L112" s="1600"/>
    </row>
    <row r="113" spans="1:23" s="1428" customFormat="1">
      <c r="A113" s="1597" t="s">
        <v>1673</v>
      </c>
      <c r="B113" s="1598"/>
      <c r="D113" s="1600"/>
      <c r="E113" s="1600"/>
      <c r="F113" s="1600"/>
      <c r="G113" s="1600"/>
      <c r="H113" s="1599" t="s">
        <v>1596</v>
      </c>
      <c r="I113" s="1600"/>
      <c r="J113" s="1600"/>
      <c r="K113" s="1600"/>
      <c r="L113" s="1600"/>
    </row>
    <row r="114" spans="1:23" s="1428" customFormat="1">
      <c r="A114" s="1597" t="s">
        <v>1674</v>
      </c>
      <c r="B114" s="1598"/>
      <c r="D114" s="1601"/>
      <c r="E114" s="1601"/>
      <c r="F114" s="1601"/>
      <c r="G114" s="1601"/>
      <c r="H114" s="1599" t="s">
        <v>1596</v>
      </c>
      <c r="I114" s="1601"/>
      <c r="J114" s="1601"/>
      <c r="K114" s="1601"/>
      <c r="L114" s="1601"/>
    </row>
    <row r="115" spans="1:23" s="1428" customFormat="1" ht="14.4" thickBot="1">
      <c r="A115" s="1598"/>
      <c r="B115" s="1598"/>
      <c r="D115" s="1601"/>
      <c r="E115" s="1601"/>
      <c r="F115" s="1601"/>
      <c r="G115" s="1601"/>
      <c r="H115" s="1599"/>
      <c r="I115" s="1601"/>
      <c r="J115" s="1601"/>
      <c r="K115" s="1601"/>
      <c r="L115" s="1601"/>
      <c r="T115" s="1534"/>
      <c r="U115" s="1534"/>
      <c r="V115" s="1534"/>
      <c r="W115" s="1534"/>
    </row>
    <row r="116" spans="1:23" s="1428" customFormat="1">
      <c r="A116" s="2126" t="s">
        <v>1678</v>
      </c>
      <c r="B116" s="2126"/>
      <c r="C116" s="2126"/>
      <c r="D116" s="2126"/>
      <c r="E116" s="2126"/>
      <c r="F116" s="2126"/>
      <c r="G116" s="2126"/>
      <c r="H116" s="2126"/>
      <c r="I116" s="2126"/>
      <c r="J116" s="2126"/>
      <c r="K116" s="2126"/>
      <c r="L116" s="1601"/>
      <c r="P116" s="1503" t="s">
        <v>934</v>
      </c>
      <c r="Q116" s="1504" t="s">
        <v>1179</v>
      </c>
      <c r="R116" s="1504"/>
      <c r="S116" s="1505"/>
      <c r="T116" s="1534"/>
      <c r="U116" s="1534"/>
      <c r="V116" s="1534"/>
      <c r="W116" s="1534"/>
    </row>
    <row r="117" spans="1:23" s="1428" customFormat="1">
      <c r="A117" s="2127" t="s">
        <v>1573</v>
      </c>
      <c r="B117" s="2127"/>
      <c r="C117" s="2127"/>
      <c r="D117" s="2127"/>
      <c r="E117" s="2127"/>
      <c r="F117" s="1603"/>
      <c r="G117" s="1603"/>
      <c r="H117" s="1444" t="s">
        <v>1679</v>
      </c>
      <c r="I117" s="1603"/>
      <c r="J117" s="1603"/>
      <c r="K117" s="1604"/>
      <c r="L117" s="1601"/>
      <c r="P117" s="1506">
        <v>15822.770044313313</v>
      </c>
      <c r="Q117" s="1507">
        <v>395738035</v>
      </c>
      <c r="R117" s="1507"/>
      <c r="S117" s="1508"/>
      <c r="T117" s="1534"/>
      <c r="U117" s="1534"/>
      <c r="V117" s="1534"/>
      <c r="W117" s="1534"/>
    </row>
    <row r="118" spans="1:23" s="1428" customFormat="1">
      <c r="A118" s="1602" t="s">
        <v>1680</v>
      </c>
      <c r="B118" s="1602"/>
      <c r="C118" s="1602"/>
      <c r="D118" s="1602"/>
      <c r="E118" s="1602"/>
      <c r="F118" s="1604"/>
      <c r="G118" s="1604"/>
      <c r="H118" s="1592" t="s">
        <v>1681</v>
      </c>
      <c r="I118" s="1604"/>
      <c r="J118" s="1604"/>
      <c r="K118" s="1604"/>
      <c r="L118" s="1601"/>
      <c r="P118" s="1506">
        <v>21</v>
      </c>
      <c r="Q118" s="1507">
        <v>21</v>
      </c>
      <c r="R118" s="1507"/>
      <c r="S118" s="1508"/>
      <c r="T118" s="1534"/>
      <c r="U118" s="1534"/>
      <c r="V118" s="1534"/>
      <c r="W118" s="1534"/>
    </row>
    <row r="119" spans="1:23" ht="14.4" thickBot="1">
      <c r="C119" s="1534"/>
      <c r="E119" s="1534"/>
      <c r="P119" s="1506">
        <v>750</v>
      </c>
      <c r="Q119" s="1507">
        <v>18844700</v>
      </c>
      <c r="R119" s="1549">
        <f>ROUND(Q119/P119,-1)</f>
        <v>25130</v>
      </c>
      <c r="S119" s="1508"/>
    </row>
    <row r="120" spans="1:23" ht="14.4" thickTop="1">
      <c r="A120" s="1605" t="s">
        <v>1654</v>
      </c>
      <c r="B120" s="1606" t="s">
        <v>386</v>
      </c>
      <c r="C120" s="1607">
        <f>SUM(C124:C147)</f>
        <v>14834</v>
      </c>
      <c r="D120" s="1607">
        <f>SUM(D124:D147)</f>
        <v>6908</v>
      </c>
      <c r="E120" s="1607">
        <f>SUM(E124:E147)</f>
        <v>21742</v>
      </c>
      <c r="F120" s="1607">
        <f>SUM(F124:F147)</f>
        <v>18395.693337185472</v>
      </c>
      <c r="I120" s="1607">
        <v>13167</v>
      </c>
      <c r="J120" s="1607">
        <v>5176</v>
      </c>
      <c r="K120" s="1607">
        <v>18343</v>
      </c>
      <c r="L120" s="1608">
        <v>15821.045589252195</v>
      </c>
      <c r="P120" s="1506"/>
      <c r="Q120" s="1507"/>
      <c r="R120" s="1507"/>
      <c r="S120" s="1508"/>
    </row>
    <row r="121" spans="1:23">
      <c r="A121" s="1605"/>
      <c r="B121" s="1606" t="s">
        <v>384</v>
      </c>
      <c r="C121" s="1607">
        <f>COUNTIF(C124:C147,"&gt;0")</f>
        <v>24</v>
      </c>
      <c r="D121" s="1607">
        <f>COUNTIF(D124:D147,"&gt;0")</f>
        <v>21</v>
      </c>
      <c r="E121" s="1607">
        <f>COUNTIF(E124:E147,"&gt;0")</f>
        <v>24</v>
      </c>
      <c r="F121" s="1607">
        <f>COUNTIF(F124:F147,"&gt;0")</f>
        <v>24</v>
      </c>
      <c r="I121" s="1607">
        <v>21</v>
      </c>
      <c r="J121" s="1607">
        <v>18</v>
      </c>
      <c r="K121" s="1607">
        <v>21</v>
      </c>
      <c r="L121" s="1608">
        <v>21</v>
      </c>
      <c r="P121" s="1551"/>
      <c r="Q121" s="1552"/>
      <c r="R121" s="1553" t="s">
        <v>1410</v>
      </c>
      <c r="S121" s="1508"/>
    </row>
    <row r="122" spans="1:23">
      <c r="A122" s="1605"/>
      <c r="B122" s="1609" t="s">
        <v>383</v>
      </c>
      <c r="C122" s="1610">
        <f>ROUND(C120/C121,-1)</f>
        <v>620</v>
      </c>
      <c r="D122" s="1610">
        <f>ROUND(D120/D121,-1)</f>
        <v>330</v>
      </c>
      <c r="E122" s="1610">
        <f>ROUND(E120/E121,-1)</f>
        <v>910</v>
      </c>
      <c r="F122" s="1610">
        <f>ROUND(F120/F121,-1)</f>
        <v>770</v>
      </c>
      <c r="I122" s="1610">
        <v>630</v>
      </c>
      <c r="J122" s="1610">
        <v>290</v>
      </c>
      <c r="K122" s="1610">
        <v>870</v>
      </c>
      <c r="L122" s="1611">
        <v>750</v>
      </c>
      <c r="P122" s="1506"/>
      <c r="Q122" s="1507"/>
      <c r="R122" s="1507"/>
      <c r="S122" s="1508"/>
    </row>
    <row r="123" spans="1:23" ht="27.6">
      <c r="A123" s="1605"/>
      <c r="B123" s="1554" t="s">
        <v>0</v>
      </c>
      <c r="C123" s="1612" t="s">
        <v>81</v>
      </c>
      <c r="D123" s="1613" t="s">
        <v>71</v>
      </c>
      <c r="E123" s="1613" t="s">
        <v>4</v>
      </c>
      <c r="F123" s="1614" t="s">
        <v>933</v>
      </c>
      <c r="H123" s="1554" t="s">
        <v>0</v>
      </c>
      <c r="I123" s="1612" t="s">
        <v>81</v>
      </c>
      <c r="J123" s="1613" t="s">
        <v>71</v>
      </c>
      <c r="K123" s="1613" t="s">
        <v>4</v>
      </c>
      <c r="L123" s="1614" t="s">
        <v>933</v>
      </c>
      <c r="P123" s="1506">
        <f>P117-P121</f>
        <v>15822.770044313313</v>
      </c>
      <c r="Q123" s="1507">
        <f>Q117-Q121</f>
        <v>395738035</v>
      </c>
      <c r="R123" s="1507"/>
      <c r="S123" s="1508"/>
    </row>
    <row r="124" spans="1:23">
      <c r="A124" s="1605"/>
      <c r="B124" s="1013" t="s">
        <v>839</v>
      </c>
      <c r="C124" s="1437">
        <v>443</v>
      </c>
      <c r="D124" s="1437">
        <v>202</v>
      </c>
      <c r="E124" s="1437">
        <v>645</v>
      </c>
      <c r="F124" s="1615">
        <v>566.17889538399515</v>
      </c>
      <c r="H124" s="1011" t="s">
        <v>839</v>
      </c>
      <c r="I124" s="1437">
        <v>443</v>
      </c>
      <c r="J124" s="1437">
        <v>184</v>
      </c>
      <c r="K124" s="1437">
        <v>627</v>
      </c>
      <c r="L124" s="1615">
        <v>548.76046966731894</v>
      </c>
      <c r="P124" s="1506">
        <v>21</v>
      </c>
      <c r="Q124" s="1507">
        <v>21</v>
      </c>
      <c r="R124" s="1507"/>
      <c r="S124" s="1508"/>
    </row>
    <row r="125" spans="1:23">
      <c r="A125" s="1605"/>
      <c r="B125" s="1013" t="s">
        <v>1138</v>
      </c>
      <c r="C125" s="1437">
        <v>667</v>
      </c>
      <c r="D125" s="1437">
        <v>124</v>
      </c>
      <c r="E125" s="1437">
        <v>791</v>
      </c>
      <c r="F125" s="1615">
        <v>710.58016724231959</v>
      </c>
      <c r="H125" s="1011" t="s">
        <v>1138</v>
      </c>
      <c r="I125" s="1437">
        <v>661</v>
      </c>
      <c r="J125" s="1437">
        <v>62</v>
      </c>
      <c r="K125" s="1437">
        <v>723</v>
      </c>
      <c r="L125" s="1615">
        <v>714.42992317781523</v>
      </c>
      <c r="P125" s="1506">
        <f>ROUND(P123/P124,-1)</f>
        <v>750</v>
      </c>
      <c r="Q125" s="1507">
        <f>ROUND(Q123/Q124,-2)</f>
        <v>18844700</v>
      </c>
      <c r="R125" s="1507">
        <f>ROUND(Q125/P125,-1)</f>
        <v>25130</v>
      </c>
      <c r="S125" s="1508" t="s">
        <v>1587</v>
      </c>
      <c r="T125" s="1534" t="s">
        <v>1585</v>
      </c>
    </row>
    <row r="126" spans="1:23" ht="14.4" thickBot="1">
      <c r="A126" s="1605"/>
      <c r="B126" s="1011" t="s">
        <v>1025</v>
      </c>
      <c r="C126" s="1437">
        <v>775</v>
      </c>
      <c r="D126" s="1437">
        <v>7</v>
      </c>
      <c r="E126" s="1437">
        <v>782</v>
      </c>
      <c r="F126" s="1615">
        <v>697.49692014783295</v>
      </c>
      <c r="H126" s="1011" t="s">
        <v>717</v>
      </c>
      <c r="I126" s="1437">
        <v>775</v>
      </c>
      <c r="J126" s="1437">
        <v>8</v>
      </c>
      <c r="K126" s="1437">
        <v>783</v>
      </c>
      <c r="L126" s="1615">
        <v>636.91677274062465</v>
      </c>
      <c r="P126" s="1512"/>
      <c r="Q126" s="1513"/>
      <c r="R126" s="1513"/>
      <c r="S126" s="1514"/>
      <c r="T126" s="1534">
        <f>BU</f>
        <v>33910</v>
      </c>
      <c r="U126" s="1534" t="s">
        <v>1586</v>
      </c>
    </row>
    <row r="127" spans="1:23">
      <c r="A127" s="1605"/>
      <c r="B127" s="1011" t="s">
        <v>466</v>
      </c>
      <c r="C127" s="1437">
        <v>384</v>
      </c>
      <c r="D127" s="1437">
        <v>414</v>
      </c>
      <c r="E127" s="1437">
        <v>798</v>
      </c>
      <c r="F127" s="1615">
        <v>533.54952084755621</v>
      </c>
      <c r="H127" s="1011" t="s">
        <v>1305</v>
      </c>
      <c r="I127" s="1437">
        <v>401</v>
      </c>
      <c r="J127" s="1437">
        <v>424</v>
      </c>
      <c r="K127" s="1437">
        <v>825</v>
      </c>
      <c r="L127" s="1615">
        <v>565.04393194706995</v>
      </c>
    </row>
    <row r="128" spans="1:23">
      <c r="A128" s="1605"/>
      <c r="B128" s="1011" t="s">
        <v>1026</v>
      </c>
      <c r="C128" s="1437">
        <v>271</v>
      </c>
      <c r="D128" s="1437">
        <v>514</v>
      </c>
      <c r="E128" s="1437">
        <v>785</v>
      </c>
      <c r="F128" s="1615">
        <v>455.25257218718883</v>
      </c>
      <c r="H128" s="1011" t="s">
        <v>1328</v>
      </c>
      <c r="I128" s="1437">
        <v>271</v>
      </c>
      <c r="J128" s="1437">
        <v>514</v>
      </c>
      <c r="K128" s="1437">
        <v>785</v>
      </c>
      <c r="L128" s="1615">
        <v>455.25257218718883</v>
      </c>
      <c r="M128" s="1534" t="s">
        <v>1658</v>
      </c>
    </row>
    <row r="129" spans="1:12">
      <c r="A129" s="1605"/>
      <c r="B129" s="1013" t="s">
        <v>1027</v>
      </c>
      <c r="C129" s="1437">
        <v>1126</v>
      </c>
      <c r="D129" s="1437">
        <v>257</v>
      </c>
      <c r="E129" s="1437">
        <v>1383</v>
      </c>
      <c r="F129" s="1615">
        <v>1295.5532763532763</v>
      </c>
      <c r="H129" s="1011" t="s">
        <v>1027</v>
      </c>
      <c r="I129" s="1437">
        <v>1137</v>
      </c>
      <c r="J129" s="1437">
        <v>246</v>
      </c>
      <c r="K129" s="1437">
        <v>1383</v>
      </c>
      <c r="L129" s="1615">
        <v>1304.8672566371681</v>
      </c>
    </row>
    <row r="130" spans="1:12">
      <c r="A130" s="1605"/>
      <c r="B130" s="1013" t="s">
        <v>1313</v>
      </c>
      <c r="C130" s="1437">
        <v>400</v>
      </c>
      <c r="D130" s="1437">
        <v>43</v>
      </c>
      <c r="E130" s="1437">
        <v>443</v>
      </c>
      <c r="F130" s="1615">
        <v>403.84795549374132</v>
      </c>
      <c r="H130" s="1011" t="s">
        <v>1313</v>
      </c>
      <c r="I130" s="1437">
        <v>405</v>
      </c>
      <c r="J130" s="1437">
        <v>43</v>
      </c>
      <c r="K130" s="1437">
        <v>448</v>
      </c>
      <c r="L130" s="1615">
        <v>407.69467202141902</v>
      </c>
    </row>
    <row r="131" spans="1:12">
      <c r="A131" s="1605"/>
      <c r="B131" s="1013" t="s">
        <v>1314</v>
      </c>
      <c r="C131" s="1437">
        <v>425</v>
      </c>
      <c r="D131" s="1437">
        <v>0</v>
      </c>
      <c r="E131" s="1437">
        <v>425</v>
      </c>
      <c r="F131" s="1615">
        <v>449.09179165530406</v>
      </c>
      <c r="H131" s="1011" t="s">
        <v>1623</v>
      </c>
      <c r="I131" s="1437">
        <v>425</v>
      </c>
      <c r="J131" s="1437">
        <v>0</v>
      </c>
      <c r="K131" s="1437">
        <v>425</v>
      </c>
      <c r="L131" s="1615">
        <v>452.39712560773626</v>
      </c>
    </row>
    <row r="132" spans="1:12">
      <c r="A132" s="1605"/>
      <c r="B132" s="1013" t="s">
        <v>679</v>
      </c>
      <c r="C132" s="1437">
        <v>275</v>
      </c>
      <c r="D132" s="1437">
        <v>20</v>
      </c>
      <c r="E132" s="1437">
        <v>295</v>
      </c>
      <c r="F132" s="1615">
        <v>292.27276539973786</v>
      </c>
      <c r="H132" s="1011" t="s">
        <v>679</v>
      </c>
      <c r="I132" s="1437">
        <v>270</v>
      </c>
      <c r="J132" s="1437">
        <v>33</v>
      </c>
      <c r="K132" s="1437">
        <v>303</v>
      </c>
      <c r="L132" s="1615">
        <v>295.91131176323051</v>
      </c>
    </row>
    <row r="133" spans="1:12">
      <c r="A133" s="1605"/>
      <c r="B133" s="1013" t="s">
        <v>1135</v>
      </c>
      <c r="C133" s="1437">
        <v>332</v>
      </c>
      <c r="D133" s="1437">
        <v>534</v>
      </c>
      <c r="E133" s="1437">
        <v>866</v>
      </c>
      <c r="F133" s="1615">
        <v>522.30631661778386</v>
      </c>
      <c r="H133" s="1011" t="s">
        <v>1135</v>
      </c>
      <c r="I133" s="1437">
        <v>254</v>
      </c>
      <c r="J133" s="1437">
        <v>595</v>
      </c>
      <c r="K133" s="1437">
        <v>849</v>
      </c>
      <c r="L133" s="1615">
        <v>603.29186765405257</v>
      </c>
    </row>
    <row r="134" spans="1:12">
      <c r="A134" s="1605"/>
      <c r="B134" s="1011" t="s">
        <v>634</v>
      </c>
      <c r="C134" s="1437">
        <v>234</v>
      </c>
      <c r="D134" s="1437">
        <v>64</v>
      </c>
      <c r="E134" s="1437">
        <v>298</v>
      </c>
      <c r="F134" s="1615">
        <v>275.35593939393937</v>
      </c>
      <c r="H134" s="1011" t="s">
        <v>1409</v>
      </c>
      <c r="I134" s="1437">
        <v>243</v>
      </c>
      <c r="J134" s="1437">
        <v>57</v>
      </c>
      <c r="K134" s="1437">
        <v>300</v>
      </c>
      <c r="L134" s="1615">
        <v>261.55461538461537</v>
      </c>
    </row>
    <row r="135" spans="1:12">
      <c r="A135" s="1605"/>
      <c r="B135" s="1013" t="s">
        <v>1321</v>
      </c>
      <c r="C135" s="1437">
        <v>317</v>
      </c>
      <c r="D135" s="1437">
        <v>100</v>
      </c>
      <c r="E135" s="1437">
        <v>417</v>
      </c>
      <c r="F135" s="1615">
        <v>385.80227692307693</v>
      </c>
      <c r="H135" s="1011" t="s">
        <v>1626</v>
      </c>
      <c r="I135" s="1437">
        <v>320</v>
      </c>
      <c r="J135" s="1437">
        <v>94</v>
      </c>
      <c r="K135" s="1437">
        <v>414</v>
      </c>
      <c r="L135" s="1615">
        <v>388.80563380281689</v>
      </c>
    </row>
    <row r="136" spans="1:12">
      <c r="A136" s="1605"/>
      <c r="B136" s="1011" t="s">
        <v>1143</v>
      </c>
      <c r="C136" s="1437">
        <v>595</v>
      </c>
      <c r="D136" s="1437">
        <v>928</v>
      </c>
      <c r="E136" s="1437">
        <v>1523</v>
      </c>
      <c r="F136" s="1615">
        <v>1166.2480483996878</v>
      </c>
      <c r="H136" s="1011" t="s">
        <v>1307</v>
      </c>
      <c r="I136" s="1437">
        <v>595</v>
      </c>
      <c r="J136" s="1437">
        <v>944</v>
      </c>
      <c r="K136" s="1437">
        <v>1539</v>
      </c>
      <c r="L136" s="1615">
        <v>1231.8163544106167</v>
      </c>
    </row>
    <row r="137" spans="1:12">
      <c r="A137" s="1605"/>
      <c r="B137" s="1013" t="s">
        <v>1336</v>
      </c>
      <c r="C137" s="1437">
        <v>302</v>
      </c>
      <c r="D137" s="1437">
        <v>0</v>
      </c>
      <c r="E137" s="1437">
        <v>302</v>
      </c>
      <c r="F137" s="1615">
        <v>277.0807894386532</v>
      </c>
      <c r="H137" s="1011" t="s">
        <v>1627</v>
      </c>
      <c r="I137" s="1437">
        <v>302</v>
      </c>
      <c r="J137" s="1437">
        <v>0</v>
      </c>
      <c r="K137" s="1437">
        <v>302</v>
      </c>
      <c r="L137" s="1615">
        <v>277.74112009458617</v>
      </c>
    </row>
    <row r="138" spans="1:12">
      <c r="A138" s="1605"/>
      <c r="B138" s="1441" t="s">
        <v>1308</v>
      </c>
      <c r="C138" s="1442">
        <v>7</v>
      </c>
      <c r="D138" s="1442">
        <v>1110</v>
      </c>
      <c r="E138" s="1442">
        <v>1117</v>
      </c>
      <c r="F138" s="1616">
        <v>545.80351941747574</v>
      </c>
      <c r="G138" s="1443"/>
      <c r="H138" s="1443"/>
      <c r="I138" s="1443"/>
      <c r="J138" s="1443"/>
      <c r="K138" s="1443"/>
      <c r="L138" s="1443"/>
    </row>
    <row r="139" spans="1:12">
      <c r="A139" s="1605"/>
      <c r="B139" s="1441" t="s">
        <v>1410</v>
      </c>
      <c r="C139" s="1442">
        <v>1299</v>
      </c>
      <c r="D139" s="1442">
        <v>566</v>
      </c>
      <c r="E139" s="1442">
        <v>1865</v>
      </c>
      <c r="F139" s="1616">
        <v>1670.4760076775433</v>
      </c>
      <c r="G139" s="1443"/>
      <c r="H139" s="1443"/>
      <c r="I139" s="1443"/>
      <c r="J139" s="1443"/>
      <c r="K139" s="1443"/>
      <c r="L139" s="1443"/>
    </row>
    <row r="140" spans="1:12">
      <c r="A140" s="1605"/>
      <c r="B140" s="1011" t="s">
        <v>1136</v>
      </c>
      <c r="C140" s="1437">
        <v>255</v>
      </c>
      <c r="D140" s="1437">
        <v>11</v>
      </c>
      <c r="E140" s="1437">
        <v>266</v>
      </c>
      <c r="F140" s="1615">
        <v>271.70275510204084</v>
      </c>
      <c r="H140" s="1011" t="s">
        <v>961</v>
      </c>
      <c r="I140" s="1437">
        <v>251</v>
      </c>
      <c r="J140" s="1437">
        <v>13</v>
      </c>
      <c r="K140" s="1437">
        <v>264</v>
      </c>
      <c r="L140" s="1615">
        <v>274.93732673267328</v>
      </c>
    </row>
    <row r="141" spans="1:12">
      <c r="A141" s="1605"/>
      <c r="B141" s="1013" t="s">
        <v>553</v>
      </c>
      <c r="C141" s="1437">
        <v>617</v>
      </c>
      <c r="D141" s="1437">
        <v>858</v>
      </c>
      <c r="E141" s="1437">
        <v>1475</v>
      </c>
      <c r="F141" s="1615">
        <v>939.4190774950622</v>
      </c>
      <c r="H141" s="1011" t="s">
        <v>553</v>
      </c>
      <c r="I141" s="1437">
        <v>625</v>
      </c>
      <c r="J141" s="1437">
        <v>850</v>
      </c>
      <c r="K141" s="1437">
        <v>1475</v>
      </c>
      <c r="L141" s="1615">
        <v>943.38354159630751</v>
      </c>
    </row>
    <row r="142" spans="1:12">
      <c r="A142" s="1605"/>
      <c r="B142" s="1013" t="s">
        <v>1310</v>
      </c>
      <c r="C142" s="1437">
        <v>894</v>
      </c>
      <c r="D142" s="1437">
        <v>46</v>
      </c>
      <c r="E142" s="1437">
        <v>940</v>
      </c>
      <c r="F142" s="1615">
        <v>925.31562932226836</v>
      </c>
      <c r="H142" s="1011" t="s">
        <v>1310</v>
      </c>
      <c r="I142" s="1437">
        <v>894</v>
      </c>
      <c r="J142" s="1437">
        <v>46</v>
      </c>
      <c r="K142" s="1437">
        <v>940</v>
      </c>
      <c r="L142" s="1615">
        <v>926.22466487935662</v>
      </c>
    </row>
    <row r="143" spans="1:12">
      <c r="A143" s="1605"/>
      <c r="B143" s="1011" t="s">
        <v>1002</v>
      </c>
      <c r="C143" s="1437">
        <v>709</v>
      </c>
      <c r="D143" s="1437">
        <v>707</v>
      </c>
      <c r="E143" s="1437">
        <v>1416</v>
      </c>
      <c r="F143" s="1615">
        <v>1346.1269327140501</v>
      </c>
      <c r="H143" s="1011" t="s">
        <v>1411</v>
      </c>
      <c r="I143" s="1437">
        <v>689</v>
      </c>
      <c r="J143" s="1437">
        <v>731</v>
      </c>
      <c r="K143" s="1437">
        <v>1420</v>
      </c>
      <c r="L143" s="1615">
        <v>1335.5273982664903</v>
      </c>
    </row>
    <row r="144" spans="1:12">
      <c r="A144" s="1605"/>
      <c r="B144" s="1013" t="s">
        <v>707</v>
      </c>
      <c r="C144" s="1437">
        <v>566</v>
      </c>
      <c r="D144" s="1437">
        <v>35</v>
      </c>
      <c r="E144" s="1437">
        <v>601</v>
      </c>
      <c r="F144" s="1615">
        <v>575.37089858314687</v>
      </c>
      <c r="H144" s="1011" t="s">
        <v>707</v>
      </c>
      <c r="I144" s="1437">
        <v>552</v>
      </c>
      <c r="J144" s="1437">
        <v>54</v>
      </c>
      <c r="K144" s="1437">
        <v>606</v>
      </c>
      <c r="L144" s="1615">
        <v>580.02749813571961</v>
      </c>
    </row>
    <row r="145" spans="1:12">
      <c r="A145" s="1605"/>
      <c r="B145" s="1013" t="s">
        <v>620</v>
      </c>
      <c r="C145" s="1437">
        <v>3452</v>
      </c>
      <c r="D145" s="1437">
        <v>0</v>
      </c>
      <c r="E145" s="1437">
        <v>3452</v>
      </c>
      <c r="F145" s="1615">
        <v>3452</v>
      </c>
      <c r="H145" s="1011" t="s">
        <v>620</v>
      </c>
      <c r="I145" s="1437">
        <v>3452</v>
      </c>
      <c r="J145" s="1437">
        <v>0</v>
      </c>
      <c r="K145" s="1437">
        <v>3452</v>
      </c>
      <c r="L145" s="1615">
        <v>3279.0541082164327</v>
      </c>
    </row>
    <row r="146" spans="1:12">
      <c r="A146" s="1605"/>
      <c r="B146" s="1441" t="s">
        <v>920</v>
      </c>
      <c r="C146" s="1442">
        <v>225</v>
      </c>
      <c r="D146" s="1442">
        <v>151</v>
      </c>
      <c r="E146" s="1442">
        <v>376</v>
      </c>
      <c r="F146" s="1616">
        <v>278.22134387351781</v>
      </c>
      <c r="G146" s="1443"/>
      <c r="H146" s="1443"/>
      <c r="I146" s="1443"/>
      <c r="J146" s="1443"/>
      <c r="K146" s="1443"/>
      <c r="L146" s="1443"/>
    </row>
    <row r="147" spans="1:12" ht="27.6">
      <c r="A147" s="1605"/>
      <c r="B147" s="1457" t="s">
        <v>708</v>
      </c>
      <c r="C147" s="1439">
        <v>264</v>
      </c>
      <c r="D147" s="1439">
        <v>217</v>
      </c>
      <c r="E147" s="1439">
        <v>481</v>
      </c>
      <c r="F147" s="1617">
        <v>360.6399375162718</v>
      </c>
      <c r="H147" s="1011" t="s">
        <v>708</v>
      </c>
      <c r="I147" s="1437">
        <v>202</v>
      </c>
      <c r="J147" s="1437">
        <v>278</v>
      </c>
      <c r="K147" s="1437">
        <v>480</v>
      </c>
      <c r="L147" s="1615">
        <v>337.4074243289549</v>
      </c>
    </row>
    <row r="148" spans="1:12">
      <c r="C148" s="1534"/>
      <c r="D148" s="1428"/>
      <c r="E148" s="1534"/>
      <c r="F148" s="1428"/>
    </row>
    <row r="149" spans="1:12">
      <c r="A149" s="1605" t="s">
        <v>1655</v>
      </c>
      <c r="B149" s="1606" t="s">
        <v>386</v>
      </c>
      <c r="C149" s="1607">
        <f>SUM(C153:C176)</f>
        <v>13303</v>
      </c>
      <c r="D149" s="1607">
        <f>SUM(D153:D176)</f>
        <v>5081</v>
      </c>
      <c r="E149" s="1607">
        <f>SUM(E153:E176)</f>
        <v>18384</v>
      </c>
      <c r="F149" s="1607">
        <f>SUM(F153:F176)</f>
        <v>15901.192466216935</v>
      </c>
      <c r="I149" s="1607">
        <v>13167</v>
      </c>
      <c r="J149" s="1607">
        <v>5176</v>
      </c>
      <c r="K149" s="1607">
        <v>18343</v>
      </c>
      <c r="L149" s="1608">
        <v>15821.045589252195</v>
      </c>
    </row>
    <row r="150" spans="1:12">
      <c r="A150" s="1605">
        <v>3</v>
      </c>
      <c r="B150" s="1606" t="s">
        <v>384</v>
      </c>
      <c r="C150" s="1607">
        <f>COUNTIF(C153:C176,"&gt;0")</f>
        <v>21</v>
      </c>
      <c r="D150" s="1607">
        <f>COUNTIF(D153:D176,"&gt;0")</f>
        <v>18</v>
      </c>
      <c r="E150" s="1607">
        <f>COUNTIF(E153:E176,"&gt;0")</f>
        <v>21</v>
      </c>
      <c r="F150" s="1607">
        <f>COUNTIF(F153:F176,"&gt;0")</f>
        <v>21</v>
      </c>
      <c r="I150" s="1607">
        <v>21</v>
      </c>
      <c r="J150" s="1607">
        <v>18</v>
      </c>
      <c r="K150" s="1607">
        <v>21</v>
      </c>
      <c r="L150" s="1608">
        <v>21</v>
      </c>
    </row>
    <row r="151" spans="1:12">
      <c r="A151" s="1605" t="s">
        <v>1656</v>
      </c>
      <c r="B151" s="1609" t="s">
        <v>383</v>
      </c>
      <c r="C151" s="1610">
        <f>ROUND(C149/C150,-1)</f>
        <v>630</v>
      </c>
      <c r="D151" s="1610">
        <f>ROUND(D149/D150,-1)</f>
        <v>280</v>
      </c>
      <c r="E151" s="1610">
        <f>ROUND(E149/E150,-1)</f>
        <v>880</v>
      </c>
      <c r="F151" s="1610">
        <f>ROUND(F149/F150,-1)</f>
        <v>760</v>
      </c>
      <c r="I151" s="1610">
        <v>630</v>
      </c>
      <c r="J151" s="1610">
        <v>290</v>
      </c>
      <c r="K151" s="1610">
        <v>870</v>
      </c>
      <c r="L151" s="1611">
        <v>750</v>
      </c>
    </row>
    <row r="152" spans="1:12" ht="27.6">
      <c r="A152" s="1605" t="s">
        <v>1657</v>
      </c>
      <c r="B152" s="1554" t="s">
        <v>0</v>
      </c>
      <c r="C152" s="1612" t="s">
        <v>81</v>
      </c>
      <c r="D152" s="1613" t="s">
        <v>71</v>
      </c>
      <c r="E152" s="1613" t="s">
        <v>4</v>
      </c>
      <c r="F152" s="1614" t="s">
        <v>933</v>
      </c>
      <c r="H152" s="1554" t="s">
        <v>0</v>
      </c>
      <c r="I152" s="1612" t="s">
        <v>81</v>
      </c>
      <c r="J152" s="1613" t="s">
        <v>71</v>
      </c>
      <c r="K152" s="1613" t="s">
        <v>4</v>
      </c>
      <c r="L152" s="1614" t="s">
        <v>933</v>
      </c>
    </row>
    <row r="153" spans="1:12">
      <c r="A153" s="1605"/>
      <c r="B153" s="1013" t="s">
        <v>839</v>
      </c>
      <c r="C153" s="1437">
        <v>443</v>
      </c>
      <c r="D153" s="1437">
        <v>202</v>
      </c>
      <c r="E153" s="1437">
        <v>645</v>
      </c>
      <c r="F153" s="1615">
        <v>566.17889538399515</v>
      </c>
      <c r="H153" s="1011" t="s">
        <v>839</v>
      </c>
      <c r="I153" s="1437">
        <v>443</v>
      </c>
      <c r="J153" s="1437">
        <v>184</v>
      </c>
      <c r="K153" s="1437">
        <v>627</v>
      </c>
      <c r="L153" s="1615">
        <v>548.76046966731894</v>
      </c>
    </row>
    <row r="154" spans="1:12">
      <c r="A154" s="1605"/>
      <c r="B154" s="1013" t="s">
        <v>1138</v>
      </c>
      <c r="C154" s="1437">
        <v>667</v>
      </c>
      <c r="D154" s="1437">
        <v>124</v>
      </c>
      <c r="E154" s="1437">
        <v>791</v>
      </c>
      <c r="F154" s="1615">
        <v>710.58016724231959</v>
      </c>
      <c r="H154" s="1011" t="s">
        <v>1138</v>
      </c>
      <c r="I154" s="1437">
        <v>661</v>
      </c>
      <c r="J154" s="1437">
        <v>62</v>
      </c>
      <c r="K154" s="1437">
        <v>723</v>
      </c>
      <c r="L154" s="1615">
        <v>714.42992317781523</v>
      </c>
    </row>
    <row r="155" spans="1:12">
      <c r="A155" s="1605"/>
      <c r="B155" s="1011" t="s">
        <v>1025</v>
      </c>
      <c r="C155" s="1437">
        <v>775</v>
      </c>
      <c r="D155" s="1437">
        <v>7</v>
      </c>
      <c r="E155" s="1437">
        <v>782</v>
      </c>
      <c r="F155" s="1615">
        <v>697.49692014783295</v>
      </c>
      <c r="H155" s="1011" t="s">
        <v>717</v>
      </c>
      <c r="I155" s="1437">
        <v>775</v>
      </c>
      <c r="J155" s="1437">
        <v>8</v>
      </c>
      <c r="K155" s="1437">
        <v>783</v>
      </c>
      <c r="L155" s="1615">
        <v>636.91677274062465</v>
      </c>
    </row>
    <row r="156" spans="1:12">
      <c r="A156" s="1605"/>
      <c r="B156" s="1011" t="s">
        <v>466</v>
      </c>
      <c r="C156" s="1437">
        <v>384</v>
      </c>
      <c r="D156" s="1437">
        <v>414</v>
      </c>
      <c r="E156" s="1437">
        <v>798</v>
      </c>
      <c r="F156" s="1615">
        <v>533.54952084755621</v>
      </c>
      <c r="H156" s="1011" t="s">
        <v>1305</v>
      </c>
      <c r="I156" s="1437">
        <v>401</v>
      </c>
      <c r="J156" s="1437">
        <v>424</v>
      </c>
      <c r="K156" s="1437">
        <v>825</v>
      </c>
      <c r="L156" s="1615">
        <v>565.04393194706995</v>
      </c>
    </row>
    <row r="157" spans="1:12">
      <c r="A157" s="1605"/>
      <c r="B157" s="1011" t="s">
        <v>1026</v>
      </c>
      <c r="C157" s="1437">
        <v>271</v>
      </c>
      <c r="D157" s="1437">
        <v>514</v>
      </c>
      <c r="E157" s="1437">
        <v>785</v>
      </c>
      <c r="F157" s="1615">
        <v>455.25257218718883</v>
      </c>
      <c r="H157" s="1011" t="s">
        <v>1328</v>
      </c>
      <c r="I157" s="1437">
        <v>271</v>
      </c>
      <c r="J157" s="1437">
        <v>514</v>
      </c>
      <c r="K157" s="1437">
        <v>785</v>
      </c>
      <c r="L157" s="1615">
        <v>455.25257218718883</v>
      </c>
    </row>
    <row r="158" spans="1:12">
      <c r="A158" s="1605"/>
      <c r="B158" s="1013" t="s">
        <v>1027</v>
      </c>
      <c r="C158" s="1437">
        <v>1126</v>
      </c>
      <c r="D158" s="1437">
        <v>257</v>
      </c>
      <c r="E158" s="1437">
        <v>1383</v>
      </c>
      <c r="F158" s="1615">
        <v>1295.5532763532763</v>
      </c>
      <c r="H158" s="1011" t="s">
        <v>1027</v>
      </c>
      <c r="I158" s="1437">
        <v>1137</v>
      </c>
      <c r="J158" s="1437">
        <v>246</v>
      </c>
      <c r="K158" s="1437">
        <v>1383</v>
      </c>
      <c r="L158" s="1615">
        <v>1304.8672566371681</v>
      </c>
    </row>
    <row r="159" spans="1:12">
      <c r="A159" s="1605"/>
      <c r="B159" s="1013" t="s">
        <v>1313</v>
      </c>
      <c r="C159" s="1437">
        <v>400</v>
      </c>
      <c r="D159" s="1437">
        <v>43</v>
      </c>
      <c r="E159" s="1437">
        <v>443</v>
      </c>
      <c r="F159" s="1615">
        <v>403.84795549374132</v>
      </c>
      <c r="H159" s="1011" t="s">
        <v>1313</v>
      </c>
      <c r="I159" s="1437">
        <v>405</v>
      </c>
      <c r="J159" s="1437">
        <v>43</v>
      </c>
      <c r="K159" s="1437">
        <v>448</v>
      </c>
      <c r="L159" s="1615">
        <v>407.69467202141902</v>
      </c>
    </row>
    <row r="160" spans="1:12">
      <c r="A160" s="1605"/>
      <c r="B160" s="1013" t="s">
        <v>1314</v>
      </c>
      <c r="C160" s="1437">
        <v>425</v>
      </c>
      <c r="D160" s="1437">
        <v>0</v>
      </c>
      <c r="E160" s="1437">
        <v>425</v>
      </c>
      <c r="F160" s="1615">
        <v>449.09179165530406</v>
      </c>
      <c r="H160" s="1011" t="s">
        <v>1623</v>
      </c>
      <c r="I160" s="1437">
        <v>425</v>
      </c>
      <c r="J160" s="1437">
        <v>0</v>
      </c>
      <c r="K160" s="1437">
        <v>425</v>
      </c>
      <c r="L160" s="1615">
        <v>452.39712560773626</v>
      </c>
    </row>
    <row r="161" spans="1:12">
      <c r="A161" s="1605"/>
      <c r="B161" s="1013" t="s">
        <v>679</v>
      </c>
      <c r="C161" s="1437">
        <v>275</v>
      </c>
      <c r="D161" s="1437">
        <v>20</v>
      </c>
      <c r="E161" s="1437">
        <v>295</v>
      </c>
      <c r="F161" s="1615">
        <v>292.27276539973786</v>
      </c>
      <c r="H161" s="1011" t="s">
        <v>679</v>
      </c>
      <c r="I161" s="1437">
        <v>270</v>
      </c>
      <c r="J161" s="1437">
        <v>33</v>
      </c>
      <c r="K161" s="1437">
        <v>303</v>
      </c>
      <c r="L161" s="1615">
        <v>295.91131176323051</v>
      </c>
    </row>
    <row r="162" spans="1:12">
      <c r="A162" s="1605"/>
      <c r="B162" s="1013" t="s">
        <v>1135</v>
      </c>
      <c r="C162" s="1437">
        <v>332</v>
      </c>
      <c r="D162" s="1437">
        <v>534</v>
      </c>
      <c r="E162" s="1437">
        <v>866</v>
      </c>
      <c r="F162" s="1615">
        <v>522.30631661778386</v>
      </c>
      <c r="H162" s="1011" t="s">
        <v>1135</v>
      </c>
      <c r="I162" s="1437">
        <v>254</v>
      </c>
      <c r="J162" s="1437">
        <v>595</v>
      </c>
      <c r="K162" s="1437">
        <v>849</v>
      </c>
      <c r="L162" s="1615">
        <v>603.29186765405257</v>
      </c>
    </row>
    <row r="163" spans="1:12">
      <c r="A163" s="1605"/>
      <c r="B163" s="1011" t="s">
        <v>634</v>
      </c>
      <c r="C163" s="1437">
        <v>234</v>
      </c>
      <c r="D163" s="1437">
        <v>64</v>
      </c>
      <c r="E163" s="1437">
        <v>298</v>
      </c>
      <c r="F163" s="1615">
        <v>275.35593939393937</v>
      </c>
      <c r="H163" s="1011" t="s">
        <v>1409</v>
      </c>
      <c r="I163" s="1437">
        <v>243</v>
      </c>
      <c r="J163" s="1437">
        <v>57</v>
      </c>
      <c r="K163" s="1437">
        <v>300</v>
      </c>
      <c r="L163" s="1615">
        <v>261.55461538461537</v>
      </c>
    </row>
    <row r="164" spans="1:12">
      <c r="A164" s="1605"/>
      <c r="B164" s="1013" t="s">
        <v>1321</v>
      </c>
      <c r="C164" s="1437">
        <v>317</v>
      </c>
      <c r="D164" s="1437">
        <v>100</v>
      </c>
      <c r="E164" s="1437">
        <v>417</v>
      </c>
      <c r="F164" s="1615">
        <v>385.80227692307693</v>
      </c>
      <c r="H164" s="1011" t="s">
        <v>1626</v>
      </c>
      <c r="I164" s="1437">
        <v>320</v>
      </c>
      <c r="J164" s="1437">
        <v>94</v>
      </c>
      <c r="K164" s="1437">
        <v>414</v>
      </c>
      <c r="L164" s="1615">
        <v>388.80563380281689</v>
      </c>
    </row>
    <row r="165" spans="1:12">
      <c r="A165" s="1605"/>
      <c r="B165" s="1011" t="s">
        <v>1143</v>
      </c>
      <c r="C165" s="1437">
        <v>595</v>
      </c>
      <c r="D165" s="1437">
        <v>928</v>
      </c>
      <c r="E165" s="1437">
        <v>1523</v>
      </c>
      <c r="F165" s="1615">
        <v>1166.2480483996878</v>
      </c>
      <c r="H165" s="1011" t="s">
        <v>1307</v>
      </c>
      <c r="I165" s="1437">
        <v>595</v>
      </c>
      <c r="J165" s="1437">
        <v>944</v>
      </c>
      <c r="K165" s="1437">
        <v>1539</v>
      </c>
      <c r="L165" s="1615">
        <v>1231.8163544106167</v>
      </c>
    </row>
    <row r="166" spans="1:12">
      <c r="A166" s="1605"/>
      <c r="B166" s="1013" t="s">
        <v>1336</v>
      </c>
      <c r="C166" s="1437">
        <v>302</v>
      </c>
      <c r="D166" s="1437">
        <v>0</v>
      </c>
      <c r="E166" s="1437">
        <v>302</v>
      </c>
      <c r="F166" s="1615">
        <v>277.0807894386532</v>
      </c>
      <c r="H166" s="1011" t="s">
        <v>1627</v>
      </c>
      <c r="I166" s="1437">
        <v>302</v>
      </c>
      <c r="J166" s="1437">
        <v>0</v>
      </c>
      <c r="K166" s="1437">
        <v>302</v>
      </c>
      <c r="L166" s="1615">
        <v>277.74112009458617</v>
      </c>
    </row>
    <row r="167" spans="1:12">
      <c r="A167" s="1605"/>
      <c r="B167" s="1441" t="s">
        <v>1308</v>
      </c>
      <c r="C167" s="1442"/>
      <c r="D167" s="1442"/>
      <c r="E167" s="1442"/>
      <c r="F167" s="1616"/>
      <c r="G167" s="1443"/>
      <c r="H167" s="1443"/>
      <c r="I167" s="1443"/>
      <c r="J167" s="1443"/>
      <c r="K167" s="1443"/>
      <c r="L167" s="1443"/>
    </row>
    <row r="168" spans="1:12">
      <c r="A168" s="1605"/>
      <c r="B168" s="1441" t="s">
        <v>1410</v>
      </c>
      <c r="C168" s="1442"/>
      <c r="D168" s="1442"/>
      <c r="E168" s="1442"/>
      <c r="F168" s="1616"/>
      <c r="G168" s="1443"/>
      <c r="H168" s="1443"/>
      <c r="I168" s="1443"/>
      <c r="J168" s="1443"/>
      <c r="K168" s="1443"/>
      <c r="L168" s="1443"/>
    </row>
    <row r="169" spans="1:12">
      <c r="A169" s="1605"/>
      <c r="B169" s="1011" t="s">
        <v>1136</v>
      </c>
      <c r="C169" s="1437">
        <v>255</v>
      </c>
      <c r="D169" s="1437">
        <v>11</v>
      </c>
      <c r="E169" s="1437">
        <v>266</v>
      </c>
      <c r="F169" s="1615">
        <v>271.70275510204084</v>
      </c>
      <c r="H169" s="1011" t="s">
        <v>961</v>
      </c>
      <c r="I169" s="1437">
        <v>251</v>
      </c>
      <c r="J169" s="1437">
        <v>13</v>
      </c>
      <c r="K169" s="1437">
        <v>264</v>
      </c>
      <c r="L169" s="1615">
        <v>274.93732673267328</v>
      </c>
    </row>
    <row r="170" spans="1:12">
      <c r="A170" s="1605"/>
      <c r="B170" s="1013" t="s">
        <v>553</v>
      </c>
      <c r="C170" s="1437">
        <v>617</v>
      </c>
      <c r="D170" s="1437">
        <v>858</v>
      </c>
      <c r="E170" s="1437">
        <v>1475</v>
      </c>
      <c r="F170" s="1615">
        <v>939.4190774950622</v>
      </c>
      <c r="H170" s="1011" t="s">
        <v>553</v>
      </c>
      <c r="I170" s="1437">
        <v>625</v>
      </c>
      <c r="J170" s="1437">
        <v>850</v>
      </c>
      <c r="K170" s="1437">
        <v>1475</v>
      </c>
      <c r="L170" s="1615">
        <v>943.38354159630751</v>
      </c>
    </row>
    <row r="171" spans="1:12">
      <c r="A171" s="1605"/>
      <c r="B171" s="1013" t="s">
        <v>1310</v>
      </c>
      <c r="C171" s="1437">
        <v>894</v>
      </c>
      <c r="D171" s="1437">
        <v>46</v>
      </c>
      <c r="E171" s="1437">
        <v>940</v>
      </c>
      <c r="F171" s="1615">
        <v>925.31562932226836</v>
      </c>
      <c r="H171" s="1011" t="s">
        <v>1310</v>
      </c>
      <c r="I171" s="1437">
        <v>894</v>
      </c>
      <c r="J171" s="1437">
        <v>46</v>
      </c>
      <c r="K171" s="1437">
        <v>940</v>
      </c>
      <c r="L171" s="1615">
        <v>926.22466487935662</v>
      </c>
    </row>
    <row r="172" spans="1:12">
      <c r="A172" s="1605"/>
      <c r="B172" s="1011" t="s">
        <v>1002</v>
      </c>
      <c r="C172" s="1437">
        <v>709</v>
      </c>
      <c r="D172" s="1437">
        <v>707</v>
      </c>
      <c r="E172" s="1437">
        <v>1416</v>
      </c>
      <c r="F172" s="1615">
        <v>1346.1269327140501</v>
      </c>
      <c r="H172" s="1011" t="s">
        <v>1411</v>
      </c>
      <c r="I172" s="1437">
        <v>689</v>
      </c>
      <c r="J172" s="1437">
        <v>731</v>
      </c>
      <c r="K172" s="1437">
        <v>1420</v>
      </c>
      <c r="L172" s="1615">
        <v>1335.5273982664903</v>
      </c>
    </row>
    <row r="173" spans="1:12">
      <c r="A173" s="1605"/>
      <c r="B173" s="1013" t="s">
        <v>707</v>
      </c>
      <c r="C173" s="1437">
        <v>566</v>
      </c>
      <c r="D173" s="1437">
        <v>35</v>
      </c>
      <c r="E173" s="1437">
        <v>601</v>
      </c>
      <c r="F173" s="1615">
        <v>575.37089858314687</v>
      </c>
      <c r="H173" s="1011" t="s">
        <v>707</v>
      </c>
      <c r="I173" s="1437">
        <v>552</v>
      </c>
      <c r="J173" s="1437">
        <v>54</v>
      </c>
      <c r="K173" s="1437">
        <v>606</v>
      </c>
      <c r="L173" s="1615">
        <v>580.02749813571961</v>
      </c>
    </row>
    <row r="174" spans="1:12">
      <c r="A174" s="1605"/>
      <c r="B174" s="1013" t="s">
        <v>620</v>
      </c>
      <c r="C174" s="1437">
        <v>3452</v>
      </c>
      <c r="D174" s="1437">
        <v>0</v>
      </c>
      <c r="E174" s="1437">
        <v>3452</v>
      </c>
      <c r="F174" s="1615">
        <v>3452</v>
      </c>
      <c r="H174" s="1011" t="s">
        <v>620</v>
      </c>
      <c r="I174" s="1437">
        <v>3452</v>
      </c>
      <c r="J174" s="1437">
        <v>0</v>
      </c>
      <c r="K174" s="1437">
        <v>3452</v>
      </c>
      <c r="L174" s="1615">
        <v>3279.0541082164327</v>
      </c>
    </row>
    <row r="175" spans="1:12">
      <c r="A175" s="1605"/>
      <c r="B175" s="1441" t="s">
        <v>920</v>
      </c>
      <c r="C175" s="1442"/>
      <c r="D175" s="1442"/>
      <c r="E175" s="1442"/>
      <c r="F175" s="1616"/>
      <c r="G175" s="1443"/>
      <c r="H175" s="1443"/>
      <c r="I175" s="1443"/>
      <c r="J175" s="1443"/>
      <c r="K175" s="1443"/>
      <c r="L175" s="1443"/>
    </row>
    <row r="176" spans="1:12" ht="27.6">
      <c r="A176" s="1605"/>
      <c r="B176" s="1457" t="s">
        <v>708</v>
      </c>
      <c r="C176" s="1439">
        <v>264</v>
      </c>
      <c r="D176" s="1439">
        <v>217</v>
      </c>
      <c r="E176" s="1439">
        <v>481</v>
      </c>
      <c r="F176" s="1617">
        <v>360.6399375162718</v>
      </c>
      <c r="H176" s="1011" t="s">
        <v>708</v>
      </c>
      <c r="I176" s="1437">
        <v>202</v>
      </c>
      <c r="J176" s="1437">
        <v>278</v>
      </c>
      <c r="K176" s="1437">
        <v>480</v>
      </c>
      <c r="L176" s="1615">
        <v>337.4074243289549</v>
      </c>
    </row>
    <row r="177" spans="1:14">
      <c r="C177" s="1534"/>
      <c r="D177" s="1428"/>
      <c r="E177" s="1534"/>
      <c r="F177" s="1428"/>
    </row>
    <row r="181" spans="1:14">
      <c r="A181" s="1459" t="s">
        <v>1719</v>
      </c>
      <c r="B181" s="1459"/>
      <c r="C181" s="1460"/>
      <c r="D181" s="1459"/>
      <c r="E181" s="1460"/>
      <c r="F181" s="1459"/>
      <c r="G181" s="1459"/>
      <c r="H181" s="1459"/>
      <c r="I181" s="1459"/>
      <c r="J181" s="1459"/>
      <c r="K181" s="1459"/>
      <c r="L181" s="1459"/>
      <c r="M181" s="1459"/>
      <c r="N181" s="1459"/>
    </row>
    <row r="182" spans="1:14">
      <c r="A182" s="1618"/>
      <c r="B182" s="1464"/>
      <c r="C182" s="1464"/>
      <c r="D182" s="1464"/>
      <c r="E182" s="1464"/>
      <c r="F182" s="1462"/>
    </row>
    <row r="183" spans="1:14">
      <c r="A183" s="1619" t="s">
        <v>1682</v>
      </c>
      <c r="B183" s="1464"/>
      <c r="C183" s="1464"/>
      <c r="D183" s="1464"/>
      <c r="E183" s="1464"/>
      <c r="F183" s="1462"/>
    </row>
    <row r="184" spans="1:14">
      <c r="A184" s="1618"/>
      <c r="B184" s="1464"/>
      <c r="C184" s="1464"/>
      <c r="D184" s="1464"/>
      <c r="E184" s="1464"/>
      <c r="F184" s="1462"/>
    </row>
    <row r="185" spans="1:14">
      <c r="A185" s="1619" t="s">
        <v>1683</v>
      </c>
      <c r="B185" s="1464"/>
      <c r="C185" s="1464"/>
      <c r="D185" s="1464"/>
      <c r="E185" s="1464"/>
      <c r="F185" s="1462" t="s">
        <v>1721</v>
      </c>
    </row>
    <row r="186" spans="1:14">
      <c r="A186" s="1618"/>
      <c r="B186" s="1464"/>
      <c r="C186" s="1464"/>
      <c r="D186" s="1464"/>
      <c r="E186" s="1464"/>
      <c r="F186" s="1462"/>
    </row>
    <row r="187" spans="1:14">
      <c r="A187" s="1619" t="s">
        <v>1684</v>
      </c>
      <c r="B187" s="1464"/>
      <c r="C187" s="1464"/>
      <c r="D187" s="1464"/>
      <c r="E187" s="1464"/>
      <c r="F187" s="1462" t="s">
        <v>1722</v>
      </c>
    </row>
    <row r="188" spans="1:14">
      <c r="A188" s="1618"/>
      <c r="B188" s="1464"/>
      <c r="C188" s="1464"/>
      <c r="D188" s="1464"/>
      <c r="E188" s="1464"/>
      <c r="F188" s="1462"/>
    </row>
    <row r="189" spans="1:14">
      <c r="A189" s="1619" t="s">
        <v>1685</v>
      </c>
      <c r="B189" s="1464"/>
      <c r="C189" s="1464"/>
      <c r="D189" s="1464"/>
      <c r="E189" s="1464"/>
      <c r="F189" s="1462" t="s">
        <v>1665</v>
      </c>
    </row>
    <row r="190" spans="1:14">
      <c r="A190" s="1618"/>
      <c r="B190" s="1464"/>
      <c r="C190" s="1464"/>
      <c r="D190" s="1464"/>
      <c r="F190" s="1462"/>
    </row>
    <row r="191" spans="1:14">
      <c r="A191" s="1470" t="s">
        <v>1686</v>
      </c>
      <c r="B191" s="1464"/>
      <c r="C191" s="1464"/>
      <c r="D191" s="1464"/>
      <c r="E191" s="1464"/>
      <c r="F191" s="1462" t="s">
        <v>1723</v>
      </c>
    </row>
    <row r="192" spans="1:14">
      <c r="A192" s="1618"/>
      <c r="B192" s="1464"/>
      <c r="C192" s="1464"/>
      <c r="D192" s="1464"/>
      <c r="E192" s="1464"/>
      <c r="F192" s="1462"/>
    </row>
    <row r="193" spans="1:6">
      <c r="A193" s="1470" t="s">
        <v>1687</v>
      </c>
      <c r="B193" s="1464"/>
      <c r="C193" s="1464"/>
      <c r="D193" s="1464"/>
      <c r="E193" s="1464"/>
      <c r="F193" s="1636" t="s">
        <v>1665</v>
      </c>
    </row>
    <row r="194" spans="1:6">
      <c r="A194" s="1466"/>
      <c r="B194" s="1464"/>
      <c r="C194" s="1464"/>
      <c r="D194" s="1464"/>
      <c r="E194" s="1464"/>
      <c r="F194" s="1462"/>
    </row>
    <row r="195" spans="1:6">
      <c r="A195" s="1619" t="s">
        <v>1688</v>
      </c>
      <c r="B195" s="1464"/>
      <c r="C195" s="1464"/>
      <c r="D195" s="1464"/>
      <c r="E195" s="1464"/>
      <c r="F195" s="1637" t="s">
        <v>1665</v>
      </c>
    </row>
    <row r="196" spans="1:6">
      <c r="A196" s="1618"/>
      <c r="B196" s="1464"/>
      <c r="C196" s="1464"/>
      <c r="D196" s="1464"/>
      <c r="E196" s="1464"/>
      <c r="F196" s="1462"/>
    </row>
    <row r="197" spans="1:6">
      <c r="A197" s="1619" t="s">
        <v>1689</v>
      </c>
      <c r="B197" s="1464"/>
      <c r="C197" s="1464"/>
      <c r="D197" s="1464"/>
      <c r="E197" s="1464"/>
      <c r="F197" s="1462"/>
    </row>
    <row r="198" spans="1:6">
      <c r="A198" s="1618"/>
      <c r="B198" s="1464"/>
      <c r="C198" s="1464"/>
      <c r="D198" s="1464"/>
      <c r="E198" s="1464"/>
      <c r="F198" s="1462"/>
    </row>
    <row r="199" spans="1:6">
      <c r="A199" s="1619" t="s">
        <v>1690</v>
      </c>
      <c r="B199" s="1464"/>
      <c r="C199" s="1464"/>
      <c r="D199" s="1464"/>
      <c r="E199" s="1464"/>
    </row>
    <row r="200" spans="1:6">
      <c r="A200" s="1618"/>
      <c r="B200" s="1464"/>
      <c r="C200" s="1464"/>
      <c r="D200" s="1464"/>
      <c r="E200" s="1464"/>
    </row>
    <row r="201" spans="1:6">
      <c r="A201" s="1619" t="s">
        <v>1691</v>
      </c>
      <c r="B201" s="1464" t="s">
        <v>1720</v>
      </c>
      <c r="C201" s="1464"/>
      <c r="D201" s="1464"/>
      <c r="E201" s="1464"/>
    </row>
    <row r="202" spans="1:6">
      <c r="A202" s="1619" t="s">
        <v>1692</v>
      </c>
      <c r="B202" s="1464" t="s">
        <v>1720</v>
      </c>
      <c r="C202" s="1464"/>
      <c r="D202" s="1464"/>
      <c r="E202" s="1464"/>
    </row>
    <row r="203" spans="1:6">
      <c r="A203" s="1619" t="s">
        <v>1693</v>
      </c>
      <c r="B203" s="1464" t="s">
        <v>1720</v>
      </c>
      <c r="C203" s="1464"/>
      <c r="D203" s="1464"/>
      <c r="E203" s="1464"/>
    </row>
    <row r="204" spans="1:6">
      <c r="A204" s="1619" t="s">
        <v>1694</v>
      </c>
      <c r="B204" s="1464" t="s">
        <v>1720</v>
      </c>
      <c r="C204" s="1464"/>
      <c r="D204" s="1464"/>
      <c r="E204" s="1464"/>
    </row>
    <row r="205" spans="1:6">
      <c r="A205" s="1619" t="s">
        <v>1695</v>
      </c>
      <c r="B205" s="1464" t="s">
        <v>1665</v>
      </c>
      <c r="C205" s="1464"/>
      <c r="D205" s="1464"/>
      <c r="E205" s="1464"/>
    </row>
    <row r="206" spans="1:6">
      <c r="A206" s="1619" t="s">
        <v>1696</v>
      </c>
      <c r="B206" s="1464" t="s">
        <v>1720</v>
      </c>
      <c r="C206" s="1464"/>
      <c r="D206" s="1464"/>
      <c r="E206" s="1464"/>
    </row>
    <row r="207" spans="1:6">
      <c r="A207" s="1618"/>
      <c r="B207" s="1464"/>
      <c r="C207" s="1464"/>
      <c r="D207" s="1464"/>
      <c r="E207" s="1464"/>
    </row>
    <row r="208" spans="1:6">
      <c r="A208" s="1619" t="s">
        <v>1697</v>
      </c>
      <c r="B208" s="1464" t="s">
        <v>1665</v>
      </c>
      <c r="C208" s="1464"/>
      <c r="D208" s="1464"/>
      <c r="E208" s="1464"/>
    </row>
    <row r="209" spans="1:7">
      <c r="A209" s="1619"/>
      <c r="B209" s="1464"/>
      <c r="C209" s="1464"/>
      <c r="D209" s="1464"/>
      <c r="E209" s="1464"/>
    </row>
    <row r="210" spans="1:7">
      <c r="A210" s="1619" t="s">
        <v>1698</v>
      </c>
      <c r="B210" s="1464" t="s">
        <v>1665</v>
      </c>
      <c r="C210" s="1464"/>
      <c r="D210" s="1464"/>
      <c r="E210" s="1464"/>
    </row>
    <row r="211" spans="1:7">
      <c r="A211" s="1619" t="s">
        <v>1699</v>
      </c>
      <c r="B211" s="1464" t="s">
        <v>1665</v>
      </c>
      <c r="C211" s="1464"/>
      <c r="D211" s="1464"/>
      <c r="E211" s="1464"/>
    </row>
    <row r="212" spans="1:7">
      <c r="A212" s="1619" t="s">
        <v>1700</v>
      </c>
      <c r="B212" s="1464" t="s">
        <v>1665</v>
      </c>
      <c r="C212" s="1464"/>
      <c r="D212" s="1464"/>
      <c r="E212" s="1464"/>
    </row>
    <row r="213" spans="1:7">
      <c r="A213" s="1618"/>
      <c r="B213" s="1464"/>
      <c r="C213" s="1464"/>
      <c r="D213" s="1464"/>
      <c r="E213" s="1464"/>
    </row>
    <row r="214" spans="1:7">
      <c r="A214" s="1632" t="s">
        <v>1701</v>
      </c>
      <c r="B214" s="1633"/>
      <c r="C214" s="1633"/>
      <c r="D214" s="1633"/>
      <c r="E214" s="1633"/>
      <c r="F214" s="1477"/>
      <c r="G214" s="1477"/>
    </row>
    <row r="215" spans="1:7">
      <c r="A215" s="1618"/>
      <c r="B215" s="1464"/>
      <c r="C215" s="1464"/>
      <c r="D215" s="1464"/>
      <c r="E215" s="1464"/>
    </row>
    <row r="216" spans="1:7">
      <c r="A216" s="1619" t="s">
        <v>1702</v>
      </c>
      <c r="B216" s="1464"/>
      <c r="C216" s="1464"/>
      <c r="D216" s="1464"/>
      <c r="E216" s="1464"/>
      <c r="F216" s="1462" t="s">
        <v>1724</v>
      </c>
    </row>
    <row r="217" spans="1:7">
      <c r="A217" s="1619" t="s">
        <v>1703</v>
      </c>
      <c r="B217" s="1464"/>
      <c r="C217" s="1464"/>
      <c r="D217" s="1464"/>
      <c r="E217" s="1464"/>
      <c r="F217" s="1462" t="s">
        <v>1727</v>
      </c>
    </row>
    <row r="218" spans="1:7">
      <c r="A218" s="1619" t="s">
        <v>1704</v>
      </c>
      <c r="B218" s="1464"/>
      <c r="C218" s="1464"/>
      <c r="D218" s="1464"/>
      <c r="E218" s="1464"/>
      <c r="F218" s="1462" t="s">
        <v>1728</v>
      </c>
    </row>
    <row r="219" spans="1:7">
      <c r="A219" s="1619" t="s">
        <v>1705</v>
      </c>
      <c r="B219" s="1464"/>
      <c r="C219" s="1464"/>
      <c r="D219" s="1464"/>
      <c r="E219" s="1464"/>
      <c r="F219" s="1462" t="s">
        <v>1728</v>
      </c>
    </row>
    <row r="220" spans="1:7">
      <c r="A220" s="1619"/>
      <c r="B220" s="1464"/>
      <c r="C220" s="1464"/>
      <c r="D220" s="1464"/>
      <c r="E220" s="1464"/>
      <c r="F220" s="1462"/>
    </row>
    <row r="221" spans="1:7">
      <c r="A221" s="1619"/>
      <c r="B221" s="1464"/>
      <c r="C221" s="1464"/>
      <c r="D221" s="1464"/>
      <c r="E221" s="1464"/>
      <c r="F221" s="1462"/>
    </row>
    <row r="222" spans="1:7">
      <c r="A222" s="1619" t="s">
        <v>1706</v>
      </c>
      <c r="B222" s="1464"/>
      <c r="C222" s="1464"/>
      <c r="D222" s="1464"/>
      <c r="E222" s="1464"/>
      <c r="F222" s="1462" t="s">
        <v>1728</v>
      </c>
    </row>
    <row r="223" spans="1:7">
      <c r="A223" s="1619" t="s">
        <v>1707</v>
      </c>
      <c r="B223" s="1464"/>
      <c r="C223" s="1464"/>
      <c r="D223" s="1464"/>
      <c r="E223" s="1464"/>
      <c r="F223" s="1462" t="s">
        <v>1728</v>
      </c>
    </row>
    <row r="224" spans="1:7">
      <c r="A224" s="1618"/>
      <c r="B224" s="1464"/>
      <c r="C224" s="1464"/>
      <c r="D224" s="1464"/>
      <c r="E224" s="1464"/>
    </row>
    <row r="225" spans="1:6">
      <c r="A225" s="1638" t="s">
        <v>1708</v>
      </c>
      <c r="B225" s="1464"/>
      <c r="C225" s="1464"/>
      <c r="D225" s="1464"/>
      <c r="E225" s="1464"/>
      <c r="F225" s="1534" t="s">
        <v>1728</v>
      </c>
    </row>
    <row r="226" spans="1:6">
      <c r="A226" s="1618"/>
      <c r="B226" s="1464"/>
      <c r="C226" s="1464"/>
      <c r="D226" s="1464"/>
      <c r="E226" s="1464"/>
    </row>
    <row r="227" spans="1:6">
      <c r="A227" s="1619" t="s">
        <v>1709</v>
      </c>
      <c r="B227" s="1464"/>
      <c r="C227" s="1464"/>
      <c r="D227" s="1464"/>
      <c r="E227" s="1464"/>
    </row>
    <row r="228" spans="1:6">
      <c r="A228" s="1619" t="s">
        <v>1710</v>
      </c>
      <c r="B228" s="1464"/>
      <c r="C228" s="1464"/>
      <c r="D228" s="1464"/>
      <c r="E228" s="1464"/>
    </row>
    <row r="229" spans="1:6">
      <c r="A229" s="1619" t="s">
        <v>1711</v>
      </c>
      <c r="B229" s="1464"/>
      <c r="C229" s="1464"/>
      <c r="D229" s="1464"/>
      <c r="E229" s="1464"/>
    </row>
    <row r="230" spans="1:6">
      <c r="A230" s="1619" t="s">
        <v>1712</v>
      </c>
      <c r="B230" s="1464"/>
      <c r="C230" s="1464"/>
      <c r="D230" s="1464"/>
      <c r="E230" s="1464"/>
    </row>
    <row r="231" spans="1:6">
      <c r="A231" s="1619" t="s">
        <v>1713</v>
      </c>
      <c r="B231" s="1464"/>
      <c r="C231" s="1464"/>
      <c r="D231" s="1464"/>
      <c r="E231" s="1464"/>
    </row>
    <row r="232" spans="1:6">
      <c r="A232" s="1619" t="s">
        <v>1714</v>
      </c>
      <c r="B232" s="1464"/>
      <c r="C232" s="1464"/>
      <c r="D232" s="1464"/>
      <c r="E232" s="1464"/>
    </row>
    <row r="233" spans="1:6">
      <c r="A233" s="1619"/>
      <c r="B233" s="1464"/>
      <c r="C233" s="1464"/>
      <c r="D233" s="1464"/>
      <c r="E233" s="1464"/>
    </row>
    <row r="234" spans="1:6">
      <c r="A234" s="1619" t="s">
        <v>1715</v>
      </c>
      <c r="B234" s="1464"/>
      <c r="C234" s="1464"/>
      <c r="D234" s="1464"/>
      <c r="E234" s="1464"/>
    </row>
    <row r="235" spans="1:6">
      <c r="A235" s="1618"/>
      <c r="B235" s="1464"/>
      <c r="C235" s="1464"/>
      <c r="D235" s="1464"/>
      <c r="E235" s="1464"/>
    </row>
    <row r="236" spans="1:6">
      <c r="A236" s="1619" t="s">
        <v>1716</v>
      </c>
      <c r="B236" s="1464"/>
      <c r="C236" s="1464"/>
      <c r="D236" s="1464"/>
      <c r="E236" s="1464"/>
    </row>
    <row r="237" spans="1:6">
      <c r="A237" s="1618"/>
      <c r="B237" s="1464"/>
      <c r="C237" s="1464"/>
      <c r="D237" s="1464"/>
      <c r="E237" s="1464"/>
    </row>
    <row r="238" spans="1:6">
      <c r="A238" s="1619" t="s">
        <v>1717</v>
      </c>
      <c r="B238" s="1464"/>
      <c r="C238" s="1464"/>
      <c r="D238" s="1464"/>
      <c r="F238" s="1637" t="s">
        <v>1729</v>
      </c>
    </row>
    <row r="239" spans="1:6" ht="14.4" thickBot="1">
      <c r="A239" s="1619"/>
      <c r="B239" s="1464"/>
      <c r="C239" s="1464"/>
      <c r="D239" s="1464"/>
      <c r="E239" s="1464"/>
    </row>
    <row r="240" spans="1:6" s="1621" customFormat="1" ht="18" customHeight="1" thickBot="1">
      <c r="A240" s="1630" t="s">
        <v>89</v>
      </c>
      <c r="B240" s="1620"/>
      <c r="E240" s="1622">
        <v>1</v>
      </c>
    </row>
    <row r="241" spans="1:7" s="1621" customFormat="1" ht="25.5" customHeight="1" thickBot="1">
      <c r="A241" s="1630" t="s">
        <v>1730</v>
      </c>
      <c r="B241" s="1620"/>
      <c r="C241" s="1620"/>
      <c r="D241" s="1623"/>
      <c r="E241" s="1624">
        <v>838735</v>
      </c>
    </row>
    <row r="242" spans="1:7" s="1621" customFormat="1" ht="12.6" thickBot="1">
      <c r="A242" s="1630" t="s">
        <v>1176</v>
      </c>
      <c r="E242" s="1624">
        <v>504230</v>
      </c>
    </row>
    <row r="243" spans="1:7" s="1621" customFormat="1" ht="12.6" thickBot="1">
      <c r="A243" s="1630" t="s">
        <v>1229</v>
      </c>
      <c r="E243" s="1624">
        <v>1721749</v>
      </c>
    </row>
    <row r="244" spans="1:7" s="1621" customFormat="1" ht="12.6" thickBot="1">
      <c r="A244" s="1630" t="s">
        <v>1230</v>
      </c>
      <c r="E244" s="1625">
        <v>0.3</v>
      </c>
    </row>
    <row r="245" spans="1:7" s="1621" customFormat="1" ht="25.5" customHeight="1" thickBot="1">
      <c r="A245" s="1630" t="s">
        <v>90</v>
      </c>
      <c r="B245" s="1620"/>
      <c r="C245" s="1620"/>
      <c r="D245" s="1623"/>
      <c r="E245" s="1625">
        <v>0</v>
      </c>
    </row>
    <row r="246" spans="1:7" s="1621" customFormat="1" ht="12.6" thickBot="1">
      <c r="A246" s="1630" t="s">
        <v>1231</v>
      </c>
      <c r="E246" s="1624">
        <v>1797965</v>
      </c>
    </row>
    <row r="247" spans="1:7" s="1621" customFormat="1" ht="18" customHeight="1" thickBot="1">
      <c r="A247" s="1630" t="s">
        <v>1232</v>
      </c>
      <c r="B247" s="1620"/>
      <c r="C247" s="1620"/>
      <c r="E247" s="1624">
        <v>15332733</v>
      </c>
    </row>
    <row r="248" spans="1:7" s="1621" customFormat="1" ht="12.6" thickBot="1">
      <c r="A248" s="1630" t="s">
        <v>1233</v>
      </c>
      <c r="B248" s="1620"/>
      <c r="E248" s="1625">
        <v>0.1</v>
      </c>
    </row>
    <row r="249" spans="1:7" s="1621" customFormat="1" ht="12.6" thickBot="1">
      <c r="A249" s="1631"/>
      <c r="C249" s="1620" t="s">
        <v>1234</v>
      </c>
      <c r="E249" s="1625">
        <v>2616</v>
      </c>
    </row>
    <row r="250" spans="1:7" s="1621" customFormat="1" ht="25.5" customHeight="1" thickBot="1">
      <c r="A250" s="1631"/>
      <c r="B250" s="1626"/>
      <c r="C250" s="1627" t="s">
        <v>1235</v>
      </c>
      <c r="D250" s="1628"/>
      <c r="E250" s="1629">
        <v>16926</v>
      </c>
      <c r="F250" s="1626"/>
      <c r="G250" s="1626"/>
    </row>
    <row r="251" spans="1:7" s="1621" customFormat="1" ht="12.6" thickBot="1">
      <c r="A251" s="1631"/>
      <c r="C251" s="1620" t="s">
        <v>1236</v>
      </c>
      <c r="E251" s="1625">
        <v>0</v>
      </c>
    </row>
    <row r="252" spans="1:7">
      <c r="A252" s="1619"/>
      <c r="B252" s="1464"/>
      <c r="C252" s="1464"/>
      <c r="D252" s="1464"/>
      <c r="E252" s="1464"/>
    </row>
    <row r="253" spans="1:7">
      <c r="A253" s="1619" t="s">
        <v>1718</v>
      </c>
      <c r="B253" s="1464"/>
      <c r="C253" s="1464"/>
      <c r="D253" s="1464"/>
      <c r="E253" s="1464"/>
      <c r="F253" s="1462" t="s">
        <v>1727</v>
      </c>
    </row>
    <row r="254" spans="1:7">
      <c r="A254" s="1440"/>
    </row>
    <row r="255" spans="1:7" ht="15.6">
      <c r="A255" s="1663"/>
    </row>
    <row r="256" spans="1:7">
      <c r="A256" s="1440"/>
    </row>
    <row r="257" spans="1:6">
      <c r="A257" s="1440"/>
    </row>
    <row r="258" spans="1:6">
      <c r="A258" s="1440"/>
    </row>
    <row r="259" spans="1:6">
      <c r="A259" s="1440"/>
    </row>
    <row r="260" spans="1:6">
      <c r="A260" s="1440"/>
    </row>
    <row r="261" spans="1:6">
      <c r="A261" s="1440"/>
    </row>
    <row r="262" spans="1:6">
      <c r="A262" s="1440"/>
    </row>
    <row r="263" spans="1:6">
      <c r="A263" s="1440"/>
    </row>
    <row r="270" spans="1:6" ht="18">
      <c r="A270" s="1647" t="s">
        <v>1738</v>
      </c>
      <c r="B270" s="1647"/>
      <c r="C270" s="1648"/>
      <c r="D270" s="1647"/>
      <c r="E270" s="1648"/>
      <c r="F270" s="1647"/>
    </row>
    <row r="272" spans="1:6" ht="15.6">
      <c r="A272" s="1664" t="s">
        <v>1739</v>
      </c>
      <c r="B272" s="1665"/>
      <c r="D272" s="1462" t="s">
        <v>1765</v>
      </c>
    </row>
    <row r="273" spans="1:13" ht="15.6">
      <c r="A273" s="1664" t="s">
        <v>1740</v>
      </c>
      <c r="B273" s="1665"/>
      <c r="D273" s="1462" t="s">
        <v>1728</v>
      </c>
    </row>
    <row r="274" spans="1:13" ht="15.6">
      <c r="A274" s="1664"/>
      <c r="B274" s="1665"/>
    </row>
    <row r="275" spans="1:13" ht="15.6">
      <c r="A275" s="1664" t="s">
        <v>1764</v>
      </c>
      <c r="B275" s="1665"/>
      <c r="H275" s="1515" t="s">
        <v>1769</v>
      </c>
    </row>
    <row r="276" spans="1:13" ht="15.6">
      <c r="A276" s="1666"/>
      <c r="B276" s="1665"/>
    </row>
    <row r="277" spans="1:13" ht="15.6">
      <c r="A277" s="1666" t="s">
        <v>1741</v>
      </c>
      <c r="B277" s="1665"/>
      <c r="C277" s="1461" t="s">
        <v>1766</v>
      </c>
    </row>
    <row r="278" spans="1:13" ht="15.6">
      <c r="A278" s="1666"/>
      <c r="B278" s="1665"/>
    </row>
    <row r="279" spans="1:13" ht="15.6">
      <c r="A279" s="1666" t="s">
        <v>1742</v>
      </c>
      <c r="B279" s="1665"/>
      <c r="C279" s="1461" t="s">
        <v>1123</v>
      </c>
    </row>
    <row r="280" spans="1:13" ht="15.6">
      <c r="A280" s="1666"/>
      <c r="B280" s="1665"/>
    </row>
    <row r="281" spans="1:13">
      <c r="A281" s="1589" t="s">
        <v>1743</v>
      </c>
      <c r="B281" s="1589" t="s">
        <v>1744</v>
      </c>
    </row>
    <row r="282" spans="1:13">
      <c r="A282" s="1589" t="s">
        <v>425</v>
      </c>
      <c r="B282" s="1589" t="s">
        <v>1745</v>
      </c>
    </row>
    <row r="283" spans="1:13">
      <c r="A283" s="1589" t="s">
        <v>1746</v>
      </c>
      <c r="B283" s="1589" t="s">
        <v>1747</v>
      </c>
    </row>
    <row r="284" spans="1:13">
      <c r="A284" s="1589" t="s">
        <v>1748</v>
      </c>
      <c r="B284" s="1589" t="s">
        <v>1749</v>
      </c>
    </row>
    <row r="285" spans="1:13" ht="14.4" thickBot="1">
      <c r="A285" s="1589" t="s">
        <v>314</v>
      </c>
      <c r="B285" s="1667" t="s">
        <v>1750</v>
      </c>
    </row>
    <row r="286" spans="1:13" ht="14.4">
      <c r="A286" s="1668"/>
      <c r="B286" s="1589" t="s">
        <v>1751</v>
      </c>
    </row>
    <row r="287" spans="1:13" ht="15.6">
      <c r="A287" s="1666"/>
      <c r="B287" s="1665"/>
    </row>
    <row r="288" spans="1:13" ht="15.6">
      <c r="A288" s="1669" t="s">
        <v>1752</v>
      </c>
      <c r="B288" s="1665"/>
      <c r="M288" s="1462" t="s">
        <v>1767</v>
      </c>
    </row>
    <row r="289" spans="1:6" ht="15.6">
      <c r="A289" s="1664"/>
      <c r="B289" s="1665"/>
    </row>
    <row r="290" spans="1:6" ht="15.6">
      <c r="A290" s="1664"/>
      <c r="B290" s="1665"/>
    </row>
    <row r="291" spans="1:6" ht="15.6">
      <c r="A291" s="1664"/>
      <c r="B291" s="1665"/>
    </row>
    <row r="292" spans="1:6" ht="15.6">
      <c r="A292" s="1664" t="s">
        <v>1753</v>
      </c>
      <c r="B292" s="1670" t="s">
        <v>1768</v>
      </c>
    </row>
    <row r="293" spans="1:6" ht="15.6">
      <c r="A293" s="1664"/>
      <c r="B293" s="1665"/>
    </row>
    <row r="296" spans="1:6" ht="18">
      <c r="A296" s="1647" t="s">
        <v>1776</v>
      </c>
      <c r="B296" s="1647"/>
      <c r="C296" s="1648"/>
      <c r="D296" s="1647"/>
      <c r="E296" s="1648"/>
      <c r="F296" s="1647"/>
    </row>
    <row r="298" spans="1:6" ht="14.4">
      <c r="A298" s="1671" t="s">
        <v>1770</v>
      </c>
      <c r="C298" s="1461" t="s">
        <v>1774</v>
      </c>
    </row>
    <row r="299" spans="1:6" ht="14.4">
      <c r="A299" s="1671" t="s">
        <v>1771</v>
      </c>
      <c r="C299" s="1461" t="s">
        <v>1773</v>
      </c>
    </row>
    <row r="300" spans="1:6" ht="14.4">
      <c r="A300" s="1671" t="s">
        <v>1772</v>
      </c>
      <c r="C300" s="1461" t="s">
        <v>1728</v>
      </c>
    </row>
    <row r="301" spans="1:6" ht="14.4">
      <c r="A301" s="1671"/>
    </row>
    <row r="303" spans="1:6" ht="18">
      <c r="A303" s="1647" t="s">
        <v>1777</v>
      </c>
      <c r="B303" s="1647"/>
      <c r="C303" s="1648"/>
      <c r="D303" s="1647"/>
      <c r="E303" s="1648"/>
      <c r="F303" s="1647"/>
    </row>
    <row r="305" spans="1:12" ht="14.4">
      <c r="A305" s="1650" t="s">
        <v>1775</v>
      </c>
      <c r="F305" s="1462" t="s">
        <v>1728</v>
      </c>
    </row>
    <row r="306" spans="1:12" ht="14.4">
      <c r="A306" s="1649"/>
    </row>
    <row r="308" spans="1:12" ht="18">
      <c r="A308" s="1647" t="s">
        <v>1778</v>
      </c>
      <c r="B308" s="1647"/>
      <c r="C308" s="1648"/>
      <c r="D308" s="1647"/>
      <c r="E308" s="1648"/>
      <c r="F308" s="1647"/>
    </row>
    <row r="309" spans="1:12">
      <c r="A309" s="1674"/>
      <c r="B309" s="1674"/>
      <c r="D309" s="1674"/>
      <c r="F309" s="1674"/>
    </row>
    <row r="310" spans="1:12" ht="14.4">
      <c r="A310" s="1671" t="s">
        <v>1779</v>
      </c>
      <c r="B310" s="1674"/>
      <c r="C310" s="1462" t="s">
        <v>1728</v>
      </c>
      <c r="D310" s="1674"/>
      <c r="E310" s="1672"/>
    </row>
    <row r="311" spans="1:12" ht="14.4">
      <c r="A311" s="1671" t="s">
        <v>1782</v>
      </c>
      <c r="F311" s="1462" t="s">
        <v>1786</v>
      </c>
    </row>
    <row r="312" spans="1:12" ht="14.4">
      <c r="A312" s="1671" t="s">
        <v>1780</v>
      </c>
      <c r="C312" s="1461" t="s">
        <v>1785</v>
      </c>
    </row>
    <row r="313" spans="1:12" ht="14.4">
      <c r="A313" s="1671"/>
    </row>
    <row r="314" spans="1:12" ht="14.4">
      <c r="A314" s="1671" t="s">
        <v>1781</v>
      </c>
      <c r="B314" s="1474"/>
      <c r="C314" s="1675"/>
      <c r="D314" s="1474"/>
      <c r="E314" s="1675"/>
      <c r="F314" s="1474"/>
      <c r="G314" s="1474"/>
      <c r="H314" s="1474"/>
      <c r="I314" s="1474"/>
    </row>
    <row r="315" spans="1:12" s="1674" customFormat="1" ht="14.4">
      <c r="A315" s="1673" t="s">
        <v>1728</v>
      </c>
      <c r="B315" s="1474"/>
      <c r="C315" s="1675"/>
      <c r="D315" s="1474"/>
      <c r="E315" s="1676" t="s">
        <v>1788</v>
      </c>
      <c r="F315" s="1677"/>
      <c r="G315" s="1677"/>
      <c r="H315" s="1677"/>
      <c r="I315" s="1677"/>
      <c r="J315" s="1462"/>
      <c r="K315" s="1462"/>
      <c r="L315" s="1462"/>
    </row>
    <row r="316" spans="1:12" ht="14.4">
      <c r="A316" s="1671"/>
      <c r="E316" s="1461" t="s">
        <v>1787</v>
      </c>
      <c r="F316" s="1462"/>
      <c r="G316" s="1462"/>
      <c r="H316" s="1462"/>
      <c r="I316" s="1462"/>
      <c r="J316" s="1462"/>
      <c r="K316" s="1462"/>
      <c r="L316" s="1462"/>
    </row>
    <row r="317" spans="1:12">
      <c r="E317" s="1461"/>
      <c r="F317" s="1462"/>
      <c r="G317" s="1462"/>
      <c r="H317" s="1462"/>
      <c r="I317" s="1462"/>
      <c r="J317" s="1462"/>
      <c r="K317" s="1462"/>
      <c r="L317" s="1462"/>
    </row>
    <row r="318" spans="1:12" ht="14.4">
      <c r="A318" s="1671"/>
      <c r="E318" s="1461" t="s">
        <v>573</v>
      </c>
      <c r="F318" s="1462" t="s">
        <v>609</v>
      </c>
      <c r="G318" s="1462" t="s">
        <v>758</v>
      </c>
      <c r="H318" s="1462" t="s">
        <v>610</v>
      </c>
      <c r="I318" s="1462" t="s">
        <v>591</v>
      </c>
      <c r="J318" s="1462" t="s">
        <v>572</v>
      </c>
      <c r="K318" s="1462" t="s">
        <v>590</v>
      </c>
      <c r="L318" s="1462"/>
    </row>
    <row r="319" spans="1:12">
      <c r="E319" s="1461">
        <v>12700</v>
      </c>
      <c r="F319" s="1462">
        <v>14300</v>
      </c>
      <c r="G319" s="1462">
        <v>17000</v>
      </c>
      <c r="H319" s="1462">
        <v>10800</v>
      </c>
      <c r="I319" s="1462">
        <v>4900</v>
      </c>
      <c r="J319" s="1462">
        <v>10200</v>
      </c>
      <c r="K319" s="1462">
        <v>5600</v>
      </c>
      <c r="L319" s="1462"/>
    </row>
    <row r="320" spans="1:12">
      <c r="E320" s="1461"/>
      <c r="F320" s="1462"/>
      <c r="G320" s="1462"/>
      <c r="H320" s="1462"/>
      <c r="I320" s="1462"/>
      <c r="J320" s="1462"/>
      <c r="K320" s="1462"/>
      <c r="L320" s="1462"/>
    </row>
    <row r="321" spans="1:6" ht="18">
      <c r="A321" s="1647" t="s">
        <v>1803</v>
      </c>
      <c r="B321" s="1647"/>
      <c r="C321" s="1648"/>
      <c r="D321" s="1647"/>
      <c r="E321" s="1648"/>
      <c r="F321" s="1647"/>
    </row>
    <row r="322" spans="1:6" ht="14.4">
      <c r="A322" s="1671" t="s">
        <v>1789</v>
      </c>
      <c r="E322" s="1428" t="s">
        <v>1123</v>
      </c>
    </row>
    <row r="323" spans="1:6" ht="14.4">
      <c r="A323" s="1671"/>
    </row>
    <row r="324" spans="1:6" ht="14.4">
      <c r="A324" s="1650" t="s">
        <v>1790</v>
      </c>
      <c r="E324" s="1428" t="s">
        <v>1123</v>
      </c>
    </row>
    <row r="325" spans="1:6" ht="14.4">
      <c r="A325" s="1650"/>
    </row>
    <row r="326" spans="1:6" ht="14.4">
      <c r="A326" s="1650" t="s">
        <v>1791</v>
      </c>
      <c r="E326" s="1428" t="s">
        <v>1123</v>
      </c>
    </row>
    <row r="327" spans="1:6" ht="14.4">
      <c r="A327" s="1650"/>
    </row>
    <row r="328" spans="1:6" ht="14.4">
      <c r="A328" s="1650" t="s">
        <v>1792</v>
      </c>
      <c r="E328" s="1428" t="s">
        <v>1123</v>
      </c>
    </row>
    <row r="329" spans="1:6" ht="14.4">
      <c r="A329" s="1650"/>
    </row>
    <row r="330" spans="1:6" ht="14.4">
      <c r="A330" s="1650" t="s">
        <v>1793</v>
      </c>
      <c r="E330" s="1428" t="s">
        <v>1123</v>
      </c>
    </row>
    <row r="331" spans="1:6" ht="14.4">
      <c r="A331" s="1650"/>
    </row>
    <row r="332" spans="1:6" ht="14.4">
      <c r="A332" s="1650" t="s">
        <v>1794</v>
      </c>
      <c r="E332" s="1428" t="s">
        <v>1123</v>
      </c>
    </row>
    <row r="333" spans="1:6" ht="14.4">
      <c r="A333" s="1650"/>
    </row>
    <row r="334" spans="1:6" ht="14.4">
      <c r="A334" s="1650" t="s">
        <v>1795</v>
      </c>
    </row>
    <row r="335" spans="1:6" ht="14.4">
      <c r="A335" s="1650"/>
      <c r="E335" s="1428" t="s">
        <v>1819</v>
      </c>
    </row>
    <row r="336" spans="1:6" s="1674" customFormat="1" ht="14.4">
      <c r="A336" s="1650"/>
      <c r="C336" s="1428"/>
      <c r="E336" s="1428"/>
    </row>
    <row r="337" spans="1:12" ht="14.4">
      <c r="A337" s="1650" t="s">
        <v>1796</v>
      </c>
      <c r="E337" s="1428" t="s">
        <v>1123</v>
      </c>
    </row>
    <row r="338" spans="1:12" ht="14.4">
      <c r="A338" s="1650"/>
    </row>
    <row r="339" spans="1:12" ht="14.4">
      <c r="A339" s="1650" t="s">
        <v>1797</v>
      </c>
    </row>
    <row r="340" spans="1:12" ht="14.4">
      <c r="A340" s="1678"/>
      <c r="E340" s="1534" t="s">
        <v>1805</v>
      </c>
    </row>
    <row r="341" spans="1:12" ht="14.4">
      <c r="A341" s="1650"/>
    </row>
    <row r="342" spans="1:12" ht="14.4">
      <c r="A342" s="1650" t="s">
        <v>1798</v>
      </c>
      <c r="E342" s="1428" t="s">
        <v>1804</v>
      </c>
    </row>
    <row r="343" spans="1:12" ht="14.4">
      <c r="A343" s="1650"/>
    </row>
    <row r="344" spans="1:12" ht="14.4">
      <c r="A344" s="1650" t="s">
        <v>1799</v>
      </c>
      <c r="E344" s="1428" t="s">
        <v>1804</v>
      </c>
    </row>
    <row r="345" spans="1:12" ht="14.4">
      <c r="A345" s="1650"/>
    </row>
    <row r="346" spans="1:12" ht="14.4">
      <c r="A346" s="1650" t="s">
        <v>1800</v>
      </c>
      <c r="E346" s="1428" t="s">
        <v>1123</v>
      </c>
    </row>
    <row r="347" spans="1:12" ht="14.4">
      <c r="A347" s="1650"/>
    </row>
    <row r="348" spans="1:12" ht="14.4">
      <c r="A348" s="1679" t="s">
        <v>1801</v>
      </c>
      <c r="B348" s="1443"/>
      <c r="C348" s="1693"/>
      <c r="D348" s="1443"/>
      <c r="E348" s="1693" t="s">
        <v>1825</v>
      </c>
      <c r="F348" s="1443"/>
      <c r="G348" s="1443"/>
      <c r="H348" s="1443"/>
      <c r="I348" s="1443"/>
      <c r="J348" s="1443"/>
      <c r="K348" s="1443"/>
      <c r="L348" s="1443"/>
    </row>
    <row r="349" spans="1:12" ht="14.4">
      <c r="A349" s="1679"/>
      <c r="B349" s="1443"/>
      <c r="C349" s="1693" t="s">
        <v>1820</v>
      </c>
      <c r="D349" s="1443"/>
      <c r="E349" s="1443"/>
      <c r="F349" s="1443"/>
      <c r="G349" s="1443"/>
      <c r="H349" s="1443" t="s">
        <v>1822</v>
      </c>
      <c r="I349" s="1694" t="s">
        <v>1824</v>
      </c>
      <c r="J349" s="1694"/>
      <c r="K349" s="1694"/>
      <c r="L349" s="1443"/>
    </row>
    <row r="350" spans="1:12" s="1674" customFormat="1" ht="14.4">
      <c r="A350" s="1679"/>
      <c r="B350" s="1443"/>
      <c r="C350" s="1693"/>
      <c r="D350" s="1443"/>
      <c r="E350" s="1693"/>
      <c r="F350" s="1443"/>
      <c r="G350" s="1443"/>
      <c r="H350" s="1443" t="s">
        <v>1821</v>
      </c>
      <c r="I350" s="1443" t="s">
        <v>1823</v>
      </c>
      <c r="J350" s="1443"/>
      <c r="K350" s="1443"/>
      <c r="L350" s="1443"/>
    </row>
    <row r="351" spans="1:12" s="1674" customFormat="1" ht="14.4">
      <c r="A351" s="1650"/>
      <c r="C351" s="1428"/>
      <c r="E351" s="1428"/>
    </row>
    <row r="352" spans="1:12" s="1674" customFormat="1" ht="14.4">
      <c r="A352" s="1650"/>
      <c r="C352" s="1428"/>
      <c r="E352" s="1428"/>
    </row>
    <row r="353" spans="1:9" s="1674" customFormat="1" ht="14.4">
      <c r="A353" s="1650"/>
      <c r="C353" s="1428"/>
      <c r="E353" s="1428"/>
    </row>
    <row r="354" spans="1:9" ht="14.4">
      <c r="A354" s="1650" t="s">
        <v>1802</v>
      </c>
      <c r="E354" s="1428" t="s">
        <v>1123</v>
      </c>
    </row>
    <row r="355" spans="1:9" s="1674" customFormat="1" ht="14.4">
      <c r="A355" s="1650"/>
      <c r="C355" s="1428"/>
      <c r="E355" s="1428"/>
    </row>
    <row r="356" spans="1:9" s="1674" customFormat="1" ht="14.4">
      <c r="A356" s="1650"/>
      <c r="C356" s="1428"/>
      <c r="E356" s="1428"/>
    </row>
    <row r="357" spans="1:9" ht="15">
      <c r="A357" s="1650"/>
      <c r="B357" s="1680" t="s">
        <v>1806</v>
      </c>
      <c r="E357" s="2128" t="s">
        <v>1813</v>
      </c>
      <c r="F357" s="2128"/>
      <c r="G357" s="2128"/>
      <c r="H357" s="1684"/>
      <c r="I357" s="1685">
        <v>1987197</v>
      </c>
    </row>
    <row r="358" spans="1:9" ht="15.6" thickBot="1">
      <c r="B358" s="1680" t="s">
        <v>1807</v>
      </c>
      <c r="C358" s="1681">
        <v>1773140</v>
      </c>
      <c r="E358" s="1686" t="s">
        <v>22</v>
      </c>
      <c r="F358" s="1684"/>
      <c r="G358" s="1684"/>
      <c r="H358" s="1684"/>
      <c r="I358" s="1687">
        <v>856232</v>
      </c>
    </row>
    <row r="359" spans="1:9" ht="15">
      <c r="C359" s="1681">
        <v>157970</v>
      </c>
      <c r="E359" s="1684"/>
      <c r="F359" s="1684"/>
      <c r="G359" s="1684"/>
      <c r="H359" s="1684"/>
      <c r="I359" s="1684"/>
    </row>
    <row r="360" spans="1:9" ht="15.6" thickBot="1">
      <c r="B360" s="1680" t="s">
        <v>1808</v>
      </c>
      <c r="C360" s="1681">
        <v>0</v>
      </c>
      <c r="E360" s="1686" t="s">
        <v>23</v>
      </c>
      <c r="F360" s="1684"/>
      <c r="G360" s="1684"/>
      <c r="H360" s="1684"/>
      <c r="I360" s="1688">
        <v>1130965</v>
      </c>
    </row>
    <row r="361" spans="1:9" ht="15.6" thickTop="1">
      <c r="C361" s="1681">
        <v>373485</v>
      </c>
      <c r="E361" s="1684"/>
      <c r="F361" s="1684"/>
      <c r="G361" s="1684"/>
      <c r="H361" s="1684"/>
      <c r="I361" s="1684"/>
    </row>
    <row r="362" spans="1:9" ht="15">
      <c r="B362" s="1680" t="s">
        <v>1809</v>
      </c>
      <c r="C362" s="1681">
        <v>7488148</v>
      </c>
      <c r="E362" s="1686" t="s">
        <v>12</v>
      </c>
      <c r="F362" s="1684"/>
      <c r="G362" s="1684"/>
      <c r="H362" s="1684"/>
      <c r="I362" s="1685">
        <v>907195</v>
      </c>
    </row>
    <row r="363" spans="1:9" ht="15.6" thickBot="1">
      <c r="C363" s="1681">
        <v>0</v>
      </c>
      <c r="E363" s="2128" t="s">
        <v>24</v>
      </c>
      <c r="F363" s="2128"/>
      <c r="G363" s="1684"/>
      <c r="H363" s="1684"/>
      <c r="I363" s="1689">
        <v>304516</v>
      </c>
    </row>
    <row r="364" spans="1:9" ht="15">
      <c r="B364" s="1680" t="s">
        <v>1810</v>
      </c>
      <c r="C364" s="1681">
        <v>0</v>
      </c>
      <c r="E364" s="1684"/>
      <c r="F364" s="1684"/>
      <c r="G364" s="1684"/>
      <c r="H364" s="1684"/>
      <c r="I364" s="1684"/>
    </row>
    <row r="365" spans="1:9" ht="15.6" thickBot="1">
      <c r="C365" s="1681">
        <v>1987197</v>
      </c>
      <c r="E365" s="2128" t="s">
        <v>25</v>
      </c>
      <c r="F365" s="2128"/>
      <c r="G365" s="1684"/>
      <c r="H365" s="1684"/>
      <c r="I365" s="1688">
        <v>602679</v>
      </c>
    </row>
    <row r="366" spans="1:9" ht="15.6" thickTop="1">
      <c r="B366" s="1680" t="s">
        <v>45</v>
      </c>
      <c r="C366" s="1681">
        <v>907195</v>
      </c>
      <c r="E366" s="1684"/>
      <c r="F366" s="1684"/>
      <c r="G366" s="1684"/>
      <c r="H366" s="1684"/>
      <c r="I366" s="1684"/>
    </row>
    <row r="367" spans="1:9" ht="30" customHeight="1">
      <c r="C367" s="1681">
        <v>719277</v>
      </c>
      <c r="E367" s="2128" t="s">
        <v>26</v>
      </c>
      <c r="F367" s="2128"/>
      <c r="G367" s="2128"/>
      <c r="H367" s="1684"/>
      <c r="I367" s="1685">
        <v>2894392</v>
      </c>
    </row>
    <row r="368" spans="1:9" ht="15.6" thickBot="1">
      <c r="B368" s="1680" t="s">
        <v>43</v>
      </c>
      <c r="C368" s="1487">
        <f>SUM(C358:C367)</f>
        <v>13406412</v>
      </c>
      <c r="E368" s="1686" t="s">
        <v>27</v>
      </c>
      <c r="F368" s="1684"/>
      <c r="G368" s="1684"/>
      <c r="H368" s="1684"/>
      <c r="I368" s="1689">
        <v>1160748</v>
      </c>
    </row>
    <row r="369" spans="2:9" ht="15">
      <c r="E369" s="1684"/>
      <c r="F369" s="1684"/>
      <c r="G369" s="1684"/>
      <c r="H369" s="1684"/>
      <c r="I369" s="1684"/>
    </row>
    <row r="370" spans="2:9" ht="15.6" thickBot="1">
      <c r="B370" s="1680" t="s">
        <v>44</v>
      </c>
      <c r="E370" s="1686" t="s">
        <v>28</v>
      </c>
      <c r="F370" s="1684"/>
      <c r="G370" s="1684"/>
      <c r="H370" s="1684"/>
      <c r="I370" s="1688">
        <v>1733644</v>
      </c>
    </row>
    <row r="371" spans="2:9" ht="15.6" thickTop="1">
      <c r="E371" s="1684"/>
      <c r="F371" s="1684"/>
      <c r="G371" s="1684"/>
      <c r="H371" s="1684"/>
      <c r="I371" s="1684"/>
    </row>
    <row r="372" spans="2:9" ht="15">
      <c r="B372" s="1680" t="s">
        <v>1811</v>
      </c>
      <c r="E372" s="2128" t="s">
        <v>29</v>
      </c>
      <c r="F372" s="2128"/>
      <c r="G372" s="1684"/>
      <c r="H372" s="1684"/>
      <c r="I372" s="1684"/>
    </row>
    <row r="373" spans="2:9" ht="15">
      <c r="E373" s="1684"/>
      <c r="F373" s="1684"/>
      <c r="G373" s="1684"/>
      <c r="H373" s="1684"/>
      <c r="I373" s="1684"/>
    </row>
    <row r="374" spans="2:9" ht="60" customHeight="1">
      <c r="B374" s="1680" t="s">
        <v>12</v>
      </c>
      <c r="E374" s="1684"/>
      <c r="F374" s="1684"/>
      <c r="G374" s="2128" t="s">
        <v>1816</v>
      </c>
      <c r="H374" s="2128"/>
      <c r="I374" s="1690">
        <v>2137483</v>
      </c>
    </row>
    <row r="375" spans="2:9" ht="45.75" customHeight="1" thickBot="1">
      <c r="E375" s="1684"/>
      <c r="F375" s="1684"/>
      <c r="G375" s="2129" t="s">
        <v>1817</v>
      </c>
      <c r="H375" s="2129"/>
      <c r="I375" s="1684"/>
    </row>
    <row r="376" spans="2:9" ht="45" customHeight="1" thickBot="1">
      <c r="B376" s="1680" t="s">
        <v>1812</v>
      </c>
      <c r="E376" s="1684"/>
      <c r="F376" s="1684"/>
      <c r="G376" s="2128" t="s">
        <v>1818</v>
      </c>
      <c r="H376" s="2130"/>
      <c r="I376" s="1691">
        <v>-578878</v>
      </c>
    </row>
    <row r="377" spans="2:9" ht="26.4">
      <c r="E377" s="1684"/>
      <c r="F377" s="1684"/>
      <c r="G377" s="1686" t="s">
        <v>31</v>
      </c>
      <c r="H377" s="1684"/>
      <c r="I377" s="1690">
        <v>388063</v>
      </c>
    </row>
    <row r="378" spans="2:9" ht="26.4">
      <c r="B378" s="1682" t="s">
        <v>14</v>
      </c>
      <c r="E378" s="1684"/>
      <c r="F378" s="1684"/>
      <c r="G378" s="1686" t="s">
        <v>32</v>
      </c>
      <c r="H378" s="1684"/>
      <c r="I378" s="1690">
        <v>56383</v>
      </c>
    </row>
    <row r="379" spans="2:9" ht="15">
      <c r="B379" s="1683">
        <v>13406412</v>
      </c>
      <c r="E379" s="1684"/>
      <c r="F379" s="1684"/>
      <c r="G379" s="1686" t="s">
        <v>1814</v>
      </c>
      <c r="H379" s="1684"/>
      <c r="I379" s="1690">
        <v>74196</v>
      </c>
    </row>
    <row r="380" spans="2:9" ht="26.4">
      <c r="E380" s="1684"/>
      <c r="F380" s="1684"/>
      <c r="G380" s="1686" t="s">
        <v>70</v>
      </c>
      <c r="H380" s="1684"/>
      <c r="I380" s="1690">
        <v>11352</v>
      </c>
    </row>
    <row r="381" spans="2:9" ht="75" customHeight="1" thickBot="1">
      <c r="E381" s="1684"/>
      <c r="F381" s="1684"/>
      <c r="G381" s="2128" t="s">
        <v>1261</v>
      </c>
      <c r="H381" s="2128"/>
      <c r="I381" s="1687">
        <v>291114</v>
      </c>
    </row>
    <row r="382" spans="2:9" ht="15">
      <c r="E382" s="1684"/>
      <c r="F382" s="1684"/>
      <c r="G382" s="1684"/>
      <c r="H382" s="1684"/>
      <c r="I382" s="1684"/>
    </row>
    <row r="383" spans="2:9" ht="27" thickBot="1">
      <c r="E383" s="1684"/>
      <c r="F383" s="1684"/>
      <c r="G383" s="1686" t="s">
        <v>1815</v>
      </c>
      <c r="H383" s="1684"/>
      <c r="I383" s="1689">
        <v>2379713</v>
      </c>
    </row>
    <row r="384" spans="2:9" ht="15">
      <c r="E384" s="1684"/>
      <c r="F384" s="1684"/>
      <c r="G384" s="1684"/>
      <c r="H384" s="1684"/>
      <c r="I384" s="1684"/>
    </row>
    <row r="385" spans="5:9" ht="15.6" thickBot="1">
      <c r="E385" s="1684"/>
      <c r="F385" s="1684"/>
      <c r="G385" s="1686" t="s">
        <v>34</v>
      </c>
      <c r="H385" s="1684"/>
      <c r="I385" s="1688">
        <v>-646069</v>
      </c>
    </row>
    <row r="386" spans="5:9" ht="15.6" thickTop="1">
      <c r="E386" s="1684"/>
      <c r="F386" s="1684"/>
      <c r="G386" s="1684"/>
      <c r="H386" s="1684"/>
      <c r="I386" s="1684"/>
    </row>
    <row r="387" spans="5:9" ht="26.4">
      <c r="E387" s="1684"/>
      <c r="F387" s="1684"/>
      <c r="G387" s="1686" t="s">
        <v>35</v>
      </c>
      <c r="H387" s="1684"/>
      <c r="I387" s="1692">
        <v>2.19</v>
      </c>
    </row>
    <row r="388" spans="5:9" ht="15">
      <c r="E388" s="1684"/>
      <c r="F388" s="1684"/>
      <c r="G388" s="1684"/>
      <c r="H388" s="1684"/>
      <c r="I388" s="1692" t="s">
        <v>989</v>
      </c>
    </row>
    <row r="389" spans="5:9" ht="15">
      <c r="E389" s="1684"/>
      <c r="F389" s="1684"/>
      <c r="G389" s="1684"/>
      <c r="H389" s="1684"/>
      <c r="I389" s="1692">
        <v>1</v>
      </c>
    </row>
  </sheetData>
  <sortState xmlns:xlrd2="http://schemas.microsoft.com/office/spreadsheetml/2017/richdata2" ref="J7:L25">
    <sortCondition ref="J7:J25"/>
  </sortState>
  <mergeCells count="11">
    <mergeCell ref="G381:H381"/>
    <mergeCell ref="E367:G367"/>
    <mergeCell ref="E372:F372"/>
    <mergeCell ref="G374:H374"/>
    <mergeCell ref="G375:H375"/>
    <mergeCell ref="G376:H376"/>
    <mergeCell ref="A116:K116"/>
    <mergeCell ref="A117:E117"/>
    <mergeCell ref="E357:G357"/>
    <mergeCell ref="E363:F363"/>
    <mergeCell ref="E365:F365"/>
  </mergeCells>
  <conditionalFormatting sqref="B57:B59">
    <cfRule type="containsText" dxfId="5" priority="7" operator="containsText" text="fix">
      <formula>NOT(ISERROR(SEARCH("fix",B57)))</formula>
    </cfRule>
  </conditionalFormatting>
  <conditionalFormatting sqref="B60">
    <cfRule type="containsText" dxfId="4" priority="6" operator="containsText" text="fix">
      <formula>NOT(ISERROR(SEARCH("fix",B60)))</formula>
    </cfRule>
  </conditionalFormatting>
  <conditionalFormatting sqref="B67:B68">
    <cfRule type="containsText" dxfId="3" priority="5" operator="containsText" text="fix">
      <formula>NOT(ISERROR(SEARCH("fix",B67)))</formula>
    </cfRule>
  </conditionalFormatting>
  <conditionalFormatting sqref="B74">
    <cfRule type="containsText" dxfId="2" priority="4" operator="containsText" text="fix">
      <formula>NOT(ISERROR(SEARCH("fix",B74)))</formula>
    </cfRule>
  </conditionalFormatting>
  <conditionalFormatting sqref="B81:B82">
    <cfRule type="cellIs" dxfId="1" priority="3" operator="notEqual">
      <formula>0</formula>
    </cfRule>
  </conditionalFormatting>
  <conditionalFormatting sqref="B40:B48">
    <cfRule type="cellIs" dxfId="0" priority="1" operator="notEqual">
      <formula>0</formula>
    </cfRule>
  </conditionalFormatting>
  <pageMargins left="0.7" right="0.7" top="0.75" bottom="0.75" header="0.3" footer="0.3"/>
  <pageSetup fitToHeight="0" orientation="landscape" r:id="rId1"/>
  <customProperties>
    <customPr name="OrphanNamesChecked" r:id="rId2"/>
  </customPropertie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dimension ref="A1:FX210"/>
  <sheetViews>
    <sheetView showGridLines="0" view="pageBreakPreview" zoomScaleNormal="100" zoomScaleSheetLayoutView="100" workbookViewId="0">
      <pane ySplit="4" topLeftCell="A95" activePane="bottomLeft" state="frozen"/>
      <selection activeCell="B159" sqref="B159"/>
      <selection pane="bottomLeft" activeCell="G118" sqref="G118"/>
    </sheetView>
  </sheetViews>
  <sheetFormatPr defaultColWidth="8.90625" defaultRowHeight="12" customHeight="1"/>
  <cols>
    <col min="1" max="1" width="4.1796875" style="966" customWidth="1"/>
    <col min="2" max="2" width="3.08984375" style="1057" hidden="1" customWidth="1"/>
    <col min="3" max="3" width="23.81640625" style="966" hidden="1" customWidth="1"/>
    <col min="4" max="4" width="9.6328125" style="1015" hidden="1" customWidth="1"/>
    <col min="5" max="5" width="0" style="966" hidden="1" customWidth="1"/>
    <col min="6" max="6" width="3.08984375" style="1057" bestFit="1" customWidth="1"/>
    <col min="7" max="7" width="23.81640625" style="966" bestFit="1" customWidth="1"/>
    <col min="8" max="8" width="10.81640625" style="966" customWidth="1"/>
    <col min="10" max="10" width="3.08984375" style="1057" bestFit="1" customWidth="1"/>
    <col min="11" max="11" width="26.81640625" style="966" bestFit="1" customWidth="1"/>
    <col min="12" max="16384" width="8.90625" style="966"/>
  </cols>
  <sheetData>
    <row r="1" spans="2:13" ht="12" customHeight="1">
      <c r="B1" s="966"/>
      <c r="D1" s="1057"/>
      <c r="I1" s="1057"/>
      <c r="J1" s="966"/>
    </row>
    <row r="2" spans="2:13" ht="12" customHeight="1" thickBot="1">
      <c r="B2" s="1226"/>
      <c r="C2" s="1227"/>
      <c r="D2" s="1228"/>
      <c r="E2" s="1227"/>
      <c r="G2" s="1227" t="s">
        <v>1341</v>
      </c>
      <c r="H2" s="1227"/>
      <c r="I2" s="1226"/>
      <c r="J2" s="1226"/>
      <c r="K2" s="1226"/>
      <c r="L2" s="1226"/>
      <c r="M2" s="1226"/>
    </row>
    <row r="3" spans="2:13" ht="12" customHeight="1">
      <c r="C3" s="1012" t="s">
        <v>1340</v>
      </c>
      <c r="D3" s="966"/>
      <c r="G3" s="1012" t="s">
        <v>1415</v>
      </c>
      <c r="K3" s="1012" t="s">
        <v>1635</v>
      </c>
    </row>
    <row r="4" spans="2:13" ht="12" customHeight="1">
      <c r="C4" s="1054" t="s">
        <v>0</v>
      </c>
      <c r="D4" s="1055" t="s">
        <v>257</v>
      </c>
      <c r="G4" s="1054" t="s">
        <v>0</v>
      </c>
      <c r="H4" s="1055" t="s">
        <v>257</v>
      </c>
      <c r="K4" s="1054" t="s">
        <v>0</v>
      </c>
      <c r="L4" s="1055" t="s">
        <v>257</v>
      </c>
    </row>
    <row r="5" spans="2:13" ht="12" customHeight="1">
      <c r="B5" s="966">
        <v>1</v>
      </c>
      <c r="C5" s="1013" t="s">
        <v>698</v>
      </c>
      <c r="D5" s="1011" t="s">
        <v>258</v>
      </c>
      <c r="E5" s="966" t="b">
        <f t="shared" ref="E5:E21" si="0">C5=G5</f>
        <v>1</v>
      </c>
      <c r="F5" s="966">
        <v>1</v>
      </c>
      <c r="G5" s="1013" t="s">
        <v>698</v>
      </c>
      <c r="H5" s="1011" t="str">
        <f>VLOOKUP(G5,'Area (&amp;golfacre for lookup)'!$A$2:$B$159,2,FALSE)</f>
        <v>BOCA</v>
      </c>
      <c r="J5" s="966">
        <v>1</v>
      </c>
      <c r="K5" s="1011" t="s">
        <v>698</v>
      </c>
      <c r="L5" s="1011" t="str">
        <f>VLOOKUP(K5,'Area (&amp;golfacre for lookup)'!$A$2:$B$159,2,FALSE)</f>
        <v>BOCA</v>
      </c>
      <c r="M5" s="1524" t="b">
        <f t="shared" ref="M5:M21" si="1">K5=G5</f>
        <v>1</v>
      </c>
    </row>
    <row r="6" spans="2:13" ht="12" customHeight="1">
      <c r="B6" s="966">
        <v>2</v>
      </c>
      <c r="C6" s="1011" t="s">
        <v>1405</v>
      </c>
      <c r="D6" s="1011" t="s">
        <v>258</v>
      </c>
      <c r="E6" s="966" t="b">
        <f t="shared" si="0"/>
        <v>1</v>
      </c>
      <c r="F6" s="966">
        <v>2</v>
      </c>
      <c r="G6" s="1011" t="s">
        <v>1405</v>
      </c>
      <c r="H6" s="1011" t="str">
        <f>VLOOKUP(G6,'Area (&amp;golfacre for lookup)'!$A$2:$B$159,2,FALSE)</f>
        <v>BOCA</v>
      </c>
      <c r="J6" s="966">
        <v>2</v>
      </c>
      <c r="K6" s="1011" t="s">
        <v>1405</v>
      </c>
      <c r="L6" s="1011" t="str">
        <f>VLOOKUP(K6,'Area (&amp;golfacre for lookup)'!$A$2:$B$159,2,FALSE)</f>
        <v>BOCA</v>
      </c>
      <c r="M6" s="1524" t="b">
        <f t="shared" si="1"/>
        <v>1</v>
      </c>
    </row>
    <row r="7" spans="2:13" s="1012" customFormat="1" ht="12" customHeight="1">
      <c r="B7" s="966">
        <v>3</v>
      </c>
      <c r="C7" s="1011" t="s">
        <v>957</v>
      </c>
      <c r="D7" s="1011" t="s">
        <v>258</v>
      </c>
      <c r="E7" s="966" t="b">
        <f t="shared" si="0"/>
        <v>1</v>
      </c>
      <c r="F7" s="966">
        <v>3</v>
      </c>
      <c r="G7" s="1011" t="s">
        <v>957</v>
      </c>
      <c r="H7" s="1011" t="str">
        <f>VLOOKUP(G7,'Area (&amp;golfacre for lookup)'!$A$2:$B$159,2,FALSE)</f>
        <v>BOCA</v>
      </c>
      <c r="J7" s="966">
        <v>3</v>
      </c>
      <c r="K7" s="1011" t="s">
        <v>957</v>
      </c>
      <c r="L7" s="1011" t="str">
        <f>VLOOKUP(K7,'Area (&amp;golfacre for lookup)'!$A$2:$B$159,2,FALSE)</f>
        <v>BOCA</v>
      </c>
      <c r="M7" s="1524" t="b">
        <f t="shared" si="1"/>
        <v>1</v>
      </c>
    </row>
    <row r="8" spans="2:13" ht="12" customHeight="1">
      <c r="B8" s="966">
        <v>4</v>
      </c>
      <c r="C8" s="1013" t="s">
        <v>1325</v>
      </c>
      <c r="D8" s="1011" t="s">
        <v>258</v>
      </c>
      <c r="E8" s="966" t="b">
        <f t="shared" si="0"/>
        <v>1</v>
      </c>
      <c r="F8" s="966">
        <v>4</v>
      </c>
      <c r="G8" s="1013" t="s">
        <v>1325</v>
      </c>
      <c r="H8" s="1011" t="str">
        <f>VLOOKUP(G8,'Area (&amp;golfacre for lookup)'!$A$2:$B$159,2,FALSE)</f>
        <v>BOCA</v>
      </c>
      <c r="I8" s="565"/>
      <c r="J8" s="966">
        <v>4</v>
      </c>
      <c r="K8" s="1011" t="s">
        <v>1325</v>
      </c>
      <c r="L8" s="1011" t="str">
        <f>VLOOKUP(K8,'Area (&amp;golfacre for lookup)'!$A$2:$B$159,2,FALSE)</f>
        <v>BOCA</v>
      </c>
      <c r="M8" s="1524" t="b">
        <f t="shared" si="1"/>
        <v>1</v>
      </c>
    </row>
    <row r="9" spans="2:13" s="565" customFormat="1" ht="12" customHeight="1">
      <c r="B9" s="966">
        <v>5</v>
      </c>
      <c r="C9" s="1013" t="s">
        <v>637</v>
      </c>
      <c r="D9" s="1011" t="s">
        <v>258</v>
      </c>
      <c r="E9" s="966" t="b">
        <f t="shared" si="0"/>
        <v>1</v>
      </c>
      <c r="F9" s="966">
        <v>5</v>
      </c>
      <c r="G9" s="1013" t="s">
        <v>637</v>
      </c>
      <c r="H9" s="1011" t="str">
        <f>VLOOKUP(G9,'Area (&amp;golfacre for lookup)'!$A$2:$B$159,2,FALSE)</f>
        <v>BOCA</v>
      </c>
      <c r="J9" s="966">
        <v>5</v>
      </c>
      <c r="K9" s="1011" t="s">
        <v>637</v>
      </c>
      <c r="L9" s="1011" t="str">
        <f>VLOOKUP(K9,'Area (&amp;golfacre for lookup)'!$A$2:$B$159,2,FALSE)</f>
        <v>BOCA</v>
      </c>
      <c r="M9" s="1524" t="b">
        <f t="shared" si="1"/>
        <v>1</v>
      </c>
    </row>
    <row r="10" spans="2:13" s="565" customFormat="1" ht="12" customHeight="1">
      <c r="B10" s="966">
        <v>6</v>
      </c>
      <c r="C10" s="1013" t="s">
        <v>1316</v>
      </c>
      <c r="D10" s="1011" t="s">
        <v>258</v>
      </c>
      <c r="E10" s="966" t="b">
        <f t="shared" si="0"/>
        <v>1</v>
      </c>
      <c r="F10" s="966">
        <v>6</v>
      </c>
      <c r="G10" s="1013" t="s">
        <v>1316</v>
      </c>
      <c r="H10" s="1011" t="e">
        <f>VLOOKUP(G10,'Area (&amp;golfacre for lookup)'!$A$2:$B$159,2,FALSE)</f>
        <v>#N/A</v>
      </c>
      <c r="J10" s="966">
        <v>6</v>
      </c>
      <c r="K10" s="1011" t="s">
        <v>1316</v>
      </c>
      <c r="L10" s="1011" t="e">
        <f>VLOOKUP(K10,'Area (&amp;golfacre for lookup)'!$A$2:$B$159,2,FALSE)</f>
        <v>#N/A</v>
      </c>
      <c r="M10" s="1524" t="b">
        <f t="shared" si="1"/>
        <v>1</v>
      </c>
    </row>
    <row r="11" spans="2:13" s="565" customFormat="1" ht="12" customHeight="1">
      <c r="B11" s="966">
        <v>7</v>
      </c>
      <c r="C11" s="1013" t="s">
        <v>1006</v>
      </c>
      <c r="D11" s="1011" t="s">
        <v>258</v>
      </c>
      <c r="E11" s="966" t="b">
        <f t="shared" si="0"/>
        <v>1</v>
      </c>
      <c r="F11" s="966">
        <v>7</v>
      </c>
      <c r="G11" s="1013" t="s">
        <v>1006</v>
      </c>
      <c r="H11" s="1011" t="str">
        <f>VLOOKUP(G11,'Area (&amp;golfacre for lookup)'!$A$2:$B$159,2,FALSE)</f>
        <v>BOCA</v>
      </c>
      <c r="J11" s="966">
        <v>7</v>
      </c>
      <c r="K11" s="1011" t="s">
        <v>1006</v>
      </c>
      <c r="L11" s="1011" t="str">
        <f>VLOOKUP(K11,'Area (&amp;golfacre for lookup)'!$A$2:$B$159,2,FALSE)</f>
        <v>BOCA</v>
      </c>
      <c r="M11" s="1524" t="b">
        <f t="shared" si="1"/>
        <v>1</v>
      </c>
    </row>
    <row r="12" spans="2:13" s="565" customFormat="1" ht="12" customHeight="1">
      <c r="B12" s="966">
        <v>8</v>
      </c>
      <c r="C12" s="1013" t="s">
        <v>1323</v>
      </c>
      <c r="D12" s="1011" t="s">
        <v>258</v>
      </c>
      <c r="E12" s="966" t="b">
        <f t="shared" si="0"/>
        <v>1</v>
      </c>
      <c r="F12" s="966">
        <v>8</v>
      </c>
      <c r="G12" s="1013" t="s">
        <v>1323</v>
      </c>
      <c r="H12" s="1011" t="str">
        <f>VLOOKUP(G12,'Area (&amp;golfacre for lookup)'!$A$2:$B$159,2,FALSE)</f>
        <v>BOCA</v>
      </c>
      <c r="J12" s="966">
        <v>8</v>
      </c>
      <c r="K12" s="1011" t="s">
        <v>1323</v>
      </c>
      <c r="L12" s="1011" t="str">
        <f>VLOOKUP(K12,'Area (&amp;golfacre for lookup)'!$A$2:$B$159,2,FALSE)</f>
        <v>BOCA</v>
      </c>
      <c r="M12" s="1524" t="b">
        <f t="shared" si="1"/>
        <v>1</v>
      </c>
    </row>
    <row r="13" spans="2:13" s="565" customFormat="1" ht="12" customHeight="1">
      <c r="B13" s="966">
        <v>9</v>
      </c>
      <c r="C13" s="1013" t="s">
        <v>1326</v>
      </c>
      <c r="D13" s="1011" t="s">
        <v>258</v>
      </c>
      <c r="E13" s="966" t="b">
        <f t="shared" si="0"/>
        <v>1</v>
      </c>
      <c r="F13" s="966">
        <v>9</v>
      </c>
      <c r="G13" s="1013" t="s">
        <v>1326</v>
      </c>
      <c r="H13" s="1011" t="str">
        <f>VLOOKUP(G13,'Area (&amp;golfacre for lookup)'!$A$2:$B$159,2,FALSE)</f>
        <v>BOCA</v>
      </c>
      <c r="J13" s="966">
        <v>9</v>
      </c>
      <c r="K13" s="1011" t="s">
        <v>1326</v>
      </c>
      <c r="L13" s="1011" t="str">
        <f>VLOOKUP(K13,'Area (&amp;golfacre for lookup)'!$A$2:$B$159,2,FALSE)</f>
        <v>BOCA</v>
      </c>
      <c r="M13" s="1524" t="b">
        <f t="shared" si="1"/>
        <v>1</v>
      </c>
    </row>
    <row r="14" spans="2:13" s="565" customFormat="1" ht="12" customHeight="1">
      <c r="B14" s="966">
        <v>10</v>
      </c>
      <c r="C14" s="1013" t="s">
        <v>550</v>
      </c>
      <c r="D14" s="1011" t="s">
        <v>258</v>
      </c>
      <c r="E14" s="966" t="b">
        <f t="shared" si="0"/>
        <v>1</v>
      </c>
      <c r="F14" s="966">
        <v>10</v>
      </c>
      <c r="G14" s="1013" t="s">
        <v>550</v>
      </c>
      <c r="H14" s="1011" t="str">
        <f>VLOOKUP(G14,'Area (&amp;golfacre for lookup)'!$A$2:$B$159,2,FALSE)</f>
        <v>BOCA</v>
      </c>
      <c r="J14" s="966">
        <v>10</v>
      </c>
      <c r="K14" s="1011" t="s">
        <v>550</v>
      </c>
      <c r="L14" s="1011" t="str">
        <f>VLOOKUP(K14,'Area (&amp;golfacre for lookup)'!$A$2:$B$159,2,FALSE)</f>
        <v>BOCA</v>
      </c>
      <c r="M14" s="1524" t="b">
        <f t="shared" si="1"/>
        <v>1</v>
      </c>
    </row>
    <row r="15" spans="2:13" s="565" customFormat="1" ht="12" customHeight="1">
      <c r="B15" s="966">
        <v>11</v>
      </c>
      <c r="C15" s="1013" t="s">
        <v>995</v>
      </c>
      <c r="D15" s="1011" t="s">
        <v>258</v>
      </c>
      <c r="E15" s="966" t="b">
        <f t="shared" si="0"/>
        <v>1</v>
      </c>
      <c r="F15" s="966">
        <v>11</v>
      </c>
      <c r="G15" s="1013" t="s">
        <v>995</v>
      </c>
      <c r="H15" s="1011" t="str">
        <f>VLOOKUP(G15,'Area (&amp;golfacre for lookup)'!$A$2:$B$159,2,FALSE)</f>
        <v>BOCA</v>
      </c>
      <c r="J15" s="966">
        <v>11</v>
      </c>
      <c r="K15" s="1011" t="s">
        <v>995</v>
      </c>
      <c r="L15" s="1011" t="str">
        <f>VLOOKUP(K15,'Area (&amp;golfacre for lookup)'!$A$2:$B$159,2,FALSE)</f>
        <v>BOCA</v>
      </c>
      <c r="M15" s="1524" t="b">
        <f t="shared" si="1"/>
        <v>1</v>
      </c>
    </row>
    <row r="16" spans="2:13" s="565" customFormat="1" ht="12" customHeight="1">
      <c r="B16" s="966">
        <v>12</v>
      </c>
      <c r="C16" s="1011" t="s">
        <v>1145</v>
      </c>
      <c r="D16" s="1011" t="s">
        <v>258</v>
      </c>
      <c r="E16" s="966" t="b">
        <f t="shared" si="0"/>
        <v>0</v>
      </c>
      <c r="F16" s="966">
        <v>12</v>
      </c>
      <c r="G16" s="1011" t="s">
        <v>1008</v>
      </c>
      <c r="H16" s="1011" t="str">
        <f>VLOOKUP(G16,'Area (&amp;golfacre for lookup)'!$A$2:$B$159,2,FALSE)</f>
        <v>BOCA</v>
      </c>
      <c r="J16" s="966">
        <v>12</v>
      </c>
      <c r="K16" s="1011" t="s">
        <v>1008</v>
      </c>
      <c r="L16" s="1011" t="str">
        <f>VLOOKUP(K20,'Area (&amp;golfacre for lookup)'!$A$2:$B$159,2,FALSE)</f>
        <v>BOCA</v>
      </c>
      <c r="M16" s="1524" t="b">
        <f t="shared" si="1"/>
        <v>1</v>
      </c>
    </row>
    <row r="17" spans="1:13" s="565" customFormat="1" ht="12" customHeight="1">
      <c r="B17" s="966">
        <v>13</v>
      </c>
      <c r="C17" s="1011" t="s">
        <v>1628</v>
      </c>
      <c r="D17" s="1011" t="s">
        <v>258</v>
      </c>
      <c r="E17" s="966" t="b">
        <f t="shared" si="0"/>
        <v>1</v>
      </c>
      <c r="F17" s="966">
        <v>13</v>
      </c>
      <c r="G17" s="1011" t="s">
        <v>1628</v>
      </c>
      <c r="H17" s="1011" t="str">
        <f>VLOOKUP(G17,'Area (&amp;golfacre for lookup)'!$A$2:$B$159,2,FALSE)</f>
        <v>BOCA</v>
      </c>
      <c r="J17" s="966">
        <v>13</v>
      </c>
      <c r="K17" s="1011" t="s">
        <v>1628</v>
      </c>
      <c r="L17" s="1011" t="str">
        <f>VLOOKUP(K17,'Area (&amp;golfacre for lookup)'!$A$2:$B$159,2,FALSE)</f>
        <v>BOCA</v>
      </c>
      <c r="M17" s="1524" t="b">
        <f t="shared" si="1"/>
        <v>1</v>
      </c>
    </row>
    <row r="18" spans="1:13" s="565" customFormat="1" ht="12" customHeight="1">
      <c r="B18" s="966">
        <v>14</v>
      </c>
      <c r="C18" s="1011" t="s">
        <v>1331</v>
      </c>
      <c r="D18" s="1011" t="s">
        <v>258</v>
      </c>
      <c r="E18" s="966" t="b">
        <f t="shared" si="0"/>
        <v>1</v>
      </c>
      <c r="F18" s="966">
        <v>14</v>
      </c>
      <c r="G18" s="1011" t="s">
        <v>1331</v>
      </c>
      <c r="H18" s="1011" t="str">
        <f>VLOOKUP(G18,'Area (&amp;golfacre for lookup)'!$A$2:$B$159,2,FALSE)</f>
        <v>BOCA</v>
      </c>
      <c r="J18" s="966">
        <v>14</v>
      </c>
      <c r="K18" s="1011" t="s">
        <v>1331</v>
      </c>
      <c r="L18" s="1011" t="str">
        <f>VLOOKUP(K18,'Area (&amp;golfacre for lookup)'!$A$2:$B$159,2,FALSE)</f>
        <v>BOCA</v>
      </c>
      <c r="M18" s="1524" t="b">
        <f t="shared" si="1"/>
        <v>1</v>
      </c>
    </row>
    <row r="19" spans="1:13" s="565" customFormat="1" ht="12" customHeight="1">
      <c r="B19" s="966">
        <v>15</v>
      </c>
      <c r="C19" s="1013" t="s">
        <v>1012</v>
      </c>
      <c r="D19" s="1011" t="s">
        <v>258</v>
      </c>
      <c r="E19" s="966" t="b">
        <f t="shared" si="0"/>
        <v>1</v>
      </c>
      <c r="F19" s="966">
        <v>15</v>
      </c>
      <c r="G19" s="1013" t="s">
        <v>1012</v>
      </c>
      <c r="H19" s="1011" t="str">
        <f>VLOOKUP(G19,'Area (&amp;golfacre for lookup)'!$A$2:$B$159,2,FALSE)</f>
        <v>BOCA</v>
      </c>
      <c r="J19" s="966">
        <v>15</v>
      </c>
      <c r="K19" s="1011" t="s">
        <v>1012</v>
      </c>
      <c r="L19" s="1011" t="str">
        <f>VLOOKUP(K19,'Area (&amp;golfacre for lookup)'!$A$2:$B$159,2,FALSE)</f>
        <v>BOCA</v>
      </c>
      <c r="M19" s="1524" t="b">
        <f t="shared" si="1"/>
        <v>1</v>
      </c>
    </row>
    <row r="20" spans="1:13" s="565" customFormat="1" ht="12" customHeight="1">
      <c r="B20" s="966">
        <v>16</v>
      </c>
      <c r="C20" s="1011" t="s">
        <v>1402</v>
      </c>
      <c r="D20" s="1011" t="s">
        <v>258</v>
      </c>
      <c r="E20" s="966" t="b">
        <f t="shared" si="0"/>
        <v>1</v>
      </c>
      <c r="F20" s="966">
        <v>16</v>
      </c>
      <c r="G20" s="1011" t="s">
        <v>1402</v>
      </c>
      <c r="H20" s="1011" t="str">
        <f>VLOOKUP(G20,'Area (&amp;golfacre for lookup)'!$A$2:$B$159,2,FALSE)</f>
        <v>BOCA</v>
      </c>
      <c r="I20"/>
      <c r="J20" s="966">
        <v>16</v>
      </c>
      <c r="K20" s="1011" t="s">
        <v>1402</v>
      </c>
      <c r="L20" s="1011" t="str">
        <f>VLOOKUP(K20,'Area (&amp;golfacre for lookup)'!$A$2:$B$159,2,FALSE)</f>
        <v>BOCA</v>
      </c>
      <c r="M20" s="1524" t="b">
        <f t="shared" si="1"/>
        <v>1</v>
      </c>
    </row>
    <row r="21" spans="1:13" ht="12" customHeight="1">
      <c r="B21" s="966">
        <v>17</v>
      </c>
      <c r="C21" s="1013" t="s">
        <v>722</v>
      </c>
      <c r="D21" s="1011" t="s">
        <v>258</v>
      </c>
      <c r="E21" s="966" t="b">
        <f t="shared" si="0"/>
        <v>1</v>
      </c>
      <c r="F21" s="966">
        <v>17</v>
      </c>
      <c r="G21" s="1013" t="s">
        <v>722</v>
      </c>
      <c r="H21" s="1011" t="s">
        <v>258</v>
      </c>
      <c r="I21" s="565"/>
      <c r="J21" s="966">
        <v>17</v>
      </c>
      <c r="K21" s="1011" t="s">
        <v>722</v>
      </c>
      <c r="L21" s="1011" t="e">
        <f>VLOOKUP(K21,'Area (&amp;golfacre for lookup)'!$A$2:$B$159,2,FALSE)</f>
        <v>#N/A</v>
      </c>
      <c r="M21" s="1524" t="b">
        <f t="shared" si="1"/>
        <v>1</v>
      </c>
    </row>
    <row r="22" spans="1:13" s="565" customFormat="1" ht="12" customHeight="1">
      <c r="B22" s="966"/>
      <c r="C22" s="1011"/>
      <c r="D22" s="1011"/>
      <c r="G22" s="1011"/>
      <c r="H22" s="1011"/>
    </row>
    <row r="23" spans="1:13" s="565" customFormat="1" ht="12" customHeight="1">
      <c r="B23" s="966">
        <v>18</v>
      </c>
      <c r="C23" s="1013" t="s">
        <v>839</v>
      </c>
      <c r="D23" s="1011" t="s">
        <v>618</v>
      </c>
      <c r="E23" s="966" t="b">
        <f t="shared" ref="E23:E46" si="2">C23=G23</f>
        <v>1</v>
      </c>
      <c r="F23" s="966">
        <v>18</v>
      </c>
      <c r="G23" s="1013" t="s">
        <v>839</v>
      </c>
      <c r="H23" s="1011" t="str">
        <f>VLOOKUP(G23,'Area (&amp;golfacre for lookup)'!$A$2:$B$159,2,FALSE)</f>
        <v>North&amp;Central</v>
      </c>
      <c r="J23" s="966">
        <v>18</v>
      </c>
      <c r="K23" s="1011" t="s">
        <v>839</v>
      </c>
      <c r="L23" s="1011" t="str">
        <f>VLOOKUP(K23,'Area (&amp;golfacre for lookup)'!$A$2:$B$159,2,FALSE)</f>
        <v>North&amp;Central</v>
      </c>
      <c r="M23" s="1524" t="b">
        <f t="shared" ref="M23:M37" si="3">K23=G23</f>
        <v>1</v>
      </c>
    </row>
    <row r="24" spans="1:13" s="565" customFormat="1" ht="12" customHeight="1">
      <c r="B24" s="966">
        <v>19</v>
      </c>
      <c r="C24" s="1013" t="s">
        <v>1138</v>
      </c>
      <c r="D24" s="1011" t="s">
        <v>618</v>
      </c>
      <c r="E24" s="966" t="b">
        <f t="shared" si="2"/>
        <v>1</v>
      </c>
      <c r="F24" s="966">
        <v>19</v>
      </c>
      <c r="G24" s="1013" t="s">
        <v>1138</v>
      </c>
      <c r="H24" s="1011" t="str">
        <f>VLOOKUP(G24,'Area (&amp;golfacre for lookup)'!$A$2:$B$159,2,FALSE)</f>
        <v>North&amp;Central</v>
      </c>
      <c r="J24" s="966">
        <v>19</v>
      </c>
      <c r="K24" s="1011" t="s">
        <v>1138</v>
      </c>
      <c r="L24" s="1011" t="str">
        <f>VLOOKUP(K24,'Area (&amp;golfacre for lookup)'!$A$2:$B$159,2,FALSE)</f>
        <v>North&amp;Central</v>
      </c>
      <c r="M24" s="1524" t="b">
        <f t="shared" si="3"/>
        <v>1</v>
      </c>
    </row>
    <row r="25" spans="1:13" s="565" customFormat="1" ht="12" customHeight="1">
      <c r="A25" s="966"/>
      <c r="B25" s="966">
        <v>20</v>
      </c>
      <c r="C25" s="1011" t="s">
        <v>717</v>
      </c>
      <c r="D25" s="1011" t="s">
        <v>618</v>
      </c>
      <c r="E25" s="966" t="b">
        <f t="shared" si="2"/>
        <v>1</v>
      </c>
      <c r="F25" s="966">
        <v>20</v>
      </c>
      <c r="G25" s="1011" t="s">
        <v>717</v>
      </c>
      <c r="H25" s="1011" t="str">
        <f>VLOOKUP(G25,'Area (&amp;golfacre for lookup)'!$A$2:$B$159,2,FALSE)</f>
        <v>North&amp;Central</v>
      </c>
      <c r="J25" s="966">
        <v>20</v>
      </c>
      <c r="K25" s="1011" t="s">
        <v>717</v>
      </c>
      <c r="L25" s="1011" t="str">
        <f>VLOOKUP(K25,'Area (&amp;golfacre for lookup)'!$A$2:$B$159,2,FALSE)</f>
        <v>North&amp;Central</v>
      </c>
      <c r="M25" s="1524" t="b">
        <f t="shared" si="3"/>
        <v>1</v>
      </c>
    </row>
    <row r="26" spans="1:13" ht="12" customHeight="1">
      <c r="B26" s="966">
        <v>21</v>
      </c>
      <c r="C26" s="1011" t="s">
        <v>1305</v>
      </c>
      <c r="D26" s="1011" t="s">
        <v>618</v>
      </c>
      <c r="E26" s="966" t="b">
        <f t="shared" si="2"/>
        <v>1</v>
      </c>
      <c r="F26" s="966">
        <v>21</v>
      </c>
      <c r="G26" s="1011" t="s">
        <v>1305</v>
      </c>
      <c r="H26" s="1011" t="str">
        <f>VLOOKUP(G26,'Area (&amp;golfacre for lookup)'!$A$2:$B$159,2,FALSE)</f>
        <v>North&amp;Central</v>
      </c>
      <c r="J26" s="966">
        <v>21</v>
      </c>
      <c r="K26" s="1011" t="s">
        <v>1305</v>
      </c>
      <c r="L26" s="1011" t="str">
        <f>VLOOKUP(K26,'Area (&amp;golfacre for lookup)'!$A$2:$B$159,2,FALSE)</f>
        <v>North&amp;Central</v>
      </c>
      <c r="M26" s="1524" t="b">
        <f t="shared" si="3"/>
        <v>1</v>
      </c>
    </row>
    <row r="27" spans="1:13" ht="12" customHeight="1">
      <c r="B27" s="966">
        <v>22</v>
      </c>
      <c r="C27" s="1011" t="s">
        <v>1328</v>
      </c>
      <c r="D27" s="1011" t="s">
        <v>618</v>
      </c>
      <c r="E27" s="966" t="b">
        <f t="shared" si="2"/>
        <v>1</v>
      </c>
      <c r="F27" s="966">
        <v>22</v>
      </c>
      <c r="G27" s="1011" t="s">
        <v>1328</v>
      </c>
      <c r="H27" s="1011" t="str">
        <f>VLOOKUP(G27,'Area (&amp;golfacre for lookup)'!$A$2:$B$159,2,FALSE)</f>
        <v>North&amp;Central</v>
      </c>
      <c r="J27" s="966">
        <v>22</v>
      </c>
      <c r="K27" s="1011" t="s">
        <v>1328</v>
      </c>
      <c r="L27" s="1011" t="str">
        <f>VLOOKUP(K27,'Area (&amp;golfacre for lookup)'!$A$2:$B$159,2,FALSE)</f>
        <v>North&amp;Central</v>
      </c>
      <c r="M27" s="1524" t="b">
        <f t="shared" si="3"/>
        <v>1</v>
      </c>
    </row>
    <row r="28" spans="1:13" ht="12" customHeight="1">
      <c r="B28" s="966">
        <v>23</v>
      </c>
      <c r="C28" s="1013" t="s">
        <v>1027</v>
      </c>
      <c r="D28" s="1011" t="s">
        <v>618</v>
      </c>
      <c r="E28" s="966" t="b">
        <f t="shared" si="2"/>
        <v>1</v>
      </c>
      <c r="F28" s="966">
        <v>23</v>
      </c>
      <c r="G28" s="1013" t="s">
        <v>1027</v>
      </c>
      <c r="H28" s="1011" t="str">
        <f>VLOOKUP(G28,'Area (&amp;golfacre for lookup)'!$A$2:$B$159,2,FALSE)</f>
        <v>North&amp;Central</v>
      </c>
      <c r="J28" s="966">
        <v>23</v>
      </c>
      <c r="K28" s="1011" t="s">
        <v>1027</v>
      </c>
      <c r="L28" s="1011" t="str">
        <f>VLOOKUP(K28,'Area (&amp;golfacre for lookup)'!$A$2:$B$159,2,FALSE)</f>
        <v>North&amp;Central</v>
      </c>
      <c r="M28" s="1524" t="b">
        <f t="shared" si="3"/>
        <v>1</v>
      </c>
    </row>
    <row r="29" spans="1:13" ht="12" customHeight="1">
      <c r="B29" s="966">
        <v>24</v>
      </c>
      <c r="C29" s="1013" t="s">
        <v>1313</v>
      </c>
      <c r="D29" s="1011" t="s">
        <v>618</v>
      </c>
      <c r="E29" s="966" t="b">
        <f t="shared" si="2"/>
        <v>1</v>
      </c>
      <c r="F29" s="966">
        <v>24</v>
      </c>
      <c r="G29" s="1013" t="s">
        <v>1313</v>
      </c>
      <c r="H29" s="1011" t="str">
        <f>VLOOKUP(G29,'Area (&amp;golfacre for lookup)'!$A$2:$B$159,2,FALSE)</f>
        <v>North&amp;Central</v>
      </c>
      <c r="J29" s="966">
        <v>24</v>
      </c>
      <c r="K29" s="1011" t="s">
        <v>1313</v>
      </c>
      <c r="L29" s="1011" t="str">
        <f>VLOOKUP(K29,'Area (&amp;golfacre for lookup)'!$A$2:$B$159,2,FALSE)</f>
        <v>North&amp;Central</v>
      </c>
      <c r="M29" s="1524" t="b">
        <f t="shared" si="3"/>
        <v>1</v>
      </c>
    </row>
    <row r="30" spans="1:13" ht="12" customHeight="1">
      <c r="B30" s="966">
        <v>25</v>
      </c>
      <c r="C30" s="1011" t="s">
        <v>1623</v>
      </c>
      <c r="D30" s="1011" t="s">
        <v>618</v>
      </c>
      <c r="E30" s="966" t="b">
        <f t="shared" si="2"/>
        <v>1</v>
      </c>
      <c r="F30" s="966">
        <v>25</v>
      </c>
      <c r="G30" s="1011" t="s">
        <v>1623</v>
      </c>
      <c r="H30" s="1011" t="str">
        <f>VLOOKUP(G30,'Area (&amp;golfacre for lookup)'!$A$2:$B$159,2,FALSE)</f>
        <v>North&amp;Central</v>
      </c>
      <c r="J30" s="966">
        <v>25</v>
      </c>
      <c r="K30" s="1011" t="s">
        <v>1623</v>
      </c>
      <c r="L30" s="1011" t="str">
        <f>VLOOKUP(K30,'Area (&amp;golfacre for lookup)'!$A$2:$B$159,2,FALSE)</f>
        <v>North&amp;Central</v>
      </c>
      <c r="M30" s="1524" t="b">
        <f t="shared" si="3"/>
        <v>1</v>
      </c>
    </row>
    <row r="31" spans="1:13" ht="12" customHeight="1">
      <c r="B31" s="966">
        <v>26</v>
      </c>
      <c r="C31" s="1013" t="s">
        <v>679</v>
      </c>
      <c r="D31" s="1011" t="s">
        <v>618</v>
      </c>
      <c r="E31" s="966" t="b">
        <f t="shared" si="2"/>
        <v>1</v>
      </c>
      <c r="F31" s="966">
        <v>26</v>
      </c>
      <c r="G31" s="1013" t="s">
        <v>679</v>
      </c>
      <c r="H31" s="1011" t="str">
        <f>VLOOKUP(G31,'Area (&amp;golfacre for lookup)'!$A$2:$B$159,2,FALSE)</f>
        <v>North&amp;Central</v>
      </c>
      <c r="J31" s="966">
        <v>26</v>
      </c>
      <c r="K31" s="1011" t="s">
        <v>679</v>
      </c>
      <c r="L31" s="1011" t="str">
        <f>VLOOKUP(K31,'Area (&amp;golfacre for lookup)'!$A$2:$B$159,2,FALSE)</f>
        <v>North&amp;Central</v>
      </c>
      <c r="M31" s="1524" t="b">
        <f t="shared" si="3"/>
        <v>1</v>
      </c>
    </row>
    <row r="32" spans="1:13" ht="12" customHeight="1">
      <c r="B32" s="966">
        <v>27</v>
      </c>
      <c r="C32" s="1013" t="s">
        <v>1135</v>
      </c>
      <c r="D32" s="1011" t="s">
        <v>618</v>
      </c>
      <c r="E32" s="966" t="b">
        <f t="shared" si="2"/>
        <v>1</v>
      </c>
      <c r="F32" s="966">
        <v>27</v>
      </c>
      <c r="G32" s="1013" t="s">
        <v>1135</v>
      </c>
      <c r="H32" s="1011" t="str">
        <f>VLOOKUP(G32,'Area (&amp;golfacre for lookup)'!$A$2:$B$159,2,FALSE)</f>
        <v>North&amp;Central</v>
      </c>
      <c r="J32" s="966">
        <v>27</v>
      </c>
      <c r="K32" s="1011" t="s">
        <v>1135</v>
      </c>
      <c r="L32" s="1011" t="str">
        <f>VLOOKUP(K32,'Area (&amp;golfacre for lookup)'!$A$2:$B$159,2,FALSE)</f>
        <v>North&amp;Central</v>
      </c>
      <c r="M32" s="1524" t="b">
        <f t="shared" si="3"/>
        <v>1</v>
      </c>
    </row>
    <row r="33" spans="2:13" ht="12" customHeight="1">
      <c r="B33" s="966">
        <v>28</v>
      </c>
      <c r="C33" s="1011" t="s">
        <v>1409</v>
      </c>
      <c r="D33" s="1011" t="s">
        <v>618</v>
      </c>
      <c r="E33" s="966" t="b">
        <f t="shared" si="2"/>
        <v>1</v>
      </c>
      <c r="F33" s="966">
        <v>28</v>
      </c>
      <c r="G33" s="1011" t="s">
        <v>1409</v>
      </c>
      <c r="H33" s="1011" t="e">
        <f>VLOOKUP(G33,'Area (&amp;golfacre for lookup)'!$A$2:$B$159,2,FALSE)</f>
        <v>#N/A</v>
      </c>
      <c r="J33" s="966">
        <v>28</v>
      </c>
      <c r="K33" s="1011" t="s">
        <v>1409</v>
      </c>
      <c r="L33" s="1011" t="e">
        <f>VLOOKUP(K33,'Area (&amp;golfacre for lookup)'!$A$2:$B$159,2,FALSE)</f>
        <v>#N/A</v>
      </c>
      <c r="M33" s="1524" t="b">
        <f t="shared" si="3"/>
        <v>1</v>
      </c>
    </row>
    <row r="34" spans="2:13" ht="12" customHeight="1">
      <c r="B34" s="966">
        <v>29</v>
      </c>
      <c r="C34" s="1011" t="s">
        <v>1626</v>
      </c>
      <c r="D34" s="1011" t="s">
        <v>618</v>
      </c>
      <c r="E34" s="966" t="b">
        <f t="shared" si="2"/>
        <v>1</v>
      </c>
      <c r="F34" s="966">
        <v>29</v>
      </c>
      <c r="G34" s="1011" t="s">
        <v>1626</v>
      </c>
      <c r="H34" s="1011" t="str">
        <f>VLOOKUP(G34,'Area (&amp;golfacre for lookup)'!$A$2:$B$159,2,FALSE)</f>
        <v>North&amp;Central</v>
      </c>
      <c r="J34" s="966">
        <v>29</v>
      </c>
      <c r="K34" s="1011" t="s">
        <v>1626</v>
      </c>
      <c r="L34" s="1011" t="str">
        <f>VLOOKUP(K34,'Area (&amp;golfacre for lookup)'!$A$2:$B$159,2,FALSE)</f>
        <v>North&amp;Central</v>
      </c>
      <c r="M34" s="1524" t="b">
        <f t="shared" si="3"/>
        <v>1</v>
      </c>
    </row>
    <row r="35" spans="2:13" ht="12" customHeight="1">
      <c r="B35" s="966">
        <v>30</v>
      </c>
      <c r="C35" s="1011" t="s">
        <v>1307</v>
      </c>
      <c r="D35" s="1011" t="s">
        <v>618</v>
      </c>
      <c r="E35" s="966" t="b">
        <f t="shared" si="2"/>
        <v>1</v>
      </c>
      <c r="F35" s="966">
        <v>30</v>
      </c>
      <c r="G35" s="1011" t="s">
        <v>1307</v>
      </c>
      <c r="H35" s="1011" t="str">
        <f>VLOOKUP(G35,'Area (&amp;golfacre for lookup)'!$A$2:$B$159,2,FALSE)</f>
        <v>North&amp;Central</v>
      </c>
      <c r="J35" s="966">
        <v>30</v>
      </c>
      <c r="K35" s="1011" t="s">
        <v>1307</v>
      </c>
      <c r="L35" s="1011" t="str">
        <f>VLOOKUP(K35,'Area (&amp;golfacre for lookup)'!$A$2:$B$159,2,FALSE)</f>
        <v>North&amp;Central</v>
      </c>
      <c r="M35" s="1524" t="b">
        <f t="shared" si="3"/>
        <v>1</v>
      </c>
    </row>
    <row r="36" spans="2:13" ht="12" customHeight="1">
      <c r="B36" s="966">
        <v>31</v>
      </c>
      <c r="C36" s="1011" t="s">
        <v>1627</v>
      </c>
      <c r="D36" s="1011" t="s">
        <v>618</v>
      </c>
      <c r="E36" s="966" t="b">
        <f t="shared" si="2"/>
        <v>1</v>
      </c>
      <c r="F36" s="966">
        <v>31</v>
      </c>
      <c r="G36" s="1011" t="s">
        <v>1627</v>
      </c>
      <c r="H36" s="1011" t="str">
        <f>VLOOKUP(G36,'Area (&amp;golfacre for lookup)'!$A$2:$B$159,2,FALSE)</f>
        <v>North&amp;Central</v>
      </c>
      <c r="J36" s="966">
        <v>31</v>
      </c>
      <c r="K36" s="1011" t="s">
        <v>1627</v>
      </c>
      <c r="L36" s="1011" t="str">
        <f>VLOOKUP(K36,'Area (&amp;golfacre for lookup)'!$A$2:$B$159,2,FALSE)</f>
        <v>North&amp;Central</v>
      </c>
      <c r="M36" s="1524" t="b">
        <f t="shared" si="3"/>
        <v>1</v>
      </c>
    </row>
    <row r="37" spans="2:13" ht="12" customHeight="1">
      <c r="B37" s="966">
        <v>32</v>
      </c>
      <c r="C37" s="1011" t="s">
        <v>707</v>
      </c>
      <c r="D37" s="1011" t="s">
        <v>618</v>
      </c>
      <c r="E37" s="966" t="b">
        <f t="shared" si="2"/>
        <v>1</v>
      </c>
      <c r="F37" s="966">
        <v>32</v>
      </c>
      <c r="G37" s="1011" t="s">
        <v>707</v>
      </c>
      <c r="H37" s="1011" t="str">
        <f>VLOOKUP(G37,'Area (&amp;golfacre for lookup)'!$A$2:$B$159,2,FALSE)</f>
        <v>North&amp;Central</v>
      </c>
      <c r="J37" s="966">
        <v>32</v>
      </c>
      <c r="K37" s="1011" t="s">
        <v>707</v>
      </c>
      <c r="L37" s="1011" t="str">
        <f>VLOOKUP(K37,'Area (&amp;golfacre for lookup)'!$A$2:$B$159,2,FALSE)</f>
        <v>North&amp;Central</v>
      </c>
      <c r="M37" s="1524" t="b">
        <f t="shared" si="3"/>
        <v>1</v>
      </c>
    </row>
    <row r="38" spans="2:13" ht="12" hidden="1" customHeight="1">
      <c r="B38" s="1059"/>
      <c r="C38" s="1059"/>
      <c r="D38" s="1059"/>
      <c r="E38" s="966" t="b">
        <f t="shared" si="2"/>
        <v>1</v>
      </c>
      <c r="F38" s="966">
        <v>33</v>
      </c>
      <c r="H38" s="1063" t="e">
        <f>VLOOKUP(G38,'Area (&amp;golfacre for lookup)'!$A$2:$B$159,2,FALSE)</f>
        <v>#N/A</v>
      </c>
      <c r="M38" s="1524"/>
    </row>
    <row r="39" spans="2:13" ht="12" customHeight="1">
      <c r="B39" s="966">
        <v>33</v>
      </c>
      <c r="C39" s="1011" t="s">
        <v>961</v>
      </c>
      <c r="D39" s="1011" t="s">
        <v>618</v>
      </c>
      <c r="E39" s="966" t="b">
        <f t="shared" si="2"/>
        <v>1</v>
      </c>
      <c r="F39" s="966">
        <v>33</v>
      </c>
      <c r="G39" s="1011" t="s">
        <v>961</v>
      </c>
      <c r="H39" s="1011" t="str">
        <f>VLOOKUP(G39,'Area (&amp;golfacre for lookup)'!$A$2:$B$159,2,FALSE)</f>
        <v>North&amp;Central</v>
      </c>
      <c r="J39" s="966">
        <v>33</v>
      </c>
      <c r="K39" s="1011" t="s">
        <v>961</v>
      </c>
      <c r="L39" s="1011" t="str">
        <f>VLOOKUP(K39,'Area (&amp;golfacre for lookup)'!$A$2:$B$159,2,FALSE)</f>
        <v>North&amp;Central</v>
      </c>
      <c r="M39" s="1524" t="b">
        <f t="shared" ref="M39:M46" si="4">K39=G39</f>
        <v>1</v>
      </c>
    </row>
    <row r="40" spans="2:13" ht="12" customHeight="1">
      <c r="B40" s="966">
        <v>34</v>
      </c>
      <c r="C40" s="1013" t="s">
        <v>553</v>
      </c>
      <c r="D40" s="1011" t="s">
        <v>618</v>
      </c>
      <c r="E40" s="966" t="b">
        <f t="shared" si="2"/>
        <v>1</v>
      </c>
      <c r="F40" s="966">
        <v>34</v>
      </c>
      <c r="G40" s="1013" t="s">
        <v>553</v>
      </c>
      <c r="H40" s="1011" t="str">
        <f>VLOOKUP(G40,'Area (&amp;golfacre for lookup)'!$A$2:$B$159,2,FALSE)</f>
        <v>North&amp;Central</v>
      </c>
      <c r="J40" s="966">
        <v>34</v>
      </c>
      <c r="K40" s="1011" t="s">
        <v>553</v>
      </c>
      <c r="L40" s="1011" t="str">
        <f>VLOOKUP(K40,'Area (&amp;golfacre for lookup)'!$A$2:$B$159,2,FALSE)</f>
        <v>North&amp;Central</v>
      </c>
      <c r="M40" s="1524" t="b">
        <f t="shared" si="4"/>
        <v>1</v>
      </c>
    </row>
    <row r="41" spans="2:13" ht="12" customHeight="1">
      <c r="B41" s="966">
        <v>35</v>
      </c>
      <c r="C41" s="1013" t="s">
        <v>1310</v>
      </c>
      <c r="D41" s="1011" t="s">
        <v>618</v>
      </c>
      <c r="E41" s="966" t="b">
        <f t="shared" si="2"/>
        <v>1</v>
      </c>
      <c r="F41" s="966">
        <v>35</v>
      </c>
      <c r="G41" s="1013" t="s">
        <v>1310</v>
      </c>
      <c r="H41" s="1011" t="str">
        <f>VLOOKUP(G41,'Area (&amp;golfacre for lookup)'!$A$2:$B$159,2,FALSE)</f>
        <v>North&amp;Central</v>
      </c>
      <c r="J41" s="966">
        <v>35</v>
      </c>
      <c r="K41" s="1011" t="s">
        <v>1310</v>
      </c>
      <c r="L41" s="1011" t="str">
        <f>VLOOKUP(K41,'Area (&amp;golfacre for lookup)'!$A$2:$B$159,2,FALSE)</f>
        <v>North&amp;Central</v>
      </c>
      <c r="M41" s="1524" t="b">
        <f t="shared" si="4"/>
        <v>1</v>
      </c>
    </row>
    <row r="42" spans="2:13" ht="12" customHeight="1">
      <c r="B42" s="966">
        <v>36</v>
      </c>
      <c r="C42" s="1011" t="s">
        <v>1411</v>
      </c>
      <c r="D42" s="1011" t="s">
        <v>618</v>
      </c>
      <c r="E42" s="966" t="b">
        <f t="shared" si="2"/>
        <v>1</v>
      </c>
      <c r="F42" s="966">
        <v>36</v>
      </c>
      <c r="G42" s="1011" t="s">
        <v>1411</v>
      </c>
      <c r="H42" s="1011" t="str">
        <f>VLOOKUP(G42,'Area (&amp;golfacre for lookup)'!$A$2:$B$159,2,FALSE)</f>
        <v>North&amp;Central</v>
      </c>
      <c r="J42" s="966">
        <v>36</v>
      </c>
      <c r="K42" s="1011" t="s">
        <v>1411</v>
      </c>
      <c r="L42" s="1011" t="str">
        <f>VLOOKUP(K42,'Area (&amp;golfacre for lookup)'!$A$2:$B$159,2,FALSE)</f>
        <v>North&amp;Central</v>
      </c>
      <c r="M42" s="1524" t="b">
        <f t="shared" si="4"/>
        <v>1</v>
      </c>
    </row>
    <row r="43" spans="2:13" ht="12" customHeight="1">
      <c r="B43" s="966">
        <v>37</v>
      </c>
      <c r="C43" s="1013" t="s">
        <v>707</v>
      </c>
      <c r="D43" s="1011" t="s">
        <v>618</v>
      </c>
      <c r="E43" s="966" t="b">
        <f t="shared" si="2"/>
        <v>0</v>
      </c>
      <c r="F43" s="966">
        <v>37</v>
      </c>
      <c r="G43" s="1011" t="s">
        <v>1308</v>
      </c>
      <c r="H43" s="1011" t="str">
        <f>VLOOKUP(G43,'Area (&amp;golfacre for lookup)'!$A$2:$B$159,2,FALSE)</f>
        <v>North&amp;Central</v>
      </c>
      <c r="J43" s="1059"/>
      <c r="K43" s="1059"/>
      <c r="L43" s="1059"/>
      <c r="M43" s="1524" t="b">
        <f t="shared" si="4"/>
        <v>0</v>
      </c>
    </row>
    <row r="44" spans="2:13" ht="12" customHeight="1">
      <c r="B44" s="966">
        <v>38</v>
      </c>
      <c r="C44" s="1013" t="s">
        <v>620</v>
      </c>
      <c r="D44" s="1011" t="s">
        <v>618</v>
      </c>
      <c r="E44" s="966" t="b">
        <f t="shared" si="2"/>
        <v>1</v>
      </c>
      <c r="F44" s="966">
        <v>38</v>
      </c>
      <c r="G44" s="1011" t="s">
        <v>620</v>
      </c>
      <c r="H44" s="1011" t="str">
        <f>VLOOKUP(G44,'Area (&amp;golfacre for lookup)'!$A$2:$B$159,2,FALSE)</f>
        <v>North&amp;Central</v>
      </c>
      <c r="J44" s="966">
        <v>37</v>
      </c>
      <c r="K44" s="1011" t="s">
        <v>620</v>
      </c>
      <c r="L44" s="1011" t="str">
        <f>VLOOKUP(K44,'Area (&amp;golfacre for lookup)'!$A$2:$B$159,2,FALSE)</f>
        <v>North&amp;Central</v>
      </c>
      <c r="M44" s="1524" t="b">
        <f t="shared" si="4"/>
        <v>1</v>
      </c>
    </row>
    <row r="45" spans="2:13" ht="12" customHeight="1">
      <c r="B45" s="966">
        <v>39</v>
      </c>
      <c r="C45" s="1013" t="s">
        <v>920</v>
      </c>
      <c r="D45" s="1011" t="s">
        <v>618</v>
      </c>
      <c r="E45" s="966" t="b">
        <f t="shared" si="2"/>
        <v>1</v>
      </c>
      <c r="F45" s="966">
        <v>39</v>
      </c>
      <c r="G45" s="1013" t="s">
        <v>920</v>
      </c>
      <c r="H45" s="1011" t="str">
        <f>VLOOKUP(G45,'Area (&amp;golfacre for lookup)'!$A$2:$B$159,2,FALSE)</f>
        <v>North&amp;Central</v>
      </c>
      <c r="J45" s="1059"/>
      <c r="K45" s="1059"/>
      <c r="L45" s="1059"/>
      <c r="M45" s="1524" t="b">
        <f t="shared" si="4"/>
        <v>0</v>
      </c>
    </row>
    <row r="46" spans="2:13" ht="12" customHeight="1">
      <c r="B46" s="966">
        <v>40</v>
      </c>
      <c r="C46" s="1013" t="s">
        <v>708</v>
      </c>
      <c r="D46" s="1011" t="s">
        <v>618</v>
      </c>
      <c r="E46" s="966" t="b">
        <f t="shared" si="2"/>
        <v>1</v>
      </c>
      <c r="F46" s="966">
        <v>40</v>
      </c>
      <c r="G46" s="1013" t="s">
        <v>708</v>
      </c>
      <c r="H46" s="1011" t="s">
        <v>618</v>
      </c>
      <c r="I46" s="966"/>
      <c r="J46" s="966">
        <v>38</v>
      </c>
      <c r="K46" s="1011" t="s">
        <v>708</v>
      </c>
      <c r="L46" s="1011" t="str">
        <f>VLOOKUP(K46,'Area (&amp;golfacre for lookup)'!$A$2:$B$159,2,FALSE)</f>
        <v>North&amp;Central</v>
      </c>
      <c r="M46" s="1524" t="b">
        <f t="shared" si="4"/>
        <v>1</v>
      </c>
    </row>
    <row r="47" spans="2:13" ht="12" customHeight="1">
      <c r="B47" s="966"/>
      <c r="C47" s="1013"/>
      <c r="D47" s="1011"/>
      <c r="F47" s="966">
        <v>41</v>
      </c>
      <c r="G47" s="1060" t="s">
        <v>1410</v>
      </c>
      <c r="H47" s="1011" t="s">
        <v>618</v>
      </c>
      <c r="I47" s="966"/>
      <c r="J47" s="966"/>
      <c r="K47" s="1011"/>
      <c r="L47" s="1011"/>
      <c r="M47" s="1524"/>
    </row>
    <row r="48" spans="2:13" ht="12" customHeight="1">
      <c r="B48" s="966"/>
      <c r="C48" s="1013"/>
      <c r="D48" s="1011"/>
      <c r="F48" s="966"/>
      <c r="G48" s="1013"/>
      <c r="H48" s="1011"/>
      <c r="J48" s="966"/>
      <c r="K48" s="1011"/>
      <c r="L48" s="1011"/>
    </row>
    <row r="49" spans="2:13" ht="12" customHeight="1">
      <c r="B49" s="966">
        <v>41</v>
      </c>
      <c r="C49" s="1013" t="s">
        <v>958</v>
      </c>
      <c r="D49" s="1011" t="s">
        <v>546</v>
      </c>
      <c r="E49" s="966" t="b">
        <f t="shared" ref="E49:E74" si="5">C49=G49</f>
        <v>1</v>
      </c>
      <c r="F49" s="966">
        <v>42</v>
      </c>
      <c r="G49" s="1013" t="s">
        <v>958</v>
      </c>
      <c r="H49" s="1011" t="str">
        <f>VLOOKUP(G49,'Area (&amp;golfacre for lookup)'!$A$2:$B$159,2,FALSE)</f>
        <v>SE exc BOCA</v>
      </c>
      <c r="J49" s="966">
        <v>39</v>
      </c>
      <c r="K49" s="1011" t="s">
        <v>958</v>
      </c>
      <c r="L49" s="1011" t="str">
        <f>VLOOKUP(K49,'Area (&amp;golfacre for lookup)'!$A$2:$B$159,2,FALSE)</f>
        <v>SE exc BOCA</v>
      </c>
      <c r="M49" s="1524" t="b">
        <f t="shared" ref="M49:M74" si="6">K49=G49</f>
        <v>1</v>
      </c>
    </row>
    <row r="50" spans="2:13" ht="12" customHeight="1">
      <c r="B50" s="966">
        <v>42</v>
      </c>
      <c r="C50" s="1011" t="s">
        <v>1406</v>
      </c>
      <c r="D50" s="1011" t="s">
        <v>546</v>
      </c>
      <c r="E50" s="966" t="b">
        <f t="shared" si="5"/>
        <v>1</v>
      </c>
      <c r="F50" s="966">
        <v>43</v>
      </c>
      <c r="G50" s="1011" t="s">
        <v>1406</v>
      </c>
      <c r="H50" s="1011" t="str">
        <f>VLOOKUP(G50,'Area (&amp;golfacre for lookup)'!$A$2:$B$159,2,FALSE)</f>
        <v>SE exc BOCA</v>
      </c>
      <c r="J50" s="966">
        <v>40</v>
      </c>
      <c r="K50" s="1011" t="s">
        <v>1406</v>
      </c>
      <c r="L50" s="1011" t="str">
        <f>VLOOKUP(K50,'Area (&amp;golfacre for lookup)'!$A$2:$B$159,2,FALSE)</f>
        <v>SE exc BOCA</v>
      </c>
      <c r="M50" s="1524" t="b">
        <f t="shared" si="6"/>
        <v>1</v>
      </c>
    </row>
    <row r="51" spans="2:13" ht="12" customHeight="1">
      <c r="B51" s="966">
        <v>65</v>
      </c>
      <c r="C51" s="1011" t="s">
        <v>1403</v>
      </c>
      <c r="D51" s="1011" t="s">
        <v>546</v>
      </c>
      <c r="E51" s="966" t="b">
        <f t="shared" si="5"/>
        <v>1</v>
      </c>
      <c r="F51" s="966">
        <v>44</v>
      </c>
      <c r="G51" s="1011" t="s">
        <v>1403</v>
      </c>
      <c r="H51" s="1011" t="str">
        <f>VLOOKUP(G51,'Area (&amp;golfacre for lookup)'!$A$2:$B$159,2,FALSE)</f>
        <v>SE exc BOCA</v>
      </c>
      <c r="I51" s="866"/>
      <c r="J51" s="966">
        <v>41</v>
      </c>
      <c r="K51" s="1011" t="s">
        <v>1403</v>
      </c>
      <c r="L51" s="1011" t="str">
        <f>VLOOKUP(K51,'Area (&amp;golfacre for lookup)'!$A$2:$B$159,2,FALSE)</f>
        <v>SE exc BOCA</v>
      </c>
      <c r="M51" s="1524" t="b">
        <f t="shared" si="6"/>
        <v>1</v>
      </c>
    </row>
    <row r="52" spans="2:13" ht="12" customHeight="1">
      <c r="B52" s="966">
        <v>43</v>
      </c>
      <c r="C52" s="1011" t="s">
        <v>701</v>
      </c>
      <c r="D52" s="1011" t="s">
        <v>546</v>
      </c>
      <c r="E52" s="966" t="b">
        <f t="shared" si="5"/>
        <v>1</v>
      </c>
      <c r="F52" s="966">
        <v>45</v>
      </c>
      <c r="G52" s="1011" t="s">
        <v>701</v>
      </c>
      <c r="H52" s="1011" t="str">
        <f>VLOOKUP(G52,'Area (&amp;golfacre for lookup)'!$A$2:$B$159,2,FALSE)</f>
        <v>SE exc BOCA</v>
      </c>
      <c r="J52" s="966">
        <v>42</v>
      </c>
      <c r="K52" s="1011" t="s">
        <v>701</v>
      </c>
      <c r="L52" s="1011" t="str">
        <f>VLOOKUP(K52,'Area (&amp;golfacre for lookup)'!$A$2:$B$159,2,FALSE)</f>
        <v>SE exc BOCA</v>
      </c>
      <c r="M52" s="1524" t="b">
        <f t="shared" si="6"/>
        <v>1</v>
      </c>
    </row>
    <row r="53" spans="2:13" ht="12" customHeight="1">
      <c r="B53" s="966">
        <v>44</v>
      </c>
      <c r="C53" s="1013" t="s">
        <v>713</v>
      </c>
      <c r="D53" s="1011" t="s">
        <v>546</v>
      </c>
      <c r="E53" s="966" t="b">
        <f t="shared" si="5"/>
        <v>1</v>
      </c>
      <c r="F53" s="966">
        <v>46</v>
      </c>
      <c r="G53" s="1011" t="s">
        <v>713</v>
      </c>
      <c r="H53" s="1011" t="str">
        <f>VLOOKUP(G53,'Area (&amp;golfacre for lookup)'!$A$2:$B$159,2,FALSE)</f>
        <v>SE exc BOCA</v>
      </c>
      <c r="J53" s="966">
        <v>43</v>
      </c>
      <c r="K53" s="1011" t="s">
        <v>713</v>
      </c>
      <c r="L53" s="1011" t="str">
        <f>VLOOKUP(K53,'Area (&amp;golfacre for lookup)'!$A$2:$B$159,2,FALSE)</f>
        <v>SE exc BOCA</v>
      </c>
      <c r="M53" s="1524" t="b">
        <f t="shared" si="6"/>
        <v>1</v>
      </c>
    </row>
    <row r="54" spans="2:13" ht="12" customHeight="1">
      <c r="B54" s="966">
        <v>45</v>
      </c>
      <c r="C54" s="1011" t="s">
        <v>1408</v>
      </c>
      <c r="D54" s="1011" t="s">
        <v>546</v>
      </c>
      <c r="E54" s="966" t="b">
        <f t="shared" si="5"/>
        <v>1</v>
      </c>
      <c r="F54" s="966">
        <v>47</v>
      </c>
      <c r="G54" s="1011" t="s">
        <v>1408</v>
      </c>
      <c r="H54" s="1011" t="str">
        <f>VLOOKUP(G54,'Area (&amp;golfacre for lookup)'!$A$2:$B$159,2,FALSE)</f>
        <v>SE exc BOCA</v>
      </c>
      <c r="J54" s="966">
        <v>44</v>
      </c>
      <c r="K54" s="1011" t="s">
        <v>1408</v>
      </c>
      <c r="L54" s="1011" t="str">
        <f>VLOOKUP(K54,'Area (&amp;golfacre for lookup)'!$A$2:$B$159,2,FALSE)</f>
        <v>SE exc BOCA</v>
      </c>
      <c r="M54" s="1524" t="b">
        <f t="shared" si="6"/>
        <v>1</v>
      </c>
    </row>
    <row r="55" spans="2:13" ht="12" customHeight="1">
      <c r="B55" s="966">
        <v>46</v>
      </c>
      <c r="C55" s="1013" t="s">
        <v>445</v>
      </c>
      <c r="D55" s="1011" t="s">
        <v>546</v>
      </c>
      <c r="E55" s="966" t="b">
        <f t="shared" si="5"/>
        <v>1</v>
      </c>
      <c r="F55" s="966">
        <v>48</v>
      </c>
      <c r="G55" s="1013" t="s">
        <v>445</v>
      </c>
      <c r="H55" s="1011" t="str">
        <f>VLOOKUP(G55,'Area (&amp;golfacre for lookup)'!$A$2:$B$159,2,FALSE)</f>
        <v>SE exc BOCA</v>
      </c>
      <c r="J55" s="966">
        <v>45</v>
      </c>
      <c r="K55" s="1013" t="s">
        <v>445</v>
      </c>
      <c r="L55" s="1011" t="str">
        <f>VLOOKUP(K55,'Area (&amp;golfacre for lookup)'!$A$2:$B$159,2,FALSE)</f>
        <v>SE exc BOCA</v>
      </c>
      <c r="M55" s="1524" t="b">
        <f t="shared" si="6"/>
        <v>1</v>
      </c>
    </row>
    <row r="56" spans="2:13" ht="12" customHeight="1">
      <c r="B56" s="966">
        <v>47</v>
      </c>
      <c r="C56" s="1013" t="s">
        <v>985</v>
      </c>
      <c r="D56" s="1011" t="s">
        <v>546</v>
      </c>
      <c r="E56" s="966" t="b">
        <f t="shared" si="5"/>
        <v>1</v>
      </c>
      <c r="F56" s="966">
        <v>49</v>
      </c>
      <c r="G56" s="1013" t="s">
        <v>985</v>
      </c>
      <c r="H56" s="1011" t="str">
        <f>VLOOKUP(G56,'Area (&amp;golfacre for lookup)'!$A$2:$B$159,2,FALSE)</f>
        <v>SE exc BOCA</v>
      </c>
      <c r="J56" s="966">
        <v>46</v>
      </c>
      <c r="K56" s="1011" t="s">
        <v>985</v>
      </c>
      <c r="L56" s="1011" t="str">
        <f>VLOOKUP(K56,'Area (&amp;golfacre for lookup)'!$A$2:$B$159,2,FALSE)</f>
        <v>SE exc BOCA</v>
      </c>
      <c r="M56" s="1524" t="b">
        <f t="shared" si="6"/>
        <v>1</v>
      </c>
    </row>
    <row r="57" spans="2:13" ht="12" customHeight="1">
      <c r="B57" s="966">
        <v>48</v>
      </c>
      <c r="C57" s="1011" t="s">
        <v>916</v>
      </c>
      <c r="D57" s="1063" t="s">
        <v>546</v>
      </c>
      <c r="E57" s="966" t="b">
        <f t="shared" si="5"/>
        <v>1</v>
      </c>
      <c r="F57" s="966">
        <v>50</v>
      </c>
      <c r="G57" s="1011" t="s">
        <v>916</v>
      </c>
      <c r="H57" s="1011" t="str">
        <f>VLOOKUP(G57,'Area (&amp;golfacre for lookup)'!$A$2:$B$159,2,FALSE)</f>
        <v>SE exc BOCA</v>
      </c>
      <c r="I57" s="866"/>
      <c r="J57" s="966">
        <v>47</v>
      </c>
      <c r="K57" s="1011" t="s">
        <v>916</v>
      </c>
      <c r="L57" s="1011" t="str">
        <f>VLOOKUP(K57,'Area (&amp;golfacre for lookup)'!$A$2:$B$159,2,FALSE)</f>
        <v>SE exc BOCA</v>
      </c>
      <c r="M57" s="1524" t="b">
        <f t="shared" si="6"/>
        <v>1</v>
      </c>
    </row>
    <row r="58" spans="2:13" ht="12" hidden="1" customHeight="1">
      <c r="B58" s="966">
        <v>49</v>
      </c>
      <c r="C58" s="1063" t="s">
        <v>838</v>
      </c>
      <c r="D58" s="1063" t="s">
        <v>546</v>
      </c>
      <c r="E58" s="966" t="b">
        <f t="shared" si="5"/>
        <v>0</v>
      </c>
      <c r="F58" s="966">
        <v>50</v>
      </c>
      <c r="I58" s="866"/>
      <c r="J58" s="1059"/>
      <c r="K58" s="1059"/>
      <c r="L58" s="1059"/>
      <c r="M58" s="1524" t="b">
        <f t="shared" si="6"/>
        <v>1</v>
      </c>
    </row>
    <row r="59" spans="2:13" ht="12" customHeight="1">
      <c r="B59" s="966">
        <v>50</v>
      </c>
      <c r="C59" s="1060" t="s">
        <v>1312</v>
      </c>
      <c r="D59" s="1063" t="s">
        <v>546</v>
      </c>
      <c r="E59" s="966" t="b">
        <f t="shared" si="5"/>
        <v>1</v>
      </c>
      <c r="F59" s="966">
        <v>51</v>
      </c>
      <c r="G59" s="1013" t="s">
        <v>1312</v>
      </c>
      <c r="H59" s="1011" t="str">
        <f>VLOOKUP(G59,'Area (&amp;golfacre for lookup)'!$A$2:$B$159,2,FALSE)</f>
        <v>SE exc BOCA</v>
      </c>
      <c r="I59" s="866"/>
      <c r="J59" s="966">
        <v>48</v>
      </c>
      <c r="K59" s="1011" t="s">
        <v>1312</v>
      </c>
      <c r="L59" s="1011" t="str">
        <f>VLOOKUP(K59,'Area (&amp;golfacre for lookup)'!$A$2:$B$159,2,FALSE)</f>
        <v>SE exc BOCA</v>
      </c>
      <c r="M59" s="1524" t="b">
        <f t="shared" si="6"/>
        <v>1</v>
      </c>
    </row>
    <row r="60" spans="2:13" ht="12" customHeight="1">
      <c r="B60" s="966">
        <v>51</v>
      </c>
      <c r="C60" s="1060" t="s">
        <v>1160</v>
      </c>
      <c r="D60" s="1063" t="s">
        <v>546</v>
      </c>
      <c r="E60" s="966" t="b">
        <f t="shared" si="5"/>
        <v>1</v>
      </c>
      <c r="F60" s="966">
        <v>52</v>
      </c>
      <c r="G60" s="1013" t="s">
        <v>1160</v>
      </c>
      <c r="H60" s="1011" t="str">
        <f>VLOOKUP(G60,'Area (&amp;golfacre for lookup)'!$A$2:$B$159,2,FALSE)</f>
        <v>SE exc BOCA</v>
      </c>
      <c r="I60" s="866"/>
      <c r="J60" s="966">
        <v>49</v>
      </c>
      <c r="K60" s="1011" t="s">
        <v>1160</v>
      </c>
      <c r="L60" s="1011" t="str">
        <f>VLOOKUP(K60,'Area (&amp;golfacre for lookup)'!$A$2:$B$159,2,FALSE)</f>
        <v>SE exc BOCA</v>
      </c>
      <c r="M60" s="1524" t="b">
        <f t="shared" si="6"/>
        <v>1</v>
      </c>
    </row>
    <row r="61" spans="2:13" ht="12" customHeight="1">
      <c r="B61" s="966">
        <v>52</v>
      </c>
      <c r="C61" s="1060" t="s">
        <v>630</v>
      </c>
      <c r="D61" s="1063" t="s">
        <v>546</v>
      </c>
      <c r="E61" s="966" t="b">
        <f t="shared" si="5"/>
        <v>1</v>
      </c>
      <c r="F61" s="966">
        <v>53</v>
      </c>
      <c r="G61" s="1013" t="s">
        <v>630</v>
      </c>
      <c r="H61" s="1011" t="str">
        <f>VLOOKUP(G61,'Area (&amp;golfacre for lookup)'!$A$2:$B$159,2,FALSE)</f>
        <v>SE exc BOCA</v>
      </c>
      <c r="I61" s="866"/>
      <c r="J61" s="966">
        <v>50</v>
      </c>
      <c r="K61" s="1011" t="s">
        <v>630</v>
      </c>
      <c r="L61" s="1011" t="str">
        <f>VLOOKUP(K61,'Area (&amp;golfacre for lookup)'!$A$2:$B$159,2,FALSE)</f>
        <v>SE exc BOCA</v>
      </c>
      <c r="M61" s="1524" t="b">
        <f t="shared" si="6"/>
        <v>1</v>
      </c>
    </row>
    <row r="62" spans="2:13" ht="12" customHeight="1">
      <c r="B62" s="966">
        <v>53</v>
      </c>
      <c r="C62" s="1060" t="s">
        <v>726</v>
      </c>
      <c r="D62" s="1063" t="s">
        <v>546</v>
      </c>
      <c r="E62" s="966" t="b">
        <f t="shared" si="5"/>
        <v>1</v>
      </c>
      <c r="F62" s="966">
        <v>54</v>
      </c>
      <c r="G62" s="1013" t="s">
        <v>726</v>
      </c>
      <c r="H62" s="1011" t="str">
        <f>VLOOKUP(G62,'Area (&amp;golfacre for lookup)'!$A$2:$B$159,2,FALSE)</f>
        <v>SE exc BOCA</v>
      </c>
      <c r="I62" s="866"/>
      <c r="J62" s="966">
        <v>51</v>
      </c>
      <c r="K62" s="1011" t="s">
        <v>726</v>
      </c>
      <c r="L62" s="1011" t="str">
        <f>VLOOKUP(K62,'Area (&amp;golfacre for lookup)'!$A$2:$B$159,2,FALSE)</f>
        <v>SE exc BOCA</v>
      </c>
      <c r="M62" s="1524" t="b">
        <f t="shared" si="6"/>
        <v>1</v>
      </c>
    </row>
    <row r="63" spans="2:13" ht="12" customHeight="1">
      <c r="B63" s="966">
        <v>66</v>
      </c>
      <c r="C63" s="1011" t="s">
        <v>1622</v>
      </c>
      <c r="D63" s="1011" t="s">
        <v>546</v>
      </c>
      <c r="E63" s="966" t="b">
        <f t="shared" si="5"/>
        <v>1</v>
      </c>
      <c r="F63" s="966">
        <v>55</v>
      </c>
      <c r="G63" s="1011" t="s">
        <v>1622</v>
      </c>
      <c r="H63" s="1011" t="str">
        <f>VLOOKUP(G63,'Area (&amp;golfacre for lookup)'!$A$2:$B$159,2,FALSE)</f>
        <v>SE exc BOCA</v>
      </c>
      <c r="J63" s="966">
        <v>52</v>
      </c>
      <c r="K63" s="1011" t="s">
        <v>1622</v>
      </c>
      <c r="L63" s="1011" t="str">
        <f>VLOOKUP(K63,'Area (&amp;golfacre for lookup)'!$A$2:$B$159,2,FALSE)</f>
        <v>SE exc BOCA</v>
      </c>
      <c r="M63" s="1524" t="b">
        <f t="shared" si="6"/>
        <v>1</v>
      </c>
    </row>
    <row r="64" spans="2:13" ht="12" customHeight="1">
      <c r="B64" s="966">
        <v>54</v>
      </c>
      <c r="C64" s="1060" t="s">
        <v>716</v>
      </c>
      <c r="D64" s="1063" t="s">
        <v>546</v>
      </c>
      <c r="E64" s="966" t="b">
        <f t="shared" si="5"/>
        <v>1</v>
      </c>
      <c r="F64" s="966">
        <v>56</v>
      </c>
      <c r="G64" s="1013" t="s">
        <v>716</v>
      </c>
      <c r="H64" s="1011" t="str">
        <f>VLOOKUP(G64,'Area (&amp;golfacre for lookup)'!$A$2:$B$159,2,FALSE)</f>
        <v>SE exc BOCA</v>
      </c>
      <c r="I64" s="866"/>
      <c r="J64" s="966">
        <v>53</v>
      </c>
      <c r="K64" s="1011" t="s">
        <v>716</v>
      </c>
      <c r="L64" s="1011" t="str">
        <f>VLOOKUP(K64,'Area (&amp;golfacre for lookup)'!$A$2:$B$159,2,FALSE)</f>
        <v>SE exc BOCA</v>
      </c>
      <c r="M64" s="1524" t="b">
        <f t="shared" si="6"/>
        <v>1</v>
      </c>
    </row>
    <row r="65" spans="2:13" ht="12" customHeight="1">
      <c r="B65" s="966">
        <v>55</v>
      </c>
      <c r="C65" s="1011" t="s">
        <v>1329</v>
      </c>
      <c r="D65" s="1063" t="s">
        <v>546</v>
      </c>
      <c r="E65" s="966" t="b">
        <f t="shared" si="5"/>
        <v>1</v>
      </c>
      <c r="F65" s="966">
        <v>57</v>
      </c>
      <c r="G65" s="1011" t="s">
        <v>1329</v>
      </c>
      <c r="H65" s="1011" t="str">
        <f>VLOOKUP(G65,'Area (&amp;golfacre for lookup)'!$A$2:$B$159,2,FALSE)</f>
        <v>SE exc BOCA</v>
      </c>
      <c r="I65" s="866"/>
      <c r="J65" s="966">
        <v>54</v>
      </c>
      <c r="K65" s="1011" t="s">
        <v>1329</v>
      </c>
      <c r="L65" s="1011" t="str">
        <f>VLOOKUP(K65,'Area (&amp;golfacre for lookup)'!$A$2:$B$159,2,FALSE)</f>
        <v>SE exc BOCA</v>
      </c>
      <c r="M65" s="1524" t="b">
        <f t="shared" si="6"/>
        <v>1</v>
      </c>
    </row>
    <row r="66" spans="2:13" ht="12" customHeight="1">
      <c r="B66" s="966">
        <v>56</v>
      </c>
      <c r="C66" s="1060" t="s">
        <v>1306</v>
      </c>
      <c r="D66" s="1063" t="s">
        <v>546</v>
      </c>
      <c r="E66" s="966" t="b">
        <f t="shared" si="5"/>
        <v>1</v>
      </c>
      <c r="F66" s="966">
        <v>58</v>
      </c>
      <c r="G66" s="1013" t="s">
        <v>1129</v>
      </c>
      <c r="H66" s="1011" t="str">
        <f>VLOOKUP(G66,'Area (&amp;golfacre for lookup)'!$A$2:$B$159,2,FALSE)</f>
        <v>SE exc BOCA</v>
      </c>
      <c r="I66" s="866"/>
      <c r="J66" s="966">
        <v>55</v>
      </c>
      <c r="K66" s="1011" t="s">
        <v>1129</v>
      </c>
      <c r="L66" s="1011" t="str">
        <f>VLOOKUP(K66,'Area (&amp;golfacre for lookup)'!$A$2:$B$159,2,FALSE)</f>
        <v>SE exc BOCA</v>
      </c>
      <c r="M66" s="1524" t="b">
        <f t="shared" si="6"/>
        <v>1</v>
      </c>
    </row>
    <row r="67" spans="2:13" ht="12" customHeight="1">
      <c r="B67" s="966">
        <v>57</v>
      </c>
      <c r="C67" s="1011" t="s">
        <v>1634</v>
      </c>
      <c r="D67" s="1063" t="s">
        <v>546</v>
      </c>
      <c r="E67" s="966" t="b">
        <f t="shared" si="5"/>
        <v>1</v>
      </c>
      <c r="F67" s="966">
        <v>59</v>
      </c>
      <c r="G67" s="1011" t="s">
        <v>1634</v>
      </c>
      <c r="H67" s="1011" t="str">
        <f>VLOOKUP(G67,'Area (&amp;golfacre for lookup)'!$A$2:$B$159,2,FALSE)</f>
        <v>SE exc BOCA</v>
      </c>
      <c r="I67" s="866"/>
      <c r="J67" s="966">
        <v>56</v>
      </c>
      <c r="K67" s="1011" t="s">
        <v>1634</v>
      </c>
      <c r="L67" s="1011" t="str">
        <f>VLOOKUP(K67,'Area (&amp;golfacre for lookup)'!$A$2:$B$159,2,FALSE)</f>
        <v>SE exc BOCA</v>
      </c>
      <c r="M67" s="1524" t="b">
        <f t="shared" si="6"/>
        <v>1</v>
      </c>
    </row>
    <row r="68" spans="2:13" ht="12" customHeight="1">
      <c r="B68" s="966">
        <v>58</v>
      </c>
      <c r="C68" s="1011" t="s">
        <v>1624</v>
      </c>
      <c r="D68" s="966" t="s">
        <v>546</v>
      </c>
      <c r="E68" s="966" t="b">
        <f t="shared" si="5"/>
        <v>1</v>
      </c>
      <c r="F68" s="966">
        <v>60</v>
      </c>
      <c r="G68" s="1011" t="s">
        <v>1624</v>
      </c>
      <c r="H68" s="1011" t="str">
        <f>VLOOKUP(G68,'Area (&amp;golfacre for lookup)'!$A$2:$B$159,2,FALSE)</f>
        <v>SE exc BOCA</v>
      </c>
      <c r="I68" s="866"/>
      <c r="J68" s="966">
        <v>57</v>
      </c>
      <c r="K68" s="1011" t="s">
        <v>1624</v>
      </c>
      <c r="L68" s="1011" t="str">
        <f>VLOOKUP(K68,'Area (&amp;golfacre for lookup)'!$A$2:$B$159,2,FALSE)</f>
        <v>SE exc BOCA</v>
      </c>
      <c r="M68" s="1524" t="b">
        <f t="shared" si="6"/>
        <v>1</v>
      </c>
    </row>
    <row r="69" spans="2:13" ht="12" customHeight="1">
      <c r="B69" s="966">
        <v>59</v>
      </c>
      <c r="C69" s="1011" t="s">
        <v>1625</v>
      </c>
      <c r="D69" s="1063" t="s">
        <v>546</v>
      </c>
      <c r="E69" s="966" t="b">
        <f t="shared" si="5"/>
        <v>1</v>
      </c>
      <c r="F69" s="966">
        <v>61</v>
      </c>
      <c r="G69" s="1011" t="s">
        <v>1625</v>
      </c>
      <c r="H69" s="1011" t="str">
        <f>VLOOKUP(G69,'Area (&amp;golfacre for lookup)'!$A$2:$B$159,2,FALSE)</f>
        <v>SE exc BOCA</v>
      </c>
      <c r="I69" s="866"/>
      <c r="J69" s="966">
        <v>58</v>
      </c>
      <c r="K69" s="1011" t="s">
        <v>1625</v>
      </c>
      <c r="L69" s="1011" t="str">
        <f>VLOOKUP(K69,'Area (&amp;golfacre for lookup)'!$A$2:$B$159,2,FALSE)</f>
        <v>SE exc BOCA</v>
      </c>
      <c r="M69" s="1524" t="b">
        <f t="shared" si="6"/>
        <v>1</v>
      </c>
    </row>
    <row r="70" spans="2:13" ht="12" customHeight="1">
      <c r="B70" s="966">
        <v>60</v>
      </c>
      <c r="C70" s="1060" t="s">
        <v>1161</v>
      </c>
      <c r="D70" s="1063" t="s">
        <v>546</v>
      </c>
      <c r="E70" s="966" t="b">
        <f t="shared" si="5"/>
        <v>1</v>
      </c>
      <c r="F70" s="966">
        <v>62</v>
      </c>
      <c r="G70" s="1013" t="s">
        <v>1161</v>
      </c>
      <c r="H70" s="1011" t="str">
        <f>VLOOKUP(G70,'Area (&amp;golfacre for lookup)'!$A$2:$B$159,2,FALSE)</f>
        <v>SE exc BOCA</v>
      </c>
      <c r="I70" s="866"/>
      <c r="J70" s="966">
        <v>59</v>
      </c>
      <c r="K70" s="1011" t="s">
        <v>1161</v>
      </c>
      <c r="L70" s="1011" t="str">
        <f>VLOOKUP(K70,'Area (&amp;golfacre for lookup)'!$A$2:$B$159,2,FALSE)</f>
        <v>SE exc BOCA</v>
      </c>
      <c r="M70" s="1524" t="b">
        <f t="shared" si="6"/>
        <v>1</v>
      </c>
    </row>
    <row r="71" spans="2:13" ht="12" customHeight="1">
      <c r="B71" s="966">
        <v>61</v>
      </c>
      <c r="C71" s="1060" t="s">
        <v>1201</v>
      </c>
      <c r="D71" s="1063" t="s">
        <v>546</v>
      </c>
      <c r="E71" s="966" t="b">
        <f t="shared" si="5"/>
        <v>1</v>
      </c>
      <c r="F71" s="966">
        <v>63</v>
      </c>
      <c r="G71" s="1013" t="s">
        <v>1201</v>
      </c>
      <c r="H71" s="1011" t="str">
        <f>VLOOKUP(G71,'Area (&amp;golfacre for lookup)'!$A$2:$B$159,2,FALSE)</f>
        <v>SE exc BOCA</v>
      </c>
      <c r="I71" s="866"/>
      <c r="J71" s="966">
        <v>60</v>
      </c>
      <c r="K71" s="1011" t="s">
        <v>1201</v>
      </c>
      <c r="L71" s="1011" t="str">
        <f>VLOOKUP(K71,'Area (&amp;golfacre for lookup)'!$A$2:$B$159,2,FALSE)</f>
        <v>SE exc BOCA</v>
      </c>
      <c r="M71" s="1524" t="b">
        <f t="shared" si="6"/>
        <v>1</v>
      </c>
    </row>
    <row r="72" spans="2:13" ht="12" customHeight="1">
      <c r="B72" s="966">
        <v>62</v>
      </c>
      <c r="C72" s="1063" t="s">
        <v>465</v>
      </c>
      <c r="D72" s="1063" t="s">
        <v>546</v>
      </c>
      <c r="E72" s="966" t="b">
        <f t="shared" si="5"/>
        <v>1</v>
      </c>
      <c r="F72" s="966">
        <v>64</v>
      </c>
      <c r="G72" s="1011" t="s">
        <v>465</v>
      </c>
      <c r="H72" s="1011" t="e">
        <f>VLOOKUP(G72,'Area (&amp;golfacre for lookup)'!$A$2:$B$159,2,FALSE)</f>
        <v>#N/A</v>
      </c>
      <c r="I72" s="866"/>
      <c r="J72" s="966">
        <v>61</v>
      </c>
      <c r="K72" s="1011" t="s">
        <v>465</v>
      </c>
      <c r="L72" s="1011" t="e">
        <f>VLOOKUP(K72,'Area (&amp;golfacre for lookup)'!$A$2:$B$159,2,FALSE)</f>
        <v>#N/A</v>
      </c>
      <c r="M72" s="1524" t="b">
        <f t="shared" si="6"/>
        <v>1</v>
      </c>
    </row>
    <row r="73" spans="2:13" ht="12" customHeight="1">
      <c r="B73" s="966">
        <v>63</v>
      </c>
      <c r="C73" s="1060" t="s">
        <v>262</v>
      </c>
      <c r="D73" s="1063" t="s">
        <v>546</v>
      </c>
      <c r="E73" s="966" t="b">
        <f t="shared" si="5"/>
        <v>1</v>
      </c>
      <c r="F73" s="966">
        <f t="shared" ref="F73" si="7">+F72+1</f>
        <v>65</v>
      </c>
      <c r="G73" s="1013" t="s">
        <v>262</v>
      </c>
      <c r="H73" s="1011" t="str">
        <f>VLOOKUP(G73,'Area (&amp;golfacre for lookup)'!$A$2:$B$159,2,FALSE)</f>
        <v>SE exc BOCA</v>
      </c>
      <c r="I73" s="866"/>
      <c r="J73" s="966">
        <v>62</v>
      </c>
      <c r="K73" s="1011" t="s">
        <v>262</v>
      </c>
      <c r="L73" s="1011" t="str">
        <f>VLOOKUP(K73,'Area (&amp;golfacre for lookup)'!$A$2:$B$159,2,FALSE)</f>
        <v>SE exc BOCA</v>
      </c>
      <c r="M73" s="1524" t="b">
        <f t="shared" si="6"/>
        <v>1</v>
      </c>
    </row>
    <row r="74" spans="2:13" ht="12" customHeight="1">
      <c r="B74" s="966">
        <v>64</v>
      </c>
      <c r="C74" s="1011" t="s">
        <v>1146</v>
      </c>
      <c r="D74" s="1063" t="s">
        <v>546</v>
      </c>
      <c r="E74" s="966" t="b">
        <f t="shared" si="5"/>
        <v>1</v>
      </c>
      <c r="F74" s="966">
        <f>+F73+1</f>
        <v>66</v>
      </c>
      <c r="G74" s="1011" t="s">
        <v>1146</v>
      </c>
      <c r="H74" s="1011" t="str">
        <f>VLOOKUP(G74,'Area (&amp;golfacre for lookup)'!$A$2:$B$159,2,FALSE)</f>
        <v>SE exc BOCA</v>
      </c>
      <c r="I74" s="866"/>
      <c r="J74" s="966">
        <v>63</v>
      </c>
      <c r="K74" s="1011" t="s">
        <v>1146</v>
      </c>
      <c r="L74" s="1011" t="str">
        <f>VLOOKUP(K74,'Area (&amp;golfacre for lookup)'!$A$2:$B$159,2,FALSE)</f>
        <v>SE exc BOCA</v>
      </c>
      <c r="M74" s="1524" t="b">
        <f t="shared" si="6"/>
        <v>1</v>
      </c>
    </row>
    <row r="75" spans="2:13" ht="12" customHeight="1">
      <c r="B75" s="966"/>
      <c r="C75" s="1013"/>
      <c r="D75" s="1011"/>
      <c r="F75" s="966"/>
      <c r="G75" s="1011"/>
      <c r="H75" s="1011"/>
      <c r="J75" s="966"/>
    </row>
    <row r="76" spans="2:13" ht="12" customHeight="1">
      <c r="B76" s="966"/>
      <c r="C76" s="1013"/>
      <c r="D76" s="1011"/>
      <c r="F76" s="966"/>
      <c r="G76" s="1013"/>
      <c r="H76" s="1011"/>
      <c r="J76" s="966"/>
      <c r="K76" s="1011"/>
      <c r="L76" s="1011"/>
    </row>
    <row r="77" spans="2:13" ht="12" customHeight="1">
      <c r="B77" s="966">
        <v>67</v>
      </c>
      <c r="C77" s="1013" t="s">
        <v>1018</v>
      </c>
      <c r="D77" s="1011" t="s">
        <v>264</v>
      </c>
      <c r="E77" s="966" t="b">
        <f t="shared" ref="E77:E95" si="8">C77=G77</f>
        <v>1</v>
      </c>
      <c r="F77" s="966">
        <f>+F74+1</f>
        <v>67</v>
      </c>
      <c r="G77" s="1013" t="s">
        <v>1018</v>
      </c>
      <c r="H77" s="1011" t="str">
        <f>VLOOKUP(G77,'Area (&amp;golfacre for lookup)'!$A$2:$B$159,2,FALSE)</f>
        <v>SW CIRA</v>
      </c>
      <c r="J77" s="966">
        <v>64</v>
      </c>
      <c r="K77" s="1011" t="s">
        <v>1018</v>
      </c>
      <c r="L77" s="1011" t="str">
        <f>VLOOKUP(K77,'Area (&amp;golfacre for lookup)'!$A$2:$B$159,2,FALSE)</f>
        <v>SW CIRA</v>
      </c>
      <c r="M77" s="1524" t="b">
        <f t="shared" ref="M77:M95" si="9">K77=G77</f>
        <v>1</v>
      </c>
    </row>
    <row r="78" spans="2:13" ht="12" customHeight="1">
      <c r="B78" s="966">
        <v>68</v>
      </c>
      <c r="C78" s="1011" t="s">
        <v>1407</v>
      </c>
      <c r="D78" s="1011" t="s">
        <v>264</v>
      </c>
      <c r="E78" s="966" t="b">
        <f t="shared" si="8"/>
        <v>1</v>
      </c>
      <c r="F78" s="966">
        <f t="shared" ref="F78:F94" si="10">+F77+1</f>
        <v>68</v>
      </c>
      <c r="G78" s="1011" t="s">
        <v>1407</v>
      </c>
      <c r="H78" s="1011" t="str">
        <f>VLOOKUP(G78,'Area (&amp;golfacre for lookup)'!$A$2:$B$159,2,FALSE)</f>
        <v>SW CIRA</v>
      </c>
      <c r="J78" s="966">
        <v>65</v>
      </c>
      <c r="K78" s="1011" t="s">
        <v>1407</v>
      </c>
      <c r="L78" s="1011" t="str">
        <f>VLOOKUP(K78,'Area (&amp;golfacre for lookup)'!$A$2:$B$159,2,FALSE)</f>
        <v>SW CIRA</v>
      </c>
      <c r="M78" s="1524" t="b">
        <f t="shared" si="9"/>
        <v>1</v>
      </c>
    </row>
    <row r="79" spans="2:13" ht="12" customHeight="1">
      <c r="B79" s="966">
        <v>69</v>
      </c>
      <c r="C79" s="1013" t="s">
        <v>1144</v>
      </c>
      <c r="D79" s="1011" t="s">
        <v>264</v>
      </c>
      <c r="E79" s="966" t="b">
        <f t="shared" si="8"/>
        <v>1</v>
      </c>
      <c r="F79" s="966">
        <f>+F78+1</f>
        <v>69</v>
      </c>
      <c r="G79" s="1013" t="s">
        <v>1144</v>
      </c>
      <c r="H79" s="1011" t="str">
        <f>VLOOKUP(G79,'Area (&amp;golfacre for lookup)'!$A$2:$B$159,2,FALSE)</f>
        <v>SW CIRA</v>
      </c>
      <c r="J79" s="966">
        <v>66</v>
      </c>
      <c r="K79" s="1011" t="s">
        <v>1144</v>
      </c>
      <c r="L79" s="1011" t="str">
        <f>VLOOKUP(K79,'Area (&amp;golfacre for lookup)'!$A$2:$B$159,2,FALSE)</f>
        <v>SW CIRA</v>
      </c>
      <c r="M79" s="1524" t="b">
        <f t="shared" si="9"/>
        <v>1</v>
      </c>
    </row>
    <row r="80" spans="2:13" ht="12" customHeight="1">
      <c r="B80" s="966">
        <v>70</v>
      </c>
      <c r="C80" s="1013" t="s">
        <v>684</v>
      </c>
      <c r="D80" s="1011" t="s">
        <v>264</v>
      </c>
      <c r="E80" s="966" t="b">
        <f t="shared" si="8"/>
        <v>1</v>
      </c>
      <c r="F80" s="966">
        <f t="shared" si="10"/>
        <v>70</v>
      </c>
      <c r="G80" s="1013" t="s">
        <v>684</v>
      </c>
      <c r="H80" s="1011" t="str">
        <f>VLOOKUP(G80,'Area (&amp;golfacre for lookup)'!$A$2:$B$159,2,FALSE)</f>
        <v>SW CIRA</v>
      </c>
      <c r="J80" s="966">
        <v>67</v>
      </c>
      <c r="K80" s="1011" t="s">
        <v>684</v>
      </c>
      <c r="L80" s="1011" t="str">
        <f>VLOOKUP(K80,'Area (&amp;golfacre for lookup)'!$A$2:$B$159,2,FALSE)</f>
        <v>SW CIRA</v>
      </c>
      <c r="M80" s="1524" t="b">
        <f t="shared" si="9"/>
        <v>1</v>
      </c>
    </row>
    <row r="81" spans="2:13" ht="12" customHeight="1">
      <c r="B81" s="966">
        <v>71</v>
      </c>
      <c r="C81" s="1013" t="s">
        <v>965</v>
      </c>
      <c r="D81" s="1011" t="s">
        <v>264</v>
      </c>
      <c r="E81" s="966" t="b">
        <f t="shared" si="8"/>
        <v>1</v>
      </c>
      <c r="F81" s="966">
        <f t="shared" si="10"/>
        <v>71</v>
      </c>
      <c r="G81" s="1013" t="s">
        <v>965</v>
      </c>
      <c r="H81" s="1011" t="str">
        <f>VLOOKUP(G81,'Area (&amp;golfacre for lookup)'!$A$2:$B$159,2,FALSE)</f>
        <v>SW CIRA</v>
      </c>
      <c r="J81" s="966">
        <v>68</v>
      </c>
      <c r="K81" s="1011" t="s">
        <v>965</v>
      </c>
      <c r="L81" s="1011" t="str">
        <f>VLOOKUP(K81,'Area (&amp;golfacre for lookup)'!$A$2:$B$159,2,FALSE)</f>
        <v>SW CIRA</v>
      </c>
      <c r="M81" s="1524" t="b">
        <f t="shared" si="9"/>
        <v>1</v>
      </c>
    </row>
    <row r="82" spans="2:13" ht="12" customHeight="1">
      <c r="B82" s="966">
        <v>72</v>
      </c>
      <c r="C82" s="1013" t="s">
        <v>1194</v>
      </c>
      <c r="D82" s="1011" t="s">
        <v>264</v>
      </c>
      <c r="E82" s="966" t="b">
        <f t="shared" si="8"/>
        <v>1</v>
      </c>
      <c r="F82" s="966">
        <f t="shared" si="10"/>
        <v>72</v>
      </c>
      <c r="G82" s="1013" t="s">
        <v>1194</v>
      </c>
      <c r="H82" s="1011" t="str">
        <f>VLOOKUP(G82,'Area (&amp;golfacre for lookup)'!$A$2:$B$159,2,FALSE)</f>
        <v>SW CIRA</v>
      </c>
      <c r="J82" s="966">
        <v>69</v>
      </c>
      <c r="K82" s="1011" t="s">
        <v>1194</v>
      </c>
      <c r="L82" s="1011" t="str">
        <f>VLOOKUP(K82,'Area (&amp;golfacre for lookup)'!$A$2:$B$159,2,FALSE)</f>
        <v>SW CIRA</v>
      </c>
      <c r="M82" s="1524" t="b">
        <f t="shared" si="9"/>
        <v>1</v>
      </c>
    </row>
    <row r="83" spans="2:13" ht="12" customHeight="1">
      <c r="B83" s="966">
        <v>73</v>
      </c>
      <c r="C83" s="1013" t="s">
        <v>635</v>
      </c>
      <c r="D83" s="1011" t="s">
        <v>264</v>
      </c>
      <c r="E83" s="966" t="b">
        <f t="shared" si="8"/>
        <v>1</v>
      </c>
      <c r="F83" s="966">
        <f t="shared" si="10"/>
        <v>73</v>
      </c>
      <c r="G83" s="1013" t="s">
        <v>635</v>
      </c>
      <c r="H83" s="1011" t="str">
        <f>VLOOKUP(G83,'Area (&amp;golfacre for lookup)'!$A$2:$B$159,2,FALSE)</f>
        <v>SW CIRA</v>
      </c>
      <c r="J83" s="966">
        <v>70</v>
      </c>
      <c r="K83" s="1011" t="s">
        <v>635</v>
      </c>
      <c r="L83" s="1011" t="str">
        <f>VLOOKUP(K83,'Area (&amp;golfacre for lookup)'!$A$2:$B$159,2,FALSE)</f>
        <v>SW CIRA</v>
      </c>
      <c r="M83" s="1524" t="b">
        <f t="shared" si="9"/>
        <v>1</v>
      </c>
    </row>
    <row r="84" spans="2:13" ht="12" customHeight="1">
      <c r="B84" s="966">
        <v>74</v>
      </c>
      <c r="C84" s="1013" t="s">
        <v>1148</v>
      </c>
      <c r="D84" s="1011" t="s">
        <v>264</v>
      </c>
      <c r="E84" s="966" t="b">
        <f t="shared" si="8"/>
        <v>1</v>
      </c>
      <c r="F84" s="966">
        <f t="shared" si="10"/>
        <v>74</v>
      </c>
      <c r="G84" s="1013" t="s">
        <v>1148</v>
      </c>
      <c r="H84" s="1011" t="str">
        <f>VLOOKUP(G84,'Area (&amp;golfacre for lookup)'!$A$2:$B$159,2,FALSE)</f>
        <v>SW CIRA</v>
      </c>
      <c r="J84" s="966">
        <v>71</v>
      </c>
      <c r="K84" s="1011" t="s">
        <v>1148</v>
      </c>
      <c r="L84" s="1011" t="str">
        <f>VLOOKUP(K84,'Area (&amp;golfacre for lookup)'!$A$2:$B$159,2,FALSE)</f>
        <v>SW CIRA</v>
      </c>
      <c r="M84" s="1524" t="b">
        <f t="shared" si="9"/>
        <v>1</v>
      </c>
    </row>
    <row r="85" spans="2:13" ht="12" customHeight="1">
      <c r="B85" s="966">
        <v>75</v>
      </c>
      <c r="C85" s="1011" t="s">
        <v>541</v>
      </c>
      <c r="D85" s="1011" t="s">
        <v>264</v>
      </c>
      <c r="E85" s="966" t="b">
        <f t="shared" si="8"/>
        <v>1</v>
      </c>
      <c r="F85" s="966">
        <f t="shared" si="10"/>
        <v>75</v>
      </c>
      <c r="G85" s="1011" t="s">
        <v>541</v>
      </c>
      <c r="H85" s="1011" t="str">
        <f>VLOOKUP(G85,'Area (&amp;golfacre for lookup)'!$A$2:$B$159,2,FALSE)</f>
        <v>SW CIRA</v>
      </c>
      <c r="J85" s="966">
        <v>72</v>
      </c>
      <c r="K85" s="1011" t="s">
        <v>541</v>
      </c>
      <c r="L85" s="1011" t="str">
        <f>VLOOKUP(K85,'Area (&amp;golfacre for lookup)'!$A$2:$B$159,2,FALSE)</f>
        <v>SW CIRA</v>
      </c>
      <c r="M85" s="1524" t="b">
        <f t="shared" si="9"/>
        <v>1</v>
      </c>
    </row>
    <row r="86" spans="2:13" ht="12" customHeight="1">
      <c r="B86" s="966">
        <v>76</v>
      </c>
      <c r="C86" s="1013" t="s">
        <v>1140</v>
      </c>
      <c r="D86" s="1011" t="s">
        <v>264</v>
      </c>
      <c r="E86" s="966" t="b">
        <f t="shared" si="8"/>
        <v>1</v>
      </c>
      <c r="F86" s="966">
        <f t="shared" si="10"/>
        <v>76</v>
      </c>
      <c r="G86" s="1013" t="s">
        <v>1140</v>
      </c>
      <c r="H86" s="1011" t="str">
        <f>VLOOKUP(G86,'Area (&amp;golfacre for lookup)'!$A$2:$B$159,2,FALSE)</f>
        <v>SW CIRA</v>
      </c>
      <c r="J86" s="966">
        <v>73</v>
      </c>
      <c r="K86" s="1011" t="s">
        <v>1140</v>
      </c>
      <c r="L86" s="1011" t="str">
        <f>VLOOKUP(K86,'Area (&amp;golfacre for lookup)'!$A$2:$B$159,2,FALSE)</f>
        <v>SW CIRA</v>
      </c>
      <c r="M86" s="1524" t="b">
        <f t="shared" si="9"/>
        <v>1</v>
      </c>
    </row>
    <row r="87" spans="2:13" ht="12" customHeight="1">
      <c r="B87" s="966">
        <v>77</v>
      </c>
      <c r="C87" s="1013" t="s">
        <v>1029</v>
      </c>
      <c r="D87" s="1011" t="s">
        <v>264</v>
      </c>
      <c r="E87" s="966" t="b">
        <f t="shared" si="8"/>
        <v>1</v>
      </c>
      <c r="F87" s="966">
        <f t="shared" si="10"/>
        <v>77</v>
      </c>
      <c r="G87" s="1013" t="s">
        <v>1029</v>
      </c>
      <c r="H87" s="1011" t="str">
        <f>VLOOKUP(G87,'Area (&amp;golfacre for lookup)'!$A$2:$B$159,2,FALSE)</f>
        <v>SW CIRA</v>
      </c>
      <c r="J87" s="966">
        <v>74</v>
      </c>
      <c r="K87" s="1011" t="s">
        <v>1029</v>
      </c>
      <c r="L87" s="1011" t="str">
        <f>VLOOKUP(K87,'Area (&amp;golfacre for lookup)'!$A$2:$B$159,2,FALSE)</f>
        <v>SW CIRA</v>
      </c>
      <c r="M87" s="1524" t="b">
        <f t="shared" si="9"/>
        <v>1</v>
      </c>
    </row>
    <row r="88" spans="2:13" ht="12" customHeight="1">
      <c r="B88" s="966">
        <v>78</v>
      </c>
      <c r="C88" s="1013" t="s">
        <v>1199</v>
      </c>
      <c r="D88" s="1011" t="s">
        <v>264</v>
      </c>
      <c r="E88" s="966" t="b">
        <f t="shared" si="8"/>
        <v>1</v>
      </c>
      <c r="F88" s="966">
        <f t="shared" si="10"/>
        <v>78</v>
      </c>
      <c r="G88" s="1013" t="s">
        <v>1199</v>
      </c>
      <c r="H88" s="1011" t="str">
        <f>VLOOKUP(G88,'Area (&amp;golfacre for lookup)'!$A$2:$B$159,2,FALSE)</f>
        <v>SW CIRA</v>
      </c>
      <c r="J88" s="966">
        <v>75</v>
      </c>
      <c r="K88" s="1011" t="s">
        <v>1199</v>
      </c>
      <c r="L88" s="1011" t="str">
        <f>VLOOKUP(K88,'Area (&amp;golfacre for lookup)'!$A$2:$B$159,2,FALSE)</f>
        <v>SW CIRA</v>
      </c>
      <c r="M88" s="1524" t="b">
        <f t="shared" si="9"/>
        <v>1</v>
      </c>
    </row>
    <row r="89" spans="2:13" ht="12" customHeight="1">
      <c r="B89" s="966">
        <v>79</v>
      </c>
      <c r="C89" s="1013" t="s">
        <v>1200</v>
      </c>
      <c r="D89" s="1011" t="s">
        <v>264</v>
      </c>
      <c r="E89" s="966" t="b">
        <f t="shared" si="8"/>
        <v>1</v>
      </c>
      <c r="F89" s="966">
        <f t="shared" si="10"/>
        <v>79</v>
      </c>
      <c r="G89" s="1013" t="s">
        <v>1200</v>
      </c>
      <c r="H89" s="1011" t="str">
        <f>VLOOKUP(G89,'Area (&amp;golfacre for lookup)'!$A$2:$B$159,2,FALSE)</f>
        <v>SW CIRA</v>
      </c>
      <c r="J89" s="966">
        <v>76</v>
      </c>
      <c r="K89" s="1011" t="s">
        <v>1200</v>
      </c>
      <c r="L89" s="1011" t="str">
        <f>VLOOKUP(K89,'Area (&amp;golfacre for lookup)'!$A$2:$B$159,2,FALSE)</f>
        <v>SW CIRA</v>
      </c>
      <c r="M89" s="1524" t="b">
        <f t="shared" si="9"/>
        <v>1</v>
      </c>
    </row>
    <row r="90" spans="2:13" ht="12" customHeight="1">
      <c r="B90" s="966">
        <v>80</v>
      </c>
      <c r="C90" s="1013" t="s">
        <v>1322</v>
      </c>
      <c r="D90" s="1011" t="s">
        <v>264</v>
      </c>
      <c r="E90" s="966" t="b">
        <f t="shared" si="8"/>
        <v>1</v>
      </c>
      <c r="F90" s="966">
        <f t="shared" si="10"/>
        <v>80</v>
      </c>
      <c r="G90" s="1013" t="s">
        <v>1322</v>
      </c>
      <c r="H90" s="1011" t="str">
        <f>VLOOKUP(G90,'Area (&amp;golfacre for lookup)'!$A$2:$B$159,2,FALSE)</f>
        <v>SW CIRA</v>
      </c>
      <c r="J90" s="966">
        <v>77</v>
      </c>
      <c r="K90" s="1011" t="s">
        <v>1322</v>
      </c>
      <c r="L90" s="1011" t="str">
        <f>VLOOKUP(K90,'Area (&amp;golfacre for lookup)'!$A$2:$B$159,2,FALSE)</f>
        <v>SW CIRA</v>
      </c>
      <c r="M90" s="1524" t="b">
        <f t="shared" si="9"/>
        <v>1</v>
      </c>
    </row>
    <row r="91" spans="2:13" ht="12" customHeight="1">
      <c r="B91" s="966">
        <v>81</v>
      </c>
      <c r="C91" s="1013" t="s">
        <v>1137</v>
      </c>
      <c r="D91" s="1011" t="s">
        <v>264</v>
      </c>
      <c r="E91" s="966" t="b">
        <f t="shared" si="8"/>
        <v>1</v>
      </c>
      <c r="F91" s="966">
        <f t="shared" si="10"/>
        <v>81</v>
      </c>
      <c r="G91" s="1013" t="s">
        <v>1137</v>
      </c>
      <c r="H91" s="1011" t="str">
        <f>VLOOKUP(G91,'Area (&amp;golfacre for lookup)'!$A$2:$B$159,2,FALSE)</f>
        <v>SW CIRA</v>
      </c>
      <c r="J91" s="966">
        <v>78</v>
      </c>
      <c r="K91" s="1011" t="s">
        <v>1137</v>
      </c>
      <c r="L91" s="1011" t="str">
        <f>VLOOKUP(K91,'Area (&amp;golfacre for lookup)'!$A$2:$B$159,2,FALSE)</f>
        <v>SW CIRA</v>
      </c>
      <c r="M91" s="1524" t="b">
        <f t="shared" si="9"/>
        <v>1</v>
      </c>
    </row>
    <row r="92" spans="2:13" ht="12" customHeight="1">
      <c r="B92" s="966">
        <v>82</v>
      </c>
      <c r="C92" s="1013" t="s">
        <v>265</v>
      </c>
      <c r="D92" s="1011" t="s">
        <v>264</v>
      </c>
      <c r="E92" s="966" t="b">
        <f t="shared" si="8"/>
        <v>1</v>
      </c>
      <c r="F92" s="966">
        <f t="shared" si="10"/>
        <v>82</v>
      </c>
      <c r="G92" s="1013" t="s">
        <v>265</v>
      </c>
      <c r="H92" s="1011" t="str">
        <f>VLOOKUP(G92,'Area (&amp;golfacre for lookup)'!$A$2:$B$159,2,FALSE)</f>
        <v>SW CIRA</v>
      </c>
      <c r="J92" s="966">
        <v>79</v>
      </c>
      <c r="K92" s="1013" t="s">
        <v>265</v>
      </c>
      <c r="L92" s="1011" t="s">
        <v>264</v>
      </c>
      <c r="M92" s="1524" t="b">
        <f t="shared" si="9"/>
        <v>1</v>
      </c>
    </row>
    <row r="93" spans="2:13" ht="12" customHeight="1">
      <c r="B93" s="966">
        <v>83</v>
      </c>
      <c r="C93" s="1013" t="s">
        <v>721</v>
      </c>
      <c r="D93" s="1011" t="s">
        <v>264</v>
      </c>
      <c r="E93" s="966" t="b">
        <f t="shared" si="8"/>
        <v>1</v>
      </c>
      <c r="F93" s="966">
        <f t="shared" si="10"/>
        <v>83</v>
      </c>
      <c r="G93" s="1013" t="s">
        <v>721</v>
      </c>
      <c r="H93" s="1011" t="str">
        <f>VLOOKUP(G93,'Area (&amp;golfacre for lookup)'!$A$2:$B$159,2,FALSE)</f>
        <v>SW CIRA</v>
      </c>
      <c r="J93" s="966">
        <v>80</v>
      </c>
      <c r="K93" s="1011" t="s">
        <v>721</v>
      </c>
      <c r="L93" s="1011" t="str">
        <f>VLOOKUP(K93,'Area (&amp;golfacre for lookup)'!$A$2:$B$159,2,FALSE)</f>
        <v>SW CIRA</v>
      </c>
      <c r="M93" s="1524" t="b">
        <f t="shared" si="9"/>
        <v>1</v>
      </c>
    </row>
    <row r="94" spans="2:13" ht="12" customHeight="1">
      <c r="B94" s="966">
        <v>84</v>
      </c>
      <c r="C94" s="1013" t="s">
        <v>1080</v>
      </c>
      <c r="D94" s="1011" t="s">
        <v>264</v>
      </c>
      <c r="E94" s="966" t="b">
        <f t="shared" si="8"/>
        <v>1</v>
      </c>
      <c r="F94" s="966">
        <f t="shared" si="10"/>
        <v>84</v>
      </c>
      <c r="G94" s="1013" t="s">
        <v>1080</v>
      </c>
      <c r="H94" s="1011" t="str">
        <f>VLOOKUP(G94,'Area (&amp;golfacre for lookup)'!$A$2:$B$159,2,FALSE)</f>
        <v>SW CIRA</v>
      </c>
      <c r="J94" s="966">
        <v>81</v>
      </c>
      <c r="K94" s="1011" t="s">
        <v>1080</v>
      </c>
      <c r="L94" s="1011" t="e">
        <f>VLOOKUP(K95,'Area (&amp;golfacre for lookup)'!$A$2:$B$159,2,FALSE)</f>
        <v>#N/A</v>
      </c>
      <c r="M94" s="1524" t="b">
        <f t="shared" si="9"/>
        <v>1</v>
      </c>
    </row>
    <row r="95" spans="2:13" ht="12" customHeight="1">
      <c r="B95" s="966">
        <v>85</v>
      </c>
      <c r="C95" s="1013" t="s">
        <v>1334</v>
      </c>
      <c r="D95" s="1011" t="s">
        <v>264</v>
      </c>
      <c r="E95" s="966" t="b">
        <f t="shared" si="8"/>
        <v>1</v>
      </c>
      <c r="F95" s="966">
        <f>F94+1</f>
        <v>85</v>
      </c>
      <c r="G95" s="1013" t="s">
        <v>1334</v>
      </c>
      <c r="H95" s="1011" t="e">
        <f>VLOOKUP(G95,'Area (&amp;golfacre for lookup)'!$A$2:$B$159,2,FALSE)</f>
        <v>#N/A</v>
      </c>
      <c r="J95" s="966">
        <v>82</v>
      </c>
      <c r="K95" s="1011" t="s">
        <v>1334</v>
      </c>
      <c r="L95" s="1011" t="str">
        <f>VLOOKUP(K94,'Area (&amp;golfacre for lookup)'!$A$2:$B$159,2,FALSE)</f>
        <v>SW CIRA</v>
      </c>
      <c r="M95" s="1524" t="b">
        <f t="shared" si="9"/>
        <v>1</v>
      </c>
    </row>
    <row r="96" spans="2:13" ht="12" customHeight="1">
      <c r="B96" s="966"/>
      <c r="C96" s="1013"/>
      <c r="D96" s="1011"/>
      <c r="F96" s="966"/>
      <c r="G96" s="1013"/>
      <c r="H96" s="1011"/>
      <c r="J96" s="966"/>
      <c r="L96" s="1011"/>
    </row>
    <row r="97" spans="2:13" ht="12" customHeight="1">
      <c r="B97" s="966">
        <v>86</v>
      </c>
      <c r="C97" s="1013" t="s">
        <v>1127</v>
      </c>
      <c r="D97" s="1011" t="s">
        <v>547</v>
      </c>
      <c r="E97" s="966" t="b">
        <f t="shared" ref="E97:E125" si="11">C97=G97</f>
        <v>1</v>
      </c>
      <c r="F97" s="966">
        <f>+F95+1</f>
        <v>86</v>
      </c>
      <c r="G97" s="1013" t="s">
        <v>1127</v>
      </c>
      <c r="H97" s="1011" t="str">
        <f>VLOOKUP(G97,'Area (&amp;golfacre for lookup)'!$A$2:$B$159,2,FALSE)</f>
        <v>SW exc CIRA</v>
      </c>
      <c r="J97" s="966">
        <v>83</v>
      </c>
      <c r="K97" s="1011" t="s">
        <v>1127</v>
      </c>
      <c r="L97" s="1011" t="str">
        <f>VLOOKUP(K97,'Area (&amp;golfacre for lookup)'!$A$2:$B$159,2,FALSE)</f>
        <v>SW exc CIRA</v>
      </c>
      <c r="M97" s="1524" t="b">
        <f t="shared" ref="M97:M125" si="12">K97=G97</f>
        <v>1</v>
      </c>
    </row>
    <row r="98" spans="2:13" ht="12" customHeight="1">
      <c r="B98" s="966">
        <v>87</v>
      </c>
      <c r="C98" s="1013" t="s">
        <v>266</v>
      </c>
      <c r="D98" s="1011" t="s">
        <v>547</v>
      </c>
      <c r="E98" s="966" t="b">
        <f t="shared" si="11"/>
        <v>1</v>
      </c>
      <c r="F98" s="966">
        <f t="shared" ref="F98:F106" si="13">+F97+1</f>
        <v>87</v>
      </c>
      <c r="G98" s="1013" t="s">
        <v>266</v>
      </c>
      <c r="H98" s="1011" t="str">
        <f>VLOOKUP(G98,'Area (&amp;golfacre for lookup)'!$A$2:$B$159,2,FALSE)</f>
        <v>SW exc CIRA</v>
      </c>
      <c r="J98" s="966">
        <v>84</v>
      </c>
      <c r="K98" s="1011" t="s">
        <v>266</v>
      </c>
      <c r="L98" s="1011" t="str">
        <f>VLOOKUP(K98,'Area (&amp;golfacre for lookup)'!$A$2:$B$159,2,FALSE)</f>
        <v>SW exc CIRA</v>
      </c>
      <c r="M98" s="1524" t="b">
        <f t="shared" si="12"/>
        <v>1</v>
      </c>
    </row>
    <row r="99" spans="2:13" ht="12" customHeight="1">
      <c r="B99" s="966">
        <v>88</v>
      </c>
      <c r="C99" s="1013" t="s">
        <v>624</v>
      </c>
      <c r="D99" s="1011" t="s">
        <v>547</v>
      </c>
      <c r="E99" s="966" t="b">
        <f t="shared" si="11"/>
        <v>1</v>
      </c>
      <c r="F99" s="966">
        <f t="shared" si="13"/>
        <v>88</v>
      </c>
      <c r="G99" s="1013" t="s">
        <v>624</v>
      </c>
      <c r="H99" s="1011" t="str">
        <f>VLOOKUP(G99,'Area (&amp;golfacre for lookup)'!$A$2:$B$159,2,FALSE)</f>
        <v>SW exc CIRA</v>
      </c>
      <c r="J99" s="966">
        <v>85</v>
      </c>
      <c r="K99" s="1011" t="s">
        <v>624</v>
      </c>
      <c r="L99" s="1011" t="str">
        <f>VLOOKUP(K99,'Area (&amp;golfacre for lookup)'!$A$2:$B$159,2,FALSE)</f>
        <v>SW exc CIRA</v>
      </c>
      <c r="M99" s="1524" t="b">
        <f t="shared" si="12"/>
        <v>1</v>
      </c>
    </row>
    <row r="100" spans="2:13" ht="12" customHeight="1">
      <c r="B100" s="966">
        <v>89</v>
      </c>
      <c r="C100" s="1011" t="s">
        <v>1202</v>
      </c>
      <c r="D100" s="1011" t="s">
        <v>547</v>
      </c>
      <c r="E100" s="966" t="b">
        <f t="shared" si="11"/>
        <v>1</v>
      </c>
      <c r="F100" s="966">
        <f t="shared" si="13"/>
        <v>89</v>
      </c>
      <c r="G100" s="1011" t="s">
        <v>1202</v>
      </c>
      <c r="H100" s="1011" t="e">
        <f>VLOOKUP(G100,'Area (&amp;golfacre for lookup)'!$A$2:$B$159,2,FALSE)</f>
        <v>#N/A</v>
      </c>
      <c r="J100" s="966">
        <v>86</v>
      </c>
      <c r="K100" s="1011" t="s">
        <v>1202</v>
      </c>
      <c r="L100" s="1011" t="e">
        <f>VLOOKUP(K100,'Area (&amp;golfacre for lookup)'!$A$2:$B$159,2,FALSE)</f>
        <v>#N/A</v>
      </c>
      <c r="M100" s="1524" t="b">
        <f t="shared" si="12"/>
        <v>1</v>
      </c>
    </row>
    <row r="101" spans="2:13" ht="12" customHeight="1">
      <c r="B101" s="966">
        <v>90</v>
      </c>
      <c r="C101" s="1013" t="s">
        <v>1303</v>
      </c>
      <c r="D101" s="1011" t="s">
        <v>547</v>
      </c>
      <c r="E101" s="966" t="b">
        <f t="shared" si="11"/>
        <v>1</v>
      </c>
      <c r="F101" s="966">
        <f t="shared" si="13"/>
        <v>90</v>
      </c>
      <c r="G101" s="1013" t="s">
        <v>1303</v>
      </c>
      <c r="H101" s="1011" t="str">
        <f>VLOOKUP(G101,'Area (&amp;golfacre for lookup)'!$A$2:$B$159,2,FALSE)</f>
        <v>SW exc CIRA</v>
      </c>
      <c r="J101" s="966">
        <v>87</v>
      </c>
      <c r="K101" s="1011" t="s">
        <v>1303</v>
      </c>
      <c r="L101" s="1011" t="str">
        <f>VLOOKUP(K101,'Area (&amp;golfacre for lookup)'!$A$2:$B$159,2,FALSE)</f>
        <v>SW exc CIRA</v>
      </c>
      <c r="M101" s="1524" t="b">
        <f t="shared" si="12"/>
        <v>1</v>
      </c>
    </row>
    <row r="102" spans="2:13" ht="12" customHeight="1">
      <c r="B102" s="966">
        <v>91</v>
      </c>
      <c r="C102" s="1011" t="s">
        <v>683</v>
      </c>
      <c r="D102" s="1011" t="s">
        <v>547</v>
      </c>
      <c r="E102" s="966" t="b">
        <f t="shared" si="11"/>
        <v>1</v>
      </c>
      <c r="F102" s="966">
        <f t="shared" si="13"/>
        <v>91</v>
      </c>
      <c r="G102" s="1011" t="s">
        <v>683</v>
      </c>
      <c r="H102" s="1011" t="str">
        <f>VLOOKUP(G102,'Area (&amp;golfacre for lookup)'!$A$2:$B$159,2,FALSE)</f>
        <v>SW exc CIRA</v>
      </c>
      <c r="J102" s="966">
        <v>88</v>
      </c>
      <c r="K102" s="1011" t="s">
        <v>683</v>
      </c>
      <c r="L102" s="1011" t="str">
        <f>VLOOKUP(K102,'Area (&amp;golfacre for lookup)'!$A$2:$B$159,2,FALSE)</f>
        <v>SW exc CIRA</v>
      </c>
      <c r="M102" s="1524" t="b">
        <f t="shared" si="12"/>
        <v>1</v>
      </c>
    </row>
    <row r="103" spans="2:13" ht="12" customHeight="1">
      <c r="B103" s="966">
        <v>92</v>
      </c>
      <c r="C103" s="1013" t="s">
        <v>1193</v>
      </c>
      <c r="D103" s="1011" t="s">
        <v>547</v>
      </c>
      <c r="E103" s="966" t="b">
        <f t="shared" si="11"/>
        <v>1</v>
      </c>
      <c r="F103" s="966">
        <f t="shared" si="13"/>
        <v>92</v>
      </c>
      <c r="G103" s="1013" t="s">
        <v>1193</v>
      </c>
      <c r="H103" s="1011" t="str">
        <f>VLOOKUP(G103,'Area (&amp;golfacre for lookup)'!$A$2:$B$159,2,FALSE)</f>
        <v>SW exc CIRA</v>
      </c>
      <c r="J103" s="966">
        <v>89</v>
      </c>
      <c r="K103" s="1011" t="s">
        <v>1193</v>
      </c>
      <c r="L103" s="1011" t="str">
        <f>VLOOKUP(K103,'Area (&amp;golfacre for lookup)'!$A$2:$B$159,2,FALSE)</f>
        <v>SW exc CIRA</v>
      </c>
      <c r="M103" s="1524" t="b">
        <f t="shared" si="12"/>
        <v>1</v>
      </c>
    </row>
    <row r="104" spans="2:13" ht="12" customHeight="1">
      <c r="B104" s="966">
        <v>93</v>
      </c>
      <c r="C104" s="1013" t="s">
        <v>1318</v>
      </c>
      <c r="D104" s="1011" t="s">
        <v>547</v>
      </c>
      <c r="E104" s="966" t="b">
        <f t="shared" si="11"/>
        <v>1</v>
      </c>
      <c r="F104" s="966">
        <f t="shared" si="13"/>
        <v>93</v>
      </c>
      <c r="G104" s="1013" t="s">
        <v>1318</v>
      </c>
      <c r="H104" s="1011" t="str">
        <f>VLOOKUP(G104,'Area (&amp;golfacre for lookup)'!$A$2:$B$159,2,FALSE)</f>
        <v>SW exc CIRA</v>
      </c>
      <c r="J104" s="966">
        <v>90</v>
      </c>
      <c r="K104" s="1011" t="s">
        <v>1318</v>
      </c>
      <c r="L104" s="1011" t="str">
        <f>VLOOKUP(K104,'Area (&amp;golfacre for lookup)'!$A$2:$B$159,2,FALSE)</f>
        <v>SW exc CIRA</v>
      </c>
      <c r="M104" s="1524" t="b">
        <f t="shared" si="12"/>
        <v>1</v>
      </c>
    </row>
    <row r="105" spans="2:13" ht="12" customHeight="1">
      <c r="B105" s="966">
        <v>94</v>
      </c>
      <c r="C105" s="1013" t="s">
        <v>1132</v>
      </c>
      <c r="D105" s="1011" t="s">
        <v>547</v>
      </c>
      <c r="E105" s="966" t="b">
        <f t="shared" si="11"/>
        <v>1</v>
      </c>
      <c r="F105" s="966">
        <f t="shared" si="13"/>
        <v>94</v>
      </c>
      <c r="G105" s="1011" t="s">
        <v>1132</v>
      </c>
      <c r="H105" s="1011" t="str">
        <f>VLOOKUP(G105,'Area (&amp;golfacre for lookup)'!$A$2:$B$159,2,FALSE)</f>
        <v>SW exc CIRA</v>
      </c>
      <c r="J105" s="966">
        <v>91</v>
      </c>
      <c r="K105" s="1011" t="s">
        <v>1132</v>
      </c>
      <c r="L105" s="1011" t="str">
        <f>VLOOKUP(K105,'Area (&amp;golfacre for lookup)'!$A$2:$B$159,2,FALSE)</f>
        <v>SW exc CIRA</v>
      </c>
      <c r="M105" s="1524" t="b">
        <f t="shared" si="12"/>
        <v>1</v>
      </c>
    </row>
    <row r="106" spans="2:13" ht="12" customHeight="1">
      <c r="B106" s="966">
        <v>95</v>
      </c>
      <c r="C106" s="1013" t="s">
        <v>1304</v>
      </c>
      <c r="D106" s="1011" t="s">
        <v>547</v>
      </c>
      <c r="E106" s="966" t="b">
        <f t="shared" si="11"/>
        <v>1</v>
      </c>
      <c r="F106" s="966">
        <f t="shared" si="13"/>
        <v>95</v>
      </c>
      <c r="G106" s="1013" t="s">
        <v>1304</v>
      </c>
      <c r="H106" s="1011" t="str">
        <f>VLOOKUP(G106,'Area (&amp;golfacre for lookup)'!$A$2:$B$159,2,FALSE)</f>
        <v>SW exc CIRA</v>
      </c>
      <c r="J106" s="966">
        <v>92</v>
      </c>
      <c r="K106" s="1011" t="s">
        <v>1304</v>
      </c>
      <c r="L106" s="1011" t="str">
        <f>VLOOKUP(K106,'Area (&amp;golfacre for lookup)'!$A$2:$B$159,2,FALSE)</f>
        <v>SW exc CIRA</v>
      </c>
      <c r="M106" s="1524" t="b">
        <f t="shared" si="12"/>
        <v>1</v>
      </c>
    </row>
    <row r="107" spans="2:13" ht="12" customHeight="1">
      <c r="B107" s="966">
        <v>96</v>
      </c>
      <c r="C107" s="1013" t="s">
        <v>686</v>
      </c>
      <c r="D107" s="1011" t="s">
        <v>547</v>
      </c>
      <c r="E107" s="966" t="b">
        <f t="shared" si="11"/>
        <v>1</v>
      </c>
      <c r="F107" s="1059"/>
      <c r="G107" s="1013" t="s">
        <v>686</v>
      </c>
      <c r="H107" s="1011" t="str">
        <f>VLOOKUP(G107,'Area (&amp;golfacre for lookup)'!$A$2:$B$159,2,FALSE)</f>
        <v>SW exc CIRA</v>
      </c>
      <c r="J107" s="966">
        <v>93</v>
      </c>
      <c r="K107" s="1011" t="s">
        <v>686</v>
      </c>
      <c r="L107" s="1011" t="str">
        <f>VLOOKUP(K107,'Area (&amp;golfacre for lookup)'!$A$2:$B$159,2,FALSE)</f>
        <v>SW exc CIRA</v>
      </c>
      <c r="M107" s="1524" t="b">
        <f t="shared" si="12"/>
        <v>1</v>
      </c>
    </row>
    <row r="108" spans="2:13" ht="12" hidden="1" customHeight="1">
      <c r="B108" s="966">
        <v>97</v>
      </c>
      <c r="C108" s="1013" t="s">
        <v>1319</v>
      </c>
      <c r="D108" s="1011" t="s">
        <v>547</v>
      </c>
      <c r="E108" s="966" t="b">
        <f t="shared" si="11"/>
        <v>0</v>
      </c>
      <c r="F108" s="966">
        <f>F106+1</f>
        <v>96</v>
      </c>
      <c r="G108" s="1059"/>
      <c r="H108" s="1059"/>
      <c r="J108" s="1059"/>
      <c r="K108" s="1059"/>
      <c r="L108" s="1059"/>
      <c r="M108" s="1524" t="b">
        <f t="shared" si="12"/>
        <v>1</v>
      </c>
    </row>
    <row r="109" spans="2:13" ht="12" customHeight="1">
      <c r="B109" s="966">
        <v>98</v>
      </c>
      <c r="C109" s="1011" t="s">
        <v>1427</v>
      </c>
      <c r="D109" s="1011" t="s">
        <v>547</v>
      </c>
      <c r="E109" s="966" t="b">
        <f t="shared" si="11"/>
        <v>1</v>
      </c>
      <c r="F109" s="966">
        <f>+F108+1</f>
        <v>97</v>
      </c>
      <c r="G109" s="1011" t="s">
        <v>1427</v>
      </c>
      <c r="H109" s="1011" t="str">
        <f>VLOOKUP(G109,'Area (&amp;golfacre for lookup)'!$A$2:$B$159,2,FALSE)</f>
        <v>SW exc CIRA</v>
      </c>
      <c r="J109" s="966">
        <v>94</v>
      </c>
      <c r="K109" s="1011" t="s">
        <v>1427</v>
      </c>
      <c r="L109" s="1011" t="str">
        <f>VLOOKUP(K109,'Area (&amp;golfacre for lookup)'!$A$2:$B$159,2,FALSE)</f>
        <v>SW exc CIRA</v>
      </c>
      <c r="M109" s="1524" t="b">
        <f t="shared" si="12"/>
        <v>1</v>
      </c>
    </row>
    <row r="110" spans="2:13" ht="12" customHeight="1">
      <c r="B110" s="966">
        <v>99</v>
      </c>
      <c r="C110" s="1013" t="s">
        <v>1195</v>
      </c>
      <c r="D110" s="1011" t="s">
        <v>547</v>
      </c>
      <c r="E110" s="966" t="b">
        <f t="shared" si="11"/>
        <v>1</v>
      </c>
      <c r="F110" s="966">
        <f t="shared" ref="F110:F124" si="14">+F109+1</f>
        <v>98</v>
      </c>
      <c r="G110" s="1013" t="s">
        <v>1195</v>
      </c>
      <c r="H110" s="1011" t="str">
        <f>VLOOKUP(G110,'Area (&amp;golfacre for lookup)'!$A$2:$B$159,2,FALSE)</f>
        <v>SW exc CIRA</v>
      </c>
      <c r="J110" s="966">
        <v>95</v>
      </c>
      <c r="K110" s="1011" t="s">
        <v>1195</v>
      </c>
      <c r="L110" s="1011" t="str">
        <f>VLOOKUP(K110,'Area (&amp;golfacre for lookup)'!$A$2:$B$159,2,FALSE)</f>
        <v>SW exc CIRA</v>
      </c>
      <c r="M110" s="1524" t="b">
        <f t="shared" si="12"/>
        <v>1</v>
      </c>
    </row>
    <row r="111" spans="2:13" ht="12" customHeight="1">
      <c r="B111" s="966">
        <v>100</v>
      </c>
      <c r="C111" s="1011" t="s">
        <v>1320</v>
      </c>
      <c r="D111" s="1011" t="s">
        <v>547</v>
      </c>
      <c r="E111" s="966" t="b">
        <f t="shared" si="11"/>
        <v>1</v>
      </c>
      <c r="F111" s="966">
        <f t="shared" si="14"/>
        <v>99</v>
      </c>
      <c r="G111" s="1011" t="s">
        <v>1320</v>
      </c>
      <c r="H111" s="1011" t="str">
        <f>VLOOKUP(G111,'Area (&amp;golfacre for lookup)'!$A$2:$B$159,2,FALSE)</f>
        <v>SW exc CIRA</v>
      </c>
      <c r="J111" s="966">
        <v>96</v>
      </c>
      <c r="K111" s="1011" t="s">
        <v>1320</v>
      </c>
      <c r="L111" s="1011" t="str">
        <f>VLOOKUP(K111,'Area (&amp;golfacre for lookup)'!$A$2:$B$159,2,FALSE)</f>
        <v>SW exc CIRA</v>
      </c>
      <c r="M111" s="1524" t="b">
        <f t="shared" si="12"/>
        <v>1</v>
      </c>
    </row>
    <row r="112" spans="2:13" ht="12" customHeight="1">
      <c r="B112" s="966">
        <v>101</v>
      </c>
      <c r="C112" s="1013" t="s">
        <v>1134</v>
      </c>
      <c r="D112" s="1011" t="s">
        <v>547</v>
      </c>
      <c r="E112" s="966" t="b">
        <f t="shared" si="11"/>
        <v>1</v>
      </c>
      <c r="F112" s="966">
        <f t="shared" si="14"/>
        <v>100</v>
      </c>
      <c r="G112" s="1013" t="s">
        <v>1134</v>
      </c>
      <c r="H112" s="1011" t="str">
        <f>VLOOKUP(G112,'Area (&amp;golfacre for lookup)'!$A$2:$B$159,2,FALSE)</f>
        <v>SW exc CIRA</v>
      </c>
      <c r="J112" s="966">
        <v>97</v>
      </c>
      <c r="K112" s="1011" t="s">
        <v>1134</v>
      </c>
      <c r="L112" s="1011" t="str">
        <f>VLOOKUP(K112,'Area (&amp;golfacre for lookup)'!$A$2:$B$159,2,FALSE)</f>
        <v>SW exc CIRA</v>
      </c>
      <c r="M112" s="1524" t="b">
        <f t="shared" si="12"/>
        <v>1</v>
      </c>
    </row>
    <row r="113" spans="2:13" ht="12" customHeight="1">
      <c r="B113" s="966">
        <v>102</v>
      </c>
      <c r="C113" s="1011" t="s">
        <v>1196</v>
      </c>
      <c r="D113" s="1011" t="s">
        <v>547</v>
      </c>
      <c r="E113" s="966" t="b">
        <f t="shared" si="11"/>
        <v>1</v>
      </c>
      <c r="F113" s="966">
        <f t="shared" si="14"/>
        <v>101</v>
      </c>
      <c r="G113" s="1011" t="s">
        <v>1196</v>
      </c>
      <c r="H113" s="1011" t="str">
        <f>VLOOKUP(G113,'Area (&amp;golfacre for lookup)'!$A$2:$B$159,2,FALSE)</f>
        <v>SW exc CIRA</v>
      </c>
      <c r="J113" s="966">
        <v>98</v>
      </c>
      <c r="K113" s="1011" t="s">
        <v>1196</v>
      </c>
      <c r="L113" s="1011" t="str">
        <f>VLOOKUP(K113,'Area (&amp;golfacre for lookup)'!$A$2:$B$159,2,FALSE)</f>
        <v>SW exc CIRA</v>
      </c>
      <c r="M113" s="1524" t="b">
        <f t="shared" si="12"/>
        <v>1</v>
      </c>
    </row>
    <row r="114" spans="2:13" ht="12" customHeight="1">
      <c r="B114" s="966">
        <v>103</v>
      </c>
      <c r="C114" s="1013" t="s">
        <v>1198</v>
      </c>
      <c r="D114" s="1011" t="s">
        <v>547</v>
      </c>
      <c r="E114" s="966" t="b">
        <f t="shared" si="11"/>
        <v>1</v>
      </c>
      <c r="F114" s="966">
        <f t="shared" si="14"/>
        <v>102</v>
      </c>
      <c r="G114" s="1013" t="s">
        <v>1198</v>
      </c>
      <c r="H114" s="1011" t="str">
        <f>VLOOKUP(G114,'Area (&amp;golfacre for lookup)'!$A$2:$B$159,2,FALSE)</f>
        <v>SW exc CIRA</v>
      </c>
      <c r="J114" s="966">
        <v>99</v>
      </c>
      <c r="K114" s="1011" t="s">
        <v>1198</v>
      </c>
      <c r="L114" s="1011" t="str">
        <f>VLOOKUP(K114,'Area (&amp;golfacre for lookup)'!$A$2:$B$159,2,FALSE)</f>
        <v>SW exc CIRA</v>
      </c>
      <c r="M114" s="1524" t="b">
        <f t="shared" si="12"/>
        <v>1</v>
      </c>
    </row>
    <row r="115" spans="2:13" ht="12" customHeight="1">
      <c r="B115" s="966">
        <v>104</v>
      </c>
      <c r="C115" s="1013" t="s">
        <v>1315</v>
      </c>
      <c r="D115" s="1011" t="s">
        <v>547</v>
      </c>
      <c r="E115" s="966" t="b">
        <f t="shared" si="11"/>
        <v>1</v>
      </c>
      <c r="F115" s="966">
        <f t="shared" si="14"/>
        <v>103</v>
      </c>
      <c r="G115" s="1013" t="s">
        <v>1315</v>
      </c>
      <c r="H115" s="1011" t="str">
        <f>VLOOKUP(G115,'Area (&amp;golfacre for lookup)'!$A$2:$B$159,2,FALSE)</f>
        <v>SW exc CIRA</v>
      </c>
      <c r="J115" s="966">
        <v>100</v>
      </c>
      <c r="K115" s="1011" t="s">
        <v>1315</v>
      </c>
      <c r="L115" s="1011" t="str">
        <f>VLOOKUP(K115,'Area (&amp;golfacre for lookup)'!$A$2:$B$159,2,FALSE)</f>
        <v>SW exc CIRA</v>
      </c>
      <c r="M115" s="1524" t="b">
        <f t="shared" si="12"/>
        <v>1</v>
      </c>
    </row>
    <row r="116" spans="2:13" ht="12" customHeight="1">
      <c r="B116" s="966">
        <v>105</v>
      </c>
      <c r="C116" s="1011" t="s">
        <v>1010</v>
      </c>
      <c r="D116" s="1011" t="s">
        <v>547</v>
      </c>
      <c r="E116" s="966" t="b">
        <f t="shared" si="11"/>
        <v>1</v>
      </c>
      <c r="F116" s="966">
        <f t="shared" si="14"/>
        <v>104</v>
      </c>
      <c r="G116" s="1011" t="s">
        <v>1010</v>
      </c>
      <c r="H116" s="1011" t="str">
        <f>VLOOKUP(G116,'Area (&amp;golfacre for lookup)'!$A$2:$B$159,2,FALSE)</f>
        <v>SW exc CIRA</v>
      </c>
      <c r="J116" s="966">
        <v>101</v>
      </c>
      <c r="K116" s="1011" t="s">
        <v>1010</v>
      </c>
      <c r="L116" s="1011" t="str">
        <f>VLOOKUP(K116,'Area (&amp;golfacre for lookup)'!$A$2:$B$159,2,FALSE)</f>
        <v>SW exc CIRA</v>
      </c>
      <c r="M116" s="1524" t="b">
        <f t="shared" si="12"/>
        <v>1</v>
      </c>
    </row>
    <row r="117" spans="2:13" ht="12" customHeight="1">
      <c r="B117" s="966">
        <v>106</v>
      </c>
      <c r="C117" s="1013" t="s">
        <v>680</v>
      </c>
      <c r="D117" s="1011" t="s">
        <v>547</v>
      </c>
      <c r="E117" s="966" t="b">
        <f t="shared" si="11"/>
        <v>1</v>
      </c>
      <c r="F117" s="966">
        <f t="shared" si="14"/>
        <v>105</v>
      </c>
      <c r="G117" s="1013" t="s">
        <v>680</v>
      </c>
      <c r="H117" s="1011" t="str">
        <f>VLOOKUP(G117,'Area (&amp;golfacre for lookup)'!$A$2:$B$159,2,FALSE)</f>
        <v>SW exc CIRA</v>
      </c>
      <c r="J117" s="966">
        <v>102</v>
      </c>
      <c r="K117" s="1011" t="s">
        <v>680</v>
      </c>
      <c r="L117" s="1011" t="str">
        <f>VLOOKUP(K117,'Area (&amp;golfacre for lookup)'!$A$2:$B$159,2,FALSE)</f>
        <v>SW exc CIRA</v>
      </c>
      <c r="M117" s="1524" t="b">
        <f t="shared" si="12"/>
        <v>1</v>
      </c>
    </row>
    <row r="118" spans="2:13" ht="12" customHeight="1">
      <c r="B118" s="966">
        <v>107</v>
      </c>
      <c r="C118" s="1013" t="s">
        <v>696</v>
      </c>
      <c r="D118" s="1011" t="s">
        <v>547</v>
      </c>
      <c r="E118" s="966" t="b">
        <f t="shared" si="11"/>
        <v>1</v>
      </c>
      <c r="F118" s="966">
        <f t="shared" si="14"/>
        <v>106</v>
      </c>
      <c r="G118" s="1013" t="s">
        <v>696</v>
      </c>
      <c r="H118" s="1011" t="str">
        <f>VLOOKUP(G118,'Area (&amp;golfacre for lookup)'!$A$2:$B$159,2,FALSE)</f>
        <v>SW exc CIRA</v>
      </c>
      <c r="J118" s="966">
        <v>103</v>
      </c>
      <c r="K118" s="1011" t="s">
        <v>696</v>
      </c>
      <c r="L118" s="1011" t="str">
        <f>VLOOKUP(K118,'Area (&amp;golfacre for lookup)'!$A$2:$B$159,2,FALSE)</f>
        <v>SW exc CIRA</v>
      </c>
      <c r="M118" s="1524" t="b">
        <f t="shared" si="12"/>
        <v>1</v>
      </c>
    </row>
    <row r="119" spans="2:13" ht="12" customHeight="1">
      <c r="B119" s="966">
        <v>108</v>
      </c>
      <c r="C119" s="1056" t="s">
        <v>1015</v>
      </c>
      <c r="D119" s="1011" t="s">
        <v>547</v>
      </c>
      <c r="E119" s="966" t="b">
        <f t="shared" si="11"/>
        <v>1</v>
      </c>
      <c r="F119" s="966">
        <f t="shared" si="14"/>
        <v>107</v>
      </c>
      <c r="G119" s="1056" t="s">
        <v>1015</v>
      </c>
      <c r="H119" s="1011" t="str">
        <f>VLOOKUP(G119,'Area (&amp;golfacre for lookup)'!$A$2:$B$159,2,FALSE)</f>
        <v>SW exc CIRA</v>
      </c>
      <c r="J119" s="966">
        <v>104</v>
      </c>
      <c r="K119" s="1056" t="s">
        <v>1015</v>
      </c>
      <c r="L119" s="1011" t="str">
        <f>VLOOKUP(K119,'Area (&amp;golfacre for lookup)'!$A$2:$B$159,2,FALSE)</f>
        <v>SW exc CIRA</v>
      </c>
      <c r="M119" s="1524" t="b">
        <f t="shared" si="12"/>
        <v>1</v>
      </c>
    </row>
    <row r="120" spans="2:13" ht="12" customHeight="1">
      <c r="B120" s="966">
        <v>109</v>
      </c>
      <c r="C120" s="1013" t="s">
        <v>1309</v>
      </c>
      <c r="D120" s="1011" t="s">
        <v>547</v>
      </c>
      <c r="E120" s="966" t="b">
        <f t="shared" si="11"/>
        <v>1</v>
      </c>
      <c r="F120" s="966">
        <f t="shared" si="14"/>
        <v>108</v>
      </c>
      <c r="G120" s="1013" t="s">
        <v>1309</v>
      </c>
      <c r="H120" s="1011" t="str">
        <f>VLOOKUP(G120,'Area (&amp;golfacre for lookup)'!$A$2:$B$159,2,FALSE)</f>
        <v>SW exc CIRA</v>
      </c>
      <c r="J120" s="966">
        <v>105</v>
      </c>
      <c r="K120" s="1011" t="s">
        <v>1309</v>
      </c>
      <c r="L120" s="1011" t="str">
        <f>VLOOKUP(K120,'Area (&amp;golfacre for lookup)'!$A$2:$B$159,2,FALSE)</f>
        <v>SW exc CIRA</v>
      </c>
      <c r="M120" s="1524" t="b">
        <f t="shared" si="12"/>
        <v>1</v>
      </c>
    </row>
    <row r="121" spans="2:13" ht="12" customHeight="1">
      <c r="B121" s="966">
        <v>110</v>
      </c>
      <c r="C121" s="1013" t="s">
        <v>929</v>
      </c>
      <c r="D121" s="1011" t="s">
        <v>547</v>
      </c>
      <c r="E121" s="966" t="b">
        <f t="shared" si="11"/>
        <v>1</v>
      </c>
      <c r="F121" s="966">
        <f t="shared" si="14"/>
        <v>109</v>
      </c>
      <c r="G121" s="1013" t="s">
        <v>929</v>
      </c>
      <c r="H121" s="1011" t="str">
        <f>VLOOKUP(G121,'Area (&amp;golfacre for lookup)'!$A$2:$B$159,2,FALSE)</f>
        <v>SW exc CIRA</v>
      </c>
      <c r="J121" s="966">
        <v>106</v>
      </c>
      <c r="K121" s="1011" t="s">
        <v>929</v>
      </c>
      <c r="L121" s="1011" t="str">
        <f>VLOOKUP(K121,'Area (&amp;golfacre for lookup)'!$A$2:$B$159,2,FALSE)</f>
        <v>SW exc CIRA</v>
      </c>
      <c r="M121" s="1524" t="b">
        <f t="shared" si="12"/>
        <v>1</v>
      </c>
    </row>
    <row r="122" spans="2:13" ht="12" customHeight="1">
      <c r="B122" s="966">
        <v>111</v>
      </c>
      <c r="C122" s="1011" t="s">
        <v>524</v>
      </c>
      <c r="D122" s="1011" t="s">
        <v>547</v>
      </c>
      <c r="E122" s="966" t="b">
        <f t="shared" si="11"/>
        <v>1</v>
      </c>
      <c r="F122" s="966">
        <f t="shared" si="14"/>
        <v>110</v>
      </c>
      <c r="G122" s="1011" t="s">
        <v>524</v>
      </c>
      <c r="H122" s="1011" t="e">
        <f>VLOOKUP(G122,'Area (&amp;golfacre for lookup)'!$A$2:$B$159,2,FALSE)</f>
        <v>#N/A</v>
      </c>
      <c r="J122" s="966">
        <v>107</v>
      </c>
      <c r="K122" s="1011" t="s">
        <v>524</v>
      </c>
      <c r="L122" s="1011" t="e">
        <f>VLOOKUP(K122,'Area (&amp;golfacre for lookup)'!$A$2:$B$159,2,FALSE)</f>
        <v>#N/A</v>
      </c>
      <c r="M122" s="1524" t="b">
        <f t="shared" si="12"/>
        <v>1</v>
      </c>
    </row>
    <row r="123" spans="2:13" ht="12" customHeight="1">
      <c r="B123" s="966">
        <v>112</v>
      </c>
      <c r="C123" s="1011" t="s">
        <v>1630</v>
      </c>
      <c r="D123" s="1011" t="s">
        <v>547</v>
      </c>
      <c r="E123" s="966" t="b">
        <f t="shared" si="11"/>
        <v>1</v>
      </c>
      <c r="F123" s="966">
        <f t="shared" si="14"/>
        <v>111</v>
      </c>
      <c r="G123" s="1011" t="s">
        <v>1630</v>
      </c>
      <c r="H123" s="1011" t="str">
        <f>VLOOKUP(G123,'Area (&amp;golfacre for lookup)'!$A$2:$B$159,2,FALSE)</f>
        <v>SW exc CIRA</v>
      </c>
      <c r="J123" s="966">
        <v>108</v>
      </c>
      <c r="K123" s="1011" t="s">
        <v>1630</v>
      </c>
      <c r="L123" s="1011" t="str">
        <f>VLOOKUP(K123,'Area (&amp;golfacre for lookup)'!$A$2:$B$159,2,FALSE)</f>
        <v>SW exc CIRA</v>
      </c>
      <c r="M123" s="1524" t="b">
        <f t="shared" si="12"/>
        <v>1</v>
      </c>
    </row>
    <row r="124" spans="2:13" ht="12" customHeight="1">
      <c r="B124" s="966">
        <v>113</v>
      </c>
      <c r="C124" s="1013" t="s">
        <v>1147</v>
      </c>
      <c r="D124" s="1011" t="s">
        <v>547</v>
      </c>
      <c r="E124" s="966" t="b">
        <f t="shared" si="11"/>
        <v>1</v>
      </c>
      <c r="F124" s="966">
        <f t="shared" si="14"/>
        <v>112</v>
      </c>
      <c r="G124" s="1013" t="s">
        <v>1147</v>
      </c>
      <c r="H124" s="1011" t="e">
        <f>VLOOKUP(G124,'Area (&amp;golfacre for lookup)'!$A$2:$B$159,2,FALSE)</f>
        <v>#N/A</v>
      </c>
      <c r="J124" s="966">
        <v>109</v>
      </c>
      <c r="K124" s="1011" t="s">
        <v>1147</v>
      </c>
      <c r="L124" s="1011" t="e">
        <f>VLOOKUP(K124,'Area (&amp;golfacre for lookup)'!$A$2:$B$159,2,FALSE)</f>
        <v>#N/A</v>
      </c>
      <c r="M124" s="1524" t="b">
        <f t="shared" si="12"/>
        <v>1</v>
      </c>
    </row>
    <row r="125" spans="2:13" ht="12" customHeight="1">
      <c r="B125" s="966">
        <v>114</v>
      </c>
      <c r="C125" s="1013" t="s">
        <v>697</v>
      </c>
      <c r="D125" s="1011" t="s">
        <v>547</v>
      </c>
      <c r="E125" s="966" t="b">
        <f t="shared" si="11"/>
        <v>1</v>
      </c>
      <c r="F125" s="966">
        <f>F124+1</f>
        <v>113</v>
      </c>
      <c r="G125" s="1013" t="s">
        <v>697</v>
      </c>
      <c r="H125" s="1011" t="e">
        <f>VLOOKUP(G125,'Area (&amp;golfacre for lookup)'!$A$2:$B$159,2,FALSE)</f>
        <v>#N/A</v>
      </c>
      <c r="J125" s="966">
        <v>110</v>
      </c>
      <c r="K125" s="1011" t="s">
        <v>697</v>
      </c>
      <c r="L125" s="1011" t="e">
        <f>VLOOKUP(K125,'Area (&amp;golfacre for lookup)'!$A$2:$B$159,2,FALSE)</f>
        <v>#N/A</v>
      </c>
      <c r="M125" s="1524" t="b">
        <f t="shared" si="12"/>
        <v>1</v>
      </c>
    </row>
    <row r="126" spans="2:13" ht="12" customHeight="1">
      <c r="B126" s="966"/>
      <c r="C126" s="1013"/>
      <c r="D126" s="1011"/>
      <c r="F126" s="966"/>
      <c r="G126" s="1013"/>
      <c r="H126" s="1011"/>
      <c r="J126" s="966"/>
      <c r="M126" s="1524"/>
    </row>
    <row r="127" spans="2:13" ht="12" customHeight="1">
      <c r="B127" s="966">
        <v>115</v>
      </c>
      <c r="C127" s="1013" t="s">
        <v>1128</v>
      </c>
      <c r="D127" s="1011" t="s">
        <v>412</v>
      </c>
      <c r="E127" s="966" t="b">
        <f t="shared" ref="E127:E145" si="15">C127=G127</f>
        <v>1</v>
      </c>
      <c r="F127" s="966">
        <f>+F125+1</f>
        <v>114</v>
      </c>
      <c r="G127" s="1013" t="s">
        <v>1128</v>
      </c>
      <c r="H127" s="1011" t="str">
        <f>VLOOKUP(G127,'Area (&amp;golfacre for lookup)'!$A$2:$B$159,2,FALSE)</f>
        <v>Yacht &amp; Beach</v>
      </c>
      <c r="J127" s="966">
        <v>111</v>
      </c>
      <c r="K127" s="1011" t="s">
        <v>1128</v>
      </c>
      <c r="L127" s="1011" t="s">
        <v>412</v>
      </c>
      <c r="M127" s="1524" t="b">
        <f t="shared" ref="M127:M145" si="16">K127=G127</f>
        <v>1</v>
      </c>
    </row>
    <row r="128" spans="2:13" ht="12" customHeight="1">
      <c r="B128" s="966">
        <v>116</v>
      </c>
      <c r="C128" s="1013" t="s">
        <v>523</v>
      </c>
      <c r="D128" s="1011" t="s">
        <v>412</v>
      </c>
      <c r="E128" s="966" t="b">
        <f t="shared" si="15"/>
        <v>1</v>
      </c>
      <c r="F128" s="966">
        <f t="shared" ref="F128:F143" si="17">+F127+1</f>
        <v>115</v>
      </c>
      <c r="G128" s="1013" t="s">
        <v>523</v>
      </c>
      <c r="H128" s="1011" t="s">
        <v>412</v>
      </c>
      <c r="J128" s="966">
        <v>112</v>
      </c>
      <c r="K128" s="1011" t="s">
        <v>523</v>
      </c>
      <c r="L128" s="1011" t="str">
        <f>VLOOKUP(K128,'Area (&amp;golfacre for lookup)'!$A$2:$B$159,2,FALSE)</f>
        <v>Yacht &amp; Beach</v>
      </c>
      <c r="M128" s="1524" t="b">
        <f t="shared" si="16"/>
        <v>1</v>
      </c>
    </row>
    <row r="129" spans="2:14" ht="12" customHeight="1">
      <c r="B129" s="966">
        <v>117</v>
      </c>
      <c r="C129" s="1013" t="s">
        <v>841</v>
      </c>
      <c r="D129" s="1011" t="s">
        <v>412</v>
      </c>
      <c r="E129" s="966" t="b">
        <f t="shared" si="15"/>
        <v>1</v>
      </c>
      <c r="F129" s="966">
        <f t="shared" si="17"/>
        <v>116</v>
      </c>
      <c r="G129" s="1013" t="s">
        <v>841</v>
      </c>
      <c r="H129" s="1011" t="s">
        <v>412</v>
      </c>
      <c r="J129" s="1059"/>
      <c r="K129" s="1059"/>
      <c r="L129" s="1059"/>
      <c r="M129" s="1524" t="b">
        <f t="shared" si="16"/>
        <v>0</v>
      </c>
    </row>
    <row r="130" spans="2:14" ht="12" customHeight="1">
      <c r="B130" s="966">
        <v>118</v>
      </c>
      <c r="C130" s="1011" t="s">
        <v>917</v>
      </c>
      <c r="D130" s="1011" t="s">
        <v>412</v>
      </c>
      <c r="E130" s="966" t="b">
        <f t="shared" si="15"/>
        <v>1</v>
      </c>
      <c r="F130" s="966">
        <f t="shared" si="17"/>
        <v>117</v>
      </c>
      <c r="G130" s="1011" t="s">
        <v>917</v>
      </c>
      <c r="H130" s="1011" t="s">
        <v>412</v>
      </c>
      <c r="J130" s="966">
        <v>113</v>
      </c>
      <c r="K130" s="1011" t="s">
        <v>917</v>
      </c>
      <c r="L130" s="1011" t="str">
        <f>VLOOKUP(K132,'Area (&amp;golfacre for lookup)'!$A$2:$B$159,2,FALSE)</f>
        <v>Yacht &amp; Beach</v>
      </c>
      <c r="M130" s="1524" t="b">
        <f t="shared" si="16"/>
        <v>1</v>
      </c>
    </row>
    <row r="131" spans="2:14" ht="12" customHeight="1">
      <c r="B131" s="966">
        <v>119</v>
      </c>
      <c r="C131" s="1013" t="s">
        <v>541</v>
      </c>
      <c r="D131" s="1011" t="s">
        <v>412</v>
      </c>
      <c r="E131" s="966" t="b">
        <f t="shared" si="15"/>
        <v>1</v>
      </c>
      <c r="F131" s="966">
        <f t="shared" si="17"/>
        <v>118</v>
      </c>
      <c r="G131" s="1013" t="s">
        <v>541</v>
      </c>
      <c r="H131" s="1011" t="s">
        <v>412</v>
      </c>
      <c r="J131" s="966">
        <v>114</v>
      </c>
      <c r="K131" s="1013" t="s">
        <v>541</v>
      </c>
      <c r="L131" s="1011" t="str">
        <f>VLOOKUP(K134,'Area (&amp;golfacre for lookup)'!$A$2:$B$159,2,FALSE)</f>
        <v>Yacht &amp; Beach</v>
      </c>
      <c r="M131" s="1524" t="b">
        <f t="shared" si="16"/>
        <v>1</v>
      </c>
      <c r="N131" s="1044"/>
    </row>
    <row r="132" spans="2:14" ht="12" customHeight="1">
      <c r="B132" s="966">
        <v>120</v>
      </c>
      <c r="C132" s="1013" t="s">
        <v>1327</v>
      </c>
      <c r="D132" s="1011" t="s">
        <v>412</v>
      </c>
      <c r="E132" s="966" t="b">
        <f t="shared" si="15"/>
        <v>1</v>
      </c>
      <c r="F132" s="966">
        <f t="shared" si="17"/>
        <v>119</v>
      </c>
      <c r="G132" s="1013" t="s">
        <v>1327</v>
      </c>
      <c r="H132" s="1011" t="s">
        <v>412</v>
      </c>
      <c r="J132" s="966">
        <v>115</v>
      </c>
      <c r="K132" s="1011" t="s">
        <v>1327</v>
      </c>
      <c r="L132" s="1011" t="str">
        <f>VLOOKUP(K135,'Area (&amp;golfacre for lookup)'!$A$2:$B$159,2,FALSE)</f>
        <v>Yacht &amp; Beach</v>
      </c>
      <c r="M132" s="1524" t="b">
        <f t="shared" si="16"/>
        <v>1</v>
      </c>
      <c r="N132" s="1419"/>
    </row>
    <row r="133" spans="2:14" ht="12" customHeight="1">
      <c r="B133" s="966">
        <v>121</v>
      </c>
      <c r="C133" s="1013" t="s">
        <v>1026</v>
      </c>
      <c r="D133" s="1011" t="s">
        <v>412</v>
      </c>
      <c r="E133" s="966" t="b">
        <f t="shared" si="15"/>
        <v>1</v>
      </c>
      <c r="F133" s="966">
        <f t="shared" si="17"/>
        <v>120</v>
      </c>
      <c r="G133" s="1013" t="s">
        <v>1026</v>
      </c>
      <c r="H133" s="1011" t="s">
        <v>412</v>
      </c>
      <c r="J133" s="966">
        <v>116</v>
      </c>
      <c r="K133" s="1013" t="s">
        <v>1026</v>
      </c>
      <c r="L133" s="1011" t="str">
        <f>VLOOKUP(K137,'Area (&amp;golfacre for lookup)'!$A$2:$B$159,2,FALSE)</f>
        <v>Yacht &amp; Beach</v>
      </c>
      <c r="M133" s="1524" t="b">
        <f t="shared" si="16"/>
        <v>1</v>
      </c>
    </row>
    <row r="134" spans="2:14" ht="12" customHeight="1">
      <c r="B134" s="966">
        <v>122</v>
      </c>
      <c r="C134" s="1013" t="s">
        <v>1197</v>
      </c>
      <c r="D134" s="1011" t="s">
        <v>412</v>
      </c>
      <c r="E134" s="966" t="b">
        <f t="shared" si="15"/>
        <v>1</v>
      </c>
      <c r="F134" s="966">
        <f t="shared" si="17"/>
        <v>121</v>
      </c>
      <c r="G134" s="1013" t="s">
        <v>1197</v>
      </c>
      <c r="H134" s="1011" t="s">
        <v>412</v>
      </c>
      <c r="J134" s="966">
        <v>117</v>
      </c>
      <c r="K134" s="1011" t="s">
        <v>1197</v>
      </c>
      <c r="L134" s="1011" t="s">
        <v>412</v>
      </c>
      <c r="M134" s="1524" t="b">
        <f t="shared" si="16"/>
        <v>1</v>
      </c>
    </row>
    <row r="135" spans="2:14" ht="12" customHeight="1">
      <c r="B135" s="966">
        <v>123</v>
      </c>
      <c r="C135" s="1013" t="s">
        <v>724</v>
      </c>
      <c r="D135" s="1011" t="s">
        <v>412</v>
      </c>
      <c r="E135" s="966" t="b">
        <f t="shared" si="15"/>
        <v>1</v>
      </c>
      <c r="F135" s="966">
        <f t="shared" si="17"/>
        <v>122</v>
      </c>
      <c r="G135" s="1013" t="s">
        <v>724</v>
      </c>
      <c r="H135" s="1011" t="s">
        <v>412</v>
      </c>
      <c r="J135" s="966">
        <v>118</v>
      </c>
      <c r="K135" s="1011" t="s">
        <v>724</v>
      </c>
      <c r="L135" s="1011" t="s">
        <v>412</v>
      </c>
      <c r="M135" s="1524" t="b">
        <f t="shared" si="16"/>
        <v>1</v>
      </c>
    </row>
    <row r="136" spans="2:14" ht="12" customHeight="1">
      <c r="B136" s="966">
        <v>124</v>
      </c>
      <c r="C136" s="1013" t="s">
        <v>1140</v>
      </c>
      <c r="D136" s="1011" t="s">
        <v>412</v>
      </c>
      <c r="E136" s="966" t="b">
        <f t="shared" si="15"/>
        <v>1</v>
      </c>
      <c r="F136" s="966">
        <f t="shared" si="17"/>
        <v>123</v>
      </c>
      <c r="G136" s="1013" t="s">
        <v>1140</v>
      </c>
      <c r="H136" s="1011" t="s">
        <v>412</v>
      </c>
      <c r="J136" s="966">
        <v>119</v>
      </c>
      <c r="K136" s="1013" t="s">
        <v>1140</v>
      </c>
      <c r="L136" s="1011" t="s">
        <v>412</v>
      </c>
      <c r="M136" s="1524" t="b">
        <f t="shared" si="16"/>
        <v>1</v>
      </c>
    </row>
    <row r="137" spans="2:14" ht="12" customHeight="1">
      <c r="B137" s="966">
        <v>125</v>
      </c>
      <c r="C137" s="1013" t="s">
        <v>986</v>
      </c>
      <c r="D137" s="1011" t="s">
        <v>412</v>
      </c>
      <c r="E137" s="966" t="b">
        <f t="shared" si="15"/>
        <v>1</v>
      </c>
      <c r="F137" s="966">
        <f t="shared" si="17"/>
        <v>124</v>
      </c>
      <c r="G137" s="1013" t="s">
        <v>986</v>
      </c>
      <c r="H137" s="1011" t="s">
        <v>412</v>
      </c>
      <c r="J137" s="966">
        <v>120</v>
      </c>
      <c r="K137" s="1011" t="s">
        <v>986</v>
      </c>
      <c r="L137" s="1011" t="s">
        <v>412</v>
      </c>
      <c r="M137" s="1524" t="b">
        <f t="shared" si="16"/>
        <v>1</v>
      </c>
    </row>
    <row r="138" spans="2:14" ht="12" customHeight="1">
      <c r="B138" s="966">
        <v>126</v>
      </c>
      <c r="C138" s="1013" t="s">
        <v>1324</v>
      </c>
      <c r="D138" s="1011" t="s">
        <v>412</v>
      </c>
      <c r="E138" s="966" t="b">
        <f t="shared" si="15"/>
        <v>1</v>
      </c>
      <c r="F138" s="966">
        <f t="shared" si="17"/>
        <v>125</v>
      </c>
      <c r="G138" s="1013" t="s">
        <v>1324</v>
      </c>
      <c r="H138" s="1011" t="s">
        <v>412</v>
      </c>
      <c r="J138" s="966">
        <v>121</v>
      </c>
      <c r="K138" s="1011" t="s">
        <v>1324</v>
      </c>
      <c r="L138" s="1011" t="s">
        <v>412</v>
      </c>
      <c r="M138" s="1524" t="b">
        <f t="shared" si="16"/>
        <v>1</v>
      </c>
    </row>
    <row r="139" spans="2:14" ht="12" customHeight="1">
      <c r="B139" s="966">
        <v>127</v>
      </c>
      <c r="C139" s="1013" t="s">
        <v>1000</v>
      </c>
      <c r="D139" s="1011" t="s">
        <v>412</v>
      </c>
      <c r="E139" s="966" t="b">
        <f t="shared" si="15"/>
        <v>1</v>
      </c>
      <c r="F139" s="966">
        <f t="shared" si="17"/>
        <v>126</v>
      </c>
      <c r="G139" s="1013" t="s">
        <v>1000</v>
      </c>
      <c r="H139" s="1011" t="s">
        <v>412</v>
      </c>
      <c r="J139" s="966">
        <v>122</v>
      </c>
      <c r="K139" s="1011" t="s">
        <v>1000</v>
      </c>
      <c r="L139" s="1011" t="s">
        <v>412</v>
      </c>
      <c r="M139" s="1524" t="b">
        <f t="shared" si="16"/>
        <v>1</v>
      </c>
    </row>
    <row r="140" spans="2:14" ht="12" customHeight="1">
      <c r="B140" s="966">
        <v>128</v>
      </c>
      <c r="C140" s="1013" t="s">
        <v>627</v>
      </c>
      <c r="D140" s="1011" t="s">
        <v>412</v>
      </c>
      <c r="E140" s="966" t="b">
        <f t="shared" si="15"/>
        <v>1</v>
      </c>
      <c r="F140" s="966">
        <f t="shared" si="17"/>
        <v>127</v>
      </c>
      <c r="G140" s="1013" t="s">
        <v>627</v>
      </c>
      <c r="H140" s="1011" t="s">
        <v>412</v>
      </c>
      <c r="J140" s="966">
        <v>123</v>
      </c>
      <c r="K140" s="1013" t="s">
        <v>627</v>
      </c>
      <c r="L140" s="1011" t="s">
        <v>412</v>
      </c>
      <c r="M140" s="1524" t="b">
        <f t="shared" si="16"/>
        <v>1</v>
      </c>
    </row>
    <row r="141" spans="2:14" ht="12" customHeight="1">
      <c r="B141" s="966">
        <v>129</v>
      </c>
      <c r="C141" s="1013" t="s">
        <v>1002</v>
      </c>
      <c r="D141" s="1011" t="s">
        <v>412</v>
      </c>
      <c r="E141" s="966" t="b">
        <f t="shared" si="15"/>
        <v>1</v>
      </c>
      <c r="F141" s="966">
        <f t="shared" si="17"/>
        <v>128</v>
      </c>
      <c r="G141" s="1013" t="s">
        <v>1002</v>
      </c>
      <c r="H141" s="1011" t="s">
        <v>412</v>
      </c>
      <c r="J141" s="966">
        <v>124</v>
      </c>
      <c r="K141" s="1013" t="s">
        <v>1002</v>
      </c>
      <c r="L141" s="1011" t="s">
        <v>412</v>
      </c>
      <c r="M141" s="1524" t="b">
        <f t="shared" si="16"/>
        <v>1</v>
      </c>
    </row>
    <row r="142" spans="2:14" ht="12" customHeight="1">
      <c r="B142" s="966">
        <v>130</v>
      </c>
      <c r="C142" s="1013" t="s">
        <v>1335</v>
      </c>
      <c r="D142" s="1011" t="s">
        <v>412</v>
      </c>
      <c r="E142" s="966" t="b">
        <f t="shared" si="15"/>
        <v>1</v>
      </c>
      <c r="F142" s="966">
        <f t="shared" si="17"/>
        <v>129</v>
      </c>
      <c r="G142" s="1013" t="s">
        <v>1335</v>
      </c>
      <c r="H142" s="1011" t="s">
        <v>412</v>
      </c>
      <c r="J142" s="966">
        <v>125</v>
      </c>
      <c r="K142" s="1011" t="s">
        <v>1335</v>
      </c>
      <c r="L142" s="1011" t="s">
        <v>412</v>
      </c>
      <c r="M142" s="1524" t="b">
        <f t="shared" si="16"/>
        <v>1</v>
      </c>
    </row>
    <row r="143" spans="2:14" ht="12" customHeight="1">
      <c r="B143" s="966">
        <v>131</v>
      </c>
      <c r="C143" s="1011" t="s">
        <v>1629</v>
      </c>
      <c r="D143" s="1011" t="s">
        <v>412</v>
      </c>
      <c r="E143" s="966" t="b">
        <f t="shared" si="15"/>
        <v>1</v>
      </c>
      <c r="F143" s="966">
        <f t="shared" si="17"/>
        <v>130</v>
      </c>
      <c r="G143" s="1011" t="s">
        <v>1629</v>
      </c>
      <c r="H143" s="1011" t="s">
        <v>412</v>
      </c>
      <c r="J143" s="966">
        <v>126</v>
      </c>
      <c r="K143" s="1011" t="s">
        <v>1629</v>
      </c>
      <c r="L143" s="1011" t="s">
        <v>412</v>
      </c>
      <c r="M143" s="1524" t="b">
        <f t="shared" si="16"/>
        <v>1</v>
      </c>
    </row>
    <row r="144" spans="2:14" ht="12" hidden="1" customHeight="1">
      <c r="B144" s="966">
        <v>132</v>
      </c>
      <c r="C144" s="1013" t="s">
        <v>1338</v>
      </c>
      <c r="D144" s="1011" t="s">
        <v>412</v>
      </c>
      <c r="E144" s="966" t="b">
        <f t="shared" si="15"/>
        <v>0</v>
      </c>
      <c r="F144" s="966">
        <f t="shared" ref="F144" si="18">F142+1</f>
        <v>130</v>
      </c>
      <c r="G144" s="1059"/>
      <c r="H144" s="1059"/>
      <c r="J144" s="1059"/>
      <c r="K144" s="1059"/>
      <c r="L144" s="1059"/>
      <c r="M144" s="1524" t="b">
        <f t="shared" si="16"/>
        <v>1</v>
      </c>
    </row>
    <row r="145" spans="2:13" ht="12" customHeight="1">
      <c r="B145" s="966">
        <v>133</v>
      </c>
      <c r="C145" s="1013" t="s">
        <v>1333</v>
      </c>
      <c r="D145" s="1011" t="s">
        <v>412</v>
      </c>
      <c r="E145" s="966" t="b">
        <f t="shared" si="15"/>
        <v>1</v>
      </c>
      <c r="F145" s="966">
        <v>131</v>
      </c>
      <c r="G145" s="1013" t="s">
        <v>1333</v>
      </c>
      <c r="H145" s="1011" t="s">
        <v>412</v>
      </c>
      <c r="J145" s="966">
        <v>127</v>
      </c>
      <c r="K145" s="1011" t="s">
        <v>1333</v>
      </c>
      <c r="L145" s="1011" t="s">
        <v>412</v>
      </c>
      <c r="M145" s="1524" t="b">
        <f t="shared" si="16"/>
        <v>1</v>
      </c>
    </row>
    <row r="146" spans="2:13" ht="12" customHeight="1">
      <c r="B146" s="966"/>
      <c r="C146" s="1014"/>
      <c r="D146" s="1011"/>
      <c r="F146" s="966"/>
      <c r="J146" s="966"/>
    </row>
    <row r="147" spans="2:13" ht="12" customHeight="1">
      <c r="B147" s="966">
        <v>128</v>
      </c>
      <c r="C147" s="1014" t="s">
        <v>1343</v>
      </c>
      <c r="D147" s="1016"/>
      <c r="F147" s="966">
        <v>126</v>
      </c>
      <c r="G147" s="1014" t="s">
        <v>1343</v>
      </c>
      <c r="J147" s="966">
        <v>122</v>
      </c>
      <c r="K147" s="1014" t="s">
        <v>1343</v>
      </c>
    </row>
    <row r="148" spans="2:13" ht="12" customHeight="1">
      <c r="B148" s="966">
        <v>5</v>
      </c>
      <c r="C148" s="1014" t="s">
        <v>1342</v>
      </c>
      <c r="D148" s="1016"/>
      <c r="F148" s="966">
        <v>5</v>
      </c>
      <c r="G148" s="1014" t="s">
        <v>1342</v>
      </c>
      <c r="J148" s="966">
        <v>5</v>
      </c>
      <c r="K148" s="1014" t="s">
        <v>1342</v>
      </c>
    </row>
    <row r="149" spans="2:13" ht="12" customHeight="1">
      <c r="B149" s="966">
        <v>133</v>
      </c>
      <c r="C149" s="1014" t="s">
        <v>4</v>
      </c>
      <c r="D149" s="1016"/>
      <c r="F149" s="966">
        <f>+F148+F147</f>
        <v>131</v>
      </c>
      <c r="G149" s="1014" t="s">
        <v>4</v>
      </c>
      <c r="J149" s="966">
        <f>+J147+J148</f>
        <v>127</v>
      </c>
      <c r="K149" s="1014" t="s">
        <v>4</v>
      </c>
    </row>
    <row r="150" spans="2:13" ht="12" customHeight="1">
      <c r="B150" s="966"/>
      <c r="C150" s="1014"/>
      <c r="D150" s="1016"/>
      <c r="F150" s="966"/>
      <c r="J150" s="966"/>
    </row>
    <row r="151" spans="2:13" ht="12" customHeight="1">
      <c r="B151" s="966"/>
      <c r="C151" s="1014"/>
      <c r="D151" s="1016"/>
      <c r="F151" s="966"/>
      <c r="J151" s="966"/>
    </row>
    <row r="152" spans="2:13" ht="12" customHeight="1">
      <c r="B152" s="966"/>
      <c r="C152" s="1014"/>
      <c r="D152" s="1016"/>
      <c r="F152" s="966"/>
      <c r="J152" s="966"/>
      <c r="K152" s="1011"/>
    </row>
    <row r="153" spans="2:13" ht="12" customHeight="1">
      <c r="B153" s="966"/>
      <c r="C153" s="1014"/>
      <c r="D153" s="1016"/>
      <c r="F153" s="966"/>
      <c r="J153" s="966"/>
    </row>
    <row r="154" spans="2:13" ht="12" customHeight="1">
      <c r="B154" s="966"/>
      <c r="D154" s="1016"/>
      <c r="F154" s="966"/>
      <c r="J154" s="966"/>
    </row>
    <row r="155" spans="2:13" ht="12" customHeight="1">
      <c r="B155" s="966"/>
      <c r="D155" s="1016"/>
      <c r="F155" s="966"/>
      <c r="J155" s="966"/>
    </row>
    <row r="156" spans="2:13" ht="12" customHeight="1">
      <c r="B156" s="966"/>
      <c r="D156" s="1016"/>
      <c r="F156" s="966"/>
      <c r="J156" s="966"/>
    </row>
    <row r="157" spans="2:13" ht="12" customHeight="1">
      <c r="B157" s="966"/>
      <c r="F157" s="966"/>
      <c r="J157" s="966"/>
    </row>
    <row r="158" spans="2:13" ht="12" customHeight="1">
      <c r="B158" s="966"/>
      <c r="F158" s="966"/>
      <c r="J158" s="966"/>
    </row>
    <row r="159" spans="2:13" ht="12" customHeight="1">
      <c r="B159" s="966"/>
      <c r="J159" s="966"/>
    </row>
    <row r="201" spans="2:180" ht="12" customHeight="1">
      <c r="F201" s="966"/>
    </row>
    <row r="202" spans="2:180" ht="12" customHeight="1">
      <c r="F202" s="966"/>
    </row>
    <row r="203" spans="2:180" ht="12" customHeight="1">
      <c r="B203" s="966"/>
      <c r="D203" s="966"/>
      <c r="F203" s="966"/>
      <c r="I203" s="966"/>
      <c r="J203" s="966"/>
      <c r="FX203" s="1057"/>
    </row>
    <row r="204" spans="2:180" ht="12" customHeight="1">
      <c r="B204" s="966"/>
      <c r="D204" s="966"/>
      <c r="F204" s="966"/>
      <c r="I204" s="966"/>
      <c r="J204" s="966"/>
      <c r="FX204" s="1057"/>
    </row>
    <row r="205" spans="2:180" ht="12" customHeight="1">
      <c r="B205" s="966"/>
      <c r="D205" s="966"/>
      <c r="F205" s="966"/>
      <c r="I205" s="966"/>
      <c r="J205" s="966"/>
      <c r="FX205" s="1057"/>
    </row>
    <row r="206" spans="2:180" ht="12" customHeight="1">
      <c r="B206" s="966"/>
      <c r="D206" s="966"/>
      <c r="F206" s="966"/>
      <c r="I206" s="966"/>
      <c r="J206" s="966"/>
      <c r="FX206" s="1057"/>
    </row>
    <row r="207" spans="2:180" ht="12" customHeight="1">
      <c r="B207" s="966"/>
      <c r="D207" s="966"/>
      <c r="F207" s="966"/>
      <c r="I207" s="966"/>
      <c r="J207" s="966"/>
      <c r="FX207" s="1057"/>
    </row>
    <row r="208" spans="2:180" ht="12" customHeight="1">
      <c r="B208" s="966"/>
      <c r="D208" s="966"/>
      <c r="F208" s="966"/>
      <c r="I208" s="966"/>
      <c r="J208" s="966"/>
      <c r="FX208" s="1058"/>
    </row>
    <row r="209" spans="2:180" ht="12" customHeight="1">
      <c r="B209" s="966"/>
      <c r="D209" s="966"/>
      <c r="I209" s="966"/>
      <c r="J209" s="966"/>
      <c r="FX209" s="1058"/>
    </row>
    <row r="210" spans="2:180" ht="12" customHeight="1">
      <c r="B210" s="966"/>
      <c r="D210" s="966"/>
      <c r="I210" s="966"/>
      <c r="J210" s="966"/>
      <c r="FX210" s="1057"/>
    </row>
  </sheetData>
  <pageMargins left="0.7" right="0.7" top="0.75" bottom="0.75" header="0.3" footer="0.3"/>
  <pageSetup scale="77" fitToHeight="2" orientation="portrait" horizontalDpi="1200" verticalDpi="1200" r:id="rId1"/>
  <rowBreaks count="1" manualBreakCount="1">
    <brk id="76" min="5" max="12" man="1"/>
  </rowBreaks>
  <customProperties>
    <customPr name="OrphanNamesChecked" r:id="rId2"/>
  </customPropertie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dimension ref="A1:U306"/>
  <sheetViews>
    <sheetView showGridLines="0" view="pageBreakPreview" zoomScale="85" zoomScaleNormal="73" zoomScaleSheetLayoutView="85" workbookViewId="0">
      <pane ySplit="3" topLeftCell="A4" activePane="bottomLeft" state="frozen"/>
      <selection activeCell="I12" sqref="I12"/>
      <selection pane="bottomLeft" activeCell="I12" sqref="I12"/>
    </sheetView>
  </sheetViews>
  <sheetFormatPr defaultColWidth="8.81640625" defaultRowHeight="13.8"/>
  <cols>
    <col min="1" max="1" width="50.08984375" style="116" customWidth="1"/>
    <col min="2" max="8" width="12.81640625" style="116" customWidth="1"/>
    <col min="9" max="12" width="11.36328125" style="116" customWidth="1"/>
    <col min="13" max="16" width="9.1796875" style="116" customWidth="1"/>
    <col min="17" max="16384" width="8.81640625" style="116"/>
  </cols>
  <sheetData>
    <row r="1" spans="1:19">
      <c r="A1" s="314"/>
      <c r="B1" s="316"/>
      <c r="K1" s="315"/>
      <c r="L1" s="315"/>
      <c r="M1" s="315"/>
      <c r="N1" s="315"/>
      <c r="O1" s="315"/>
      <c r="P1" s="315"/>
    </row>
    <row r="2" spans="1:19">
      <c r="B2" s="117" t="s">
        <v>274</v>
      </c>
      <c r="C2" s="117" t="s">
        <v>269</v>
      </c>
      <c r="D2" s="117" t="s">
        <v>260</v>
      </c>
      <c r="E2" s="117" t="s">
        <v>271</v>
      </c>
      <c r="F2" s="117" t="s">
        <v>271</v>
      </c>
      <c r="G2" s="117" t="s">
        <v>272</v>
      </c>
      <c r="H2" s="117" t="s">
        <v>273</v>
      </c>
      <c r="J2" s="317"/>
      <c r="K2" s="315"/>
      <c r="L2" s="315"/>
      <c r="M2" s="315"/>
      <c r="N2" s="315"/>
      <c r="O2" s="315"/>
      <c r="P2" s="315"/>
    </row>
    <row r="3" spans="1:19" ht="21.6" thickBot="1">
      <c r="A3" s="318"/>
      <c r="B3" s="119" t="s">
        <v>294</v>
      </c>
      <c r="C3" s="119" t="s">
        <v>295</v>
      </c>
      <c r="D3" s="119" t="s">
        <v>257</v>
      </c>
      <c r="E3" s="119" t="s">
        <v>296</v>
      </c>
      <c r="F3" s="119" t="s">
        <v>277</v>
      </c>
      <c r="G3" s="119" t="s">
        <v>278</v>
      </c>
      <c r="H3" s="119" t="s">
        <v>297</v>
      </c>
      <c r="K3" s="319"/>
    </row>
    <row r="4" spans="1:19">
      <c r="B4" s="320"/>
      <c r="C4" s="320"/>
      <c r="D4" s="320"/>
      <c r="E4" s="320"/>
      <c r="F4" s="320"/>
      <c r="G4" s="320"/>
      <c r="H4" s="320"/>
    </row>
    <row r="5" spans="1:19" ht="20.399999999999999">
      <c r="A5" s="321" t="s">
        <v>298</v>
      </c>
      <c r="M5" s="243"/>
      <c r="N5" s="243"/>
      <c r="O5" s="243"/>
      <c r="P5" s="243"/>
      <c r="Q5" s="243"/>
      <c r="R5" s="243"/>
      <c r="S5" s="243"/>
    </row>
    <row r="6" spans="1:19" ht="20.399999999999999">
      <c r="A6" s="322" t="s">
        <v>1189</v>
      </c>
      <c r="B6" s="323">
        <f>FL_tl_resp</f>
        <v>107</v>
      </c>
      <c r="C6" s="323">
        <f>SE_tl_resp</f>
        <v>23</v>
      </c>
      <c r="D6" s="323">
        <f>BOCA_tl_resp</f>
        <v>17</v>
      </c>
      <c r="E6" s="323">
        <f>SW_tl_resp</f>
        <v>26</v>
      </c>
      <c r="F6" s="323">
        <f>SWCIRA_tl_resp</f>
        <v>18</v>
      </c>
      <c r="G6" s="323">
        <f>NC_tl_resp</f>
        <v>23</v>
      </c>
      <c r="H6" s="323">
        <f>YB_tl_resp</f>
        <v>12</v>
      </c>
      <c r="J6" s="116">
        <f>+B6+H6</f>
        <v>119</v>
      </c>
      <c r="K6" s="116" t="s">
        <v>1162</v>
      </c>
      <c r="M6" s="243"/>
      <c r="N6" s="243"/>
      <c r="O6" s="243"/>
      <c r="P6" s="243"/>
      <c r="Q6" s="243"/>
      <c r="R6" s="243"/>
      <c r="S6" s="243"/>
    </row>
    <row r="7" spans="1:19">
      <c r="A7" s="385" t="s">
        <v>1156</v>
      </c>
      <c r="B7" s="386">
        <v>116</v>
      </c>
      <c r="C7" s="386">
        <v>27</v>
      </c>
      <c r="D7" s="386">
        <v>18</v>
      </c>
      <c r="E7" s="386">
        <v>29</v>
      </c>
      <c r="F7" s="386">
        <v>19</v>
      </c>
      <c r="G7" s="386">
        <v>23</v>
      </c>
      <c r="H7" s="386">
        <v>18</v>
      </c>
      <c r="J7" s="1061" t="e">
        <f>#REF!</f>
        <v>#REF!</v>
      </c>
    </row>
    <row r="8" spans="1:19">
      <c r="A8" s="118" t="s">
        <v>301</v>
      </c>
      <c r="B8" s="325">
        <f>+B6-B7</f>
        <v>-9</v>
      </c>
      <c r="C8" s="325">
        <f t="shared" ref="C8:H8" si="0">+C6-C7</f>
        <v>-4</v>
      </c>
      <c r="D8" s="325">
        <f t="shared" si="0"/>
        <v>-1</v>
      </c>
      <c r="E8" s="325">
        <f t="shared" si="0"/>
        <v>-3</v>
      </c>
      <c r="F8" s="325">
        <f t="shared" si="0"/>
        <v>-1</v>
      </c>
      <c r="G8" s="325">
        <f t="shared" si="0"/>
        <v>0</v>
      </c>
      <c r="H8" s="325">
        <f t="shared" si="0"/>
        <v>-6</v>
      </c>
      <c r="J8" s="116" t="e">
        <f>+J7-J6</f>
        <v>#REF!</v>
      </c>
    </row>
    <row r="9" spans="1:19">
      <c r="A9" s="118" t="s">
        <v>302</v>
      </c>
      <c r="B9" s="326">
        <f>+B8/B7</f>
        <v>-7.7586206896551727E-2</v>
      </c>
      <c r="C9" s="326">
        <f t="shared" ref="C9:H9" si="1">+C8/C7</f>
        <v>-0.14814814814814814</v>
      </c>
      <c r="D9" s="326">
        <f t="shared" si="1"/>
        <v>-5.5555555555555552E-2</v>
      </c>
      <c r="E9" s="326">
        <f t="shared" si="1"/>
        <v>-0.10344827586206896</v>
      </c>
      <c r="F9" s="326">
        <f t="shared" si="1"/>
        <v>-5.2631578947368418E-2</v>
      </c>
      <c r="G9" s="326">
        <f t="shared" si="1"/>
        <v>0</v>
      </c>
      <c r="H9" s="326">
        <f t="shared" si="1"/>
        <v>-0.33333333333333331</v>
      </c>
    </row>
    <row r="10" spans="1:19" ht="20.399999999999999">
      <c r="B10" s="320"/>
      <c r="C10" s="320"/>
      <c r="D10" s="320"/>
      <c r="E10" s="320"/>
      <c r="F10" s="320"/>
      <c r="G10" s="320"/>
      <c r="H10" s="320"/>
      <c r="M10" s="243"/>
      <c r="N10" s="243"/>
      <c r="O10" s="243"/>
      <c r="P10" s="243"/>
      <c r="Q10" s="243"/>
      <c r="R10" s="243"/>
      <c r="S10" s="243"/>
    </row>
    <row r="11" spans="1:19" ht="21">
      <c r="A11" s="321" t="s">
        <v>1037</v>
      </c>
      <c r="L11" s="327"/>
      <c r="M11" s="243"/>
      <c r="N11" s="243"/>
      <c r="O11" s="243"/>
      <c r="P11" s="243"/>
      <c r="Q11" s="243"/>
      <c r="R11" s="243"/>
      <c r="S11" s="243"/>
    </row>
    <row r="12" spans="1:19">
      <c r="A12" s="322" t="s">
        <v>1189</v>
      </c>
      <c r="B12" s="328">
        <f>FL_mem</f>
        <v>850</v>
      </c>
      <c r="C12" s="328">
        <f>SE_mem</f>
        <v>660</v>
      </c>
      <c r="D12" s="328">
        <f>BOCA_mem</f>
        <v>1020</v>
      </c>
      <c r="E12" s="328">
        <f>SW_mem</f>
        <v>750</v>
      </c>
      <c r="F12" s="328">
        <f>SWCIRA_mem</f>
        <v>1040</v>
      </c>
      <c r="G12" s="328">
        <f>NC_mem</f>
        <v>900</v>
      </c>
      <c r="H12" s="328">
        <f>YB_mem</f>
        <v>770</v>
      </c>
      <c r="L12" s="994"/>
    </row>
    <row r="13" spans="1:19">
      <c r="A13" s="385" t="s">
        <v>1156</v>
      </c>
      <c r="B13" s="387">
        <v>790</v>
      </c>
      <c r="C13" s="387">
        <v>610</v>
      </c>
      <c r="D13" s="387">
        <v>970</v>
      </c>
      <c r="E13" s="387">
        <v>660</v>
      </c>
      <c r="F13" s="387">
        <v>990</v>
      </c>
      <c r="G13" s="387">
        <v>840</v>
      </c>
      <c r="H13" s="387">
        <v>770</v>
      </c>
    </row>
    <row r="14" spans="1:19">
      <c r="A14" s="118" t="s">
        <v>301</v>
      </c>
      <c r="B14" s="325">
        <f>+B12-B13</f>
        <v>60</v>
      </c>
      <c r="C14" s="325">
        <f t="shared" ref="C14:H14" si="2">+C12-C13</f>
        <v>50</v>
      </c>
      <c r="D14" s="325">
        <f t="shared" si="2"/>
        <v>50</v>
      </c>
      <c r="E14" s="325">
        <f t="shared" si="2"/>
        <v>90</v>
      </c>
      <c r="F14" s="325">
        <f t="shared" si="2"/>
        <v>50</v>
      </c>
      <c r="G14" s="325">
        <f t="shared" si="2"/>
        <v>60</v>
      </c>
      <c r="H14" s="325">
        <f t="shared" si="2"/>
        <v>0</v>
      </c>
    </row>
    <row r="15" spans="1:19">
      <c r="A15" s="135" t="s">
        <v>302</v>
      </c>
      <c r="B15" s="326">
        <f>+B14/B13</f>
        <v>7.5949367088607597E-2</v>
      </c>
      <c r="C15" s="326">
        <f t="shared" ref="C15:H15" si="3">+C14/C13</f>
        <v>8.1967213114754092E-2</v>
      </c>
      <c r="D15" s="326">
        <f t="shared" si="3"/>
        <v>5.1546391752577317E-2</v>
      </c>
      <c r="E15" s="326">
        <f t="shared" si="3"/>
        <v>0.13636363636363635</v>
      </c>
      <c r="F15" s="326">
        <f t="shared" si="3"/>
        <v>5.0505050505050504E-2</v>
      </c>
      <c r="G15" s="326">
        <f t="shared" si="3"/>
        <v>7.1428571428571425E-2</v>
      </c>
      <c r="H15" s="326">
        <f t="shared" si="3"/>
        <v>0</v>
      </c>
    </row>
    <row r="16" spans="1:19">
      <c r="A16" s="120"/>
    </row>
    <row r="17" spans="1:19" ht="21">
      <c r="A17" s="142" t="s">
        <v>1041</v>
      </c>
      <c r="L17" s="327"/>
      <c r="M17" s="243"/>
      <c r="N17" s="243"/>
      <c r="O17" s="243"/>
      <c r="P17" s="243"/>
      <c r="Q17" s="243"/>
      <c r="R17" s="243"/>
      <c r="S17" s="243"/>
    </row>
    <row r="18" spans="1:19">
      <c r="A18" s="322" t="s">
        <v>1189</v>
      </c>
      <c r="B18" s="328">
        <f>FL_FME</f>
        <v>730</v>
      </c>
      <c r="C18" s="328">
        <f>SE_FME</f>
        <v>620</v>
      </c>
      <c r="D18" s="328">
        <f>BOCA_FME</f>
        <v>900</v>
      </c>
      <c r="E18" s="328">
        <f>SW_FME</f>
        <v>570</v>
      </c>
      <c r="F18" s="328">
        <f>SWCIRA_FME</f>
        <v>900</v>
      </c>
      <c r="G18" s="328">
        <f>NC_FME</f>
        <v>760</v>
      </c>
      <c r="H18" s="328">
        <f>YB_FME</f>
        <v>690</v>
      </c>
    </row>
    <row r="19" spans="1:19">
      <c r="A19" s="385" t="s">
        <v>1156</v>
      </c>
      <c r="B19" s="387">
        <v>670</v>
      </c>
      <c r="C19" s="387">
        <v>540</v>
      </c>
      <c r="D19" s="387">
        <v>810</v>
      </c>
      <c r="E19" s="387">
        <v>500</v>
      </c>
      <c r="F19" s="387">
        <v>870</v>
      </c>
      <c r="G19" s="387">
        <v>750</v>
      </c>
      <c r="H19" s="387">
        <v>680</v>
      </c>
    </row>
    <row r="20" spans="1:19">
      <c r="A20" s="118" t="s">
        <v>301</v>
      </c>
      <c r="B20" s="325">
        <f>+B18-B19</f>
        <v>60</v>
      </c>
      <c r="C20" s="325">
        <f t="shared" ref="C20:H20" si="4">+C18-C19</f>
        <v>80</v>
      </c>
      <c r="D20" s="325">
        <f t="shared" si="4"/>
        <v>90</v>
      </c>
      <c r="E20" s="325">
        <f t="shared" si="4"/>
        <v>70</v>
      </c>
      <c r="F20" s="325">
        <f t="shared" si="4"/>
        <v>30</v>
      </c>
      <c r="G20" s="325">
        <f t="shared" si="4"/>
        <v>10</v>
      </c>
      <c r="H20" s="325">
        <f t="shared" si="4"/>
        <v>10</v>
      </c>
    </row>
    <row r="21" spans="1:19">
      <c r="A21" s="118" t="s">
        <v>302</v>
      </c>
      <c r="B21" s="326">
        <f>+B20/B19</f>
        <v>8.9552238805970144E-2</v>
      </c>
      <c r="C21" s="326">
        <f t="shared" ref="C21:H21" si="5">+C20/C19</f>
        <v>0.14814814814814814</v>
      </c>
      <c r="D21" s="326">
        <f t="shared" si="5"/>
        <v>0.1111111111111111</v>
      </c>
      <c r="E21" s="326">
        <f t="shared" si="5"/>
        <v>0.14000000000000001</v>
      </c>
      <c r="F21" s="326">
        <f t="shared" si="5"/>
        <v>3.4482758620689655E-2</v>
      </c>
      <c r="G21" s="326">
        <f t="shared" si="5"/>
        <v>1.3333333333333334E-2</v>
      </c>
      <c r="H21" s="326">
        <f t="shared" si="5"/>
        <v>1.4705882352941176E-2</v>
      </c>
    </row>
    <row r="23" spans="1:19">
      <c r="A23" s="321" t="s">
        <v>303</v>
      </c>
      <c r="B23" s="329">
        <f>FL_mand_mem</f>
        <v>0.56999999999999995</v>
      </c>
      <c r="C23" s="329">
        <f>SE_mand_mem</f>
        <v>0.39</v>
      </c>
      <c r="D23" s="329">
        <f>BOCA_mand_mem</f>
        <v>0.94</v>
      </c>
      <c r="E23" s="329">
        <f>SW_mand_mem</f>
        <v>0.38</v>
      </c>
      <c r="F23" s="329">
        <f>SWCIRA_mand_mem</f>
        <v>1</v>
      </c>
      <c r="G23" s="329">
        <f>NC_mand_mem</f>
        <v>0.35</v>
      </c>
      <c r="H23" s="329">
        <f>YB_mand_mem</f>
        <v>0</v>
      </c>
    </row>
    <row r="25" spans="1:19">
      <c r="A25" s="321" t="s">
        <v>565</v>
      </c>
    </row>
    <row r="26" spans="1:19">
      <c r="A26" s="322" t="s">
        <v>1346</v>
      </c>
      <c r="B26" s="330">
        <f>FL_tot_init_HIGH</f>
        <v>129000</v>
      </c>
      <c r="C26" s="330">
        <f>SE_tot_init_HIGH</f>
        <v>176500</v>
      </c>
      <c r="D26" s="330">
        <f>BOCA_tot_init_HIGH</f>
        <v>121700</v>
      </c>
      <c r="E26" s="330">
        <f>SW_tot_init_HIGH</f>
        <v>111400</v>
      </c>
      <c r="F26" s="330">
        <f>SWCIRA_tot_init_HIGH</f>
        <v>5500</v>
      </c>
      <c r="G26" s="330">
        <f>NC_tot_init_HIGH</f>
        <v>102200</v>
      </c>
      <c r="H26" s="330">
        <f>YB_tot_init_HIGH</f>
        <v>84700</v>
      </c>
    </row>
    <row r="27" spans="1:19">
      <c r="A27" s="324" t="s">
        <v>1156</v>
      </c>
      <c r="B27" s="325">
        <v>77900</v>
      </c>
      <c r="C27" s="325">
        <v>99500</v>
      </c>
      <c r="D27" s="325">
        <v>77600</v>
      </c>
      <c r="E27" s="325">
        <v>66100</v>
      </c>
      <c r="F27" s="325">
        <v>3100</v>
      </c>
      <c r="G27" s="325">
        <v>67200</v>
      </c>
      <c r="H27" s="325">
        <v>26900</v>
      </c>
      <c r="I27" s="744"/>
    </row>
    <row r="28" spans="1:19">
      <c r="A28" s="118" t="s">
        <v>301</v>
      </c>
      <c r="B28" s="325">
        <f t="shared" ref="B28:H28" si="6">+B26-B27</f>
        <v>51100</v>
      </c>
      <c r="C28" s="325">
        <f t="shared" si="6"/>
        <v>77000</v>
      </c>
      <c r="D28" s="325">
        <f t="shared" si="6"/>
        <v>44100</v>
      </c>
      <c r="E28" s="325">
        <f t="shared" si="6"/>
        <v>45300</v>
      </c>
      <c r="F28" s="325">
        <f t="shared" si="6"/>
        <v>2400</v>
      </c>
      <c r="G28" s="325">
        <f t="shared" si="6"/>
        <v>35000</v>
      </c>
      <c r="H28" s="325">
        <f t="shared" si="6"/>
        <v>57800</v>
      </c>
    </row>
    <row r="29" spans="1:19">
      <c r="A29" s="118" t="s">
        <v>302</v>
      </c>
      <c r="B29" s="326">
        <f t="shared" ref="B29:H29" si="7">+B28/B27</f>
        <v>0.65596919127086006</v>
      </c>
      <c r="C29" s="326">
        <f t="shared" si="7"/>
        <v>0.77386934673366836</v>
      </c>
      <c r="D29" s="326">
        <f t="shared" si="7"/>
        <v>0.56829896907216493</v>
      </c>
      <c r="E29" s="326">
        <f t="shared" si="7"/>
        <v>0.68532526475037825</v>
      </c>
      <c r="F29" s="326">
        <f t="shared" si="7"/>
        <v>0.77419354838709675</v>
      </c>
      <c r="G29" s="326">
        <f t="shared" si="7"/>
        <v>0.52083333333333337</v>
      </c>
      <c r="H29" s="326">
        <f t="shared" si="7"/>
        <v>2.1486988847583643</v>
      </c>
    </row>
    <row r="31" spans="1:19">
      <c r="A31" s="321" t="s">
        <v>45</v>
      </c>
    </row>
    <row r="32" spans="1:19">
      <c r="A32" s="322" t="s">
        <v>1346</v>
      </c>
      <c r="B32" s="330">
        <f>FL_dues_HIGH_CY</f>
        <v>18600</v>
      </c>
      <c r="C32" s="330">
        <f>SE_dues_HIGH_CY</f>
        <v>20400</v>
      </c>
      <c r="D32" s="330">
        <f>BOCA_dues_HIGH_CY</f>
        <v>24600</v>
      </c>
      <c r="E32" s="330">
        <f>SW_dues_HIGH_CY</f>
        <v>15600</v>
      </c>
      <c r="F32" s="330">
        <f>SWCIRA_dues_HIGH_CY</f>
        <v>7100</v>
      </c>
      <c r="G32" s="330">
        <f>NC_dues_HIGH_CY</f>
        <v>15500</v>
      </c>
      <c r="H32" s="330">
        <f>YB_dues_HIGH_CY</f>
        <v>8500</v>
      </c>
    </row>
    <row r="33" spans="1:16">
      <c r="A33" s="324" t="s">
        <v>1156</v>
      </c>
      <c r="B33" s="325">
        <v>13500</v>
      </c>
      <c r="C33" s="325">
        <v>15100</v>
      </c>
      <c r="D33" s="325">
        <v>18100</v>
      </c>
      <c r="E33" s="325">
        <v>11200</v>
      </c>
      <c r="F33" s="325">
        <v>5000</v>
      </c>
      <c r="G33" s="325">
        <v>10800</v>
      </c>
      <c r="H33" s="325">
        <v>5700</v>
      </c>
      <c r="J33" s="331"/>
      <c r="K33" s="331"/>
      <c r="L33" s="331"/>
      <c r="M33" s="331"/>
      <c r="N33" s="331"/>
      <c r="O33" s="331"/>
      <c r="P33" s="331"/>
    </row>
    <row r="34" spans="1:16">
      <c r="A34" s="118" t="s">
        <v>301</v>
      </c>
      <c r="B34" s="325">
        <f t="shared" ref="B34:H34" si="8">+B32-B33</f>
        <v>5100</v>
      </c>
      <c r="C34" s="325">
        <f t="shared" si="8"/>
        <v>5300</v>
      </c>
      <c r="D34" s="325">
        <f t="shared" si="8"/>
        <v>6500</v>
      </c>
      <c r="E34" s="325">
        <f t="shared" si="8"/>
        <v>4400</v>
      </c>
      <c r="F34" s="325">
        <f t="shared" si="8"/>
        <v>2100</v>
      </c>
      <c r="G34" s="325">
        <f t="shared" si="8"/>
        <v>4700</v>
      </c>
      <c r="H34" s="325">
        <f t="shared" si="8"/>
        <v>2800</v>
      </c>
    </row>
    <row r="35" spans="1:16">
      <c r="A35" s="118" t="s">
        <v>302</v>
      </c>
      <c r="B35" s="326">
        <f t="shared" ref="B35:H35" si="9">+B34/B33</f>
        <v>0.37777777777777777</v>
      </c>
      <c r="C35" s="326">
        <f t="shared" si="9"/>
        <v>0.35099337748344372</v>
      </c>
      <c r="D35" s="326">
        <f t="shared" si="9"/>
        <v>0.35911602209944754</v>
      </c>
      <c r="E35" s="326">
        <f t="shared" si="9"/>
        <v>0.39285714285714285</v>
      </c>
      <c r="F35" s="326">
        <f t="shared" si="9"/>
        <v>0.42</v>
      </c>
      <c r="G35" s="326">
        <f t="shared" si="9"/>
        <v>0.43518518518518517</v>
      </c>
      <c r="H35" s="326">
        <f t="shared" si="9"/>
        <v>0.49122807017543857</v>
      </c>
    </row>
    <row r="36" spans="1:16">
      <c r="A36" s="118"/>
      <c r="B36" s="332"/>
      <c r="C36" s="332"/>
      <c r="D36" s="332"/>
      <c r="E36" s="332"/>
      <c r="F36" s="332"/>
      <c r="G36" s="332"/>
      <c r="H36" s="332"/>
    </row>
    <row r="37" spans="1:16">
      <c r="A37" s="333" t="s">
        <v>569</v>
      </c>
      <c r="B37" s="130"/>
      <c r="C37" s="130"/>
      <c r="D37" s="130"/>
      <c r="E37" s="130"/>
      <c r="F37" s="130"/>
      <c r="G37" s="130"/>
      <c r="H37" s="130"/>
    </row>
    <row r="38" spans="1:16">
      <c r="A38" s="322" t="s">
        <v>1346</v>
      </c>
      <c r="B38" s="334">
        <f>FL_dues_Inc_HIGH</f>
        <v>0.94</v>
      </c>
      <c r="C38" s="334">
        <f>SE_dues_Inc_HIGH</f>
        <v>1</v>
      </c>
      <c r="D38" s="334">
        <f>BOCA_dues_Inc_HIGH</f>
        <v>0.94</v>
      </c>
      <c r="E38" s="334">
        <f>SW_dues_Inc_HIGH</f>
        <v>1</v>
      </c>
      <c r="F38" s="334">
        <f>SWCIRA_dues_Inc_HIGH</f>
        <v>0.94</v>
      </c>
      <c r="G38" s="334">
        <f>NC_dues_Inc_HIGH</f>
        <v>0.83</v>
      </c>
      <c r="H38" s="334">
        <f>YB_dues_Inc_HIGH</f>
        <v>1</v>
      </c>
    </row>
    <row r="39" spans="1:16">
      <c r="A39" s="324" t="s">
        <v>1156</v>
      </c>
      <c r="B39" s="335">
        <v>0.85</v>
      </c>
      <c r="C39" s="335">
        <v>0.74</v>
      </c>
      <c r="D39" s="335">
        <v>0.94</v>
      </c>
      <c r="E39" s="335">
        <v>0.97</v>
      </c>
      <c r="F39" s="335">
        <v>0.79</v>
      </c>
      <c r="G39" s="335">
        <v>0.83</v>
      </c>
      <c r="H39" s="335">
        <v>0.79</v>
      </c>
    </row>
    <row r="40" spans="1:16">
      <c r="A40" s="118" t="s">
        <v>301</v>
      </c>
      <c r="B40" s="335">
        <f>+B38-B39</f>
        <v>8.9999999999999969E-2</v>
      </c>
      <c r="C40" s="335">
        <f t="shared" ref="C40:H40" si="10">+C38-C39</f>
        <v>0.26</v>
      </c>
      <c r="D40" s="335">
        <f t="shared" si="10"/>
        <v>0</v>
      </c>
      <c r="E40" s="335">
        <f t="shared" si="10"/>
        <v>3.0000000000000027E-2</v>
      </c>
      <c r="F40" s="335">
        <f t="shared" si="10"/>
        <v>0.14999999999999991</v>
      </c>
      <c r="G40" s="335">
        <f t="shared" si="10"/>
        <v>0</v>
      </c>
      <c r="H40" s="335">
        <f t="shared" si="10"/>
        <v>0.20999999999999996</v>
      </c>
    </row>
    <row r="41" spans="1:16">
      <c r="A41" s="118"/>
      <c r="B41" s="130"/>
      <c r="C41" s="130"/>
      <c r="D41" s="130"/>
      <c r="E41" s="130"/>
      <c r="F41" s="130"/>
      <c r="G41" s="130"/>
      <c r="H41" s="130"/>
    </row>
    <row r="42" spans="1:16">
      <c r="A42" s="123" t="s">
        <v>568</v>
      </c>
      <c r="B42" s="130"/>
      <c r="C42" s="130"/>
      <c r="D42" s="130"/>
      <c r="E42" s="130"/>
      <c r="F42" s="130"/>
      <c r="G42" s="130"/>
      <c r="H42" s="130"/>
    </row>
    <row r="43" spans="1:16">
      <c r="A43" s="322" t="s">
        <v>1346</v>
      </c>
      <c r="B43" s="334">
        <f>FL_dues_Dec_HIGH</f>
        <v>0.02</v>
      </c>
      <c r="C43" s="334">
        <f>SE_dues_Dec_HIGH</f>
        <v>0</v>
      </c>
      <c r="D43" s="334">
        <f>BOCA_dues_Dec_HIGH</f>
        <v>0.06</v>
      </c>
      <c r="E43" s="334">
        <f>SW_dues_Dec_HIGH</f>
        <v>0</v>
      </c>
      <c r="F43" s="334">
        <f>SWCIRA_dues_Dec_HIGH</f>
        <v>0.06</v>
      </c>
      <c r="G43" s="334">
        <f>NC_dues_Dec_HIGH</f>
        <v>0</v>
      </c>
      <c r="H43" s="334">
        <f>YB_dues_Dec_HIGH</f>
        <v>0</v>
      </c>
    </row>
    <row r="44" spans="1:16">
      <c r="A44" s="324" t="s">
        <v>1156</v>
      </c>
      <c r="B44" s="335">
        <v>0.06</v>
      </c>
      <c r="C44" s="335">
        <v>7.0000000000000007E-2</v>
      </c>
      <c r="D44" s="335">
        <v>0.06</v>
      </c>
      <c r="E44" s="335">
        <v>0</v>
      </c>
      <c r="F44" s="335">
        <v>0.21</v>
      </c>
      <c r="G44" s="335">
        <v>0</v>
      </c>
      <c r="H44" s="335">
        <v>0.11</v>
      </c>
    </row>
    <row r="45" spans="1:16">
      <c r="A45" s="118" t="s">
        <v>301</v>
      </c>
      <c r="B45" s="335">
        <f>+B43-B44</f>
        <v>-3.9999999999999994E-2</v>
      </c>
      <c r="C45" s="335">
        <f t="shared" ref="C45:H45" si="11">+C43-C44</f>
        <v>-7.0000000000000007E-2</v>
      </c>
      <c r="D45" s="335">
        <f t="shared" si="11"/>
        <v>0</v>
      </c>
      <c r="E45" s="335">
        <f t="shared" si="11"/>
        <v>0</v>
      </c>
      <c r="F45" s="335">
        <f t="shared" si="11"/>
        <v>-0.15</v>
      </c>
      <c r="G45" s="335">
        <f t="shared" si="11"/>
        <v>0</v>
      </c>
      <c r="H45" s="335">
        <f t="shared" si="11"/>
        <v>-0.11</v>
      </c>
    </row>
    <row r="46" spans="1:16">
      <c r="A46" s="336"/>
      <c r="B46" s="130"/>
      <c r="C46" s="130"/>
      <c r="D46" s="130"/>
      <c r="E46" s="130"/>
      <c r="F46" s="130"/>
      <c r="G46" s="130"/>
      <c r="H46" s="130"/>
    </row>
    <row r="47" spans="1:16">
      <c r="A47" s="321" t="s">
        <v>566</v>
      </c>
    </row>
    <row r="48" spans="1:16">
      <c r="A48" s="322" t="s">
        <v>1346</v>
      </c>
      <c r="B48" s="330">
        <f>FL_cap_assmt_HIGH</f>
        <v>2300</v>
      </c>
      <c r="C48" s="330">
        <f>SE_cap_assmt_HIGH</f>
        <v>1900</v>
      </c>
      <c r="D48" s="330">
        <f>BOCA_cap_assmt_HIGH</f>
        <v>2100</v>
      </c>
      <c r="E48" s="330">
        <f>SW_cap_assmt_HIGH</f>
        <v>2500</v>
      </c>
      <c r="F48" s="330">
        <f>SWCIRA_cap_assmt_HIGH</f>
        <v>1100</v>
      </c>
      <c r="G48" s="330">
        <f>NC_cap_assmt_HIGH</f>
        <v>2300</v>
      </c>
      <c r="H48" s="330">
        <f>YB_cap_assmt_HIGH</f>
        <v>1500</v>
      </c>
    </row>
    <row r="49" spans="1:8">
      <c r="A49" s="324" t="s">
        <v>1156</v>
      </c>
      <c r="B49" s="325">
        <v>1600</v>
      </c>
      <c r="C49" s="325">
        <v>1800</v>
      </c>
      <c r="D49" s="325">
        <v>1700</v>
      </c>
      <c r="E49" s="325">
        <v>1700</v>
      </c>
      <c r="F49" s="325">
        <v>900</v>
      </c>
      <c r="G49" s="325">
        <v>1300</v>
      </c>
      <c r="H49" s="325">
        <v>700</v>
      </c>
    </row>
    <row r="50" spans="1:8">
      <c r="A50" s="118" t="s">
        <v>301</v>
      </c>
      <c r="B50" s="335">
        <f t="shared" ref="B50:H50" si="12">(+B48-B49)/B49</f>
        <v>0.4375</v>
      </c>
      <c r="C50" s="335">
        <f t="shared" si="12"/>
        <v>5.5555555555555552E-2</v>
      </c>
      <c r="D50" s="335">
        <f t="shared" si="12"/>
        <v>0.23529411764705882</v>
      </c>
      <c r="E50" s="335">
        <f t="shared" si="12"/>
        <v>0.47058823529411764</v>
      </c>
      <c r="F50" s="335">
        <f t="shared" si="12"/>
        <v>0.22222222222222221</v>
      </c>
      <c r="G50" s="335">
        <f t="shared" si="12"/>
        <v>0.76923076923076927</v>
      </c>
      <c r="H50" s="335">
        <f t="shared" si="12"/>
        <v>1.1428571428571428</v>
      </c>
    </row>
    <row r="51" spans="1:8">
      <c r="A51" s="333" t="s">
        <v>567</v>
      </c>
      <c r="B51" s="335">
        <f>FL_cap_assmt</f>
        <v>0.71</v>
      </c>
      <c r="C51" s="335">
        <f>SE_cap_assmt</f>
        <v>0.56999999999999995</v>
      </c>
      <c r="D51" s="335">
        <f>BOCA_cap_assmt</f>
        <v>0.65</v>
      </c>
      <c r="E51" s="335">
        <f>SW_cap_assmt</f>
        <v>0.88</v>
      </c>
      <c r="F51" s="335">
        <f>SWCIRA_cap_assmt</f>
        <v>0.78</v>
      </c>
      <c r="G51" s="335">
        <f>NC_cap_assmt</f>
        <v>0.7</v>
      </c>
      <c r="H51" s="335">
        <f>YB_cap_assmt</f>
        <v>0.75</v>
      </c>
    </row>
    <row r="52" spans="1:8">
      <c r="A52" s="118"/>
      <c r="B52" s="130"/>
      <c r="C52" s="130"/>
      <c r="D52" s="130"/>
      <c r="E52" s="130"/>
      <c r="F52" s="130"/>
      <c r="G52" s="130"/>
      <c r="H52" s="130"/>
    </row>
    <row r="53" spans="1:8">
      <c r="A53" s="321" t="s">
        <v>304</v>
      </c>
    </row>
    <row r="54" spans="1:8">
      <c r="A54" s="322" t="s">
        <v>1189</v>
      </c>
      <c r="B54" s="328">
        <f>FL_emp</f>
        <v>162</v>
      </c>
      <c r="C54" s="328">
        <f>SE_emp</f>
        <v>167</v>
      </c>
      <c r="D54" s="328">
        <f>BOCA_emp</f>
        <v>272</v>
      </c>
      <c r="E54" s="328">
        <f>SW_emp</f>
        <v>136</v>
      </c>
      <c r="F54" s="328">
        <f>SWCIRA_emp</f>
        <v>101</v>
      </c>
      <c r="G54" s="328">
        <f>NC_emp</f>
        <v>154</v>
      </c>
      <c r="H54" s="328">
        <f>YB_emp</f>
        <v>80</v>
      </c>
    </row>
    <row r="55" spans="1:8">
      <c r="A55" s="324" t="s">
        <v>1156</v>
      </c>
      <c r="B55" s="325">
        <v>159</v>
      </c>
      <c r="C55" s="325">
        <v>167</v>
      </c>
      <c r="D55" s="325">
        <v>272</v>
      </c>
      <c r="E55" s="325">
        <v>128</v>
      </c>
      <c r="F55" s="325">
        <v>99</v>
      </c>
      <c r="G55" s="325">
        <v>151</v>
      </c>
      <c r="H55" s="325">
        <v>97</v>
      </c>
    </row>
    <row r="56" spans="1:8">
      <c r="A56" s="118" t="s">
        <v>301</v>
      </c>
      <c r="B56" s="325">
        <f t="shared" ref="B56:H56" si="13">+B54-B55</f>
        <v>3</v>
      </c>
      <c r="C56" s="325">
        <f t="shared" si="13"/>
        <v>0</v>
      </c>
      <c r="D56" s="325">
        <f t="shared" si="13"/>
        <v>0</v>
      </c>
      <c r="E56" s="325">
        <f t="shared" si="13"/>
        <v>8</v>
      </c>
      <c r="F56" s="325">
        <f t="shared" si="13"/>
        <v>2</v>
      </c>
      <c r="G56" s="325">
        <f t="shared" si="13"/>
        <v>3</v>
      </c>
      <c r="H56" s="325">
        <f t="shared" si="13"/>
        <v>-17</v>
      </c>
    </row>
    <row r="57" spans="1:8">
      <c r="A57" s="118" t="s">
        <v>302</v>
      </c>
      <c r="B57" s="326">
        <f t="shared" ref="B57:H57" si="14">+B56/B55</f>
        <v>1.8867924528301886E-2</v>
      </c>
      <c r="C57" s="326">
        <f t="shared" si="14"/>
        <v>0</v>
      </c>
      <c r="D57" s="326">
        <f t="shared" si="14"/>
        <v>0</v>
      </c>
      <c r="E57" s="326">
        <f t="shared" si="14"/>
        <v>6.25E-2</v>
      </c>
      <c r="F57" s="326">
        <f t="shared" si="14"/>
        <v>2.0202020202020204E-2</v>
      </c>
      <c r="G57" s="326">
        <f t="shared" si="14"/>
        <v>1.9867549668874173E-2</v>
      </c>
      <c r="H57" s="326">
        <f t="shared" si="14"/>
        <v>-0.17525773195876287</v>
      </c>
    </row>
    <row r="59" spans="1:8">
      <c r="A59" s="142" t="s">
        <v>1042</v>
      </c>
    </row>
    <row r="60" spans="1:8">
      <c r="A60" s="322" t="s">
        <v>1189</v>
      </c>
      <c r="B60" s="337">
        <f>FL_FME_p.employee</f>
        <v>4.5</v>
      </c>
      <c r="C60" s="337">
        <f>SE_FME_p.employee</f>
        <v>3.7</v>
      </c>
      <c r="D60" s="337">
        <f>BOCA_FME_p.employee</f>
        <v>3.3</v>
      </c>
      <c r="E60" s="337">
        <f>SW_FME_p.employee</f>
        <v>4.2</v>
      </c>
      <c r="F60" s="337">
        <f>SWCIRA_FME_p.employee</f>
        <v>8.9</v>
      </c>
      <c r="G60" s="337">
        <f>NC_FME_p.employee</f>
        <v>4.9000000000000004</v>
      </c>
      <c r="H60" s="337">
        <f>YB_FME_p.employee</f>
        <v>8.6</v>
      </c>
    </row>
    <row r="61" spans="1:8">
      <c r="A61" s="324" t="s">
        <v>1156</v>
      </c>
      <c r="B61" s="338">
        <v>4.2</v>
      </c>
      <c r="C61" s="338">
        <v>3.2</v>
      </c>
      <c r="D61" s="338">
        <v>3</v>
      </c>
      <c r="E61" s="338">
        <v>3.9</v>
      </c>
      <c r="F61" s="338">
        <v>8.8000000000000007</v>
      </c>
      <c r="G61" s="338">
        <v>5</v>
      </c>
      <c r="H61" s="338">
        <v>7</v>
      </c>
    </row>
    <row r="62" spans="1:8">
      <c r="A62" s="118" t="s">
        <v>301</v>
      </c>
      <c r="B62" s="338">
        <f t="shared" ref="B62:H62" si="15">+B60-B61</f>
        <v>0.29999999999999982</v>
      </c>
      <c r="C62" s="338">
        <f t="shared" si="15"/>
        <v>0.5</v>
      </c>
      <c r="D62" s="338">
        <f t="shared" si="15"/>
        <v>0.29999999999999982</v>
      </c>
      <c r="E62" s="338">
        <f t="shared" si="15"/>
        <v>0.30000000000000027</v>
      </c>
      <c r="F62" s="338">
        <f t="shared" si="15"/>
        <v>9.9999999999999645E-2</v>
      </c>
      <c r="G62" s="338">
        <f t="shared" si="15"/>
        <v>-9.9999999999999645E-2</v>
      </c>
      <c r="H62" s="338">
        <f t="shared" si="15"/>
        <v>1.5999999999999996</v>
      </c>
    </row>
    <row r="63" spans="1:8">
      <c r="A63" s="118" t="s">
        <v>302</v>
      </c>
      <c r="B63" s="326">
        <f t="shared" ref="B63:H63" si="16">+B62/B61</f>
        <v>7.1428571428571383E-2</v>
      </c>
      <c r="C63" s="326">
        <f t="shared" si="16"/>
        <v>0.15625</v>
      </c>
      <c r="D63" s="326">
        <f t="shared" si="16"/>
        <v>9.9999999999999936E-2</v>
      </c>
      <c r="E63" s="326">
        <f t="shared" si="16"/>
        <v>7.6923076923076997E-2</v>
      </c>
      <c r="F63" s="326">
        <f t="shared" si="16"/>
        <v>1.1363636363636322E-2</v>
      </c>
      <c r="G63" s="326">
        <f t="shared" si="16"/>
        <v>-1.9999999999999928E-2</v>
      </c>
      <c r="H63" s="326">
        <f t="shared" si="16"/>
        <v>0.22857142857142851</v>
      </c>
    </row>
    <row r="65" spans="1:21">
      <c r="A65" s="321" t="s">
        <v>287</v>
      </c>
    </row>
    <row r="66" spans="1:21">
      <c r="A66" s="339" t="s">
        <v>408</v>
      </c>
    </row>
    <row r="67" spans="1:21">
      <c r="A67" s="322" t="s">
        <v>1189</v>
      </c>
      <c r="B67" s="330">
        <v>6098000</v>
      </c>
      <c r="C67" s="330">
        <v>6594000</v>
      </c>
      <c r="D67" s="330">
        <v>10868000</v>
      </c>
      <c r="E67" s="330">
        <v>4941000</v>
      </c>
      <c r="F67" s="330">
        <v>3583000</v>
      </c>
      <c r="G67" s="330">
        <v>5320000</v>
      </c>
      <c r="H67" s="330">
        <v>3531000</v>
      </c>
    </row>
    <row r="68" spans="1:21">
      <c r="A68" s="324" t="s">
        <v>1156</v>
      </c>
      <c r="B68" s="325">
        <v>5804000</v>
      </c>
      <c r="C68" s="325">
        <v>6390000</v>
      </c>
      <c r="D68" s="325">
        <v>10261000</v>
      </c>
      <c r="E68" s="325">
        <v>4767000</v>
      </c>
      <c r="F68" s="325">
        <v>3454000</v>
      </c>
      <c r="G68" s="325">
        <v>4946000</v>
      </c>
      <c r="H68" s="325">
        <v>3285000</v>
      </c>
      <c r="R68" s="340"/>
      <c r="S68" s="340"/>
      <c r="T68" s="340"/>
      <c r="U68" s="340"/>
    </row>
    <row r="69" spans="1:21">
      <c r="A69" s="118" t="s">
        <v>301</v>
      </c>
      <c r="B69" s="325">
        <f t="shared" ref="B69:H69" si="17">+B67-B68</f>
        <v>294000</v>
      </c>
      <c r="C69" s="325">
        <f t="shared" si="17"/>
        <v>204000</v>
      </c>
      <c r="D69" s="325">
        <f t="shared" si="17"/>
        <v>607000</v>
      </c>
      <c r="E69" s="325">
        <f t="shared" si="17"/>
        <v>174000</v>
      </c>
      <c r="F69" s="325">
        <f t="shared" si="17"/>
        <v>129000</v>
      </c>
      <c r="G69" s="325">
        <f t="shared" si="17"/>
        <v>374000</v>
      </c>
      <c r="H69" s="325">
        <f t="shared" si="17"/>
        <v>246000</v>
      </c>
    </row>
    <row r="70" spans="1:21">
      <c r="A70" s="118" t="s">
        <v>302</v>
      </c>
      <c r="B70" s="326">
        <f t="shared" ref="B70:H70" si="18">+B69/B68</f>
        <v>5.0654720882150242E-2</v>
      </c>
      <c r="C70" s="326">
        <f t="shared" si="18"/>
        <v>3.1924882629107983E-2</v>
      </c>
      <c r="D70" s="326">
        <f t="shared" si="18"/>
        <v>5.915602767761427E-2</v>
      </c>
      <c r="E70" s="326">
        <f t="shared" si="18"/>
        <v>3.6500943989930777E-2</v>
      </c>
      <c r="F70" s="326">
        <f t="shared" si="18"/>
        <v>3.7348002316155184E-2</v>
      </c>
      <c r="G70" s="326">
        <f t="shared" si="18"/>
        <v>7.5616659927213906E-2</v>
      </c>
      <c r="H70" s="326">
        <f t="shared" si="18"/>
        <v>7.4885844748858441E-2</v>
      </c>
    </row>
    <row r="72" spans="1:21">
      <c r="A72" s="142" t="s">
        <v>1163</v>
      </c>
    </row>
    <row r="73" spans="1:21">
      <c r="A73" s="322" t="s">
        <v>1189</v>
      </c>
      <c r="B73" s="330">
        <v>7700</v>
      </c>
      <c r="C73" s="330">
        <v>10800</v>
      </c>
      <c r="D73" s="330">
        <v>11200</v>
      </c>
      <c r="E73" s="330">
        <v>7500</v>
      </c>
      <c r="F73" s="330">
        <v>3600</v>
      </c>
      <c r="G73" s="330">
        <v>6300</v>
      </c>
      <c r="H73" s="330">
        <v>4600</v>
      </c>
    </row>
    <row r="74" spans="1:21">
      <c r="A74" s="324" t="s">
        <v>1156</v>
      </c>
      <c r="B74" s="325">
        <v>7300</v>
      </c>
      <c r="C74" s="325">
        <v>10000</v>
      </c>
      <c r="D74" s="325">
        <v>10500</v>
      </c>
      <c r="E74" s="325">
        <v>7100</v>
      </c>
      <c r="F74" s="325">
        <v>3500</v>
      </c>
      <c r="G74" s="325">
        <v>5900</v>
      </c>
      <c r="H74" s="325">
        <v>4300</v>
      </c>
      <c r="I74" s="1235" t="s">
        <v>1345</v>
      </c>
    </row>
    <row r="75" spans="1:21">
      <c r="A75" s="118" t="s">
        <v>301</v>
      </c>
      <c r="B75" s="325">
        <f t="shared" ref="B75:H75" si="19">+B73-B74</f>
        <v>400</v>
      </c>
      <c r="C75" s="325">
        <f t="shared" si="19"/>
        <v>800</v>
      </c>
      <c r="D75" s="325">
        <f t="shared" si="19"/>
        <v>700</v>
      </c>
      <c r="E75" s="325">
        <f t="shared" si="19"/>
        <v>400</v>
      </c>
      <c r="F75" s="325">
        <f t="shared" si="19"/>
        <v>100</v>
      </c>
      <c r="G75" s="325">
        <f t="shared" si="19"/>
        <v>400</v>
      </c>
      <c r="H75" s="325">
        <f t="shared" si="19"/>
        <v>300</v>
      </c>
    </row>
    <row r="76" spans="1:21">
      <c r="A76" s="118" t="s">
        <v>302</v>
      </c>
      <c r="B76" s="326">
        <f t="shared" ref="B76:H76" si="20">(+B73-B74)/B74</f>
        <v>5.4794520547945202E-2</v>
      </c>
      <c r="C76" s="326">
        <f t="shared" si="20"/>
        <v>0.08</v>
      </c>
      <c r="D76" s="326">
        <f t="shared" si="20"/>
        <v>6.6666666666666666E-2</v>
      </c>
      <c r="E76" s="326">
        <f t="shared" si="20"/>
        <v>5.6338028169014086E-2</v>
      </c>
      <c r="F76" s="326">
        <f t="shared" si="20"/>
        <v>2.8571428571428571E-2</v>
      </c>
      <c r="G76" s="326">
        <f t="shared" si="20"/>
        <v>6.7796610169491525E-2</v>
      </c>
      <c r="H76" s="326">
        <f t="shared" si="20"/>
        <v>6.9767441860465115E-2</v>
      </c>
    </row>
    <row r="77" spans="1:21">
      <c r="A77" s="118"/>
      <c r="B77" s="341"/>
      <c r="C77" s="341"/>
      <c r="D77" s="341"/>
      <c r="E77" s="341"/>
      <c r="F77" s="341"/>
      <c r="G77" s="341"/>
      <c r="H77" s="341"/>
    </row>
    <row r="78" spans="1:21">
      <c r="A78" s="344" t="s">
        <v>1153</v>
      </c>
      <c r="B78" s="341"/>
      <c r="C78" s="341"/>
      <c r="D78" s="341"/>
      <c r="E78" s="341"/>
      <c r="F78" s="341"/>
      <c r="G78" s="341"/>
      <c r="H78" s="341"/>
    </row>
    <row r="79" spans="1:21">
      <c r="A79" s="321" t="s">
        <v>307</v>
      </c>
    </row>
    <row r="80" spans="1:21">
      <c r="A80" s="322" t="s">
        <v>1189</v>
      </c>
      <c r="B80" s="330">
        <v>186000</v>
      </c>
      <c r="C80" s="330">
        <v>327000</v>
      </c>
      <c r="D80" s="330">
        <v>284000</v>
      </c>
      <c r="E80" s="330">
        <v>140000</v>
      </c>
      <c r="F80" s="342" t="s">
        <v>288</v>
      </c>
      <c r="G80" s="330">
        <v>156000</v>
      </c>
      <c r="H80" s="330">
        <v>107000</v>
      </c>
    </row>
    <row r="81" spans="1:8">
      <c r="A81" s="324" t="s">
        <v>1156</v>
      </c>
      <c r="B81" s="325">
        <v>177000</v>
      </c>
      <c r="C81" s="325">
        <v>318000</v>
      </c>
      <c r="D81" s="325">
        <v>278000</v>
      </c>
      <c r="E81" s="325">
        <v>136000</v>
      </c>
      <c r="F81" s="342" t="s">
        <v>288</v>
      </c>
      <c r="G81" s="325">
        <v>149000</v>
      </c>
      <c r="H81" s="343">
        <v>104000</v>
      </c>
    </row>
    <row r="82" spans="1:8">
      <c r="A82" s="118" t="s">
        <v>301</v>
      </c>
      <c r="B82" s="325">
        <f>+B80-B81</f>
        <v>9000</v>
      </c>
      <c r="C82" s="325">
        <f>+C80-C81</f>
        <v>9000</v>
      </c>
      <c r="D82" s="325">
        <f>+D80-D81</f>
        <v>6000</v>
      </c>
      <c r="E82" s="325">
        <f>+E80-E81</f>
        <v>4000</v>
      </c>
      <c r="F82" s="343" t="s">
        <v>288</v>
      </c>
      <c r="G82" s="325">
        <f>+G80-G81</f>
        <v>7000</v>
      </c>
      <c r="H82" s="325">
        <f>+H80-H81</f>
        <v>3000</v>
      </c>
    </row>
    <row r="83" spans="1:8">
      <c r="A83" s="118" t="s">
        <v>302</v>
      </c>
      <c r="B83" s="326">
        <f>+B82/B81</f>
        <v>5.0847457627118647E-2</v>
      </c>
      <c r="C83" s="326">
        <f>+C82/C81</f>
        <v>2.8301886792452831E-2</v>
      </c>
      <c r="D83" s="326">
        <f>+D82/D81</f>
        <v>2.1582733812949641E-2</v>
      </c>
      <c r="E83" s="326">
        <f>+E82/E81</f>
        <v>2.9411764705882353E-2</v>
      </c>
      <c r="F83" s="343" t="s">
        <v>288</v>
      </c>
      <c r="G83" s="326">
        <f>+G82/G81</f>
        <v>4.6979865771812082E-2</v>
      </c>
      <c r="H83" s="326">
        <f>+H82/H81</f>
        <v>2.8846153846153848E-2</v>
      </c>
    </row>
    <row r="84" spans="1:8">
      <c r="A84" s="118"/>
      <c r="B84" s="332"/>
      <c r="C84" s="332"/>
      <c r="D84" s="332"/>
      <c r="E84" s="332"/>
      <c r="F84" s="345"/>
      <c r="G84" s="332"/>
      <c r="H84" s="332"/>
    </row>
    <row r="85" spans="1:8" hidden="1">
      <c r="A85" s="123" t="s">
        <v>308</v>
      </c>
      <c r="B85" s="330" t="e">
        <f>FL_proptax_p.mem</f>
        <v>#REF!</v>
      </c>
      <c r="C85" s="330" t="e">
        <f>SE_proptax_p.mem</f>
        <v>#REF!</v>
      </c>
      <c r="D85" s="330" t="e">
        <f>Boca_proptax_p.mem</f>
        <v>#REF!</v>
      </c>
      <c r="E85" s="330" t="e">
        <f>SW_proptax_p.mem</f>
        <v>#REF!</v>
      </c>
      <c r="F85" s="330" t="e">
        <f>SWCIRA_proptax_p.mem</f>
        <v>#REF!</v>
      </c>
      <c r="G85" s="330" t="e">
        <f>NC_proptax_p.mem</f>
        <v>#REF!</v>
      </c>
      <c r="H85" s="330" t="e">
        <f>YB_proptax_p.mem</f>
        <v>#REF!</v>
      </c>
    </row>
    <row r="86" spans="1:8" hidden="1"/>
    <row r="87" spans="1:8">
      <c r="A87" s="321" t="s">
        <v>309</v>
      </c>
    </row>
    <row r="88" spans="1:8">
      <c r="A88" s="322" t="s">
        <v>1189</v>
      </c>
      <c r="B88" s="330">
        <v>280000</v>
      </c>
      <c r="C88" s="330">
        <v>316000</v>
      </c>
      <c r="D88" s="330">
        <v>439000</v>
      </c>
      <c r="E88" s="330">
        <v>200000</v>
      </c>
      <c r="F88" s="330">
        <v>173000</v>
      </c>
      <c r="G88" s="330">
        <v>303000</v>
      </c>
      <c r="H88" s="330">
        <v>273000</v>
      </c>
    </row>
    <row r="89" spans="1:8">
      <c r="A89" s="324" t="s">
        <v>1156</v>
      </c>
      <c r="B89" s="325">
        <v>286000</v>
      </c>
      <c r="C89" s="325">
        <v>345000</v>
      </c>
      <c r="D89" s="325">
        <v>443000</v>
      </c>
      <c r="E89" s="325">
        <v>201000</v>
      </c>
      <c r="F89" s="342">
        <v>177000</v>
      </c>
      <c r="G89" s="325">
        <v>292000</v>
      </c>
      <c r="H89" s="343">
        <v>276000</v>
      </c>
    </row>
    <row r="90" spans="1:8">
      <c r="A90" s="118" t="s">
        <v>301</v>
      </c>
      <c r="B90" s="325">
        <f t="shared" ref="B90:H90" si="21">+B88-B89</f>
        <v>-6000</v>
      </c>
      <c r="C90" s="325">
        <f t="shared" si="21"/>
        <v>-29000</v>
      </c>
      <c r="D90" s="325">
        <f t="shared" si="21"/>
        <v>-4000</v>
      </c>
      <c r="E90" s="325">
        <f t="shared" si="21"/>
        <v>-1000</v>
      </c>
      <c r="F90" s="325">
        <f t="shared" si="21"/>
        <v>-4000</v>
      </c>
      <c r="G90" s="325">
        <f t="shared" si="21"/>
        <v>11000</v>
      </c>
      <c r="H90" s="325">
        <f t="shared" si="21"/>
        <v>-3000</v>
      </c>
    </row>
    <row r="91" spans="1:8">
      <c r="A91" s="118" t="s">
        <v>302</v>
      </c>
      <c r="B91" s="326">
        <f t="shared" ref="B91:H91" si="22">+B90/B89</f>
        <v>-2.097902097902098E-2</v>
      </c>
      <c r="C91" s="326">
        <f t="shared" si="22"/>
        <v>-8.4057971014492749E-2</v>
      </c>
      <c r="D91" s="326">
        <f t="shared" si="22"/>
        <v>-9.0293453724604959E-3</v>
      </c>
      <c r="E91" s="326">
        <f t="shared" si="22"/>
        <v>-4.9751243781094526E-3</v>
      </c>
      <c r="F91" s="326">
        <f t="shared" si="22"/>
        <v>-2.2598870056497175E-2</v>
      </c>
      <c r="G91" s="326">
        <f t="shared" si="22"/>
        <v>3.7671232876712327E-2</v>
      </c>
      <c r="H91" s="326">
        <f t="shared" si="22"/>
        <v>-1.0869565217391304E-2</v>
      </c>
    </row>
    <row r="92" spans="1:8">
      <c r="A92" s="118"/>
      <c r="B92" s="332"/>
      <c r="C92" s="332"/>
      <c r="D92" s="332"/>
      <c r="E92" s="332"/>
      <c r="F92" s="332"/>
      <c r="G92" s="332"/>
      <c r="H92" s="332"/>
    </row>
    <row r="93" spans="1:8" hidden="1">
      <c r="A93" s="123" t="s">
        <v>310</v>
      </c>
      <c r="B93" s="330" t="e">
        <f>FL_ins_p.mem</f>
        <v>#REF!</v>
      </c>
      <c r="C93" s="330" t="e">
        <f>SE_ins_p.mem</f>
        <v>#REF!</v>
      </c>
      <c r="D93" s="330" t="e">
        <f>Boca_ins_p.mem</f>
        <v>#REF!</v>
      </c>
      <c r="E93" s="330" t="e">
        <f>SW_ins_p.mem</f>
        <v>#REF!</v>
      </c>
      <c r="F93" s="330">
        <f>ROUND(+F88/F18,-1)</f>
        <v>190</v>
      </c>
      <c r="G93" s="330" t="e">
        <f>NC_ins_p.mem</f>
        <v>#REF!</v>
      </c>
      <c r="H93" s="330" t="e">
        <f>YB_ins_p.mem</f>
        <v>#REF!</v>
      </c>
    </row>
    <row r="94" spans="1:8" hidden="1">
      <c r="A94" s="118"/>
      <c r="B94" s="332"/>
      <c r="C94" s="332"/>
      <c r="D94" s="332"/>
      <c r="E94" s="332"/>
      <c r="F94" s="345"/>
      <c r="G94" s="332"/>
      <c r="H94" s="332"/>
    </row>
    <row r="95" spans="1:8">
      <c r="A95" s="321" t="s">
        <v>389</v>
      </c>
    </row>
    <row r="96" spans="1:8">
      <c r="A96" s="322" t="s">
        <v>1189</v>
      </c>
      <c r="B96" s="330">
        <f t="shared" ref="B96:H96" si="23">B109</f>
        <v>16454000</v>
      </c>
      <c r="C96" s="330">
        <f t="shared" si="23"/>
        <v>18338000</v>
      </c>
      <c r="D96" s="330">
        <f t="shared" si="23"/>
        <v>27365000</v>
      </c>
      <c r="E96" s="330">
        <f t="shared" si="23"/>
        <v>14271000</v>
      </c>
      <c r="F96" s="330">
        <f t="shared" si="23"/>
        <v>9831000</v>
      </c>
      <c r="G96" s="330">
        <f t="shared" si="23"/>
        <v>14156000</v>
      </c>
      <c r="H96" s="330">
        <f t="shared" si="23"/>
        <v>9532000</v>
      </c>
    </row>
    <row r="97" spans="1:16">
      <c r="A97" s="324" t="s">
        <v>1156</v>
      </c>
      <c r="B97" s="325">
        <v>11771000</v>
      </c>
      <c r="C97" s="325">
        <v>13084000</v>
      </c>
      <c r="D97" s="325">
        <v>20598000</v>
      </c>
      <c r="E97" s="325">
        <v>9301000</v>
      </c>
      <c r="F97" s="325">
        <v>7245000</v>
      </c>
      <c r="G97" s="325">
        <v>10179000</v>
      </c>
      <c r="H97" s="325">
        <v>7118000</v>
      </c>
    </row>
    <row r="98" spans="1:16">
      <c r="A98" s="118" t="s">
        <v>301</v>
      </c>
      <c r="B98" s="325">
        <f t="shared" ref="B98:G98" si="24">+B96-B97</f>
        <v>4683000</v>
      </c>
      <c r="C98" s="325">
        <f t="shared" si="24"/>
        <v>5254000</v>
      </c>
      <c r="D98" s="325">
        <f t="shared" si="24"/>
        <v>6767000</v>
      </c>
      <c r="E98" s="325">
        <f t="shared" si="24"/>
        <v>4970000</v>
      </c>
      <c r="F98" s="325">
        <f t="shared" si="24"/>
        <v>2586000</v>
      </c>
      <c r="G98" s="325">
        <f t="shared" si="24"/>
        <v>3977000</v>
      </c>
      <c r="H98" s="325">
        <f>+H96-H97</f>
        <v>2414000</v>
      </c>
    </row>
    <row r="99" spans="1:16">
      <c r="A99" s="118" t="s">
        <v>302</v>
      </c>
      <c r="B99" s="326">
        <f t="shared" ref="B99:G99" si="25">+B98/B97</f>
        <v>0.39784215444737064</v>
      </c>
      <c r="C99" s="326">
        <f t="shared" si="25"/>
        <v>0.40155915622133903</v>
      </c>
      <c r="D99" s="326">
        <f t="shared" si="25"/>
        <v>0.32852704146033596</v>
      </c>
      <c r="E99" s="326">
        <f t="shared" si="25"/>
        <v>0.53435114503816794</v>
      </c>
      <c r="F99" s="326">
        <f t="shared" si="25"/>
        <v>0.35693581780538303</v>
      </c>
      <c r="G99" s="326">
        <f t="shared" si="25"/>
        <v>0.39070635622359762</v>
      </c>
      <c r="H99" s="326">
        <f>+H98/H97</f>
        <v>0.33914020792357402</v>
      </c>
    </row>
    <row r="100" spans="1:16">
      <c r="B100" s="346"/>
      <c r="C100" s="346"/>
      <c r="D100" s="346"/>
      <c r="E100" s="346"/>
      <c r="F100" s="346"/>
      <c r="G100" s="346"/>
      <c r="H100" s="346"/>
    </row>
    <row r="101" spans="1:16">
      <c r="A101" s="339" t="s">
        <v>5</v>
      </c>
      <c r="B101" s="321"/>
      <c r="C101" s="321"/>
      <c r="D101" s="321"/>
      <c r="E101" s="321"/>
      <c r="F101" s="321"/>
      <c r="G101" s="321"/>
    </row>
    <row r="102" spans="1:16">
      <c r="A102" s="347" t="s">
        <v>45</v>
      </c>
      <c r="B102" s="348">
        <f>SUM(FL_dues_rev_perc)</f>
        <v>0.61399999999999999</v>
      </c>
      <c r="C102" s="348">
        <f>SUM(SE_dues_rev_perc)</f>
        <v>0.629</v>
      </c>
      <c r="D102" s="348">
        <f>SUM(BOCA_dues_rev_perc)</f>
        <v>0.68400000000000005</v>
      </c>
      <c r="E102" s="348">
        <f>SUM(SW_dues_rev_perc)</f>
        <v>0.57299999999999995</v>
      </c>
      <c r="F102" s="348">
        <f>SUM(SWCIRA_dues_rev_perc)</f>
        <v>0.56299999999999994</v>
      </c>
      <c r="G102" s="348">
        <f>SUM(NC_dues_rev_perc)</f>
        <v>0.56500000000000006</v>
      </c>
      <c r="H102" s="348">
        <f>SUM(YB_dues_rev_perc)</f>
        <v>0.46500000000000002</v>
      </c>
    </row>
    <row r="103" spans="1:16">
      <c r="A103" s="347" t="s">
        <v>311</v>
      </c>
      <c r="B103" s="348">
        <f>SUM(FL_sport_rev_perc)</f>
        <v>0.16400000000000001</v>
      </c>
      <c r="C103" s="348">
        <f>SUM(SE_sport_rev_perc)</f>
        <v>0.16200000000000001</v>
      </c>
      <c r="D103" s="348">
        <f>SUM(Boca_sport_rev_perc)</f>
        <v>0.13</v>
      </c>
      <c r="E103" s="348">
        <f>SUM(SW_sport_rev_perc)</f>
        <v>0.20299999999999999</v>
      </c>
      <c r="F103" s="348">
        <f>SUM(SWCIRA_sport_rev_perc)</f>
        <v>0.19</v>
      </c>
      <c r="G103" s="348">
        <f>SUM(NC_sport_rev_perc)</f>
        <v>0.159</v>
      </c>
      <c r="H103" s="348">
        <f>SUM(YB_sport_rev_perc)</f>
        <v>0.156</v>
      </c>
    </row>
    <row r="104" spans="1:16">
      <c r="A104" s="347" t="s">
        <v>312</v>
      </c>
      <c r="B104" s="348">
        <f>FL_food_rev_perc</f>
        <v>0.13200000000000001</v>
      </c>
      <c r="C104" s="348">
        <f>SE_food_rev_perc</f>
        <v>0.125</v>
      </c>
      <c r="D104" s="348">
        <f>Boca_food_rev_perc</f>
        <v>0.13500000000000001</v>
      </c>
      <c r="E104" s="348">
        <f>SW_food_rev_perc</f>
        <v>0.13</v>
      </c>
      <c r="F104" s="348">
        <f>SWCIRA_food_rev_perc</f>
        <v>0.129</v>
      </c>
      <c r="G104" s="348">
        <f>NC_food_rev_perc</f>
        <v>0.14000000000000001</v>
      </c>
      <c r="H104" s="348">
        <f>YB_food_rev_perc</f>
        <v>0.23200000000000001</v>
      </c>
    </row>
    <row r="105" spans="1:16">
      <c r="A105" s="347" t="s">
        <v>313</v>
      </c>
      <c r="B105" s="348">
        <f>FL_bev_rev_perc</f>
        <v>5.2999999999999999E-2</v>
      </c>
      <c r="C105" s="348">
        <f>SE_bev_rev_perc</f>
        <v>4.7E-2</v>
      </c>
      <c r="D105" s="348">
        <f>Boca_bev_rev_perc</f>
        <v>2.7E-2</v>
      </c>
      <c r="E105" s="348">
        <f>SW_bev_rev_perc</f>
        <v>7.3999999999999996E-2</v>
      </c>
      <c r="F105" s="348">
        <f>SWCIRA_bev_rev_perc</f>
        <v>6.8000000000000005E-2</v>
      </c>
      <c r="G105" s="348">
        <f>NC_bev_rev_perc</f>
        <v>6.8000000000000005E-2</v>
      </c>
      <c r="H105" s="348">
        <f>YB_bev_rev_perc</f>
        <v>0.122</v>
      </c>
    </row>
    <row r="106" spans="1:16">
      <c r="A106" s="347" t="s">
        <v>314</v>
      </c>
      <c r="B106" s="348">
        <f>'Op Rev &amp; Exp'!B10</f>
        <v>3.6999999999999998E-2</v>
      </c>
      <c r="C106" s="348">
        <f>'Op Rev &amp; Exp'!C10</f>
        <v>3.6999999999999998E-2</v>
      </c>
      <c r="D106" s="348">
        <f>'Op Rev &amp; Exp'!D10</f>
        <v>2.4E-2</v>
      </c>
      <c r="E106" s="348">
        <f>'Op Rev &amp; Exp'!E10</f>
        <v>0.02</v>
      </c>
      <c r="F106" s="348">
        <f>'Op Rev &amp; Exp'!F10</f>
        <v>0.05</v>
      </c>
      <c r="G106" s="348">
        <f>'Op Rev &amp; Exp'!G10</f>
        <v>6.8000000000000005E-2</v>
      </c>
      <c r="H106" s="348">
        <f>'Op Rev &amp; Exp'!H10</f>
        <v>2.5000000000000001E-2</v>
      </c>
      <c r="J106" s="2131" t="s">
        <v>910</v>
      </c>
      <c r="K106" s="2131"/>
      <c r="L106" s="2131"/>
      <c r="M106" s="2131"/>
      <c r="N106" s="2131"/>
      <c r="O106" s="2131"/>
      <c r="P106" s="2131"/>
    </row>
    <row r="107" spans="1:16" ht="14.4" thickBot="1">
      <c r="A107" s="339"/>
      <c r="B107" s="349">
        <f t="shared" ref="B107:H107" si="26">SUM(B102:B106)</f>
        <v>1</v>
      </c>
      <c r="C107" s="349">
        <f t="shared" si="26"/>
        <v>1</v>
      </c>
      <c r="D107" s="349">
        <f t="shared" si="26"/>
        <v>1</v>
      </c>
      <c r="E107" s="349">
        <f t="shared" si="26"/>
        <v>0.99999999999999989</v>
      </c>
      <c r="F107" s="349">
        <f t="shared" si="26"/>
        <v>1</v>
      </c>
      <c r="G107" s="349">
        <f t="shared" si="26"/>
        <v>1.0000000000000002</v>
      </c>
      <c r="H107" s="349">
        <f t="shared" si="26"/>
        <v>1</v>
      </c>
      <c r="J107" s="2131"/>
      <c r="K107" s="2131"/>
      <c r="L107" s="2131"/>
      <c r="M107" s="2131"/>
      <c r="N107" s="2131"/>
      <c r="O107" s="2131"/>
      <c r="P107" s="2131"/>
    </row>
    <row r="108" spans="1:16" ht="16.2" thickTop="1">
      <c r="A108" s="339"/>
      <c r="B108" s="321"/>
      <c r="C108" s="321"/>
      <c r="D108" s="321"/>
      <c r="E108" s="321"/>
      <c r="F108" s="321"/>
      <c r="G108" s="321"/>
      <c r="H108" s="802" t="str">
        <f>IF(B107&lt;&gt;100%,"FIX TOTALS ON OP REV &amp; EXP TAB",+IF(C107&lt;&gt;100%,"FIX TOTALS ON OP REV &amp; EXP TAB",+IF(D107&lt;&gt;100%,"FIX TOTALS ON OP REV &amp; EXP TAB",+IF(E107&lt;&gt;100%,"FIX TOTALS ON OP REV &amp; EXP TAB",+IF(F107&lt;&gt;100%,"FIX TOTALS ON OP REV &amp; EXP TAB",+IF(G107&lt;&gt;100%,"FIX TOTALS ON OP REV &amp; EXP TAB",+IF(H107&lt;&gt;100%,"FIX TOTALS ON OP REV &amp; EXP TAB"," ")))))))</f>
        <v xml:space="preserve"> </v>
      </c>
      <c r="J108" s="2131"/>
      <c r="K108" s="2131"/>
      <c r="L108" s="2131"/>
      <c r="M108" s="2131"/>
      <c r="N108" s="2131"/>
      <c r="O108" s="2131"/>
      <c r="P108" s="2131"/>
    </row>
    <row r="109" spans="1:16" ht="14.4" thickBot="1">
      <c r="A109" s="350" t="s">
        <v>315</v>
      </c>
      <c r="B109" s="351">
        <f>FL_tl_rev</f>
        <v>16454000</v>
      </c>
      <c r="C109" s="351">
        <f>SE_tl_rev</f>
        <v>18338000</v>
      </c>
      <c r="D109" s="351">
        <f>BOCA_tl_rev</f>
        <v>27365000</v>
      </c>
      <c r="E109" s="351">
        <f>SW_tl_rev</f>
        <v>14271000</v>
      </c>
      <c r="F109" s="351">
        <f>SWCIRA_tl_rev</f>
        <v>9831000</v>
      </c>
      <c r="G109" s="351">
        <f>NC_tl_rev</f>
        <v>14156000</v>
      </c>
      <c r="H109" s="351">
        <f>YB_tl_rev</f>
        <v>9532000</v>
      </c>
    </row>
    <row r="110" spans="1:16" ht="14.4" thickTop="1">
      <c r="A110" s="123"/>
      <c r="B110" s="321"/>
      <c r="C110" s="321"/>
      <c r="D110" s="321"/>
      <c r="E110" s="321"/>
      <c r="F110" s="321"/>
      <c r="G110" s="321"/>
    </row>
    <row r="111" spans="1:16">
      <c r="A111" s="339" t="s">
        <v>316</v>
      </c>
      <c r="B111" s="321"/>
      <c r="C111" s="321"/>
      <c r="D111" s="321"/>
      <c r="E111" s="321"/>
      <c r="F111" s="321"/>
      <c r="G111" s="321"/>
    </row>
    <row r="112" spans="1:16">
      <c r="A112" s="347" t="s">
        <v>16</v>
      </c>
      <c r="B112" s="348">
        <f>FL_pay</f>
        <v>0.51400000000000001</v>
      </c>
      <c r="C112" s="348">
        <f>SE_pay</f>
        <v>0.502</v>
      </c>
      <c r="D112" s="348">
        <f>BOCA_pay</f>
        <v>0.53100000000000003</v>
      </c>
      <c r="E112" s="348">
        <f>SW_pay</f>
        <v>0.52500000000000002</v>
      </c>
      <c r="F112" s="348">
        <f>SWCIRA_pay</f>
        <v>0.49199999999999999</v>
      </c>
      <c r="G112" s="348">
        <f>NC_pay</f>
        <v>0.503</v>
      </c>
      <c r="H112" s="348">
        <f>YB_pay</f>
        <v>0.48899999999999999</v>
      </c>
    </row>
    <row r="113" spans="1:16">
      <c r="A113" s="347" t="s">
        <v>317</v>
      </c>
      <c r="B113" s="348">
        <f>FL_fb_cos</f>
        <v>9.0999999999999998E-2</v>
      </c>
      <c r="C113" s="348">
        <f>SE_fb_cos</f>
        <v>8.5999999999999993E-2</v>
      </c>
      <c r="D113" s="348">
        <f>BOCA_fb_cos</f>
        <v>9.7000000000000003E-2</v>
      </c>
      <c r="E113" s="348">
        <f>SW_fb_cos</f>
        <v>9.1999999999999998E-2</v>
      </c>
      <c r="F113" s="348">
        <f>SWCIRA_fb_cos</f>
        <v>8.5999999999999993E-2</v>
      </c>
      <c r="G113" s="348">
        <f>NC_fb_cos</f>
        <v>9.2999999999999999E-2</v>
      </c>
      <c r="H113" s="348">
        <f>YB_fb_cos</f>
        <v>0.14799999999999999</v>
      </c>
    </row>
    <row r="114" spans="1:16">
      <c r="A114" s="347" t="s">
        <v>318</v>
      </c>
      <c r="B114" s="348">
        <f>'Op Rev &amp; Exp'!B17</f>
        <v>0.35400000000000004</v>
      </c>
      <c r="C114" s="348">
        <f>'Op Rev &amp; Exp'!C17</f>
        <v>0.36600000000000005</v>
      </c>
      <c r="D114" s="348">
        <f>'Op Rev &amp; Exp'!D17</f>
        <v>0.33500000000000002</v>
      </c>
      <c r="E114" s="348">
        <f>'Op Rev &amp; Exp'!E17</f>
        <v>0.34599999999999997</v>
      </c>
      <c r="F114" s="348">
        <f>'Op Rev &amp; Exp'!F17</f>
        <v>0.39300000000000002</v>
      </c>
      <c r="G114" s="348">
        <f>'Op Rev &amp; Exp'!G17</f>
        <v>0.35900000000000004</v>
      </c>
      <c r="H114" s="348">
        <f>'Op Rev &amp; Exp'!H17</f>
        <v>0.29599999999999999</v>
      </c>
      <c r="J114" s="2131" t="s">
        <v>912</v>
      </c>
      <c r="K114" s="2131"/>
      <c r="L114" s="2131"/>
      <c r="M114" s="2131"/>
      <c r="N114" s="2131"/>
      <c r="O114" s="2131"/>
      <c r="P114" s="2131"/>
    </row>
    <row r="115" spans="1:16">
      <c r="A115" s="347" t="s">
        <v>319</v>
      </c>
      <c r="B115" s="348">
        <f>SUM(FL_proptax_ins_exp)</f>
        <v>0.04</v>
      </c>
      <c r="C115" s="348">
        <f>SUM(SE_proptax_ins_exp)</f>
        <v>4.5999999999999999E-2</v>
      </c>
      <c r="D115" s="348">
        <f>SUM(BOCA_proptax_ins_exp)</f>
        <v>3.7999999999999999E-2</v>
      </c>
      <c r="E115" s="348">
        <f>SUM(SW_proptax_ins_exp)</f>
        <v>3.7999999999999999E-2</v>
      </c>
      <c r="F115" s="348">
        <f>SUM(SWCIRA_proptax_ins_exp)</f>
        <v>2.9000000000000001E-2</v>
      </c>
      <c r="G115" s="348">
        <f>SUM(NC_proptax_ins_exp)</f>
        <v>4.4999999999999998E-2</v>
      </c>
      <c r="H115" s="348">
        <f>SUM(YB_proptax_ins_exp)</f>
        <v>6.7000000000000004E-2</v>
      </c>
      <c r="J115" s="2131"/>
      <c r="K115" s="2131"/>
      <c r="L115" s="2131"/>
      <c r="M115" s="2131"/>
      <c r="N115" s="2131"/>
      <c r="O115" s="2131"/>
      <c r="P115" s="2131"/>
    </row>
    <row r="116" spans="1:16" ht="14.4" thickBot="1">
      <c r="A116" s="339"/>
      <c r="B116" s="349">
        <f>SUM(B112:B115)</f>
        <v>0.99900000000000011</v>
      </c>
      <c r="C116" s="349">
        <f t="shared" ref="C116:H116" si="27">SUM(C112:C115)</f>
        <v>1</v>
      </c>
      <c r="D116" s="349">
        <f t="shared" si="27"/>
        <v>1.0010000000000001</v>
      </c>
      <c r="E116" s="349">
        <f t="shared" si="27"/>
        <v>1.0009999999999999</v>
      </c>
      <c r="F116" s="349">
        <f t="shared" si="27"/>
        <v>1</v>
      </c>
      <c r="G116" s="349">
        <f t="shared" si="27"/>
        <v>1</v>
      </c>
      <c r="H116" s="349">
        <f t="shared" si="27"/>
        <v>1</v>
      </c>
      <c r="J116" s="2131"/>
      <c r="K116" s="2131"/>
      <c r="L116" s="2131"/>
      <c r="M116" s="2131"/>
      <c r="N116" s="2131"/>
      <c r="O116" s="2131"/>
      <c r="P116" s="2131"/>
    </row>
    <row r="117" spans="1:16" ht="16.2" thickTop="1">
      <c r="A117" s="339"/>
      <c r="B117" s="339"/>
      <c r="C117" s="339"/>
      <c r="D117" s="339"/>
      <c r="E117" s="339"/>
      <c r="F117" s="339"/>
      <c r="G117" s="339"/>
      <c r="H117" s="802" t="str">
        <f>IF(B116&lt;&gt;100%,"FIX TOTALS ON OP REV &amp; EXP TAB",+IF(C116&lt;&gt;100%,"FIX TOTALS ON OP REV &amp; EXP TAB",+IF(D116&lt;&gt;100%,"FIX TOTALS ON OP REV &amp; EXP TAB",+IF(E116&lt;&gt;100%,"FIX TOTALS ON OP REV &amp; EXP TAB",+IF(F116&lt;&gt;100%,"FIX TOTALS ON OP REV &amp; EXP TAB",+IF(G116&lt;&gt;100%,"FIX TOTALS ON OP REV &amp; EXP TAB",+IF(H116&lt;&gt;100%,"FIX TOTALS ON OP REV &amp; EXP TAB"," ")))))))</f>
        <v>FIX TOTALS ON OP REV &amp; EXP TAB</v>
      </c>
    </row>
    <row r="118" spans="1:16" ht="14.4" thickBot="1">
      <c r="A118" s="350" t="s">
        <v>320</v>
      </c>
      <c r="B118" s="351">
        <f>FL_tl_exp</f>
        <v>16411000</v>
      </c>
      <c r="C118" s="351">
        <f>SE_tl_exp</f>
        <v>18169000</v>
      </c>
      <c r="D118" s="351">
        <f>BOCA_tl_exp</f>
        <v>27622000</v>
      </c>
      <c r="E118" s="351">
        <f>SW_tl_exp</f>
        <v>14004000</v>
      </c>
      <c r="F118" s="351">
        <f>SWCIRA_tl_exp</f>
        <v>9690000</v>
      </c>
      <c r="G118" s="351">
        <f>NC_tl_exp</f>
        <v>14346000</v>
      </c>
      <c r="H118" s="351">
        <f>YB_tl_exp</f>
        <v>9606000</v>
      </c>
    </row>
    <row r="119" spans="1:16" ht="14.4" thickTop="1">
      <c r="A119" s="339"/>
      <c r="B119" s="352"/>
      <c r="C119" s="352"/>
      <c r="D119" s="352"/>
      <c r="E119" s="352"/>
      <c r="F119" s="352"/>
      <c r="G119" s="352"/>
      <c r="H119" s="352"/>
    </row>
    <row r="120" spans="1:16" ht="14.4" thickBot="1">
      <c r="A120" s="117" t="s">
        <v>321</v>
      </c>
      <c r="B120" s="351">
        <f t="shared" ref="B120:H120" si="28">+B109-B118</f>
        <v>43000</v>
      </c>
      <c r="C120" s="351">
        <f t="shared" si="28"/>
        <v>169000</v>
      </c>
      <c r="D120" s="351">
        <f t="shared" si="28"/>
        <v>-257000</v>
      </c>
      <c r="E120" s="351">
        <f t="shared" si="28"/>
        <v>267000</v>
      </c>
      <c r="F120" s="351">
        <f t="shared" si="28"/>
        <v>141000</v>
      </c>
      <c r="G120" s="351">
        <f t="shared" si="28"/>
        <v>-190000</v>
      </c>
      <c r="H120" s="351">
        <f t="shared" si="28"/>
        <v>-74000</v>
      </c>
    </row>
    <row r="121" spans="1:16" ht="14.4" thickTop="1"/>
    <row r="122" spans="1:16">
      <c r="A122" s="353"/>
      <c r="B122" s="353"/>
      <c r="C122" s="353"/>
      <c r="D122" s="353"/>
      <c r="E122" s="353"/>
      <c r="F122" s="353"/>
      <c r="G122" s="353"/>
      <c r="H122" s="353"/>
    </row>
    <row r="123" spans="1:16">
      <c r="A123" s="142" t="s">
        <v>322</v>
      </c>
    </row>
    <row r="124" spans="1:16">
      <c r="A124" s="322" t="s">
        <v>1189</v>
      </c>
      <c r="B124" s="348">
        <f>FL_surplus</f>
        <v>0.52</v>
      </c>
      <c r="C124" s="348">
        <f>SE_surplus</f>
        <v>0.56999999999999995</v>
      </c>
      <c r="D124" s="348">
        <f>BOCA_surplus</f>
        <v>0.24</v>
      </c>
      <c r="E124" s="348">
        <f>SW_surplus</f>
        <v>0.62</v>
      </c>
      <c r="F124" s="348">
        <f>SWCIRA_surplus</f>
        <v>0.67</v>
      </c>
      <c r="G124" s="348">
        <f>NC_surplus</f>
        <v>0.48</v>
      </c>
      <c r="H124" s="348">
        <f>YB_surplus</f>
        <v>0.42</v>
      </c>
    </row>
    <row r="125" spans="1:16">
      <c r="A125" s="324" t="s">
        <v>1156</v>
      </c>
      <c r="B125" s="326">
        <v>0.72</v>
      </c>
      <c r="C125" s="326">
        <v>0.59</v>
      </c>
      <c r="D125" s="326">
        <v>0.78</v>
      </c>
      <c r="E125" s="326">
        <v>0.76</v>
      </c>
      <c r="F125" s="326">
        <v>0.84</v>
      </c>
      <c r="G125" s="326">
        <v>0.65</v>
      </c>
      <c r="H125" s="326">
        <v>0.67</v>
      </c>
    </row>
    <row r="126" spans="1:16">
      <c r="A126" s="118" t="s">
        <v>301</v>
      </c>
      <c r="B126" s="326">
        <f>+B124-B125</f>
        <v>-0.19999999999999996</v>
      </c>
      <c r="C126" s="326">
        <f t="shared" ref="C126:H126" si="29">+C124-C125</f>
        <v>-2.0000000000000018E-2</v>
      </c>
      <c r="D126" s="326">
        <f t="shared" si="29"/>
        <v>-0.54</v>
      </c>
      <c r="E126" s="326">
        <f t="shared" si="29"/>
        <v>-0.14000000000000001</v>
      </c>
      <c r="F126" s="326">
        <f t="shared" si="29"/>
        <v>-0.16999999999999993</v>
      </c>
      <c r="G126" s="326">
        <f t="shared" si="29"/>
        <v>-0.17000000000000004</v>
      </c>
      <c r="H126" s="326">
        <f t="shared" si="29"/>
        <v>-0.25000000000000006</v>
      </c>
    </row>
    <row r="127" spans="1:16">
      <c r="A127" s="118" t="s">
        <v>302</v>
      </c>
      <c r="B127" s="326">
        <f t="shared" ref="B127:H127" si="30">+B126/B125</f>
        <v>-0.27777777777777773</v>
      </c>
      <c r="C127" s="326">
        <f t="shared" si="30"/>
        <v>-3.3898305084745797E-2</v>
      </c>
      <c r="D127" s="326">
        <f t="shared" si="30"/>
        <v>-0.69230769230769229</v>
      </c>
      <c r="E127" s="326">
        <f t="shared" si="30"/>
        <v>-0.18421052631578949</v>
      </c>
      <c r="F127" s="326">
        <f t="shared" si="30"/>
        <v>-0.2023809523809523</v>
      </c>
      <c r="G127" s="326">
        <f t="shared" si="30"/>
        <v>-0.26153846153846161</v>
      </c>
      <c r="H127" s="326">
        <f t="shared" si="30"/>
        <v>-0.37313432835820903</v>
      </c>
    </row>
    <row r="129" spans="1:16">
      <c r="A129" s="321" t="s">
        <v>323</v>
      </c>
    </row>
    <row r="130" spans="1:16">
      <c r="A130" s="1029" t="s">
        <v>1189</v>
      </c>
      <c r="B130" s="655">
        <f>FL_fb_rev</f>
        <v>3074100</v>
      </c>
      <c r="C130" s="655">
        <f>SE_fb_rev</f>
        <v>3139200</v>
      </c>
      <c r="D130" s="655">
        <f>BOCA_fb_rev</f>
        <v>4435600</v>
      </c>
      <c r="E130" s="655">
        <f>SW_fb_rev</f>
        <v>2916400</v>
      </c>
      <c r="F130" s="655">
        <f>SWCIRA_fb_rev</f>
        <v>1943800</v>
      </c>
      <c r="G130" s="655">
        <f>NC_fb_rev</f>
        <v>3065500</v>
      </c>
      <c r="H130" s="655">
        <f>YB_fb_rev</f>
        <v>3369100</v>
      </c>
    </row>
    <row r="131" spans="1:16">
      <c r="A131" s="1030" t="s">
        <v>1156</v>
      </c>
      <c r="B131" s="650">
        <v>2209800</v>
      </c>
      <c r="C131" s="650">
        <v>2354300</v>
      </c>
      <c r="D131" s="650">
        <v>3553800</v>
      </c>
      <c r="E131" s="650">
        <v>1696000</v>
      </c>
      <c r="F131" s="650">
        <v>1415600</v>
      </c>
      <c r="G131" s="650">
        <v>2266300</v>
      </c>
      <c r="H131" s="650">
        <v>2257500</v>
      </c>
    </row>
    <row r="132" spans="1:16">
      <c r="A132" s="118" t="s">
        <v>301</v>
      </c>
      <c r="B132" s="650">
        <f t="shared" ref="B132:H132" si="31">+B130-B131</f>
        <v>864300</v>
      </c>
      <c r="C132" s="650">
        <f t="shared" si="31"/>
        <v>784900</v>
      </c>
      <c r="D132" s="650">
        <f t="shared" si="31"/>
        <v>881800</v>
      </c>
      <c r="E132" s="650">
        <f t="shared" si="31"/>
        <v>1220400</v>
      </c>
      <c r="F132" s="650">
        <f t="shared" si="31"/>
        <v>528200</v>
      </c>
      <c r="G132" s="650">
        <f t="shared" si="31"/>
        <v>799200</v>
      </c>
      <c r="H132" s="650">
        <f t="shared" si="31"/>
        <v>1111600</v>
      </c>
    </row>
    <row r="133" spans="1:16">
      <c r="A133" s="118" t="s">
        <v>302</v>
      </c>
      <c r="B133" s="652">
        <f t="shared" ref="B133:H133" si="32">+B132/B131</f>
        <v>0.39112136844963347</v>
      </c>
      <c r="C133" s="652">
        <f t="shared" si="32"/>
        <v>0.33338996729388776</v>
      </c>
      <c r="D133" s="652">
        <f t="shared" si="32"/>
        <v>0.24812876357701616</v>
      </c>
      <c r="E133" s="652">
        <f t="shared" si="32"/>
        <v>0.7195754716981132</v>
      </c>
      <c r="F133" s="652">
        <f t="shared" si="32"/>
        <v>0.37312800226052556</v>
      </c>
      <c r="G133" s="652">
        <f t="shared" si="32"/>
        <v>0.35264528085425584</v>
      </c>
      <c r="H133" s="652">
        <f t="shared" si="32"/>
        <v>0.49240310077519378</v>
      </c>
    </row>
    <row r="134" spans="1:16">
      <c r="J134" s="116" t="s">
        <v>559</v>
      </c>
    </row>
    <row r="135" spans="1:16">
      <c r="A135" s="142" t="s">
        <v>1043</v>
      </c>
      <c r="J135" s="116" t="s">
        <v>1014</v>
      </c>
      <c r="O135" s="354" t="str">
        <f>'IN ROWS'!CL8</f>
        <v>CHK SUM - USING TO SHOW DIFF IN DENOM BET'N F&amp;B BUSINESS LEVEL V'S  DEPT LEVEL</v>
      </c>
    </row>
    <row r="136" spans="1:16">
      <c r="A136" s="322" t="s">
        <v>1189</v>
      </c>
      <c r="B136" s="655">
        <f>FL_food_rev_perFME+FL_bev_rev_perFME</f>
        <v>4170</v>
      </c>
      <c r="C136" s="655">
        <f>SE_food_rev_perFME+SE_bev_rev_perFME</f>
        <v>5060</v>
      </c>
      <c r="D136" s="655">
        <f>BOCA_food_rev_perFME+BOCA_bev_rev_perFME</f>
        <v>4930</v>
      </c>
      <c r="E136" s="655">
        <f>SW_food_rev_perFME+SW_bev_rev_perFME</f>
        <v>5110</v>
      </c>
      <c r="F136" s="655">
        <f>SWCIRA_food_rev_perFME+SWCIRA_bev_rev_perFME</f>
        <v>2160</v>
      </c>
      <c r="G136" s="655">
        <f>FL_food_rev_perFME+FL_bev_rev_perFME</f>
        <v>4170</v>
      </c>
      <c r="H136" s="655">
        <f>FL_food_rev_perFME+FL_bev_rev_perFME</f>
        <v>4170</v>
      </c>
      <c r="J136" s="116">
        <f>ROUND(B130/B$18,-2)-B136</f>
        <v>30</v>
      </c>
      <c r="K136" s="116">
        <f t="shared" ref="K136:P136" si="33">ROUND(C130/C18,-2)-C136</f>
        <v>40</v>
      </c>
      <c r="L136" s="116">
        <f t="shared" si="33"/>
        <v>-30</v>
      </c>
      <c r="M136" s="116">
        <f>ROUND(E130/E18,-2)-E136</f>
        <v>-10</v>
      </c>
      <c r="N136" s="116">
        <f>ROUND(F130/F18,-2)-F136</f>
        <v>40</v>
      </c>
      <c r="O136" s="116">
        <f t="shared" si="33"/>
        <v>-170</v>
      </c>
      <c r="P136" s="116">
        <f t="shared" si="33"/>
        <v>730</v>
      </c>
    </row>
    <row r="137" spans="1:16">
      <c r="A137" s="324" t="s">
        <v>1156</v>
      </c>
      <c r="B137" s="650">
        <v>3200</v>
      </c>
      <c r="C137" s="650">
        <v>4200</v>
      </c>
      <c r="D137" s="650">
        <v>4400</v>
      </c>
      <c r="E137" s="650">
        <v>3400</v>
      </c>
      <c r="F137" s="650">
        <v>1600</v>
      </c>
      <c r="G137" s="650">
        <v>3200</v>
      </c>
      <c r="H137" s="650">
        <v>3200</v>
      </c>
    </row>
    <row r="138" spans="1:16">
      <c r="A138" s="118" t="s">
        <v>301</v>
      </c>
      <c r="B138" s="650">
        <f t="shared" ref="B138:H138" si="34">+B136-B137</f>
        <v>970</v>
      </c>
      <c r="C138" s="650">
        <f t="shared" si="34"/>
        <v>860</v>
      </c>
      <c r="D138" s="650">
        <f t="shared" si="34"/>
        <v>530</v>
      </c>
      <c r="E138" s="650">
        <f t="shared" si="34"/>
        <v>1710</v>
      </c>
      <c r="F138" s="650">
        <f t="shared" si="34"/>
        <v>560</v>
      </c>
      <c r="G138" s="650">
        <f t="shared" si="34"/>
        <v>970</v>
      </c>
      <c r="H138" s="650">
        <f t="shared" si="34"/>
        <v>970</v>
      </c>
    </row>
    <row r="139" spans="1:16">
      <c r="A139" s="118" t="s">
        <v>302</v>
      </c>
      <c r="B139" s="652">
        <f t="shared" ref="B139:H139" si="35">+B138/B137</f>
        <v>0.30312499999999998</v>
      </c>
      <c r="C139" s="652">
        <f t="shared" si="35"/>
        <v>0.20476190476190476</v>
      </c>
      <c r="D139" s="652">
        <f t="shared" si="35"/>
        <v>0.12045454545454545</v>
      </c>
      <c r="E139" s="652">
        <f t="shared" si="35"/>
        <v>0.50294117647058822</v>
      </c>
      <c r="F139" s="652">
        <f t="shared" si="35"/>
        <v>0.35</v>
      </c>
      <c r="G139" s="652">
        <f t="shared" si="35"/>
        <v>0.30312499999999998</v>
      </c>
      <c r="H139" s="652">
        <f t="shared" si="35"/>
        <v>0.30312499999999998</v>
      </c>
    </row>
    <row r="140" spans="1:16">
      <c r="A140" s="118"/>
      <c r="B140" s="332"/>
      <c r="C140" s="332"/>
      <c r="D140" s="332"/>
      <c r="E140" s="332"/>
      <c r="F140" s="332"/>
      <c r="G140" s="332"/>
      <c r="H140" s="332"/>
    </row>
    <row r="141" spans="1:16">
      <c r="A141" s="321" t="s">
        <v>325</v>
      </c>
    </row>
    <row r="142" spans="1:16">
      <c r="A142" s="322" t="s">
        <v>1189</v>
      </c>
      <c r="B142" s="667">
        <f>FL_fb_ratio</f>
        <v>2.4700000000000002</v>
      </c>
      <c r="C142" s="667">
        <f>SE_fb_ratio</f>
        <v>2.67</v>
      </c>
      <c r="D142" s="667">
        <f>BOCA_fb_ratio</f>
        <v>4.97</v>
      </c>
      <c r="E142" s="667">
        <f>SW_fb_ratio</f>
        <v>1.75</v>
      </c>
      <c r="F142" s="667">
        <f>SWCIRA_fb_ratio</f>
        <v>1.89</v>
      </c>
      <c r="G142" s="667">
        <f>NC_fb_ratio</f>
        <v>2.0699999999999998</v>
      </c>
      <c r="H142" s="667">
        <f>YB_fb_ratio</f>
        <v>1.91</v>
      </c>
    </row>
    <row r="143" spans="1:16">
      <c r="A143" s="324" t="s">
        <v>1156</v>
      </c>
      <c r="B143" s="668">
        <v>3.11</v>
      </c>
      <c r="C143" s="668">
        <v>3.2</v>
      </c>
      <c r="D143" s="668">
        <v>5.74</v>
      </c>
      <c r="E143" s="668">
        <v>2.42</v>
      </c>
      <c r="F143" s="668">
        <v>2.31</v>
      </c>
      <c r="G143" s="668">
        <v>2.42</v>
      </c>
      <c r="H143" s="668">
        <v>2.3199999999999998</v>
      </c>
    </row>
    <row r="144" spans="1:16">
      <c r="A144" s="118" t="s">
        <v>301</v>
      </c>
      <c r="B144" s="668">
        <f>+B142-B143</f>
        <v>-0.63999999999999968</v>
      </c>
      <c r="C144" s="668">
        <f t="shared" ref="C144:H144" si="36">+C142-C143</f>
        <v>-0.53000000000000025</v>
      </c>
      <c r="D144" s="668">
        <f t="shared" si="36"/>
        <v>-0.77000000000000046</v>
      </c>
      <c r="E144" s="668">
        <f t="shared" si="36"/>
        <v>-0.66999999999999993</v>
      </c>
      <c r="F144" s="668">
        <f t="shared" si="36"/>
        <v>-0.42000000000000015</v>
      </c>
      <c r="G144" s="668">
        <f t="shared" si="36"/>
        <v>-0.35000000000000009</v>
      </c>
      <c r="H144" s="668">
        <f t="shared" si="36"/>
        <v>-0.40999999999999992</v>
      </c>
    </row>
    <row r="145" spans="1:8">
      <c r="A145" s="118" t="s">
        <v>302</v>
      </c>
      <c r="B145" s="652">
        <f t="shared" ref="B145:H145" si="37">+B144/B143</f>
        <v>-0.20578778135048223</v>
      </c>
      <c r="C145" s="652">
        <f t="shared" si="37"/>
        <v>-0.16562500000000008</v>
      </c>
      <c r="D145" s="652">
        <f t="shared" si="37"/>
        <v>-0.1341463414634147</v>
      </c>
      <c r="E145" s="652">
        <f t="shared" si="37"/>
        <v>-0.27685950413223137</v>
      </c>
      <c r="F145" s="652">
        <f t="shared" si="37"/>
        <v>-0.18181818181818188</v>
      </c>
      <c r="G145" s="652">
        <f t="shared" si="37"/>
        <v>-0.14462809917355376</v>
      </c>
      <c r="H145" s="652">
        <f t="shared" si="37"/>
        <v>-0.17672413793103445</v>
      </c>
    </row>
    <row r="146" spans="1:8">
      <c r="A146" s="118"/>
      <c r="B146" s="332"/>
      <c r="C146" s="332"/>
      <c r="D146" s="332"/>
      <c r="E146" s="332"/>
      <c r="F146" s="332"/>
      <c r="G146" s="332"/>
      <c r="H146" s="332"/>
    </row>
    <row r="147" spans="1:8">
      <c r="A147" s="321" t="s">
        <v>326</v>
      </c>
      <c r="B147" s="332"/>
      <c r="C147" s="332"/>
      <c r="D147" s="332"/>
      <c r="E147" s="332"/>
      <c r="F147" s="332"/>
      <c r="G147" s="332"/>
      <c r="H147" s="332"/>
    </row>
    <row r="148" spans="1:8">
      <c r="A148" s="118" t="s">
        <v>327</v>
      </c>
      <c r="B148" s="652">
        <f>+B142/(B142+1)</f>
        <v>0.71181556195965423</v>
      </c>
      <c r="C148" s="652">
        <f t="shared" ref="C148:H148" si="38">+C142/(C142+1)</f>
        <v>0.72752043596730243</v>
      </c>
      <c r="D148" s="652">
        <f t="shared" si="38"/>
        <v>0.8324958123953099</v>
      </c>
      <c r="E148" s="652">
        <f t="shared" si="38"/>
        <v>0.63636363636363635</v>
      </c>
      <c r="F148" s="652">
        <f t="shared" si="38"/>
        <v>0.65397923875432529</v>
      </c>
      <c r="G148" s="652">
        <f t="shared" si="38"/>
        <v>0.67426710097719866</v>
      </c>
      <c r="H148" s="652">
        <f t="shared" si="38"/>
        <v>0.65635738831615109</v>
      </c>
    </row>
    <row r="149" spans="1:8">
      <c r="A149" s="118" t="s">
        <v>12</v>
      </c>
      <c r="B149" s="652">
        <f>+B150-B148</f>
        <v>0.28818443804034577</v>
      </c>
      <c r="C149" s="652">
        <f t="shared" ref="C149:H149" si="39">+C150-C148</f>
        <v>0.27247956403269757</v>
      </c>
      <c r="D149" s="652">
        <f t="shared" si="39"/>
        <v>0.1675041876046901</v>
      </c>
      <c r="E149" s="652">
        <f t="shared" si="39"/>
        <v>0.36363636363636365</v>
      </c>
      <c r="F149" s="652">
        <f t="shared" si="39"/>
        <v>0.34602076124567471</v>
      </c>
      <c r="G149" s="652">
        <f t="shared" si="39"/>
        <v>0.32573289902280134</v>
      </c>
      <c r="H149" s="652">
        <f t="shared" si="39"/>
        <v>0.34364261168384891</v>
      </c>
    </row>
    <row r="150" spans="1:8" ht="14.4" thickBot="1">
      <c r="A150" s="118" t="s">
        <v>4</v>
      </c>
      <c r="B150" s="666">
        <v>1</v>
      </c>
      <c r="C150" s="666">
        <v>1</v>
      </c>
      <c r="D150" s="666">
        <v>1</v>
      </c>
      <c r="E150" s="666">
        <v>1</v>
      </c>
      <c r="F150" s="666">
        <v>1</v>
      </c>
      <c r="G150" s="666">
        <v>1</v>
      </c>
      <c r="H150" s="666">
        <v>1</v>
      </c>
    </row>
    <row r="151" spans="1:8" ht="14.4" thickTop="1">
      <c r="A151" s="118"/>
      <c r="B151" s="332"/>
      <c r="C151" s="332"/>
      <c r="D151" s="332"/>
      <c r="E151" s="332"/>
      <c r="F151" s="332"/>
      <c r="G151" s="332"/>
      <c r="H151" s="332"/>
    </row>
    <row r="152" spans="1:8">
      <c r="A152" s="321" t="s">
        <v>328</v>
      </c>
    </row>
    <row r="153" spans="1:8">
      <c r="A153" s="322" t="s">
        <v>1189</v>
      </c>
      <c r="B153" s="656">
        <f t="shared" ref="B153:H153" si="40">B222</f>
        <v>-0.6329999999999999</v>
      </c>
      <c r="C153" s="656">
        <f t="shared" si="40"/>
        <v>-0.58599999999999997</v>
      </c>
      <c r="D153" s="656">
        <f t="shared" si="40"/>
        <v>-1.1800000000000002</v>
      </c>
      <c r="E153" s="656">
        <f t="shared" si="40"/>
        <v>-0.38400000000000012</v>
      </c>
      <c r="F153" s="656">
        <f t="shared" si="40"/>
        <v>-0.47300000000000009</v>
      </c>
      <c r="G153" s="656">
        <f t="shared" si="40"/>
        <v>-0.43399999999999994</v>
      </c>
      <c r="H153" s="656">
        <f t="shared" si="40"/>
        <v>-0.27100000000000013</v>
      </c>
    </row>
    <row r="154" spans="1:8">
      <c r="A154" s="324" t="s">
        <v>1156</v>
      </c>
      <c r="B154" s="652">
        <v>-0.53400000000000003</v>
      </c>
      <c r="C154" s="652">
        <v>-0.53099999999999992</v>
      </c>
      <c r="D154" s="652">
        <v>-0.8889999999999999</v>
      </c>
      <c r="E154" s="652">
        <v>-0.36499999999999999</v>
      </c>
      <c r="F154" s="652">
        <v>-0.40100000000000002</v>
      </c>
      <c r="G154" s="652">
        <v>-0.31699999999999984</v>
      </c>
      <c r="H154" s="652">
        <v>-0.19400000000000006</v>
      </c>
    </row>
    <row r="155" spans="1:8">
      <c r="A155" s="118" t="s">
        <v>301</v>
      </c>
      <c r="B155" s="652">
        <f t="shared" ref="B155:H155" si="41">+B153-B154</f>
        <v>-9.8999999999999866E-2</v>
      </c>
      <c r="C155" s="652">
        <f t="shared" si="41"/>
        <v>-5.5000000000000049E-2</v>
      </c>
      <c r="D155" s="652">
        <f t="shared" si="41"/>
        <v>-0.29100000000000026</v>
      </c>
      <c r="E155" s="652">
        <f t="shared" si="41"/>
        <v>-1.9000000000000128E-2</v>
      </c>
      <c r="F155" s="652">
        <f t="shared" si="41"/>
        <v>-7.2000000000000064E-2</v>
      </c>
      <c r="G155" s="652">
        <f t="shared" si="41"/>
        <v>-0.1170000000000001</v>
      </c>
      <c r="H155" s="652">
        <f t="shared" si="41"/>
        <v>-7.7000000000000068E-2</v>
      </c>
    </row>
    <row r="157" spans="1:8">
      <c r="A157" s="321" t="s">
        <v>329</v>
      </c>
    </row>
    <row r="158" spans="1:8">
      <c r="A158" s="322" t="s">
        <v>1189</v>
      </c>
      <c r="B158" s="330">
        <f>FL_FB_loss</f>
        <v>-1946400</v>
      </c>
      <c r="C158" s="330">
        <f>SE_FB_loss</f>
        <v>-1843900</v>
      </c>
      <c r="D158" s="330">
        <f>BOCA_FB_loss</f>
        <v>-5237300</v>
      </c>
      <c r="E158" s="330">
        <f>SW_FB_loss</f>
        <v>-1115600</v>
      </c>
      <c r="F158" s="330">
        <f>SWCIRA_FB_loss</f>
        <v>-919500</v>
      </c>
      <c r="G158" s="330">
        <f>NC_FB_loss</f>
        <v>-1331600</v>
      </c>
      <c r="H158" s="330">
        <f>YB_FB_loss</f>
        <v>-914900</v>
      </c>
    </row>
    <row r="159" spans="1:8">
      <c r="A159" s="324" t="s">
        <v>1156</v>
      </c>
      <c r="B159" s="650">
        <v>-1180000</v>
      </c>
      <c r="C159" s="650">
        <v>-1247800</v>
      </c>
      <c r="D159" s="650">
        <v>-3161000</v>
      </c>
      <c r="E159" s="650">
        <v>-619300</v>
      </c>
      <c r="F159" s="650">
        <v>-566500</v>
      </c>
      <c r="G159" s="650">
        <v>-720200</v>
      </c>
      <c r="H159" s="650">
        <v>-437500</v>
      </c>
    </row>
    <row r="160" spans="1:8">
      <c r="A160" s="118" t="s">
        <v>301</v>
      </c>
      <c r="B160" s="650">
        <f>+B158-B159</f>
        <v>-766400</v>
      </c>
      <c r="C160" s="650">
        <f t="shared" ref="C160:H160" si="42">+C158-C159</f>
        <v>-596100</v>
      </c>
      <c r="D160" s="650">
        <f t="shared" si="42"/>
        <v>-2076300</v>
      </c>
      <c r="E160" s="650">
        <f t="shared" si="42"/>
        <v>-496300</v>
      </c>
      <c r="F160" s="650">
        <f t="shared" si="42"/>
        <v>-353000</v>
      </c>
      <c r="G160" s="650">
        <f t="shared" si="42"/>
        <v>-611400</v>
      </c>
      <c r="H160" s="650">
        <f t="shared" si="42"/>
        <v>-477400</v>
      </c>
    </row>
    <row r="161" spans="1:8">
      <c r="A161" s="118" t="s">
        <v>302</v>
      </c>
      <c r="B161" s="652">
        <f>+B160/B159</f>
        <v>0.64949152542372879</v>
      </c>
      <c r="C161" s="652">
        <f t="shared" ref="C161:H161" si="43">+C160/C159</f>
        <v>0.47772078858791472</v>
      </c>
      <c r="D161" s="652">
        <f t="shared" si="43"/>
        <v>0.65684909838658656</v>
      </c>
      <c r="E161" s="652">
        <f t="shared" si="43"/>
        <v>0.80138866462134672</v>
      </c>
      <c r="F161" s="652">
        <f t="shared" si="43"/>
        <v>0.62312444836716685</v>
      </c>
      <c r="G161" s="652">
        <f t="shared" si="43"/>
        <v>0.84893085254096079</v>
      </c>
      <c r="H161" s="652">
        <f t="shared" si="43"/>
        <v>1.0911999999999999</v>
      </c>
    </row>
    <row r="162" spans="1:8">
      <c r="E162" s="120"/>
    </row>
    <row r="163" spans="1:8">
      <c r="A163" s="142" t="s">
        <v>330</v>
      </c>
      <c r="E163" s="120"/>
    </row>
    <row r="164" spans="1:8">
      <c r="A164" s="142" t="s">
        <v>1044</v>
      </c>
      <c r="E164" s="120"/>
    </row>
    <row r="165" spans="1:8">
      <c r="A165" s="322" t="s">
        <v>1189</v>
      </c>
      <c r="B165" s="330">
        <f>FL_FB_loss_p.FME</f>
        <v>-2670</v>
      </c>
      <c r="C165" s="330">
        <f>SE_FB_loss_p.FME</f>
        <v>-2970</v>
      </c>
      <c r="D165" s="330">
        <f>BOCA_FB_loss_p.FME</f>
        <v>-5820</v>
      </c>
      <c r="E165" s="330">
        <f>SW_FB_loss_p.FME</f>
        <v>-1960</v>
      </c>
      <c r="F165" s="330">
        <f>SWCIRA_FB_loss_p.FME</f>
        <v>-1020</v>
      </c>
      <c r="G165" s="330">
        <f>NC_FB_loss_p.FME</f>
        <v>-1750</v>
      </c>
      <c r="H165" s="330">
        <f>YB_FB_loss_p.FME</f>
        <v>-1330</v>
      </c>
    </row>
    <row r="166" spans="1:8">
      <c r="A166" s="324" t="s">
        <v>1156</v>
      </c>
      <c r="B166" s="650">
        <v>-1760</v>
      </c>
      <c r="C166" s="650">
        <v>-2310</v>
      </c>
      <c r="D166" s="650">
        <v>-3900</v>
      </c>
      <c r="E166" s="650">
        <v>-1240</v>
      </c>
      <c r="F166" s="650">
        <v>-650</v>
      </c>
      <c r="G166" s="650">
        <v>-960</v>
      </c>
      <c r="H166" s="650">
        <v>-640</v>
      </c>
    </row>
    <row r="167" spans="1:8">
      <c r="A167" s="118" t="s">
        <v>301</v>
      </c>
      <c r="B167" s="650">
        <f t="shared" ref="B167:H167" si="44">+B165-B166</f>
        <v>-910</v>
      </c>
      <c r="C167" s="650">
        <f t="shared" si="44"/>
        <v>-660</v>
      </c>
      <c r="D167" s="650">
        <f t="shared" si="44"/>
        <v>-1920</v>
      </c>
      <c r="E167" s="650">
        <f t="shared" si="44"/>
        <v>-720</v>
      </c>
      <c r="F167" s="650">
        <f t="shared" si="44"/>
        <v>-370</v>
      </c>
      <c r="G167" s="650">
        <f t="shared" si="44"/>
        <v>-790</v>
      </c>
      <c r="H167" s="650">
        <f t="shared" si="44"/>
        <v>-690</v>
      </c>
    </row>
    <row r="168" spans="1:8">
      <c r="A168" s="118" t="s">
        <v>302</v>
      </c>
      <c r="B168" s="652">
        <f t="shared" ref="B168:H168" si="45">+B167/B166</f>
        <v>0.51704545454545459</v>
      </c>
      <c r="C168" s="652">
        <f t="shared" si="45"/>
        <v>0.2857142857142857</v>
      </c>
      <c r="D168" s="652">
        <f t="shared" si="45"/>
        <v>0.49230769230769234</v>
      </c>
      <c r="E168" s="652">
        <f t="shared" si="45"/>
        <v>0.58064516129032262</v>
      </c>
      <c r="F168" s="652">
        <f t="shared" si="45"/>
        <v>0.56923076923076921</v>
      </c>
      <c r="G168" s="652">
        <f t="shared" si="45"/>
        <v>0.82291666666666663</v>
      </c>
      <c r="H168" s="652">
        <f t="shared" si="45"/>
        <v>1.078125</v>
      </c>
    </row>
    <row r="169" spans="1:8">
      <c r="E169" s="120"/>
    </row>
    <row r="170" spans="1:8">
      <c r="A170" s="333" t="s">
        <v>331</v>
      </c>
      <c r="E170" s="120"/>
    </row>
    <row r="171" spans="1:8">
      <c r="A171" s="321" t="s">
        <v>332</v>
      </c>
      <c r="E171" s="120"/>
    </row>
    <row r="172" spans="1:8">
      <c r="A172" s="322" t="s">
        <v>1189</v>
      </c>
      <c r="B172" s="662">
        <f>FL_fb_min</f>
        <v>0.53</v>
      </c>
      <c r="C172" s="662">
        <f>SE_fb_min</f>
        <v>0.26</v>
      </c>
      <c r="D172" s="662">
        <f>BOCA_fb_min</f>
        <v>0.65</v>
      </c>
      <c r="E172" s="662">
        <f>SW_fb_min</f>
        <v>0.62</v>
      </c>
      <c r="F172" s="662">
        <f>SWCIRA_fb_min</f>
        <v>0.78</v>
      </c>
      <c r="G172" s="662">
        <f>NC_fb_min</f>
        <v>0.43</v>
      </c>
      <c r="H172" s="662">
        <f>YB_fb_min</f>
        <v>0.57999999999999996</v>
      </c>
    </row>
    <row r="173" spans="1:8">
      <c r="A173" s="324" t="s">
        <v>1156</v>
      </c>
      <c r="B173" s="664">
        <v>0.53</v>
      </c>
      <c r="C173" s="664">
        <v>0.3</v>
      </c>
      <c r="D173" s="664">
        <v>0.67</v>
      </c>
      <c r="E173" s="664">
        <v>0.59</v>
      </c>
      <c r="F173" s="664">
        <v>0.57999999999999996</v>
      </c>
      <c r="G173" s="664">
        <v>0.56999999999999995</v>
      </c>
      <c r="H173" s="664">
        <v>0.56000000000000005</v>
      </c>
    </row>
    <row r="174" spans="1:8">
      <c r="A174" s="118" t="s">
        <v>301</v>
      </c>
      <c r="B174" s="664">
        <f>+B172-B173</f>
        <v>0</v>
      </c>
      <c r="C174" s="664">
        <f t="shared" ref="C174:H174" si="46">+C172-C173</f>
        <v>-3.999999999999998E-2</v>
      </c>
      <c r="D174" s="664">
        <f t="shared" si="46"/>
        <v>-2.0000000000000018E-2</v>
      </c>
      <c r="E174" s="664">
        <f t="shared" si="46"/>
        <v>3.0000000000000027E-2</v>
      </c>
      <c r="F174" s="664">
        <f t="shared" si="46"/>
        <v>0.20000000000000007</v>
      </c>
      <c r="G174" s="664">
        <f t="shared" si="46"/>
        <v>-0.13999999999999996</v>
      </c>
      <c r="H174" s="664">
        <f t="shared" si="46"/>
        <v>1.9999999999999907E-2</v>
      </c>
    </row>
    <row r="176" spans="1:8">
      <c r="A176" s="321" t="s">
        <v>333</v>
      </c>
    </row>
    <row r="177" spans="1:16">
      <c r="A177" s="321" t="s">
        <v>332</v>
      </c>
    </row>
    <row r="178" spans="1:16" ht="15">
      <c r="A178" s="322" t="s">
        <v>1189</v>
      </c>
      <c r="B178" s="655">
        <f>FL_fb_min_amt</f>
        <v>1200</v>
      </c>
      <c r="C178" s="655">
        <f>SE_fb_min_amt</f>
        <v>1600</v>
      </c>
      <c r="D178" s="655">
        <f>BOCA_fb_min_amt</f>
        <v>1800</v>
      </c>
      <c r="E178" s="655">
        <f>SW_fb_min_amt</f>
        <v>1300</v>
      </c>
      <c r="F178" s="655">
        <f>SWCIRA_fb_min_amt</f>
        <v>700</v>
      </c>
      <c r="G178" s="655">
        <f>NC_fb_min_amt</f>
        <v>800</v>
      </c>
      <c r="H178" s="655">
        <f>YB_fb_min_amt</f>
        <v>900</v>
      </c>
      <c r="J178" s="670"/>
    </row>
    <row r="179" spans="1:16">
      <c r="A179" s="324" t="s">
        <v>1156</v>
      </c>
      <c r="B179" s="650">
        <v>1200</v>
      </c>
      <c r="C179" s="650">
        <v>1600</v>
      </c>
      <c r="D179" s="650">
        <v>1800</v>
      </c>
      <c r="E179" s="650">
        <v>1200</v>
      </c>
      <c r="F179" s="650">
        <v>700</v>
      </c>
      <c r="G179" s="650">
        <v>1000</v>
      </c>
      <c r="H179" s="650">
        <v>900</v>
      </c>
    </row>
    <row r="180" spans="1:16">
      <c r="A180" s="118" t="s">
        <v>301</v>
      </c>
      <c r="B180" s="650">
        <f t="shared" ref="B180:H180" si="47">+B178-B179</f>
        <v>0</v>
      </c>
      <c r="C180" s="650">
        <f t="shared" si="47"/>
        <v>0</v>
      </c>
      <c r="D180" s="650">
        <f t="shared" si="47"/>
        <v>0</v>
      </c>
      <c r="E180" s="650">
        <f t="shared" si="47"/>
        <v>100</v>
      </c>
      <c r="F180" s="650">
        <f t="shared" si="47"/>
        <v>0</v>
      </c>
      <c r="G180" s="650">
        <f t="shared" si="47"/>
        <v>-200</v>
      </c>
      <c r="H180" s="650">
        <f t="shared" si="47"/>
        <v>0</v>
      </c>
    </row>
    <row r="181" spans="1:16">
      <c r="A181" s="118" t="s">
        <v>302</v>
      </c>
      <c r="B181" s="652">
        <f t="shared" ref="B181:H181" si="48">+B180/B179</f>
        <v>0</v>
      </c>
      <c r="C181" s="652">
        <f t="shared" si="48"/>
        <v>0</v>
      </c>
      <c r="D181" s="652">
        <f t="shared" si="48"/>
        <v>0</v>
      </c>
      <c r="E181" s="652">
        <f t="shared" si="48"/>
        <v>8.3333333333333329E-2</v>
      </c>
      <c r="F181" s="652">
        <f t="shared" si="48"/>
        <v>0</v>
      </c>
      <c r="G181" s="652">
        <f t="shared" si="48"/>
        <v>-0.2</v>
      </c>
      <c r="H181" s="652">
        <f t="shared" si="48"/>
        <v>0</v>
      </c>
    </row>
    <row r="183" spans="1:16">
      <c r="A183" s="321" t="s">
        <v>334</v>
      </c>
    </row>
    <row r="184" spans="1:16">
      <c r="A184" s="321" t="s">
        <v>335</v>
      </c>
    </row>
    <row r="185" spans="1:16">
      <c r="A185" s="322" t="s">
        <v>1189</v>
      </c>
      <c r="B185" s="662">
        <f>FL_mand_serv_chg</f>
        <v>0.25</v>
      </c>
      <c r="C185" s="662">
        <f>SE_mand_serv_chg</f>
        <v>0.3</v>
      </c>
      <c r="D185" s="662">
        <f>BOCA_mand_serv_chg</f>
        <v>0.59</v>
      </c>
      <c r="E185" s="662">
        <f>SW_mand_serv_chg</f>
        <v>0.15</v>
      </c>
      <c r="F185" s="662">
        <f>SWCIRA_mand_serv_chg</f>
        <v>0.06</v>
      </c>
      <c r="G185" s="662">
        <f>NC_mand_serv_chg</f>
        <v>0.22</v>
      </c>
      <c r="H185" s="662">
        <f>YB_mand_serv_chg</f>
        <v>0.42</v>
      </c>
    </row>
    <row r="186" spans="1:16">
      <c r="A186" s="324" t="s">
        <v>1156</v>
      </c>
      <c r="B186" s="664">
        <v>0.34</v>
      </c>
      <c r="C186" s="664">
        <v>0.41</v>
      </c>
      <c r="D186" s="664">
        <v>0.78</v>
      </c>
      <c r="E186" s="664">
        <v>0.21</v>
      </c>
      <c r="F186" s="664">
        <v>0.11</v>
      </c>
      <c r="G186" s="664">
        <v>0.26</v>
      </c>
      <c r="H186" s="664">
        <v>0.44</v>
      </c>
    </row>
    <row r="187" spans="1:16">
      <c r="A187" s="118" t="s">
        <v>301</v>
      </c>
      <c r="B187" s="664">
        <f t="shared" ref="B187:H187" si="49">+B185-B186</f>
        <v>-9.0000000000000024E-2</v>
      </c>
      <c r="C187" s="664">
        <f t="shared" si="49"/>
        <v>-0.10999999999999999</v>
      </c>
      <c r="D187" s="664">
        <f t="shared" si="49"/>
        <v>-0.19000000000000006</v>
      </c>
      <c r="E187" s="664">
        <f t="shared" si="49"/>
        <v>-0.06</v>
      </c>
      <c r="F187" s="664">
        <f t="shared" si="49"/>
        <v>-0.05</v>
      </c>
      <c r="G187" s="664">
        <f t="shared" si="49"/>
        <v>-4.0000000000000008E-2</v>
      </c>
      <c r="H187" s="664">
        <f t="shared" si="49"/>
        <v>-2.0000000000000018E-2</v>
      </c>
    </row>
    <row r="189" spans="1:16">
      <c r="A189" s="321" t="s">
        <v>336</v>
      </c>
    </row>
    <row r="190" spans="1:16">
      <c r="A190" s="321" t="s">
        <v>337</v>
      </c>
    </row>
    <row r="191" spans="1:16">
      <c r="A191" s="322" t="s">
        <v>1189</v>
      </c>
      <c r="B191" s="655">
        <f>FL_mth_serv_chg</f>
        <v>110</v>
      </c>
      <c r="C191" s="655">
        <f>SE_mth_serv_chg</f>
        <v>90</v>
      </c>
      <c r="D191" s="655">
        <f>BOCA_mth_serv_chg</f>
        <v>170</v>
      </c>
      <c r="E191" s="655">
        <f>SW_mth_serv_chg</f>
        <v>70</v>
      </c>
      <c r="F191" s="655">
        <f>SWCIRA_mth_serv_chg</f>
        <v>50</v>
      </c>
      <c r="G191" s="655">
        <f>NC_mth_serv_chg</f>
        <v>50</v>
      </c>
      <c r="H191" s="655">
        <f>YB_mth_serv_chg</f>
        <v>100</v>
      </c>
    </row>
    <row r="192" spans="1:16">
      <c r="A192" s="324" t="s">
        <v>1156</v>
      </c>
      <c r="B192" s="650">
        <v>90</v>
      </c>
      <c r="C192" s="650">
        <v>90</v>
      </c>
      <c r="D192" s="650">
        <v>140</v>
      </c>
      <c r="E192" s="650">
        <v>50</v>
      </c>
      <c r="F192" s="650">
        <v>40</v>
      </c>
      <c r="G192" s="650">
        <v>40</v>
      </c>
      <c r="H192" s="650">
        <v>60</v>
      </c>
      <c r="J192" s="624"/>
      <c r="K192" s="331"/>
      <c r="L192" s="331"/>
      <c r="M192" s="331"/>
      <c r="N192" s="331"/>
      <c r="O192" s="331"/>
      <c r="P192" s="331"/>
    </row>
    <row r="193" spans="1:8">
      <c r="A193" s="118" t="s">
        <v>301</v>
      </c>
      <c r="B193" s="650">
        <f t="shared" ref="B193:H193" si="50">+B191-B192</f>
        <v>20</v>
      </c>
      <c r="C193" s="650">
        <f t="shared" si="50"/>
        <v>0</v>
      </c>
      <c r="D193" s="650">
        <f t="shared" si="50"/>
        <v>30</v>
      </c>
      <c r="E193" s="650">
        <f t="shared" si="50"/>
        <v>20</v>
      </c>
      <c r="F193" s="650">
        <f t="shared" si="50"/>
        <v>10</v>
      </c>
      <c r="G193" s="650">
        <f t="shared" si="50"/>
        <v>10</v>
      </c>
      <c r="H193" s="650">
        <f t="shared" si="50"/>
        <v>40</v>
      </c>
    </row>
    <row r="194" spans="1:8">
      <c r="A194" s="118" t="s">
        <v>302</v>
      </c>
      <c r="B194" s="652">
        <f t="shared" ref="B194:H194" si="51">+B193/B192</f>
        <v>0.22222222222222221</v>
      </c>
      <c r="C194" s="652">
        <f t="shared" si="51"/>
        <v>0</v>
      </c>
      <c r="D194" s="652">
        <f t="shared" si="51"/>
        <v>0.21428571428571427</v>
      </c>
      <c r="E194" s="652">
        <f t="shared" si="51"/>
        <v>0.4</v>
      </c>
      <c r="F194" s="652">
        <f t="shared" si="51"/>
        <v>0.25</v>
      </c>
      <c r="G194" s="652">
        <f t="shared" si="51"/>
        <v>0.25</v>
      </c>
      <c r="H194" s="652">
        <f t="shared" si="51"/>
        <v>0.66666666666666663</v>
      </c>
    </row>
    <row r="196" spans="1:8">
      <c r="A196" s="142" t="s">
        <v>338</v>
      </c>
      <c r="B196" s="665">
        <f>FL_no_fbmin_servchg</f>
        <v>0.33</v>
      </c>
      <c r="C196" s="665">
        <f>SE_no_fbmin_servchg</f>
        <v>0.52</v>
      </c>
      <c r="D196" s="665">
        <f>boca_no_fbmin_servchg</f>
        <v>0.18</v>
      </c>
      <c r="E196" s="665">
        <f>SW_no_fbmin_servchg</f>
        <v>0.27</v>
      </c>
      <c r="F196" s="665">
        <f>SWCIRA_no_fbmin_servchg</f>
        <v>0.22</v>
      </c>
      <c r="G196" s="665">
        <f>NC_no_fbmin_servchg</f>
        <v>0.39</v>
      </c>
      <c r="H196" s="665">
        <f>YB_no_fbmin_servchg</f>
        <v>0.17</v>
      </c>
    </row>
    <row r="198" spans="1:8">
      <c r="A198" s="321" t="s">
        <v>339</v>
      </c>
    </row>
    <row r="199" spans="1:8">
      <c r="A199" s="321" t="s">
        <v>340</v>
      </c>
    </row>
    <row r="200" spans="1:8">
      <c r="A200" s="321" t="s">
        <v>341</v>
      </c>
    </row>
    <row r="201" spans="1:8">
      <c r="A201" s="322" t="s">
        <v>1189</v>
      </c>
      <c r="B201" s="662">
        <f>FL_both_fbmin_servchg</f>
        <v>0.11</v>
      </c>
      <c r="C201" s="662">
        <f>SE_both_fbmin_servchg</f>
        <v>0.09</v>
      </c>
      <c r="D201" s="662">
        <f>BOCA_both_fbmin_servchg</f>
        <v>0.41</v>
      </c>
      <c r="E201" s="662">
        <f>SW_both_fbmin_servchg</f>
        <v>0.04</v>
      </c>
      <c r="F201" s="662">
        <f>SWCIRA_both_fbmin_servchg</f>
        <v>0.06</v>
      </c>
      <c r="G201" s="662">
        <f>NC_both_fbmin_servchg</f>
        <v>0.04</v>
      </c>
      <c r="H201" s="662">
        <f>YB_both_fbmin_servchg</f>
        <v>0.17</v>
      </c>
    </row>
    <row r="202" spans="1:8">
      <c r="A202" s="324" t="s">
        <v>1156</v>
      </c>
      <c r="B202" s="664">
        <v>0.16</v>
      </c>
      <c r="C202" s="664">
        <v>0.11</v>
      </c>
      <c r="D202" s="664">
        <v>0.56000000000000005</v>
      </c>
      <c r="E202" s="664">
        <v>0.1</v>
      </c>
      <c r="F202" s="664">
        <v>0</v>
      </c>
      <c r="G202" s="664">
        <v>0.09</v>
      </c>
      <c r="H202" s="664">
        <v>0.17</v>
      </c>
    </row>
    <row r="203" spans="1:8">
      <c r="A203" s="118" t="s">
        <v>301</v>
      </c>
      <c r="B203" s="664">
        <f t="shared" ref="B203:H203" si="52">+B201-B202</f>
        <v>-0.05</v>
      </c>
      <c r="C203" s="664">
        <f t="shared" si="52"/>
        <v>-2.0000000000000004E-2</v>
      </c>
      <c r="D203" s="664">
        <f t="shared" si="52"/>
        <v>-0.15000000000000008</v>
      </c>
      <c r="E203" s="664">
        <f t="shared" si="52"/>
        <v>-6.0000000000000005E-2</v>
      </c>
      <c r="F203" s="664">
        <f t="shared" si="52"/>
        <v>0.06</v>
      </c>
      <c r="G203" s="664">
        <f t="shared" si="52"/>
        <v>-4.9999999999999996E-2</v>
      </c>
      <c r="H203" s="664">
        <f t="shared" si="52"/>
        <v>0</v>
      </c>
    </row>
    <row r="204" spans="1:8">
      <c r="A204" s="321"/>
      <c r="B204" s="321"/>
      <c r="C204" s="321"/>
      <c r="D204" s="321"/>
      <c r="E204" s="321"/>
      <c r="F204" s="321"/>
      <c r="G204" s="321"/>
      <c r="H204" s="321"/>
    </row>
    <row r="205" spans="1:8">
      <c r="A205" s="321" t="s">
        <v>327</v>
      </c>
      <c r="B205" s="656">
        <v>1</v>
      </c>
      <c r="C205" s="656">
        <v>1</v>
      </c>
      <c r="D205" s="656">
        <v>1</v>
      </c>
      <c r="E205" s="656">
        <v>1</v>
      </c>
      <c r="F205" s="656">
        <v>1</v>
      </c>
      <c r="G205" s="656">
        <v>1</v>
      </c>
      <c r="H205" s="656">
        <v>1</v>
      </c>
    </row>
    <row r="206" spans="1:8">
      <c r="A206" s="321" t="s">
        <v>342</v>
      </c>
      <c r="B206" s="657">
        <f>FL_fd_cos</f>
        <v>0.54200000000000004</v>
      </c>
      <c r="C206" s="657">
        <f>SE_fd_cos</f>
        <v>0.54600000000000004</v>
      </c>
      <c r="D206" s="657">
        <f>BOCA_fd_cos</f>
        <v>0.64800000000000002</v>
      </c>
      <c r="E206" s="657">
        <f>SW_fd_cos</f>
        <v>0.46300000000000002</v>
      </c>
      <c r="F206" s="657">
        <f>SWCIRA_fd_cos</f>
        <v>0.47199999999999998</v>
      </c>
      <c r="G206" s="657">
        <f>NC_fd_cos</f>
        <v>0.50900000000000001</v>
      </c>
      <c r="H206" s="657">
        <f>YB_fd_cos</f>
        <v>0.46600000000000003</v>
      </c>
    </row>
    <row r="207" spans="1:8" ht="14.4" thickBot="1">
      <c r="A207" s="355" t="s">
        <v>343</v>
      </c>
      <c r="B207" s="658">
        <f>+B205-B206</f>
        <v>0.45799999999999996</v>
      </c>
      <c r="C207" s="658">
        <f t="shared" ref="C207:H207" si="53">+C205-C206</f>
        <v>0.45399999999999996</v>
      </c>
      <c r="D207" s="658">
        <f t="shared" si="53"/>
        <v>0.35199999999999998</v>
      </c>
      <c r="E207" s="658">
        <f t="shared" si="53"/>
        <v>0.53699999999999992</v>
      </c>
      <c r="F207" s="658">
        <f t="shared" si="53"/>
        <v>0.52800000000000002</v>
      </c>
      <c r="G207" s="658">
        <f t="shared" si="53"/>
        <v>0.49099999999999999</v>
      </c>
      <c r="H207" s="658">
        <f t="shared" si="53"/>
        <v>0.53400000000000003</v>
      </c>
    </row>
    <row r="208" spans="1:8" ht="14.4" thickTop="1">
      <c r="A208" s="321"/>
      <c r="B208" s="656"/>
      <c r="C208" s="656"/>
      <c r="D208" s="656"/>
      <c r="E208" s="656"/>
      <c r="F208" s="656"/>
      <c r="G208" s="656"/>
      <c r="H208" s="656"/>
    </row>
    <row r="209" spans="1:17">
      <c r="A209" s="321" t="s">
        <v>12</v>
      </c>
      <c r="B209" s="656">
        <v>1</v>
      </c>
      <c r="C209" s="656">
        <v>1</v>
      </c>
      <c r="D209" s="656">
        <v>1</v>
      </c>
      <c r="E209" s="656">
        <v>1</v>
      </c>
      <c r="F209" s="656">
        <v>1</v>
      </c>
      <c r="G209" s="656">
        <v>1</v>
      </c>
      <c r="H209" s="656">
        <v>1</v>
      </c>
    </row>
    <row r="210" spans="1:17">
      <c r="A210" s="123" t="s">
        <v>344</v>
      </c>
      <c r="B210" s="657">
        <f>FL_bev_cos</f>
        <v>0.372</v>
      </c>
      <c r="C210" s="657">
        <f>SE_bev_cos</f>
        <v>0.374</v>
      </c>
      <c r="D210" s="657">
        <f>BOCA_bev_cos</f>
        <v>0.37</v>
      </c>
      <c r="E210" s="657">
        <f>SW_bev_cos</f>
        <v>0.40200000000000002</v>
      </c>
      <c r="F210" s="657">
        <f>SWCIRA_bev_cos</f>
        <v>0.34799999999999998</v>
      </c>
      <c r="G210" s="657">
        <f>NC_bev_cos</f>
        <v>0.34499999999999997</v>
      </c>
      <c r="H210" s="657">
        <f>YB_bev_cos</f>
        <v>0.34100000000000003</v>
      </c>
    </row>
    <row r="211" spans="1:17" ht="14.4" thickBot="1">
      <c r="A211" s="355" t="s">
        <v>345</v>
      </c>
      <c r="B211" s="658">
        <f>+B209-B210</f>
        <v>0.628</v>
      </c>
      <c r="C211" s="658">
        <f t="shared" ref="C211:H211" si="54">+C209-C210</f>
        <v>0.626</v>
      </c>
      <c r="D211" s="658">
        <f t="shared" si="54"/>
        <v>0.63</v>
      </c>
      <c r="E211" s="658">
        <f t="shared" si="54"/>
        <v>0.59799999999999998</v>
      </c>
      <c r="F211" s="658">
        <f t="shared" si="54"/>
        <v>0.65200000000000002</v>
      </c>
      <c r="G211" s="658">
        <f t="shared" si="54"/>
        <v>0.65500000000000003</v>
      </c>
      <c r="H211" s="658">
        <f t="shared" si="54"/>
        <v>0.65900000000000003</v>
      </c>
    </row>
    <row r="212" spans="1:17" ht="14.4" thickTop="1">
      <c r="A212" s="321"/>
      <c r="B212" s="656"/>
      <c r="C212" s="656"/>
      <c r="D212" s="656"/>
      <c r="E212" s="656"/>
      <c r="F212" s="656"/>
      <c r="G212" s="656"/>
      <c r="H212" s="656"/>
    </row>
    <row r="213" spans="1:17">
      <c r="A213" s="321" t="s">
        <v>346</v>
      </c>
      <c r="B213" s="656">
        <v>1</v>
      </c>
      <c r="C213" s="656">
        <v>1</v>
      </c>
      <c r="D213" s="656">
        <v>1</v>
      </c>
      <c r="E213" s="656">
        <v>1</v>
      </c>
      <c r="F213" s="656">
        <v>1</v>
      </c>
      <c r="G213" s="656">
        <v>1</v>
      </c>
      <c r="H213" s="656">
        <v>1</v>
      </c>
    </row>
    <row r="214" spans="1:17">
      <c r="A214" s="123" t="s">
        <v>347</v>
      </c>
      <c r="B214" s="657">
        <f>FL_fANDb_cos</f>
        <v>0.49299999999999999</v>
      </c>
      <c r="C214" s="657">
        <f>SE_fANDb_cos</f>
        <v>0.499</v>
      </c>
      <c r="D214" s="657">
        <f>BOCA_fANDb_cos</f>
        <v>0.60099999999999998</v>
      </c>
      <c r="E214" s="657">
        <f>SW_fANDb_cos</f>
        <v>0.441</v>
      </c>
      <c r="F214" s="657">
        <f>SWCIRA_fANDb_cos</f>
        <v>0.42899999999999999</v>
      </c>
      <c r="G214" s="657">
        <f>NC_fANDb_cos</f>
        <v>0.45600000000000002</v>
      </c>
      <c r="H214" s="657">
        <f>YB_fANDb_cos</f>
        <v>0.42299999999999999</v>
      </c>
    </row>
    <row r="215" spans="1:17">
      <c r="A215" s="355" t="s">
        <v>348</v>
      </c>
      <c r="B215" s="659">
        <f>+B213-B214</f>
        <v>0.50700000000000001</v>
      </c>
      <c r="C215" s="659">
        <f t="shared" ref="C215:H215" si="55">+C213-C214</f>
        <v>0.501</v>
      </c>
      <c r="D215" s="659">
        <f t="shared" si="55"/>
        <v>0.39900000000000002</v>
      </c>
      <c r="E215" s="659">
        <f t="shared" si="55"/>
        <v>0.55899999999999994</v>
      </c>
      <c r="F215" s="659">
        <f t="shared" si="55"/>
        <v>0.57099999999999995</v>
      </c>
      <c r="G215" s="659">
        <f t="shared" si="55"/>
        <v>0.54400000000000004</v>
      </c>
      <c r="H215" s="659">
        <f t="shared" si="55"/>
        <v>0.57699999999999996</v>
      </c>
    </row>
    <row r="216" spans="1:17">
      <c r="A216" s="321"/>
      <c r="B216" s="356"/>
      <c r="C216" s="356"/>
      <c r="D216" s="356"/>
      <c r="E216" s="356"/>
      <c r="F216" s="356"/>
      <c r="G216" s="356"/>
      <c r="H216" s="356"/>
    </row>
    <row r="217" spans="1:17">
      <c r="A217" s="321" t="s">
        <v>29</v>
      </c>
      <c r="B217" s="357"/>
      <c r="C217" s="356"/>
      <c r="D217" s="356"/>
      <c r="E217" s="356"/>
      <c r="F217" s="356"/>
      <c r="G217" s="356"/>
      <c r="H217" s="356"/>
    </row>
    <row r="218" spans="1:17">
      <c r="A218" s="339" t="s">
        <v>349</v>
      </c>
      <c r="B218" s="660">
        <f>SUM(FL_pay_net_servchg)</f>
        <v>0.74299999999999999</v>
      </c>
      <c r="C218" s="660">
        <f>SUM(SE_pay_net_servchg)</f>
        <v>0.70499999999999996</v>
      </c>
      <c r="D218" s="660">
        <f>SUM(BOCA_pay_net_servchg)</f>
        <v>1.034</v>
      </c>
      <c r="E218" s="660">
        <f>SUM(SW_pay_net_servchg)</f>
        <v>0.622</v>
      </c>
      <c r="F218" s="660">
        <f>SUM(SWCIRA_pay_net_servchg)</f>
        <v>0.67700000000000005</v>
      </c>
      <c r="G218" s="660">
        <f>SUM(NC_pay_net_servchg)</f>
        <v>0.63</v>
      </c>
      <c r="H218" s="660">
        <f>SUM(YB_pay_net_servchg)</f>
        <v>0.58900000000000008</v>
      </c>
      <c r="K218" s="358"/>
    </row>
    <row r="219" spans="1:17">
      <c r="A219" s="339" t="s">
        <v>350</v>
      </c>
      <c r="B219" s="656">
        <f>SUM(FL_pay_taxANDben)</f>
        <v>0.17699999999999999</v>
      </c>
      <c r="C219" s="656">
        <f>SUM(SE_pay_taxANDben)</f>
        <v>0.16099999999999998</v>
      </c>
      <c r="D219" s="656">
        <f>SUM(BOCA_pay_taxANDben)</f>
        <v>0.23900000000000002</v>
      </c>
      <c r="E219" s="656">
        <f>SUM(SW_pay_taxANDben)</f>
        <v>0.15300000000000002</v>
      </c>
      <c r="F219" s="656">
        <f>SUM(SWCIRA_pay_taxANDben)</f>
        <v>0.17</v>
      </c>
      <c r="G219" s="656">
        <f>SUM(NC_pay_taxANDben)</f>
        <v>0.157</v>
      </c>
      <c r="H219" s="656">
        <f>SUM(YB_pay_taxANDben)</f>
        <v>0.13500000000000001</v>
      </c>
    </row>
    <row r="220" spans="1:17">
      <c r="A220" s="339" t="s">
        <v>351</v>
      </c>
      <c r="B220" s="656">
        <f>SUM(FL_all_ot_exp)</f>
        <v>0.22</v>
      </c>
      <c r="C220" s="656">
        <f>SUM(SE_all_ot_exp)</f>
        <v>0.221</v>
      </c>
      <c r="D220" s="656">
        <f>SUM(BOCA_all_ot_exp)</f>
        <v>0.30600000000000005</v>
      </c>
      <c r="E220" s="656">
        <f>SUM(SW_all_ot_exp)</f>
        <v>0.16799999999999998</v>
      </c>
      <c r="F220" s="656">
        <f>SUM(SWCIRA_all_ot_exp)</f>
        <v>0.19700000000000001</v>
      </c>
      <c r="G220" s="656">
        <f>SUM(NC_all_ot_exp)</f>
        <v>0.191</v>
      </c>
      <c r="H220" s="656">
        <f>SUM(YB_all_ot_exp)</f>
        <v>0.124</v>
      </c>
    </row>
    <row r="221" spans="1:17">
      <c r="A221" s="355" t="s">
        <v>352</v>
      </c>
      <c r="B221" s="659">
        <f>SUM(B218:B220)</f>
        <v>1.1399999999999999</v>
      </c>
      <c r="C221" s="659">
        <f t="shared" ref="C221:H221" si="56">SUM(C218:C220)</f>
        <v>1.087</v>
      </c>
      <c r="D221" s="659">
        <f t="shared" si="56"/>
        <v>1.5790000000000002</v>
      </c>
      <c r="E221" s="659">
        <f t="shared" si="56"/>
        <v>0.94300000000000006</v>
      </c>
      <c r="F221" s="659">
        <f t="shared" si="56"/>
        <v>1.044</v>
      </c>
      <c r="G221" s="659">
        <f t="shared" si="56"/>
        <v>0.97799999999999998</v>
      </c>
      <c r="H221" s="659">
        <f t="shared" si="56"/>
        <v>0.84800000000000009</v>
      </c>
      <c r="J221" s="358">
        <f>SUM(B218:B220)-B221</f>
        <v>0</v>
      </c>
      <c r="K221" s="358">
        <f t="shared" ref="K221:P221" si="57">SUM(C218:C220)-C221</f>
        <v>0</v>
      </c>
      <c r="L221" s="358">
        <f t="shared" si="57"/>
        <v>0</v>
      </c>
      <c r="M221" s="358">
        <f t="shared" si="57"/>
        <v>0</v>
      </c>
      <c r="N221" s="358">
        <f t="shared" si="57"/>
        <v>0</v>
      </c>
      <c r="O221" s="358">
        <f t="shared" si="57"/>
        <v>0</v>
      </c>
      <c r="P221" s="358">
        <f t="shared" si="57"/>
        <v>0</v>
      </c>
    </row>
    <row r="222" spans="1:17" ht="14.4" thickBot="1">
      <c r="A222" s="355" t="s">
        <v>353</v>
      </c>
      <c r="B222" s="661">
        <f>+B215-B221</f>
        <v>-0.6329999999999999</v>
      </c>
      <c r="C222" s="661">
        <f t="shared" ref="C222:H222" si="58">+C215-C221</f>
        <v>-0.58599999999999997</v>
      </c>
      <c r="D222" s="661">
        <f t="shared" si="58"/>
        <v>-1.1800000000000002</v>
      </c>
      <c r="E222" s="661">
        <f t="shared" si="58"/>
        <v>-0.38400000000000012</v>
      </c>
      <c r="F222" s="661">
        <f t="shared" si="58"/>
        <v>-0.47300000000000009</v>
      </c>
      <c r="G222" s="661">
        <f t="shared" si="58"/>
        <v>-0.43399999999999994</v>
      </c>
      <c r="H222" s="661">
        <f t="shared" si="58"/>
        <v>-0.27100000000000013</v>
      </c>
      <c r="N222" s="317"/>
      <c r="Q222" s="317"/>
    </row>
    <row r="223" spans="1:17" ht="14.4" thickTop="1">
      <c r="A223" s="321"/>
      <c r="B223" s="321"/>
      <c r="C223" s="321"/>
      <c r="D223" s="321"/>
      <c r="E223" s="321"/>
      <c r="F223" s="321"/>
      <c r="G223" s="321"/>
      <c r="H223" s="321"/>
    </row>
    <row r="224" spans="1:17">
      <c r="A224" s="321" t="s">
        <v>354</v>
      </c>
      <c r="B224" s="321"/>
      <c r="C224" s="321"/>
      <c r="D224" s="321"/>
      <c r="E224" s="321"/>
      <c r="F224" s="321"/>
      <c r="G224" s="321"/>
      <c r="H224" s="321"/>
    </row>
    <row r="225" spans="1:8">
      <c r="A225" s="339" t="s">
        <v>355</v>
      </c>
      <c r="B225" s="663">
        <f>+B142</f>
        <v>2.4700000000000002</v>
      </c>
      <c r="C225" s="663">
        <f t="shared" ref="C225:H225" si="59">+C142</f>
        <v>2.67</v>
      </c>
      <c r="D225" s="663">
        <f t="shared" si="59"/>
        <v>4.97</v>
      </c>
      <c r="E225" s="663">
        <f t="shared" si="59"/>
        <v>1.75</v>
      </c>
      <c r="F225" s="663">
        <f t="shared" si="59"/>
        <v>1.89</v>
      </c>
      <c r="G225" s="663">
        <f t="shared" si="59"/>
        <v>2.0699999999999998</v>
      </c>
      <c r="H225" s="663">
        <f t="shared" si="59"/>
        <v>1.91</v>
      </c>
    </row>
    <row r="226" spans="1:8">
      <c r="A226" s="321"/>
      <c r="B226" s="321"/>
      <c r="C226" s="321"/>
      <c r="D226" s="321"/>
      <c r="E226" s="321"/>
      <c r="F226" s="321"/>
      <c r="G226" s="321"/>
      <c r="H226" s="321"/>
    </row>
    <row r="227" spans="1:8">
      <c r="A227" s="321" t="s">
        <v>356</v>
      </c>
      <c r="B227" s="655">
        <f>+B130/1000</f>
        <v>3074.1</v>
      </c>
      <c r="C227" s="655">
        <f t="shared" ref="C227:H227" si="60">+C130/1000</f>
        <v>3139.2</v>
      </c>
      <c r="D227" s="655">
        <f t="shared" si="60"/>
        <v>4435.6000000000004</v>
      </c>
      <c r="E227" s="655">
        <f t="shared" si="60"/>
        <v>2916.4</v>
      </c>
      <c r="F227" s="655">
        <f t="shared" si="60"/>
        <v>1943.8</v>
      </c>
      <c r="G227" s="655">
        <f t="shared" si="60"/>
        <v>3065.5</v>
      </c>
      <c r="H227" s="655">
        <f t="shared" si="60"/>
        <v>3369.1</v>
      </c>
    </row>
    <row r="228" spans="1:8">
      <c r="A228" s="142" t="s">
        <v>1045</v>
      </c>
      <c r="B228" s="648">
        <f>+B18</f>
        <v>730</v>
      </c>
      <c r="C228" s="648">
        <f t="shared" ref="C228:H228" si="61">+C18</f>
        <v>620</v>
      </c>
      <c r="D228" s="648">
        <f t="shared" si="61"/>
        <v>900</v>
      </c>
      <c r="E228" s="648">
        <f t="shared" si="61"/>
        <v>570</v>
      </c>
      <c r="F228" s="648">
        <f t="shared" si="61"/>
        <v>900</v>
      </c>
      <c r="G228" s="648">
        <f t="shared" si="61"/>
        <v>760</v>
      </c>
      <c r="H228" s="648">
        <f t="shared" si="61"/>
        <v>690</v>
      </c>
    </row>
    <row r="229" spans="1:8">
      <c r="A229" s="321" t="s">
        <v>357</v>
      </c>
      <c r="B229" s="655">
        <f>+B158</f>
        <v>-1946400</v>
      </c>
      <c r="C229" s="655">
        <f t="shared" ref="C229:H229" si="62">+C158</f>
        <v>-1843900</v>
      </c>
      <c r="D229" s="655">
        <f t="shared" si="62"/>
        <v>-5237300</v>
      </c>
      <c r="E229" s="655">
        <f t="shared" si="62"/>
        <v>-1115600</v>
      </c>
      <c r="F229" s="655">
        <f t="shared" si="62"/>
        <v>-919500</v>
      </c>
      <c r="G229" s="655">
        <f t="shared" si="62"/>
        <v>-1331600</v>
      </c>
      <c r="H229" s="655">
        <f t="shared" si="62"/>
        <v>-914900</v>
      </c>
    </row>
    <row r="230" spans="1:8">
      <c r="A230" s="142" t="s">
        <v>1046</v>
      </c>
      <c r="B230" s="655">
        <f>-ROUND(+B229/B228,-1)</f>
        <v>2670</v>
      </c>
      <c r="C230" s="655">
        <f t="shared" ref="C230:H230" si="63">-ROUND(+C229/C228,-1)</f>
        <v>2970</v>
      </c>
      <c r="D230" s="655">
        <f t="shared" si="63"/>
        <v>5820</v>
      </c>
      <c r="E230" s="655">
        <f t="shared" si="63"/>
        <v>1960</v>
      </c>
      <c r="F230" s="655">
        <f t="shared" si="63"/>
        <v>1020</v>
      </c>
      <c r="G230" s="655">
        <f t="shared" si="63"/>
        <v>1750</v>
      </c>
      <c r="H230" s="655">
        <f t="shared" si="63"/>
        <v>1330</v>
      </c>
    </row>
    <row r="231" spans="1:8">
      <c r="A231" s="321"/>
      <c r="B231" s="359"/>
      <c r="C231" s="359"/>
      <c r="D231" s="359"/>
      <c r="E231" s="359"/>
      <c r="F231" s="359"/>
      <c r="G231" s="359"/>
      <c r="H231" s="359"/>
    </row>
    <row r="232" spans="1:8">
      <c r="A232" s="321" t="s">
        <v>358</v>
      </c>
      <c r="B232" s="662">
        <f>FL_inc_menu_price</f>
        <v>0.79</v>
      </c>
      <c r="C232" s="662">
        <f>SE_inc_menu_price</f>
        <v>0.83</v>
      </c>
      <c r="D232" s="662">
        <f>BOCA_inc_menu_price</f>
        <v>0.71</v>
      </c>
      <c r="E232" s="662">
        <f>SW_inc_menu_price</f>
        <v>0.81</v>
      </c>
      <c r="F232" s="662">
        <f>SWCIRA_inc_menu_price</f>
        <v>0.72</v>
      </c>
      <c r="G232" s="662">
        <f>NC_inc_menu_price</f>
        <v>0.83</v>
      </c>
      <c r="H232" s="662">
        <f>YB_inc_menu_price</f>
        <v>0.83</v>
      </c>
    </row>
    <row r="233" spans="1:8">
      <c r="A233" s="321" t="s">
        <v>359</v>
      </c>
      <c r="B233" s="662">
        <f>FL_amt_menu_inc</f>
        <v>7.0000000000000007E-2</v>
      </c>
      <c r="C233" s="662">
        <f>SE_amt_menu_inc</f>
        <v>0.06</v>
      </c>
      <c r="D233" s="662">
        <f>BOCA_amt_menu_inc</f>
        <v>7.0000000000000007E-2</v>
      </c>
      <c r="E233" s="662">
        <f>SW_amt_menu_inc</f>
        <v>0.09</v>
      </c>
      <c r="F233" s="662">
        <f>SWCIRA_amt_menu_inc</f>
        <v>7.0000000000000007E-2</v>
      </c>
      <c r="G233" s="662">
        <f>NC_amt_menu_inc</f>
        <v>7.0000000000000007E-2</v>
      </c>
      <c r="H233" s="662">
        <f>YB_amt_menu_inc</f>
        <v>7.0000000000000007E-2</v>
      </c>
    </row>
    <row r="234" spans="1:8">
      <c r="A234" s="321" t="s">
        <v>360</v>
      </c>
      <c r="B234" s="662">
        <f>FL_inc_bev_price</f>
        <v>0.64</v>
      </c>
      <c r="C234" s="662">
        <f>SE_inc_bev_price</f>
        <v>0.61</v>
      </c>
      <c r="D234" s="662">
        <f>boca_inc_bev_price</f>
        <v>0.71</v>
      </c>
      <c r="E234" s="662">
        <f>SW_inc_bev_price</f>
        <v>0.65</v>
      </c>
      <c r="F234" s="662">
        <f>SWCIRA_inc_bev_price</f>
        <v>0.56000000000000005</v>
      </c>
      <c r="G234" s="662">
        <f>NC_inc_bev_price</f>
        <v>0.65</v>
      </c>
      <c r="H234" s="662">
        <f>YB_inc_bev_price</f>
        <v>0.57999999999999996</v>
      </c>
    </row>
    <row r="235" spans="1:8">
      <c r="A235" s="321" t="s">
        <v>359</v>
      </c>
      <c r="B235" s="662">
        <f>FL_amt_bev_inc</f>
        <v>0.06</v>
      </c>
      <c r="C235" s="662">
        <f>SE_amt_bev_inc</f>
        <v>0.04</v>
      </c>
      <c r="D235" s="662">
        <f>BOCA_amt_bev_inc</f>
        <v>0.08</v>
      </c>
      <c r="E235" s="662">
        <f>SW_amt_bev_inc</f>
        <v>7.0000000000000007E-2</v>
      </c>
      <c r="F235" s="662">
        <f>SWCIRA_amt_bev_inc</f>
        <v>7.0000000000000007E-2</v>
      </c>
      <c r="G235" s="662">
        <f>NC_amt_bev_inc</f>
        <v>7.0000000000000007E-2</v>
      </c>
      <c r="H235" s="662">
        <f>YB_amt_bev_inc</f>
        <v>0.08</v>
      </c>
    </row>
    <row r="237" spans="1:8">
      <c r="A237" s="360" t="s">
        <v>370</v>
      </c>
    </row>
    <row r="238" spans="1:8">
      <c r="E238" s="116" t="s">
        <v>549</v>
      </c>
    </row>
    <row r="240" spans="1:8">
      <c r="A240" s="117" t="s">
        <v>371</v>
      </c>
    </row>
    <row r="241" spans="1:14">
      <c r="A241" s="322" t="s">
        <v>372</v>
      </c>
    </row>
    <row r="242" spans="1:14">
      <c r="A242" s="321" t="s">
        <v>373</v>
      </c>
    </row>
    <row r="243" spans="1:14">
      <c r="A243" s="322" t="s">
        <v>1189</v>
      </c>
      <c r="B243" s="648">
        <f>FL_18_rounds</f>
        <v>32000</v>
      </c>
      <c r="C243" s="648">
        <f>SE_18_rounds</f>
        <v>21200</v>
      </c>
      <c r="D243" s="648">
        <f>BOCA_18_rounds</f>
        <v>30800</v>
      </c>
      <c r="E243" s="648">
        <f>SW_18_rounds</f>
        <v>30700</v>
      </c>
      <c r="F243" s="648">
        <f>SWCIRA_18_rounds</f>
        <v>47800</v>
      </c>
      <c r="G243" s="648">
        <f>NC_18_rounds</f>
        <v>26800</v>
      </c>
      <c r="H243" s="649" t="s">
        <v>288</v>
      </c>
    </row>
    <row r="244" spans="1:14">
      <c r="A244" s="324" t="s">
        <v>1156</v>
      </c>
      <c r="B244" s="884">
        <v>27900</v>
      </c>
      <c r="C244" s="884">
        <v>15800</v>
      </c>
      <c r="D244" s="884">
        <v>22300</v>
      </c>
      <c r="E244" s="884">
        <v>26700</v>
      </c>
      <c r="F244" s="884">
        <v>45100</v>
      </c>
      <c r="G244" s="884">
        <v>23100</v>
      </c>
      <c r="H244" s="651" t="s">
        <v>288</v>
      </c>
    </row>
    <row r="245" spans="1:14">
      <c r="A245" s="118" t="s">
        <v>301</v>
      </c>
      <c r="B245" s="650">
        <f t="shared" ref="B245:G245" si="64">+B243-B244</f>
        <v>4100</v>
      </c>
      <c r="C245" s="650">
        <f t="shared" si="64"/>
        <v>5400</v>
      </c>
      <c r="D245" s="650">
        <f t="shared" si="64"/>
        <v>8500</v>
      </c>
      <c r="E245" s="650">
        <f t="shared" si="64"/>
        <v>4000</v>
      </c>
      <c r="F245" s="650">
        <f t="shared" si="64"/>
        <v>2700</v>
      </c>
      <c r="G245" s="650">
        <f t="shared" si="64"/>
        <v>3700</v>
      </c>
      <c r="H245" s="651" t="s">
        <v>288</v>
      </c>
    </row>
    <row r="246" spans="1:14">
      <c r="A246" s="118" t="s">
        <v>302</v>
      </c>
      <c r="B246" s="652">
        <f t="shared" ref="B246:G246" si="65">+B245/B244</f>
        <v>0.14695340501792115</v>
      </c>
      <c r="C246" s="652">
        <f t="shared" si="65"/>
        <v>0.34177215189873417</v>
      </c>
      <c r="D246" s="652">
        <f t="shared" si="65"/>
        <v>0.3811659192825112</v>
      </c>
      <c r="E246" s="652">
        <f t="shared" si="65"/>
        <v>0.14981273408239701</v>
      </c>
      <c r="F246" s="652">
        <f t="shared" si="65"/>
        <v>5.9866962305986697E-2</v>
      </c>
      <c r="G246" s="652">
        <f t="shared" si="65"/>
        <v>0.16017316017316016</v>
      </c>
      <c r="H246" s="651" t="s">
        <v>288</v>
      </c>
    </row>
    <row r="247" spans="1:14">
      <c r="A247" s="322"/>
      <c r="D247" s="361"/>
    </row>
    <row r="248" spans="1:14">
      <c r="A248" s="321" t="s">
        <v>374</v>
      </c>
    </row>
    <row r="249" spans="1:14">
      <c r="A249" s="322" t="s">
        <v>1189</v>
      </c>
      <c r="B249" s="654">
        <f>FL_18_acres</f>
        <v>112</v>
      </c>
      <c r="C249" s="654">
        <f>SE_18_acres</f>
        <v>132</v>
      </c>
      <c r="D249" s="654">
        <f>BOCA_18_acres</f>
        <v>122</v>
      </c>
      <c r="E249" s="654">
        <f>SW_18_acres</f>
        <v>105</v>
      </c>
      <c r="F249" s="654">
        <f>SWCIRA_18_acres</f>
        <v>105</v>
      </c>
      <c r="G249" s="654">
        <f>NC_18_acres</f>
        <v>100</v>
      </c>
      <c r="H249" s="649" t="s">
        <v>288</v>
      </c>
    </row>
    <row r="250" spans="1:14">
      <c r="A250" s="324" t="s">
        <v>1156</v>
      </c>
      <c r="B250" s="653">
        <v>111</v>
      </c>
      <c r="C250" s="653">
        <v>132</v>
      </c>
      <c r="D250" s="653">
        <v>146</v>
      </c>
      <c r="E250" s="653">
        <v>108</v>
      </c>
      <c r="F250" s="653">
        <v>94</v>
      </c>
      <c r="G250" s="653">
        <v>100</v>
      </c>
      <c r="H250" s="651" t="s">
        <v>288</v>
      </c>
    </row>
    <row r="251" spans="1:14">
      <c r="A251" s="118" t="s">
        <v>301</v>
      </c>
      <c r="B251" s="650">
        <f t="shared" ref="B251:G251" si="66">+B249-B250</f>
        <v>1</v>
      </c>
      <c r="C251" s="650">
        <f t="shared" si="66"/>
        <v>0</v>
      </c>
      <c r="D251" s="650">
        <f t="shared" si="66"/>
        <v>-24</v>
      </c>
      <c r="E251" s="650">
        <f t="shared" si="66"/>
        <v>-3</v>
      </c>
      <c r="F251" s="650">
        <f t="shared" si="66"/>
        <v>11</v>
      </c>
      <c r="G251" s="650">
        <f t="shared" si="66"/>
        <v>0</v>
      </c>
      <c r="H251" s="651" t="s">
        <v>288</v>
      </c>
    </row>
    <row r="252" spans="1:14">
      <c r="A252" s="118" t="s">
        <v>302</v>
      </c>
      <c r="B252" s="652">
        <f t="shared" ref="B252:G252" si="67">+B251/B250</f>
        <v>9.0090090090090089E-3</v>
      </c>
      <c r="C252" s="652">
        <f t="shared" si="67"/>
        <v>0</v>
      </c>
      <c r="D252" s="652">
        <f t="shared" si="67"/>
        <v>-0.16438356164383561</v>
      </c>
      <c r="E252" s="652">
        <f t="shared" si="67"/>
        <v>-2.7777777777777776E-2</v>
      </c>
      <c r="F252" s="652">
        <f t="shared" si="67"/>
        <v>0.11702127659574468</v>
      </c>
      <c r="G252" s="652">
        <f t="shared" si="67"/>
        <v>0</v>
      </c>
      <c r="H252" s="651" t="s">
        <v>288</v>
      </c>
    </row>
    <row r="254" spans="1:14">
      <c r="A254" s="321" t="s">
        <v>77</v>
      </c>
      <c r="G254" s="362"/>
    </row>
    <row r="255" spans="1:14">
      <c r="A255" s="322" t="s">
        <v>1189</v>
      </c>
      <c r="B255" s="655">
        <f>FL_18_cost_p.hole</f>
        <v>118400</v>
      </c>
      <c r="C255" s="655">
        <f>SE_18_cost_p.hole</f>
        <v>145900</v>
      </c>
      <c r="D255" s="655">
        <f>BOCA_18_cost_p.hole</f>
        <v>124600</v>
      </c>
      <c r="E255" s="655">
        <f>SW_18_cost_p.hole</f>
        <v>124200</v>
      </c>
      <c r="F255" s="655">
        <f>SWCIRA_18_cost_p.hole</f>
        <v>99900</v>
      </c>
      <c r="G255" s="655">
        <f>NC_18_cost_p.hole</f>
        <v>102900</v>
      </c>
      <c r="H255" s="649" t="s">
        <v>288</v>
      </c>
    </row>
    <row r="256" spans="1:14">
      <c r="A256" s="324" t="s">
        <v>1156</v>
      </c>
      <c r="B256" s="650">
        <v>90500</v>
      </c>
      <c r="C256" s="650">
        <v>107800</v>
      </c>
      <c r="D256" s="650">
        <v>90600</v>
      </c>
      <c r="E256" s="650">
        <v>92200</v>
      </c>
      <c r="F256" s="650">
        <v>81400</v>
      </c>
      <c r="G256" s="650">
        <v>82800</v>
      </c>
      <c r="H256" s="651" t="s">
        <v>288</v>
      </c>
    </row>
    <row r="257" spans="1:8">
      <c r="A257" s="118" t="s">
        <v>301</v>
      </c>
      <c r="B257" s="650">
        <f t="shared" ref="B257:G257" si="68">+B255-B256</f>
        <v>27900</v>
      </c>
      <c r="C257" s="650">
        <f t="shared" si="68"/>
        <v>38100</v>
      </c>
      <c r="D257" s="650">
        <f t="shared" si="68"/>
        <v>34000</v>
      </c>
      <c r="E257" s="650">
        <f t="shared" si="68"/>
        <v>32000</v>
      </c>
      <c r="F257" s="650">
        <f t="shared" si="68"/>
        <v>18500</v>
      </c>
      <c r="G257" s="650">
        <f t="shared" si="68"/>
        <v>20100</v>
      </c>
      <c r="H257" s="651" t="s">
        <v>288</v>
      </c>
    </row>
    <row r="258" spans="1:8">
      <c r="A258" s="118" t="s">
        <v>302</v>
      </c>
      <c r="B258" s="652">
        <f t="shared" ref="B258:G258" si="69">+B257/B256</f>
        <v>0.30828729281767958</v>
      </c>
      <c r="C258" s="652">
        <f t="shared" si="69"/>
        <v>0.35343228200371057</v>
      </c>
      <c r="D258" s="652">
        <f t="shared" si="69"/>
        <v>0.37527593818984545</v>
      </c>
      <c r="E258" s="652">
        <f t="shared" si="69"/>
        <v>0.34707158351409978</v>
      </c>
      <c r="F258" s="652">
        <f t="shared" si="69"/>
        <v>0.22727272727272727</v>
      </c>
      <c r="G258" s="652">
        <f t="shared" si="69"/>
        <v>0.24275362318840579</v>
      </c>
      <c r="H258" s="651" t="s">
        <v>288</v>
      </c>
    </row>
    <row r="260" spans="1:8">
      <c r="A260" s="321" t="s">
        <v>375</v>
      </c>
    </row>
    <row r="261" spans="1:8">
      <c r="A261" s="322" t="s">
        <v>1189</v>
      </c>
      <c r="B261" s="655">
        <f>FL_18_cost_p.acre</f>
        <v>19000</v>
      </c>
      <c r="C261" s="655">
        <f>SE_18_cost_p.acre</f>
        <v>19900</v>
      </c>
      <c r="D261" s="655">
        <f>BOCA_18_cost_p.acre</f>
        <v>18400</v>
      </c>
      <c r="E261" s="655">
        <f>SW_18_cost_p.acre</f>
        <v>21300</v>
      </c>
      <c r="F261" s="655">
        <f>SWCIRA_18_cost_p.acre</f>
        <v>17100</v>
      </c>
      <c r="G261" s="655">
        <f>NC_18_cost_p.acre</f>
        <v>18500</v>
      </c>
      <c r="H261" s="649" t="s">
        <v>288</v>
      </c>
    </row>
    <row r="262" spans="1:8">
      <c r="A262" s="324" t="s">
        <v>1156</v>
      </c>
      <c r="B262" s="653">
        <v>14700</v>
      </c>
      <c r="C262" s="653">
        <v>14700</v>
      </c>
      <c r="D262" s="653">
        <v>11200</v>
      </c>
      <c r="E262" s="653">
        <v>15400</v>
      </c>
      <c r="F262" s="653">
        <v>15600</v>
      </c>
      <c r="G262" s="653">
        <v>14900</v>
      </c>
      <c r="H262" s="1236" t="s">
        <v>288</v>
      </c>
    </row>
    <row r="263" spans="1:8">
      <c r="A263" s="118" t="s">
        <v>301</v>
      </c>
      <c r="B263" s="653">
        <f t="shared" ref="B263:G263" si="70">+B261-B262</f>
        <v>4300</v>
      </c>
      <c r="C263" s="653">
        <f t="shared" si="70"/>
        <v>5200</v>
      </c>
      <c r="D263" s="653">
        <f t="shared" si="70"/>
        <v>7200</v>
      </c>
      <c r="E263" s="653">
        <f t="shared" si="70"/>
        <v>5900</v>
      </c>
      <c r="F263" s="653">
        <f t="shared" si="70"/>
        <v>1500</v>
      </c>
      <c r="G263" s="653">
        <f t="shared" si="70"/>
        <v>3600</v>
      </c>
      <c r="H263" s="1236" t="s">
        <v>288</v>
      </c>
    </row>
    <row r="264" spans="1:8">
      <c r="A264" s="118" t="s">
        <v>302</v>
      </c>
      <c r="B264" s="652">
        <f t="shared" ref="B264:G264" si="71">+B263/B262</f>
        <v>0.29251700680272108</v>
      </c>
      <c r="C264" s="652">
        <f t="shared" si="71"/>
        <v>0.35374149659863946</v>
      </c>
      <c r="D264" s="652">
        <f t="shared" si="71"/>
        <v>0.6428571428571429</v>
      </c>
      <c r="E264" s="652">
        <f t="shared" si="71"/>
        <v>0.38311688311688313</v>
      </c>
      <c r="F264" s="652">
        <f t="shared" si="71"/>
        <v>9.6153846153846159E-2</v>
      </c>
      <c r="G264" s="652">
        <f t="shared" si="71"/>
        <v>0.24161073825503357</v>
      </c>
      <c r="H264" s="651" t="s">
        <v>288</v>
      </c>
    </row>
    <row r="265" spans="1:8">
      <c r="A265" s="321"/>
      <c r="B265" s="359"/>
      <c r="C265" s="359"/>
      <c r="D265" s="359"/>
      <c r="E265" s="359"/>
      <c r="F265" s="359"/>
      <c r="G265" s="359"/>
      <c r="H265" s="363"/>
    </row>
    <row r="266" spans="1:8">
      <c r="A266" s="321" t="s">
        <v>376</v>
      </c>
    </row>
    <row r="267" spans="1:8">
      <c r="A267" s="322" t="s">
        <v>1189</v>
      </c>
      <c r="B267" s="655">
        <f>FL_18_cost_p.round</f>
        <v>66.584374999999994</v>
      </c>
      <c r="C267" s="655">
        <f>SE_18_cost_p.round</f>
        <v>123.89622641509433</v>
      </c>
      <c r="D267" s="655">
        <f>BOCA_18_cost_p.round</f>
        <v>72.795454545454547</v>
      </c>
      <c r="E267" s="655">
        <f>SW_18_cost_p.round</f>
        <v>72.830618892508141</v>
      </c>
      <c r="F267" s="655">
        <f>SWCIRA_18_cost_p.round</f>
        <v>37.623430962343093</v>
      </c>
      <c r="G267" s="655">
        <f>NC_18_cost_p.round</f>
        <v>69.134328358208961</v>
      </c>
      <c r="H267" s="364" t="s">
        <v>288</v>
      </c>
    </row>
    <row r="268" spans="1:8">
      <c r="A268" s="324" t="s">
        <v>1156</v>
      </c>
      <c r="B268" s="653">
        <v>58.383512544802869</v>
      </c>
      <c r="C268" s="653">
        <v>122.82278481012658</v>
      </c>
      <c r="D268" s="653">
        <v>73.125560538116588</v>
      </c>
      <c r="E268" s="653">
        <v>62.176029962546814</v>
      </c>
      <c r="F268" s="653">
        <v>32.49889135254989</v>
      </c>
      <c r="G268" s="653">
        <v>64.519480519480524</v>
      </c>
      <c r="H268" s="1236" t="s">
        <v>288</v>
      </c>
    </row>
    <row r="269" spans="1:8">
      <c r="A269" s="118" t="s">
        <v>301</v>
      </c>
      <c r="B269" s="650">
        <f t="shared" ref="B269:G269" si="72">+B267-B268</f>
        <v>8.2008624551971252</v>
      </c>
      <c r="C269" s="650">
        <f t="shared" si="72"/>
        <v>1.0734416049677549</v>
      </c>
      <c r="D269" s="650">
        <f t="shared" si="72"/>
        <v>-0.3301059926620411</v>
      </c>
      <c r="E269" s="650">
        <f t="shared" si="72"/>
        <v>10.654588929961328</v>
      </c>
      <c r="F269" s="650">
        <f t="shared" si="72"/>
        <v>5.124539609793203</v>
      </c>
      <c r="G269" s="650">
        <f t="shared" si="72"/>
        <v>4.6148478387284371</v>
      </c>
      <c r="H269" s="651" t="s">
        <v>288</v>
      </c>
    </row>
    <row r="270" spans="1:8">
      <c r="A270" s="118" t="s">
        <v>302</v>
      </c>
      <c r="B270" s="652">
        <f t="shared" ref="B270:G270" si="73">+B269/B268</f>
        <v>0.14046538308060641</v>
      </c>
      <c r="C270" s="652">
        <f t="shared" si="73"/>
        <v>8.7397595375092903E-3</v>
      </c>
      <c r="D270" s="652">
        <f t="shared" si="73"/>
        <v>-4.5142353813475916E-3</v>
      </c>
      <c r="E270" s="652">
        <f t="shared" si="73"/>
        <v>0.17136167967590354</v>
      </c>
      <c r="F270" s="652">
        <f t="shared" si="73"/>
        <v>0.15768352077619802</v>
      </c>
      <c r="G270" s="652">
        <f t="shared" si="73"/>
        <v>7.1526425841805477E-2</v>
      </c>
      <c r="H270" s="651" t="s">
        <v>288</v>
      </c>
    </row>
    <row r="273" spans="1:8">
      <c r="A273" s="117" t="s">
        <v>371</v>
      </c>
    </row>
    <row r="274" spans="1:8">
      <c r="A274" s="322" t="s">
        <v>380</v>
      </c>
    </row>
    <row r="275" spans="1:8">
      <c r="A275" s="321" t="s">
        <v>381</v>
      </c>
    </row>
    <row r="276" spans="1:8">
      <c r="A276" s="322" t="s">
        <v>1189</v>
      </c>
      <c r="B276" s="328">
        <f>FL_mult_rounds_18</f>
        <v>28100</v>
      </c>
      <c r="C276" s="328">
        <f>SE_mult_rounds_18</f>
        <v>28500</v>
      </c>
      <c r="D276" s="328">
        <f>BOCA_mult_rounds_18</f>
        <v>28300</v>
      </c>
      <c r="E276" s="328">
        <f>SW_mult_rounds_18</f>
        <v>26700</v>
      </c>
      <c r="F276" s="1023" t="s">
        <v>1150</v>
      </c>
      <c r="G276" s="328">
        <f>NC_mult_rounds_18</f>
        <v>27700</v>
      </c>
      <c r="H276" s="364" t="s">
        <v>288</v>
      </c>
    </row>
    <row r="277" spans="1:8">
      <c r="A277" s="324" t="s">
        <v>1156</v>
      </c>
      <c r="B277" s="387">
        <v>24400</v>
      </c>
      <c r="C277" s="387">
        <v>25700</v>
      </c>
      <c r="D277" s="387">
        <v>24000</v>
      </c>
      <c r="E277" s="387">
        <v>22800</v>
      </c>
      <c r="F277" s="1023" t="s">
        <v>1150</v>
      </c>
      <c r="G277" s="387">
        <v>24200</v>
      </c>
      <c r="H277" s="342" t="s">
        <v>288</v>
      </c>
    </row>
    <row r="278" spans="1:8">
      <c r="A278" s="118" t="s">
        <v>301</v>
      </c>
      <c r="B278" s="650">
        <f t="shared" ref="B278:G278" si="74">+B276-B277</f>
        <v>3700</v>
      </c>
      <c r="C278" s="650">
        <f t="shared" si="74"/>
        <v>2800</v>
      </c>
      <c r="D278" s="650">
        <f t="shared" si="74"/>
        <v>4300</v>
      </c>
      <c r="E278" s="650">
        <f t="shared" si="74"/>
        <v>3900</v>
      </c>
      <c r="F278" s="1023" t="s">
        <v>1150</v>
      </c>
      <c r="G278" s="650">
        <f t="shared" si="74"/>
        <v>3500</v>
      </c>
      <c r="H278" s="342" t="s">
        <v>288</v>
      </c>
    </row>
    <row r="279" spans="1:8">
      <c r="A279" s="118" t="s">
        <v>302</v>
      </c>
      <c r="B279" s="652">
        <f t="shared" ref="B279:G279" si="75">+B278/B277</f>
        <v>0.15163934426229508</v>
      </c>
      <c r="C279" s="652">
        <f t="shared" si="75"/>
        <v>0.10894941634241245</v>
      </c>
      <c r="D279" s="652">
        <f t="shared" si="75"/>
        <v>0.17916666666666667</v>
      </c>
      <c r="E279" s="652">
        <f t="shared" si="75"/>
        <v>0.17105263157894737</v>
      </c>
      <c r="F279" s="1023" t="s">
        <v>1150</v>
      </c>
      <c r="G279" s="652">
        <f t="shared" si="75"/>
        <v>0.14462809917355371</v>
      </c>
      <c r="H279" s="342" t="s">
        <v>288</v>
      </c>
    </row>
    <row r="281" spans="1:8">
      <c r="A281" s="321" t="s">
        <v>382</v>
      </c>
    </row>
    <row r="282" spans="1:8">
      <c r="A282" s="322" t="s">
        <v>1189</v>
      </c>
      <c r="B282" s="648">
        <f>FL_mult_acre_36</f>
        <v>249</v>
      </c>
      <c r="C282" s="648">
        <f>SE_mult_acre_36</f>
        <v>295</v>
      </c>
      <c r="D282" s="648">
        <f>BOCA_mult_acre_36</f>
        <v>266</v>
      </c>
      <c r="E282" s="648">
        <f>SW_mult_acre_36</f>
        <v>242</v>
      </c>
      <c r="F282" s="1023" t="s">
        <v>1150</v>
      </c>
      <c r="G282" s="648">
        <f>NC_mult_acre_36</f>
        <v>207</v>
      </c>
      <c r="H282" s="649" t="s">
        <v>288</v>
      </c>
    </row>
    <row r="283" spans="1:8">
      <c r="A283" s="324" t="s">
        <v>1156</v>
      </c>
      <c r="B283" s="650">
        <v>248</v>
      </c>
      <c r="C283" s="650">
        <v>271</v>
      </c>
      <c r="D283" s="650">
        <v>267</v>
      </c>
      <c r="E283" s="650">
        <v>248</v>
      </c>
      <c r="F283" s="1023" t="s">
        <v>1150</v>
      </c>
      <c r="G283" s="650">
        <v>219</v>
      </c>
      <c r="H283" s="651" t="s">
        <v>288</v>
      </c>
    </row>
    <row r="284" spans="1:8">
      <c r="A284" s="118" t="s">
        <v>301</v>
      </c>
      <c r="B284" s="650">
        <f t="shared" ref="B284:G284" si="76">+B282-B283</f>
        <v>1</v>
      </c>
      <c r="C284" s="650">
        <f t="shared" si="76"/>
        <v>24</v>
      </c>
      <c r="D284" s="650">
        <f t="shared" si="76"/>
        <v>-1</v>
      </c>
      <c r="E284" s="650">
        <f t="shared" si="76"/>
        <v>-6</v>
      </c>
      <c r="F284" s="1023" t="s">
        <v>1150</v>
      </c>
      <c r="G284" s="650">
        <f t="shared" si="76"/>
        <v>-12</v>
      </c>
      <c r="H284" s="651" t="s">
        <v>288</v>
      </c>
    </row>
    <row r="285" spans="1:8">
      <c r="A285" s="118" t="s">
        <v>302</v>
      </c>
      <c r="B285" s="652">
        <f t="shared" ref="B285:G285" si="77">+B284/B283</f>
        <v>4.0322580645161289E-3</v>
      </c>
      <c r="C285" s="652">
        <f t="shared" si="77"/>
        <v>8.8560885608856083E-2</v>
      </c>
      <c r="D285" s="652">
        <f t="shared" si="77"/>
        <v>-3.7453183520599251E-3</v>
      </c>
      <c r="E285" s="652">
        <f t="shared" si="77"/>
        <v>-2.4193548387096774E-2</v>
      </c>
      <c r="F285" s="1023" t="s">
        <v>1150</v>
      </c>
      <c r="G285" s="652">
        <f t="shared" si="77"/>
        <v>-5.4794520547945202E-2</v>
      </c>
      <c r="H285" s="651" t="s">
        <v>288</v>
      </c>
    </row>
    <row r="287" spans="1:8">
      <c r="A287" s="321" t="s">
        <v>77</v>
      </c>
    </row>
    <row r="288" spans="1:8">
      <c r="A288" s="322" t="s">
        <v>1189</v>
      </c>
      <c r="B288" s="655">
        <f>FL_mult_cost_p.hole</f>
        <v>107200</v>
      </c>
      <c r="C288" s="655">
        <f>SE_mult_cost_p.hole</f>
        <v>113000</v>
      </c>
      <c r="D288" s="655">
        <f>BOCA_mult_cost_p.hole</f>
        <v>101100</v>
      </c>
      <c r="E288" s="655">
        <f>SW_mult_cost_p.hole</f>
        <v>111300</v>
      </c>
      <c r="F288" s="1023" t="s">
        <v>1150</v>
      </c>
      <c r="G288" s="655">
        <f>NC_mult_cost_p.hole</f>
        <v>106200</v>
      </c>
      <c r="H288" s="649" t="s">
        <v>288</v>
      </c>
    </row>
    <row r="289" spans="1:8">
      <c r="A289" s="324" t="s">
        <v>1156</v>
      </c>
      <c r="B289" s="884">
        <v>82300</v>
      </c>
      <c r="C289" s="884">
        <v>85700</v>
      </c>
      <c r="D289" s="884">
        <v>81900</v>
      </c>
      <c r="E289" s="884">
        <v>87600</v>
      </c>
      <c r="F289" s="1023" t="s">
        <v>1150</v>
      </c>
      <c r="G289" s="884">
        <v>75900</v>
      </c>
      <c r="H289" s="885" t="s">
        <v>288</v>
      </c>
    </row>
    <row r="290" spans="1:8">
      <c r="A290" s="118" t="s">
        <v>301</v>
      </c>
      <c r="B290" s="884">
        <f t="shared" ref="B290:G290" si="78">+B288-B289</f>
        <v>24900</v>
      </c>
      <c r="C290" s="884">
        <f t="shared" si="78"/>
        <v>27300</v>
      </c>
      <c r="D290" s="884">
        <f t="shared" si="78"/>
        <v>19200</v>
      </c>
      <c r="E290" s="884">
        <f t="shared" si="78"/>
        <v>23700</v>
      </c>
      <c r="F290" s="1023" t="s">
        <v>1150</v>
      </c>
      <c r="G290" s="884">
        <f t="shared" si="78"/>
        <v>30300</v>
      </c>
      <c r="H290" s="885" t="s">
        <v>288</v>
      </c>
    </row>
    <row r="291" spans="1:8">
      <c r="A291" s="118" t="s">
        <v>302</v>
      </c>
      <c r="B291" s="652">
        <f t="shared" ref="B291:G291" si="79">+B290/B289</f>
        <v>0.3025516403402187</v>
      </c>
      <c r="C291" s="652">
        <f t="shared" si="79"/>
        <v>0.31855309218203032</v>
      </c>
      <c r="D291" s="652">
        <f t="shared" si="79"/>
        <v>0.23443223443223443</v>
      </c>
      <c r="E291" s="652">
        <f t="shared" si="79"/>
        <v>0.27054794520547948</v>
      </c>
      <c r="F291" s="1023" t="s">
        <v>1150</v>
      </c>
      <c r="G291" s="652">
        <f t="shared" si="79"/>
        <v>0.39920948616600793</v>
      </c>
      <c r="H291" s="885" t="s">
        <v>288</v>
      </c>
    </row>
    <row r="293" spans="1:8">
      <c r="A293" s="321" t="s">
        <v>375</v>
      </c>
    </row>
    <row r="294" spans="1:8">
      <c r="A294" s="322" t="s">
        <v>1189</v>
      </c>
      <c r="B294" s="330">
        <f>FL_mult_cost_p.acre</f>
        <v>15480</v>
      </c>
      <c r="C294" s="330">
        <f>SE_mult_cost_p.acre</f>
        <v>13780</v>
      </c>
      <c r="D294" s="330">
        <f>BOCA_mult_cost_p.acre</f>
        <v>13710</v>
      </c>
      <c r="E294" s="330">
        <f>SW_mult_cost_p.acre</f>
        <v>16570</v>
      </c>
      <c r="F294" s="1023" t="s">
        <v>1150</v>
      </c>
      <c r="G294" s="330">
        <f>NC_mult_cost_p.acre</f>
        <v>18480</v>
      </c>
      <c r="H294" s="364" t="s">
        <v>288</v>
      </c>
    </row>
    <row r="295" spans="1:8">
      <c r="A295" s="324" t="s">
        <v>1156</v>
      </c>
      <c r="B295" s="387">
        <v>11930</v>
      </c>
      <c r="C295" s="387">
        <v>11370</v>
      </c>
      <c r="D295" s="387">
        <v>11040</v>
      </c>
      <c r="E295" s="387">
        <v>12720</v>
      </c>
      <c r="F295" s="1023" t="s">
        <v>1150</v>
      </c>
      <c r="G295" s="387">
        <v>12490</v>
      </c>
      <c r="H295" s="342" t="s">
        <v>288</v>
      </c>
    </row>
    <row r="296" spans="1:8">
      <c r="A296" s="118" t="s">
        <v>301</v>
      </c>
      <c r="B296" s="650">
        <f t="shared" ref="B296:E296" si="80">+B294-B295</f>
        <v>3550</v>
      </c>
      <c r="C296" s="650">
        <f t="shared" si="80"/>
        <v>2410</v>
      </c>
      <c r="D296" s="650">
        <f t="shared" si="80"/>
        <v>2670</v>
      </c>
      <c r="E296" s="650">
        <f t="shared" si="80"/>
        <v>3850</v>
      </c>
      <c r="F296" s="1023" t="s">
        <v>1150</v>
      </c>
      <c r="G296" s="650">
        <f t="shared" ref="G296" si="81">+G294-G295</f>
        <v>5990</v>
      </c>
      <c r="H296" s="651" t="s">
        <v>288</v>
      </c>
    </row>
    <row r="297" spans="1:8">
      <c r="A297" s="118" t="s">
        <v>302</v>
      </c>
      <c r="B297" s="652">
        <f t="shared" ref="B297:E297" si="82">+B296/B295</f>
        <v>0.297569153394803</v>
      </c>
      <c r="C297" s="652">
        <f t="shared" si="82"/>
        <v>0.2119613016710642</v>
      </c>
      <c r="D297" s="652">
        <f t="shared" si="82"/>
        <v>0.24184782608695651</v>
      </c>
      <c r="E297" s="652">
        <f t="shared" si="82"/>
        <v>0.30267295597484278</v>
      </c>
      <c r="F297" s="1023" t="s">
        <v>1150</v>
      </c>
      <c r="G297" s="652">
        <f t="shared" ref="G297" si="83">+G296/G295</f>
        <v>0.47958366693354681</v>
      </c>
      <c r="H297" s="651" t="s">
        <v>288</v>
      </c>
    </row>
    <row r="298" spans="1:8">
      <c r="A298" s="321"/>
      <c r="B298" s="359"/>
      <c r="C298" s="359"/>
      <c r="D298" s="359"/>
      <c r="E298" s="359"/>
      <c r="F298" s="359"/>
      <c r="G298" s="359"/>
      <c r="H298" s="363"/>
    </row>
    <row r="299" spans="1:8">
      <c r="A299" s="321" t="s">
        <v>376</v>
      </c>
    </row>
    <row r="300" spans="1:8">
      <c r="A300" s="322" t="s">
        <v>1189</v>
      </c>
      <c r="B300" s="330">
        <f>FL_mult_cost_p.round</f>
        <v>69</v>
      </c>
      <c r="C300" s="330">
        <f>SE_mult_cost_p.round</f>
        <v>71</v>
      </c>
      <c r="D300" s="330">
        <f>BOCA_mult_cost_p.round</f>
        <v>64</v>
      </c>
      <c r="E300" s="330">
        <f>SW_mult_cost_p.round</f>
        <v>75</v>
      </c>
      <c r="F300" s="1023" t="s">
        <v>1150</v>
      </c>
      <c r="G300" s="330">
        <f>NC_mult_cost_p.round</f>
        <v>69</v>
      </c>
      <c r="H300" s="364" t="s">
        <v>288</v>
      </c>
    </row>
    <row r="301" spans="1:8">
      <c r="A301" s="324" t="s">
        <v>1156</v>
      </c>
      <c r="B301" s="650">
        <v>61</v>
      </c>
      <c r="C301" s="650">
        <v>60</v>
      </c>
      <c r="D301" s="650">
        <v>62</v>
      </c>
      <c r="E301" s="650">
        <v>69</v>
      </c>
      <c r="F301" s="1023" t="s">
        <v>1150</v>
      </c>
      <c r="G301" s="650">
        <v>56</v>
      </c>
      <c r="H301" s="651" t="s">
        <v>288</v>
      </c>
    </row>
    <row r="302" spans="1:8">
      <c r="A302" s="118" t="s">
        <v>301</v>
      </c>
      <c r="B302" s="650">
        <f t="shared" ref="B302:E302" si="84">+B300-B301</f>
        <v>8</v>
      </c>
      <c r="C302" s="650">
        <f t="shared" si="84"/>
        <v>11</v>
      </c>
      <c r="D302" s="650">
        <f t="shared" si="84"/>
        <v>2</v>
      </c>
      <c r="E302" s="650">
        <f t="shared" si="84"/>
        <v>6</v>
      </c>
      <c r="F302" s="1023" t="s">
        <v>1150</v>
      </c>
      <c r="G302" s="650">
        <f t="shared" ref="G302" si="85">+G300-G301</f>
        <v>13</v>
      </c>
      <c r="H302" s="651" t="s">
        <v>288</v>
      </c>
    </row>
    <row r="303" spans="1:8">
      <c r="A303" s="118" t="s">
        <v>302</v>
      </c>
      <c r="B303" s="652">
        <f t="shared" ref="B303:E303" si="86">+B302/B301</f>
        <v>0.13114754098360656</v>
      </c>
      <c r="C303" s="652">
        <f t="shared" si="86"/>
        <v>0.18333333333333332</v>
      </c>
      <c r="D303" s="652">
        <f t="shared" si="86"/>
        <v>3.2258064516129031E-2</v>
      </c>
      <c r="E303" s="652">
        <f t="shared" si="86"/>
        <v>8.6956521739130432E-2</v>
      </c>
      <c r="F303" s="1023" t="s">
        <v>1150</v>
      </c>
      <c r="G303" s="652">
        <f t="shared" ref="G303" si="87">+G302/G301</f>
        <v>0.23214285714285715</v>
      </c>
      <c r="H303" s="651" t="s">
        <v>288</v>
      </c>
    </row>
    <row r="305" spans="1:2">
      <c r="A305" s="1021" t="s">
        <v>1151</v>
      </c>
    </row>
    <row r="306" spans="1:2">
      <c r="A306" s="321"/>
      <c r="B306" s="321"/>
    </row>
  </sheetData>
  <mergeCells count="2">
    <mergeCell ref="J106:P108"/>
    <mergeCell ref="J114:P116"/>
  </mergeCells>
  <printOptions horizontalCentered="1"/>
  <pageMargins left="0.43" right="0.35" top="0.45" bottom="0.42" header="0.32" footer="0.22"/>
  <pageSetup scale="51" fitToHeight="8" orientation="portrait" horizontalDpi="1200" verticalDpi="1200" r:id="rId1"/>
  <headerFooter alignWithMargins="0"/>
  <rowBreaks count="5" manualBreakCount="5">
    <brk id="64" max="7" man="1"/>
    <brk id="128" max="7" man="1"/>
    <brk id="204" max="7" man="1"/>
    <brk id="236" max="7" man="1"/>
    <brk id="272" max="7" man="1"/>
  </rowBreaks>
  <customProperties>
    <customPr name="OrphanNamesChecked" r:id="rId2"/>
  </customPropertie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tabColor rgb="FFFFFF00"/>
  </sheetPr>
  <dimension ref="HE205:HE216"/>
  <sheetViews>
    <sheetView zoomScale="55" zoomScaleNormal="55" workbookViewId="0">
      <selection activeCell="B159" sqref="B159"/>
    </sheetView>
  </sheetViews>
  <sheetFormatPr defaultRowHeight="15"/>
  <sheetData>
    <row r="205" spans="213:213">
      <c r="HE205" s="1024"/>
    </row>
    <row r="206" spans="213:213">
      <c r="HE206" s="1024"/>
    </row>
    <row r="207" spans="213:213">
      <c r="HE207" s="1024"/>
    </row>
    <row r="208" spans="213:213">
      <c r="HE208" s="1024"/>
    </row>
    <row r="209" spans="213:213">
      <c r="HE209" s="1024"/>
    </row>
    <row r="210" spans="213:213">
      <c r="HE210" s="1024"/>
    </row>
    <row r="211" spans="213:213">
      <c r="HE211" s="1024"/>
    </row>
    <row r="212" spans="213:213">
      <c r="HE212" s="1024"/>
    </row>
    <row r="213" spans="213:213">
      <c r="HE213" s="1024"/>
    </row>
    <row r="214" spans="213:213">
      <c r="HE214" s="1024"/>
    </row>
    <row r="215" spans="213:213">
      <c r="HE215" s="1024"/>
    </row>
    <row r="216" spans="213:213">
      <c r="HE216" s="1024"/>
    </row>
  </sheetData>
  <pageMargins left="0.7" right="0.7" top="0.75" bottom="0.75" header="0.3" footer="0.3"/>
  <customProperties>
    <customPr name="OrphanNamesChecke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
    <tabColor rgb="FF99FF33"/>
  </sheetPr>
  <dimension ref="A1:BE294"/>
  <sheetViews>
    <sheetView showGridLines="0" view="pageBreakPreview" zoomScale="85" zoomScaleNormal="85" zoomScaleSheetLayoutView="85" workbookViewId="0">
      <pane xSplit="1" ySplit="5" topLeftCell="C41" activePane="bottomRight" state="frozen"/>
      <selection pane="topRight" activeCell="B1" sqref="B1"/>
      <selection pane="bottomLeft" activeCell="A6" sqref="A6"/>
      <selection pane="bottomRight" activeCell="D45" sqref="D45"/>
    </sheetView>
  </sheetViews>
  <sheetFormatPr defaultColWidth="8.81640625" defaultRowHeight="13.8" outlineLevelCol="1"/>
  <cols>
    <col min="1" max="1" width="48.453125" style="116" customWidth="1"/>
    <col min="2" max="8" width="13.08984375" style="116" customWidth="1"/>
    <col min="9" max="9" width="10.1796875" style="116" customWidth="1"/>
    <col min="10" max="10" width="2.6328125" style="120" hidden="1" customWidth="1" outlineLevel="1"/>
    <col min="11" max="11" width="15" style="120" hidden="1" customWidth="1" outlineLevel="1"/>
    <col min="12" max="12" width="1.453125" style="120" hidden="1" customWidth="1" outlineLevel="1"/>
    <col min="13" max="13" width="15" style="120" hidden="1" customWidth="1" outlineLevel="1"/>
    <col min="14" max="14" width="1.453125" style="120" hidden="1" customWidth="1" outlineLevel="1"/>
    <col min="15" max="15" width="15" style="120" hidden="1" customWidth="1" outlineLevel="1"/>
    <col min="16" max="16" width="2.08984375" style="120" hidden="1" customWidth="1" outlineLevel="1"/>
    <col min="17" max="17" width="15" style="120" hidden="1" customWidth="1" outlineLevel="1"/>
    <col min="18" max="18" width="1.453125" style="120" hidden="1" customWidth="1" outlineLevel="1"/>
    <col min="19" max="19" width="15" style="120" hidden="1" customWidth="1" outlineLevel="1"/>
    <col min="20" max="20" width="1.453125" style="120" hidden="1" customWidth="1" outlineLevel="1"/>
    <col min="21" max="21" width="15" style="120" hidden="1" customWidth="1" outlineLevel="1"/>
    <col min="22" max="22" width="2.08984375" style="120" hidden="1" customWidth="1" outlineLevel="1"/>
    <col min="23" max="23" width="15" style="120" hidden="1" customWidth="1" outlineLevel="1"/>
    <col min="24" max="24" width="1.453125" style="120" hidden="1" customWidth="1" outlineLevel="1"/>
    <col min="25" max="25" width="15" style="120" hidden="1" customWidth="1" outlineLevel="1"/>
    <col min="26" max="26" width="1.453125" style="120" hidden="1" customWidth="1" outlineLevel="1"/>
    <col min="27" max="27" width="15" style="120" hidden="1" customWidth="1" outlineLevel="1"/>
    <col min="28" max="28" width="2.08984375" style="120" hidden="1" customWidth="1" outlineLevel="1"/>
    <col min="29" max="29" width="15" style="120" hidden="1" customWidth="1" outlineLevel="1"/>
    <col min="30" max="30" width="1.453125" style="120" hidden="1" customWidth="1" outlineLevel="1"/>
    <col min="31" max="31" width="15" style="120" hidden="1" customWidth="1" outlineLevel="1"/>
    <col min="32" max="32" width="1.453125" style="120" hidden="1" customWidth="1" outlineLevel="1"/>
    <col min="33" max="33" width="15" style="120" hidden="1" customWidth="1" outlineLevel="1"/>
    <col min="34" max="34" width="2.08984375" style="120" hidden="1" customWidth="1" outlineLevel="1"/>
    <col min="35" max="35" width="15" style="120" hidden="1" customWidth="1" outlineLevel="1"/>
    <col min="36" max="36" width="1.453125" style="120" hidden="1" customWidth="1" outlineLevel="1"/>
    <col min="37" max="37" width="15" style="120" hidden="1" customWidth="1" outlineLevel="1"/>
    <col min="38" max="38" width="1.453125" style="120" hidden="1" customWidth="1" outlineLevel="1"/>
    <col min="39" max="39" width="15" style="120" hidden="1" customWidth="1" outlineLevel="1"/>
    <col min="40" max="40" width="2.08984375" style="120" hidden="1" customWidth="1" outlineLevel="1"/>
    <col min="41" max="41" width="15" style="120" hidden="1" customWidth="1" outlineLevel="1"/>
    <col min="42" max="42" width="1.453125" style="120" hidden="1" customWidth="1" outlineLevel="1"/>
    <col min="43" max="43" width="15" style="120" hidden="1" customWidth="1" outlineLevel="1"/>
    <col min="44" max="44" width="1.453125" style="120" hidden="1" customWidth="1" outlineLevel="1"/>
    <col min="45" max="45" width="15" style="120" hidden="1" customWidth="1" outlineLevel="1"/>
    <col min="46" max="46" width="2.08984375" style="120" hidden="1" customWidth="1" outlineLevel="1"/>
    <col min="47" max="47" width="15" style="120" hidden="1" customWidth="1" outlineLevel="1"/>
    <col min="48" max="48" width="1.453125" style="120" hidden="1" customWidth="1" outlineLevel="1"/>
    <col min="49" max="49" width="15" style="120" hidden="1" customWidth="1" outlineLevel="1"/>
    <col min="50" max="50" width="1.453125" style="120" hidden="1" customWidth="1" outlineLevel="1"/>
    <col min="51" max="51" width="15" style="120" hidden="1" customWidth="1" outlineLevel="1"/>
    <col min="52" max="52" width="2.54296875" style="116" hidden="1" customWidth="1" outlineLevel="1"/>
    <col min="53" max="53" width="10.1796875" style="116" customWidth="1" collapsed="1"/>
    <col min="54" max="16384" width="8.81640625" style="116"/>
  </cols>
  <sheetData>
    <row r="1" spans="1:57" s="127" customFormat="1" ht="17.399999999999999">
      <c r="J1" s="609" t="s">
        <v>913</v>
      </c>
      <c r="L1" s="120"/>
      <c r="M1" s="120"/>
      <c r="N1" s="120"/>
      <c r="O1" s="120"/>
      <c r="P1" s="120"/>
      <c r="R1" s="120"/>
      <c r="S1" s="120"/>
      <c r="T1" s="120"/>
      <c r="U1" s="120"/>
      <c r="V1" s="120"/>
      <c r="W1" s="117"/>
      <c r="X1" s="117"/>
      <c r="Y1" s="117"/>
      <c r="Z1" s="117"/>
      <c r="AA1" s="117"/>
      <c r="AB1" s="120"/>
      <c r="AD1" s="120"/>
      <c r="AE1" s="120"/>
      <c r="AF1" s="120"/>
      <c r="AG1" s="120"/>
      <c r="AH1" s="120"/>
      <c r="AJ1" s="120"/>
      <c r="AK1" s="120"/>
      <c r="AL1" s="120"/>
      <c r="AM1" s="120"/>
      <c r="AN1" s="120"/>
      <c r="AP1" s="120"/>
      <c r="AQ1" s="120"/>
      <c r="AR1" s="120"/>
      <c r="AS1" s="120"/>
      <c r="AT1" s="120"/>
      <c r="AV1" s="120"/>
      <c r="AW1" s="120"/>
      <c r="AX1" s="120"/>
      <c r="AY1" s="120"/>
    </row>
    <row r="2" spans="1:57" ht="15" customHeight="1" thickBot="1">
      <c r="W2" s="119"/>
      <c r="X2" s="119"/>
      <c r="Y2" s="119"/>
      <c r="Z2" s="119"/>
      <c r="AA2" s="119"/>
    </row>
    <row r="3" spans="1:57" s="127" customFormat="1" ht="25.5" customHeight="1" thickBot="1">
      <c r="A3" s="246" t="s">
        <v>267</v>
      </c>
      <c r="J3" s="120"/>
      <c r="K3" s="2132" t="s">
        <v>588</v>
      </c>
      <c r="L3" s="2132"/>
      <c r="M3" s="2132"/>
      <c r="N3" s="2132"/>
      <c r="O3" s="2132"/>
      <c r="P3" s="120"/>
      <c r="Q3" s="2132" t="s">
        <v>651</v>
      </c>
      <c r="R3" s="2132"/>
      <c r="S3" s="2132"/>
      <c r="T3" s="2132"/>
      <c r="U3" s="2132"/>
      <c r="V3" s="120"/>
      <c r="W3" s="2132" t="s">
        <v>1299</v>
      </c>
      <c r="X3" s="2132"/>
      <c r="Y3" s="2132"/>
      <c r="Z3" s="2132"/>
      <c r="AA3" s="2132"/>
      <c r="AB3" s="120"/>
      <c r="AC3" s="2132" t="s">
        <v>652</v>
      </c>
      <c r="AD3" s="2132"/>
      <c r="AE3" s="2132"/>
      <c r="AF3" s="2132"/>
      <c r="AG3" s="2132"/>
      <c r="AH3" s="120"/>
      <c r="AI3" s="2132" t="s">
        <v>418</v>
      </c>
      <c r="AJ3" s="2132"/>
      <c r="AK3" s="2132"/>
      <c r="AL3" s="2132"/>
      <c r="AM3" s="2132"/>
      <c r="AN3" s="120"/>
      <c r="AO3" s="2132" t="s">
        <v>414</v>
      </c>
      <c r="AP3" s="2132"/>
      <c r="AQ3" s="2132"/>
      <c r="AR3" s="2132"/>
      <c r="AS3" s="2132"/>
      <c r="AT3" s="120"/>
      <c r="AU3" s="2132" t="s">
        <v>412</v>
      </c>
      <c r="AV3" s="2132"/>
      <c r="AW3" s="2132"/>
      <c r="AX3" s="2132"/>
      <c r="AY3" s="2132"/>
    </row>
    <row r="4" spans="1:57" ht="27" customHeight="1" thickBot="1">
      <c r="A4" s="371" t="s">
        <v>834</v>
      </c>
      <c r="B4" s="117" t="s">
        <v>274</v>
      </c>
      <c r="C4" s="117" t="s">
        <v>269</v>
      </c>
      <c r="D4" s="117" t="s">
        <v>270</v>
      </c>
      <c r="E4" s="117" t="s">
        <v>271</v>
      </c>
      <c r="F4" s="117" t="s">
        <v>271</v>
      </c>
      <c r="G4" s="117" t="s">
        <v>272</v>
      </c>
      <c r="H4" s="117" t="s">
        <v>273</v>
      </c>
      <c r="I4" s="117"/>
      <c r="K4" s="610" t="s">
        <v>649</v>
      </c>
      <c r="L4" s="611"/>
      <c r="M4" s="612" t="s">
        <v>648</v>
      </c>
      <c r="O4" s="610" t="s">
        <v>650</v>
      </c>
      <c r="Q4" s="610" t="s">
        <v>649</v>
      </c>
      <c r="R4" s="611"/>
      <c r="S4" s="612" t="s">
        <v>648</v>
      </c>
      <c r="U4" s="610" t="s">
        <v>650</v>
      </c>
      <c r="W4" s="610" t="s">
        <v>649</v>
      </c>
      <c r="X4" s="611"/>
      <c r="Y4" s="612" t="s">
        <v>648</v>
      </c>
      <c r="AA4" s="610" t="s">
        <v>650</v>
      </c>
      <c r="AC4" s="610" t="s">
        <v>649</v>
      </c>
      <c r="AD4" s="611"/>
      <c r="AE4" s="612" t="s">
        <v>648</v>
      </c>
      <c r="AG4" s="610" t="s">
        <v>650</v>
      </c>
      <c r="AI4" s="610" t="s">
        <v>649</v>
      </c>
      <c r="AJ4" s="611"/>
      <c r="AK4" s="612" t="s">
        <v>648</v>
      </c>
      <c r="AM4" s="610" t="s">
        <v>650</v>
      </c>
      <c r="AO4" s="610" t="s">
        <v>649</v>
      </c>
      <c r="AP4" s="611"/>
      <c r="AQ4" s="612" t="s">
        <v>648</v>
      </c>
      <c r="AS4" s="610" t="s">
        <v>650</v>
      </c>
      <c r="AU4" s="610" t="s">
        <v>649</v>
      </c>
      <c r="AV4" s="611"/>
      <c r="AW4" s="612" t="s">
        <v>648</v>
      </c>
      <c r="AY4" s="610" t="s">
        <v>650</v>
      </c>
    </row>
    <row r="5" spans="1:57" ht="14.4" thickBot="1">
      <c r="B5" s="119" t="s">
        <v>268</v>
      </c>
      <c r="C5" s="119" t="s">
        <v>275</v>
      </c>
      <c r="D5" s="119" t="s">
        <v>257</v>
      </c>
      <c r="E5" s="119" t="s">
        <v>276</v>
      </c>
      <c r="F5" s="119" t="s">
        <v>277</v>
      </c>
      <c r="G5" s="119" t="s">
        <v>278</v>
      </c>
      <c r="H5" s="119" t="s">
        <v>279</v>
      </c>
    </row>
    <row r="6" spans="1:57">
      <c r="B6" s="369"/>
      <c r="C6" s="369"/>
      <c r="D6" s="369"/>
      <c r="E6" s="369"/>
      <c r="F6" s="369"/>
      <c r="G6" s="369"/>
      <c r="H6" s="369"/>
      <c r="K6" s="613"/>
      <c r="Q6" s="613"/>
      <c r="W6" s="613"/>
      <c r="AC6" s="613"/>
      <c r="AI6" s="613"/>
      <c r="AO6" s="613"/>
      <c r="AU6" s="613"/>
    </row>
    <row r="7" spans="1:57">
      <c r="A7" s="120" t="s">
        <v>1121</v>
      </c>
      <c r="B7" s="121">
        <f>FL_mem</f>
        <v>850</v>
      </c>
      <c r="C7" s="121">
        <f>SE_mem</f>
        <v>660</v>
      </c>
      <c r="D7" s="121">
        <f>BOCA_mem</f>
        <v>1020</v>
      </c>
      <c r="E7" s="121">
        <f>SW_mem</f>
        <v>750</v>
      </c>
      <c r="F7" s="121">
        <f>SWCIRA_mem</f>
        <v>1040</v>
      </c>
      <c r="G7" s="121">
        <f>NC_mem</f>
        <v>900</v>
      </c>
      <c r="H7" s="121">
        <f>YB_mem</f>
        <v>770</v>
      </c>
      <c r="J7" s="121"/>
      <c r="K7" s="121">
        <f>FL_TLMem_25perc</f>
        <v>465</v>
      </c>
      <c r="L7" s="121"/>
      <c r="M7" s="121">
        <f>FL_TLMem_50perc</f>
        <v>701</v>
      </c>
      <c r="N7" s="121"/>
      <c r="O7" s="121">
        <f>FL_TLMem_75perc</f>
        <v>1133</v>
      </c>
      <c r="P7" s="121"/>
      <c r="Q7" s="121">
        <f>SE_TLMem_25perc</f>
        <v>423.75</v>
      </c>
      <c r="R7" s="121"/>
      <c r="S7" s="121">
        <f>SE_TLMem_50perc</f>
        <v>550.5</v>
      </c>
      <c r="T7" s="121"/>
      <c r="U7" s="121">
        <f>SE_TLMem_75perc</f>
        <v>678.75</v>
      </c>
      <c r="V7" s="121"/>
      <c r="W7" s="121">
        <f>BOCA_TLMem_25perc</f>
        <v>430</v>
      </c>
      <c r="X7" s="121"/>
      <c r="Y7" s="121">
        <f>BOCA_TLMem_50perc</f>
        <v>717</v>
      </c>
      <c r="Z7" s="121"/>
      <c r="AA7" s="121">
        <f>BOCA_TLMem_75perc</f>
        <v>1284</v>
      </c>
      <c r="AB7" s="121"/>
      <c r="AC7" s="121">
        <f>SW_TLMem_25perc</f>
        <v>372</v>
      </c>
      <c r="AD7" s="121"/>
      <c r="AE7" s="121">
        <f>SW_TLMem_50perc</f>
        <v>487</v>
      </c>
      <c r="AF7" s="121"/>
      <c r="AG7" s="121">
        <f>SW_TLMem_75perc</f>
        <v>740</v>
      </c>
      <c r="AH7" s="121"/>
      <c r="AI7" s="121">
        <f>SWCIRA_TLMem_25perc</f>
        <v>799</v>
      </c>
      <c r="AJ7" s="121"/>
      <c r="AK7" s="121">
        <f>SWCIRA_TLMem_50perc</f>
        <v>957</v>
      </c>
      <c r="AL7" s="121"/>
      <c r="AM7" s="121">
        <f>SWCIRA_TLMem_75perc</f>
        <v>1184</v>
      </c>
      <c r="AN7" s="121"/>
      <c r="AO7" s="121" t="e">
        <f>NC_TLMem_25perc</f>
        <v>#NUM!</v>
      </c>
      <c r="AP7" s="121"/>
      <c r="AQ7" s="121" t="e">
        <f>NC_TLMem_50perc</f>
        <v>#NUM!</v>
      </c>
      <c r="AR7" s="121"/>
      <c r="AS7" s="121" t="e">
        <f>NC_TLMem_75perc</f>
        <v>#NUM!</v>
      </c>
      <c r="AT7" s="121"/>
      <c r="AU7" s="121">
        <f>YB_TLMem_25perc</f>
        <v>703.5</v>
      </c>
      <c r="AV7" s="121"/>
      <c r="AW7" s="121">
        <f>YB_TLMem_50perc</f>
        <v>777</v>
      </c>
      <c r="AX7" s="121"/>
      <c r="AY7" s="121">
        <f>YB_TLMem_75perc</f>
        <v>850.5</v>
      </c>
      <c r="AZ7" s="121"/>
    </row>
    <row r="8" spans="1:57">
      <c r="A8" s="120"/>
      <c r="B8" s="121"/>
      <c r="C8" s="121"/>
      <c r="D8" s="121"/>
      <c r="E8" s="121"/>
      <c r="F8" s="121"/>
      <c r="G8" s="121"/>
      <c r="H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row>
    <row r="9" spans="1:57">
      <c r="A9" s="120" t="s">
        <v>1122</v>
      </c>
      <c r="B9" s="121">
        <f>FL_FME</f>
        <v>730</v>
      </c>
      <c r="C9" s="121">
        <f>SE_FME</f>
        <v>620</v>
      </c>
      <c r="D9" s="121">
        <f>BOCA_FME</f>
        <v>900</v>
      </c>
      <c r="E9" s="121">
        <f>SW_FME</f>
        <v>570</v>
      </c>
      <c r="F9" s="121">
        <f>SWCIRA_FME</f>
        <v>900</v>
      </c>
      <c r="G9" s="121">
        <f>NC_FME</f>
        <v>760</v>
      </c>
      <c r="H9" s="121">
        <f>YB_FME</f>
        <v>690</v>
      </c>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row>
    <row r="10" spans="1:57">
      <c r="A10" s="120"/>
      <c r="B10" s="121"/>
      <c r="C10" s="121"/>
      <c r="D10" s="121"/>
      <c r="E10" s="121"/>
      <c r="F10" s="121"/>
      <c r="G10" s="121"/>
      <c r="H10" s="121"/>
      <c r="J10" s="121"/>
      <c r="K10" s="121"/>
      <c r="L10" s="121"/>
      <c r="M10" s="121"/>
      <c r="N10" s="121"/>
      <c r="O10" s="121"/>
      <c r="P10" s="121"/>
      <c r="Q10" s="121"/>
      <c r="R10" s="121"/>
      <c r="S10" s="121"/>
      <c r="T10" s="121"/>
      <c r="U10" s="121"/>
      <c r="V10" s="121"/>
      <c r="W10" s="121"/>
      <c r="X10" s="121"/>
      <c r="Y10" s="121"/>
      <c r="Z10" s="121"/>
      <c r="AA10" s="121"/>
      <c r="AB10" s="121"/>
      <c r="AC10" s="121"/>
      <c r="AD10" s="121"/>
      <c r="AE10" s="121"/>
      <c r="AF10" s="121"/>
      <c r="AG10" s="121"/>
      <c r="AH10" s="121"/>
      <c r="AI10" s="121"/>
      <c r="AJ10" s="121"/>
      <c r="AK10" s="121"/>
      <c r="AL10" s="121"/>
      <c r="AM10" s="121"/>
      <c r="AN10" s="121"/>
      <c r="AO10" s="121"/>
      <c r="AP10" s="121"/>
      <c r="AQ10" s="121"/>
      <c r="AR10" s="121"/>
      <c r="AS10" s="121"/>
      <c r="AT10" s="121"/>
      <c r="AU10" s="121"/>
      <c r="AV10" s="121"/>
      <c r="AW10" s="121"/>
      <c r="AX10" s="121"/>
      <c r="AY10" s="121"/>
      <c r="AZ10" s="121"/>
    </row>
    <row r="11" spans="1:57">
      <c r="A11" s="120" t="s">
        <v>816</v>
      </c>
      <c r="B11" s="388">
        <f>FL_mand_mem</f>
        <v>0.56999999999999995</v>
      </c>
      <c r="C11" s="388">
        <f>SE_mand_mem</f>
        <v>0.39</v>
      </c>
      <c r="D11" s="388">
        <f>BOCA_mand_mem</f>
        <v>0.94</v>
      </c>
      <c r="E11" s="388">
        <f>SW_mand_mem</f>
        <v>0.38</v>
      </c>
      <c r="F11" s="388">
        <f>SWCIRA_mand_mem</f>
        <v>1</v>
      </c>
      <c r="G11" s="388">
        <f>NC_mand_mem</f>
        <v>0.35</v>
      </c>
      <c r="H11" s="388">
        <f>YB_mand_mem</f>
        <v>0</v>
      </c>
      <c r="J11" s="388"/>
      <c r="K11" s="388"/>
      <c r="L11" s="388"/>
      <c r="M11" s="388"/>
      <c r="N11" s="388"/>
      <c r="O11" s="388"/>
      <c r="P11" s="388"/>
      <c r="Q11" s="388"/>
      <c r="R11" s="388"/>
      <c r="S11" s="388"/>
      <c r="T11" s="388"/>
      <c r="U11" s="388"/>
      <c r="V11" s="388"/>
      <c r="W11" s="388"/>
      <c r="X11" s="388"/>
      <c r="Y11" s="388"/>
      <c r="Z11" s="388"/>
      <c r="AA11" s="388"/>
      <c r="AB11" s="388"/>
      <c r="AC11" s="388"/>
      <c r="AD11" s="388"/>
      <c r="AE11" s="388"/>
      <c r="AF11" s="388"/>
      <c r="AG11" s="388"/>
      <c r="AH11" s="388"/>
      <c r="AI11" s="388"/>
      <c r="AJ11" s="388"/>
      <c r="AK11" s="388"/>
      <c r="AL11" s="388"/>
      <c r="AM11" s="388"/>
      <c r="AN11" s="388"/>
      <c r="AO11" s="388"/>
      <c r="AP11" s="388"/>
      <c r="AQ11" s="388"/>
      <c r="AR11" s="388"/>
      <c r="AS11" s="388"/>
      <c r="AT11" s="388"/>
      <c r="AU11" s="388"/>
      <c r="AV11" s="388"/>
      <c r="AW11" s="388"/>
      <c r="AX11" s="388"/>
      <c r="AY11" s="388"/>
      <c r="AZ11" s="388"/>
      <c r="BC11" s="1062">
        <v>1</v>
      </c>
      <c r="BD11" s="1064">
        <f>BC11-F11</f>
        <v>0</v>
      </c>
      <c r="BE11" s="116" t="s">
        <v>1164</v>
      </c>
    </row>
    <row r="12" spans="1:57">
      <c r="A12" s="120"/>
      <c r="B12" s="121"/>
      <c r="C12" s="121"/>
      <c r="D12" s="121"/>
      <c r="E12" s="121"/>
      <c r="F12" s="121"/>
      <c r="G12" s="121"/>
      <c r="H12" s="121"/>
      <c r="J12" s="121"/>
      <c r="K12" s="121"/>
      <c r="L12" s="121"/>
      <c r="M12" s="121"/>
      <c r="N12" s="121"/>
      <c r="O12" s="121"/>
      <c r="P12" s="121"/>
      <c r="Q12" s="121"/>
      <c r="R12" s="121"/>
      <c r="S12" s="121"/>
      <c r="T12" s="121"/>
      <c r="U12" s="121"/>
      <c r="V12" s="121"/>
      <c r="W12" s="121"/>
      <c r="X12" s="121"/>
      <c r="Y12" s="121"/>
      <c r="Z12" s="121"/>
      <c r="AA12" s="121"/>
      <c r="AB12" s="121"/>
      <c r="AC12" s="121"/>
      <c r="AD12" s="121"/>
      <c r="AE12" s="121"/>
      <c r="AF12" s="121"/>
      <c r="AG12" s="121"/>
      <c r="AH12" s="121"/>
      <c r="AI12" s="121"/>
      <c r="AJ12" s="121"/>
      <c r="AK12" s="121"/>
      <c r="AL12" s="121"/>
      <c r="AM12" s="121"/>
      <c r="AN12" s="121"/>
      <c r="AO12" s="121"/>
      <c r="AP12" s="121"/>
      <c r="AQ12" s="121"/>
      <c r="AR12" s="121"/>
      <c r="AS12" s="121"/>
      <c r="AT12" s="121"/>
      <c r="AU12" s="121"/>
      <c r="AV12" s="121"/>
      <c r="AW12" s="121"/>
      <c r="AX12" s="121"/>
      <c r="AY12" s="121"/>
      <c r="AZ12" s="121"/>
    </row>
    <row r="13" spans="1:57">
      <c r="A13" s="120" t="s">
        <v>280</v>
      </c>
      <c r="B13" s="121">
        <f>FL_emp</f>
        <v>162</v>
      </c>
      <c r="C13" s="121">
        <f>SE_emp</f>
        <v>167</v>
      </c>
      <c r="D13" s="121">
        <f>BOCA_emp</f>
        <v>272</v>
      </c>
      <c r="E13" s="121">
        <f>SW_emp</f>
        <v>136</v>
      </c>
      <c r="F13" s="121">
        <f>SWCIRA_emp</f>
        <v>101</v>
      </c>
      <c r="G13" s="121">
        <f>NC_emp</f>
        <v>154</v>
      </c>
      <c r="H13" s="121">
        <f>YB_emp</f>
        <v>80</v>
      </c>
      <c r="J13" s="121"/>
      <c r="K13" s="121"/>
      <c r="L13" s="121"/>
      <c r="M13" s="121"/>
      <c r="N13" s="121"/>
      <c r="O13" s="121"/>
      <c r="P13" s="121"/>
      <c r="Q13" s="121"/>
      <c r="R13" s="121"/>
      <c r="S13" s="121"/>
      <c r="T13" s="121"/>
      <c r="U13" s="121"/>
      <c r="V13" s="121"/>
      <c r="W13" s="121"/>
      <c r="X13" s="121"/>
      <c r="Y13" s="121"/>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row>
    <row r="14" spans="1:57">
      <c r="A14" s="120"/>
      <c r="B14" s="120"/>
      <c r="C14" s="120"/>
      <c r="D14" s="120"/>
      <c r="E14" s="120"/>
      <c r="F14" s="120"/>
      <c r="G14" s="120"/>
      <c r="H14" s="120"/>
      <c r="AZ14" s="120"/>
    </row>
    <row r="15" spans="1:57">
      <c r="A15" s="121" t="s">
        <v>946</v>
      </c>
      <c r="B15" s="122">
        <f>FL_FME_p.employee</f>
        <v>4.5</v>
      </c>
      <c r="C15" s="122">
        <f>SE_FME_p.employee</f>
        <v>3.7</v>
      </c>
      <c r="D15" s="122">
        <f>BOCA_FME_p.employee</f>
        <v>3.3</v>
      </c>
      <c r="E15" s="122">
        <f>SW_FME_p.employee</f>
        <v>4.2</v>
      </c>
      <c r="F15" s="122">
        <f>SWCIRA_FME_p.employee</f>
        <v>8.9</v>
      </c>
      <c r="G15" s="122">
        <f>NC_FME_p.employee</f>
        <v>4.9000000000000004</v>
      </c>
      <c r="H15" s="122">
        <f>YB_FME_p.employee</f>
        <v>8.6</v>
      </c>
      <c r="J15" s="122"/>
      <c r="K15" s="122" t="e">
        <f>'IN ROWS'!#REF!</f>
        <v>#REF!</v>
      </c>
      <c r="L15" s="122"/>
      <c r="M15" s="122" t="e">
        <f>'IN ROWS'!#REF!</f>
        <v>#REF!</v>
      </c>
      <c r="N15" s="122"/>
      <c r="O15" s="122" t="e">
        <f>'IN ROWS'!#REF!</f>
        <v>#REF!</v>
      </c>
      <c r="P15" s="122"/>
      <c r="Q15" s="122" t="e">
        <f>'IN ROWS'!#REF!</f>
        <v>#REF!</v>
      </c>
      <c r="R15" s="122"/>
      <c r="S15" s="122" t="e">
        <f>'IN ROWS'!#REF!</f>
        <v>#REF!</v>
      </c>
      <c r="T15" s="122"/>
      <c r="U15" s="122" t="e">
        <f>'IN ROWS'!#REF!</f>
        <v>#REF!</v>
      </c>
      <c r="V15" s="122"/>
      <c r="W15" s="122" t="e">
        <f>'IN ROWS'!#REF!</f>
        <v>#REF!</v>
      </c>
      <c r="X15" s="122"/>
      <c r="Y15" s="122" t="e">
        <f>'IN ROWS'!#REF!</f>
        <v>#REF!</v>
      </c>
      <c r="Z15" s="122"/>
      <c r="AA15" s="122" t="e">
        <f>'IN ROWS'!#REF!</f>
        <v>#REF!</v>
      </c>
      <c r="AB15" s="122"/>
      <c r="AC15" s="122" t="e">
        <f>'IN ROWS'!#REF!</f>
        <v>#REF!</v>
      </c>
      <c r="AD15" s="122"/>
      <c r="AE15" s="122" t="e">
        <f>'IN ROWS'!#REF!</f>
        <v>#REF!</v>
      </c>
      <c r="AF15" s="122"/>
      <c r="AG15" s="122" t="e">
        <f>'IN ROWS'!#REF!</f>
        <v>#REF!</v>
      </c>
      <c r="AH15" s="122"/>
      <c r="AI15" s="122" t="e">
        <f>'IN ROWS'!#REF!</f>
        <v>#REF!</v>
      </c>
      <c r="AJ15" s="122"/>
      <c r="AK15" s="122" t="e">
        <f>'IN ROWS'!#REF!</f>
        <v>#REF!</v>
      </c>
      <c r="AL15" s="122"/>
      <c r="AM15" s="122" t="e">
        <f>'IN ROWS'!#REF!</f>
        <v>#REF!</v>
      </c>
      <c r="AN15" s="122"/>
      <c r="AO15" s="122" t="e">
        <f>'IN ROWS'!#REF!</f>
        <v>#REF!</v>
      </c>
      <c r="AP15" s="122"/>
      <c r="AQ15" s="122" t="e">
        <f>'IN ROWS'!#REF!</f>
        <v>#REF!</v>
      </c>
      <c r="AR15" s="122"/>
      <c r="AS15" s="122" t="e">
        <f>'IN ROWS'!#REF!</f>
        <v>#REF!</v>
      </c>
      <c r="AT15" s="122"/>
      <c r="AU15" s="122" t="e">
        <f>'IN ROWS'!#REF!</f>
        <v>#REF!</v>
      </c>
      <c r="AV15" s="122"/>
      <c r="AW15" s="122" t="e">
        <f>'IN ROWS'!#REF!</f>
        <v>#REF!</v>
      </c>
      <c r="AX15" s="122"/>
      <c r="AY15" s="122" t="e">
        <f>'IN ROWS'!#REF!</f>
        <v>#REF!</v>
      </c>
      <c r="AZ15" s="122"/>
    </row>
    <row r="16" spans="1:57">
      <c r="A16" s="121" t="s">
        <v>723</v>
      </c>
      <c r="B16" s="124"/>
      <c r="C16" s="124"/>
      <c r="D16" s="124"/>
      <c r="E16" s="124"/>
      <c r="F16" s="124"/>
      <c r="G16" s="124"/>
      <c r="H16" s="124"/>
      <c r="J16" s="124"/>
      <c r="K16" s="124"/>
      <c r="L16" s="124"/>
      <c r="M16" s="124"/>
      <c r="N16" s="124"/>
      <c r="O16" s="124"/>
      <c r="P16" s="124"/>
      <c r="Q16" s="124"/>
      <c r="R16" s="124"/>
      <c r="S16" s="124"/>
      <c r="T16" s="124"/>
      <c r="U16" s="124"/>
      <c r="V16" s="124"/>
      <c r="W16" s="124"/>
      <c r="X16" s="124"/>
      <c r="Y16" s="124"/>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row>
    <row r="17" spans="1:57">
      <c r="A17" s="121" t="s">
        <v>2145</v>
      </c>
      <c r="B17" s="125">
        <f>FL_dues_HIGH_CY</f>
        <v>18600</v>
      </c>
      <c r="C17" s="125">
        <f>SE_dues_HIGH_CY</f>
        <v>20400</v>
      </c>
      <c r="D17" s="125">
        <f>BOCA_dues_HIGH_CY</f>
        <v>24600</v>
      </c>
      <c r="E17" s="125">
        <f>SW_dues_HIGH_CY</f>
        <v>15600</v>
      </c>
      <c r="F17" s="125">
        <f>SWCIRA_dues_HIGH_CY</f>
        <v>7100</v>
      </c>
      <c r="G17" s="125">
        <f>NC_dues_HIGH_CY</f>
        <v>15500</v>
      </c>
      <c r="H17" s="125">
        <f>YB_dues_HIGH_CY</f>
        <v>8500</v>
      </c>
      <c r="J17" s="125"/>
      <c r="K17" s="125">
        <f>'IN ROWS'!$W10</f>
        <v>11312</v>
      </c>
      <c r="L17" s="125"/>
      <c r="M17" s="125">
        <f>'IN ROWS'!$W11</f>
        <v>17360</v>
      </c>
      <c r="N17" s="125"/>
      <c r="O17" s="125">
        <f>'IN ROWS'!$W12</f>
        <v>22200</v>
      </c>
      <c r="P17" s="125"/>
      <c r="Q17" s="125">
        <f>'IN ROWS'!$W16</f>
        <v>16828.75</v>
      </c>
      <c r="R17" s="125"/>
      <c r="S17" s="125">
        <f>'IN ROWS'!$W17</f>
        <v>18818</v>
      </c>
      <c r="T17" s="125"/>
      <c r="U17" s="125">
        <f>'IN ROWS'!$W18</f>
        <v>23047.5</v>
      </c>
      <c r="V17" s="125"/>
      <c r="W17" s="125">
        <f>'IN ROWS'!$W22</f>
        <v>21605</v>
      </c>
      <c r="X17" s="125"/>
      <c r="Y17" s="125">
        <f>'IN ROWS'!$W23</f>
        <v>23970</v>
      </c>
      <c r="Z17" s="125"/>
      <c r="AA17" s="125">
        <f>'IN ROWS'!$W24</f>
        <v>25433</v>
      </c>
      <c r="AB17" s="125"/>
      <c r="AC17" s="125">
        <f>'IN ROWS'!$W28</f>
        <v>13500</v>
      </c>
      <c r="AD17" s="125"/>
      <c r="AE17" s="125">
        <f>'IN ROWS'!$W29</f>
        <v>14175</v>
      </c>
      <c r="AF17" s="125"/>
      <c r="AG17" s="125">
        <f>'IN ROWS'!$W30</f>
        <v>17376</v>
      </c>
      <c r="AH17" s="125"/>
      <c r="AI17" s="125">
        <f>'IN ROWS'!$W34</f>
        <v>5889</v>
      </c>
      <c r="AJ17" s="125"/>
      <c r="AK17" s="125">
        <f>'IN ROWS'!$W35</f>
        <v>6181</v>
      </c>
      <c r="AL17" s="125"/>
      <c r="AM17" s="125">
        <f>'IN ROWS'!$W36</f>
        <v>6839</v>
      </c>
      <c r="AN17" s="125"/>
      <c r="AO17" s="125" t="e">
        <f>'IN ROWS'!$W40</f>
        <v>#NUM!</v>
      </c>
      <c r="AP17" s="125"/>
      <c r="AQ17" s="125" t="e">
        <f>'IN ROWS'!$W41</f>
        <v>#NUM!</v>
      </c>
      <c r="AR17" s="125"/>
      <c r="AS17" s="125" t="e">
        <f>'IN ROWS'!$W42</f>
        <v>#NUM!</v>
      </c>
      <c r="AT17" s="125"/>
      <c r="AU17" s="125">
        <f>'IN ROWS'!$W46</f>
        <v>4920</v>
      </c>
      <c r="AV17" s="125"/>
      <c r="AW17" s="125">
        <f>'IN ROWS'!$W47</f>
        <v>5740</v>
      </c>
      <c r="AX17" s="125"/>
      <c r="AY17" s="125">
        <f>'IN ROWS'!$W48</f>
        <v>6560</v>
      </c>
      <c r="AZ17" s="125"/>
    </row>
    <row r="18" spans="1:57">
      <c r="A18" s="121" t="s">
        <v>723</v>
      </c>
      <c r="B18" s="125"/>
      <c r="C18" s="125"/>
      <c r="D18" s="125"/>
      <c r="E18" s="125"/>
      <c r="F18" s="125"/>
      <c r="G18" s="125"/>
      <c r="H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25"/>
      <c r="AW18" s="125"/>
      <c r="AX18" s="125"/>
      <c r="AY18" s="125"/>
      <c r="AZ18" s="125"/>
    </row>
    <row r="19" spans="1:57">
      <c r="A19" s="121" t="s">
        <v>818</v>
      </c>
      <c r="B19" s="125">
        <f>FL_tot_init_HIGH</f>
        <v>129000</v>
      </c>
      <c r="C19" s="125">
        <f>SE_tot_init_HIGH</f>
        <v>176500</v>
      </c>
      <c r="D19" s="125">
        <f>BOCA_tot_init_HIGH</f>
        <v>121700</v>
      </c>
      <c r="E19" s="125">
        <f>SW_tot_init_HIGH</f>
        <v>111400</v>
      </c>
      <c r="F19" s="125">
        <f>SWCIRA_tot_init_HIGH</f>
        <v>5500</v>
      </c>
      <c r="G19" s="125">
        <f>NC_tot_init_HIGH</f>
        <v>102200</v>
      </c>
      <c r="H19" s="125">
        <f>YB_tot_init_HIGH</f>
        <v>84700</v>
      </c>
      <c r="J19" s="125"/>
      <c r="K19" s="125">
        <f>'IN ROWS'!$S10</f>
        <v>42500</v>
      </c>
      <c r="L19" s="125"/>
      <c r="M19" s="125">
        <f>'IN ROWS'!$S11</f>
        <v>90000</v>
      </c>
      <c r="N19" s="125"/>
      <c r="O19" s="125">
        <f>'IN ROWS'!$S12</f>
        <v>150000</v>
      </c>
      <c r="P19" s="125"/>
      <c r="Q19" s="125">
        <f>'IN ROWS'!$S16</f>
        <v>81250</v>
      </c>
      <c r="R19" s="125"/>
      <c r="S19" s="125">
        <f>'IN ROWS'!$S17</f>
        <v>137500</v>
      </c>
      <c r="T19" s="125"/>
      <c r="U19" s="125">
        <f>'IN ROWS'!$S18</f>
        <v>168750</v>
      </c>
      <c r="V19" s="125"/>
      <c r="W19" s="125">
        <f>'IN ROWS'!$S22</f>
        <v>95000</v>
      </c>
      <c r="X19" s="125"/>
      <c r="Y19" s="125">
        <f>'IN ROWS'!$S23</f>
        <v>110000</v>
      </c>
      <c r="Z19" s="125"/>
      <c r="AA19" s="125">
        <f>'IN ROWS'!$S24</f>
        <v>150000</v>
      </c>
      <c r="AB19" s="125"/>
      <c r="AC19" s="125">
        <f>'IN ROWS'!$S28</f>
        <v>75000</v>
      </c>
      <c r="AD19" s="125"/>
      <c r="AE19" s="125">
        <f>'IN ROWS'!$S29</f>
        <v>85000</v>
      </c>
      <c r="AF19" s="125"/>
      <c r="AG19" s="125">
        <f>'IN ROWS'!$S30</f>
        <v>125000</v>
      </c>
      <c r="AH19" s="125"/>
      <c r="AI19" s="125">
        <f>'IN ROWS'!$S34</f>
        <v>4250</v>
      </c>
      <c r="AJ19" s="125"/>
      <c r="AK19" s="125">
        <f>'IN ROWS'!$S35</f>
        <v>5200</v>
      </c>
      <c r="AL19" s="125"/>
      <c r="AM19" s="125">
        <f>'IN ROWS'!$S36</f>
        <v>6934</v>
      </c>
      <c r="AN19" s="125"/>
      <c r="AO19" s="125" t="e">
        <f>'IN ROWS'!$S40</f>
        <v>#NUM!</v>
      </c>
      <c r="AP19" s="125"/>
      <c r="AQ19" s="125" t="e">
        <f>'IN ROWS'!$S41</f>
        <v>#NUM!</v>
      </c>
      <c r="AR19" s="125"/>
      <c r="AS19" s="125" t="e">
        <f>'IN ROWS'!$S42</f>
        <v>#NUM!</v>
      </c>
      <c r="AT19" s="125"/>
      <c r="AU19" s="125">
        <f>'IN ROWS'!$S46</f>
        <v>30000</v>
      </c>
      <c r="AV19" s="125"/>
      <c r="AW19" s="125">
        <f>'IN ROWS'!$S47</f>
        <v>35000</v>
      </c>
      <c r="AX19" s="125"/>
      <c r="AY19" s="125">
        <f>'IN ROWS'!$S48</f>
        <v>40000</v>
      </c>
      <c r="AZ19" s="125"/>
    </row>
    <row r="20" spans="1:57">
      <c r="A20" s="121" t="s">
        <v>723</v>
      </c>
      <c r="B20" s="125"/>
      <c r="C20" s="125"/>
      <c r="D20" s="125"/>
      <c r="E20" s="125"/>
      <c r="F20" s="125"/>
      <c r="G20" s="125"/>
      <c r="H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row>
    <row r="21" spans="1:57" s="127" customFormat="1">
      <c r="A21" s="121" t="s">
        <v>819</v>
      </c>
      <c r="B21" s="126">
        <f>FL_ref_equity_perc_HIGH</f>
        <v>0.08</v>
      </c>
      <c r="C21" s="126">
        <f>SE_ref_equity_perc_HIGH</f>
        <v>0.12</v>
      </c>
      <c r="D21" s="126">
        <f>BOCA_ref_equity_perc_HIGH</f>
        <v>7.0000000000000007E-2</v>
      </c>
      <c r="E21" s="126">
        <f>SW_ref_equity_perc_HIGH</f>
        <v>0.03</v>
      </c>
      <c r="F21" s="126">
        <f>SWCIRA_ref_equity_perc_HIGH</f>
        <v>0</v>
      </c>
      <c r="G21" s="126">
        <f>NC_ref_equity_perc_HIGH</f>
        <v>7.0000000000000007E-2</v>
      </c>
      <c r="H21" s="126">
        <f>YB_ref_equity_perc_HIGH</f>
        <v>0.11</v>
      </c>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C21" s="1062">
        <v>0</v>
      </c>
      <c r="BD21" s="1064">
        <f>BC21-F21</f>
        <v>0</v>
      </c>
      <c r="BE21" s="116" t="s">
        <v>1164</v>
      </c>
    </row>
    <row r="22" spans="1:57">
      <c r="A22" s="121" t="s">
        <v>723</v>
      </c>
      <c r="B22" s="123"/>
      <c r="C22" s="123"/>
      <c r="D22" s="123"/>
      <c r="E22" s="123"/>
      <c r="F22" s="123"/>
      <c r="G22" s="123"/>
      <c r="H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row>
    <row r="23" spans="1:57" s="127" customFormat="1">
      <c r="A23" s="121" t="s">
        <v>820</v>
      </c>
    </row>
    <row r="24" spans="1:57" s="127" customFormat="1">
      <c r="A24" s="121" t="s">
        <v>974</v>
      </c>
      <c r="B24" s="128">
        <f>FL_tl_memcost_HIGH</f>
        <v>26240</v>
      </c>
      <c r="C24" s="128">
        <f>SE_tl_memcost_HIGH</f>
        <v>25973.85</v>
      </c>
      <c r="D24" s="128">
        <f>BOCA_tl_memcost_HIGH</f>
        <v>32890</v>
      </c>
      <c r="E24" s="128">
        <f>SW_tl_memcost_HIGH</f>
        <v>21250</v>
      </c>
      <c r="F24" s="128">
        <f>SWCIRA_tl_memcost_HIGH</f>
        <v>9980</v>
      </c>
      <c r="G24" s="128">
        <f>NC_tl_memcost_HIGH</f>
        <v>21400</v>
      </c>
      <c r="H24" s="128">
        <f>YB_tl_memcost_HIGH</f>
        <v>14010</v>
      </c>
      <c r="J24" s="128"/>
      <c r="K24" s="128">
        <f>'IN ROWS'!$AQ10</f>
        <v>14040</v>
      </c>
      <c r="L24" s="128"/>
      <c r="M24" s="128">
        <f>'IN ROWS'!$AQ11</f>
        <v>19010</v>
      </c>
      <c r="N24" s="128"/>
      <c r="O24" s="128">
        <f>'IN ROWS'!$AQ12</f>
        <v>23900</v>
      </c>
      <c r="P24" s="128"/>
      <c r="Q24" s="128">
        <f>'IN ROWS'!$AQ16</f>
        <v>18101.25</v>
      </c>
      <c r="R24" s="128"/>
      <c r="S24" s="128">
        <f>'IN ROWS'!$AQ17</f>
        <v>22909</v>
      </c>
      <c r="T24" s="128"/>
      <c r="U24" s="128">
        <f>'IN ROWS'!$AQ18</f>
        <v>25563.75</v>
      </c>
      <c r="V24" s="128"/>
      <c r="W24" s="128">
        <f>'IN ROWS'!$AQ22</f>
        <v>20638</v>
      </c>
      <c r="X24" s="128"/>
      <c r="Y24" s="128">
        <f>'IN ROWS'!$AQ23</f>
        <v>27431</v>
      </c>
      <c r="Z24" s="128"/>
      <c r="AA24" s="128">
        <f>'IN ROWS'!$AQ24</f>
        <v>35138</v>
      </c>
      <c r="AB24" s="128"/>
      <c r="AC24" s="128">
        <f>'IN ROWS'!$AQ28</f>
        <v>17025</v>
      </c>
      <c r="AD24" s="128"/>
      <c r="AE24" s="128">
        <f>'IN ROWS'!$AQ29</f>
        <v>18568</v>
      </c>
      <c r="AF24" s="128"/>
      <c r="AG24" s="128">
        <f>'IN ROWS'!$AQ30</f>
        <v>23550</v>
      </c>
      <c r="AH24" s="128"/>
      <c r="AI24" s="128">
        <f>'IN ROWS'!$AQ34</f>
        <v>6434</v>
      </c>
      <c r="AJ24" s="128"/>
      <c r="AK24" s="128">
        <f>'IN ROWS'!$AQ35</f>
        <v>7024</v>
      </c>
      <c r="AL24" s="128"/>
      <c r="AM24" s="128">
        <f>'IN ROWS'!$AQ36</f>
        <v>8009</v>
      </c>
      <c r="AN24" s="128"/>
      <c r="AO24" s="128" t="e">
        <f>'IN ROWS'!$AQ40</f>
        <v>#NUM!</v>
      </c>
      <c r="AP24" s="128"/>
      <c r="AQ24" s="128" t="e">
        <f>'IN ROWS'!$AQ41</f>
        <v>#NUM!</v>
      </c>
      <c r="AR24" s="128"/>
      <c r="AS24" s="128" t="e">
        <f>'IN ROWS'!$AQ42</f>
        <v>#NUM!</v>
      </c>
      <c r="AT24" s="128"/>
      <c r="AU24" s="128">
        <f>'IN ROWS'!$AQ46</f>
        <v>5768.5</v>
      </c>
      <c r="AV24" s="128"/>
      <c r="AW24" s="128">
        <f>'IN ROWS'!$AQ47</f>
        <v>6334</v>
      </c>
      <c r="AX24" s="128"/>
      <c r="AY24" s="128">
        <f>'IN ROWS'!$AQ48</f>
        <v>6899.5</v>
      </c>
      <c r="AZ24" s="128"/>
    </row>
    <row r="25" spans="1:57" s="127" customFormat="1">
      <c r="A25" s="121" t="s">
        <v>723</v>
      </c>
    </row>
    <row r="26" spans="1:57" s="127" customFormat="1">
      <c r="A26" s="121" t="s">
        <v>1149</v>
      </c>
      <c r="B26" s="129">
        <f>FL_dues_Inc_HIGH</f>
        <v>0.94</v>
      </c>
      <c r="C26" s="129">
        <f>SE_dues_Inc_HIGH</f>
        <v>1</v>
      </c>
      <c r="D26" s="129">
        <f>BOCA_dues_Inc_HIGH</f>
        <v>0.94</v>
      </c>
      <c r="E26" s="129">
        <f>SW_dues_Inc_HIGH</f>
        <v>1</v>
      </c>
      <c r="F26" s="129">
        <f>SWCIRA_dues_Inc_HIGH</f>
        <v>0.94</v>
      </c>
      <c r="G26" s="129">
        <f>NC_dues_Inc_HIGH</f>
        <v>0.83</v>
      </c>
      <c r="H26" s="129">
        <f>YB_dues_Inc_HIGH</f>
        <v>1</v>
      </c>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row>
    <row r="27" spans="1:57" s="127" customFormat="1">
      <c r="A27" s="121" t="s">
        <v>723</v>
      </c>
    </row>
    <row r="28" spans="1:57" s="127" customFormat="1" hidden="1">
      <c r="A28" s="121" t="s">
        <v>1155</v>
      </c>
      <c r="B28" s="125">
        <f>FL_dues_LOW_CY</f>
        <v>0</v>
      </c>
      <c r="C28" s="125">
        <f>SE_dues_LOW_CY</f>
        <v>0</v>
      </c>
      <c r="D28" s="125">
        <f>BOCA_dues_LOW_CY</f>
        <v>0</v>
      </c>
      <c r="E28" s="125">
        <f>SW_dues_LOW_CY</f>
        <v>0</v>
      </c>
      <c r="F28" s="125">
        <f>SWCIRA_dues_LOW_CY</f>
        <v>0</v>
      </c>
      <c r="G28" s="125">
        <f>NC_dues_LOW_CY</f>
        <v>0</v>
      </c>
      <c r="H28" s="125">
        <f>YB_dues_LOW_CY</f>
        <v>0</v>
      </c>
      <c r="J28" s="125"/>
      <c r="K28" s="125">
        <f>'IN ROWS'!$Y10</f>
        <v>0</v>
      </c>
      <c r="L28" s="125"/>
      <c r="M28" s="125">
        <f>'IN ROWS'!$Y11</f>
        <v>0</v>
      </c>
      <c r="N28" s="125"/>
      <c r="O28" s="125">
        <f>'IN ROWS'!$Y12</f>
        <v>0</v>
      </c>
      <c r="P28" s="125"/>
      <c r="Q28" s="125">
        <f>'IN ROWS'!$Y16</f>
        <v>0</v>
      </c>
      <c r="R28" s="125"/>
      <c r="S28" s="125">
        <f>'IN ROWS'!$Y17</f>
        <v>0</v>
      </c>
      <c r="T28" s="125"/>
      <c r="U28" s="125">
        <f>'IN ROWS'!$Y18</f>
        <v>0</v>
      </c>
      <c r="V28" s="125"/>
      <c r="W28" s="125">
        <f>'IN ROWS'!$Y22</f>
        <v>0</v>
      </c>
      <c r="X28" s="125"/>
      <c r="Y28" s="125">
        <f>'IN ROWS'!$Y23</f>
        <v>0</v>
      </c>
      <c r="Z28" s="125"/>
      <c r="AA28" s="125">
        <f>'IN ROWS'!$Y24</f>
        <v>0</v>
      </c>
      <c r="AB28" s="125"/>
      <c r="AC28" s="125">
        <f>'IN ROWS'!$Y28</f>
        <v>0</v>
      </c>
      <c r="AD28" s="125"/>
      <c r="AE28" s="125">
        <f>'IN ROWS'!$Y29</f>
        <v>0</v>
      </c>
      <c r="AF28" s="125"/>
      <c r="AG28" s="125">
        <f>'IN ROWS'!$Y30</f>
        <v>0</v>
      </c>
      <c r="AH28" s="125"/>
      <c r="AI28" s="125">
        <f>'IN ROWS'!$Y34</f>
        <v>0</v>
      </c>
      <c r="AJ28" s="125"/>
      <c r="AK28" s="125">
        <f>'IN ROWS'!$Y35</f>
        <v>0</v>
      </c>
      <c r="AL28" s="125"/>
      <c r="AM28" s="125">
        <f>'IN ROWS'!$Y36</f>
        <v>0</v>
      </c>
      <c r="AN28" s="125"/>
      <c r="AO28" s="125">
        <f>'IN ROWS'!$Y40</f>
        <v>0</v>
      </c>
      <c r="AP28" s="125"/>
      <c r="AQ28" s="125">
        <f>'IN ROWS'!$Y41</f>
        <v>0</v>
      </c>
      <c r="AR28" s="125"/>
      <c r="AS28" s="125">
        <f>'IN ROWS'!$Y42</f>
        <v>0</v>
      </c>
      <c r="AT28" s="125"/>
      <c r="AU28" s="125">
        <f>'IN ROWS'!$Y46</f>
        <v>0</v>
      </c>
      <c r="AV28" s="125"/>
      <c r="AW28" s="125">
        <f>'IN ROWS'!$Y47</f>
        <v>0</v>
      </c>
      <c r="AX28" s="125"/>
      <c r="AY28" s="125">
        <f>'IN ROWS'!$Y48</f>
        <v>0</v>
      </c>
      <c r="AZ28" s="125"/>
    </row>
    <row r="29" spans="1:57" s="127" customFormat="1" hidden="1">
      <c r="A29" s="121" t="s">
        <v>723</v>
      </c>
    </row>
    <row r="30" spans="1:57" hidden="1">
      <c r="A30" s="121" t="s">
        <v>821</v>
      </c>
      <c r="B30" s="125">
        <f>FL_tot_init_LOW</f>
        <v>0</v>
      </c>
      <c r="C30" s="125">
        <f>SE_tot_init_LOW</f>
        <v>0</v>
      </c>
      <c r="D30" s="125">
        <f>BOCA_tot_init_LOW</f>
        <v>0</v>
      </c>
      <c r="E30" s="125">
        <f>SW_tot_init_LOW</f>
        <v>0</v>
      </c>
      <c r="F30" s="125">
        <f>SWCIRA_tot_init_LOW</f>
        <v>0</v>
      </c>
      <c r="G30" s="125">
        <f>NC_tot_init_LOW</f>
        <v>0</v>
      </c>
      <c r="H30" s="125">
        <f>YB_tot_init_LOW</f>
        <v>0</v>
      </c>
      <c r="J30" s="125"/>
      <c r="K30" s="125">
        <f>'IN ROWS'!$V10</f>
        <v>0</v>
      </c>
      <c r="L30" s="125"/>
      <c r="M30" s="125">
        <f>'IN ROWS'!$V11</f>
        <v>0</v>
      </c>
      <c r="N30" s="125"/>
      <c r="O30" s="125">
        <f>'IN ROWS'!$V12</f>
        <v>0</v>
      </c>
      <c r="P30" s="125"/>
      <c r="Q30" s="125">
        <f>'IN ROWS'!$V16</f>
        <v>0</v>
      </c>
      <c r="R30" s="125"/>
      <c r="S30" s="125">
        <f>'IN ROWS'!$V17</f>
        <v>0</v>
      </c>
      <c r="T30" s="125"/>
      <c r="U30" s="125">
        <f>'IN ROWS'!$V18</f>
        <v>0</v>
      </c>
      <c r="V30" s="125"/>
      <c r="W30" s="125">
        <f>'IN ROWS'!$V22</f>
        <v>0</v>
      </c>
      <c r="X30" s="125"/>
      <c r="Y30" s="125">
        <f>'IN ROWS'!$V23</f>
        <v>0</v>
      </c>
      <c r="Z30" s="125"/>
      <c r="AA30" s="125">
        <f>'IN ROWS'!$V24</f>
        <v>0</v>
      </c>
      <c r="AB30" s="125"/>
      <c r="AC30" s="125">
        <f>'IN ROWS'!$V28</f>
        <v>0</v>
      </c>
      <c r="AD30" s="125"/>
      <c r="AE30" s="125">
        <f>'IN ROWS'!$V29</f>
        <v>0</v>
      </c>
      <c r="AF30" s="125"/>
      <c r="AG30" s="125">
        <f>'IN ROWS'!$V30</f>
        <v>0</v>
      </c>
      <c r="AH30" s="125"/>
      <c r="AI30" s="125">
        <f>'IN ROWS'!$V34</f>
        <v>0</v>
      </c>
      <c r="AJ30" s="125"/>
      <c r="AK30" s="125">
        <f>'IN ROWS'!$V35</f>
        <v>0</v>
      </c>
      <c r="AL30" s="125"/>
      <c r="AM30" s="125">
        <f>'IN ROWS'!$V36</f>
        <v>0</v>
      </c>
      <c r="AN30" s="125"/>
      <c r="AO30" s="125">
        <f>'IN ROWS'!$V40</f>
        <v>0</v>
      </c>
      <c r="AP30" s="125"/>
      <c r="AQ30" s="125">
        <f>'IN ROWS'!$V41</f>
        <v>0</v>
      </c>
      <c r="AR30" s="125"/>
      <c r="AS30" s="125">
        <f>'IN ROWS'!$V42</f>
        <v>0</v>
      </c>
      <c r="AT30" s="125"/>
      <c r="AU30" s="125">
        <f>'IN ROWS'!$V46</f>
        <v>0</v>
      </c>
      <c r="AV30" s="125"/>
      <c r="AW30" s="125">
        <f>'IN ROWS'!$V47</f>
        <v>0</v>
      </c>
      <c r="AX30" s="125"/>
      <c r="AY30" s="125">
        <f>'IN ROWS'!$V48</f>
        <v>0</v>
      </c>
      <c r="AZ30" s="125"/>
    </row>
    <row r="31" spans="1:57" hidden="1">
      <c r="A31" s="121" t="s">
        <v>723</v>
      </c>
      <c r="B31" s="125"/>
      <c r="C31" s="125"/>
      <c r="D31" s="125"/>
      <c r="E31" s="125"/>
      <c r="F31" s="125"/>
      <c r="G31" s="125"/>
      <c r="H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row>
    <row r="32" spans="1:57" s="127" customFormat="1" hidden="1">
      <c r="A32" s="121" t="s">
        <v>822</v>
      </c>
    </row>
    <row r="33" spans="1:52" s="127" customFormat="1" hidden="1">
      <c r="A33" s="121" t="s">
        <v>815</v>
      </c>
      <c r="B33" s="128">
        <f>FL_tl_memcost_LOW</f>
        <v>0</v>
      </c>
      <c r="C33" s="128">
        <f>SE_tl_memcost_LOW</f>
        <v>0</v>
      </c>
      <c r="D33" s="128">
        <f>BOCA_tl_memcost_LOW</f>
        <v>0</v>
      </c>
      <c r="E33" s="128">
        <f>SW_tl_memcost_LOW</f>
        <v>0</v>
      </c>
      <c r="F33" s="128">
        <f>SWCIRA_tl_memcost_LOW</f>
        <v>0</v>
      </c>
      <c r="G33" s="128">
        <f>NC_tl_memcost_LOW</f>
        <v>0</v>
      </c>
      <c r="H33" s="128">
        <f>YB_tl_memcost_LOW</f>
        <v>0</v>
      </c>
      <c r="J33" s="128"/>
      <c r="K33" s="128" t="e">
        <f>'IN ROWS'!$AR10</f>
        <v>#NUM!</v>
      </c>
      <c r="L33" s="128"/>
      <c r="M33" s="128" t="e">
        <f>'IN ROWS'!$AR11</f>
        <v>#NUM!</v>
      </c>
      <c r="N33" s="128"/>
      <c r="O33" s="128" t="e">
        <f>'IN ROWS'!$AR12</f>
        <v>#NUM!</v>
      </c>
      <c r="P33" s="128"/>
      <c r="Q33" s="128" t="e">
        <f>'IN ROWS'!$AR16</f>
        <v>#NUM!</v>
      </c>
      <c r="R33" s="128"/>
      <c r="S33" s="128" t="e">
        <f>'IN ROWS'!$AR17</f>
        <v>#NUM!</v>
      </c>
      <c r="T33" s="128"/>
      <c r="U33" s="128" t="e">
        <f>'IN ROWS'!$AR18</f>
        <v>#NUM!</v>
      </c>
      <c r="V33" s="128"/>
      <c r="W33" s="128" t="e">
        <f>'IN ROWS'!$AR22</f>
        <v>#NUM!</v>
      </c>
      <c r="X33" s="128"/>
      <c r="Y33" s="128" t="e">
        <f>'IN ROWS'!$AR23</f>
        <v>#NUM!</v>
      </c>
      <c r="Z33" s="128"/>
      <c r="AA33" s="128" t="e">
        <f>'IN ROWS'!$AR24</f>
        <v>#NUM!</v>
      </c>
      <c r="AB33" s="128"/>
      <c r="AC33" s="128" t="e">
        <f>'IN ROWS'!$AR28</f>
        <v>#NUM!</v>
      </c>
      <c r="AD33" s="128"/>
      <c r="AE33" s="128" t="e">
        <f>'IN ROWS'!$AR29</f>
        <v>#NUM!</v>
      </c>
      <c r="AF33" s="128"/>
      <c r="AG33" s="128" t="e">
        <f>'IN ROWS'!$AR30</f>
        <v>#NUM!</v>
      </c>
      <c r="AH33" s="128"/>
      <c r="AI33" s="128" t="e">
        <f>'IN ROWS'!$AR34</f>
        <v>#NUM!</v>
      </c>
      <c r="AJ33" s="128"/>
      <c r="AK33" s="128" t="e">
        <f>'IN ROWS'!$AR35</f>
        <v>#NUM!</v>
      </c>
      <c r="AL33" s="128"/>
      <c r="AM33" s="128" t="e">
        <f>'IN ROWS'!$AR36</f>
        <v>#NUM!</v>
      </c>
      <c r="AN33" s="128"/>
      <c r="AO33" s="128" t="e">
        <f>'IN ROWS'!$AR40</f>
        <v>#NUM!</v>
      </c>
      <c r="AP33" s="128"/>
      <c r="AQ33" s="128" t="e">
        <f>'IN ROWS'!$AR41</f>
        <v>#NUM!</v>
      </c>
      <c r="AR33" s="128"/>
      <c r="AS33" s="128" t="e">
        <f>'IN ROWS'!$AR42</f>
        <v>#NUM!</v>
      </c>
      <c r="AT33" s="128"/>
      <c r="AU33" s="128" t="e">
        <f>'IN ROWS'!$AR46</f>
        <v>#NUM!</v>
      </c>
      <c r="AV33" s="128"/>
      <c r="AW33" s="128" t="e">
        <f>'IN ROWS'!$AR47</f>
        <v>#NUM!</v>
      </c>
      <c r="AX33" s="128"/>
      <c r="AY33" s="128" t="e">
        <f>'IN ROWS'!$AR48</f>
        <v>#NUM!</v>
      </c>
      <c r="AZ33" s="128"/>
    </row>
    <row r="34" spans="1:52" s="127" customFormat="1" hidden="1">
      <c r="A34" s="121" t="s">
        <v>723</v>
      </c>
    </row>
    <row r="35" spans="1:52" s="127" customFormat="1" hidden="1">
      <c r="A35" s="121" t="s">
        <v>823</v>
      </c>
      <c r="B35" s="129">
        <f>FL_dues_Inc_LOW</f>
        <v>0</v>
      </c>
      <c r="C35" s="129">
        <f>SE_dues_Inc_LOW</f>
        <v>0</v>
      </c>
      <c r="D35" s="129">
        <f>BOCA_dues_Inc_LOW</f>
        <v>0</v>
      </c>
      <c r="E35" s="129">
        <f>SW_dues_Inc_LOW</f>
        <v>0</v>
      </c>
      <c r="F35" s="129">
        <f>SWCIRA_dues_Inc_LOW</f>
        <v>0</v>
      </c>
      <c r="G35" s="129">
        <f>NC_dues_Inc_LOW</f>
        <v>0</v>
      </c>
      <c r="H35" s="129">
        <f>YB_dues_Inc_LOW</f>
        <v>0</v>
      </c>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row>
    <row r="36" spans="1:52" s="127" customFormat="1" hidden="1">
      <c r="A36" s="121" t="s">
        <v>723</v>
      </c>
    </row>
    <row r="37" spans="1:52" s="127" customFormat="1" hidden="1">
      <c r="A37" s="1025" t="s">
        <v>824</v>
      </c>
      <c r="B37" s="1026">
        <f>FL_resignedwaitlist</f>
        <v>0</v>
      </c>
      <c r="C37" s="1026">
        <f>SE_resignedwaitlist</f>
        <v>0</v>
      </c>
      <c r="D37" s="1026">
        <f>BOCA_resignedwaitlist</f>
        <v>0</v>
      </c>
      <c r="E37" s="1026">
        <f>SW_resignedwaitlist</f>
        <v>0</v>
      </c>
      <c r="F37" s="1027" t="s">
        <v>288</v>
      </c>
      <c r="G37" s="1026">
        <f>NC_resignedwaitlist</f>
        <v>0</v>
      </c>
      <c r="H37" s="1026">
        <f>YB_resignedwaitlist</f>
        <v>0</v>
      </c>
      <c r="J37" s="1026"/>
      <c r="K37" s="1026"/>
      <c r="L37" s="1026"/>
      <c r="M37" s="1026"/>
      <c r="N37" s="1026"/>
      <c r="O37" s="1026"/>
      <c r="P37" s="1026"/>
      <c r="Q37" s="1026"/>
      <c r="R37" s="1026"/>
      <c r="S37" s="1026"/>
      <c r="T37" s="1026"/>
      <c r="U37" s="1026"/>
      <c r="V37" s="1026"/>
      <c r="W37" s="1026"/>
      <c r="X37" s="1026"/>
      <c r="Y37" s="1026"/>
      <c r="Z37" s="1026"/>
      <c r="AA37" s="1026"/>
      <c r="AB37" s="1026"/>
      <c r="AC37" s="1026"/>
      <c r="AD37" s="1026"/>
      <c r="AE37" s="1026"/>
      <c r="AF37" s="1026"/>
      <c r="AG37" s="1026"/>
      <c r="AH37" s="1026"/>
      <c r="AI37" s="1026"/>
      <c r="AJ37" s="1026"/>
      <c r="AK37" s="1026"/>
      <c r="AL37" s="1026"/>
      <c r="AM37" s="1026"/>
      <c r="AN37" s="1026"/>
      <c r="AO37" s="1026"/>
      <c r="AP37" s="1026"/>
      <c r="AQ37" s="1026"/>
      <c r="AR37" s="1026"/>
      <c r="AS37" s="1026"/>
      <c r="AT37" s="1026"/>
      <c r="AU37" s="1026"/>
      <c r="AV37" s="1026"/>
      <c r="AW37" s="1026"/>
      <c r="AX37" s="1026"/>
      <c r="AY37" s="1026"/>
      <c r="AZ37" s="1026"/>
    </row>
    <row r="38" spans="1:52" s="127" customFormat="1" hidden="1">
      <c r="A38" s="1028"/>
      <c r="B38" s="1028"/>
      <c r="C38" s="1028"/>
      <c r="D38" s="1028"/>
      <c r="E38" s="1028"/>
      <c r="F38" s="1028"/>
      <c r="G38" s="1028"/>
      <c r="H38" s="1028"/>
      <c r="J38" s="1028"/>
      <c r="K38" s="1028"/>
      <c r="L38" s="1028"/>
      <c r="M38" s="1028"/>
      <c r="N38" s="1028"/>
      <c r="O38" s="1028"/>
      <c r="P38" s="1028"/>
      <c r="Q38" s="1028"/>
      <c r="R38" s="1028"/>
      <c r="S38" s="1028"/>
      <c r="T38" s="1028"/>
      <c r="U38" s="1028"/>
      <c r="V38" s="1028"/>
      <c r="W38" s="1028"/>
      <c r="X38" s="1028"/>
      <c r="Y38" s="1028"/>
      <c r="Z38" s="1028"/>
      <c r="AA38" s="1028"/>
      <c r="AB38" s="1028"/>
      <c r="AC38" s="1028"/>
      <c r="AD38" s="1028"/>
      <c r="AE38" s="1028"/>
      <c r="AF38" s="1028"/>
      <c r="AG38" s="1028"/>
      <c r="AH38" s="1028"/>
      <c r="AI38" s="1028"/>
      <c r="AJ38" s="1028"/>
      <c r="AK38" s="1028"/>
      <c r="AL38" s="1028"/>
      <c r="AM38" s="1028"/>
      <c r="AN38" s="1028"/>
      <c r="AO38" s="1028"/>
      <c r="AP38" s="1028"/>
      <c r="AQ38" s="1028"/>
      <c r="AR38" s="1028"/>
      <c r="AS38" s="1028"/>
      <c r="AT38" s="1028"/>
      <c r="AU38" s="1028"/>
      <c r="AV38" s="1028"/>
      <c r="AW38" s="1028"/>
      <c r="AX38" s="1028"/>
      <c r="AY38" s="1028"/>
      <c r="AZ38" s="1028"/>
    </row>
    <row r="39" spans="1:52" s="127" customFormat="1">
      <c r="A39" s="120" t="s">
        <v>812</v>
      </c>
      <c r="B39" s="130">
        <f>FL_cap_assmt</f>
        <v>0.71</v>
      </c>
      <c r="C39" s="130">
        <f>SE_cap_assmt</f>
        <v>0.56999999999999995</v>
      </c>
      <c r="D39" s="130">
        <f>BOCA_cap_assmt</f>
        <v>0.65</v>
      </c>
      <c r="E39" s="130">
        <f>SW_cap_assmt</f>
        <v>0.88</v>
      </c>
      <c r="F39" s="130">
        <f>SWCIRA_cap_assmt</f>
        <v>0.78</v>
      </c>
      <c r="G39" s="130">
        <f>NC_cap_assmt</f>
        <v>0.7</v>
      </c>
      <c r="H39" s="130">
        <f>YB_cap_assmt</f>
        <v>0.75</v>
      </c>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0"/>
      <c r="AP39" s="130"/>
      <c r="AQ39" s="130"/>
      <c r="AR39" s="130"/>
      <c r="AS39" s="130"/>
      <c r="AT39" s="130"/>
      <c r="AU39" s="130"/>
      <c r="AV39" s="130"/>
      <c r="AW39" s="130"/>
      <c r="AX39" s="130"/>
      <c r="AY39" s="130"/>
      <c r="AZ39" s="130"/>
    </row>
    <row r="40" spans="1:52" s="127" customFormat="1">
      <c r="A40" s="120"/>
    </row>
    <row r="41" spans="1:52" s="127" customFormat="1">
      <c r="A41" s="120" t="s">
        <v>813</v>
      </c>
      <c r="B41" s="130">
        <f>FL_op_assmt</f>
        <v>0.03</v>
      </c>
      <c r="C41" s="130">
        <f>SE_op_assmt</f>
        <v>0</v>
      </c>
      <c r="D41" s="130">
        <f>BOCA_op_assmt</f>
        <v>0.12</v>
      </c>
      <c r="E41" s="130">
        <f>SW_op_assmt</f>
        <v>0</v>
      </c>
      <c r="F41" s="130">
        <f>SWCIRA_op_assmt</f>
        <v>0</v>
      </c>
      <c r="G41" s="130">
        <f>NC_op_assmt</f>
        <v>0.04</v>
      </c>
      <c r="H41" s="130">
        <f>YB_op_assmt</f>
        <v>0.17</v>
      </c>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row>
    <row r="42" spans="1:52" s="127" customFormat="1">
      <c r="A42" s="992"/>
      <c r="B42" s="129"/>
      <c r="C42" s="129"/>
      <c r="D42" s="129"/>
      <c r="E42" s="129"/>
      <c r="F42" s="129"/>
      <c r="G42" s="129"/>
      <c r="H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row>
    <row r="43" spans="1:52">
      <c r="A43" s="120" t="s">
        <v>951</v>
      </c>
      <c r="B43" s="128">
        <f>FL_3rdparty_debt_perFME</f>
        <v>8640</v>
      </c>
      <c r="C43" s="128">
        <f>SE_3rdparty_debt_perFME</f>
        <v>10650</v>
      </c>
      <c r="D43" s="128">
        <f>BOCA_3rdparty_debt_perFME</f>
        <v>13300</v>
      </c>
      <c r="E43" s="128">
        <f>SW_3rdparty_debt_perFME</f>
        <v>11630</v>
      </c>
      <c r="F43" s="128">
        <f>SWCIRA_3rdparty_debt_perFME</f>
        <v>1270</v>
      </c>
      <c r="G43" s="128">
        <f>NC_3rdparty_debt_perFME</f>
        <v>5410</v>
      </c>
      <c r="H43" s="128">
        <f>YB_3rdparty_debt_perFME</f>
        <v>9800</v>
      </c>
      <c r="J43" s="128"/>
      <c r="K43" s="128" t="e">
        <f>'IN ROWS'!#REF!</f>
        <v>#REF!</v>
      </c>
      <c r="L43" s="128"/>
      <c r="M43" s="128" t="e">
        <f>'IN ROWS'!#REF!</f>
        <v>#REF!</v>
      </c>
      <c r="N43" s="128"/>
      <c r="O43" s="128" t="e">
        <f>'IN ROWS'!#REF!</f>
        <v>#REF!</v>
      </c>
      <c r="P43" s="128"/>
      <c r="Q43" s="128" t="e">
        <f>'IN ROWS'!#REF!</f>
        <v>#REF!</v>
      </c>
      <c r="R43" s="128"/>
      <c r="S43" s="128" t="e">
        <f>'IN ROWS'!#REF!</f>
        <v>#REF!</v>
      </c>
      <c r="T43" s="128"/>
      <c r="U43" s="128" t="e">
        <f>'IN ROWS'!#REF!</f>
        <v>#REF!</v>
      </c>
      <c r="V43" s="128"/>
      <c r="W43" s="128" t="e">
        <f>'IN ROWS'!#REF!</f>
        <v>#REF!</v>
      </c>
      <c r="X43" s="128"/>
      <c r="Y43" s="128" t="e">
        <f>'IN ROWS'!#REF!</f>
        <v>#REF!</v>
      </c>
      <c r="Z43" s="128"/>
      <c r="AA43" s="128" t="e">
        <f>'IN ROWS'!#REF!</f>
        <v>#REF!</v>
      </c>
      <c r="AB43" s="128"/>
      <c r="AC43" s="128" t="e">
        <f>'IN ROWS'!#REF!</f>
        <v>#REF!</v>
      </c>
      <c r="AD43" s="128"/>
      <c r="AE43" s="128" t="e">
        <f>'IN ROWS'!#REF!</f>
        <v>#REF!</v>
      </c>
      <c r="AF43" s="128"/>
      <c r="AG43" s="128" t="e">
        <f>'IN ROWS'!#REF!</f>
        <v>#REF!</v>
      </c>
      <c r="AH43" s="128"/>
      <c r="AI43" s="128" t="e">
        <f>'IN ROWS'!#REF!</f>
        <v>#REF!</v>
      </c>
      <c r="AJ43" s="128"/>
      <c r="AK43" s="128" t="e">
        <f>'IN ROWS'!#REF!</f>
        <v>#REF!</v>
      </c>
      <c r="AL43" s="128"/>
      <c r="AM43" s="128" t="e">
        <f>'IN ROWS'!#REF!</f>
        <v>#REF!</v>
      </c>
      <c r="AN43" s="128"/>
      <c r="AO43" s="128" t="e">
        <f>'IN ROWS'!#REF!</f>
        <v>#REF!</v>
      </c>
      <c r="AP43" s="128"/>
      <c r="AQ43" s="128" t="e">
        <f>'IN ROWS'!#REF!</f>
        <v>#REF!</v>
      </c>
      <c r="AR43" s="128"/>
      <c r="AS43" s="128" t="e">
        <f>'IN ROWS'!#REF!</f>
        <v>#REF!</v>
      </c>
      <c r="AT43" s="128"/>
      <c r="AU43" s="128" t="e">
        <f>'IN ROWS'!#REF!</f>
        <v>#REF!</v>
      </c>
      <c r="AV43" s="128"/>
      <c r="AW43" s="128" t="e">
        <f>'IN ROWS'!#REF!</f>
        <v>#REF!</v>
      </c>
      <c r="AX43" s="128"/>
      <c r="AY43" s="128" t="e">
        <f>'IN ROWS'!#REF!</f>
        <v>#REF!</v>
      </c>
      <c r="AZ43" s="128"/>
    </row>
    <row r="44" spans="1:52">
      <c r="A44" s="120"/>
      <c r="B44" s="128"/>
      <c r="C44" s="128"/>
      <c r="D44" s="128"/>
      <c r="E44" s="128"/>
      <c r="F44" s="128"/>
      <c r="G44" s="128"/>
      <c r="H44" s="120"/>
      <c r="AZ44" s="120"/>
    </row>
    <row r="45" spans="1:52">
      <c r="A45" s="120" t="s">
        <v>825</v>
      </c>
      <c r="B45" s="128">
        <f>FL_tl_rev</f>
        <v>16454000</v>
      </c>
      <c r="C45" s="128">
        <f>SE_tl_rev</f>
        <v>18338000</v>
      </c>
      <c r="D45" s="128">
        <f>BOCA_tl_rev</f>
        <v>27365000</v>
      </c>
      <c r="E45" s="128">
        <f>SW_tl_rev</f>
        <v>14271000</v>
      </c>
      <c r="F45" s="128">
        <f>SWCIRA_tl_rev</f>
        <v>9831000</v>
      </c>
      <c r="G45" s="128">
        <f>NC_tl_rev</f>
        <v>14156000</v>
      </c>
      <c r="H45" s="125">
        <f>YB_tl_rev</f>
        <v>9532000</v>
      </c>
      <c r="J45" s="125"/>
      <c r="K45" s="125">
        <f>'IN ROWS'!$CJ10</f>
        <v>8541107</v>
      </c>
      <c r="L45" s="125"/>
      <c r="M45" s="125">
        <f>'IN ROWS'!$CJ11</f>
        <v>11926650</v>
      </c>
      <c r="N45" s="125"/>
      <c r="O45" s="125">
        <f>'IN ROWS'!$CJ12</f>
        <v>15985297</v>
      </c>
      <c r="P45" s="125"/>
      <c r="Q45" s="125">
        <f>'IN ROWS'!$CJ16</f>
        <v>9140565</v>
      </c>
      <c r="R45" s="125"/>
      <c r="S45" s="125">
        <f>'IN ROWS'!$CJ17</f>
        <v>11954782</v>
      </c>
      <c r="T45" s="125"/>
      <c r="U45" s="125">
        <f>'IN ROWS'!$CJ18</f>
        <v>31079097.75</v>
      </c>
      <c r="V45" s="125"/>
      <c r="W45" s="125">
        <f>'IN ROWS'!$CJ22</f>
        <v>14261380</v>
      </c>
      <c r="X45" s="125"/>
      <c r="Y45" s="125">
        <f>'IN ROWS'!$CJ23</f>
        <v>15955859</v>
      </c>
      <c r="Z45" s="125"/>
      <c r="AA45" s="125">
        <f>'IN ROWS'!$CJ24</f>
        <v>36906725</v>
      </c>
      <c r="AB45" s="125"/>
      <c r="AC45" s="125">
        <f>'IN ROWS'!$CJ28</f>
        <v>7888640</v>
      </c>
      <c r="AD45" s="125"/>
      <c r="AE45" s="125">
        <f>'IN ROWS'!$CJ29</f>
        <v>9845772</v>
      </c>
      <c r="AF45" s="125"/>
      <c r="AG45" s="125">
        <f>'IN ROWS'!$CJ30</f>
        <v>13257746</v>
      </c>
      <c r="AH45" s="125"/>
      <c r="AI45" s="125">
        <f>'IN ROWS'!$CJ34</f>
        <v>7839122</v>
      </c>
      <c r="AJ45" s="125"/>
      <c r="AK45" s="125">
        <f>'IN ROWS'!$CJ35</f>
        <v>8541107</v>
      </c>
      <c r="AL45" s="125"/>
      <c r="AM45" s="125">
        <f>'IN ROWS'!$CJ36</f>
        <v>11778110</v>
      </c>
      <c r="AN45" s="125"/>
      <c r="AO45" s="125" t="e">
        <f>'IN ROWS'!$CJ40</f>
        <v>#NUM!</v>
      </c>
      <c r="AP45" s="125"/>
      <c r="AQ45" s="125" t="e">
        <f>'IN ROWS'!$CJ41</f>
        <v>#NUM!</v>
      </c>
      <c r="AR45" s="125"/>
      <c r="AS45" s="125" t="e">
        <f>'IN ROWS'!$CJ42</f>
        <v>#NUM!</v>
      </c>
      <c r="AT45" s="125"/>
      <c r="AU45" s="125">
        <f>'IN ROWS'!$CJ46</f>
        <v>6214431.75</v>
      </c>
      <c r="AV45" s="125"/>
      <c r="AW45" s="125">
        <f>'IN ROWS'!$CJ47</f>
        <v>7003304.5</v>
      </c>
      <c r="AX45" s="125"/>
      <c r="AY45" s="125">
        <f>'IN ROWS'!$CJ48</f>
        <v>7792177.25</v>
      </c>
      <c r="AZ45" s="125"/>
    </row>
    <row r="46" spans="1:52">
      <c r="A46" s="120"/>
      <c r="B46" s="128"/>
      <c r="C46" s="128"/>
      <c r="D46" s="128"/>
      <c r="E46" s="128"/>
      <c r="F46" s="128"/>
      <c r="G46" s="128"/>
      <c r="H46" s="125"/>
      <c r="K46" s="615"/>
      <c r="L46" s="615"/>
      <c r="M46" s="615"/>
      <c r="N46" s="615"/>
      <c r="O46" s="615"/>
      <c r="Q46" s="615"/>
      <c r="R46" s="615"/>
      <c r="S46" s="615"/>
      <c r="T46" s="615"/>
      <c r="U46" s="615"/>
      <c r="W46" s="615"/>
      <c r="X46" s="615"/>
      <c r="Y46" s="615"/>
      <c r="Z46" s="615"/>
      <c r="AA46" s="615"/>
      <c r="AC46" s="615"/>
      <c r="AD46" s="615"/>
      <c r="AE46" s="615"/>
      <c r="AF46" s="615"/>
      <c r="AG46" s="615"/>
      <c r="AI46" s="615"/>
      <c r="AJ46" s="615"/>
      <c r="AK46" s="615"/>
      <c r="AL46" s="615"/>
      <c r="AM46" s="615"/>
      <c r="AO46" s="615"/>
      <c r="AP46" s="615"/>
      <c r="AQ46" s="615"/>
      <c r="AR46" s="615"/>
      <c r="AS46" s="615"/>
      <c r="AU46" s="615"/>
      <c r="AV46" s="615"/>
      <c r="AW46" s="615"/>
      <c r="AX46" s="615"/>
      <c r="AY46" s="615"/>
    </row>
    <row r="47" spans="1:52">
      <c r="A47" s="121" t="s">
        <v>826</v>
      </c>
      <c r="B47" s="125">
        <f>FL_fb_rev</f>
        <v>3074100</v>
      </c>
      <c r="C47" s="125">
        <f>SE_fb_rev</f>
        <v>3139200</v>
      </c>
      <c r="D47" s="125">
        <f>BOCA_fb_rev</f>
        <v>4435600</v>
      </c>
      <c r="E47" s="125">
        <f>SW_fb_rev</f>
        <v>2916400</v>
      </c>
      <c r="F47" s="125">
        <f>SWCIRA_fb_rev</f>
        <v>1943800</v>
      </c>
      <c r="G47" s="125">
        <f>NC_fb_rev</f>
        <v>3065500</v>
      </c>
      <c r="H47" s="125">
        <f>YB_fb_rev</f>
        <v>3369100</v>
      </c>
      <c r="K47" s="615">
        <f>'IN ROWS'!$FE10</f>
        <v>1537208</v>
      </c>
      <c r="L47" s="615"/>
      <c r="M47" s="615">
        <f>'IN ROWS'!$FE11</f>
        <v>2060346</v>
      </c>
      <c r="N47" s="615"/>
      <c r="O47" s="615">
        <f>'IN ROWS'!$FE12</f>
        <v>3286905</v>
      </c>
      <c r="Q47" s="615">
        <f>'IN ROWS'!$FE16</f>
        <v>1765878.5</v>
      </c>
      <c r="R47" s="615"/>
      <c r="S47" s="615">
        <f>'IN ROWS'!$FE17</f>
        <v>1953585</v>
      </c>
      <c r="T47" s="615"/>
      <c r="U47" s="615">
        <f>'IN ROWS'!$FE18</f>
        <v>4627151</v>
      </c>
      <c r="W47" s="615">
        <f>'IN ROWS'!$FE22</f>
        <v>2010436</v>
      </c>
      <c r="X47" s="615"/>
      <c r="Y47" s="615">
        <f>'IN ROWS'!$FE23</f>
        <v>2206321</v>
      </c>
      <c r="Z47" s="615"/>
      <c r="AA47" s="615">
        <f>'IN ROWS'!$FE24</f>
        <v>4179740</v>
      </c>
      <c r="AC47" s="615">
        <f>'IN ROWS'!$FE28</f>
        <v>1271444</v>
      </c>
      <c r="AD47" s="615"/>
      <c r="AE47" s="615">
        <f>'IN ROWS'!$FE29</f>
        <v>2345227</v>
      </c>
      <c r="AF47" s="615"/>
      <c r="AG47" s="615">
        <f>'IN ROWS'!$FE30</f>
        <v>3061288</v>
      </c>
      <c r="AI47" s="615">
        <f>'IN ROWS'!$FE34</f>
        <v>1473778</v>
      </c>
      <c r="AJ47" s="615"/>
      <c r="AK47" s="615">
        <f>'IN ROWS'!$FE35</f>
        <v>1898341</v>
      </c>
      <c r="AL47" s="615"/>
      <c r="AM47" s="615">
        <f>'IN ROWS'!$FE36</f>
        <v>2603468</v>
      </c>
      <c r="AO47" s="615" t="e">
        <f>'IN ROWS'!$FE40</f>
        <v>#NUM!</v>
      </c>
      <c r="AP47" s="615"/>
      <c r="AQ47" s="615" t="e">
        <f>'IN ROWS'!$FE41</f>
        <v>#NUM!</v>
      </c>
      <c r="AR47" s="615"/>
      <c r="AS47" s="615" t="e">
        <f>'IN ROWS'!$FE42</f>
        <v>#NUM!</v>
      </c>
      <c r="AU47" s="615">
        <f>'IN ROWS'!$FE46</f>
        <v>1758142.25</v>
      </c>
      <c r="AV47" s="615"/>
      <c r="AW47" s="615">
        <f>'IN ROWS'!$FE47</f>
        <v>2260953.5</v>
      </c>
      <c r="AX47" s="615"/>
      <c r="AY47" s="615">
        <f>'IN ROWS'!$FE48</f>
        <v>2763764.75</v>
      </c>
    </row>
    <row r="48" spans="1:52">
      <c r="A48" s="120"/>
      <c r="B48" s="120"/>
      <c r="C48" s="120"/>
      <c r="D48" s="120"/>
      <c r="E48" s="120"/>
      <c r="F48" s="120"/>
      <c r="G48" s="120"/>
      <c r="H48" s="120"/>
      <c r="K48" s="615"/>
      <c r="L48" s="615"/>
      <c r="M48" s="615"/>
      <c r="N48" s="615"/>
      <c r="O48" s="615"/>
      <c r="Q48" s="615"/>
      <c r="R48" s="615"/>
      <c r="S48" s="615"/>
      <c r="T48" s="615"/>
      <c r="U48" s="615"/>
      <c r="W48" s="615"/>
      <c r="X48" s="615"/>
      <c r="Y48" s="615"/>
      <c r="Z48" s="615"/>
      <c r="AA48" s="615"/>
      <c r="AC48" s="615"/>
      <c r="AD48" s="615"/>
      <c r="AE48" s="615"/>
      <c r="AF48" s="615"/>
      <c r="AG48" s="615"/>
      <c r="AI48" s="615"/>
      <c r="AJ48" s="615"/>
      <c r="AK48" s="615"/>
      <c r="AL48" s="615"/>
      <c r="AM48" s="615"/>
      <c r="AO48" s="615"/>
      <c r="AP48" s="615"/>
      <c r="AQ48" s="615"/>
      <c r="AR48" s="615"/>
      <c r="AS48" s="615"/>
      <c r="AU48" s="615"/>
      <c r="AV48" s="615"/>
      <c r="AW48" s="615"/>
      <c r="AX48" s="615"/>
      <c r="AY48" s="615"/>
    </row>
    <row r="49" spans="1:56">
      <c r="A49" s="121" t="s">
        <v>827</v>
      </c>
      <c r="B49" s="131">
        <f>FL_fb_ratio</f>
        <v>2.4700000000000002</v>
      </c>
      <c r="C49" s="131">
        <f>SE_fb_ratio</f>
        <v>2.67</v>
      </c>
      <c r="D49" s="131">
        <f>BOCA_fb_ratio</f>
        <v>4.97</v>
      </c>
      <c r="E49" s="131">
        <f>SW_fb_ratio</f>
        <v>1.75</v>
      </c>
      <c r="F49" s="131">
        <f>SWCIRA_fb_ratio</f>
        <v>1.89</v>
      </c>
      <c r="G49" s="131">
        <f>NC_fb_ratio</f>
        <v>2.0699999999999998</v>
      </c>
      <c r="H49" s="131">
        <f>YB_fb_ratio</f>
        <v>1.91</v>
      </c>
      <c r="K49" s="619">
        <f>'IN ROWS'!$GI10</f>
        <v>1.7474953517713072</v>
      </c>
      <c r="L49" s="619"/>
      <c r="M49" s="619">
        <f>'IN ROWS'!$GI11</f>
        <v>2.1984022944064323</v>
      </c>
      <c r="N49" s="619"/>
      <c r="O49" s="619">
        <f>'IN ROWS'!$GI12</f>
        <v>4.7860231383758283</v>
      </c>
      <c r="Q49" s="619">
        <f>'IN ROWS'!$GI16</f>
        <v>1.8713053235971528</v>
      </c>
      <c r="R49" s="619"/>
      <c r="S49" s="619">
        <f>'IN ROWS'!$GI17</f>
        <v>2.6172752579862766</v>
      </c>
      <c r="T49" s="619"/>
      <c r="U49" s="619">
        <f>'IN ROWS'!$GI18</f>
        <v>4.3173129947751807</v>
      </c>
      <c r="W49" s="619">
        <f>'IN ROWS'!$GI22</f>
        <v>4.844837872599113</v>
      </c>
      <c r="X49" s="619"/>
      <c r="Y49" s="619">
        <f>'IN ROWS'!$GI23</f>
        <v>5.2662614739663693</v>
      </c>
      <c r="Z49" s="619"/>
      <c r="AA49" s="619">
        <f>'IN ROWS'!$GI24</f>
        <v>6.2742222683726956</v>
      </c>
      <c r="AC49" s="619" t="e">
        <f>'IN ROWS'!$GI28</f>
        <v>#VALUE!</v>
      </c>
      <c r="AD49" s="619"/>
      <c r="AE49" s="619">
        <f>'IN ROWS'!$GI29</f>
        <v>1.8945928445705009</v>
      </c>
      <c r="AF49" s="619"/>
      <c r="AG49" s="619">
        <f>'IN ROWS'!$GI30</f>
        <v>1.9634287106161987</v>
      </c>
      <c r="AI49" s="619">
        <f>'IN ROWS'!$GI34</f>
        <v>1.5962834290514321</v>
      </c>
      <c r="AJ49" s="619"/>
      <c r="AK49" s="619">
        <f>'IN ROWS'!$GI35</f>
        <v>1.898724319023958</v>
      </c>
      <c r="AL49" s="619"/>
      <c r="AM49" s="619">
        <f>'IN ROWS'!$GI36</f>
        <v>2.3713162820599338</v>
      </c>
      <c r="AO49" s="619" t="e">
        <f>'IN ROWS'!$GI40</f>
        <v>#NUM!</v>
      </c>
      <c r="AP49" s="619"/>
      <c r="AQ49" s="619" t="e">
        <f>'IN ROWS'!$GI41</f>
        <v>#NUM!</v>
      </c>
      <c r="AR49" s="619"/>
      <c r="AS49" s="619" t="e">
        <f>'IN ROWS'!$GI42</f>
        <v>#NUM!</v>
      </c>
      <c r="AU49" s="619">
        <f>'IN ROWS'!$GI46</f>
        <v>1.5169967277164758</v>
      </c>
      <c r="AV49" s="619"/>
      <c r="AW49" s="619">
        <f>'IN ROWS'!$GI47</f>
        <v>1.6171683343540508</v>
      </c>
      <c r="AX49" s="619"/>
      <c r="AY49" s="619">
        <f>'IN ROWS'!$GI48</f>
        <v>1.7173399409916259</v>
      </c>
    </row>
    <row r="50" spans="1:56">
      <c r="A50" s="120"/>
      <c r="B50" s="120"/>
      <c r="C50" s="120"/>
      <c r="D50" s="120"/>
      <c r="E50" s="120"/>
      <c r="F50" s="120"/>
      <c r="G50" s="120"/>
      <c r="H50" s="120"/>
      <c r="M50" s="621"/>
      <c r="S50" s="621"/>
      <c r="Y50" s="621"/>
      <c r="AE50" s="621"/>
      <c r="AK50" s="621"/>
      <c r="AQ50" s="621"/>
      <c r="AW50" s="621"/>
    </row>
    <row r="51" spans="1:56">
      <c r="A51" s="120" t="s">
        <v>856</v>
      </c>
      <c r="B51" s="133">
        <f>-'F&amp;B'!B106</f>
        <v>0.6329999999999999</v>
      </c>
      <c r="C51" s="133">
        <f>-'F&amp;B'!C106</f>
        <v>0.58699999999999986</v>
      </c>
      <c r="D51" s="133">
        <f>-'F&amp;B'!D106</f>
        <v>1.181</v>
      </c>
      <c r="E51" s="133">
        <f>-'F&amp;B'!E106</f>
        <v>0.38300000000000001</v>
      </c>
      <c r="F51" s="133">
        <f>-'F&amp;B'!F106</f>
        <v>0.47300000000000009</v>
      </c>
      <c r="G51" s="133">
        <f>-'F&amp;B'!G106</f>
        <v>0.43399999999999994</v>
      </c>
      <c r="H51" s="133">
        <f>-'F&amp;B'!H106</f>
        <v>0.27200000000000013</v>
      </c>
      <c r="K51" s="621">
        <f>-'IN ROWS'!$GH10</f>
        <v>1.0988900378804556</v>
      </c>
      <c r="L51" s="132"/>
      <c r="M51" s="621">
        <f>-'IN ROWS'!$GH11</f>
        <v>0.57299030178442678</v>
      </c>
      <c r="O51" s="621">
        <f>-'IN ROWS'!$GH12</f>
        <v>0.32706716022042404</v>
      </c>
      <c r="Q51" s="621">
        <f>-'IN ROWS'!$GH16</f>
        <v>0.84866305892323213</v>
      </c>
      <c r="R51" s="132"/>
      <c r="S51" s="621">
        <f>-'IN ROWS'!$GH17</f>
        <v>0.65974058499175792</v>
      </c>
      <c r="U51" s="621">
        <f>-'IN ROWS'!$GH18</f>
        <v>0.34841183465845377</v>
      </c>
      <c r="W51" s="621">
        <f>-'IN ROWS'!$GH22</f>
        <v>1.5061579969596746</v>
      </c>
      <c r="X51" s="132"/>
      <c r="Y51" s="621">
        <f>-'IN ROWS'!$GH23</f>
        <v>1.4481111265294013</v>
      </c>
      <c r="AA51" s="621">
        <f>-'IN ROWS'!$GH24</f>
        <v>1.2156929143728026</v>
      </c>
      <c r="AC51" s="621">
        <f>-'IN ROWS'!$GH28</f>
        <v>0.42896030025703058</v>
      </c>
      <c r="AD51" s="132"/>
      <c r="AE51" s="621">
        <f>-'IN ROWS'!$GH29</f>
        <v>0.36852954872700139</v>
      </c>
      <c r="AG51" s="621">
        <f>-'IN ROWS'!$GH30</f>
        <v>0.29190894273723056</v>
      </c>
      <c r="AI51" s="621">
        <f>-'IN ROWS'!$GH34</f>
        <v>0.65293618638367401</v>
      </c>
      <c r="AJ51" s="132"/>
      <c r="AK51" s="621">
        <f>-'IN ROWS'!$GH35</f>
        <v>0.52080382553008542</v>
      </c>
      <c r="AM51" s="621">
        <f>-'IN ROWS'!$GH36</f>
        <v>0.32706716022042404</v>
      </c>
      <c r="AO51" s="621" t="e">
        <f>-'IN ROWS'!$GH40</f>
        <v>#NUM!</v>
      </c>
      <c r="AP51" s="132"/>
      <c r="AQ51" s="621" t="e">
        <f>-'IN ROWS'!$GH41</f>
        <v>#NUM!</v>
      </c>
      <c r="AS51" s="621" t="e">
        <f>-'IN ROWS'!$GH42</f>
        <v>#NUM!</v>
      </c>
      <c r="AU51" s="621">
        <f>-'IN ROWS'!$GH46</f>
        <v>0.55976771645175771</v>
      </c>
      <c r="AV51" s="132"/>
      <c r="AW51" s="621">
        <f>-'IN ROWS'!$GH47</f>
        <v>0.4531446562876269</v>
      </c>
      <c r="AY51" s="621">
        <f>-'IN ROWS'!$GH48</f>
        <v>0.34652159612349615</v>
      </c>
    </row>
    <row r="52" spans="1:56">
      <c r="A52" s="120"/>
      <c r="C52" s="120"/>
      <c r="D52" s="120"/>
      <c r="E52" s="120"/>
      <c r="F52" s="120"/>
      <c r="G52" s="120"/>
      <c r="H52" s="120"/>
    </row>
    <row r="53" spans="1:56">
      <c r="A53" s="120" t="s">
        <v>857</v>
      </c>
      <c r="B53" s="125">
        <f>-FL_FB_loss</f>
        <v>1946400</v>
      </c>
      <c r="C53" s="125">
        <f>-SE_FB_loss</f>
        <v>1843900</v>
      </c>
      <c r="D53" s="125">
        <f>-BOCA_FB_loss</f>
        <v>5237300</v>
      </c>
      <c r="E53" s="125">
        <f>-SW_FB_loss</f>
        <v>1115600</v>
      </c>
      <c r="F53" s="125">
        <f>-SWCIRA_FB_loss</f>
        <v>919500</v>
      </c>
      <c r="G53" s="125">
        <f>-NC_FB_loss</f>
        <v>1331600</v>
      </c>
      <c r="H53" s="125">
        <f>-YB_FB_loss</f>
        <v>914900</v>
      </c>
      <c r="K53" s="615">
        <f>-'IN ROWS'!$FY10</f>
        <v>2563644</v>
      </c>
      <c r="L53" s="615"/>
      <c r="M53" s="615">
        <f>-'IN ROWS'!$FY11</f>
        <v>1044868</v>
      </c>
      <c r="N53" s="615"/>
      <c r="O53" s="615">
        <f>-'IN ROWS'!$FY12</f>
        <v>610393</v>
      </c>
      <c r="Q53" s="615">
        <f>-'IN ROWS'!$FY16</f>
        <v>2324505.7000000002</v>
      </c>
      <c r="R53" s="615"/>
      <c r="S53" s="615">
        <f>-'IN ROWS'!$FY17</f>
        <v>1299898</v>
      </c>
      <c r="T53" s="615"/>
      <c r="U53" s="615">
        <f>-'IN ROWS'!$FY18</f>
        <v>699542.5</v>
      </c>
      <c r="W53" s="615">
        <f>-'IN ROWS'!$FY22</f>
        <v>6052728</v>
      </c>
      <c r="X53" s="615"/>
      <c r="Y53" s="615">
        <f>-'IN ROWS'!$FY23</f>
        <v>3523494</v>
      </c>
      <c r="Z53" s="615"/>
      <c r="AA53" s="615">
        <f>-'IN ROWS'!$FY24</f>
        <v>2985906.8</v>
      </c>
      <c r="AC53" s="615">
        <f>-'IN ROWS'!$FY28</f>
        <v>981656</v>
      </c>
      <c r="AD53" s="615"/>
      <c r="AE53" s="615">
        <f>-'IN ROWS'!$FY29</f>
        <v>716901.39999999991</v>
      </c>
      <c r="AF53" s="615"/>
      <c r="AG53" s="615">
        <f>-'IN ROWS'!$FY30</f>
        <v>598364</v>
      </c>
      <c r="AI53" s="615">
        <f>-'IN ROWS'!$FY34</f>
        <v>1433284</v>
      </c>
      <c r="AJ53" s="615"/>
      <c r="AK53" s="615">
        <f>-'IN ROWS'!$FY35</f>
        <v>620885</v>
      </c>
      <c r="AL53" s="615"/>
      <c r="AM53" s="615">
        <f>-'IN ROWS'!$FY36</f>
        <v>567398</v>
      </c>
      <c r="AO53" s="615" t="e">
        <f>-'IN ROWS'!$FY40</f>
        <v>#NUM!</v>
      </c>
      <c r="AP53" s="615"/>
      <c r="AQ53" s="615" t="e">
        <f>-'IN ROWS'!$FY41</f>
        <v>#NUM!</v>
      </c>
      <c r="AR53" s="615"/>
      <c r="AS53" s="615" t="e">
        <f>-'IN ROWS'!$FY42</f>
        <v>#NUM!</v>
      </c>
      <c r="AU53" s="615">
        <f>-'IN ROWS'!$FY46</f>
        <v>823317.45</v>
      </c>
      <c r="AV53" s="615"/>
      <c r="AW53" s="615">
        <f>-'IN ROWS'!$FY47</f>
        <v>810093.89999999991</v>
      </c>
      <c r="AX53" s="615"/>
      <c r="AY53" s="615">
        <f>-'IN ROWS'!$FY48</f>
        <v>796870.34999999986</v>
      </c>
    </row>
    <row r="54" spans="1:56">
      <c r="A54" s="120"/>
      <c r="B54" s="120"/>
      <c r="C54" s="120"/>
      <c r="D54" s="120"/>
      <c r="E54" s="120"/>
      <c r="F54" s="120"/>
      <c r="G54" s="120"/>
      <c r="H54" s="120"/>
    </row>
    <row r="55" spans="1:56">
      <c r="A55" s="121" t="s">
        <v>858</v>
      </c>
      <c r="B55" s="133">
        <f>-FL_FBLoss_DuesRev</f>
        <v>0.19403848070979962</v>
      </c>
      <c r="C55" s="133">
        <f>-SE_FBLoss_DuesRev</f>
        <v>0.15990807388778078</v>
      </c>
      <c r="D55" s="133">
        <f>-BOCA_FBLoss_DuesRev</f>
        <v>0.28160554898376172</v>
      </c>
      <c r="E55" s="133">
        <f>-SW_FBLoss_DuesRev</f>
        <v>0.13705159705159706</v>
      </c>
      <c r="F55" s="133">
        <f>-SWCIRA_FBLoss_DuesRev</f>
        <v>0.16615468015901699</v>
      </c>
      <c r="G55" s="133">
        <f>-NC_FBLoss_DuesRev</f>
        <v>0.16947944508081966</v>
      </c>
      <c r="H55" s="133">
        <f>-YB_FBLoss_DuesRev</f>
        <v>0.21516933207902164</v>
      </c>
      <c r="K55" s="620">
        <f>-'IN ROWS'!$IQ10</f>
        <v>0.25600968289568027</v>
      </c>
      <c r="L55" s="620"/>
      <c r="M55" s="620">
        <f>-'IN ROWS'!$IQ11</f>
        <v>0.16191409036062418</v>
      </c>
      <c r="N55" s="620"/>
      <c r="O55" s="620">
        <f>-'IN ROWS'!$IQ12</f>
        <v>0.11221894813912386</v>
      </c>
      <c r="Q55" s="620">
        <f>-'IN ROWS'!$IQ16</f>
        <v>0.21779930168906256</v>
      </c>
      <c r="R55" s="620"/>
      <c r="S55" s="620">
        <f>-'IN ROWS'!$IQ17</f>
        <v>0.14767193186594227</v>
      </c>
      <c r="T55" s="620"/>
      <c r="U55" s="620">
        <f>-'IN ROWS'!$IQ18</f>
        <v>0.10084821683302242</v>
      </c>
      <c r="W55" s="620">
        <f>-'IN ROWS'!$IQ22</f>
        <v>0.30884079721889801</v>
      </c>
      <c r="X55" s="620"/>
      <c r="Y55" s="620">
        <f>-'IN ROWS'!$IQ23</f>
        <v>0.27828698321957507</v>
      </c>
      <c r="Z55" s="620"/>
      <c r="AA55" s="620">
        <f>-'IN ROWS'!$IQ24</f>
        <v>0.24696079496137036</v>
      </c>
      <c r="AC55" s="620">
        <f>-'IN ROWS'!$IQ28</f>
        <v>0.15376414576811429</v>
      </c>
      <c r="AD55" s="620"/>
      <c r="AE55" s="620">
        <f>-'IN ROWS'!$IQ29</f>
        <v>0.12438415022823188</v>
      </c>
      <c r="AF55" s="620"/>
      <c r="AG55" s="620">
        <f>-'IN ROWS'!$IQ30</f>
        <v>8.8291512499495253E-2</v>
      </c>
      <c r="AI55" s="620">
        <f>-'IN ROWS'!$IQ34</f>
        <v>0.19953224786426149</v>
      </c>
      <c r="AJ55" s="620"/>
      <c r="AK55" s="620">
        <f>-'IN ROWS'!$IQ35</f>
        <v>0.14965846938371252</v>
      </c>
      <c r="AL55" s="620"/>
      <c r="AM55" s="620">
        <f>-'IN ROWS'!$IQ36</f>
        <v>0.10782404351561604</v>
      </c>
      <c r="AO55" s="620" t="e">
        <f>-'IN ROWS'!$IQ40</f>
        <v>#NUM!</v>
      </c>
      <c r="AP55" s="620"/>
      <c r="AQ55" s="620" t="e">
        <f>-'IN ROWS'!$IQ41</f>
        <v>#NUM!</v>
      </c>
      <c r="AR55" s="620"/>
      <c r="AS55" s="620" t="e">
        <f>-'IN ROWS'!$IQ42</f>
        <v>#NUM!</v>
      </c>
      <c r="AU55" s="620">
        <f>-'IN ROWS'!$IQ46</f>
        <v>0.24485440532802458</v>
      </c>
      <c r="AV55" s="620"/>
      <c r="AW55" s="620">
        <f>-'IN ROWS'!$IQ47</f>
        <v>0.23487401900421939</v>
      </c>
      <c r="AX55" s="620"/>
      <c r="AY55" s="620">
        <f>-'IN ROWS'!$IQ48</f>
        <v>0.22489363268041421</v>
      </c>
      <c r="BD55" s="1927"/>
    </row>
    <row r="56" spans="1:56">
      <c r="A56" s="121" t="s">
        <v>723</v>
      </c>
      <c r="B56" s="120"/>
      <c r="C56" s="120"/>
      <c r="D56" s="120"/>
      <c r="E56" s="120"/>
      <c r="F56" s="120"/>
      <c r="G56" s="120"/>
      <c r="H56" s="120"/>
    </row>
    <row r="57" spans="1:56">
      <c r="A57" s="121" t="s">
        <v>949</v>
      </c>
      <c r="B57" s="125">
        <f>-FL_FB_loss_p.FME</f>
        <v>2670</v>
      </c>
      <c r="C57" s="125">
        <f>-SE_FB_loss_p.FME</f>
        <v>2970</v>
      </c>
      <c r="D57" s="125">
        <f>-BOCA_FB_loss_p.FME</f>
        <v>5820</v>
      </c>
      <c r="E57" s="125">
        <f>-SW_FB_loss_p.FME</f>
        <v>1960</v>
      </c>
      <c r="F57" s="125">
        <f>-SWCIRA_FB_loss_p.FME</f>
        <v>1020</v>
      </c>
      <c r="G57" s="125">
        <f>-NC_FB_loss_p.FME</f>
        <v>1750</v>
      </c>
      <c r="H57" s="125">
        <f>-YB_FB_loss_p.FME</f>
        <v>1330</v>
      </c>
      <c r="K57" s="615">
        <f>-'IN ROWS'!$IO10</f>
        <v>4315.6801968019681</v>
      </c>
      <c r="L57" s="615"/>
      <c r="M57" s="615">
        <f>-'IN ROWS'!$IO11</f>
        <v>1690.8393351800555</v>
      </c>
      <c r="N57" s="615"/>
      <c r="O57" s="615">
        <f>-'IN ROWS'!$IO12</f>
        <v>854.29248366013076</v>
      </c>
      <c r="Q57" s="615">
        <f>-'IN ROWS'!$IO16</f>
        <v>4260.7059708809538</v>
      </c>
      <c r="R57" s="615"/>
      <c r="S57" s="615">
        <f>-'IN ROWS'!$IO17</f>
        <v>2795.0064968552188</v>
      </c>
      <c r="T57" s="615"/>
      <c r="U57" s="615">
        <f>-'IN ROWS'!$IO18</f>
        <v>1171.7341765408755</v>
      </c>
      <c r="W57" s="615">
        <f>-'IN ROWS'!$IO22</f>
        <v>6282.9634961439588</v>
      </c>
      <c r="X57" s="615"/>
      <c r="Y57" s="615">
        <f>-'IN ROWS'!$IO23</f>
        <v>5214.9711711711707</v>
      </c>
      <c r="Z57" s="615"/>
      <c r="AA57" s="615">
        <f>-'IN ROWS'!$IO24</f>
        <v>4315.6801968019681</v>
      </c>
      <c r="AC57" s="615">
        <f>-'IN ROWS'!$IO28</f>
        <v>1571.7550432276657</v>
      </c>
      <c r="AD57" s="615"/>
      <c r="AE57" s="615">
        <f>-'IN ROWS'!$IO29</f>
        <v>1368.053388090349</v>
      </c>
      <c r="AF57" s="615"/>
      <c r="AG57" s="615">
        <f>-'IN ROWS'!$IO30</f>
        <v>929.82542524619521</v>
      </c>
      <c r="AI57" s="615">
        <f>-'IN ROWS'!$IO34</f>
        <v>1002.3191489361702</v>
      </c>
      <c r="AJ57" s="615"/>
      <c r="AK57" s="615">
        <f>-'IN ROWS'!$IO35</f>
        <v>636.27067669172936</v>
      </c>
      <c r="AL57" s="615"/>
      <c r="AM57" s="615">
        <f>-'IN ROWS'!$IO36</f>
        <v>479.2212837837838</v>
      </c>
      <c r="AO57" s="615" t="e">
        <f>-'IN ROWS'!$IO40</f>
        <v>#NUM!</v>
      </c>
      <c r="AP57" s="615"/>
      <c r="AQ57" s="615" t="e">
        <f>-'IN ROWS'!$IO41</f>
        <v>#NUM!</v>
      </c>
      <c r="AR57" s="615"/>
      <c r="AS57" s="615" t="e">
        <f>-'IN ROWS'!$IO42</f>
        <v>#NUM!</v>
      </c>
      <c r="AU57" s="615">
        <f>-'IN ROWS'!$IO46</f>
        <v>1207.9077922077922</v>
      </c>
      <c r="AV57" s="615"/>
      <c r="AW57" s="615">
        <f>-'IN ROWS'!$IO47</f>
        <v>1087.9727272727273</v>
      </c>
      <c r="AX57" s="615"/>
      <c r="AY57" s="615">
        <f>-'IN ROWS'!$IO48</f>
        <v>968.03766233766214</v>
      </c>
    </row>
    <row r="58" spans="1:56">
      <c r="A58" s="120"/>
      <c r="B58" s="120"/>
      <c r="C58" s="120"/>
      <c r="D58" s="120"/>
      <c r="E58" s="120"/>
      <c r="F58" s="120"/>
      <c r="G58" s="120"/>
      <c r="H58" s="120"/>
    </row>
    <row r="59" spans="1:56" hidden="1">
      <c r="A59" s="120" t="s">
        <v>281</v>
      </c>
      <c r="B59" s="133">
        <f>FL_fb_min</f>
        <v>0.53</v>
      </c>
      <c r="C59" s="133">
        <f>SE_fb_min</f>
        <v>0.26</v>
      </c>
      <c r="D59" s="133">
        <f>BOCA_fb_min</f>
        <v>0.65</v>
      </c>
      <c r="E59" s="133">
        <f>SW_fb_min</f>
        <v>0.62</v>
      </c>
      <c r="F59" s="133">
        <f>SWCIRA_fb_min</f>
        <v>0.78</v>
      </c>
      <c r="G59" s="133">
        <f>NC_fb_min</f>
        <v>0.43</v>
      </c>
      <c r="H59" s="133">
        <f>YB_fb_min</f>
        <v>0.57999999999999996</v>
      </c>
      <c r="K59" s="614"/>
      <c r="L59" s="133"/>
      <c r="Q59" s="614"/>
      <c r="R59" s="133"/>
      <c r="W59" s="614"/>
      <c r="X59" s="133"/>
      <c r="AC59" s="614"/>
      <c r="AD59" s="133"/>
      <c r="AI59" s="614"/>
      <c r="AJ59" s="133"/>
      <c r="AO59" s="614"/>
      <c r="AP59" s="133"/>
      <c r="AU59" s="614"/>
      <c r="AV59" s="133"/>
    </row>
    <row r="60" spans="1:56" hidden="1">
      <c r="A60" s="120"/>
      <c r="B60" s="120"/>
      <c r="C60" s="120"/>
      <c r="D60" s="120"/>
      <c r="E60" s="120"/>
      <c r="F60" s="120"/>
      <c r="G60" s="120"/>
      <c r="H60" s="120"/>
    </row>
    <row r="61" spans="1:56" hidden="1">
      <c r="A61" s="120" t="s">
        <v>282</v>
      </c>
      <c r="B61" s="125">
        <f>FL_fb_min_amt</f>
        <v>1200</v>
      </c>
      <c r="C61" s="125">
        <f>SE_fb_min_amt</f>
        <v>1600</v>
      </c>
      <c r="D61" s="125">
        <f>BOCA_fb_min_amt</f>
        <v>1800</v>
      </c>
      <c r="E61" s="125">
        <f>SW_fb_min_amt</f>
        <v>1300</v>
      </c>
      <c r="F61" s="125">
        <f>SWCIRA_fb_min_amt</f>
        <v>700</v>
      </c>
      <c r="G61" s="125">
        <f>NC_fb_min_amt</f>
        <v>800</v>
      </c>
      <c r="H61" s="125">
        <f>YB_fb_min_amt</f>
        <v>900</v>
      </c>
      <c r="K61" s="125"/>
      <c r="L61" s="125"/>
      <c r="Q61" s="125"/>
      <c r="R61" s="125"/>
      <c r="W61" s="125"/>
      <c r="X61" s="125"/>
      <c r="AC61" s="125"/>
      <c r="AD61" s="125"/>
      <c r="AI61" s="125"/>
      <c r="AJ61" s="125"/>
      <c r="AO61" s="125"/>
      <c r="AP61" s="125"/>
      <c r="AU61" s="125"/>
      <c r="AV61" s="125"/>
    </row>
    <row r="62" spans="1:56" hidden="1">
      <c r="A62" s="120"/>
      <c r="B62" s="120"/>
      <c r="C62" s="120"/>
      <c r="D62" s="120"/>
      <c r="E62" s="120"/>
      <c r="F62" s="120"/>
      <c r="G62" s="120"/>
      <c r="H62" s="120"/>
    </row>
    <row r="63" spans="1:56" hidden="1">
      <c r="A63" s="120" t="s">
        <v>283</v>
      </c>
      <c r="B63" s="133">
        <f>FL_mand_serv_chg</f>
        <v>0.25</v>
      </c>
      <c r="C63" s="133">
        <f>SE_mand_serv_chg</f>
        <v>0.3</v>
      </c>
      <c r="D63" s="133">
        <f>BOCA_mand_serv_chg</f>
        <v>0.59</v>
      </c>
      <c r="E63" s="133">
        <f>SW_mand_serv_chg</f>
        <v>0.15</v>
      </c>
      <c r="F63" s="133">
        <f>SWCIRA_mand_serv_chg</f>
        <v>0.06</v>
      </c>
      <c r="G63" s="133">
        <f>NC_mand_serv_chg</f>
        <v>0.22</v>
      </c>
      <c r="H63" s="133">
        <f>YB_mand_serv_chg</f>
        <v>0.42</v>
      </c>
      <c r="K63" s="614"/>
      <c r="L63" s="133"/>
      <c r="Q63" s="614"/>
      <c r="R63" s="133"/>
      <c r="W63" s="614"/>
      <c r="X63" s="133"/>
      <c r="AC63" s="614"/>
      <c r="AD63" s="133"/>
      <c r="AI63" s="614"/>
      <c r="AJ63" s="133"/>
      <c r="AO63" s="614"/>
      <c r="AP63" s="133"/>
      <c r="AU63" s="614"/>
      <c r="AV63" s="133"/>
    </row>
    <row r="64" spans="1:56" hidden="1">
      <c r="A64" s="120"/>
      <c r="B64" s="120"/>
      <c r="C64" s="120"/>
      <c r="D64" s="120"/>
      <c r="E64" s="120"/>
      <c r="F64" s="120"/>
      <c r="G64" s="120"/>
      <c r="H64" s="120"/>
    </row>
    <row r="65" spans="1:48" hidden="1">
      <c r="A65" s="120" t="s">
        <v>284</v>
      </c>
      <c r="B65" s="125">
        <f>FL_mth_serv_chg</f>
        <v>110</v>
      </c>
      <c r="C65" s="125">
        <f>SE_mth_serv_chg</f>
        <v>90</v>
      </c>
      <c r="D65" s="125">
        <f>BOCA_mth_serv_chg</f>
        <v>170</v>
      </c>
      <c r="E65" s="125">
        <f>SW_mth_serv_chg</f>
        <v>70</v>
      </c>
      <c r="F65" s="125">
        <f>SWCIRA_mth_serv_chg</f>
        <v>50</v>
      </c>
      <c r="G65" s="125">
        <f>NC_mth_serv_chg</f>
        <v>50</v>
      </c>
      <c r="H65" s="125">
        <f>YB_mth_serv_chg</f>
        <v>100</v>
      </c>
      <c r="K65" s="125"/>
      <c r="L65" s="125"/>
      <c r="Q65" s="125"/>
      <c r="R65" s="125"/>
      <c r="W65" s="125"/>
      <c r="X65" s="125"/>
      <c r="AC65" s="125"/>
      <c r="AD65" s="125"/>
      <c r="AI65" s="125"/>
      <c r="AJ65" s="125"/>
      <c r="AO65" s="125"/>
      <c r="AP65" s="125"/>
      <c r="AU65" s="125"/>
      <c r="AV65" s="125"/>
    </row>
    <row r="66" spans="1:48" hidden="1">
      <c r="A66" s="120"/>
      <c r="B66" s="120"/>
      <c r="C66" s="120"/>
      <c r="D66" s="120"/>
      <c r="E66" s="120"/>
      <c r="F66" s="120"/>
      <c r="G66" s="120"/>
      <c r="H66" s="120"/>
    </row>
    <row r="67" spans="1:48" hidden="1">
      <c r="A67" s="120" t="s">
        <v>285</v>
      </c>
      <c r="B67" s="120"/>
      <c r="C67" s="120"/>
      <c r="D67" s="120"/>
      <c r="E67" s="120"/>
      <c r="F67" s="120"/>
      <c r="G67" s="120"/>
      <c r="H67" s="120"/>
    </row>
    <row r="68" spans="1:48" hidden="1">
      <c r="A68" s="120" t="s">
        <v>286</v>
      </c>
      <c r="B68" s="133">
        <f>FL_both_fbmin_servchg</f>
        <v>0.11</v>
      </c>
      <c r="C68" s="133">
        <f>SE_both_fbmin_servchg</f>
        <v>0.09</v>
      </c>
      <c r="D68" s="133">
        <f>BOCA_both_fbmin_servchg</f>
        <v>0.41</v>
      </c>
      <c r="E68" s="133">
        <f>SW_both_fbmin_servchg</f>
        <v>0.04</v>
      </c>
      <c r="F68" s="133">
        <f>SWCIRA_both_fbmin_servchg</f>
        <v>0.06</v>
      </c>
      <c r="G68" s="133">
        <f>NC_both_fbmin_servchg</f>
        <v>0.04</v>
      </c>
      <c r="H68" s="133">
        <f>YB_both_fbmin_servchg</f>
        <v>0.17</v>
      </c>
      <c r="K68" s="614"/>
      <c r="L68" s="133"/>
      <c r="Q68" s="614"/>
      <c r="R68" s="133"/>
      <c r="W68" s="614"/>
      <c r="X68" s="133"/>
      <c r="AC68" s="614"/>
      <c r="AD68" s="133"/>
      <c r="AI68" s="614"/>
      <c r="AJ68" s="133"/>
      <c r="AO68" s="614"/>
      <c r="AP68" s="133"/>
      <c r="AU68" s="614"/>
      <c r="AV68" s="133"/>
    </row>
    <row r="69" spans="1:48" hidden="1">
      <c r="A69" s="120"/>
      <c r="B69" s="120"/>
      <c r="C69" s="120"/>
      <c r="D69" s="120"/>
      <c r="E69" s="120"/>
      <c r="F69" s="120"/>
      <c r="G69" s="120"/>
      <c r="H69" s="120"/>
    </row>
    <row r="70" spans="1:48" hidden="1">
      <c r="A70" s="120" t="s">
        <v>287</v>
      </c>
      <c r="B70" s="120"/>
      <c r="C70" s="120"/>
      <c r="D70" s="120"/>
      <c r="E70" s="120"/>
      <c r="F70" s="120"/>
      <c r="G70" s="120"/>
      <c r="H70" s="120"/>
    </row>
    <row r="71" spans="1:48" hidden="1">
      <c r="A71" s="120" t="s">
        <v>408</v>
      </c>
      <c r="B71" s="125">
        <f>FL_sal_wage</f>
        <v>8430000</v>
      </c>
      <c r="C71" s="125">
        <f>SE_sal_wage</f>
        <v>9120000</v>
      </c>
      <c r="D71" s="125">
        <f>BOCA_sal_wage</f>
        <v>14666000</v>
      </c>
      <c r="E71" s="125">
        <f>SW_sal_wage</f>
        <v>7346000</v>
      </c>
      <c r="F71" s="125">
        <f>SWCIRA_sal_wage</f>
        <v>4770000</v>
      </c>
      <c r="G71" s="125">
        <f>NC_sal_wage</f>
        <v>7218000</v>
      </c>
      <c r="H71" s="125">
        <f>YB_sal_wage</f>
        <v>4700000</v>
      </c>
      <c r="K71" s="125"/>
      <c r="L71" s="125"/>
      <c r="Q71" s="125"/>
      <c r="R71" s="125"/>
      <c r="W71" s="125"/>
      <c r="X71" s="125"/>
      <c r="AC71" s="125"/>
      <c r="AD71" s="125"/>
      <c r="AI71" s="125"/>
      <c r="AJ71" s="125"/>
      <c r="AO71" s="125"/>
      <c r="AP71" s="125"/>
      <c r="AU71" s="125"/>
      <c r="AV71" s="125"/>
    </row>
    <row r="72" spans="1:48" hidden="1">
      <c r="A72" s="120"/>
      <c r="B72" s="125"/>
      <c r="C72" s="125"/>
      <c r="D72" s="125"/>
      <c r="E72" s="125"/>
      <c r="F72" s="125"/>
      <c r="G72" s="125"/>
      <c r="H72" s="125"/>
      <c r="K72" s="125"/>
      <c r="L72" s="125"/>
      <c r="Q72" s="125"/>
      <c r="R72" s="125"/>
      <c r="W72" s="125"/>
      <c r="X72" s="125"/>
      <c r="AC72" s="125"/>
      <c r="AD72" s="125"/>
      <c r="AI72" s="125"/>
      <c r="AJ72" s="125"/>
      <c r="AO72" s="125"/>
      <c r="AP72" s="125"/>
      <c r="AU72" s="125"/>
      <c r="AV72" s="125"/>
    </row>
    <row r="73" spans="1:48" hidden="1">
      <c r="A73" s="120" t="s">
        <v>289</v>
      </c>
      <c r="B73" s="125">
        <f>FL_proptax</f>
        <v>215000</v>
      </c>
      <c r="C73" s="125">
        <f>SE_proptax</f>
        <v>348000</v>
      </c>
      <c r="D73" s="125">
        <f>BOCA_proptax</f>
        <v>357000</v>
      </c>
      <c r="E73" s="125">
        <f>SW_proptax</f>
        <v>186000</v>
      </c>
      <c r="F73" s="134" t="s">
        <v>288</v>
      </c>
      <c r="G73" s="125">
        <f>NC_proptax</f>
        <v>179000</v>
      </c>
      <c r="H73" s="125">
        <f>YB_proptax</f>
        <v>194000</v>
      </c>
      <c r="K73" s="125"/>
      <c r="L73" s="125"/>
      <c r="Q73" s="125"/>
      <c r="R73" s="125"/>
      <c r="W73" s="125"/>
      <c r="X73" s="125"/>
      <c r="AC73" s="125"/>
      <c r="AD73" s="125"/>
      <c r="AI73" s="125"/>
      <c r="AJ73" s="125"/>
      <c r="AO73" s="125"/>
      <c r="AP73" s="125"/>
      <c r="AU73" s="125"/>
      <c r="AV73" s="125"/>
    </row>
    <row r="74" spans="1:48" hidden="1">
      <c r="A74" s="120"/>
      <c r="B74" s="125"/>
      <c r="C74" s="125"/>
      <c r="D74" s="125"/>
      <c r="E74" s="125"/>
      <c r="F74" s="125"/>
      <c r="G74" s="125"/>
      <c r="H74" s="125"/>
      <c r="K74" s="125"/>
      <c r="L74" s="125"/>
      <c r="Q74" s="125"/>
      <c r="R74" s="125"/>
      <c r="W74" s="125"/>
      <c r="X74" s="125"/>
      <c r="AC74" s="125"/>
      <c r="AD74" s="125"/>
      <c r="AI74" s="125"/>
      <c r="AJ74" s="125"/>
      <c r="AO74" s="125"/>
      <c r="AP74" s="125"/>
      <c r="AU74" s="125"/>
      <c r="AV74" s="125"/>
    </row>
    <row r="75" spans="1:48" hidden="1">
      <c r="A75" s="120" t="s">
        <v>290</v>
      </c>
      <c r="B75" s="125">
        <f>FL_ins</f>
        <v>449000</v>
      </c>
      <c r="C75" s="125">
        <f>SE_ins</f>
        <v>491000</v>
      </c>
      <c r="D75" s="125">
        <f>Boca_ins</f>
        <v>700000</v>
      </c>
      <c r="E75" s="125">
        <f>SW_ins</f>
        <v>351000</v>
      </c>
      <c r="F75" s="125">
        <f>SWCIRA_ins</f>
        <v>271000</v>
      </c>
      <c r="G75" s="125">
        <f>NC_ins</f>
        <v>471000</v>
      </c>
      <c r="H75" s="125">
        <f>YB_ins</f>
        <v>448000</v>
      </c>
      <c r="K75" s="125"/>
      <c r="L75" s="125"/>
      <c r="Q75" s="125"/>
      <c r="R75" s="125"/>
      <c r="W75" s="125"/>
      <c r="X75" s="125"/>
      <c r="AC75" s="125"/>
      <c r="AD75" s="125"/>
      <c r="AI75" s="125"/>
      <c r="AJ75" s="125"/>
      <c r="AO75" s="125"/>
      <c r="AP75" s="125"/>
      <c r="AU75" s="125"/>
      <c r="AV75" s="125"/>
    </row>
    <row r="76" spans="1:48" hidden="1">
      <c r="A76" s="120"/>
      <c r="B76" s="120"/>
      <c r="C76" s="120"/>
      <c r="D76" s="120"/>
      <c r="E76" s="120"/>
      <c r="F76" s="120"/>
      <c r="G76" s="120"/>
      <c r="H76" s="135"/>
    </row>
    <row r="77" spans="1:48" hidden="1">
      <c r="A77" s="120" t="s">
        <v>291</v>
      </c>
      <c r="B77" s="121">
        <f>FL_18_acres</f>
        <v>112</v>
      </c>
      <c r="C77" s="121">
        <f>SE_18_acres</f>
        <v>132</v>
      </c>
      <c r="D77" s="121">
        <f>BOCA_18_acres</f>
        <v>122</v>
      </c>
      <c r="E77" s="121">
        <f>SW_18_acres</f>
        <v>105</v>
      </c>
      <c r="F77" s="121">
        <f>SWCIRA_18_acres</f>
        <v>105</v>
      </c>
      <c r="G77" s="121">
        <f>NC_18_acres</f>
        <v>100</v>
      </c>
      <c r="H77" s="134" t="str">
        <f>'Detail Summary - for reviewer'!H249</f>
        <v>n/a</v>
      </c>
      <c r="K77" s="121"/>
      <c r="L77" s="121"/>
      <c r="Q77" s="121"/>
      <c r="R77" s="121"/>
      <c r="W77" s="121"/>
      <c r="X77" s="121"/>
      <c r="AC77" s="121"/>
      <c r="AD77" s="121"/>
      <c r="AI77" s="121"/>
      <c r="AJ77" s="121"/>
      <c r="AO77" s="121"/>
      <c r="AP77" s="121"/>
      <c r="AU77" s="121"/>
      <c r="AV77" s="121"/>
    </row>
    <row r="78" spans="1:48" hidden="1">
      <c r="A78" s="120"/>
      <c r="B78" s="121"/>
      <c r="C78" s="121"/>
      <c r="D78" s="121"/>
      <c r="E78" s="121"/>
      <c r="F78" s="121"/>
      <c r="G78" s="121"/>
      <c r="H78" s="134"/>
      <c r="K78" s="121"/>
      <c r="L78" s="121"/>
      <c r="Q78" s="121"/>
      <c r="R78" s="121"/>
      <c r="W78" s="121"/>
      <c r="X78" s="121"/>
      <c r="AC78" s="121"/>
      <c r="AD78" s="121"/>
      <c r="AI78" s="121"/>
      <c r="AJ78" s="121"/>
      <c r="AO78" s="121"/>
      <c r="AP78" s="121"/>
      <c r="AU78" s="121"/>
      <c r="AV78" s="121"/>
    </row>
    <row r="79" spans="1:48">
      <c r="A79" s="121" t="s">
        <v>828</v>
      </c>
      <c r="B79" s="121">
        <f>FL_18_rounds</f>
        <v>32000</v>
      </c>
      <c r="C79" s="121">
        <f>SE_18_rounds</f>
        <v>21200</v>
      </c>
      <c r="D79" s="121">
        <f>BOCA_18_rounds</f>
        <v>30800</v>
      </c>
      <c r="E79" s="121">
        <f>SW_18_rounds</f>
        <v>30700</v>
      </c>
      <c r="F79" s="121">
        <f>SWCIRA_18_rounds</f>
        <v>47800</v>
      </c>
      <c r="G79" s="121">
        <f>NC_18_rounds</f>
        <v>26800</v>
      </c>
      <c r="H79" s="134" t="s">
        <v>288</v>
      </c>
      <c r="K79" s="121"/>
      <c r="L79" s="121"/>
      <c r="Q79" s="121"/>
      <c r="R79" s="121"/>
      <c r="W79" s="121"/>
      <c r="X79" s="121"/>
      <c r="AC79" s="121"/>
      <c r="AD79" s="121"/>
      <c r="AI79" s="121"/>
      <c r="AJ79" s="121"/>
      <c r="AO79" s="121"/>
      <c r="AP79" s="121"/>
      <c r="AU79" s="121"/>
      <c r="AV79" s="121"/>
    </row>
    <row r="80" spans="1:48">
      <c r="A80" s="121" t="s">
        <v>723</v>
      </c>
      <c r="B80" s="120"/>
      <c r="C80" s="120"/>
      <c r="D80" s="120"/>
      <c r="E80" s="120"/>
      <c r="F80" s="120"/>
      <c r="G80" s="120"/>
      <c r="H80" s="134"/>
    </row>
    <row r="81" spans="1:51">
      <c r="A81" s="121" t="s">
        <v>829</v>
      </c>
      <c r="B81" s="125">
        <f>FL_18_cost_p.hole</f>
        <v>118400</v>
      </c>
      <c r="C81" s="125">
        <f>SE_18_cost_p.hole</f>
        <v>145900</v>
      </c>
      <c r="D81" s="125">
        <f>BOCA_18_cost_p.hole</f>
        <v>124600</v>
      </c>
      <c r="E81" s="125">
        <f>SW_18_cost_p.hole</f>
        <v>124200</v>
      </c>
      <c r="F81" s="125">
        <f>SWCIRA_18_cost_p.hole</f>
        <v>99900</v>
      </c>
      <c r="G81" s="125">
        <f>NC_18_cost_p.hole</f>
        <v>102900</v>
      </c>
      <c r="H81" s="134" t="s">
        <v>288</v>
      </c>
      <c r="I81" s="121"/>
      <c r="K81" s="615">
        <f>'IN ROWS'!$GX10</f>
        <v>110782.04166666667</v>
      </c>
      <c r="L81" s="125"/>
      <c r="M81" s="615">
        <f>'IN ROWS'!$GX11</f>
        <v>117608.38888888889</v>
      </c>
      <c r="O81" s="615">
        <f>'IN ROWS'!$GX12</f>
        <v>129513.81944444444</v>
      </c>
      <c r="Q81" s="615">
        <f>'IN ROWS'!$GX16</f>
        <v>114697.86111111111</v>
      </c>
      <c r="R81" s="125"/>
      <c r="S81" s="615">
        <f>'IN ROWS'!$GX17</f>
        <v>130193.46666666666</v>
      </c>
      <c r="U81" s="615">
        <f>'IN ROWS'!$GX18</f>
        <v>145015.74722222221</v>
      </c>
      <c r="W81" s="615">
        <f>'IN ROWS'!$GX22</f>
        <v>122653.26388888889</v>
      </c>
      <c r="X81" s="125"/>
      <c r="Y81" s="615">
        <f>'IN ROWS'!$GX23</f>
        <v>125956.38888888888</v>
      </c>
      <c r="AA81" s="615">
        <f>'IN ROWS'!$GX24</f>
        <v>127384.23611111111</v>
      </c>
      <c r="AC81" s="615">
        <f>'IN ROWS'!$GX28</f>
        <v>114945.83333333333</v>
      </c>
      <c r="AD81" s="125"/>
      <c r="AE81" s="615">
        <f>'IN ROWS'!$GX29</f>
        <v>117688.11111111111</v>
      </c>
      <c r="AG81" s="615">
        <f>'IN ROWS'!$GX30</f>
        <v>138564.72222222222</v>
      </c>
      <c r="AI81" s="615">
        <f>'IN ROWS'!$GX34</f>
        <v>91151.638888888891</v>
      </c>
      <c r="AJ81" s="125"/>
      <c r="AK81" s="615">
        <f>'IN ROWS'!$GX35</f>
        <v>100340.83333333333</v>
      </c>
      <c r="AM81" s="615">
        <f>'IN ROWS'!$GX36</f>
        <v>116287</v>
      </c>
      <c r="AO81" s="615" t="e">
        <f>'IN ROWS'!$GX40</f>
        <v>#NUM!</v>
      </c>
      <c r="AP81" s="125"/>
      <c r="AQ81" s="615" t="e">
        <f>'IN ROWS'!$GX41</f>
        <v>#NUM!</v>
      </c>
      <c r="AS81" s="615" t="e">
        <f>'IN ROWS'!$GX42</f>
        <v>#NUM!</v>
      </c>
      <c r="AU81" s="615" t="s">
        <v>288</v>
      </c>
      <c r="AV81" s="125"/>
      <c r="AW81" s="615" t="s">
        <v>288</v>
      </c>
      <c r="AY81" s="615" t="s">
        <v>288</v>
      </c>
    </row>
    <row r="82" spans="1:51">
      <c r="A82" s="121"/>
      <c r="B82" s="125"/>
      <c r="C82" s="125"/>
      <c r="D82" s="125"/>
      <c r="E82" s="125"/>
      <c r="F82" s="125"/>
      <c r="G82" s="125"/>
      <c r="H82" s="134"/>
      <c r="I82" s="121"/>
      <c r="K82" s="615"/>
      <c r="L82" s="125"/>
      <c r="M82" s="615"/>
      <c r="O82" s="615"/>
      <c r="Q82" s="615"/>
      <c r="R82" s="125"/>
      <c r="S82" s="615"/>
      <c r="U82" s="615"/>
      <c r="W82" s="615"/>
      <c r="X82" s="125"/>
      <c r="Y82" s="615"/>
      <c r="AA82" s="615"/>
      <c r="AC82" s="615"/>
      <c r="AD82" s="125"/>
      <c r="AE82" s="615"/>
      <c r="AG82" s="615"/>
      <c r="AI82" s="615"/>
      <c r="AJ82" s="125"/>
      <c r="AK82" s="615"/>
      <c r="AM82" s="615"/>
      <c r="AO82" s="615"/>
      <c r="AP82" s="125"/>
      <c r="AQ82" s="615"/>
      <c r="AS82" s="615"/>
      <c r="AU82" s="615"/>
      <c r="AV82" s="125"/>
      <c r="AW82" s="615"/>
      <c r="AY82" s="615"/>
    </row>
    <row r="83" spans="1:51">
      <c r="A83" s="121" t="s">
        <v>832</v>
      </c>
      <c r="B83" s="133">
        <f>FL_golfexp_to_totexp_18</f>
        <v>0.22</v>
      </c>
      <c r="C83" s="133">
        <f>SE_golfexp_to_totexp_18</f>
        <v>0.25</v>
      </c>
      <c r="D83" s="133">
        <f>BOCA_golfexp_to_totexp_18</f>
        <v>0.14000000000000001</v>
      </c>
      <c r="E83" s="133">
        <f>SW_golfexp_to_totexp_18</f>
        <v>0.26</v>
      </c>
      <c r="F83" s="133">
        <f>SWCIRA_golfexp_to_totexp_18</f>
        <v>0.21</v>
      </c>
      <c r="G83" s="133">
        <f>NC_golfexp_to_totexp_18</f>
        <v>0.21</v>
      </c>
      <c r="H83" s="134" t="s">
        <v>288</v>
      </c>
      <c r="I83" s="121"/>
      <c r="K83" s="615"/>
      <c r="L83" s="125"/>
      <c r="M83" s="615"/>
      <c r="O83" s="615"/>
      <c r="Q83" s="615"/>
      <c r="R83" s="125"/>
      <c r="S83" s="615"/>
      <c r="U83" s="615"/>
      <c r="W83" s="615"/>
      <c r="X83" s="125"/>
      <c r="Y83" s="615"/>
      <c r="AA83" s="615"/>
      <c r="AC83" s="615"/>
      <c r="AD83" s="125"/>
      <c r="AE83" s="615"/>
      <c r="AG83" s="615"/>
      <c r="AI83" s="615"/>
      <c r="AJ83" s="125"/>
      <c r="AK83" s="615"/>
      <c r="AM83" s="615"/>
      <c r="AO83" s="615"/>
      <c r="AP83" s="125"/>
      <c r="AQ83" s="615"/>
      <c r="AS83" s="615"/>
      <c r="AU83" s="615"/>
      <c r="AV83" s="125"/>
      <c r="AW83" s="615"/>
      <c r="AY83" s="615"/>
    </row>
    <row r="84" spans="1:51">
      <c r="A84" s="120"/>
      <c r="B84" s="125"/>
      <c r="C84" s="125"/>
      <c r="D84" s="125"/>
      <c r="E84" s="125"/>
      <c r="F84" s="125"/>
      <c r="G84" s="125"/>
      <c r="H84" s="134"/>
      <c r="I84" s="121"/>
      <c r="K84" s="125"/>
      <c r="L84" s="125"/>
      <c r="Q84" s="125"/>
      <c r="R84" s="125"/>
      <c r="W84" s="125"/>
      <c r="X84" s="125"/>
      <c r="AC84" s="125"/>
      <c r="AD84" s="125"/>
      <c r="AI84" s="125"/>
      <c r="AJ84" s="125"/>
      <c r="AO84" s="125"/>
      <c r="AP84" s="125"/>
      <c r="AU84" s="125"/>
      <c r="AV84" s="125"/>
    </row>
    <row r="85" spans="1:51" hidden="1">
      <c r="A85" s="120" t="s">
        <v>292</v>
      </c>
      <c r="B85" s="125">
        <f>FL_18_cost_p.acre</f>
        <v>19000</v>
      </c>
      <c r="C85" s="125">
        <f>SE_18_cost_p.acre</f>
        <v>19900</v>
      </c>
      <c r="D85" s="125">
        <f>BOCA_18_cost_p.acre</f>
        <v>18400</v>
      </c>
      <c r="E85" s="125">
        <f>SW_18_cost_p.acre</f>
        <v>21300</v>
      </c>
      <c r="F85" s="125">
        <f>SWCIRA_18_cost_p.acre</f>
        <v>17100</v>
      </c>
      <c r="G85" s="125">
        <f>NC_18_cost_p.acre</f>
        <v>18500</v>
      </c>
      <c r="H85" s="134" t="str">
        <f>'Detail Summary - for reviewer'!H261</f>
        <v>n/a</v>
      </c>
      <c r="I85" s="121"/>
      <c r="K85" s="125"/>
      <c r="L85" s="125"/>
      <c r="Q85" s="125"/>
      <c r="R85" s="125"/>
      <c r="W85" s="125"/>
      <c r="X85" s="125"/>
      <c r="AC85" s="125"/>
      <c r="AD85" s="125"/>
      <c r="AI85" s="125"/>
      <c r="AJ85" s="125"/>
      <c r="AO85" s="125"/>
      <c r="AP85" s="125"/>
      <c r="AU85" s="125"/>
      <c r="AV85" s="125"/>
    </row>
    <row r="86" spans="1:51" hidden="1">
      <c r="A86" s="120"/>
      <c r="B86" s="125"/>
      <c r="C86" s="125"/>
      <c r="D86" s="125"/>
      <c r="E86" s="125"/>
      <c r="F86" s="125"/>
      <c r="G86" s="125"/>
      <c r="H86" s="134"/>
      <c r="I86" s="121"/>
      <c r="K86" s="125"/>
      <c r="L86" s="125"/>
      <c r="Q86" s="125"/>
      <c r="R86" s="125"/>
      <c r="W86" s="125"/>
      <c r="X86" s="125"/>
      <c r="AC86" s="125"/>
      <c r="AD86" s="125"/>
      <c r="AI86" s="125"/>
      <c r="AJ86" s="125"/>
      <c r="AO86" s="125"/>
      <c r="AP86" s="125"/>
      <c r="AU86" s="125"/>
      <c r="AV86" s="125"/>
    </row>
    <row r="87" spans="1:51" hidden="1">
      <c r="A87" s="120" t="s">
        <v>293</v>
      </c>
      <c r="B87" s="125">
        <f>FL_18_cost_p.round</f>
        <v>66.584374999999994</v>
      </c>
      <c r="C87" s="125">
        <f>SE_18_cost_p.round</f>
        <v>123.89622641509433</v>
      </c>
      <c r="D87" s="125">
        <f>BOCA_18_cost_p.round</f>
        <v>72.795454545454547</v>
      </c>
      <c r="E87" s="125">
        <f>SW_18_cost_p.round</f>
        <v>72.830618892508141</v>
      </c>
      <c r="F87" s="125">
        <f>SWCIRA_18_cost_p.round</f>
        <v>37.623430962343093</v>
      </c>
      <c r="G87" s="125">
        <f>NC_18_cost_p.round</f>
        <v>69.134328358208961</v>
      </c>
      <c r="H87" s="134" t="str">
        <f>'Detail Summary - for reviewer'!H267</f>
        <v>n/a</v>
      </c>
      <c r="I87" s="121"/>
      <c r="K87" s="125"/>
      <c r="L87" s="125"/>
      <c r="Q87" s="125"/>
      <c r="R87" s="125"/>
      <c r="W87" s="125"/>
      <c r="X87" s="125"/>
      <c r="AC87" s="125"/>
      <c r="AD87" s="125"/>
      <c r="AI87" s="125"/>
      <c r="AJ87" s="125"/>
      <c r="AO87" s="125"/>
      <c r="AP87" s="125"/>
      <c r="AU87" s="125"/>
      <c r="AV87" s="125"/>
    </row>
    <row r="88" spans="1:51" hidden="1">
      <c r="A88" s="120"/>
      <c r="B88" s="120"/>
      <c r="C88" s="120"/>
      <c r="D88" s="120"/>
      <c r="E88" s="120"/>
      <c r="F88" s="120"/>
      <c r="G88" s="120"/>
      <c r="H88" s="134"/>
      <c r="I88" s="121"/>
    </row>
    <row r="89" spans="1:51" hidden="1">
      <c r="A89" s="120" t="s">
        <v>656</v>
      </c>
      <c r="B89" s="121">
        <f>FL_mult_acre_36</f>
        <v>249</v>
      </c>
      <c r="C89" s="121">
        <f>SE_mult_acre_36</f>
        <v>295</v>
      </c>
      <c r="D89" s="121">
        <f>BOCA_mult_acre_36</f>
        <v>266</v>
      </c>
      <c r="E89" s="121">
        <f>SW_mult_acre_36</f>
        <v>242</v>
      </c>
      <c r="F89" s="121">
        <f>SWCIRA_mult_acre_36</f>
        <v>211</v>
      </c>
      <c r="G89" s="121">
        <f>NC_mult_acre_36</f>
        <v>207</v>
      </c>
      <c r="H89" s="134" t="str">
        <f>'Detail Summary - for reviewer'!H282</f>
        <v>n/a</v>
      </c>
      <c r="I89" s="121"/>
      <c r="K89" s="121"/>
      <c r="L89" s="121"/>
      <c r="Q89" s="121"/>
      <c r="R89" s="121"/>
      <c r="W89" s="121"/>
      <c r="X89" s="121"/>
      <c r="AC89" s="121"/>
      <c r="AD89" s="121"/>
      <c r="AI89" s="121"/>
      <c r="AJ89" s="121"/>
      <c r="AO89" s="121"/>
      <c r="AP89" s="121"/>
      <c r="AU89" s="121"/>
      <c r="AV89" s="121"/>
    </row>
    <row r="90" spans="1:51" hidden="1">
      <c r="A90" s="120"/>
      <c r="B90" s="121"/>
      <c r="C90" s="121"/>
      <c r="D90" s="121"/>
      <c r="E90" s="121"/>
      <c r="F90" s="121"/>
      <c r="G90" s="121"/>
      <c r="H90" s="134"/>
      <c r="I90" s="121"/>
      <c r="K90" s="121"/>
      <c r="L90" s="121"/>
      <c r="Q90" s="121"/>
      <c r="R90" s="121"/>
      <c r="W90" s="121"/>
      <c r="X90" s="121"/>
      <c r="AC90" s="121"/>
      <c r="AD90" s="121"/>
      <c r="AI90" s="121"/>
      <c r="AJ90" s="121"/>
      <c r="AO90" s="121"/>
      <c r="AP90" s="121"/>
      <c r="AU90" s="121"/>
      <c r="AV90" s="121"/>
    </row>
    <row r="91" spans="1:51">
      <c r="A91" s="121" t="s">
        <v>830</v>
      </c>
      <c r="B91" s="121">
        <f>FL_mult_rounds_18</f>
        <v>28100</v>
      </c>
      <c r="C91" s="121">
        <f>SE_mult_rounds_18</f>
        <v>28500</v>
      </c>
      <c r="D91" s="121">
        <f>BOCA_mult_rounds_18</f>
        <v>28300</v>
      </c>
      <c r="E91" s="121">
        <f>SW_mult_rounds_18</f>
        <v>26700</v>
      </c>
      <c r="F91" s="1022" t="s">
        <v>1150</v>
      </c>
      <c r="G91" s="121">
        <f>NC_mult_rounds_18</f>
        <v>27700</v>
      </c>
      <c r="H91" s="134" t="s">
        <v>288</v>
      </c>
      <c r="I91" s="121"/>
      <c r="K91" s="121"/>
      <c r="L91" s="121"/>
      <c r="Q91" s="121"/>
      <c r="R91" s="121"/>
      <c r="W91" s="121"/>
      <c r="X91" s="121"/>
      <c r="AC91" s="121"/>
      <c r="AD91" s="121"/>
      <c r="AI91" s="121"/>
      <c r="AJ91" s="121"/>
      <c r="AO91" s="121"/>
      <c r="AP91" s="121"/>
      <c r="AU91" s="121"/>
      <c r="AV91" s="121"/>
    </row>
    <row r="92" spans="1:51">
      <c r="A92" s="120"/>
      <c r="B92" s="120"/>
      <c r="C92" s="120"/>
      <c r="D92" s="120"/>
      <c r="E92" s="120"/>
      <c r="F92" s="120"/>
      <c r="G92" s="120"/>
      <c r="H92" s="134"/>
      <c r="I92" s="121"/>
    </row>
    <row r="93" spans="1:51">
      <c r="A93" s="121" t="s">
        <v>831</v>
      </c>
      <c r="B93" s="125">
        <f>FL_mult_cost_p.hole</f>
        <v>107200</v>
      </c>
      <c r="C93" s="125">
        <f>SE_mult_cost_p.hole</f>
        <v>113000</v>
      </c>
      <c r="D93" s="125">
        <f>BOCA_mult_cost_p.hole</f>
        <v>101100</v>
      </c>
      <c r="E93" s="125">
        <f>SW_mult_cost_p.hole</f>
        <v>111300</v>
      </c>
      <c r="F93" s="1022" t="s">
        <v>1150</v>
      </c>
      <c r="G93" s="125">
        <f>NC_mult_cost_p.hole</f>
        <v>106200</v>
      </c>
      <c r="H93" s="134" t="s">
        <v>288</v>
      </c>
      <c r="I93" s="121"/>
      <c r="K93" s="615">
        <f>'IN ROWS'!$HQ10</f>
        <v>96298.277777777781</v>
      </c>
      <c r="L93" s="125"/>
      <c r="M93" s="615">
        <f>'IN ROWS'!$HQ11</f>
        <v>102525.77777777778</v>
      </c>
      <c r="O93" s="615">
        <f>'IN ROWS'!$HQ12</f>
        <v>112729.9375</v>
      </c>
      <c r="Q93" s="615">
        <f>'IN ROWS'!$HQ16</f>
        <v>87374.340277777781</v>
      </c>
      <c r="R93" s="125"/>
      <c r="S93" s="615">
        <f>'IN ROWS'!$HQ17</f>
        <v>102320.16666666666</v>
      </c>
      <c r="U93" s="615">
        <f>'IN ROWS'!$HQ18</f>
        <v>118369.71527777778</v>
      </c>
      <c r="W93" s="615">
        <f>'IN ROWS'!$HQ22</f>
        <v>98141.75</v>
      </c>
      <c r="X93" s="125"/>
      <c r="Y93" s="615">
        <f>'IN ROWS'!$HQ23</f>
        <v>102560.11111111111</v>
      </c>
      <c r="AA93" s="615">
        <f>'IN ROWS'!$HQ24</f>
        <v>112065.30555555556</v>
      </c>
      <c r="AC93" s="615">
        <f>'IN ROWS'!$HQ28</f>
        <v>95511.548611111109</v>
      </c>
      <c r="AD93" s="125"/>
      <c r="AE93" s="615">
        <f>'IN ROWS'!$HQ29</f>
        <v>105352.28888888888</v>
      </c>
      <c r="AG93" s="615">
        <f>'IN ROWS'!$HQ30</f>
        <v>113328.7736111111</v>
      </c>
      <c r="AI93" s="615">
        <f>'IN ROWS'!$HQ34</f>
        <v>96119.037037037036</v>
      </c>
      <c r="AJ93" s="125"/>
      <c r="AK93" s="615">
        <f>'IN ROWS'!$HQ35</f>
        <v>96119.037037037036</v>
      </c>
      <c r="AM93" s="615">
        <f>'IN ROWS'!$HQ36</f>
        <v>96119.037037037036</v>
      </c>
      <c r="AO93" s="615" t="e">
        <f>'IN ROWS'!$HQ40</f>
        <v>#NUM!</v>
      </c>
      <c r="AP93" s="125"/>
      <c r="AQ93" s="615" t="e">
        <f>'IN ROWS'!$HQ41</f>
        <v>#NUM!</v>
      </c>
      <c r="AS93" s="615" t="e">
        <f>'IN ROWS'!$HQ42</f>
        <v>#NUM!</v>
      </c>
      <c r="AU93" s="615" t="s">
        <v>288</v>
      </c>
      <c r="AV93" s="125"/>
      <c r="AW93" s="615" t="s">
        <v>288</v>
      </c>
      <c r="AY93" s="615" t="s">
        <v>288</v>
      </c>
    </row>
    <row r="94" spans="1:51">
      <c r="A94" s="121"/>
      <c r="B94" s="125"/>
      <c r="C94" s="125"/>
      <c r="D94" s="125"/>
      <c r="E94" s="125"/>
      <c r="F94" s="125"/>
      <c r="G94" s="125"/>
      <c r="H94" s="134"/>
      <c r="I94" s="121"/>
      <c r="K94" s="615"/>
      <c r="L94" s="125"/>
      <c r="M94" s="615"/>
      <c r="O94" s="615"/>
      <c r="Q94" s="615"/>
      <c r="R94" s="125"/>
      <c r="S94" s="615"/>
      <c r="U94" s="615"/>
      <c r="W94" s="615"/>
      <c r="X94" s="125"/>
      <c r="Y94" s="615"/>
      <c r="AA94" s="615"/>
      <c r="AC94" s="615"/>
      <c r="AD94" s="125"/>
      <c r="AE94" s="615"/>
      <c r="AG94" s="615"/>
      <c r="AI94" s="615"/>
      <c r="AJ94" s="125"/>
      <c r="AK94" s="615"/>
      <c r="AM94" s="615"/>
      <c r="AO94" s="615"/>
      <c r="AP94" s="125"/>
      <c r="AQ94" s="615"/>
      <c r="AS94" s="615"/>
      <c r="AU94" s="615"/>
      <c r="AV94" s="125"/>
      <c r="AW94" s="615"/>
      <c r="AY94" s="615"/>
    </row>
    <row r="95" spans="1:51">
      <c r="A95" s="121" t="s">
        <v>833</v>
      </c>
      <c r="B95" s="133">
        <f>FL_golfexp_to_totexp_mult</f>
        <v>0.21</v>
      </c>
      <c r="C95" s="133">
        <f>SE_golfexp_to_totexp_mult</f>
        <v>0.2</v>
      </c>
      <c r="D95" s="133">
        <f>BOCA_golfexp_to_totexp_mult</f>
        <v>0.13</v>
      </c>
      <c r="E95" s="133">
        <f>SW_golfexp_to_totexp_mult</f>
        <v>0.25</v>
      </c>
      <c r="F95" s="1022" t="s">
        <v>1150</v>
      </c>
      <c r="G95" s="133">
        <f>NC_golfexp_to_totexp_mult</f>
        <v>0.23</v>
      </c>
      <c r="H95" s="134" t="s">
        <v>288</v>
      </c>
      <c r="I95" s="121"/>
      <c r="K95" s="615"/>
      <c r="L95" s="125"/>
      <c r="M95" s="615"/>
      <c r="O95" s="615"/>
      <c r="Q95" s="615"/>
      <c r="R95" s="125"/>
      <c r="S95" s="615"/>
      <c r="U95" s="615"/>
      <c r="W95" s="615"/>
      <c r="X95" s="125"/>
      <c r="Y95" s="615"/>
      <c r="AA95" s="615"/>
      <c r="AC95" s="615"/>
      <c r="AD95" s="125"/>
      <c r="AE95" s="615"/>
      <c r="AG95" s="615"/>
      <c r="AI95" s="615"/>
      <c r="AJ95" s="125"/>
      <c r="AK95" s="615"/>
      <c r="AM95" s="615"/>
      <c r="AO95" s="615"/>
      <c r="AP95" s="125"/>
      <c r="AQ95" s="615"/>
      <c r="AS95" s="615"/>
      <c r="AU95" s="615"/>
      <c r="AV95" s="125"/>
      <c r="AW95" s="615"/>
      <c r="AY95" s="615"/>
    </row>
    <row r="96" spans="1:51" hidden="1">
      <c r="A96" s="120"/>
      <c r="B96" s="125"/>
      <c r="C96" s="125"/>
      <c r="D96" s="125"/>
      <c r="E96" s="125"/>
      <c r="F96" s="125"/>
      <c r="G96" s="125"/>
      <c r="H96" s="134"/>
      <c r="I96" s="121"/>
      <c r="K96" s="125"/>
      <c r="L96" s="125"/>
      <c r="Q96" s="125"/>
      <c r="R96" s="125"/>
      <c r="W96" s="125"/>
      <c r="X96" s="125"/>
      <c r="AC96" s="125"/>
      <c r="AD96" s="125"/>
      <c r="AI96" s="125"/>
      <c r="AJ96" s="125"/>
      <c r="AO96" s="125"/>
      <c r="AP96" s="125"/>
      <c r="AU96" s="125"/>
      <c r="AV96" s="125"/>
    </row>
    <row r="97" spans="1:51" hidden="1">
      <c r="A97" s="120" t="s">
        <v>654</v>
      </c>
      <c r="B97" s="125">
        <f>FL_mult_cost_p.acre</f>
        <v>15480</v>
      </c>
      <c r="C97" s="125">
        <f>SE_mult_cost_p.acre</f>
        <v>13780</v>
      </c>
      <c r="D97" s="125">
        <f>BOCA_mult_cost_p.acre</f>
        <v>13710</v>
      </c>
      <c r="E97" s="125">
        <f>SW_mult_cost_p.acre</f>
        <v>16570</v>
      </c>
      <c r="F97" s="125">
        <f>SWCIRA_mult_cost_p.acre</f>
        <v>16370</v>
      </c>
      <c r="G97" s="125">
        <f>NC_mult_cost_p.acre</f>
        <v>18480</v>
      </c>
      <c r="H97" s="134" t="str">
        <f>'Detail Summary - for reviewer'!H294</f>
        <v>n/a</v>
      </c>
      <c r="I97" s="121"/>
      <c r="K97" s="125"/>
      <c r="L97" s="125"/>
      <c r="Q97" s="125"/>
      <c r="R97" s="125"/>
      <c r="W97" s="125"/>
      <c r="X97" s="125"/>
      <c r="AC97" s="125"/>
      <c r="AD97" s="125"/>
      <c r="AI97" s="125"/>
      <c r="AJ97" s="125"/>
      <c r="AO97" s="125"/>
      <c r="AP97" s="125"/>
      <c r="AU97" s="125"/>
      <c r="AV97" s="125"/>
    </row>
    <row r="98" spans="1:51" hidden="1">
      <c r="A98" s="120"/>
      <c r="B98" s="125"/>
      <c r="C98" s="125"/>
      <c r="D98" s="125"/>
      <c r="E98" s="125"/>
      <c r="F98" s="125"/>
      <c r="G98" s="125"/>
      <c r="H98" s="134"/>
      <c r="I98" s="121"/>
      <c r="K98" s="125"/>
      <c r="L98" s="125"/>
      <c r="Q98" s="125"/>
      <c r="R98" s="125"/>
      <c r="W98" s="125"/>
      <c r="X98" s="125"/>
      <c r="AC98" s="125"/>
      <c r="AD98" s="125"/>
      <c r="AI98" s="125"/>
      <c r="AJ98" s="125"/>
      <c r="AO98" s="125"/>
      <c r="AP98" s="125"/>
      <c r="AU98" s="125"/>
      <c r="AV98" s="125"/>
    </row>
    <row r="99" spans="1:51" hidden="1">
      <c r="A99" s="120" t="s">
        <v>655</v>
      </c>
      <c r="B99" s="125">
        <f>FL_mult_cost_p.round</f>
        <v>69</v>
      </c>
      <c r="C99" s="125">
        <f>SE_mult_cost_p.round</f>
        <v>71</v>
      </c>
      <c r="D99" s="125">
        <f>BOCA_mult_cost_p.round</f>
        <v>64</v>
      </c>
      <c r="E99" s="125">
        <f>SW_mult_cost_p.round</f>
        <v>75</v>
      </c>
      <c r="F99" s="125">
        <f>SWCIRA_mult_cost_p.round</f>
        <v>37</v>
      </c>
      <c r="G99" s="125">
        <f>NC_mult_cost_p.round</f>
        <v>69</v>
      </c>
      <c r="H99" s="134" t="str">
        <f>'Detail Summary - for reviewer'!H300</f>
        <v>n/a</v>
      </c>
      <c r="I99" s="121"/>
      <c r="K99" s="125"/>
      <c r="L99" s="125"/>
      <c r="Q99" s="125"/>
      <c r="R99" s="125"/>
      <c r="W99" s="125"/>
      <c r="X99" s="125"/>
      <c r="AC99" s="125"/>
      <c r="AD99" s="125"/>
      <c r="AI99" s="125"/>
      <c r="AJ99" s="125"/>
      <c r="AO99" s="125"/>
      <c r="AP99" s="125"/>
      <c r="AU99" s="125"/>
      <c r="AV99" s="125"/>
    </row>
    <row r="100" spans="1:51">
      <c r="A100" s="120"/>
      <c r="B100" s="120"/>
      <c r="C100" s="120"/>
      <c r="D100" s="120"/>
      <c r="E100" s="120"/>
      <c r="F100" s="120"/>
      <c r="G100" s="120"/>
      <c r="H100" s="135"/>
      <c r="I100" s="121"/>
    </row>
    <row r="101" spans="1:51">
      <c r="A101" s="1021" t="s">
        <v>1151</v>
      </c>
      <c r="B101" s="120"/>
      <c r="C101" s="120"/>
      <c r="D101" s="120"/>
      <c r="E101" s="120"/>
      <c r="F101" s="120"/>
      <c r="G101" s="120"/>
      <c r="H101" s="120"/>
      <c r="I101" s="120"/>
    </row>
    <row r="102" spans="1:51">
      <c r="A102" s="121"/>
      <c r="B102" s="122"/>
      <c r="C102" s="122"/>
      <c r="D102" s="122"/>
      <c r="E102" s="122"/>
      <c r="F102" s="122"/>
      <c r="G102" s="122"/>
      <c r="H102" s="122"/>
      <c r="I102" s="121"/>
      <c r="K102" s="616"/>
      <c r="L102" s="616"/>
      <c r="M102" s="616"/>
      <c r="N102" s="616"/>
      <c r="O102" s="616"/>
      <c r="Q102" s="616"/>
      <c r="R102" s="616"/>
      <c r="S102" s="616"/>
      <c r="T102" s="616"/>
      <c r="U102" s="616"/>
      <c r="W102" s="616"/>
      <c r="X102" s="616"/>
      <c r="Y102" s="616"/>
      <c r="Z102" s="616"/>
      <c r="AA102" s="616"/>
      <c r="AC102" s="616"/>
      <c r="AD102" s="616"/>
      <c r="AE102" s="616"/>
      <c r="AF102" s="616"/>
      <c r="AG102" s="616"/>
      <c r="AI102" s="616"/>
      <c r="AJ102" s="616"/>
      <c r="AK102" s="616"/>
      <c r="AL102" s="616"/>
      <c r="AM102" s="616"/>
      <c r="AO102" s="616"/>
      <c r="AP102" s="616"/>
      <c r="AQ102" s="616"/>
      <c r="AR102" s="616"/>
      <c r="AS102" s="616"/>
      <c r="AU102" s="616"/>
      <c r="AV102" s="616"/>
      <c r="AW102" s="616"/>
      <c r="AX102" s="616"/>
      <c r="AY102" s="616"/>
    </row>
    <row r="103" spans="1:51">
      <c r="A103" s="120"/>
      <c r="B103" s="120"/>
      <c r="C103" s="120"/>
      <c r="D103" s="120"/>
      <c r="E103" s="120"/>
      <c r="F103" s="120"/>
      <c r="G103" s="120"/>
      <c r="H103" s="120"/>
      <c r="I103" s="121"/>
      <c r="K103" s="615"/>
      <c r="L103" s="615"/>
      <c r="M103" s="615"/>
      <c r="N103" s="615"/>
      <c r="O103" s="615"/>
      <c r="Q103" s="615"/>
      <c r="R103" s="615"/>
      <c r="S103" s="615"/>
      <c r="T103" s="615"/>
      <c r="U103" s="615"/>
      <c r="W103" s="615"/>
      <c r="X103" s="615"/>
      <c r="Y103" s="615"/>
      <c r="Z103" s="615"/>
      <c r="AA103" s="615"/>
      <c r="AC103" s="615"/>
      <c r="AD103" s="615"/>
      <c r="AE103" s="615"/>
      <c r="AF103" s="615"/>
      <c r="AG103" s="615"/>
      <c r="AI103" s="615"/>
      <c r="AJ103" s="615"/>
      <c r="AK103" s="615"/>
      <c r="AL103" s="615"/>
      <c r="AM103" s="615"/>
      <c r="AO103" s="615"/>
      <c r="AP103" s="615"/>
      <c r="AQ103" s="615"/>
      <c r="AR103" s="615"/>
      <c r="AS103" s="615"/>
      <c r="AU103" s="615"/>
      <c r="AV103" s="615"/>
      <c r="AW103" s="615"/>
      <c r="AX103" s="615"/>
      <c r="AY103" s="615"/>
    </row>
    <row r="104" spans="1:51">
      <c r="A104" s="121"/>
      <c r="B104" s="989"/>
      <c r="C104" s="989"/>
      <c r="D104" s="989"/>
      <c r="E104" s="989"/>
      <c r="F104" s="989"/>
      <c r="G104" s="989"/>
      <c r="H104" s="989"/>
      <c r="I104" s="121"/>
      <c r="K104" s="615"/>
      <c r="L104" s="615"/>
      <c r="M104" s="615"/>
      <c r="N104" s="615"/>
      <c r="O104" s="615"/>
      <c r="Q104" s="615"/>
      <c r="R104" s="615"/>
      <c r="S104" s="615"/>
      <c r="T104" s="615"/>
      <c r="U104" s="615"/>
      <c r="W104" s="615"/>
      <c r="X104" s="615"/>
      <c r="Y104" s="615"/>
      <c r="Z104" s="615"/>
      <c r="AA104" s="615"/>
      <c r="AC104" s="615"/>
      <c r="AD104" s="615"/>
      <c r="AE104" s="615"/>
      <c r="AF104" s="615"/>
      <c r="AG104" s="615"/>
      <c r="AI104" s="615"/>
      <c r="AJ104" s="615"/>
      <c r="AK104" s="615"/>
      <c r="AL104" s="615"/>
      <c r="AM104" s="615"/>
      <c r="AO104" s="615"/>
      <c r="AP104" s="615"/>
      <c r="AQ104" s="615"/>
      <c r="AR104" s="615"/>
      <c r="AS104" s="615"/>
      <c r="AU104" s="615"/>
      <c r="AV104" s="615"/>
      <c r="AW104" s="615"/>
      <c r="AX104" s="615"/>
      <c r="AY104" s="615"/>
    </row>
    <row r="105" spans="1:51">
      <c r="A105" s="120"/>
      <c r="B105" s="989"/>
      <c r="C105" s="989"/>
      <c r="D105" s="989"/>
      <c r="E105" s="989"/>
      <c r="F105" s="989"/>
      <c r="G105" s="989"/>
      <c r="H105" s="989"/>
      <c r="I105" s="120"/>
    </row>
    <row r="106" spans="1:51">
      <c r="A106" s="120"/>
      <c r="B106" s="120"/>
      <c r="C106" s="120"/>
      <c r="D106" s="120"/>
      <c r="E106" s="120"/>
      <c r="F106" s="120"/>
      <c r="G106" s="120"/>
      <c r="H106" s="120"/>
      <c r="I106" s="120"/>
    </row>
    <row r="107" spans="1:51" ht="21">
      <c r="A107" s="233"/>
    </row>
    <row r="116" spans="1:1" ht="20.399999999999999">
      <c r="A116" s="243"/>
    </row>
    <row r="141" spans="1:1" ht="20.399999999999999">
      <c r="A141" s="243"/>
    </row>
    <row r="176" spans="1:1" ht="20.399999999999999">
      <c r="A176" s="243"/>
    </row>
    <row r="203" spans="1:1" ht="20.399999999999999">
      <c r="A203" s="243"/>
    </row>
    <row r="233" spans="1:1" ht="20.399999999999999">
      <c r="A233" s="243"/>
    </row>
    <row r="234" spans="1:1" ht="20.399999999999999">
      <c r="A234" s="243"/>
    </row>
    <row r="235" spans="1:1" ht="15">
      <c r="A235" s="230"/>
    </row>
    <row r="236" spans="1:1" ht="13.5" customHeight="1"/>
    <row r="265" spans="1:1" ht="20.399999999999999">
      <c r="A265" s="243"/>
    </row>
    <row r="266" spans="1:1" ht="20.399999999999999">
      <c r="A266" s="243"/>
    </row>
    <row r="267" spans="1:1" ht="20.399999999999999">
      <c r="A267" s="243"/>
    </row>
    <row r="292" spans="1:1" ht="20.399999999999999">
      <c r="A292" s="243"/>
    </row>
    <row r="293" spans="1:1" ht="20.399999999999999">
      <c r="A293" s="243"/>
    </row>
    <row r="294" spans="1:1" ht="15">
      <c r="A294" s="230"/>
    </row>
  </sheetData>
  <mergeCells count="7">
    <mergeCell ref="AC3:AG3"/>
    <mergeCell ref="AI3:AM3"/>
    <mergeCell ref="AO3:AS3"/>
    <mergeCell ref="AU3:AY3"/>
    <mergeCell ref="K3:O3"/>
    <mergeCell ref="Q3:U3"/>
    <mergeCell ref="W3:AA3"/>
  </mergeCells>
  <printOptions horizontalCentered="1"/>
  <pageMargins left="0.25" right="0.25" top="0.75" bottom="0.75" header="0.3" footer="0.3"/>
  <pageSetup scale="40" orientation="portrait" verticalDpi="200" r:id="rId1"/>
  <headerFooter alignWithMargins="0"/>
  <customProperties>
    <customPr name="OrphanNamesChecke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5" tint="0.79998168889431442"/>
  </sheetPr>
  <dimension ref="A1:T329"/>
  <sheetViews>
    <sheetView showGridLines="0" view="pageBreakPreview" zoomScale="85" zoomScaleNormal="73" zoomScaleSheetLayoutView="85" workbookViewId="0">
      <selection activeCell="C4" sqref="C4"/>
    </sheetView>
  </sheetViews>
  <sheetFormatPr defaultColWidth="8.90625" defaultRowHeight="15" outlineLevelRow="1"/>
  <cols>
    <col min="1" max="1" width="44.81640625" style="136" customWidth="1"/>
    <col min="2" max="2" width="12.6328125" style="230" customWidth="1"/>
    <col min="3" max="3" width="10.90625" style="230" customWidth="1"/>
    <col min="4" max="4" width="10.453125" style="230" customWidth="1"/>
    <col min="5" max="5" width="12" style="230" customWidth="1"/>
    <col min="6" max="6" width="10.6328125" style="230" customWidth="1"/>
    <col min="7" max="7" width="10.453125" style="230" customWidth="1"/>
    <col min="8" max="8" width="11.54296875" style="230" customWidth="1"/>
    <col min="9" max="9" width="7" style="230" customWidth="1"/>
    <col min="10" max="10" width="8.08984375" style="230" customWidth="1"/>
    <col min="11" max="18" width="8.90625" style="230"/>
    <col min="19" max="19" width="11" style="230" customWidth="1"/>
    <col min="20" max="20" width="8.54296875" style="230" customWidth="1"/>
    <col min="21" max="16384" width="8.90625" style="230"/>
  </cols>
  <sheetData>
    <row r="1" spans="1:11" ht="21">
      <c r="A1" s="246" t="s">
        <v>850</v>
      </c>
      <c r="K1" s="230" t="s">
        <v>2138</v>
      </c>
    </row>
    <row r="3" spans="1:11" ht="27.6">
      <c r="B3" s="231" t="s">
        <v>1373</v>
      </c>
      <c r="C3" s="231" t="s">
        <v>1372</v>
      </c>
      <c r="D3" s="231" t="s">
        <v>1361</v>
      </c>
      <c r="E3" s="231" t="s">
        <v>668</v>
      </c>
      <c r="F3" s="231" t="s">
        <v>657</v>
      </c>
      <c r="G3" s="231" t="s">
        <v>596</v>
      </c>
      <c r="H3" s="231" t="s">
        <v>1371</v>
      </c>
    </row>
    <row r="4" spans="1:11">
      <c r="A4" s="760">
        <v>2022</v>
      </c>
      <c r="B4" s="229">
        <f>FL_wkg_cap</f>
        <v>0.52</v>
      </c>
      <c r="C4" s="229">
        <f>SE_wkg_cap</f>
        <v>0.52</v>
      </c>
      <c r="D4" s="229">
        <f>BOCA_wkg_cap</f>
        <v>0.41</v>
      </c>
      <c r="E4" s="229">
        <f>SW_wkg_cap</f>
        <v>0.57999999999999996</v>
      </c>
      <c r="F4" s="229">
        <f>SWCIRA_wkg_cap</f>
        <v>0.61</v>
      </c>
      <c r="G4" s="229">
        <f>NC_wkg_cap</f>
        <v>0.48</v>
      </c>
      <c r="H4" s="229">
        <f>YB_wkg_cap</f>
        <v>0.75</v>
      </c>
    </row>
    <row r="5" spans="1:11">
      <c r="A5" s="760">
        <v>2021</v>
      </c>
      <c r="B5" s="229">
        <v>0.57999999999999996</v>
      </c>
      <c r="C5" s="229">
        <v>0.54</v>
      </c>
      <c r="D5" s="229">
        <v>0.41</v>
      </c>
      <c r="E5" s="229">
        <v>0.6</v>
      </c>
      <c r="F5" s="229">
        <v>0.84</v>
      </c>
      <c r="G5" s="229">
        <v>0.52</v>
      </c>
      <c r="H5" s="229">
        <v>0.82</v>
      </c>
    </row>
    <row r="6" spans="1:11">
      <c r="A6" s="760">
        <v>2020</v>
      </c>
      <c r="B6" s="229">
        <v>0.56999999999999995</v>
      </c>
      <c r="C6" s="229">
        <v>0.42</v>
      </c>
      <c r="D6" s="229">
        <v>0.47</v>
      </c>
      <c r="E6" s="229">
        <v>0.6</v>
      </c>
      <c r="F6" s="229">
        <v>0.79</v>
      </c>
      <c r="G6" s="229">
        <v>0.56999999999999995</v>
      </c>
      <c r="H6" s="229">
        <v>0.69</v>
      </c>
    </row>
    <row r="7" spans="1:11">
      <c r="A7" s="760">
        <v>2019</v>
      </c>
      <c r="B7" s="229">
        <v>0.46</v>
      </c>
      <c r="C7" s="229">
        <v>0.32</v>
      </c>
      <c r="D7" s="229">
        <v>0.35</v>
      </c>
      <c r="E7" s="229">
        <v>0.46</v>
      </c>
      <c r="F7" s="229">
        <v>0.63</v>
      </c>
      <c r="G7" s="229">
        <v>0.56999999999999995</v>
      </c>
      <c r="H7" s="229">
        <v>0.47</v>
      </c>
    </row>
    <row r="8" spans="1:11">
      <c r="A8" s="760">
        <v>2018</v>
      </c>
      <c r="B8" s="229">
        <v>0.51</v>
      </c>
      <c r="C8" s="229">
        <v>0.44</v>
      </c>
      <c r="D8" s="229">
        <v>0.47</v>
      </c>
      <c r="E8" s="229">
        <v>0.39</v>
      </c>
      <c r="F8" s="229">
        <v>0.68</v>
      </c>
      <c r="G8" s="229">
        <v>0.63</v>
      </c>
      <c r="H8" s="229">
        <v>0.72</v>
      </c>
    </row>
    <row r="9" spans="1:11">
      <c r="A9" s="760">
        <v>2017</v>
      </c>
      <c r="B9" s="229">
        <v>0.46</v>
      </c>
      <c r="C9" s="229">
        <v>0.36</v>
      </c>
      <c r="D9" s="229">
        <v>0.35</v>
      </c>
      <c r="E9" s="229">
        <v>0.45</v>
      </c>
      <c r="F9" s="229">
        <v>0.68</v>
      </c>
      <c r="G9" s="229">
        <v>0.48</v>
      </c>
      <c r="H9" s="229">
        <v>0.72</v>
      </c>
    </row>
    <row r="10" spans="1:11">
      <c r="A10" s="760">
        <v>2016</v>
      </c>
      <c r="B10" s="229">
        <v>0.54</v>
      </c>
      <c r="C10" s="229">
        <v>0.44</v>
      </c>
      <c r="D10" s="229">
        <v>0.47</v>
      </c>
      <c r="E10" s="229">
        <v>0.59</v>
      </c>
      <c r="F10" s="229">
        <v>0.74</v>
      </c>
      <c r="G10" s="229">
        <v>0.48</v>
      </c>
      <c r="H10" s="229">
        <v>0.63</v>
      </c>
    </row>
    <row r="11" spans="1:11">
      <c r="A11" s="760">
        <v>2015</v>
      </c>
      <c r="B11" s="229">
        <v>0.68</v>
      </c>
      <c r="C11" s="229">
        <v>0.5</v>
      </c>
      <c r="D11" s="229">
        <v>0.56000000000000005</v>
      </c>
      <c r="E11" s="229">
        <v>0.79</v>
      </c>
      <c r="F11" s="229">
        <v>0.84</v>
      </c>
      <c r="G11" s="229">
        <v>0.71</v>
      </c>
      <c r="H11" s="229">
        <v>0.89</v>
      </c>
    </row>
    <row r="12" spans="1:11">
      <c r="A12" s="760">
        <v>2014</v>
      </c>
      <c r="B12" s="229">
        <v>0.62</v>
      </c>
      <c r="C12" s="229">
        <v>0.54</v>
      </c>
      <c r="D12" s="229">
        <v>0.33</v>
      </c>
      <c r="E12" s="229">
        <v>0.73</v>
      </c>
      <c r="F12" s="229">
        <v>0.83</v>
      </c>
      <c r="G12" s="229">
        <v>0.63</v>
      </c>
      <c r="H12" s="229">
        <v>0.74</v>
      </c>
    </row>
    <row r="13" spans="1:11">
      <c r="A13" s="760">
        <v>2013</v>
      </c>
      <c r="B13" s="229">
        <v>0.54</v>
      </c>
      <c r="C13" s="229">
        <v>0.52</v>
      </c>
      <c r="D13" s="229">
        <v>0.39</v>
      </c>
      <c r="E13" s="229">
        <v>0.63</v>
      </c>
      <c r="F13" s="229">
        <v>0.65</v>
      </c>
      <c r="G13" s="229">
        <v>0.52</v>
      </c>
      <c r="H13" s="229">
        <v>0.71</v>
      </c>
    </row>
    <row r="14" spans="1:11">
      <c r="A14" s="760">
        <v>2012</v>
      </c>
      <c r="B14" s="229">
        <v>0.6</v>
      </c>
      <c r="C14" s="229">
        <v>0.57999999999999996</v>
      </c>
      <c r="D14" s="229">
        <v>0.57999999999999996</v>
      </c>
      <c r="E14" s="229">
        <v>0.74</v>
      </c>
      <c r="F14" s="229">
        <v>0.57999999999999996</v>
      </c>
      <c r="G14" s="229">
        <v>0.5</v>
      </c>
      <c r="H14" s="229">
        <v>0.77</v>
      </c>
    </row>
    <row r="15" spans="1:11">
      <c r="A15" s="760">
        <v>2011</v>
      </c>
      <c r="B15" s="229">
        <v>0.59</v>
      </c>
      <c r="C15" s="229">
        <v>0.56000000000000005</v>
      </c>
      <c r="D15" s="229">
        <v>0.45</v>
      </c>
      <c r="E15" s="229">
        <v>0.56000000000000005</v>
      </c>
      <c r="F15" s="229">
        <v>0.68</v>
      </c>
      <c r="G15" s="229">
        <v>0.67</v>
      </c>
      <c r="H15" s="229">
        <v>0.8</v>
      </c>
    </row>
    <row r="31" spans="16:20">
      <c r="P31" s="238"/>
      <c r="Q31" s="238"/>
      <c r="R31" s="238"/>
      <c r="S31" s="238"/>
      <c r="T31" s="238"/>
    </row>
    <row r="34" spans="1:10" ht="21">
      <c r="A34" s="246" t="s">
        <v>1369</v>
      </c>
    </row>
    <row r="36" spans="1:10" ht="27.6">
      <c r="A36" s="139" t="s">
        <v>459</v>
      </c>
      <c r="B36" s="140" t="s">
        <v>598</v>
      </c>
      <c r="C36" s="140" t="s">
        <v>673</v>
      </c>
      <c r="D36" s="140" t="s">
        <v>1367</v>
      </c>
      <c r="E36" s="140" t="s">
        <v>1370</v>
      </c>
      <c r="F36" s="140" t="s">
        <v>749</v>
      </c>
      <c r="G36" s="140" t="s">
        <v>740</v>
      </c>
      <c r="H36" s="140" t="s">
        <v>868</v>
      </c>
    </row>
    <row r="38" spans="1:10">
      <c r="A38" s="682" t="s">
        <v>1176</v>
      </c>
      <c r="B38" s="146">
        <f>ROUND('IN ROWS'!BP9,-3)</f>
        <v>7933000</v>
      </c>
      <c r="C38" s="146">
        <f>ROUND('IN ROWS'!BP15,-3)</f>
        <v>7706000</v>
      </c>
      <c r="D38" s="146">
        <f>ROUND('IN ROWS'!BP21,-3)</f>
        <v>14742000</v>
      </c>
      <c r="E38" s="146">
        <f>ROUND('IN ROWS'!BP27,-3)</f>
        <v>6701000</v>
      </c>
      <c r="F38" s="146">
        <f>ROUND('IN ROWS'!BP33,-3)</f>
        <v>6329000</v>
      </c>
      <c r="G38" s="146">
        <f>'IN ROWS'!BT39</f>
        <v>9195400</v>
      </c>
      <c r="H38" s="146">
        <f>ROUND('IN ROWS'!BP45,-3)</f>
        <v>5083000</v>
      </c>
    </row>
    <row r="39" spans="1:10">
      <c r="A39" s="224" t="s">
        <v>1229</v>
      </c>
      <c r="B39" s="227">
        <f>'IN ROWS'!BQ9</f>
        <v>7514000</v>
      </c>
      <c r="C39" s="227">
        <f>'IN ROWS'!BQ15</f>
        <v>7228500</v>
      </c>
      <c r="D39" s="227">
        <f>'IN ROWS'!BQ21</f>
        <v>15584800</v>
      </c>
      <c r="E39" s="227">
        <f>'IN ROWS'!BQ27</f>
        <v>5587100</v>
      </c>
      <c r="F39" s="227">
        <f>'IN ROWS'!BQ33</f>
        <v>5369300</v>
      </c>
      <c r="G39" s="227">
        <f>'IN ROWS'!BQ39</f>
        <v>5690600</v>
      </c>
      <c r="H39" s="227">
        <f>'IN ROWS'!BQ45</f>
        <v>3976600</v>
      </c>
    </row>
    <row r="40" spans="1:10">
      <c r="A40" s="682" t="s">
        <v>1392</v>
      </c>
      <c r="B40" s="1261">
        <f>B38/B39</f>
        <v>1.0557625765238221</v>
      </c>
      <c r="C40" s="1261">
        <f t="shared" ref="C40:H40" si="0">C38/C39</f>
        <v>1.0660579649996542</v>
      </c>
      <c r="D40" s="1261">
        <f t="shared" si="0"/>
        <v>0.94592166726554083</v>
      </c>
      <c r="E40" s="1261">
        <f t="shared" si="0"/>
        <v>1.1993699772690662</v>
      </c>
      <c r="F40" s="1261">
        <f t="shared" si="0"/>
        <v>1.1787383830294451</v>
      </c>
      <c r="G40" s="1261">
        <f t="shared" si="0"/>
        <v>1.6158928759708995</v>
      </c>
      <c r="H40" s="1261">
        <f t="shared" si="0"/>
        <v>1.278227631645124</v>
      </c>
    </row>
    <row r="41" spans="1:10" s="136" customFormat="1">
      <c r="A41" s="224" t="s">
        <v>1390</v>
      </c>
      <c r="B41" s="1280">
        <f>'IN ROWS'!II9</f>
        <v>1.7</v>
      </c>
      <c r="C41" s="1280">
        <f>'IN ROWS'!II15</f>
        <v>1.8</v>
      </c>
      <c r="D41" s="1280">
        <f>'IN ROWS'!II21</f>
        <v>1.7</v>
      </c>
      <c r="E41" s="1280">
        <f>'IN ROWS'!II27</f>
        <v>1.5</v>
      </c>
      <c r="F41" s="1280">
        <f>'IN ROWS'!II33</f>
        <v>1.7</v>
      </c>
      <c r="G41" s="1280">
        <f>'IN ROWS'!II39</f>
        <v>1.9</v>
      </c>
      <c r="H41" s="1280">
        <f>'IN ROWS'!II45</f>
        <v>1.7</v>
      </c>
    </row>
    <row r="42" spans="1:10" s="136" customFormat="1">
      <c r="A42" s="218" t="s">
        <v>1391</v>
      </c>
      <c r="B42" s="1261">
        <f>'IN ROWS'!IJ9</f>
        <v>0.8</v>
      </c>
      <c r="C42" s="1261">
        <f>'IN ROWS'!IJ15</f>
        <v>0.7</v>
      </c>
      <c r="D42" s="1261">
        <f>'IN ROWS'!IJ21</f>
        <v>0.8</v>
      </c>
      <c r="E42" s="1261">
        <f>'IN ROWS'!IJ27</f>
        <v>0.8</v>
      </c>
      <c r="F42" s="1261">
        <f>'IN ROWS'!IJ33</f>
        <v>0.9</v>
      </c>
      <c r="G42" s="1261">
        <f>'IN ROWS'!IJ39</f>
        <v>0.8</v>
      </c>
      <c r="H42" s="1261">
        <f>'IN ROWS'!IJ45</f>
        <v>0.8</v>
      </c>
      <c r="J42" s="146"/>
    </row>
    <row r="43" spans="1:10" s="136" customFormat="1">
      <c r="A43" s="224"/>
    </row>
    <row r="44" spans="1:10">
      <c r="A44" s="224"/>
    </row>
    <row r="45" spans="1:10">
      <c r="A45" s="682" t="s">
        <v>1359</v>
      </c>
      <c r="B45" s="146">
        <f>'IN ROWS'!BT9</f>
        <v>12920300</v>
      </c>
      <c r="C45" s="146">
        <f>'IN ROWS'!BT15</f>
        <v>12750600</v>
      </c>
      <c r="D45" s="146">
        <f>'IN ROWS'!BT21</f>
        <v>26728300</v>
      </c>
      <c r="E45" s="146">
        <f>'IN ROWS'!BT27</f>
        <v>11828600</v>
      </c>
      <c r="F45" s="146">
        <f>'IN ROWS'!BT33</f>
        <v>6432800</v>
      </c>
      <c r="G45" s="146">
        <f>'IN ROWS'!BT39</f>
        <v>9195400</v>
      </c>
      <c r="H45" s="146">
        <f>'IN ROWS'!BT45</f>
        <v>10210400</v>
      </c>
    </row>
    <row r="46" spans="1:10">
      <c r="A46" s="224" t="s">
        <v>1179</v>
      </c>
      <c r="B46" s="227">
        <f>'IN ROWS'!BU9</f>
        <v>29167000</v>
      </c>
      <c r="C46" s="227">
        <f>'IN ROWS'!BU15</f>
        <v>32745500</v>
      </c>
      <c r="D46" s="227">
        <f>'IN ROWS'!BU21</f>
        <v>42182900</v>
      </c>
      <c r="E46" s="227">
        <f>'IN ROWS'!BU27</f>
        <v>30042000</v>
      </c>
      <c r="F46" s="227">
        <f>'IN ROWS'!BU33</f>
        <v>15373800</v>
      </c>
      <c r="G46" s="227">
        <f>'IN ROWS'!BU39</f>
        <v>25773800</v>
      </c>
      <c r="H46" s="227">
        <f>'IN ROWS'!BU45</f>
        <v>15512900</v>
      </c>
    </row>
    <row r="47" spans="1:10">
      <c r="A47" s="682" t="s">
        <v>1360</v>
      </c>
      <c r="B47" s="1261">
        <f>B45/B46</f>
        <v>0.44297665169540917</v>
      </c>
      <c r="C47" s="1261">
        <f t="shared" ref="C47" si="1">C45/C46</f>
        <v>0.3893848009650181</v>
      </c>
      <c r="D47" s="1261">
        <f t="shared" ref="D47" si="2">D45/D46</f>
        <v>0.63362879270984218</v>
      </c>
      <c r="E47" s="1261">
        <f t="shared" ref="E47" si="3">E45/E46</f>
        <v>0.39373543705478997</v>
      </c>
      <c r="F47" s="1261">
        <f t="shared" ref="F47" si="4">F45/F46</f>
        <v>0.41842615358597096</v>
      </c>
      <c r="G47" s="1261">
        <f t="shared" ref="G47" si="5">G45/G46</f>
        <v>0.35677315723719438</v>
      </c>
      <c r="H47" s="1261">
        <f t="shared" ref="H47" si="6">H45/H46</f>
        <v>0.65818770184813924</v>
      </c>
    </row>
    <row r="48" spans="1:10">
      <c r="A48" s="224" t="s">
        <v>1394</v>
      </c>
      <c r="B48" s="227">
        <f>'IN ROWS'!IH9</f>
        <v>39950</v>
      </c>
      <c r="C48" s="227">
        <f>'IN ROWS'!IH15</f>
        <v>52820</v>
      </c>
      <c r="D48" s="227">
        <f>'IN ROWS'!IH21</f>
        <v>46870</v>
      </c>
      <c r="E48" s="227">
        <f>'IN ROWS'!IH27</f>
        <v>52710</v>
      </c>
      <c r="F48" s="227">
        <f>'IN ROWS'!IH33</f>
        <v>17080</v>
      </c>
      <c r="G48" s="227">
        <f>'IN ROWS'!IH39</f>
        <v>33910</v>
      </c>
      <c r="H48" s="227">
        <f>'IN ROWS'!IH45</f>
        <v>22480</v>
      </c>
    </row>
    <row r="50" spans="1:8" ht="21">
      <c r="A50" s="246" t="s">
        <v>2132</v>
      </c>
    </row>
    <row r="51" spans="1:8">
      <c r="A51" s="138" t="s">
        <v>1828</v>
      </c>
    </row>
    <row r="52" spans="1:8" ht="27.6">
      <c r="A52" s="230"/>
      <c r="B52" s="231" t="s">
        <v>577</v>
      </c>
      <c r="C52" s="231" t="s">
        <v>759</v>
      </c>
      <c r="D52" s="231" t="s">
        <v>1395</v>
      </c>
      <c r="E52" s="231" t="s">
        <v>668</v>
      </c>
      <c r="F52" s="231" t="s">
        <v>760</v>
      </c>
      <c r="G52" s="231" t="s">
        <v>596</v>
      </c>
      <c r="H52" s="231" t="s">
        <v>1371</v>
      </c>
    </row>
    <row r="53" spans="1:8">
      <c r="A53" s="762" t="s">
        <v>2131</v>
      </c>
      <c r="B53" s="761">
        <f>AVERAGE(B54:B63)</f>
        <v>1.5739999999999998</v>
      </c>
      <c r="C53" s="761">
        <f t="shared" ref="C53:H53" si="7">AVERAGE(C54:C63)</f>
        <v>1.6859999999999999</v>
      </c>
      <c r="D53" s="761">
        <f t="shared" si="7"/>
        <v>1.4159999999999999</v>
      </c>
      <c r="E53" s="761">
        <f t="shared" si="7"/>
        <v>1.8060000000000003</v>
      </c>
      <c r="F53" s="761">
        <f t="shared" si="7"/>
        <v>1.4729999999999999</v>
      </c>
      <c r="G53" s="761">
        <f t="shared" si="7"/>
        <v>1.456</v>
      </c>
      <c r="H53" s="761">
        <f t="shared" si="7"/>
        <v>1.9709999999999996</v>
      </c>
    </row>
    <row r="54" spans="1:8">
      <c r="A54" s="760">
        <v>2022</v>
      </c>
      <c r="B54" s="229">
        <f>FL_capaddn_to_depn</f>
        <v>1.71</v>
      </c>
      <c r="C54" s="229">
        <f>SE_capaddn_to_depn</f>
        <v>1.79</v>
      </c>
      <c r="D54" s="229">
        <f>BOCA_capaddn_to_depn</f>
        <v>2.0499999999999998</v>
      </c>
      <c r="E54" s="229">
        <f>SW_capaddn_to_depn</f>
        <v>1.51</v>
      </c>
      <c r="F54" s="229">
        <f>SWCIRA_capaddn_to_depn</f>
        <v>1.18</v>
      </c>
      <c r="G54" s="229">
        <f>NC_capaddn_to_depn</f>
        <v>1.62</v>
      </c>
      <c r="H54" s="229">
        <f>YB_capaddn_to_depn</f>
        <v>1.48</v>
      </c>
    </row>
    <row r="55" spans="1:8">
      <c r="A55" s="760">
        <v>2021</v>
      </c>
      <c r="B55" s="229">
        <v>1.35</v>
      </c>
      <c r="C55" s="229">
        <v>1.56</v>
      </c>
      <c r="D55" s="229">
        <v>1.23</v>
      </c>
      <c r="E55" s="229">
        <v>1.35</v>
      </c>
      <c r="F55" s="229">
        <v>1.22</v>
      </c>
      <c r="G55" s="229">
        <v>1.38</v>
      </c>
      <c r="H55" s="229">
        <v>1.45</v>
      </c>
    </row>
    <row r="56" spans="1:8">
      <c r="A56" s="760">
        <v>2020</v>
      </c>
      <c r="B56" s="229">
        <v>1.35</v>
      </c>
      <c r="C56" s="229">
        <v>1.44</v>
      </c>
      <c r="D56" s="229">
        <v>0.82</v>
      </c>
      <c r="E56" s="229">
        <v>1.61</v>
      </c>
      <c r="F56" s="229">
        <v>2.2799999999999998</v>
      </c>
      <c r="G56" s="229">
        <v>1.27</v>
      </c>
      <c r="H56" s="229">
        <v>3.75</v>
      </c>
    </row>
    <row r="57" spans="1:8">
      <c r="A57" s="760">
        <v>2019</v>
      </c>
      <c r="B57" s="229">
        <v>1.44</v>
      </c>
      <c r="C57" s="229">
        <v>1.5</v>
      </c>
      <c r="D57" s="229">
        <v>1.26</v>
      </c>
      <c r="E57" s="229">
        <v>1.86</v>
      </c>
      <c r="F57" s="229">
        <v>1.25</v>
      </c>
      <c r="G57" s="229">
        <v>1.1399999999999999</v>
      </c>
      <c r="H57" s="229">
        <v>2.19</v>
      </c>
    </row>
    <row r="58" spans="1:8">
      <c r="A58" s="760">
        <v>2018</v>
      </c>
      <c r="B58" s="229">
        <v>1.87</v>
      </c>
      <c r="C58" s="229">
        <v>2.39</v>
      </c>
      <c r="D58" s="229">
        <v>1.34</v>
      </c>
      <c r="E58" s="229">
        <v>2.29</v>
      </c>
      <c r="F58" s="229">
        <v>1.43</v>
      </c>
      <c r="G58" s="229">
        <v>1.67</v>
      </c>
      <c r="H58" s="229">
        <v>1.56</v>
      </c>
    </row>
    <row r="59" spans="1:8">
      <c r="A59" s="760">
        <v>2017</v>
      </c>
      <c r="B59" s="229">
        <v>1.66</v>
      </c>
      <c r="C59" s="229">
        <v>1.96</v>
      </c>
      <c r="D59" s="229">
        <v>1.08</v>
      </c>
      <c r="E59" s="229">
        <v>2.2000000000000002</v>
      </c>
      <c r="F59" s="229">
        <v>2.2799999999999998</v>
      </c>
      <c r="G59" s="229">
        <v>1.38</v>
      </c>
      <c r="H59" s="229">
        <v>1.95</v>
      </c>
    </row>
    <row r="60" spans="1:8">
      <c r="A60" s="760">
        <v>2016</v>
      </c>
      <c r="B60" s="229">
        <v>2.06</v>
      </c>
      <c r="C60" s="229">
        <v>1.81</v>
      </c>
      <c r="D60" s="229">
        <v>2.1800000000000002</v>
      </c>
      <c r="E60" s="229">
        <v>2.4900000000000002</v>
      </c>
      <c r="F60" s="229">
        <v>0.87</v>
      </c>
      <c r="G60" s="229">
        <v>2.25</v>
      </c>
      <c r="H60" s="229">
        <v>3.15</v>
      </c>
    </row>
    <row r="61" spans="1:8">
      <c r="A61" s="760">
        <v>2015</v>
      </c>
      <c r="B61" s="229">
        <v>1.7</v>
      </c>
      <c r="C61" s="229">
        <v>2.0099999999999998</v>
      </c>
      <c r="D61" s="229">
        <v>1.35</v>
      </c>
      <c r="E61" s="229">
        <v>2</v>
      </c>
      <c r="F61" s="229">
        <v>0.91</v>
      </c>
      <c r="G61" s="229">
        <v>1.84</v>
      </c>
      <c r="H61" s="229">
        <v>1.92</v>
      </c>
    </row>
    <row r="62" spans="1:8">
      <c r="A62" s="760">
        <v>2014</v>
      </c>
      <c r="B62" s="229">
        <v>1.5</v>
      </c>
      <c r="C62" s="229">
        <v>1.2</v>
      </c>
      <c r="D62" s="229">
        <v>1.85</v>
      </c>
      <c r="E62" s="229">
        <v>1.65</v>
      </c>
      <c r="F62" s="229">
        <v>1.84</v>
      </c>
      <c r="G62" s="229">
        <v>1.04</v>
      </c>
      <c r="H62" s="229">
        <v>1.2</v>
      </c>
    </row>
    <row r="63" spans="1:8">
      <c r="A63" s="760">
        <v>2013</v>
      </c>
      <c r="B63" s="229">
        <v>1.1000000000000001</v>
      </c>
      <c r="C63" s="229">
        <v>1.2</v>
      </c>
      <c r="D63" s="229">
        <v>1</v>
      </c>
      <c r="E63" s="229">
        <v>1.1000000000000001</v>
      </c>
      <c r="F63" s="229">
        <v>1.47</v>
      </c>
      <c r="G63" s="229">
        <v>0.97</v>
      </c>
      <c r="H63" s="229">
        <v>1.06</v>
      </c>
    </row>
    <row r="64" spans="1:8">
      <c r="A64" s="760">
        <v>2012</v>
      </c>
      <c r="B64" s="229">
        <v>1.1000000000000001</v>
      </c>
      <c r="C64" s="229">
        <v>1.59</v>
      </c>
      <c r="D64" s="229">
        <v>0.74</v>
      </c>
      <c r="E64" s="229">
        <v>1.2</v>
      </c>
      <c r="F64" s="229">
        <v>1.43</v>
      </c>
      <c r="G64" s="229">
        <v>0.79</v>
      </c>
      <c r="H64" s="229">
        <v>0.93</v>
      </c>
    </row>
    <row r="65" spans="1:18">
      <c r="A65" s="760">
        <v>2011</v>
      </c>
      <c r="B65" s="229">
        <v>0.89</v>
      </c>
      <c r="C65" s="229">
        <v>0.82</v>
      </c>
      <c r="D65" s="229">
        <v>0.91</v>
      </c>
      <c r="E65" s="229">
        <v>1.02</v>
      </c>
      <c r="F65" s="229">
        <v>1.68</v>
      </c>
      <c r="G65" s="229">
        <v>0.55000000000000004</v>
      </c>
      <c r="H65" s="229">
        <v>1.1399999999999999</v>
      </c>
    </row>
    <row r="66" spans="1:18">
      <c r="A66" s="759"/>
    </row>
    <row r="68" spans="1:18" ht="20.399999999999999">
      <c r="A68" s="242"/>
    </row>
    <row r="71" spans="1:18" ht="17.399999999999999">
      <c r="A71" s="245"/>
    </row>
    <row r="79" spans="1:18">
      <c r="J79" s="1779">
        <v>2022</v>
      </c>
      <c r="K79" s="1780">
        <f>FL_Cap_addns_perFME</f>
        <v>5410</v>
      </c>
      <c r="L79" s="1780">
        <f>SE_Cap_addns_perFME</f>
        <v>6730</v>
      </c>
      <c r="M79" s="1780">
        <f>BOCA_Cap_addns_perFME</f>
        <v>8890</v>
      </c>
      <c r="N79" s="1780">
        <f>SW_Cap_addns_perFME</f>
        <v>6540</v>
      </c>
      <c r="O79" s="1780">
        <f>SWCIRA_Cap_addns_perFME</f>
        <v>1420</v>
      </c>
      <c r="P79" s="1780">
        <f>NC_Cap_addns_perFME</f>
        <v>4030</v>
      </c>
      <c r="Q79" s="1780">
        <f>YB_Cap_addns_perFME</f>
        <v>2680</v>
      </c>
      <c r="R79" s="1780" t="s">
        <v>933</v>
      </c>
    </row>
    <row r="80" spans="1:18">
      <c r="J80" s="1779">
        <v>2021</v>
      </c>
      <c r="K80" s="1780">
        <v>4180</v>
      </c>
      <c r="L80" s="1780">
        <v>5650</v>
      </c>
      <c r="M80" s="1780">
        <v>5500</v>
      </c>
      <c r="N80" s="1780">
        <v>5670</v>
      </c>
      <c r="O80" s="1780">
        <v>1480</v>
      </c>
      <c r="P80" s="1780">
        <v>3400</v>
      </c>
      <c r="Q80" s="1780">
        <v>2500</v>
      </c>
      <c r="R80" s="1780" t="s">
        <v>933</v>
      </c>
    </row>
    <row r="81" spans="1:19">
      <c r="J81" s="1779">
        <v>2020</v>
      </c>
      <c r="K81" s="1780">
        <v>4090</v>
      </c>
      <c r="L81" s="1780">
        <v>5050</v>
      </c>
      <c r="M81" s="1780">
        <v>3680</v>
      </c>
      <c r="N81" s="1780">
        <v>6590</v>
      </c>
      <c r="O81" s="1780">
        <v>2620</v>
      </c>
      <c r="P81" s="1780">
        <v>3120</v>
      </c>
      <c r="Q81" s="1780">
        <v>5810</v>
      </c>
      <c r="R81" s="1780" t="s">
        <v>933</v>
      </c>
    </row>
    <row r="82" spans="1:19">
      <c r="J82" s="1779">
        <v>2019</v>
      </c>
      <c r="K82" s="1780">
        <v>4380</v>
      </c>
      <c r="L82" s="1780">
        <v>5810</v>
      </c>
      <c r="M82" s="1780">
        <v>5550</v>
      </c>
      <c r="N82" s="1780">
        <v>7060</v>
      </c>
      <c r="O82" s="1780">
        <v>1440</v>
      </c>
      <c r="P82" s="1780">
        <v>2740</v>
      </c>
      <c r="Q82" s="1780">
        <v>3300</v>
      </c>
      <c r="R82" s="1780" t="s">
        <v>933</v>
      </c>
    </row>
    <row r="83" spans="1:19">
      <c r="J83" s="1779">
        <v>2018</v>
      </c>
      <c r="K83" s="1780">
        <v>5090</v>
      </c>
      <c r="L83" s="1780">
        <v>8530</v>
      </c>
      <c r="M83" s="1780">
        <v>5290</v>
      </c>
      <c r="N83" s="1780">
        <v>7600</v>
      </c>
      <c r="O83" s="1780">
        <v>1450</v>
      </c>
      <c r="P83" s="1780">
        <v>3600</v>
      </c>
      <c r="Q83" s="1780">
        <v>1930</v>
      </c>
      <c r="R83" s="1780" t="s">
        <v>933</v>
      </c>
    </row>
    <row r="84" spans="1:19">
      <c r="J84" s="1779">
        <v>2017</v>
      </c>
      <c r="K84" s="1780">
        <v>4580</v>
      </c>
      <c r="L84" s="1780">
        <v>6850</v>
      </c>
      <c r="M84" s="1780">
        <v>4950</v>
      </c>
      <c r="N84" s="1780">
        <v>6860</v>
      </c>
      <c r="O84" s="1780">
        <v>2190</v>
      </c>
      <c r="P84" s="1780">
        <v>3010</v>
      </c>
      <c r="Q84" s="1780">
        <v>2410</v>
      </c>
      <c r="R84" s="1780" t="s">
        <v>933</v>
      </c>
    </row>
    <row r="85" spans="1:19" s="136" customFormat="1" ht="21">
      <c r="A85" s="246" t="s">
        <v>937</v>
      </c>
      <c r="J85" s="1779">
        <v>2016</v>
      </c>
      <c r="K85" s="1780">
        <v>5050</v>
      </c>
      <c r="L85" s="1780">
        <v>5980</v>
      </c>
      <c r="M85" s="1780">
        <v>7850</v>
      </c>
      <c r="N85" s="1780">
        <v>6990</v>
      </c>
      <c r="O85" s="1780">
        <v>820</v>
      </c>
      <c r="P85" s="1780">
        <v>4480</v>
      </c>
      <c r="Q85" s="1780">
        <v>3460</v>
      </c>
      <c r="R85" s="1780" t="s">
        <v>933</v>
      </c>
    </row>
    <row r="86" spans="1:19" s="136" customFormat="1">
      <c r="J86" s="1779">
        <v>2015</v>
      </c>
      <c r="K86" s="1780">
        <v>3920</v>
      </c>
      <c r="L86" s="1780">
        <v>6050</v>
      </c>
      <c r="M86" s="1780">
        <v>4460</v>
      </c>
      <c r="N86" s="1780">
        <v>5120</v>
      </c>
      <c r="O86" s="1780">
        <v>810</v>
      </c>
      <c r="P86" s="1780">
        <v>3650</v>
      </c>
      <c r="Q86" s="1780">
        <v>2380</v>
      </c>
      <c r="R86" s="1780" t="s">
        <v>933</v>
      </c>
    </row>
    <row r="87" spans="1:19" s="136" customFormat="1" ht="27.6">
      <c r="B87" s="137" t="s">
        <v>577</v>
      </c>
      <c r="C87" s="137" t="s">
        <v>759</v>
      </c>
      <c r="D87" s="137" t="s">
        <v>1368</v>
      </c>
      <c r="E87" s="137" t="s">
        <v>579</v>
      </c>
      <c r="F87" s="137" t="s">
        <v>760</v>
      </c>
      <c r="G87" s="137" t="s">
        <v>596</v>
      </c>
      <c r="H87" s="137" t="s">
        <v>467</v>
      </c>
      <c r="J87" s="1781">
        <v>2014</v>
      </c>
      <c r="K87" s="1782">
        <v>3300</v>
      </c>
      <c r="L87" s="1782">
        <v>3490</v>
      </c>
      <c r="M87" s="1782">
        <v>5880</v>
      </c>
      <c r="N87" s="1782">
        <v>4130</v>
      </c>
      <c r="O87" s="1782">
        <v>1530</v>
      </c>
      <c r="P87" s="1782">
        <v>1920</v>
      </c>
      <c r="Q87" s="1782">
        <v>1180</v>
      </c>
      <c r="R87" s="1782" t="s">
        <v>933</v>
      </c>
    </row>
    <row r="88" spans="1:19" s="136" customFormat="1">
      <c r="A88" s="138" t="s">
        <v>2133</v>
      </c>
      <c r="B88" s="232">
        <f>FL_Cap_addns_perFME</f>
        <v>5410</v>
      </c>
      <c r="C88" s="232">
        <f>SE_Cap_addns_perFME</f>
        <v>6730</v>
      </c>
      <c r="D88" s="232">
        <f>BOCA_Cap_addns_perFME</f>
        <v>8890</v>
      </c>
      <c r="E88" s="232">
        <f>SW_Cap_addns_perFME</f>
        <v>6540</v>
      </c>
      <c r="F88" s="232">
        <f>SWCIRA_Cap_addns_perFME</f>
        <v>1420</v>
      </c>
      <c r="G88" s="232">
        <f>NC_Cap_addns_perFME</f>
        <v>4030</v>
      </c>
      <c r="H88" s="232">
        <f>YB_Cap_addns_perFME</f>
        <v>2680</v>
      </c>
      <c r="J88" s="1779">
        <v>2013</v>
      </c>
      <c r="K88" s="1780">
        <v>2390</v>
      </c>
      <c r="L88" s="1780">
        <v>3460</v>
      </c>
      <c r="M88" s="1780">
        <v>3190</v>
      </c>
      <c r="N88" s="1780">
        <v>2490</v>
      </c>
      <c r="O88" s="1780">
        <v>1290</v>
      </c>
      <c r="P88" s="1780">
        <v>1810</v>
      </c>
      <c r="Q88" s="1780">
        <v>920</v>
      </c>
      <c r="R88" s="1780" t="s">
        <v>933</v>
      </c>
    </row>
    <row r="89" spans="1:19" s="136" customFormat="1">
      <c r="A89" s="138" t="s">
        <v>1843</v>
      </c>
      <c r="B89" s="232">
        <v>4180</v>
      </c>
      <c r="C89" s="232">
        <v>5650</v>
      </c>
      <c r="D89" s="232">
        <v>5500</v>
      </c>
      <c r="E89" s="232">
        <v>5670</v>
      </c>
      <c r="F89" s="232">
        <v>1480</v>
      </c>
      <c r="G89" s="232">
        <v>3400</v>
      </c>
      <c r="H89" s="232">
        <v>2500</v>
      </c>
      <c r="J89" s="1779">
        <v>2012</v>
      </c>
      <c r="K89" s="1780">
        <v>2210</v>
      </c>
      <c r="L89" s="1780">
        <v>4140</v>
      </c>
      <c r="M89" s="1780">
        <v>2220</v>
      </c>
      <c r="N89" s="1780">
        <v>2690</v>
      </c>
      <c r="O89" s="1780">
        <v>1040</v>
      </c>
      <c r="P89" s="1780">
        <v>1450</v>
      </c>
      <c r="Q89" s="1780">
        <v>780</v>
      </c>
      <c r="R89" s="1780" t="s">
        <v>933</v>
      </c>
    </row>
    <row r="90" spans="1:19" s="136" customFormat="1" ht="15.6" hidden="1" outlineLevel="1">
      <c r="A90" s="138" t="s">
        <v>900</v>
      </c>
      <c r="B90" s="232" t="e">
        <f>FL_BudCap_addns_permem</f>
        <v>#REF!</v>
      </c>
      <c r="C90" s="232" t="e">
        <f>SE_BudCap_addns_permem</f>
        <v>#REF!</v>
      </c>
      <c r="D90" s="232" t="e">
        <f>BOCA_BudCap_addns_permem</f>
        <v>#REF!</v>
      </c>
      <c r="E90" s="232" t="e">
        <f>SW_BudCap_addns_permem</f>
        <v>#REF!</v>
      </c>
      <c r="F90" s="232" t="e">
        <f>SWCIRA_BudCap_addns_permem</f>
        <v>#REF!</v>
      </c>
      <c r="G90" s="232" t="e">
        <f>NC_BudCap_addns_permem</f>
        <v>#REF!</v>
      </c>
      <c r="H90" s="232" t="e">
        <f>YB_BudCap_addns_permem</f>
        <v>#REF!</v>
      </c>
      <c r="I90" s="745" t="s">
        <v>972</v>
      </c>
      <c r="J90" s="1780"/>
      <c r="K90" s="1780"/>
      <c r="L90" s="1780"/>
      <c r="M90" s="1780"/>
      <c r="N90" s="1780"/>
      <c r="O90" s="1780"/>
      <c r="P90" s="1780"/>
      <c r="Q90" s="1780"/>
      <c r="R90" s="1780"/>
    </row>
    <row r="91" spans="1:19" s="136" customFormat="1" collapsed="1">
      <c r="A91" s="138" t="s">
        <v>2134</v>
      </c>
      <c r="B91" s="232">
        <f>K94</f>
        <v>23150</v>
      </c>
      <c r="C91" s="232">
        <f t="shared" ref="C91:H91" si="8">L94</f>
        <v>31770</v>
      </c>
      <c r="D91" s="232">
        <f t="shared" si="8"/>
        <v>28910</v>
      </c>
      <c r="E91" s="232">
        <f t="shared" si="8"/>
        <v>33460</v>
      </c>
      <c r="F91" s="232">
        <f>O94</f>
        <v>8410</v>
      </c>
      <c r="G91" s="232">
        <f t="shared" si="8"/>
        <v>16890</v>
      </c>
      <c r="H91" s="232">
        <f t="shared" si="8"/>
        <v>16220</v>
      </c>
      <c r="J91" s="1779">
        <v>2011</v>
      </c>
      <c r="K91" s="1780">
        <v>2470</v>
      </c>
      <c r="L91" s="1780">
        <v>3160</v>
      </c>
      <c r="M91" s="1780">
        <v>4220</v>
      </c>
      <c r="N91" s="1780">
        <v>3030</v>
      </c>
      <c r="O91" s="1780">
        <v>560</v>
      </c>
      <c r="P91" s="1780">
        <v>1910</v>
      </c>
      <c r="Q91" s="1780">
        <v>1000</v>
      </c>
      <c r="R91" s="1780" t="s">
        <v>933</v>
      </c>
    </row>
    <row r="92" spans="1:19" s="136" customFormat="1">
      <c r="A92" s="138" t="s">
        <v>2135</v>
      </c>
      <c r="B92" s="232">
        <f>FL_PPE_NBV</f>
        <v>28579300</v>
      </c>
      <c r="C92" s="232">
        <f>SE_PPE_NBV</f>
        <v>32479900</v>
      </c>
      <c r="D92" s="232">
        <f>BOCA_PPE_NBV</f>
        <v>44166000</v>
      </c>
      <c r="E92" s="232">
        <f>SW_PPE_NBV</f>
        <v>30546700</v>
      </c>
      <c r="F92" s="232">
        <f>SWCIRA_PPE_NBV</f>
        <v>11801200</v>
      </c>
      <c r="G92" s="232">
        <f>NC_PPE_NBV</f>
        <v>24064700</v>
      </c>
      <c r="H92" s="232">
        <f>YB_PPE_NBV</f>
        <v>18963600</v>
      </c>
      <c r="J92" s="1783">
        <v>2010</v>
      </c>
      <c r="K92" s="1784">
        <v>1790</v>
      </c>
      <c r="L92" s="1784">
        <v>2410</v>
      </c>
      <c r="M92" s="1784">
        <v>2620</v>
      </c>
      <c r="N92" s="1784">
        <v>2400</v>
      </c>
      <c r="O92" s="1784">
        <v>1150</v>
      </c>
      <c r="P92" s="1784">
        <v>950</v>
      </c>
      <c r="Q92" s="1784">
        <v>1070</v>
      </c>
      <c r="R92" s="1784" t="s">
        <v>933</v>
      </c>
      <c r="S92" s="230"/>
    </row>
    <row r="93" spans="1:19" s="136" customFormat="1">
      <c r="A93" s="138" t="s">
        <v>2136</v>
      </c>
      <c r="B93" s="232">
        <f>FL_PPE_NBV_FME</f>
        <v>39150</v>
      </c>
      <c r="C93" s="232">
        <f>SE_PPE_NBV_FME</f>
        <v>52390</v>
      </c>
      <c r="D93" s="232">
        <f>BOCA_PPE_NBV_FME</f>
        <v>49070</v>
      </c>
      <c r="E93" s="232">
        <f>SW_PPE_NBV_FME</f>
        <v>53590</v>
      </c>
      <c r="F93" s="232">
        <f>SWCIRA_PPE_NBV_FME</f>
        <v>13110</v>
      </c>
      <c r="G93" s="232">
        <f>NC_PPE_NBV_FME</f>
        <v>31660</v>
      </c>
      <c r="H93" s="232">
        <f>YB_PPE_NBV_FME</f>
        <v>27480</v>
      </c>
      <c r="J93" s="1783"/>
      <c r="K93" s="1784"/>
      <c r="L93" s="1784"/>
      <c r="M93" s="1784"/>
      <c r="N93" s="1784"/>
      <c r="O93" s="1784"/>
      <c r="P93" s="1784"/>
      <c r="Q93" s="1784"/>
      <c r="R93" s="1784"/>
      <c r="S93" s="230"/>
    </row>
    <row r="94" spans="1:19" ht="15.6" thickBot="1">
      <c r="J94" s="764"/>
      <c r="K94" s="982">
        <f>SUM(K79:K83)</f>
        <v>23150</v>
      </c>
      <c r="L94" s="982">
        <f t="shared" ref="L94:P94" si="9">SUM(L79:L83)</f>
        <v>31770</v>
      </c>
      <c r="M94" s="982">
        <f t="shared" si="9"/>
        <v>28910</v>
      </c>
      <c r="N94" s="982">
        <f t="shared" si="9"/>
        <v>33460</v>
      </c>
      <c r="O94" s="982">
        <f t="shared" si="9"/>
        <v>8410</v>
      </c>
      <c r="P94" s="982">
        <f t="shared" si="9"/>
        <v>16890</v>
      </c>
      <c r="Q94" s="982">
        <f>SUM(Q79:Q83)</f>
        <v>16220</v>
      </c>
    </row>
    <row r="95" spans="1:19" ht="15.6" thickTop="1"/>
    <row r="97" spans="1:12" ht="20.399999999999999">
      <c r="A97" s="242"/>
    </row>
    <row r="98" spans="1:12" ht="16.2">
      <c r="L98" s="763"/>
    </row>
    <row r="99" spans="1:12" ht="16.2">
      <c r="L99" s="763"/>
    </row>
    <row r="100" spans="1:12" ht="16.2">
      <c r="L100" s="763"/>
    </row>
    <row r="101" spans="1:12" ht="16.2">
      <c r="L101" s="763"/>
    </row>
    <row r="102" spans="1:12" ht="16.2">
      <c r="L102" s="763"/>
    </row>
    <row r="103" spans="1:12" ht="20.399999999999999">
      <c r="A103" s="242"/>
      <c r="L103" s="763"/>
    </row>
    <row r="104" spans="1:12" ht="17.399999999999999">
      <c r="A104" s="237"/>
    </row>
    <row r="105" spans="1:12">
      <c r="A105" s="138"/>
    </row>
    <row r="114" spans="1:20" ht="21">
      <c r="A114" s="246" t="s">
        <v>2137</v>
      </c>
      <c r="L114" s="230" t="s">
        <v>1838</v>
      </c>
    </row>
    <row r="115" spans="1:20" ht="48.75" customHeight="1">
      <c r="A115" s="1251"/>
      <c r="B115" s="1249"/>
      <c r="C115" s="1252" t="s">
        <v>1174</v>
      </c>
      <c r="D115" s="1252" t="s">
        <v>1357</v>
      </c>
      <c r="E115" s="1252" t="s">
        <v>1168</v>
      </c>
      <c r="F115" s="1252" t="s">
        <v>1169</v>
      </c>
      <c r="G115" s="1252" t="s">
        <v>1170</v>
      </c>
      <c r="H115" s="1252" t="s">
        <v>1171</v>
      </c>
      <c r="I115" s="1252" t="s">
        <v>1172</v>
      </c>
      <c r="J115" s="1252" t="s">
        <v>1173</v>
      </c>
      <c r="K115" s="1249"/>
      <c r="L115" s="1402" t="s">
        <v>1397</v>
      </c>
      <c r="M115" s="1402" t="s">
        <v>438</v>
      </c>
      <c r="N115" s="1402" t="s">
        <v>1398</v>
      </c>
      <c r="O115" s="1402" t="s">
        <v>1171</v>
      </c>
      <c r="P115" s="1402" t="s">
        <v>1399</v>
      </c>
      <c r="Q115" s="1402" t="s">
        <v>1173</v>
      </c>
      <c r="R115" s="1400" t="s">
        <v>1396</v>
      </c>
      <c r="S115" s="1249"/>
    </row>
    <row r="116" spans="1:20">
      <c r="A116" s="1253" t="s">
        <v>1354</v>
      </c>
      <c r="B116" s="1249"/>
      <c r="C116" s="1254"/>
      <c r="D116" s="1255"/>
      <c r="E116" s="1258" t="str">
        <f t="shared" ref="E116:J122" si="10">E$115&amp;" "&amp;TEXT(L116,"(0%)")</f>
        <v>Clubhouse (32%)</v>
      </c>
      <c r="F116" s="1258" t="str">
        <f t="shared" si="10"/>
        <v>Golf Course (30%)</v>
      </c>
      <c r="G116" s="1258" t="str">
        <f t="shared" si="10"/>
        <v>Fitness/Wellness/Spa (12%)</v>
      </c>
      <c r="H116" s="1258" t="str">
        <f t="shared" si="10"/>
        <v>Marina (1%)</v>
      </c>
      <c r="I116" s="1258" t="str">
        <f t="shared" si="10"/>
        <v>Tennis/ Racquet (13%)</v>
      </c>
      <c r="J116" s="1258" t="str">
        <f t="shared" si="10"/>
        <v>Pool (12%)</v>
      </c>
      <c r="K116" s="1249"/>
      <c r="L116" s="1250">
        <f>ROUND(E124/SUM($E124:$J124),2)</f>
        <v>0.32</v>
      </c>
      <c r="M116" s="1250">
        <f t="shared" ref="M116:Q118" si="11">ROUND(F124/SUM($E124:$J124),2)</f>
        <v>0.3</v>
      </c>
      <c r="N116" s="1250">
        <f t="shared" si="11"/>
        <v>0.12</v>
      </c>
      <c r="O116" s="1250">
        <f t="shared" si="11"/>
        <v>0.01</v>
      </c>
      <c r="P116" s="1250">
        <f t="shared" si="11"/>
        <v>0.13</v>
      </c>
      <c r="Q116" s="1250">
        <f t="shared" si="11"/>
        <v>0.12</v>
      </c>
      <c r="R116" s="1401">
        <f>SUM(L116:Q116)</f>
        <v>1</v>
      </c>
      <c r="S116" s="1249"/>
      <c r="T116" s="1399"/>
    </row>
    <row r="117" spans="1:20">
      <c r="A117" s="1253" t="s">
        <v>1358</v>
      </c>
      <c r="B117" s="1249"/>
      <c r="C117" s="1254"/>
      <c r="D117" s="1255"/>
      <c r="E117" s="1258" t="str">
        <f t="shared" si="10"/>
        <v>Clubhouse (30%)</v>
      </c>
      <c r="F117" s="1258" t="str">
        <f t="shared" si="10"/>
        <v>Golf Course (37%)</v>
      </c>
      <c r="G117" s="1258" t="str">
        <f t="shared" si="10"/>
        <v>Fitness/Wellness/Spa (11%)</v>
      </c>
      <c r="H117" s="1258" t="str">
        <f t="shared" si="10"/>
        <v>Marina (0%)</v>
      </c>
      <c r="I117" s="1258" t="str">
        <f t="shared" si="10"/>
        <v>Tennis/ Racquet (11%)</v>
      </c>
      <c r="J117" s="1258" t="str">
        <f t="shared" si="10"/>
        <v>Pool (11%)</v>
      </c>
      <c r="K117" s="1249"/>
      <c r="L117" s="1250">
        <f>ROUND(E125/SUM($E125:$J125),2)-0.02</f>
        <v>0.3</v>
      </c>
      <c r="M117" s="1250">
        <f t="shared" si="11"/>
        <v>0.37</v>
      </c>
      <c r="N117" s="1250">
        <f t="shared" si="11"/>
        <v>0.11</v>
      </c>
      <c r="O117" s="1250">
        <f t="shared" si="11"/>
        <v>0</v>
      </c>
      <c r="P117" s="1250">
        <f t="shared" si="11"/>
        <v>0.11</v>
      </c>
      <c r="Q117" s="1250">
        <f t="shared" si="11"/>
        <v>0.11</v>
      </c>
      <c r="R117" s="1401">
        <f>SUM(L117:Q117)</f>
        <v>0.99999999999999989</v>
      </c>
      <c r="S117" s="1249"/>
      <c r="T117" s="1249"/>
    </row>
    <row r="118" spans="1:20">
      <c r="A118" s="1253" t="s">
        <v>1299</v>
      </c>
      <c r="B118" s="1249"/>
      <c r="C118" s="1254"/>
      <c r="D118" s="1255"/>
      <c r="E118" s="1258" t="str">
        <f t="shared" si="10"/>
        <v>Clubhouse (34%)</v>
      </c>
      <c r="F118" s="1258" t="str">
        <f t="shared" si="10"/>
        <v>Golf Course (33%)</v>
      </c>
      <c r="G118" s="1258" t="str">
        <f t="shared" si="10"/>
        <v>Fitness/Wellness/Spa (17%)</v>
      </c>
      <c r="H118" s="1258" t="str">
        <f t="shared" si="10"/>
        <v>Marina (0%)</v>
      </c>
      <c r="I118" s="1258" t="str">
        <f t="shared" si="10"/>
        <v>Tennis/ Racquet (8%)</v>
      </c>
      <c r="J118" s="1258" t="str">
        <f t="shared" si="10"/>
        <v>Pool (8%)</v>
      </c>
      <c r="K118" s="1249"/>
      <c r="L118" s="1250">
        <f>ROUND(E126/SUM($E126:$J126),2)+0.01</f>
        <v>0.34</v>
      </c>
      <c r="M118" s="1250">
        <f t="shared" si="11"/>
        <v>0.33</v>
      </c>
      <c r="N118" s="1250">
        <f>ROUND(G126/SUM($E126:$J126),2)</f>
        <v>0.17</v>
      </c>
      <c r="O118" s="1250">
        <f t="shared" si="11"/>
        <v>0</v>
      </c>
      <c r="P118" s="1250">
        <f t="shared" si="11"/>
        <v>0.08</v>
      </c>
      <c r="Q118" s="1250">
        <f t="shared" si="11"/>
        <v>0.08</v>
      </c>
      <c r="R118" s="1401">
        <f>SUM(L118:Q118)</f>
        <v>1</v>
      </c>
      <c r="S118" s="1249"/>
      <c r="T118" s="1249"/>
    </row>
    <row r="119" spans="1:20">
      <c r="A119" s="1253" t="s">
        <v>1300</v>
      </c>
      <c r="B119" s="1249"/>
      <c r="C119" s="1254"/>
      <c r="D119" s="1255"/>
      <c r="E119" s="1258" t="str">
        <f t="shared" si="10"/>
        <v>Clubhouse (43%)</v>
      </c>
      <c r="F119" s="1258" t="str">
        <f t="shared" si="10"/>
        <v>Golf Course (29%)</v>
      </c>
      <c r="G119" s="1258" t="str">
        <f t="shared" si="10"/>
        <v>Fitness/Wellness/Spa (14%)</v>
      </c>
      <c r="H119" s="1258" t="str">
        <f t="shared" si="10"/>
        <v>Marina (0%)</v>
      </c>
      <c r="I119" s="1258" t="str">
        <f t="shared" si="10"/>
        <v>Tennis/ Racquet (7%)</v>
      </c>
      <c r="J119" s="1258" t="str">
        <f t="shared" si="10"/>
        <v>Pool (7%)</v>
      </c>
      <c r="K119" s="1249"/>
      <c r="L119" s="1250">
        <f>ROUND(E127/SUM($E127:$J127),2)</f>
        <v>0.43</v>
      </c>
      <c r="M119" s="1250">
        <f>ROUND(F127/SUM($E127:$J127),2)</f>
        <v>0.28999999999999998</v>
      </c>
      <c r="N119" s="1250">
        <f>ROUND(G127/SUM($E127:$J127),2)</f>
        <v>0.14000000000000001</v>
      </c>
      <c r="O119" s="1250">
        <f t="shared" ref="O119:Q122" si="12">ROUND(H127/SUM($E127:$J127),2)</f>
        <v>0</v>
      </c>
      <c r="P119" s="1250">
        <f t="shared" si="12"/>
        <v>7.0000000000000007E-2</v>
      </c>
      <c r="Q119" s="1250">
        <f t="shared" si="12"/>
        <v>7.0000000000000007E-2</v>
      </c>
      <c r="R119" s="1401">
        <f t="shared" ref="R119:R122" si="13">SUM(L119:Q119)</f>
        <v>1</v>
      </c>
      <c r="S119" s="1249"/>
      <c r="T119" s="1399"/>
    </row>
    <row r="120" spans="1:20">
      <c r="A120" s="1253" t="s">
        <v>418</v>
      </c>
      <c r="B120" s="1249"/>
      <c r="C120" s="1254"/>
      <c r="D120" s="1255"/>
      <c r="E120" s="1258" t="str">
        <f t="shared" si="10"/>
        <v>Clubhouse (45%)</v>
      </c>
      <c r="F120" s="1258" t="str">
        <f t="shared" si="10"/>
        <v>Golf Course (11%)</v>
      </c>
      <c r="G120" s="1258" t="str">
        <f t="shared" si="10"/>
        <v>Fitness/Wellness/Spa (11%)</v>
      </c>
      <c r="H120" s="1258" t="str">
        <f t="shared" si="10"/>
        <v>Marina (0%)</v>
      </c>
      <c r="I120" s="1258" t="str">
        <f t="shared" si="10"/>
        <v>Tennis/ Racquet (11%)</v>
      </c>
      <c r="J120" s="1258" t="str">
        <f t="shared" si="10"/>
        <v>Pool (22%)</v>
      </c>
      <c r="K120" s="1249"/>
      <c r="L120" s="1250">
        <f>ROUND(E128/SUM($E128:$J128),2)+0.01</f>
        <v>0.45</v>
      </c>
      <c r="M120" s="1250">
        <f>ROUND(F128/SUM($E128:$J128),2)</f>
        <v>0.11</v>
      </c>
      <c r="N120" s="1250">
        <f>ROUND(G128/SUM($E128:$J128),2)</f>
        <v>0.11</v>
      </c>
      <c r="O120" s="1250">
        <f t="shared" si="12"/>
        <v>0</v>
      </c>
      <c r="P120" s="1250">
        <f t="shared" si="12"/>
        <v>0.11</v>
      </c>
      <c r="Q120" s="1250">
        <f t="shared" si="12"/>
        <v>0.22</v>
      </c>
      <c r="R120" s="1401">
        <f t="shared" si="13"/>
        <v>1</v>
      </c>
      <c r="S120" s="1249"/>
      <c r="T120" s="1249"/>
    </row>
    <row r="121" spans="1:20">
      <c r="A121" s="1253" t="s">
        <v>414</v>
      </c>
      <c r="B121" s="1249"/>
      <c r="C121" s="1257"/>
      <c r="D121" s="1249"/>
      <c r="E121" s="1258" t="str">
        <f t="shared" si="10"/>
        <v>Clubhouse (22%)</v>
      </c>
      <c r="F121" s="1258" t="str">
        <f t="shared" si="10"/>
        <v>Golf Course (30%)</v>
      </c>
      <c r="G121" s="1258" t="str">
        <f t="shared" si="10"/>
        <v>Fitness/Wellness/Spa (9%)</v>
      </c>
      <c r="H121" s="1258" t="str">
        <f t="shared" si="10"/>
        <v>Marina (4%)</v>
      </c>
      <c r="I121" s="1258" t="str">
        <f t="shared" si="10"/>
        <v>Tennis/ Racquet (22%)</v>
      </c>
      <c r="J121" s="1258" t="str">
        <f t="shared" si="10"/>
        <v>Pool (13%)</v>
      </c>
      <c r="K121" s="1249"/>
      <c r="L121" s="1250">
        <f>ROUND(E129/SUM($E129:$J129),2)</f>
        <v>0.22</v>
      </c>
      <c r="M121" s="1250">
        <f>ROUND(F129/SUM($E129:$J129),2)</f>
        <v>0.3</v>
      </c>
      <c r="N121" s="1250">
        <f>ROUND(G129/SUM($E129:$J129),2)</f>
        <v>0.09</v>
      </c>
      <c r="O121" s="1250">
        <f t="shared" si="12"/>
        <v>0.04</v>
      </c>
      <c r="P121" s="1250">
        <f t="shared" si="12"/>
        <v>0.22</v>
      </c>
      <c r="Q121" s="1250">
        <f t="shared" si="12"/>
        <v>0.13</v>
      </c>
      <c r="R121" s="1401">
        <f>SUM(L121:Q121)</f>
        <v>1</v>
      </c>
      <c r="S121" s="1249"/>
    </row>
    <row r="122" spans="1:20">
      <c r="A122" s="1253" t="s">
        <v>412</v>
      </c>
      <c r="B122" s="1249"/>
      <c r="C122" s="1257"/>
      <c r="D122" s="1249"/>
      <c r="E122" s="1258" t="str">
        <f t="shared" si="10"/>
        <v>Clubhouse (50%)</v>
      </c>
      <c r="F122" s="1258" t="str">
        <f t="shared" si="10"/>
        <v>Golf Course (0%)</v>
      </c>
      <c r="G122" s="1258" t="str">
        <f t="shared" si="10"/>
        <v>Fitness/Wellness/Spa (0%)</v>
      </c>
      <c r="H122" s="1258" t="str">
        <f t="shared" si="10"/>
        <v>Marina (25%)</v>
      </c>
      <c r="I122" s="1258" t="str">
        <f t="shared" si="10"/>
        <v>Tennis/ Racquet (0%)</v>
      </c>
      <c r="J122" s="1258" t="str">
        <f t="shared" si="10"/>
        <v>Pool (25%)</v>
      </c>
      <c r="K122" s="1249"/>
      <c r="L122" s="1250">
        <f>ROUND(E130/SUM($E130:$J130),2)</f>
        <v>0.5</v>
      </c>
      <c r="M122" s="1250">
        <f>ROUND(F130/SUM($E130:$J130),2)</f>
        <v>0</v>
      </c>
      <c r="N122" s="1250">
        <f>ROUND(G130/SUM($E130:$J130),2)</f>
        <v>0</v>
      </c>
      <c r="O122" s="1250">
        <f t="shared" si="12"/>
        <v>0.25</v>
      </c>
      <c r="P122" s="1250">
        <f t="shared" si="12"/>
        <v>0</v>
      </c>
      <c r="Q122" s="1250">
        <f t="shared" si="12"/>
        <v>0.25</v>
      </c>
      <c r="R122" s="1401">
        <f t="shared" si="13"/>
        <v>1</v>
      </c>
      <c r="S122" s="1249"/>
    </row>
    <row r="123" spans="1:20">
      <c r="A123" s="1256"/>
      <c r="B123" s="1249"/>
      <c r="C123" s="1257"/>
      <c r="D123" s="1249"/>
      <c r="E123" s="1249"/>
      <c r="F123" s="1249"/>
      <c r="G123" s="1249"/>
      <c r="H123" s="1249"/>
      <c r="I123" s="1249"/>
      <c r="J123" s="1249"/>
      <c r="K123" s="1249"/>
      <c r="L123" s="1249"/>
      <c r="M123" s="1249"/>
      <c r="N123" s="1249"/>
      <c r="O123" s="1249"/>
      <c r="P123" s="1249"/>
      <c r="Q123" s="1249"/>
      <c r="R123" s="1249"/>
      <c r="S123" s="1249"/>
    </row>
    <row r="124" spans="1:20">
      <c r="A124" s="1253" t="s">
        <v>1354</v>
      </c>
      <c r="B124" s="1249"/>
      <c r="C124" s="1254">
        <f>'IN ROWS'!AX7</f>
        <v>52</v>
      </c>
      <c r="D124" s="1255">
        <f>'IN ROWS'!AX9</f>
        <v>0.49</v>
      </c>
      <c r="E124" s="1254">
        <f>'IN ROWS'!AY7</f>
        <v>25</v>
      </c>
      <c r="F124" s="1254">
        <f>'IN ROWS'!AZ7</f>
        <v>23</v>
      </c>
      <c r="G124" s="1254">
        <f>'IN ROWS'!BA7</f>
        <v>9</v>
      </c>
      <c r="H124" s="1254">
        <f>'IN ROWS'!BB7</f>
        <v>1</v>
      </c>
      <c r="I124" s="1254">
        <f>'IN ROWS'!BC7</f>
        <v>10</v>
      </c>
      <c r="J124" s="1254">
        <f>'IN ROWS'!BD7</f>
        <v>9</v>
      </c>
      <c r="K124" s="1249"/>
      <c r="L124" s="1249"/>
      <c r="M124" s="1249"/>
      <c r="N124" s="1249"/>
      <c r="O124" s="1249"/>
      <c r="P124" s="1249"/>
      <c r="Q124" s="1249"/>
      <c r="R124" s="1249"/>
      <c r="S124" s="1249"/>
    </row>
    <row r="125" spans="1:20">
      <c r="A125" s="1253" t="s">
        <v>1358</v>
      </c>
      <c r="B125" s="1249"/>
      <c r="C125" s="1254">
        <f>'IN ROWS'!AX13</f>
        <v>12</v>
      </c>
      <c r="D125" s="1255">
        <f>'IN ROWS'!AX15</f>
        <v>0.52</v>
      </c>
      <c r="E125" s="1254">
        <f>'IN ROWS'!AY13</f>
        <v>6</v>
      </c>
      <c r="F125" s="1254">
        <f>'IN ROWS'!AZ13</f>
        <v>7</v>
      </c>
      <c r="G125" s="1254">
        <f>'IN ROWS'!BA13</f>
        <v>2</v>
      </c>
      <c r="H125" s="1254">
        <f>'IN ROWS'!BB13</f>
        <v>0</v>
      </c>
      <c r="I125" s="1254">
        <f>'IN ROWS'!BC13</f>
        <v>2</v>
      </c>
      <c r="J125" s="1254">
        <f>'IN ROWS'!BD13</f>
        <v>2</v>
      </c>
      <c r="K125" s="1249"/>
      <c r="L125" s="1257" t="str">
        <f>A125&amp;" -"&amp;" "&amp;TEXT(D125,"(0%)")</f>
        <v>Southeast w/o Boca - (52%)</v>
      </c>
      <c r="M125" s="1249"/>
      <c r="N125" s="1249"/>
      <c r="P125" s="1249"/>
      <c r="Q125" s="1249"/>
      <c r="R125" s="1249"/>
      <c r="S125" s="1249"/>
    </row>
    <row r="126" spans="1:20">
      <c r="A126" s="1253" t="s">
        <v>1299</v>
      </c>
      <c r="B126" s="1249"/>
      <c r="C126" s="1254">
        <f>'IN ROWS'!AX19</f>
        <v>8</v>
      </c>
      <c r="D126" s="1255">
        <f>'IN ROWS'!AX21</f>
        <v>0.47</v>
      </c>
      <c r="E126" s="1254">
        <f>'IN ROWS'!AY19</f>
        <v>4</v>
      </c>
      <c r="F126" s="1254">
        <f>'IN ROWS'!AZ19</f>
        <v>4</v>
      </c>
      <c r="G126" s="1254">
        <f>'IN ROWS'!BA19</f>
        <v>2</v>
      </c>
      <c r="H126" s="1254">
        <f>'IN ROWS'!BB19</f>
        <v>0</v>
      </c>
      <c r="I126" s="1254">
        <f>'IN ROWS'!BC19</f>
        <v>1</v>
      </c>
      <c r="J126" s="1254">
        <f>'IN ROWS'!BD19</f>
        <v>1</v>
      </c>
      <c r="K126" s="1249"/>
      <c r="L126" s="1257" t="str">
        <f t="shared" ref="L126:L129" si="14">A126&amp;" -"&amp;" "&amp;TEXT(D126,"(0%)")</f>
        <v>Boca Raton Area - (47%)</v>
      </c>
      <c r="M126" s="1249"/>
      <c r="N126" s="1249"/>
      <c r="P126" s="1249"/>
      <c r="Q126" s="1249"/>
      <c r="R126" s="1249"/>
      <c r="S126" s="1249"/>
    </row>
    <row r="127" spans="1:20">
      <c r="A127" s="1253" t="s">
        <v>1300</v>
      </c>
      <c r="B127" s="1249"/>
      <c r="C127" s="1254">
        <f>'IN ROWS'!AX25</f>
        <v>10</v>
      </c>
      <c r="D127" s="1255">
        <f>'IN ROWS'!AX27</f>
        <v>0.38</v>
      </c>
      <c r="E127" s="1254">
        <f>'IN ROWS'!AY25</f>
        <v>6</v>
      </c>
      <c r="F127" s="1254">
        <f>'IN ROWS'!AZ25</f>
        <v>4</v>
      </c>
      <c r="G127" s="1254">
        <f>'IN ROWS'!BA25</f>
        <v>2</v>
      </c>
      <c r="H127" s="1254">
        <f>'IN ROWS'!BB25</f>
        <v>0</v>
      </c>
      <c r="I127" s="1254">
        <f>'IN ROWS'!BC25</f>
        <v>1</v>
      </c>
      <c r="J127" s="1254">
        <f>'IN ROWS'!BD25</f>
        <v>1</v>
      </c>
      <c r="K127" s="1249"/>
      <c r="L127" s="1257" t="str">
        <f t="shared" si="14"/>
        <v>Southwest w/o CIRAs - (38%)</v>
      </c>
      <c r="M127" s="1249"/>
      <c r="N127" s="1249"/>
      <c r="P127" s="1249"/>
      <c r="Q127" s="1249"/>
      <c r="R127" s="1249"/>
      <c r="S127" s="1249"/>
    </row>
    <row r="128" spans="1:20">
      <c r="A128" s="1253" t="s">
        <v>418</v>
      </c>
      <c r="B128" s="1249"/>
      <c r="C128" s="1254">
        <f>'IN ROWS'!AX31</f>
        <v>6</v>
      </c>
      <c r="D128" s="1255">
        <f>'IN ROWS'!AX33</f>
        <v>0.33</v>
      </c>
      <c r="E128" s="1254">
        <f>'IN ROWS'!AY31</f>
        <v>4</v>
      </c>
      <c r="F128" s="1254">
        <f>'IN ROWS'!AZ31</f>
        <v>1</v>
      </c>
      <c r="G128" s="1254">
        <f>'IN ROWS'!BA31</f>
        <v>1</v>
      </c>
      <c r="H128" s="1254">
        <f>'IN ROWS'!BB31</f>
        <v>0</v>
      </c>
      <c r="I128" s="1254">
        <f>'IN ROWS'!BC31</f>
        <v>1</v>
      </c>
      <c r="J128" s="1254">
        <f>'IN ROWS'!BD31</f>
        <v>2</v>
      </c>
      <c r="K128" s="1249"/>
      <c r="L128" s="1257" t="str">
        <f t="shared" si="14"/>
        <v>Southwest CIRAs - (33%)</v>
      </c>
      <c r="M128" s="1249"/>
      <c r="N128" s="1249"/>
      <c r="P128" s="1249"/>
      <c r="Q128" s="1249"/>
      <c r="R128" s="1249"/>
      <c r="S128" s="1249"/>
    </row>
    <row r="129" spans="1:19">
      <c r="A129" s="1253" t="s">
        <v>414</v>
      </c>
      <c r="B129" s="1249"/>
      <c r="C129" s="1254">
        <f>'IN ROWS'!AX37</f>
        <v>16</v>
      </c>
      <c r="D129" s="1255">
        <f>'IN ROWS'!AX39</f>
        <v>0.7</v>
      </c>
      <c r="E129" s="1254">
        <f>'IN ROWS'!AY37</f>
        <v>5</v>
      </c>
      <c r="F129" s="1254">
        <f>'IN ROWS'!AZ37</f>
        <v>7</v>
      </c>
      <c r="G129" s="1254">
        <f>'IN ROWS'!BA37</f>
        <v>2</v>
      </c>
      <c r="H129" s="1254">
        <f>'IN ROWS'!BB37</f>
        <v>1</v>
      </c>
      <c r="I129" s="1254">
        <f>'IN ROWS'!BC37</f>
        <v>5</v>
      </c>
      <c r="J129" s="1254">
        <f>'IN ROWS'!BD37</f>
        <v>3</v>
      </c>
      <c r="K129" s="1249"/>
      <c r="L129" s="1257" t="str">
        <f t="shared" si="14"/>
        <v>North &amp; Central - (70%)</v>
      </c>
      <c r="M129" s="1249"/>
      <c r="N129" s="1249"/>
      <c r="P129" s="1249"/>
      <c r="Q129" s="1249"/>
      <c r="R129" s="1249"/>
      <c r="S129" s="1249"/>
    </row>
    <row r="130" spans="1:19">
      <c r="A130" s="1253" t="s">
        <v>412</v>
      </c>
      <c r="B130" s="1249"/>
      <c r="C130" s="1254">
        <f>'IN ROWS'!AX43</f>
        <v>4</v>
      </c>
      <c r="D130" s="1255">
        <f>'IN ROWS'!AX45</f>
        <v>0.33</v>
      </c>
      <c r="E130" s="1254">
        <f>'IN ROWS'!AY43</f>
        <v>2</v>
      </c>
      <c r="F130" s="1254">
        <f>'IN ROWS'!AZ43</f>
        <v>0</v>
      </c>
      <c r="G130" s="1254">
        <f>'IN ROWS'!BA43</f>
        <v>0</v>
      </c>
      <c r="H130" s="1254">
        <f>'IN ROWS'!BB43</f>
        <v>1</v>
      </c>
      <c r="I130" s="1254">
        <f>'IN ROWS'!BC43</f>
        <v>0</v>
      </c>
      <c r="J130" s="1254">
        <f>'IN ROWS'!BD43</f>
        <v>1</v>
      </c>
      <c r="K130" s="1249"/>
      <c r="L130" s="1257" t="str">
        <f>A130&amp;" -"&amp;" "&amp;TEXT(D130,"(0%)")</f>
        <v>Yacht &amp; Beach - (33%)</v>
      </c>
      <c r="M130" s="1249"/>
      <c r="N130" s="1249"/>
      <c r="O130" s="1249"/>
      <c r="P130" s="1249"/>
      <c r="Q130" s="1249"/>
      <c r="R130" s="1249"/>
      <c r="S130" s="1249"/>
    </row>
    <row r="131" spans="1:19">
      <c r="A131" s="1256"/>
      <c r="B131" s="1249"/>
      <c r="C131" s="1257"/>
      <c r="D131" s="1257"/>
      <c r="E131" s="1257"/>
      <c r="F131" s="1257"/>
      <c r="G131" s="1249"/>
      <c r="H131" s="1249"/>
      <c r="I131" s="1249"/>
      <c r="J131" s="1249"/>
      <c r="K131" s="1249"/>
      <c r="L131" s="1249"/>
      <c r="M131" s="1249"/>
      <c r="N131" s="1249"/>
      <c r="O131" s="1249"/>
      <c r="P131" s="1249"/>
      <c r="Q131" s="1249"/>
      <c r="R131" s="1249"/>
      <c r="S131" s="1249"/>
    </row>
    <row r="132" spans="1:19">
      <c r="A132" s="1251"/>
      <c r="B132" s="1249"/>
      <c r="C132" s="1249"/>
      <c r="D132" s="1249"/>
      <c r="E132" s="1249"/>
      <c r="F132" s="1249"/>
      <c r="G132" s="1249"/>
      <c r="H132" s="1249"/>
      <c r="I132" s="1249"/>
      <c r="J132" s="1249"/>
      <c r="K132" s="1249"/>
      <c r="L132" s="1249"/>
      <c r="M132" s="1249"/>
      <c r="N132" s="1249"/>
      <c r="O132" s="1249"/>
      <c r="P132" s="1249"/>
    </row>
    <row r="135" spans="1:19">
      <c r="M135" s="1398"/>
      <c r="N135" s="1398"/>
      <c r="O135" s="1398"/>
      <c r="P135" s="1398"/>
      <c r="Q135" s="1398"/>
      <c r="R135" s="1398"/>
    </row>
    <row r="153" spans="1:20" ht="20.399999999999999">
      <c r="A153" s="1259"/>
      <c r="B153" s="1260"/>
      <c r="C153" s="1260"/>
      <c r="D153" s="1260"/>
      <c r="E153" s="1260"/>
      <c r="F153" s="1260"/>
      <c r="G153" s="1260"/>
      <c r="H153" s="1260"/>
      <c r="I153" s="1260"/>
      <c r="J153" s="1260"/>
      <c r="K153" s="1260"/>
      <c r="L153" s="1260"/>
      <c r="M153" s="1260"/>
      <c r="N153" s="1260"/>
      <c r="O153" s="1260"/>
      <c r="P153" s="1260"/>
      <c r="Q153" s="1260"/>
      <c r="R153" s="1260"/>
      <c r="S153" s="1260"/>
      <c r="T153" s="1260"/>
    </row>
    <row r="154" spans="1:20" ht="20.399999999999999">
      <c r="A154" s="242"/>
    </row>
    <row r="174" spans="1:20" ht="20.399999999999999">
      <c r="A174" s="1259"/>
      <c r="B174" s="1260"/>
      <c r="C174" s="1260"/>
      <c r="D174" s="1260"/>
      <c r="E174" s="1260"/>
      <c r="F174" s="1260"/>
      <c r="G174" s="1260"/>
      <c r="H174" s="1260"/>
      <c r="I174" s="1260"/>
      <c r="J174" s="1260"/>
      <c r="K174" s="1260"/>
      <c r="L174" s="1260"/>
      <c r="M174" s="1260"/>
      <c r="N174" s="1260"/>
      <c r="O174" s="1260"/>
      <c r="P174" s="1260"/>
      <c r="Q174" s="1260"/>
      <c r="R174" s="1260"/>
      <c r="S174" s="1260"/>
      <c r="T174" s="1260"/>
    </row>
    <row r="179" spans="1:1" ht="20.399999999999999">
      <c r="A179" s="242"/>
    </row>
    <row r="180" spans="1:1" ht="20.399999999999999">
      <c r="A180" s="242"/>
    </row>
    <row r="198" spans="1:15" s="136" customFormat="1" ht="19.5" customHeight="1">
      <c r="A198" s="246" t="s">
        <v>851</v>
      </c>
      <c r="B198" s="230"/>
      <c r="C198" s="230"/>
      <c r="D198" s="230"/>
      <c r="E198" s="230"/>
      <c r="F198" s="230"/>
      <c r="G198" s="230"/>
      <c r="H198" s="230"/>
      <c r="I198" s="230"/>
      <c r="J198" s="230"/>
      <c r="K198" s="230"/>
      <c r="L198" s="230"/>
      <c r="M198" s="230"/>
      <c r="N198" s="230"/>
      <c r="O198" s="230"/>
    </row>
    <row r="199" spans="1:15" s="136" customFormat="1" ht="21">
      <c r="A199" s="246"/>
      <c r="B199" s="230"/>
      <c r="C199" s="230"/>
      <c r="D199" s="230"/>
      <c r="E199" s="230"/>
      <c r="F199" s="230"/>
      <c r="G199" s="230"/>
      <c r="H199" s="230"/>
      <c r="I199" s="230"/>
      <c r="J199" s="230"/>
      <c r="K199" s="230"/>
      <c r="L199" s="230"/>
      <c r="M199" s="230"/>
      <c r="N199" s="230"/>
      <c r="O199" s="230"/>
    </row>
    <row r="200" spans="1:15">
      <c r="A200" s="139" t="s">
        <v>459</v>
      </c>
      <c r="B200" s="140" t="s">
        <v>274</v>
      </c>
      <c r="C200" s="140" t="s">
        <v>419</v>
      </c>
      <c r="D200" s="140" t="s">
        <v>270</v>
      </c>
      <c r="E200" s="140" t="s">
        <v>271</v>
      </c>
      <c r="F200" s="140" t="s">
        <v>421</v>
      </c>
      <c r="G200" s="140" t="s">
        <v>272</v>
      </c>
      <c r="H200" s="140" t="s">
        <v>575</v>
      </c>
      <c r="I200" s="136"/>
      <c r="J200" s="136"/>
      <c r="K200" s="136"/>
      <c r="L200" s="136"/>
      <c r="M200" s="136"/>
      <c r="N200" s="136"/>
      <c r="O200" s="136"/>
    </row>
    <row r="201" spans="1:15">
      <c r="A201" s="224"/>
      <c r="B201" s="140" t="s">
        <v>268</v>
      </c>
      <c r="C201" s="140" t="s">
        <v>295</v>
      </c>
      <c r="D201" s="140" t="s">
        <v>257</v>
      </c>
      <c r="E201" s="140" t="s">
        <v>296</v>
      </c>
      <c r="F201" s="140" t="s">
        <v>277</v>
      </c>
      <c r="G201" s="140" t="s">
        <v>278</v>
      </c>
      <c r="H201" s="225" t="s">
        <v>297</v>
      </c>
      <c r="I201" s="136"/>
      <c r="J201" s="136"/>
      <c r="K201" s="136"/>
      <c r="L201" s="136"/>
      <c r="M201" s="136"/>
      <c r="N201" s="136"/>
      <c r="O201" s="136"/>
    </row>
    <row r="202" spans="1:15" ht="27.6">
      <c r="A202" s="682" t="s">
        <v>735</v>
      </c>
      <c r="B202" s="878">
        <f>FL_majproj</f>
        <v>0.55000000000000004</v>
      </c>
      <c r="C202" s="878">
        <f>SE_majproj</f>
        <v>0.48</v>
      </c>
      <c r="D202" s="878">
        <f>BOCA_majproj</f>
        <v>0.76</v>
      </c>
      <c r="E202" s="878">
        <f>SW_majproj</f>
        <v>0.5</v>
      </c>
      <c r="F202" s="878">
        <f>SWCIRA_majproj</f>
        <v>0.33</v>
      </c>
      <c r="G202" s="878">
        <f>NC_majproj</f>
        <v>0.7</v>
      </c>
      <c r="H202" s="878">
        <f>YB_majproj</f>
        <v>0.5</v>
      </c>
    </row>
    <row r="203" spans="1:15">
      <c r="A203" s="224" t="s">
        <v>736</v>
      </c>
      <c r="B203" s="879">
        <f>FL_majproj_amt/1000</f>
        <v>8747.2999999999993</v>
      </c>
      <c r="C203" s="879">
        <f>SE_majproj_amt/1000</f>
        <v>7095.7</v>
      </c>
      <c r="D203" s="879">
        <f>BOCA_majproj_amt/1000</f>
        <v>14746.4</v>
      </c>
      <c r="E203" s="879">
        <f>SW_majproj_amt/1000</f>
        <v>7388.2</v>
      </c>
      <c r="F203" s="879">
        <f>SWCIRA_majproj_amt/1000</f>
        <v>11839.7</v>
      </c>
      <c r="G203" s="879">
        <f>NC_majproj_amt/1000</f>
        <v>5079.1000000000004</v>
      </c>
      <c r="H203" s="879">
        <f>YB_majproj_amt/1000</f>
        <v>4198.6000000000004</v>
      </c>
    </row>
    <row r="206" spans="1:15" ht="21">
      <c r="A206" s="246" t="s">
        <v>852</v>
      </c>
    </row>
    <row r="208" spans="1:15" ht="27.6">
      <c r="B208" s="231" t="s">
        <v>1373</v>
      </c>
      <c r="C208" s="231" t="s">
        <v>1372</v>
      </c>
      <c r="D208" s="231" t="s">
        <v>1361</v>
      </c>
      <c r="E208" s="231" t="s">
        <v>668</v>
      </c>
      <c r="F208" s="231" t="s">
        <v>657</v>
      </c>
      <c r="G208" s="231" t="s">
        <v>596</v>
      </c>
      <c r="H208" s="231" t="s">
        <v>1371</v>
      </c>
    </row>
    <row r="209" spans="1:8">
      <c r="A209" s="1031">
        <v>2022</v>
      </c>
      <c r="B209" s="229">
        <f>FL_3rdparty_debt</f>
        <v>0.82</v>
      </c>
      <c r="C209" s="229">
        <f>SE_3rdparty_debt</f>
        <v>0.74</v>
      </c>
      <c r="D209" s="229">
        <f>BOCA_3rdparty_debt</f>
        <v>0.94</v>
      </c>
      <c r="E209" s="229">
        <f>SW_3rdparty_debt</f>
        <v>0.92</v>
      </c>
      <c r="F209" s="229">
        <f>SWCIRA_3rdparty_debt</f>
        <v>0.67</v>
      </c>
      <c r="G209" s="229">
        <f>NC_3rdparty_debt</f>
        <v>0.83</v>
      </c>
      <c r="H209" s="229">
        <f>YB_3rdparty_debt</f>
        <v>0.92</v>
      </c>
    </row>
    <row r="210" spans="1:8">
      <c r="A210" s="1031">
        <v>2021</v>
      </c>
      <c r="B210" s="229">
        <v>0.77</v>
      </c>
      <c r="C210" s="229">
        <v>0.71</v>
      </c>
      <c r="D210" s="229">
        <v>0.88</v>
      </c>
      <c r="E210" s="229">
        <v>0.88</v>
      </c>
      <c r="F210" s="229">
        <v>0.63</v>
      </c>
      <c r="G210" s="229">
        <v>0.76</v>
      </c>
      <c r="H210" s="229">
        <v>0.82</v>
      </c>
    </row>
    <row r="211" spans="1:8">
      <c r="A211" s="1031">
        <v>2020</v>
      </c>
      <c r="B211" s="229">
        <v>0.75</v>
      </c>
      <c r="C211" s="229">
        <v>0.63</v>
      </c>
      <c r="D211" s="229">
        <v>0.88</v>
      </c>
      <c r="E211" s="229">
        <v>0.88</v>
      </c>
      <c r="F211" s="229">
        <v>0.63</v>
      </c>
      <c r="G211" s="229">
        <v>0.71</v>
      </c>
      <c r="H211" s="229">
        <v>0.88</v>
      </c>
    </row>
    <row r="212" spans="1:8">
      <c r="A212" s="1031">
        <v>2019</v>
      </c>
      <c r="B212" s="229">
        <v>0.77</v>
      </c>
      <c r="C212" s="229">
        <v>0.64</v>
      </c>
      <c r="D212" s="229">
        <v>0.88</v>
      </c>
      <c r="E212" s="229">
        <v>0.89</v>
      </c>
      <c r="F212" s="229">
        <v>0.68</v>
      </c>
      <c r="G212" s="229">
        <v>0.76</v>
      </c>
      <c r="H212" s="229">
        <v>0.82</v>
      </c>
    </row>
    <row r="213" spans="1:8">
      <c r="A213" s="1031">
        <v>2018</v>
      </c>
      <c r="B213" s="229">
        <v>0.77</v>
      </c>
      <c r="C213" s="229">
        <v>0.68</v>
      </c>
      <c r="D213" s="229">
        <v>0.88</v>
      </c>
      <c r="E213" s="229">
        <v>0.86</v>
      </c>
      <c r="F213" s="229">
        <v>0.74</v>
      </c>
      <c r="G213" s="229">
        <v>0.71</v>
      </c>
      <c r="H213" s="229">
        <v>0.67</v>
      </c>
    </row>
    <row r="214" spans="1:8">
      <c r="A214" s="1031">
        <v>2017</v>
      </c>
      <c r="B214" s="229">
        <v>0.75</v>
      </c>
      <c r="C214" s="229">
        <v>0.64</v>
      </c>
      <c r="D214" s="229">
        <v>0.94</v>
      </c>
      <c r="E214" s="229">
        <v>0.83</v>
      </c>
      <c r="F214" s="229">
        <v>0.63</v>
      </c>
      <c r="G214" s="229">
        <v>0.74</v>
      </c>
      <c r="H214" s="229">
        <v>0.56000000000000005</v>
      </c>
    </row>
    <row r="215" spans="1:8">
      <c r="A215" s="1031">
        <v>2016</v>
      </c>
      <c r="B215" s="229">
        <v>0.76</v>
      </c>
      <c r="C215" s="229">
        <v>0.7</v>
      </c>
      <c r="D215" s="229">
        <v>0.88</v>
      </c>
      <c r="E215" s="229">
        <v>0.83</v>
      </c>
      <c r="F215" s="229">
        <v>0.68</v>
      </c>
      <c r="G215" s="229">
        <v>0.7</v>
      </c>
      <c r="H215" s="229">
        <v>0.63</v>
      </c>
    </row>
    <row r="216" spans="1:8">
      <c r="A216" s="384" t="s">
        <v>978</v>
      </c>
      <c r="B216" s="229">
        <v>0.75</v>
      </c>
      <c r="C216" s="229">
        <v>0.75</v>
      </c>
      <c r="D216" s="229">
        <v>0.89</v>
      </c>
      <c r="E216" s="229">
        <v>0.83</v>
      </c>
      <c r="F216" s="229">
        <v>0.63</v>
      </c>
      <c r="G216" s="229">
        <v>0.67</v>
      </c>
      <c r="H216" s="229">
        <v>0.56000000000000005</v>
      </c>
    </row>
    <row r="217" spans="1:8">
      <c r="A217" s="384" t="s">
        <v>899</v>
      </c>
      <c r="B217" s="229">
        <v>0.74</v>
      </c>
      <c r="C217" s="229">
        <v>0.81</v>
      </c>
      <c r="D217" s="229">
        <v>0.94</v>
      </c>
      <c r="E217" s="229">
        <v>0.67</v>
      </c>
      <c r="F217" s="229">
        <v>0.67</v>
      </c>
      <c r="G217" s="229">
        <v>0.67</v>
      </c>
      <c r="H217" s="229">
        <v>0.47</v>
      </c>
    </row>
    <row r="218" spans="1:8">
      <c r="A218" s="384" t="s">
        <v>671</v>
      </c>
      <c r="B218" s="229">
        <v>0.7</v>
      </c>
      <c r="C218" s="229">
        <v>0.8</v>
      </c>
      <c r="D218" s="229">
        <v>0.89</v>
      </c>
      <c r="E218" s="229">
        <v>0.67</v>
      </c>
      <c r="F218" s="229">
        <v>0.59</v>
      </c>
      <c r="G218" s="229">
        <v>0.56000000000000005</v>
      </c>
      <c r="H218" s="229">
        <v>0.38</v>
      </c>
    </row>
    <row r="219" spans="1:8">
      <c r="A219" s="384" t="s">
        <v>608</v>
      </c>
      <c r="B219" s="229">
        <v>0.68</v>
      </c>
      <c r="C219" s="229">
        <v>0.77</v>
      </c>
      <c r="D219" s="229">
        <v>0.79</v>
      </c>
      <c r="E219" s="229">
        <v>0.67</v>
      </c>
      <c r="F219" s="229">
        <v>0.47</v>
      </c>
      <c r="G219" s="229">
        <v>0.67</v>
      </c>
      <c r="H219" s="229">
        <v>0.41</v>
      </c>
    </row>
    <row r="220" spans="1:8">
      <c r="A220" s="384" t="s">
        <v>388</v>
      </c>
      <c r="B220" s="229">
        <v>0.66</v>
      </c>
      <c r="C220" s="229">
        <v>0.72</v>
      </c>
      <c r="D220" s="229">
        <v>0.85</v>
      </c>
      <c r="E220" s="229">
        <v>0.64</v>
      </c>
      <c r="F220" s="229">
        <v>0.47</v>
      </c>
      <c r="G220" s="229">
        <v>0.59</v>
      </c>
      <c r="H220" s="229">
        <v>0.5</v>
      </c>
    </row>
    <row r="221" spans="1:8">
      <c r="A221" s="384" t="s">
        <v>299</v>
      </c>
      <c r="B221" s="229">
        <v>0.67</v>
      </c>
      <c r="C221" s="229">
        <v>0.65</v>
      </c>
      <c r="D221" s="229">
        <v>0.9</v>
      </c>
      <c r="E221" s="229">
        <v>0.71</v>
      </c>
      <c r="F221" s="229">
        <v>0.5</v>
      </c>
      <c r="G221" s="229">
        <v>0.57999999999999996</v>
      </c>
      <c r="H221" s="229">
        <v>0.47</v>
      </c>
    </row>
    <row r="237" spans="1:1" ht="20.399999999999999">
      <c r="A237" s="242"/>
    </row>
    <row r="238" spans="1:1" ht="20.399999999999999">
      <c r="A238" s="242"/>
    </row>
    <row r="242" spans="1:8" ht="21">
      <c r="A242" s="246" t="s">
        <v>951</v>
      </c>
      <c r="B242" s="136"/>
      <c r="C242" s="136"/>
    </row>
    <row r="244" spans="1:8" ht="27.6">
      <c r="B244" s="231" t="s">
        <v>661</v>
      </c>
      <c r="C244" s="231" t="s">
        <v>673</v>
      </c>
      <c r="D244" s="231" t="s">
        <v>1367</v>
      </c>
      <c r="E244" s="231" t="s">
        <v>1737</v>
      </c>
      <c r="F244" s="231" t="s">
        <v>869</v>
      </c>
      <c r="G244" s="231" t="s">
        <v>740</v>
      </c>
      <c r="H244" s="231" t="s">
        <v>868</v>
      </c>
    </row>
    <row r="245" spans="1:8">
      <c r="A245" s="1031">
        <v>2022</v>
      </c>
      <c r="B245" s="232">
        <f>FL_3rdparty_debt_perFME</f>
        <v>8640</v>
      </c>
      <c r="C245" s="232">
        <f>SE_3rdparty_debt_perFME</f>
        <v>10650</v>
      </c>
      <c r="D245" s="232">
        <f>BOCA_3rdparty_debt_perFME</f>
        <v>13300</v>
      </c>
      <c r="E245" s="232">
        <f>SW_3rdparty_debt_perFME</f>
        <v>11630</v>
      </c>
      <c r="F245" s="232">
        <f>SWCIRA_3rdparty_debt_perFME</f>
        <v>1270</v>
      </c>
      <c r="G245" s="232">
        <f>NC_3rdparty_debt_perFME</f>
        <v>5410</v>
      </c>
      <c r="H245" s="984">
        <f>YB_3rdparty_debt_perFME</f>
        <v>9800</v>
      </c>
    </row>
    <row r="246" spans="1:8">
      <c r="A246" s="1031">
        <v>2021</v>
      </c>
      <c r="B246" s="232">
        <v>9480</v>
      </c>
      <c r="C246" s="232">
        <v>12040</v>
      </c>
      <c r="D246" s="232">
        <v>15170</v>
      </c>
      <c r="E246" s="232">
        <v>12920</v>
      </c>
      <c r="F246" s="232">
        <v>1280</v>
      </c>
      <c r="G246" s="232">
        <v>5900</v>
      </c>
      <c r="H246" s="984">
        <v>9420</v>
      </c>
    </row>
    <row r="247" spans="1:8">
      <c r="A247" s="1031">
        <v>2020</v>
      </c>
      <c r="B247" s="232">
        <v>10980</v>
      </c>
      <c r="C247" s="232">
        <v>13650</v>
      </c>
      <c r="D247" s="232">
        <v>17440</v>
      </c>
      <c r="E247" s="232">
        <v>15180</v>
      </c>
      <c r="F247" s="232">
        <v>1610</v>
      </c>
      <c r="G247" s="232">
        <v>6370</v>
      </c>
      <c r="H247" s="984">
        <v>7960</v>
      </c>
    </row>
    <row r="248" spans="1:8">
      <c r="A248" s="1031">
        <v>2019</v>
      </c>
      <c r="B248" s="232">
        <v>10500</v>
      </c>
      <c r="C248" s="232">
        <v>15900</v>
      </c>
      <c r="D248" s="232">
        <v>18170</v>
      </c>
      <c r="E248" s="232">
        <v>12700</v>
      </c>
      <c r="F248" s="232">
        <v>1710</v>
      </c>
      <c r="G248" s="232">
        <v>4540</v>
      </c>
      <c r="H248" s="984">
        <v>5360</v>
      </c>
    </row>
    <row r="249" spans="1:8">
      <c r="A249" s="1031">
        <v>2018</v>
      </c>
      <c r="B249" s="232">
        <v>10120</v>
      </c>
      <c r="C249" s="232">
        <v>14300</v>
      </c>
      <c r="D249" s="232">
        <v>18530</v>
      </c>
      <c r="E249" s="232">
        <v>11420</v>
      </c>
      <c r="F249" s="232">
        <v>1940</v>
      </c>
      <c r="G249" s="232">
        <v>5230</v>
      </c>
      <c r="H249" s="984">
        <v>5970</v>
      </c>
    </row>
    <row r="250" spans="1:8">
      <c r="A250" s="1031">
        <v>2017</v>
      </c>
      <c r="B250" s="232">
        <v>9150</v>
      </c>
      <c r="C250" s="232">
        <v>11080</v>
      </c>
      <c r="D250" s="232">
        <v>15480</v>
      </c>
      <c r="E250" s="232">
        <v>11280</v>
      </c>
      <c r="F250" s="232">
        <v>2310</v>
      </c>
      <c r="G250" s="232">
        <v>5060</v>
      </c>
      <c r="H250" s="984">
        <v>6220</v>
      </c>
    </row>
    <row r="251" spans="1:8">
      <c r="A251" s="1031">
        <v>2016</v>
      </c>
      <c r="B251" s="232">
        <v>8010</v>
      </c>
      <c r="C251" s="232">
        <v>10030</v>
      </c>
      <c r="D251" s="232">
        <v>14140</v>
      </c>
      <c r="E251" s="232">
        <v>8740</v>
      </c>
      <c r="F251" s="232">
        <v>1890</v>
      </c>
      <c r="G251" s="232">
        <v>5310</v>
      </c>
      <c r="H251" s="984">
        <v>5380</v>
      </c>
    </row>
    <row r="252" spans="1:8">
      <c r="A252" s="384" t="s">
        <v>978</v>
      </c>
      <c r="B252" s="232">
        <v>7220</v>
      </c>
      <c r="C252" s="232">
        <v>8680</v>
      </c>
      <c r="D252" s="232">
        <v>12070</v>
      </c>
      <c r="E252" s="232">
        <v>6860</v>
      </c>
      <c r="F252" s="232">
        <v>2490</v>
      </c>
      <c r="G252" s="232">
        <v>5240</v>
      </c>
      <c r="H252" s="984">
        <v>3530</v>
      </c>
    </row>
    <row r="253" spans="1:8">
      <c r="A253" s="384" t="s">
        <v>899</v>
      </c>
      <c r="B253" s="232">
        <v>6550</v>
      </c>
      <c r="C253" s="232">
        <v>7880</v>
      </c>
      <c r="D253" s="232">
        <v>11410</v>
      </c>
      <c r="E253" s="232">
        <v>6590</v>
      </c>
      <c r="F253" s="232">
        <v>2840</v>
      </c>
      <c r="G253" s="232">
        <v>2830</v>
      </c>
      <c r="H253" s="984">
        <v>3940</v>
      </c>
    </row>
    <row r="254" spans="1:8">
      <c r="A254" s="384" t="s">
        <v>671</v>
      </c>
      <c r="B254" s="232">
        <v>6680</v>
      </c>
      <c r="C254" s="232">
        <v>8590</v>
      </c>
      <c r="D254" s="232">
        <v>11060</v>
      </c>
      <c r="E254" s="232">
        <v>5810</v>
      </c>
      <c r="F254" s="232">
        <v>2370</v>
      </c>
      <c r="G254" s="232">
        <v>4020</v>
      </c>
      <c r="H254" s="984">
        <v>4310</v>
      </c>
    </row>
    <row r="255" spans="1:8">
      <c r="A255" s="384" t="s">
        <v>608</v>
      </c>
      <c r="B255" s="232">
        <v>6890</v>
      </c>
      <c r="C255" s="232">
        <v>10850</v>
      </c>
      <c r="D255" s="232">
        <v>11300</v>
      </c>
      <c r="E255" s="232">
        <v>5830</v>
      </c>
      <c r="F255" s="232">
        <v>2480</v>
      </c>
      <c r="G255" s="232">
        <v>3220</v>
      </c>
      <c r="H255" s="984">
        <v>2540</v>
      </c>
    </row>
    <row r="256" spans="1:8">
      <c r="A256" s="384" t="s">
        <v>388</v>
      </c>
      <c r="B256" s="232">
        <v>7230</v>
      </c>
      <c r="C256" s="232">
        <v>11670</v>
      </c>
      <c r="D256" s="232">
        <v>11540</v>
      </c>
      <c r="E256" s="232">
        <v>5510</v>
      </c>
      <c r="F256" s="232">
        <v>1980</v>
      </c>
      <c r="G256" s="232">
        <v>3900</v>
      </c>
      <c r="H256" s="984">
        <v>3580</v>
      </c>
    </row>
    <row r="257" spans="1:8">
      <c r="A257" s="384" t="s">
        <v>299</v>
      </c>
      <c r="B257" s="232">
        <v>6520</v>
      </c>
      <c r="C257" s="232">
        <v>11340</v>
      </c>
      <c r="D257" s="232">
        <v>9750</v>
      </c>
      <c r="E257" s="232">
        <v>5520</v>
      </c>
      <c r="F257" s="232">
        <v>2150</v>
      </c>
      <c r="G257" s="232">
        <v>4610</v>
      </c>
      <c r="H257" s="984">
        <v>3910</v>
      </c>
    </row>
    <row r="273" spans="1:10" ht="20.399999999999999">
      <c r="A273" s="242"/>
    </row>
    <row r="274" spans="1:10" ht="20.399999999999999">
      <c r="A274" s="242"/>
    </row>
    <row r="278" spans="1:10" hidden="1"/>
    <row r="279" spans="1:10" ht="21" hidden="1">
      <c r="A279" s="246" t="s">
        <v>914</v>
      </c>
    </row>
    <row r="280" spans="1:10" ht="27.6" hidden="1">
      <c r="B280" s="231" t="s">
        <v>738</v>
      </c>
      <c r="C280" s="231" t="s">
        <v>737</v>
      </c>
      <c r="D280" s="231" t="s">
        <v>1368</v>
      </c>
      <c r="E280" s="231" t="s">
        <v>599</v>
      </c>
      <c r="F280" s="231" t="s">
        <v>739</v>
      </c>
      <c r="G280" s="231" t="s">
        <v>468</v>
      </c>
      <c r="H280" s="231" t="s">
        <v>467</v>
      </c>
    </row>
    <row r="281" spans="1:10" hidden="1">
      <c r="A281" s="138" t="s">
        <v>53</v>
      </c>
      <c r="B281" s="229">
        <f>FL_AR_0to30</f>
        <v>0</v>
      </c>
      <c r="C281" s="229">
        <f>SE_AR_0to30+1%</f>
        <v>0.01</v>
      </c>
      <c r="D281" s="229">
        <f>BOCA_AR_0to30-1%</f>
        <v>-0.01</v>
      </c>
      <c r="E281" s="229">
        <f>SW_AR_0to30</f>
        <v>0</v>
      </c>
      <c r="F281" s="229">
        <f>SWCIRA_AR_0to30</f>
        <v>0</v>
      </c>
      <c r="G281" s="229">
        <f>NC_AR_0to30</f>
        <v>0</v>
      </c>
      <c r="H281" s="229">
        <f>YB_AR_0to30+1%</f>
        <v>0.01</v>
      </c>
    </row>
    <row r="282" spans="1:10" hidden="1">
      <c r="A282" s="138" t="s">
        <v>54</v>
      </c>
      <c r="B282" s="229">
        <f>FL_AR_31to60</f>
        <v>0</v>
      </c>
      <c r="C282" s="229">
        <f>SE_AR_31to60</f>
        <v>0</v>
      </c>
      <c r="D282" s="229">
        <f>BOCA_AR_31to60</f>
        <v>0</v>
      </c>
      <c r="E282" s="229">
        <f>SW_AR_31to60</f>
        <v>0</v>
      </c>
      <c r="F282" s="229">
        <f>SWCIRA_AR_31to60</f>
        <v>0</v>
      </c>
      <c r="G282" s="229">
        <f>NC_AR_31to60</f>
        <v>0</v>
      </c>
      <c r="H282" s="229">
        <f>YB_AR_31to60</f>
        <v>0</v>
      </c>
    </row>
    <row r="283" spans="1:10" hidden="1">
      <c r="A283" s="138" t="s">
        <v>55</v>
      </c>
      <c r="B283" s="229">
        <f>FL_AR_61to90</f>
        <v>0</v>
      </c>
      <c r="C283" s="229">
        <f>SE_AR_61to90</f>
        <v>0</v>
      </c>
      <c r="D283" s="229">
        <f>BOCA_AR_61to90</f>
        <v>0</v>
      </c>
      <c r="E283" s="229">
        <f>SW_AR_61to90</f>
        <v>0</v>
      </c>
      <c r="F283" s="229">
        <f>SWCIRA_AR_61to90</f>
        <v>0</v>
      </c>
      <c r="G283" s="229">
        <f>NC_AR_61to90</f>
        <v>0</v>
      </c>
      <c r="H283" s="229">
        <f>YB_AR_61to90</f>
        <v>0</v>
      </c>
    </row>
    <row r="284" spans="1:10" hidden="1">
      <c r="A284" s="138" t="s">
        <v>456</v>
      </c>
      <c r="B284" s="229">
        <f>FL_AR_91plus+1%</f>
        <v>0.01</v>
      </c>
      <c r="C284" s="229">
        <f>SE_AR_91plus-1%</f>
        <v>-0.01</v>
      </c>
      <c r="D284" s="229">
        <f>BOCA_AR_91plus+1%</f>
        <v>0.01</v>
      </c>
      <c r="E284" s="229">
        <f>SW_AR_91plus</f>
        <v>0</v>
      </c>
      <c r="F284" s="229">
        <f>SWCIRA_AR_91plus</f>
        <v>0</v>
      </c>
      <c r="G284" s="229">
        <f>NC_AR_91plus-1%</f>
        <v>-0.01</v>
      </c>
      <c r="H284" s="229">
        <f>YB_AR_91plus-1%</f>
        <v>-0.01</v>
      </c>
      <c r="J284" s="367"/>
    </row>
    <row r="285" spans="1:10" ht="17.399999999999999" hidden="1">
      <c r="A285" s="886" t="str">
        <f>IF(SUM(B285:H285)=700%," ","FIX")</f>
        <v>FIX</v>
      </c>
      <c r="B285" s="229">
        <f>SUM(B281:B284)</f>
        <v>0.01</v>
      </c>
      <c r="C285" s="229">
        <f t="shared" ref="C285:H285" si="15">SUM(C281:C284)</f>
        <v>0</v>
      </c>
      <c r="D285" s="229">
        <f t="shared" si="15"/>
        <v>0</v>
      </c>
      <c r="E285" s="229">
        <f t="shared" si="15"/>
        <v>0</v>
      </c>
      <c r="F285" s="229">
        <f t="shared" si="15"/>
        <v>0</v>
      </c>
      <c r="G285" s="229">
        <f t="shared" si="15"/>
        <v>-0.01</v>
      </c>
      <c r="H285" s="229">
        <f t="shared" si="15"/>
        <v>0</v>
      </c>
    </row>
    <row r="286" spans="1:10" hidden="1"/>
    <row r="287" spans="1:10" hidden="1"/>
    <row r="288" spans="1:10" hidden="1"/>
    <row r="289" spans="1:11" ht="20.399999999999999" hidden="1">
      <c r="A289" s="242"/>
    </row>
    <row r="290" spans="1:11" hidden="1"/>
    <row r="291" spans="1:11" hidden="1"/>
    <row r="292" spans="1:11" hidden="1">
      <c r="K292" s="683"/>
    </row>
    <row r="293" spans="1:11" hidden="1"/>
    <row r="294" spans="1:11" hidden="1"/>
    <row r="295" spans="1:11" hidden="1"/>
    <row r="296" spans="1:11" hidden="1">
      <c r="J296" s="683"/>
    </row>
    <row r="297" spans="1:11" hidden="1"/>
    <row r="298" spans="1:11" hidden="1"/>
    <row r="299" spans="1:11" hidden="1"/>
    <row r="300" spans="1:11" hidden="1"/>
    <row r="301" spans="1:11" hidden="1"/>
    <row r="302" spans="1:11" hidden="1"/>
    <row r="303" spans="1:11" hidden="1"/>
    <row r="304" spans="1:11" hidden="1"/>
    <row r="305" hidden="1"/>
    <row r="306" hidden="1"/>
    <row r="307" hidden="1"/>
    <row r="308" hidden="1"/>
    <row r="309" hidden="1"/>
    <row r="329" ht="41.25" customHeight="1"/>
  </sheetData>
  <pageMargins left="0.7" right="0.7" top="0.75" bottom="0.75" header="0.3" footer="0.3"/>
  <pageSetup scale="50" fitToHeight="2" orientation="portrait" r:id="rId1"/>
  <rowBreaks count="4" manualBreakCount="4">
    <brk id="84" max="7" man="1"/>
    <brk id="113" max="7" man="1"/>
    <brk id="196" max="7" man="1"/>
    <brk id="311" max="7" man="1"/>
  </rowBreaks>
  <customProperties>
    <customPr name="OrphanNamesChecked" r:id="rId2"/>
  </customProperties>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5" tint="0.79998168889431442"/>
  </sheetPr>
  <dimension ref="A1:X477"/>
  <sheetViews>
    <sheetView showGridLines="0" view="pageBreakPreview" topLeftCell="A428" zoomScale="85" zoomScaleNormal="77" zoomScaleSheetLayoutView="85" workbookViewId="0">
      <selection activeCell="E5" sqref="E5"/>
    </sheetView>
  </sheetViews>
  <sheetFormatPr defaultColWidth="8.90625" defaultRowHeight="15" outlineLevelRow="1"/>
  <cols>
    <col min="1" max="1" width="44.36328125" style="136" customWidth="1"/>
    <col min="2" max="3" width="10.54296875" style="136" customWidth="1"/>
    <col min="4" max="4" width="11.36328125" style="136" customWidth="1"/>
    <col min="5" max="8" width="10.54296875" style="136" customWidth="1"/>
    <col min="9" max="9" width="10.453125" style="136" customWidth="1"/>
    <col min="10" max="10" width="20.453125" style="136" customWidth="1"/>
    <col min="11" max="17" width="12.453125" style="136" customWidth="1"/>
    <col min="18" max="19" width="8.90625" style="136"/>
    <col min="20" max="20" width="13.1796875" style="136" customWidth="1"/>
    <col min="21" max="21" width="11.08984375" style="136" customWidth="1"/>
    <col min="22" max="16384" width="8.90625" style="136"/>
  </cols>
  <sheetData>
    <row r="1" spans="1:24" s="223" customFormat="1" ht="21">
      <c r="A1" s="246" t="s">
        <v>872</v>
      </c>
      <c r="K1" s="223" t="s">
        <v>2144</v>
      </c>
    </row>
    <row r="2" spans="1:24" s="223" customFormat="1" ht="13.8"/>
    <row r="3" spans="1:24" ht="27.6">
      <c r="A3" s="150"/>
      <c r="B3" s="231" t="s">
        <v>598</v>
      </c>
      <c r="C3" s="231" t="s">
        <v>578</v>
      </c>
      <c r="D3" s="231" t="s">
        <v>1363</v>
      </c>
      <c r="E3" s="231" t="s">
        <v>599</v>
      </c>
      <c r="F3" s="231" t="s">
        <v>571</v>
      </c>
      <c r="G3" s="231" t="s">
        <v>600</v>
      </c>
      <c r="H3" s="231" t="s">
        <v>741</v>
      </c>
      <c r="J3" s="223"/>
      <c r="K3" s="223"/>
      <c r="L3" s="120"/>
      <c r="M3" s="120"/>
      <c r="N3" s="120"/>
      <c r="O3" s="120"/>
      <c r="P3" s="120"/>
      <c r="Q3" s="120"/>
      <c r="R3" s="120"/>
      <c r="S3" s="120"/>
      <c r="T3" s="120"/>
      <c r="U3" s="120"/>
      <c r="V3" s="120"/>
      <c r="W3" s="120"/>
      <c r="X3" s="120"/>
    </row>
    <row r="4" spans="1:24">
      <c r="A4" s="669">
        <v>2022</v>
      </c>
      <c r="B4" s="222">
        <f>FL_mem</f>
        <v>850</v>
      </c>
      <c r="C4" s="222">
        <f>SE_mem</f>
        <v>660</v>
      </c>
      <c r="D4" s="222">
        <f>BOCA_mem</f>
        <v>1020</v>
      </c>
      <c r="E4" s="222">
        <f>SW_mem</f>
        <v>750</v>
      </c>
      <c r="F4" s="222">
        <f>SWCIRA_mem</f>
        <v>1040</v>
      </c>
      <c r="G4" s="222">
        <f>NC_mem</f>
        <v>900</v>
      </c>
      <c r="H4" s="222">
        <f>YB_mem</f>
        <v>770</v>
      </c>
      <c r="J4" s="223"/>
      <c r="K4" s="223"/>
      <c r="L4" s="120"/>
      <c r="M4" s="120"/>
      <c r="N4" s="120"/>
      <c r="O4" s="120"/>
      <c r="P4" s="120"/>
      <c r="Q4" s="120"/>
      <c r="R4" s="120"/>
      <c r="S4" s="120"/>
      <c r="T4" s="120"/>
      <c r="U4" s="120"/>
      <c r="V4" s="120"/>
      <c r="W4" s="120"/>
      <c r="X4" s="120"/>
    </row>
    <row r="5" spans="1:24">
      <c r="A5" s="669">
        <v>2021</v>
      </c>
      <c r="B5" s="222">
        <v>860</v>
      </c>
      <c r="C5" s="222">
        <v>640</v>
      </c>
      <c r="D5" s="222">
        <v>1010</v>
      </c>
      <c r="E5" s="222">
        <v>750</v>
      </c>
      <c r="F5" s="222">
        <v>1030</v>
      </c>
      <c r="G5" s="2093">
        <v>930</v>
      </c>
      <c r="H5" s="222">
        <v>780</v>
      </c>
      <c r="I5" s="136" t="s">
        <v>2403</v>
      </c>
      <c r="J5" s="223"/>
      <c r="K5" s="223"/>
      <c r="L5" s="120"/>
      <c r="M5" s="120"/>
      <c r="N5" s="120"/>
      <c r="O5" s="120"/>
      <c r="P5" s="120"/>
      <c r="Q5" s="120"/>
      <c r="R5" s="120"/>
      <c r="S5" s="120"/>
      <c r="T5" s="120"/>
      <c r="U5" s="120"/>
      <c r="V5" s="120"/>
      <c r="W5" s="120"/>
      <c r="X5" s="120"/>
    </row>
    <row r="6" spans="1:24">
      <c r="A6" s="669">
        <v>2020</v>
      </c>
      <c r="B6" s="222">
        <v>820</v>
      </c>
      <c r="C6" s="222">
        <v>620</v>
      </c>
      <c r="D6" s="222">
        <v>1000</v>
      </c>
      <c r="E6" s="222">
        <v>720</v>
      </c>
      <c r="F6" s="222">
        <v>990</v>
      </c>
      <c r="G6" s="222">
        <v>880</v>
      </c>
      <c r="H6" s="222">
        <v>750</v>
      </c>
      <c r="J6" s="223"/>
      <c r="K6" s="223"/>
      <c r="L6" s="120"/>
      <c r="M6" s="120"/>
      <c r="N6" s="120"/>
      <c r="O6" s="120"/>
      <c r="P6" s="120"/>
      <c r="Q6" s="120"/>
      <c r="R6" s="120"/>
      <c r="S6" s="120"/>
      <c r="T6" s="120"/>
      <c r="U6" s="120"/>
      <c r="V6" s="120"/>
      <c r="W6" s="120"/>
      <c r="X6" s="120"/>
    </row>
    <row r="7" spans="1:24">
      <c r="A7" s="669">
        <v>2019</v>
      </c>
      <c r="B7" s="222">
        <v>810</v>
      </c>
      <c r="C7" s="222">
        <v>640</v>
      </c>
      <c r="D7" s="222">
        <v>1000</v>
      </c>
      <c r="E7" s="222">
        <v>690</v>
      </c>
      <c r="F7" s="222">
        <v>990</v>
      </c>
      <c r="G7" s="222">
        <v>870</v>
      </c>
      <c r="H7" s="222">
        <v>730</v>
      </c>
      <c r="J7" s="223"/>
      <c r="K7" s="223"/>
      <c r="L7" s="120"/>
      <c r="M7" s="120"/>
      <c r="N7" s="120"/>
      <c r="O7" s="120"/>
      <c r="P7" s="120"/>
      <c r="Q7" s="120"/>
      <c r="R7" s="120"/>
      <c r="S7" s="120"/>
      <c r="T7" s="120"/>
      <c r="U7" s="120"/>
      <c r="V7" s="120"/>
      <c r="W7" s="120"/>
      <c r="X7" s="120"/>
    </row>
    <row r="8" spans="1:24">
      <c r="A8" s="669">
        <v>2018</v>
      </c>
      <c r="B8" s="222">
        <v>820</v>
      </c>
      <c r="C8" s="222">
        <v>630</v>
      </c>
      <c r="D8" s="222">
        <v>990</v>
      </c>
      <c r="E8" s="222">
        <v>680</v>
      </c>
      <c r="F8" s="222">
        <v>990</v>
      </c>
      <c r="G8" s="222">
        <v>910</v>
      </c>
      <c r="H8" s="222">
        <v>750</v>
      </c>
      <c r="J8" s="223"/>
      <c r="K8" s="223"/>
      <c r="L8" s="120"/>
      <c r="M8" s="120"/>
      <c r="N8" s="120"/>
      <c r="O8" s="120"/>
      <c r="P8" s="120"/>
      <c r="Q8" s="120"/>
      <c r="R8" s="120"/>
      <c r="S8" s="120"/>
      <c r="T8" s="120"/>
      <c r="U8" s="120"/>
      <c r="V8" s="120"/>
      <c r="W8" s="120"/>
      <c r="X8" s="120"/>
    </row>
    <row r="9" spans="1:24">
      <c r="A9" s="669">
        <v>2017</v>
      </c>
      <c r="B9" s="222">
        <v>800</v>
      </c>
      <c r="C9" s="222">
        <v>620</v>
      </c>
      <c r="D9" s="222">
        <v>990</v>
      </c>
      <c r="E9" s="222">
        <v>670</v>
      </c>
      <c r="F9" s="222">
        <v>990</v>
      </c>
      <c r="G9" s="222">
        <v>860</v>
      </c>
      <c r="H9" s="222">
        <v>750</v>
      </c>
      <c r="J9" s="223"/>
      <c r="K9" s="223"/>
      <c r="L9" s="120"/>
      <c r="M9" s="120"/>
      <c r="N9" s="120"/>
      <c r="O9" s="120"/>
      <c r="P9" s="120"/>
      <c r="Q9" s="120"/>
      <c r="R9" s="120"/>
      <c r="S9" s="120"/>
      <c r="T9" s="120"/>
      <c r="U9" s="120"/>
      <c r="V9" s="120"/>
      <c r="W9" s="120"/>
      <c r="X9" s="120"/>
    </row>
    <row r="10" spans="1:24">
      <c r="A10" s="669">
        <v>2016</v>
      </c>
      <c r="B10" s="222">
        <v>790</v>
      </c>
      <c r="C10" s="222">
        <v>610</v>
      </c>
      <c r="D10" s="222">
        <v>980</v>
      </c>
      <c r="E10" s="222">
        <v>660</v>
      </c>
      <c r="F10" s="222">
        <v>990</v>
      </c>
      <c r="G10" s="222">
        <v>840</v>
      </c>
      <c r="H10" s="222">
        <v>750</v>
      </c>
      <c r="J10" s="223"/>
      <c r="K10" s="223"/>
      <c r="L10" s="120"/>
      <c r="M10" s="120"/>
      <c r="N10" s="120"/>
      <c r="O10" s="120"/>
      <c r="P10" s="120"/>
      <c r="Q10" s="120"/>
      <c r="R10" s="120"/>
      <c r="S10" s="120"/>
      <c r="T10" s="120"/>
      <c r="U10" s="120"/>
      <c r="V10" s="120"/>
      <c r="W10" s="120"/>
      <c r="X10" s="120"/>
    </row>
    <row r="11" spans="1:24">
      <c r="A11" s="669">
        <v>2015</v>
      </c>
      <c r="B11" s="222">
        <v>800</v>
      </c>
      <c r="C11" s="222">
        <v>640</v>
      </c>
      <c r="D11" s="222">
        <v>980</v>
      </c>
      <c r="E11" s="222">
        <v>670</v>
      </c>
      <c r="F11" s="222">
        <v>990</v>
      </c>
      <c r="G11" s="222">
        <v>840</v>
      </c>
      <c r="H11" s="222">
        <v>770</v>
      </c>
      <c r="J11" s="223"/>
      <c r="K11" s="223"/>
      <c r="L11" s="120"/>
      <c r="M11" s="120"/>
      <c r="N11" s="120"/>
      <c r="O11" s="120"/>
      <c r="P11" s="120"/>
      <c r="Q11" s="120"/>
      <c r="R11" s="120"/>
      <c r="S11" s="120"/>
      <c r="T11" s="120"/>
      <c r="U11" s="120"/>
      <c r="V11" s="120"/>
      <c r="W11" s="120"/>
      <c r="X11" s="120"/>
    </row>
    <row r="12" spans="1:24">
      <c r="A12" s="669">
        <v>2014</v>
      </c>
      <c r="B12" s="222">
        <v>790</v>
      </c>
      <c r="C12" s="222">
        <v>640</v>
      </c>
      <c r="D12" s="222">
        <v>980</v>
      </c>
      <c r="E12" s="222">
        <v>640</v>
      </c>
      <c r="F12" s="222">
        <v>970</v>
      </c>
      <c r="G12" s="222">
        <v>840</v>
      </c>
      <c r="H12" s="222">
        <v>740</v>
      </c>
      <c r="K12" s="223"/>
      <c r="L12" s="120"/>
      <c r="M12" s="120"/>
      <c r="N12" s="120"/>
      <c r="O12" s="120"/>
      <c r="P12" s="120"/>
      <c r="Q12" s="120"/>
      <c r="R12" s="120"/>
      <c r="S12" s="120"/>
      <c r="T12" s="120"/>
      <c r="U12" s="120"/>
      <c r="V12" s="120"/>
      <c r="W12" s="120"/>
      <c r="X12" s="120"/>
    </row>
    <row r="13" spans="1:24">
      <c r="A13" s="669" t="s">
        <v>671</v>
      </c>
      <c r="B13" s="222">
        <v>780</v>
      </c>
      <c r="C13" s="222">
        <v>600</v>
      </c>
      <c r="D13" s="222">
        <v>990</v>
      </c>
      <c r="E13" s="222">
        <v>650</v>
      </c>
      <c r="F13" s="222">
        <v>970</v>
      </c>
      <c r="G13" s="222">
        <v>810</v>
      </c>
      <c r="H13" s="222">
        <v>810</v>
      </c>
      <c r="J13" s="223"/>
      <c r="K13" s="223"/>
      <c r="L13" s="120"/>
      <c r="M13" s="120"/>
      <c r="N13" s="120"/>
      <c r="O13" s="120"/>
      <c r="P13" s="120"/>
      <c r="Q13" s="120"/>
      <c r="R13" s="120"/>
      <c r="S13" s="120"/>
      <c r="T13" s="120"/>
      <c r="U13" s="120"/>
      <c r="V13" s="120"/>
      <c r="W13" s="120"/>
      <c r="X13" s="120"/>
    </row>
    <row r="14" spans="1:24">
      <c r="A14" s="669" t="s">
        <v>608</v>
      </c>
      <c r="B14" s="222">
        <v>780</v>
      </c>
      <c r="C14" s="222">
        <v>620</v>
      </c>
      <c r="D14" s="222">
        <v>940</v>
      </c>
      <c r="E14" s="222">
        <v>660</v>
      </c>
      <c r="F14" s="222">
        <v>980</v>
      </c>
      <c r="G14" s="222">
        <v>830</v>
      </c>
      <c r="H14" s="222">
        <v>840</v>
      </c>
      <c r="J14" s="223"/>
      <c r="K14" s="223"/>
      <c r="L14" s="120"/>
      <c r="M14" s="120"/>
      <c r="N14" s="120"/>
      <c r="O14" s="120"/>
      <c r="P14" s="120"/>
      <c r="Q14" s="120"/>
      <c r="R14" s="120"/>
      <c r="S14" s="120"/>
      <c r="T14" s="120"/>
      <c r="U14" s="120"/>
      <c r="V14" s="120"/>
      <c r="W14" s="120"/>
      <c r="X14" s="120"/>
    </row>
    <row r="15" spans="1:24">
      <c r="A15" s="152">
        <v>2011</v>
      </c>
      <c r="B15" s="222">
        <v>770</v>
      </c>
      <c r="C15" s="222">
        <v>620</v>
      </c>
      <c r="D15" s="222">
        <v>920</v>
      </c>
      <c r="E15" s="222">
        <v>670</v>
      </c>
      <c r="F15" s="222">
        <v>980</v>
      </c>
      <c r="G15" s="222">
        <v>740</v>
      </c>
      <c r="H15" s="222">
        <v>750</v>
      </c>
      <c r="J15" s="223"/>
      <c r="K15" s="223"/>
      <c r="L15" s="120"/>
      <c r="M15" s="120"/>
      <c r="N15" s="120"/>
      <c r="O15" s="120"/>
      <c r="P15" s="120"/>
      <c r="Q15" s="120"/>
      <c r="R15" s="120"/>
      <c r="S15" s="120"/>
      <c r="T15" s="120"/>
      <c r="U15" s="120"/>
      <c r="V15" s="120"/>
      <c r="W15" s="120"/>
      <c r="X15" s="120"/>
    </row>
    <row r="16" spans="1:24">
      <c r="A16" s="152" t="s">
        <v>299</v>
      </c>
      <c r="B16" s="222">
        <v>740</v>
      </c>
      <c r="C16" s="222">
        <v>560</v>
      </c>
      <c r="D16" s="222">
        <v>930</v>
      </c>
      <c r="E16" s="222">
        <v>570</v>
      </c>
      <c r="F16" s="222">
        <v>990</v>
      </c>
      <c r="G16" s="222">
        <v>700</v>
      </c>
      <c r="H16" s="222">
        <v>660</v>
      </c>
      <c r="J16" s="223"/>
      <c r="K16" s="223"/>
      <c r="L16" s="120"/>
      <c r="M16" s="120"/>
      <c r="N16" s="120"/>
      <c r="O16" s="120"/>
      <c r="P16" s="120"/>
      <c r="Q16" s="120"/>
      <c r="R16" s="120"/>
      <c r="S16" s="120"/>
      <c r="T16" s="120"/>
      <c r="U16" s="120"/>
      <c r="V16" s="120"/>
      <c r="W16" s="120"/>
      <c r="X16" s="120"/>
    </row>
    <row r="17" spans="1:24">
      <c r="A17" s="152">
        <v>2009</v>
      </c>
      <c r="B17" s="222">
        <v>730</v>
      </c>
      <c r="C17" s="222">
        <v>570</v>
      </c>
      <c r="D17" s="222">
        <v>900</v>
      </c>
      <c r="E17" s="222">
        <v>570</v>
      </c>
      <c r="F17" s="222">
        <v>990</v>
      </c>
      <c r="G17" s="222">
        <v>690</v>
      </c>
      <c r="H17" s="222">
        <v>680</v>
      </c>
      <c r="J17" s="223"/>
      <c r="K17" s="223"/>
      <c r="L17" s="120"/>
      <c r="M17" s="120"/>
      <c r="N17" s="120"/>
      <c r="O17" s="120"/>
      <c r="P17" s="120"/>
      <c r="Q17" s="120"/>
      <c r="R17" s="120"/>
      <c r="S17" s="120"/>
      <c r="T17" s="120"/>
      <c r="U17" s="120"/>
      <c r="V17" s="120"/>
      <c r="W17" s="120"/>
      <c r="X17" s="120"/>
    </row>
    <row r="18" spans="1:24">
      <c r="A18" s="152">
        <v>2008</v>
      </c>
      <c r="B18" s="222">
        <v>710</v>
      </c>
      <c r="C18" s="222">
        <v>560</v>
      </c>
      <c r="D18" s="222">
        <v>870</v>
      </c>
      <c r="E18" s="222">
        <v>550</v>
      </c>
      <c r="F18" s="222">
        <v>960</v>
      </c>
      <c r="G18" s="222">
        <v>700</v>
      </c>
      <c r="H18" s="222">
        <v>700</v>
      </c>
      <c r="J18" s="223"/>
      <c r="K18" s="223"/>
      <c r="L18" s="120"/>
      <c r="M18" s="120"/>
      <c r="N18" s="120"/>
      <c r="O18" s="120"/>
      <c r="P18" s="120"/>
      <c r="Q18" s="120"/>
      <c r="R18" s="120"/>
      <c r="S18" s="120"/>
      <c r="T18" s="120"/>
      <c r="U18" s="120"/>
      <c r="V18" s="120"/>
      <c r="W18" s="120"/>
      <c r="X18" s="120"/>
    </row>
    <row r="19" spans="1:24">
      <c r="A19" s="152">
        <v>2007</v>
      </c>
      <c r="B19" s="222">
        <v>730</v>
      </c>
      <c r="C19" s="222">
        <v>620</v>
      </c>
      <c r="D19" s="222">
        <v>870</v>
      </c>
      <c r="E19" s="222">
        <v>580</v>
      </c>
      <c r="F19" s="222">
        <v>960</v>
      </c>
      <c r="G19" s="222">
        <v>680</v>
      </c>
      <c r="H19" s="222">
        <v>710</v>
      </c>
      <c r="J19" s="223"/>
      <c r="K19" s="223"/>
      <c r="L19" s="151"/>
      <c r="M19" s="151"/>
      <c r="N19" s="151"/>
      <c r="O19" s="151"/>
      <c r="P19" s="151"/>
      <c r="Q19" s="151"/>
      <c r="R19" s="151"/>
      <c r="S19" s="151"/>
      <c r="T19" s="151"/>
      <c r="U19" s="151"/>
      <c r="V19" s="151"/>
      <c r="W19" s="151"/>
      <c r="X19" s="151"/>
    </row>
    <row r="20" spans="1:24">
      <c r="J20" s="223"/>
      <c r="K20" s="223"/>
      <c r="L20" s="151"/>
      <c r="M20" s="151"/>
      <c r="N20" s="151"/>
      <c r="O20" s="151"/>
      <c r="P20" s="151"/>
      <c r="Q20" s="151"/>
      <c r="R20" s="151"/>
      <c r="S20" s="151"/>
      <c r="T20" s="151"/>
      <c r="U20" s="151"/>
      <c r="V20" s="151"/>
      <c r="W20" s="151"/>
      <c r="X20" s="151"/>
    </row>
    <row r="21" spans="1:24">
      <c r="J21" s="223"/>
      <c r="K21" s="223"/>
      <c r="L21" s="151"/>
      <c r="M21" s="151"/>
      <c r="N21" s="151"/>
      <c r="O21" s="151"/>
      <c r="P21" s="151"/>
      <c r="Q21" s="151"/>
      <c r="R21" s="151"/>
      <c r="S21" s="151"/>
      <c r="T21" s="151"/>
      <c r="U21" s="151"/>
      <c r="V21" s="151"/>
      <c r="W21" s="151"/>
      <c r="X21" s="151"/>
    </row>
    <row r="22" spans="1:24">
      <c r="J22" s="223"/>
      <c r="K22" s="223"/>
      <c r="L22" s="151"/>
      <c r="M22" s="151"/>
      <c r="N22" s="151"/>
      <c r="O22" s="151"/>
      <c r="P22" s="151"/>
      <c r="Q22" s="151"/>
      <c r="R22" s="151"/>
      <c r="S22" s="151"/>
      <c r="T22" s="151"/>
      <c r="U22" s="151"/>
      <c r="V22" s="151"/>
      <c r="W22" s="151"/>
      <c r="X22" s="151"/>
    </row>
    <row r="23" spans="1:24">
      <c r="J23" s="223"/>
      <c r="K23" s="223"/>
      <c r="L23" s="151"/>
      <c r="M23" s="151"/>
      <c r="N23" s="151"/>
      <c r="O23" s="151"/>
      <c r="P23" s="151"/>
      <c r="Q23" s="151"/>
      <c r="R23" s="151"/>
      <c r="S23" s="151"/>
      <c r="T23" s="151"/>
      <c r="U23" s="151"/>
      <c r="V23" s="151"/>
      <c r="W23" s="151"/>
      <c r="X23" s="151"/>
    </row>
    <row r="24" spans="1:24">
      <c r="J24" s="223"/>
      <c r="K24" s="223"/>
      <c r="L24" s="151"/>
      <c r="M24" s="151"/>
      <c r="N24" s="151"/>
      <c r="O24" s="151"/>
      <c r="P24" s="151"/>
      <c r="Q24" s="151"/>
      <c r="R24" s="151"/>
      <c r="S24" s="151"/>
      <c r="T24" s="151"/>
      <c r="U24" s="151"/>
      <c r="V24" s="151"/>
      <c r="W24" s="151"/>
      <c r="X24" s="151"/>
    </row>
    <row r="25" spans="1:24">
      <c r="J25" s="223"/>
      <c r="K25" s="223"/>
      <c r="L25" s="151"/>
      <c r="M25" s="151"/>
      <c r="N25" s="151"/>
      <c r="O25" s="151"/>
      <c r="P25" s="151"/>
      <c r="Q25" s="151"/>
      <c r="R25" s="151"/>
      <c r="S25" s="151"/>
      <c r="T25" s="151"/>
      <c r="U25" s="151"/>
      <c r="V25" s="151"/>
      <c r="W25" s="151"/>
      <c r="X25" s="151"/>
    </row>
    <row r="26" spans="1:24">
      <c r="J26" s="223"/>
      <c r="K26" s="223"/>
      <c r="L26" s="151"/>
      <c r="M26" s="151"/>
      <c r="N26" s="151"/>
      <c r="O26" s="151"/>
      <c r="P26" s="151"/>
      <c r="Q26" s="151"/>
      <c r="R26" s="151"/>
      <c r="S26" s="151"/>
      <c r="T26" s="151"/>
      <c r="U26" s="151"/>
      <c r="V26" s="151"/>
      <c r="W26" s="151"/>
      <c r="X26" s="151"/>
    </row>
    <row r="27" spans="1:24">
      <c r="J27" s="223"/>
      <c r="K27" s="223"/>
      <c r="L27" s="151"/>
      <c r="M27" s="151"/>
      <c r="N27" s="151"/>
      <c r="O27" s="151"/>
      <c r="P27" s="151"/>
      <c r="Q27" s="151"/>
      <c r="R27" s="151"/>
      <c r="S27" s="151"/>
      <c r="T27" s="151"/>
      <c r="U27" s="151"/>
      <c r="V27" s="151"/>
      <c r="W27" s="151"/>
      <c r="X27" s="151"/>
    </row>
    <row r="28" spans="1:24">
      <c r="J28" s="223"/>
      <c r="K28" s="223"/>
      <c r="L28" s="151"/>
      <c r="M28" s="151"/>
      <c r="N28" s="151"/>
      <c r="O28" s="151"/>
      <c r="P28" s="151"/>
      <c r="Q28" s="151"/>
      <c r="R28" s="151"/>
      <c r="S28" s="151"/>
      <c r="T28" s="151"/>
      <c r="U28" s="151"/>
      <c r="V28" s="151"/>
      <c r="W28" s="151"/>
      <c r="X28" s="151"/>
    </row>
    <row r="29" spans="1:24">
      <c r="J29" s="223"/>
      <c r="K29" s="223"/>
      <c r="L29" s="151"/>
      <c r="M29" s="151"/>
      <c r="N29" s="151"/>
    </row>
    <row r="30" spans="1:24">
      <c r="J30" s="223"/>
      <c r="K30" s="223"/>
      <c r="L30" s="151"/>
      <c r="M30" s="151"/>
      <c r="N30" s="151"/>
    </row>
    <row r="31" spans="1:24">
      <c r="J31" s="223"/>
      <c r="K31" s="223"/>
      <c r="L31" s="151"/>
      <c r="M31" s="151"/>
      <c r="N31" s="151"/>
    </row>
    <row r="32" spans="1:24">
      <c r="J32" s="223"/>
      <c r="K32" s="223"/>
      <c r="L32" s="151"/>
      <c r="M32" s="151"/>
      <c r="N32" s="151"/>
    </row>
    <row r="33" spans="1:24">
      <c r="J33" s="223"/>
      <c r="K33" s="223"/>
      <c r="L33" s="151"/>
      <c r="M33" s="151"/>
      <c r="N33" s="151"/>
    </row>
    <row r="34" spans="1:24">
      <c r="J34" s="223"/>
      <c r="K34" s="223"/>
      <c r="L34" s="151"/>
      <c r="M34" s="151"/>
      <c r="N34" s="151"/>
    </row>
    <row r="35" spans="1:24">
      <c r="J35" s="223"/>
      <c r="K35" s="223"/>
      <c r="L35" s="151"/>
      <c r="M35" s="151"/>
      <c r="N35" s="151"/>
    </row>
    <row r="36" spans="1:24" ht="20.399999999999999">
      <c r="A36" s="242"/>
      <c r="J36" s="223"/>
      <c r="K36" s="223"/>
      <c r="L36" s="151"/>
      <c r="M36" s="151"/>
      <c r="N36" s="151"/>
    </row>
    <row r="37" spans="1:24" ht="21">
      <c r="A37" s="240"/>
      <c r="J37" s="223"/>
      <c r="K37" s="223"/>
      <c r="L37" s="151"/>
      <c r="M37" s="151"/>
      <c r="N37" s="151"/>
    </row>
    <row r="38" spans="1:24">
      <c r="J38" s="223"/>
      <c r="K38" s="223"/>
      <c r="L38" s="151"/>
      <c r="M38" s="151"/>
      <c r="N38" s="151"/>
    </row>
    <row r="39" spans="1:24">
      <c r="J39" s="223"/>
      <c r="K39" s="223"/>
      <c r="L39" s="151"/>
      <c r="M39" s="151"/>
      <c r="N39" s="151"/>
    </row>
    <row r="40" spans="1:24">
      <c r="J40" s="223"/>
      <c r="K40" s="223"/>
      <c r="L40" s="151"/>
      <c r="M40" s="151"/>
      <c r="N40" s="151"/>
    </row>
    <row r="41" spans="1:24">
      <c r="J41" s="223"/>
      <c r="K41" s="223"/>
      <c r="L41" s="151"/>
      <c r="M41" s="151"/>
      <c r="N41" s="151"/>
    </row>
    <row r="42" spans="1:24" s="223" customFormat="1" ht="21">
      <c r="A42" s="246" t="s">
        <v>1041</v>
      </c>
    </row>
    <row r="43" spans="1:24" s="223" customFormat="1" ht="13.8"/>
    <row r="44" spans="1:24" ht="27.6">
      <c r="A44" s="150"/>
      <c r="B44" s="231" t="s">
        <v>598</v>
      </c>
      <c r="C44" s="231" t="s">
        <v>578</v>
      </c>
      <c r="D44" s="231" t="s">
        <v>1363</v>
      </c>
      <c r="E44" s="231" t="s">
        <v>599</v>
      </c>
      <c r="F44" s="231" t="s">
        <v>571</v>
      </c>
      <c r="G44" s="231" t="s">
        <v>600</v>
      </c>
      <c r="H44" s="231" t="s">
        <v>741</v>
      </c>
      <c r="J44" s="223"/>
      <c r="K44" s="223"/>
      <c r="L44" s="120"/>
      <c r="M44" s="120"/>
      <c r="N44" s="120"/>
      <c r="O44" s="120"/>
      <c r="P44" s="120"/>
      <c r="Q44" s="120"/>
      <c r="R44" s="120"/>
      <c r="S44" s="120"/>
      <c r="T44" s="120"/>
      <c r="U44" s="120"/>
      <c r="V44" s="120"/>
      <c r="W44" s="120"/>
      <c r="X44" s="120"/>
    </row>
    <row r="45" spans="1:24">
      <c r="A45" s="669">
        <v>2022</v>
      </c>
      <c r="B45" s="222">
        <f>FL_FME</f>
        <v>730</v>
      </c>
      <c r="C45" s="222">
        <f>SE_FME</f>
        <v>620</v>
      </c>
      <c r="D45" s="222">
        <f>BOCA_FME</f>
        <v>900</v>
      </c>
      <c r="E45" s="222">
        <f>SW_FME</f>
        <v>570</v>
      </c>
      <c r="F45" s="222">
        <f>SWCIRA_FME</f>
        <v>900</v>
      </c>
      <c r="G45" s="222">
        <f>NC_FME</f>
        <v>760</v>
      </c>
      <c r="H45" s="986">
        <f>YB_FME</f>
        <v>690</v>
      </c>
      <c r="J45" s="223"/>
      <c r="K45" s="223"/>
      <c r="L45" s="120"/>
      <c r="M45" s="120"/>
      <c r="N45" s="120"/>
      <c r="O45" s="120"/>
      <c r="P45" s="120"/>
      <c r="Q45" s="120"/>
      <c r="R45" s="120"/>
      <c r="S45" s="120"/>
      <c r="T45" s="120"/>
      <c r="U45" s="120"/>
      <c r="V45" s="120"/>
      <c r="W45" s="120"/>
      <c r="X45" s="120"/>
    </row>
    <row r="46" spans="1:24">
      <c r="A46" s="669">
        <v>2021</v>
      </c>
      <c r="B46" s="222">
        <v>730</v>
      </c>
      <c r="C46" s="222">
        <v>590</v>
      </c>
      <c r="D46" s="222">
        <v>870</v>
      </c>
      <c r="E46" s="222">
        <v>560</v>
      </c>
      <c r="F46" s="222">
        <v>910</v>
      </c>
      <c r="G46" s="222">
        <v>800</v>
      </c>
      <c r="H46" s="986">
        <v>660</v>
      </c>
      <c r="J46" s="223"/>
      <c r="K46" s="223"/>
      <c r="L46" s="120"/>
      <c r="M46" s="120"/>
      <c r="N46" s="120"/>
      <c r="O46" s="120"/>
      <c r="P46" s="120"/>
      <c r="Q46" s="120"/>
      <c r="R46" s="120"/>
      <c r="S46" s="120"/>
      <c r="T46" s="120"/>
      <c r="U46" s="120"/>
      <c r="V46" s="120"/>
      <c r="W46" s="120"/>
      <c r="X46" s="120"/>
    </row>
    <row r="47" spans="1:24">
      <c r="A47" s="669">
        <v>2020</v>
      </c>
      <c r="B47" s="222">
        <v>720</v>
      </c>
      <c r="C47" s="222">
        <v>600</v>
      </c>
      <c r="D47" s="222">
        <v>860</v>
      </c>
      <c r="E47" s="222">
        <v>550</v>
      </c>
      <c r="F47" s="222">
        <v>900</v>
      </c>
      <c r="G47" s="222">
        <v>760</v>
      </c>
      <c r="H47" s="986">
        <v>690</v>
      </c>
      <c r="J47" s="223"/>
      <c r="K47" s="223"/>
      <c r="L47" s="120"/>
      <c r="M47" s="120"/>
      <c r="N47" s="120"/>
      <c r="O47" s="120"/>
      <c r="P47" s="120"/>
      <c r="Q47" s="120"/>
      <c r="R47" s="120"/>
      <c r="S47" s="120"/>
      <c r="T47" s="120"/>
      <c r="U47" s="120"/>
      <c r="V47" s="120"/>
      <c r="W47" s="120"/>
      <c r="X47" s="120"/>
    </row>
    <row r="48" spans="1:24">
      <c r="A48" s="669">
        <v>2019</v>
      </c>
      <c r="B48" s="222">
        <v>690</v>
      </c>
      <c r="C48" s="222">
        <v>560</v>
      </c>
      <c r="D48" s="222">
        <v>860</v>
      </c>
      <c r="E48" s="222">
        <v>520</v>
      </c>
      <c r="F48" s="222">
        <v>870</v>
      </c>
      <c r="G48" s="222">
        <v>750</v>
      </c>
      <c r="H48" s="986">
        <v>630</v>
      </c>
      <c r="J48" s="223"/>
      <c r="K48" s="223"/>
      <c r="L48" s="120"/>
      <c r="M48" s="120"/>
      <c r="N48" s="120"/>
      <c r="O48" s="120"/>
      <c r="P48" s="120"/>
      <c r="Q48" s="120"/>
      <c r="R48" s="120"/>
      <c r="S48" s="120"/>
      <c r="T48" s="120"/>
      <c r="U48" s="120"/>
      <c r="V48" s="120"/>
      <c r="W48" s="120"/>
      <c r="X48" s="120"/>
    </row>
    <row r="49" spans="1:24">
      <c r="A49" s="669">
        <v>2018</v>
      </c>
      <c r="B49" s="222">
        <v>690</v>
      </c>
      <c r="C49" s="222">
        <v>560</v>
      </c>
      <c r="D49" s="222">
        <v>850</v>
      </c>
      <c r="E49" s="222">
        <v>520</v>
      </c>
      <c r="F49" s="222">
        <v>890</v>
      </c>
      <c r="G49" s="222">
        <v>770</v>
      </c>
      <c r="H49" s="986">
        <v>650</v>
      </c>
      <c r="J49" s="223"/>
      <c r="K49" s="223"/>
      <c r="L49" s="120"/>
      <c r="M49" s="120"/>
      <c r="N49" s="120"/>
      <c r="O49" s="120"/>
      <c r="P49" s="120"/>
      <c r="Q49" s="120"/>
      <c r="R49" s="120"/>
      <c r="S49" s="120"/>
      <c r="T49" s="120"/>
      <c r="U49" s="120"/>
      <c r="V49" s="120"/>
      <c r="W49" s="120"/>
      <c r="X49" s="120"/>
    </row>
    <row r="50" spans="1:24">
      <c r="A50" s="669">
        <v>2017</v>
      </c>
      <c r="B50" s="222">
        <v>680</v>
      </c>
      <c r="C50" s="222">
        <v>550</v>
      </c>
      <c r="D50" s="222">
        <v>840</v>
      </c>
      <c r="E50" s="222">
        <v>500</v>
      </c>
      <c r="F50" s="222">
        <v>880</v>
      </c>
      <c r="G50" s="222">
        <v>740</v>
      </c>
      <c r="H50" s="986">
        <v>650</v>
      </c>
      <c r="J50" s="223"/>
      <c r="K50" s="223"/>
      <c r="L50" s="120"/>
      <c r="M50" s="120"/>
      <c r="N50" s="120"/>
      <c r="O50" s="120"/>
      <c r="P50" s="120"/>
      <c r="Q50" s="120"/>
      <c r="R50" s="120"/>
      <c r="S50" s="120"/>
      <c r="T50" s="120"/>
      <c r="U50" s="120"/>
      <c r="V50" s="120"/>
      <c r="W50" s="120"/>
      <c r="X50" s="120"/>
    </row>
    <row r="51" spans="1:24">
      <c r="A51" s="669">
        <v>2016</v>
      </c>
      <c r="B51" s="222">
        <v>670</v>
      </c>
      <c r="C51" s="222">
        <v>540</v>
      </c>
      <c r="D51" s="222">
        <v>820</v>
      </c>
      <c r="E51" s="222">
        <v>500</v>
      </c>
      <c r="F51" s="222">
        <v>870</v>
      </c>
      <c r="G51" s="222">
        <v>750</v>
      </c>
      <c r="H51" s="986">
        <v>660</v>
      </c>
      <c r="J51" s="223"/>
      <c r="K51" s="223"/>
      <c r="L51" s="120"/>
      <c r="M51" s="120"/>
      <c r="N51" s="120"/>
      <c r="O51" s="120"/>
      <c r="P51" s="120"/>
      <c r="Q51" s="120"/>
      <c r="R51" s="120"/>
      <c r="S51" s="120"/>
      <c r="T51" s="120"/>
      <c r="U51" s="120"/>
      <c r="V51" s="120"/>
      <c r="W51" s="120"/>
      <c r="X51" s="120"/>
    </row>
    <row r="52" spans="1:24">
      <c r="A52" s="669">
        <v>2015</v>
      </c>
      <c r="B52" s="222">
        <v>670</v>
      </c>
      <c r="C52" s="222">
        <v>560</v>
      </c>
      <c r="D52" s="222">
        <v>810</v>
      </c>
      <c r="E52" s="222">
        <v>510</v>
      </c>
      <c r="F52" s="222">
        <v>870</v>
      </c>
      <c r="G52" s="222">
        <v>730</v>
      </c>
      <c r="H52" s="986">
        <v>670</v>
      </c>
      <c r="J52" s="223"/>
      <c r="K52" s="223"/>
      <c r="L52" s="120"/>
      <c r="M52" s="120"/>
      <c r="N52" s="120"/>
      <c r="O52" s="120"/>
      <c r="P52" s="120"/>
      <c r="Q52" s="120"/>
      <c r="R52" s="120"/>
      <c r="S52" s="120"/>
      <c r="T52" s="120"/>
      <c r="U52" s="120"/>
      <c r="V52" s="120"/>
      <c r="W52" s="120"/>
      <c r="X52" s="120"/>
    </row>
    <row r="53" spans="1:24">
      <c r="A53" s="669">
        <v>2014</v>
      </c>
      <c r="B53" s="222">
        <v>660</v>
      </c>
      <c r="C53" s="222">
        <v>550</v>
      </c>
      <c r="D53" s="222">
        <v>800</v>
      </c>
      <c r="E53" s="222">
        <v>490</v>
      </c>
      <c r="F53" s="222">
        <v>860</v>
      </c>
      <c r="G53" s="222">
        <v>700</v>
      </c>
      <c r="H53" s="986">
        <v>640</v>
      </c>
      <c r="J53" s="223"/>
      <c r="K53" s="223"/>
      <c r="L53" s="120"/>
      <c r="M53" s="120"/>
      <c r="N53" s="120"/>
      <c r="O53" s="120"/>
      <c r="P53" s="120"/>
      <c r="Q53" s="120"/>
      <c r="R53" s="120"/>
      <c r="S53" s="120"/>
      <c r="T53" s="120"/>
      <c r="U53" s="120"/>
      <c r="V53" s="120"/>
      <c r="W53" s="120"/>
      <c r="X53" s="120"/>
    </row>
    <row r="54" spans="1:24">
      <c r="A54" s="669" t="s">
        <v>671</v>
      </c>
      <c r="B54" s="222">
        <v>660</v>
      </c>
      <c r="C54" s="222">
        <v>540</v>
      </c>
      <c r="D54" s="222">
        <v>780</v>
      </c>
      <c r="E54" s="222">
        <v>530</v>
      </c>
      <c r="F54" s="222">
        <v>850</v>
      </c>
      <c r="G54" s="222">
        <v>670</v>
      </c>
      <c r="H54" s="986">
        <v>690</v>
      </c>
      <c r="J54" s="223"/>
      <c r="K54" s="223"/>
      <c r="L54" s="120"/>
      <c r="M54" s="120"/>
      <c r="N54" s="120"/>
      <c r="O54" s="120"/>
      <c r="P54" s="120"/>
      <c r="Q54" s="120"/>
      <c r="R54" s="120"/>
      <c r="S54" s="120"/>
      <c r="T54" s="120"/>
      <c r="U54" s="120"/>
      <c r="V54" s="120"/>
      <c r="W54" s="120"/>
      <c r="X54" s="120"/>
    </row>
    <row r="55" spans="1:24">
      <c r="A55" s="669" t="s">
        <v>608</v>
      </c>
      <c r="B55" s="222">
        <v>660</v>
      </c>
      <c r="C55" s="222">
        <v>540</v>
      </c>
      <c r="D55" s="222">
        <v>750</v>
      </c>
      <c r="E55" s="222">
        <v>510</v>
      </c>
      <c r="F55" s="222">
        <v>910</v>
      </c>
      <c r="G55" s="222">
        <v>680</v>
      </c>
      <c r="H55" s="986">
        <v>730</v>
      </c>
      <c r="J55" s="223"/>
      <c r="K55" s="223"/>
      <c r="L55" s="120"/>
      <c r="M55" s="120"/>
      <c r="N55" s="120"/>
      <c r="O55" s="120"/>
      <c r="P55" s="120"/>
      <c r="Q55" s="120"/>
      <c r="R55" s="120"/>
      <c r="S55" s="120"/>
      <c r="T55" s="120"/>
      <c r="U55" s="120"/>
      <c r="V55" s="120"/>
      <c r="W55" s="120"/>
      <c r="X55" s="120"/>
    </row>
    <row r="56" spans="1:24">
      <c r="A56" s="152">
        <v>2011</v>
      </c>
      <c r="B56" s="222">
        <v>640</v>
      </c>
      <c r="C56" s="222">
        <v>530</v>
      </c>
      <c r="D56" s="222">
        <v>720</v>
      </c>
      <c r="E56" s="222">
        <v>520</v>
      </c>
      <c r="F56" s="222">
        <v>880</v>
      </c>
      <c r="G56" s="222">
        <v>600</v>
      </c>
      <c r="H56" s="986">
        <v>630</v>
      </c>
      <c r="J56" s="223"/>
      <c r="K56" s="223"/>
      <c r="L56" s="120"/>
      <c r="M56" s="120"/>
      <c r="N56" s="120"/>
      <c r="O56" s="120"/>
      <c r="P56" s="120"/>
      <c r="Q56" s="120"/>
      <c r="R56" s="120"/>
      <c r="S56" s="120"/>
      <c r="T56" s="120"/>
      <c r="U56" s="120"/>
      <c r="V56" s="120"/>
      <c r="W56" s="120"/>
      <c r="X56" s="120"/>
    </row>
    <row r="57" spans="1:24">
      <c r="A57" s="152" t="s">
        <v>299</v>
      </c>
      <c r="B57" s="222">
        <v>650</v>
      </c>
      <c r="C57" s="222">
        <v>510</v>
      </c>
      <c r="D57" s="222">
        <v>740</v>
      </c>
      <c r="E57" s="222">
        <v>450</v>
      </c>
      <c r="F57" s="222">
        <v>900</v>
      </c>
      <c r="G57" s="222">
        <v>690</v>
      </c>
      <c r="H57" s="986">
        <v>610</v>
      </c>
      <c r="J57" s="223"/>
      <c r="K57" s="223"/>
      <c r="L57" s="120"/>
      <c r="M57" s="120"/>
      <c r="N57" s="120"/>
      <c r="O57" s="120"/>
      <c r="P57" s="120"/>
      <c r="Q57" s="120"/>
      <c r="R57" s="120"/>
      <c r="S57" s="120"/>
      <c r="T57" s="120"/>
      <c r="U57" s="120"/>
      <c r="V57" s="120"/>
      <c r="W57" s="120"/>
      <c r="X57" s="120"/>
    </row>
    <row r="58" spans="1:24">
      <c r="A58" s="152">
        <v>2009</v>
      </c>
      <c r="B58" s="222"/>
      <c r="C58" s="222"/>
      <c r="D58" s="222"/>
      <c r="E58" s="222"/>
      <c r="F58" s="222"/>
      <c r="G58" s="222"/>
      <c r="H58" s="222"/>
      <c r="J58" s="223"/>
      <c r="K58" s="223"/>
      <c r="L58" s="120"/>
      <c r="M58" s="120"/>
      <c r="N58" s="120"/>
      <c r="O58" s="120"/>
      <c r="P58" s="120"/>
      <c r="Q58" s="120"/>
      <c r="R58" s="120"/>
      <c r="S58" s="120"/>
      <c r="T58" s="120"/>
      <c r="U58" s="120"/>
      <c r="V58" s="120"/>
      <c r="W58" s="120"/>
      <c r="X58" s="120"/>
    </row>
    <row r="59" spans="1:24">
      <c r="A59" s="152">
        <v>2008</v>
      </c>
      <c r="B59" s="222"/>
      <c r="C59" s="222"/>
      <c r="D59" s="222"/>
      <c r="E59" s="222"/>
      <c r="F59" s="222"/>
      <c r="G59" s="222"/>
      <c r="H59" s="222"/>
      <c r="J59" s="223"/>
      <c r="K59" s="223"/>
      <c r="L59" s="120"/>
      <c r="M59" s="120"/>
      <c r="N59" s="120"/>
      <c r="O59" s="120"/>
      <c r="P59" s="120"/>
      <c r="Q59" s="120"/>
      <c r="R59" s="120"/>
      <c r="S59" s="120"/>
      <c r="T59" s="120"/>
      <c r="U59" s="120"/>
      <c r="V59" s="120"/>
      <c r="W59" s="120"/>
      <c r="X59" s="120"/>
    </row>
    <row r="60" spans="1:24">
      <c r="A60" s="152">
        <v>2007</v>
      </c>
      <c r="B60" s="222"/>
      <c r="C60" s="222"/>
      <c r="D60" s="222"/>
      <c r="E60" s="222"/>
      <c r="F60" s="222"/>
      <c r="G60" s="222"/>
      <c r="H60" s="222"/>
      <c r="J60" s="223"/>
      <c r="K60" s="223"/>
      <c r="L60" s="151"/>
      <c r="M60" s="151"/>
      <c r="N60" s="151"/>
      <c r="O60" s="151"/>
      <c r="P60" s="151"/>
      <c r="Q60" s="151"/>
      <c r="R60" s="151"/>
      <c r="S60" s="151"/>
      <c r="T60" s="151"/>
      <c r="U60" s="151"/>
      <c r="V60" s="151"/>
      <c r="W60" s="151"/>
      <c r="X60" s="151"/>
    </row>
    <row r="61" spans="1:24">
      <c r="J61" s="223"/>
      <c r="K61" s="223"/>
      <c r="L61" s="151"/>
      <c r="M61" s="151"/>
      <c r="N61" s="151"/>
      <c r="O61" s="151"/>
      <c r="P61" s="151"/>
      <c r="Q61" s="151"/>
      <c r="R61" s="151"/>
      <c r="S61" s="151"/>
      <c r="T61" s="151"/>
      <c r="U61" s="151"/>
      <c r="V61" s="151"/>
      <c r="W61" s="151"/>
      <c r="X61" s="151"/>
    </row>
    <row r="62" spans="1:24">
      <c r="J62" s="223"/>
      <c r="K62" s="223"/>
      <c r="L62" s="151"/>
      <c r="M62" s="151"/>
      <c r="N62" s="151"/>
      <c r="O62" s="151"/>
      <c r="P62" s="151"/>
      <c r="Q62" s="151"/>
      <c r="R62" s="151"/>
      <c r="S62" s="151"/>
      <c r="T62" s="151"/>
      <c r="U62" s="151"/>
      <c r="V62" s="151"/>
      <c r="W62" s="151"/>
      <c r="X62" s="151"/>
    </row>
    <row r="63" spans="1:24">
      <c r="J63" s="223"/>
      <c r="K63" s="223"/>
      <c r="L63" s="151"/>
      <c r="M63" s="151"/>
      <c r="N63" s="151"/>
      <c r="O63" s="151"/>
      <c r="P63" s="151"/>
      <c r="Q63" s="151"/>
      <c r="R63" s="151"/>
      <c r="S63" s="151"/>
      <c r="T63" s="151"/>
      <c r="U63" s="151"/>
      <c r="V63" s="151"/>
      <c r="W63" s="151"/>
      <c r="X63" s="151"/>
    </row>
    <row r="64" spans="1:24">
      <c r="J64" s="223"/>
      <c r="K64" s="223"/>
      <c r="L64" s="151"/>
      <c r="M64" s="151"/>
      <c r="N64" s="151"/>
      <c r="O64" s="151"/>
      <c r="P64" s="151"/>
      <c r="Q64" s="151"/>
      <c r="R64" s="151"/>
      <c r="S64" s="151"/>
      <c r="T64" s="151"/>
      <c r="U64" s="151"/>
      <c r="V64" s="151"/>
      <c r="W64" s="151"/>
      <c r="X64" s="151"/>
    </row>
    <row r="65" spans="1:24">
      <c r="J65" s="223"/>
      <c r="K65" s="223"/>
      <c r="L65" s="151"/>
      <c r="M65" s="151"/>
      <c r="N65" s="151"/>
      <c r="O65" s="151"/>
      <c r="P65" s="151"/>
      <c r="Q65" s="151"/>
      <c r="R65" s="151"/>
      <c r="S65" s="151"/>
      <c r="T65" s="151"/>
      <c r="U65" s="151"/>
      <c r="V65" s="151"/>
      <c r="W65" s="151"/>
      <c r="X65" s="151"/>
    </row>
    <row r="66" spans="1:24">
      <c r="J66" s="223"/>
      <c r="K66" s="223"/>
      <c r="L66" s="151"/>
      <c r="M66" s="151"/>
      <c r="N66" s="151"/>
      <c r="O66" s="151"/>
      <c r="P66" s="151"/>
      <c r="Q66" s="151"/>
      <c r="R66" s="151"/>
      <c r="S66" s="151"/>
      <c r="T66" s="151"/>
      <c r="U66" s="151"/>
      <c r="V66" s="151"/>
      <c r="W66" s="151"/>
      <c r="X66" s="151"/>
    </row>
    <row r="67" spans="1:24">
      <c r="J67" s="223"/>
      <c r="K67" s="223"/>
      <c r="L67" s="151"/>
      <c r="M67" s="151"/>
      <c r="N67" s="151"/>
      <c r="O67" s="151"/>
      <c r="P67" s="151"/>
      <c r="Q67" s="151"/>
      <c r="R67" s="151"/>
      <c r="S67" s="151"/>
      <c r="T67" s="151"/>
      <c r="U67" s="151"/>
      <c r="V67" s="151"/>
      <c r="W67" s="151"/>
      <c r="X67" s="151"/>
    </row>
    <row r="68" spans="1:24">
      <c r="J68" s="223"/>
      <c r="K68" s="223"/>
      <c r="L68" s="151"/>
      <c r="M68" s="151"/>
      <c r="N68" s="151"/>
      <c r="O68" s="151"/>
      <c r="P68" s="151"/>
      <c r="Q68" s="151"/>
      <c r="R68" s="151"/>
      <c r="S68" s="151"/>
      <c r="T68" s="151"/>
      <c r="U68" s="151"/>
      <c r="V68" s="151"/>
      <c r="W68" s="151"/>
      <c r="X68" s="151"/>
    </row>
    <row r="69" spans="1:24">
      <c r="J69" s="223"/>
      <c r="K69" s="223"/>
      <c r="L69" s="151"/>
      <c r="M69" s="151"/>
      <c r="N69" s="151"/>
      <c r="O69" s="151"/>
      <c r="P69" s="151"/>
      <c r="Q69" s="151"/>
      <c r="R69" s="151"/>
      <c r="S69" s="151"/>
      <c r="T69" s="151"/>
      <c r="U69" s="151"/>
      <c r="V69" s="151"/>
      <c r="W69" s="151"/>
      <c r="X69" s="151"/>
    </row>
    <row r="70" spans="1:24">
      <c r="J70" s="223"/>
      <c r="K70" s="223"/>
      <c r="L70" s="151"/>
      <c r="M70" s="151"/>
      <c r="N70" s="151"/>
    </row>
    <row r="71" spans="1:24">
      <c r="J71" s="223"/>
      <c r="K71" s="223"/>
      <c r="L71" s="151"/>
      <c r="M71" s="151"/>
      <c r="N71" s="151"/>
    </row>
    <row r="72" spans="1:24">
      <c r="J72" s="223"/>
      <c r="K72" s="223"/>
      <c r="L72" s="151"/>
      <c r="M72" s="151"/>
      <c r="N72" s="151"/>
    </row>
    <row r="73" spans="1:24">
      <c r="J73" s="223"/>
      <c r="K73" s="223"/>
      <c r="L73" s="151"/>
      <c r="M73" s="151"/>
      <c r="N73" s="151"/>
    </row>
    <row r="74" spans="1:24">
      <c r="J74" s="223"/>
      <c r="K74" s="223"/>
      <c r="L74" s="151"/>
      <c r="M74" s="151"/>
      <c r="N74" s="151"/>
    </row>
    <row r="75" spans="1:24">
      <c r="J75" s="223"/>
      <c r="K75" s="223"/>
      <c r="L75" s="151"/>
      <c r="M75" s="151"/>
      <c r="N75" s="151"/>
    </row>
    <row r="76" spans="1:24">
      <c r="J76" s="223"/>
      <c r="K76" s="223"/>
      <c r="L76" s="151"/>
      <c r="M76" s="151"/>
      <c r="N76" s="151"/>
    </row>
    <row r="77" spans="1:24" ht="20.399999999999999">
      <c r="A77" s="242"/>
      <c r="J77" s="223"/>
      <c r="K77" s="223"/>
      <c r="L77" s="151"/>
      <c r="M77" s="151"/>
      <c r="N77" s="151"/>
    </row>
    <row r="78" spans="1:24" ht="21">
      <c r="A78" s="240"/>
      <c r="J78" s="223"/>
      <c r="K78" s="223"/>
      <c r="L78" s="151"/>
      <c r="M78" s="151"/>
      <c r="N78" s="151"/>
    </row>
    <row r="79" spans="1:24">
      <c r="J79" s="223"/>
      <c r="K79" s="223"/>
      <c r="L79" s="151"/>
      <c r="M79" s="151"/>
      <c r="N79" s="151"/>
    </row>
    <row r="80" spans="1:24">
      <c r="J80" s="223"/>
      <c r="K80" s="223"/>
      <c r="L80" s="151"/>
      <c r="M80" s="151"/>
      <c r="N80" s="151"/>
    </row>
    <row r="81" spans="1:23">
      <c r="J81" s="223"/>
      <c r="K81" s="223"/>
      <c r="L81" s="151"/>
      <c r="M81" s="151"/>
      <c r="N81" s="151"/>
    </row>
    <row r="82" spans="1:23">
      <c r="J82" s="223"/>
      <c r="K82" s="223"/>
      <c r="L82" s="151"/>
      <c r="M82" s="151"/>
      <c r="N82" s="151"/>
    </row>
    <row r="83" spans="1:23" ht="20.399999999999999">
      <c r="A83" s="242"/>
      <c r="J83" s="223"/>
    </row>
    <row r="84" spans="1:23" ht="21">
      <c r="A84" s="246" t="s">
        <v>880</v>
      </c>
      <c r="B84" s="154"/>
      <c r="D84" s="154"/>
      <c r="E84" s="154"/>
      <c r="F84" s="154"/>
      <c r="G84" s="154"/>
      <c r="H84" s="154"/>
    </row>
    <row r="85" spans="1:23" ht="15.75" customHeight="1">
      <c r="A85" s="246"/>
      <c r="B85" s="154"/>
      <c r="C85" s="154"/>
      <c r="D85" s="154"/>
      <c r="E85" s="154"/>
      <c r="F85" s="154"/>
      <c r="G85" s="154"/>
      <c r="H85" s="154"/>
      <c r="I85" s="120"/>
    </row>
    <row r="86" spans="1:23" ht="15.75" customHeight="1">
      <c r="A86" s="2133" t="s">
        <v>755</v>
      </c>
      <c r="B86" s="2133"/>
      <c r="C86" s="2133"/>
      <c r="D86" s="2133"/>
      <c r="E86" s="2133"/>
      <c r="F86" s="2133"/>
      <c r="G86" s="2133"/>
      <c r="H86" s="2133"/>
      <c r="I86" s="120"/>
    </row>
    <row r="87" spans="1:23">
      <c r="A87" s="139" t="s">
        <v>459</v>
      </c>
      <c r="B87" s="140" t="s">
        <v>274</v>
      </c>
      <c r="C87" s="140" t="s">
        <v>419</v>
      </c>
      <c r="D87" s="140" t="s">
        <v>757</v>
      </c>
      <c r="E87" s="140" t="s">
        <v>271</v>
      </c>
      <c r="F87" s="140" t="s">
        <v>421</v>
      </c>
      <c r="G87" s="140" t="s">
        <v>272</v>
      </c>
      <c r="H87" s="140" t="s">
        <v>575</v>
      </c>
      <c r="I87" s="120"/>
      <c r="P87" s="151"/>
      <c r="Q87" s="151"/>
      <c r="R87" s="151"/>
      <c r="T87" s="151"/>
      <c r="U87" s="151"/>
      <c r="V87" s="151"/>
      <c r="W87" s="151"/>
    </row>
    <row r="88" spans="1:23">
      <c r="A88" s="224"/>
      <c r="B88" s="140" t="s">
        <v>268</v>
      </c>
      <c r="C88" s="140" t="s">
        <v>295</v>
      </c>
      <c r="D88" s="140" t="s">
        <v>257</v>
      </c>
      <c r="E88" s="140" t="s">
        <v>296</v>
      </c>
      <c r="F88" s="140" t="s">
        <v>277</v>
      </c>
      <c r="G88" s="140" t="s">
        <v>278</v>
      </c>
      <c r="H88" s="225" t="s">
        <v>297</v>
      </c>
      <c r="I88" s="120"/>
      <c r="P88" s="151"/>
      <c r="Q88" s="151"/>
      <c r="R88" s="151"/>
    </row>
    <row r="89" spans="1:23">
      <c r="A89" s="224" t="s">
        <v>2139</v>
      </c>
      <c r="B89" s="146">
        <f>FL_tot_init_HIGH</f>
        <v>129000</v>
      </c>
      <c r="C89" s="146">
        <f>SE_tot_init_HIGH</f>
        <v>176500</v>
      </c>
      <c r="D89" s="146">
        <f>BOCA_tot_init_HIGH</f>
        <v>121700</v>
      </c>
      <c r="E89" s="146">
        <f>SW_tot_init_HIGH</f>
        <v>111400</v>
      </c>
      <c r="F89" s="146">
        <f>SWCIRA_tot_init_HIGH</f>
        <v>5500</v>
      </c>
      <c r="G89" s="146">
        <f>NC_tot_init_HIGH</f>
        <v>102200</v>
      </c>
      <c r="H89" s="146">
        <f>YB_tot_init_HIGH</f>
        <v>84700</v>
      </c>
      <c r="P89" s="151"/>
      <c r="Q89" s="151"/>
      <c r="R89" s="151"/>
    </row>
    <row r="90" spans="1:23">
      <c r="A90" s="224" t="s">
        <v>879</v>
      </c>
      <c r="B90" s="226">
        <f>FL_ref_equity_perc_HIGH</f>
        <v>0.08</v>
      </c>
      <c r="C90" s="226">
        <f>SE_ref_equity_perc_HIGH</f>
        <v>0.12</v>
      </c>
      <c r="D90" s="226">
        <f>BOCA_ref_equity_perc_HIGH</f>
        <v>7.0000000000000007E-2</v>
      </c>
      <c r="E90" s="226">
        <f>SW_ref_equity_perc_HIGH</f>
        <v>0.03</v>
      </c>
      <c r="F90" s="226">
        <f>SWCIRA_ref_equity_perc_HIGH</f>
        <v>0</v>
      </c>
      <c r="G90" s="226">
        <f>NC_ref_equity_perc_HIGH</f>
        <v>7.0000000000000007E-2</v>
      </c>
      <c r="H90" s="226">
        <f>YB_ref_equity_perc_HIGH</f>
        <v>0.11</v>
      </c>
      <c r="P90" s="151"/>
      <c r="Q90" s="151"/>
      <c r="R90" s="151"/>
      <c r="T90" s="151"/>
      <c r="U90" s="151"/>
      <c r="V90" s="151"/>
      <c r="W90" s="151"/>
    </row>
    <row r="91" spans="1:23">
      <c r="A91" s="224"/>
      <c r="B91" s="226"/>
      <c r="C91" s="226"/>
      <c r="D91" s="226"/>
      <c r="E91" s="226"/>
      <c r="F91" s="226"/>
      <c r="G91" s="226"/>
      <c r="H91" s="226"/>
      <c r="J91" s="136" t="s">
        <v>1640</v>
      </c>
    </row>
    <row r="92" spans="1:23">
      <c r="A92" s="218" t="s">
        <v>2140</v>
      </c>
      <c r="B92" s="146">
        <f>B112</f>
        <v>16800</v>
      </c>
      <c r="C92" s="146">
        <f t="shared" ref="C92:H92" si="0">C112</f>
        <v>17900</v>
      </c>
      <c r="D92" s="146">
        <f t="shared" si="0"/>
        <v>21800</v>
      </c>
      <c r="E92" s="146">
        <f t="shared" si="0"/>
        <v>14100</v>
      </c>
      <c r="F92" s="146">
        <f t="shared" si="0"/>
        <v>6600</v>
      </c>
      <c r="G92" s="146">
        <f t="shared" si="0"/>
        <v>14300</v>
      </c>
      <c r="H92" s="146">
        <f t="shared" si="0"/>
        <v>7700</v>
      </c>
      <c r="J92" s="146">
        <f>FL_dues_HIGH_AY</f>
        <v>16800</v>
      </c>
      <c r="K92" s="146">
        <f>SE_dues_HIGH_AY</f>
        <v>18500</v>
      </c>
      <c r="L92" s="146">
        <f>BOCA_dues_HIGH_AY</f>
        <v>21800</v>
      </c>
      <c r="M92" s="146">
        <f>SW_dues_HIGH_AY</f>
        <v>14200</v>
      </c>
      <c r="N92" s="146">
        <f>SWCIRA_dues_HIGH_AY</f>
        <v>6500</v>
      </c>
      <c r="O92" s="146">
        <f>NC_dues_HIGH_AY</f>
        <v>13900</v>
      </c>
      <c r="P92" s="146">
        <f>YB_dues_HIGH_AY</f>
        <v>7100</v>
      </c>
    </row>
    <row r="93" spans="1:23">
      <c r="A93" s="224" t="s">
        <v>2141</v>
      </c>
      <c r="B93" s="227">
        <f>FL_tl_memcost_HIGH</f>
        <v>26240</v>
      </c>
      <c r="C93" s="227">
        <f>SE_tl_memcost_HIGH</f>
        <v>25973.85</v>
      </c>
      <c r="D93" s="227">
        <f>BOCA_tl_memcost_HIGH</f>
        <v>32890</v>
      </c>
      <c r="E93" s="227">
        <f>SW_tl_memcost_HIGH</f>
        <v>21250</v>
      </c>
      <c r="F93" s="227">
        <f>SWCIRA_tl_memcost_HIGH</f>
        <v>9980</v>
      </c>
      <c r="G93" s="227">
        <f>NC_tl_memcost_HIGH</f>
        <v>21400</v>
      </c>
      <c r="H93" s="227">
        <f>YB_tl_memcost_HIGH</f>
        <v>14010</v>
      </c>
    </row>
    <row r="94" spans="1:23">
      <c r="A94" s="224" t="s">
        <v>975</v>
      </c>
      <c r="B94" s="227"/>
      <c r="C94" s="227"/>
      <c r="D94" s="227"/>
      <c r="E94" s="227"/>
      <c r="F94" s="227"/>
      <c r="G94" s="227"/>
      <c r="H94" s="227"/>
    </row>
    <row r="95" spans="1:23" ht="15.75" customHeight="1"/>
    <row r="96" spans="1:23" ht="15.75" hidden="1" customHeight="1">
      <c r="A96" s="2133" t="s">
        <v>756</v>
      </c>
      <c r="B96" s="2133"/>
      <c r="C96" s="2133"/>
      <c r="D96" s="2133"/>
      <c r="E96" s="2133"/>
      <c r="F96" s="2133"/>
      <c r="G96" s="2133"/>
      <c r="H96" s="2133"/>
    </row>
    <row r="97" spans="1:23" hidden="1">
      <c r="A97" s="139" t="s">
        <v>459</v>
      </c>
      <c r="B97" s="140" t="s">
        <v>274</v>
      </c>
      <c r="C97" s="140" t="s">
        <v>419</v>
      </c>
      <c r="D97" s="140" t="s">
        <v>757</v>
      </c>
      <c r="E97" s="140" t="s">
        <v>271</v>
      </c>
      <c r="F97" s="140" t="s">
        <v>421</v>
      </c>
      <c r="G97" s="140" t="s">
        <v>272</v>
      </c>
      <c r="H97" s="140" t="s">
        <v>575</v>
      </c>
      <c r="P97" s="151"/>
      <c r="Q97" s="151"/>
      <c r="R97" s="151"/>
      <c r="T97" s="151"/>
      <c r="U97" s="151"/>
      <c r="V97" s="151"/>
      <c r="W97" s="151"/>
    </row>
    <row r="98" spans="1:23" hidden="1">
      <c r="A98" s="224"/>
      <c r="B98" s="140" t="s">
        <v>268</v>
      </c>
      <c r="C98" s="140" t="s">
        <v>295</v>
      </c>
      <c r="D98" s="140" t="s">
        <v>257</v>
      </c>
      <c r="E98" s="140" t="s">
        <v>296</v>
      </c>
      <c r="F98" s="140" t="s">
        <v>277</v>
      </c>
      <c r="G98" s="140" t="s">
        <v>278</v>
      </c>
      <c r="H98" s="225" t="s">
        <v>297</v>
      </c>
      <c r="I98" s="120"/>
      <c r="P98" s="151"/>
      <c r="Q98" s="151"/>
      <c r="R98" s="151"/>
    </row>
    <row r="99" spans="1:23" hidden="1">
      <c r="A99" s="218" t="s">
        <v>1186</v>
      </c>
      <c r="B99" s="146">
        <f>FL_tot_init_LOW</f>
        <v>0</v>
      </c>
      <c r="C99" s="146">
        <f>SE_tot_init_LOW</f>
        <v>0</v>
      </c>
      <c r="D99" s="146">
        <f>BOCA_tot_init_LOW</f>
        <v>0</v>
      </c>
      <c r="E99" s="146">
        <f>SW_tot_init_LOW</f>
        <v>0</v>
      </c>
      <c r="F99" s="146">
        <f>SWCIRA_tot_init_LOW</f>
        <v>0</v>
      </c>
      <c r="G99" s="146">
        <f>NC_tot_init_LOW</f>
        <v>0</v>
      </c>
      <c r="H99" s="146">
        <f>YB_tot_init_LOW</f>
        <v>0</v>
      </c>
      <c r="P99" s="151"/>
      <c r="Q99" s="151"/>
      <c r="R99" s="151"/>
    </row>
    <row r="100" spans="1:23" hidden="1">
      <c r="A100" s="224" t="s">
        <v>879</v>
      </c>
      <c r="B100" s="226">
        <f>FL_ref_equity_perc_LOW</f>
        <v>0</v>
      </c>
      <c r="C100" s="226">
        <f>SE_ref_equity_perc_LOW</f>
        <v>0</v>
      </c>
      <c r="D100" s="226">
        <f>BOCA_ref_equity_perc_LOW</f>
        <v>0</v>
      </c>
      <c r="E100" s="226">
        <f>SW_ref_equity_perc_LOW</f>
        <v>0</v>
      </c>
      <c r="F100" s="226">
        <f>SWCIRA_ref_equity_perc_LOW</f>
        <v>0</v>
      </c>
      <c r="G100" s="226">
        <f>NC_ref_equity_perc_LOW</f>
        <v>0</v>
      </c>
      <c r="H100" s="226">
        <f>YB_ref_equity_perc_LOW</f>
        <v>0</v>
      </c>
      <c r="P100" s="151"/>
      <c r="Q100" s="151"/>
      <c r="R100" s="151"/>
      <c r="T100" s="151"/>
      <c r="U100" s="151"/>
      <c r="V100" s="151"/>
      <c r="W100" s="151"/>
    </row>
    <row r="101" spans="1:23" hidden="1">
      <c r="A101" s="224"/>
      <c r="B101" s="226"/>
      <c r="C101" s="226"/>
      <c r="D101" s="226"/>
      <c r="E101" s="226"/>
      <c r="F101" s="226"/>
      <c r="G101" s="226"/>
      <c r="H101" s="226"/>
    </row>
    <row r="102" spans="1:23" hidden="1">
      <c r="A102" s="218" t="s">
        <v>1187</v>
      </c>
      <c r="B102" s="146">
        <f>FL_dues_LOW_AY</f>
        <v>0</v>
      </c>
      <c r="C102" s="146">
        <f>SE_dues_LOW_AY</f>
        <v>0</v>
      </c>
      <c r="D102" s="146">
        <f>BOCA_dues_LOW_AY</f>
        <v>0</v>
      </c>
      <c r="E102" s="146">
        <f>SW_dues_LOW_AY</f>
        <v>0</v>
      </c>
      <c r="F102" s="146">
        <f>SWCIRA_dues_LOW_AY</f>
        <v>0</v>
      </c>
      <c r="G102" s="146">
        <f>NC_dues_LOW_AY</f>
        <v>0</v>
      </c>
      <c r="H102" s="146">
        <f>YB_dues_LOW_AY</f>
        <v>0</v>
      </c>
      <c r="P102" s="151"/>
      <c r="Q102" s="151"/>
      <c r="R102" s="151"/>
      <c r="S102" s="228"/>
      <c r="T102" s="228"/>
      <c r="U102" s="228"/>
      <c r="V102" s="228"/>
    </row>
    <row r="103" spans="1:23" hidden="1">
      <c r="A103" s="224" t="s">
        <v>1188</v>
      </c>
      <c r="B103" s="227">
        <f>FL_tl_memcost_LOW</f>
        <v>0</v>
      </c>
      <c r="C103" s="227">
        <f>SE_tl_memcost_LOW</f>
        <v>0</v>
      </c>
      <c r="D103" s="227">
        <f>BOCA_tl_memcost_LOW</f>
        <v>0</v>
      </c>
      <c r="E103" s="227">
        <f>SW_tl_memcost_LOW</f>
        <v>0</v>
      </c>
      <c r="F103" s="227">
        <f>SWCIRA_tl_memcost_LOW</f>
        <v>0</v>
      </c>
      <c r="G103" s="227">
        <f>NC_tl_memcost_LOW</f>
        <v>0</v>
      </c>
      <c r="H103" s="227">
        <f>YB_tl_memcost_LOW</f>
        <v>0</v>
      </c>
    </row>
    <row r="104" spans="1:23" hidden="1">
      <c r="A104" s="224" t="s">
        <v>976</v>
      </c>
    </row>
    <row r="105" spans="1:23" hidden="1"/>
    <row r="106" spans="1:23" ht="21">
      <c r="A106" s="246" t="s">
        <v>881</v>
      </c>
      <c r="K106" s="306"/>
    </row>
    <row r="107" spans="1:23" ht="29.4">
      <c r="A107" s="246"/>
      <c r="B107" s="231" t="s">
        <v>1783</v>
      </c>
      <c r="C107" s="231" t="s">
        <v>578</v>
      </c>
      <c r="D107" s="231" t="s">
        <v>1363</v>
      </c>
      <c r="E107" s="231" t="s">
        <v>742</v>
      </c>
      <c r="F107" s="231" t="s">
        <v>591</v>
      </c>
      <c r="G107" s="231" t="s">
        <v>1784</v>
      </c>
      <c r="H107" s="231" t="s">
        <v>594</v>
      </c>
    </row>
    <row r="108" spans="1:23" ht="15.75" customHeight="1">
      <c r="A108" s="246"/>
    </row>
    <row r="109" spans="1:23" s="1" customFormat="1">
      <c r="A109" s="139" t="s">
        <v>459</v>
      </c>
      <c r="B109" s="140" t="s">
        <v>274</v>
      </c>
      <c r="C109" s="140" t="s">
        <v>419</v>
      </c>
      <c r="D109" s="140" t="s">
        <v>757</v>
      </c>
      <c r="E109" s="140" t="s">
        <v>271</v>
      </c>
      <c r="F109" s="140" t="s">
        <v>421</v>
      </c>
      <c r="G109" s="140" t="s">
        <v>272</v>
      </c>
      <c r="H109" s="140" t="s">
        <v>575</v>
      </c>
      <c r="I109" s="136"/>
      <c r="J109" s="136"/>
      <c r="K109" s="136"/>
      <c r="L109" s="136"/>
      <c r="M109" s="136"/>
      <c r="N109" s="136"/>
      <c r="O109" s="136"/>
      <c r="P109" s="136"/>
      <c r="Q109" s="136"/>
    </row>
    <row r="110" spans="1:23" s="1" customFormat="1" ht="13.8">
      <c r="A110" s="224"/>
      <c r="B110" s="140" t="s">
        <v>268</v>
      </c>
      <c r="C110" s="140" t="s">
        <v>295</v>
      </c>
      <c r="D110" s="140" t="s">
        <v>257</v>
      </c>
      <c r="E110" s="140" t="s">
        <v>296</v>
      </c>
      <c r="F110" s="140" t="s">
        <v>277</v>
      </c>
      <c r="G110" s="140" t="s">
        <v>278</v>
      </c>
      <c r="H110" s="225" t="s">
        <v>297</v>
      </c>
      <c r="I110" s="120"/>
      <c r="J110" s="120"/>
      <c r="K110" s="120"/>
      <c r="L110" s="120"/>
      <c r="M110" s="120"/>
      <c r="N110" s="120"/>
      <c r="O110" s="120"/>
      <c r="P110" s="120"/>
      <c r="Q110" s="120"/>
    </row>
    <row r="111" spans="1:23" s="1" customFormat="1" ht="13.8">
      <c r="A111" s="382" t="s">
        <v>2142</v>
      </c>
      <c r="B111" s="146">
        <f>FL_dues_HIGH_CY</f>
        <v>18600</v>
      </c>
      <c r="C111" s="146">
        <f>SE_dues_HIGH_CY</f>
        <v>20400</v>
      </c>
      <c r="D111" s="146">
        <f>BOCA_dues_HIGH_CY</f>
        <v>24600</v>
      </c>
      <c r="E111" s="146">
        <f>SW_dues_HIGH_CY</f>
        <v>15600</v>
      </c>
      <c r="F111" s="146">
        <f>SWCIRA_dues_HIGH_CY</f>
        <v>7100</v>
      </c>
      <c r="G111" s="146">
        <f>NC_dues_HIGH_CY</f>
        <v>15500</v>
      </c>
      <c r="H111" s="146">
        <f>YB_dues_HIGH_CY</f>
        <v>8500</v>
      </c>
    </row>
    <row r="112" spans="1:23" s="1" customFormat="1" ht="13.8">
      <c r="A112" s="383" t="s">
        <v>1844</v>
      </c>
      <c r="B112" s="227">
        <v>16800</v>
      </c>
      <c r="C112" s="227">
        <v>17900</v>
      </c>
      <c r="D112" s="227">
        <v>21800</v>
      </c>
      <c r="E112" s="227">
        <v>14100</v>
      </c>
      <c r="F112" s="227">
        <v>6600</v>
      </c>
      <c r="G112" s="227">
        <v>14300</v>
      </c>
      <c r="H112" s="227">
        <v>7700</v>
      </c>
    </row>
    <row r="113" spans="1:17">
      <c r="A113" s="218" t="s">
        <v>301</v>
      </c>
      <c r="B113" s="146">
        <f t="shared" ref="B113:H113" si="1">+B111-B112</f>
        <v>1800</v>
      </c>
      <c r="C113" s="146">
        <f t="shared" si="1"/>
        <v>2500</v>
      </c>
      <c r="D113" s="146">
        <f t="shared" si="1"/>
        <v>2800</v>
      </c>
      <c r="E113" s="146">
        <f t="shared" si="1"/>
        <v>1500</v>
      </c>
      <c r="F113" s="146">
        <f t="shared" si="1"/>
        <v>500</v>
      </c>
      <c r="G113" s="146">
        <f t="shared" si="1"/>
        <v>1200</v>
      </c>
      <c r="H113" s="146">
        <f t="shared" si="1"/>
        <v>800</v>
      </c>
      <c r="I113" s="1"/>
      <c r="J113" s="1"/>
      <c r="K113" s="1"/>
      <c r="L113" s="1"/>
      <c r="M113" s="1"/>
      <c r="N113" s="1"/>
      <c r="O113" s="1"/>
      <c r="P113" s="1"/>
      <c r="Q113" s="1"/>
    </row>
    <row r="114" spans="1:17" s="230" customFormat="1">
      <c r="A114" s="224" t="s">
        <v>732</v>
      </c>
      <c r="B114" s="226">
        <f t="shared" ref="B114:H114" si="2">+B113/B112</f>
        <v>0.10714285714285714</v>
      </c>
      <c r="C114" s="226">
        <f t="shared" si="2"/>
        <v>0.13966480446927373</v>
      </c>
      <c r="D114" s="226">
        <f t="shared" si="2"/>
        <v>0.12844036697247707</v>
      </c>
      <c r="E114" s="226">
        <f t="shared" si="2"/>
        <v>0.10638297872340426</v>
      </c>
      <c r="F114" s="226">
        <f t="shared" si="2"/>
        <v>7.575757575757576E-2</v>
      </c>
      <c r="G114" s="226">
        <f t="shared" si="2"/>
        <v>8.3916083916083919E-2</v>
      </c>
      <c r="H114" s="226">
        <f t="shared" si="2"/>
        <v>0.1038961038961039</v>
      </c>
      <c r="I114" s="1"/>
      <c r="J114" s="1"/>
      <c r="K114" s="136"/>
      <c r="L114" s="136"/>
      <c r="M114" s="136"/>
      <c r="N114" s="136"/>
      <c r="O114" s="136"/>
    </row>
    <row r="115" spans="1:17" s="230" customFormat="1">
      <c r="A115" s="136"/>
      <c r="B115" s="136"/>
      <c r="C115" s="136"/>
      <c r="D115" s="136"/>
      <c r="E115" s="136"/>
      <c r="F115" s="136"/>
      <c r="G115" s="136"/>
      <c r="H115" s="136"/>
      <c r="I115" s="136"/>
      <c r="J115" s="136"/>
      <c r="K115" s="136"/>
    </row>
    <row r="116" spans="1:17" s="230" customFormat="1">
      <c r="A116" s="136"/>
      <c r="B116" s="137"/>
      <c r="C116" s="137"/>
      <c r="D116" s="137"/>
      <c r="E116" s="137"/>
      <c r="F116" s="137"/>
      <c r="G116" s="137"/>
      <c r="H116" s="137"/>
      <c r="I116" s="136"/>
      <c r="J116" s="136"/>
      <c r="K116" s="136"/>
    </row>
    <row r="117" spans="1:17" s="230" customFormat="1">
      <c r="A117" s="152"/>
      <c r="B117" s="232"/>
      <c r="C117" s="232"/>
      <c r="D117" s="232"/>
      <c r="E117" s="232"/>
      <c r="F117" s="232"/>
      <c r="G117" s="232"/>
      <c r="H117" s="232"/>
      <c r="I117" s="136"/>
      <c r="J117" s="136"/>
      <c r="K117" s="136"/>
    </row>
    <row r="118" spans="1:17" s="230" customFormat="1">
      <c r="A118" s="152"/>
      <c r="B118" s="232"/>
      <c r="C118" s="232"/>
      <c r="D118" s="232"/>
      <c r="E118" s="232"/>
      <c r="F118" s="232"/>
      <c r="G118" s="232"/>
      <c r="H118" s="232"/>
      <c r="I118" s="136"/>
      <c r="J118" s="136"/>
      <c r="K118" s="136"/>
    </row>
    <row r="119" spans="1:17" s="230" customFormat="1">
      <c r="A119" s="152"/>
      <c r="B119" s="232"/>
      <c r="C119" s="232"/>
      <c r="D119" s="232"/>
      <c r="E119" s="232"/>
      <c r="F119" s="232"/>
      <c r="G119" s="232"/>
      <c r="H119" s="232"/>
      <c r="I119" s="136"/>
      <c r="J119" s="136"/>
      <c r="K119" s="136"/>
    </row>
    <row r="120" spans="1:17" s="230" customFormat="1">
      <c r="A120" s="136"/>
      <c r="B120" s="136"/>
      <c r="C120" s="136"/>
      <c r="D120" s="136"/>
      <c r="E120" s="136"/>
      <c r="F120" s="136"/>
      <c r="G120" s="136"/>
      <c r="H120" s="136"/>
      <c r="I120" s="136"/>
      <c r="J120" s="136"/>
      <c r="K120" s="136"/>
    </row>
    <row r="121" spans="1:17" s="230" customFormat="1">
      <c r="A121" s="136"/>
      <c r="B121" s="136"/>
      <c r="C121" s="136"/>
      <c r="D121" s="136"/>
      <c r="E121" s="136"/>
      <c r="F121" s="136"/>
      <c r="G121" s="136"/>
      <c r="H121" s="136"/>
      <c r="I121" s="136"/>
      <c r="J121" s="136"/>
      <c r="K121" s="136"/>
    </row>
    <row r="122" spans="1:17" s="230" customFormat="1">
      <c r="A122" s="136"/>
      <c r="B122" s="136"/>
      <c r="C122" s="136"/>
      <c r="D122" s="136"/>
      <c r="E122" s="136"/>
      <c r="F122" s="136"/>
      <c r="G122" s="136"/>
      <c r="H122" s="136"/>
      <c r="I122" s="136"/>
      <c r="J122" s="136"/>
      <c r="K122" s="136"/>
    </row>
    <row r="123" spans="1:17" s="230" customFormat="1" ht="20.399999999999999">
      <c r="A123" s="242"/>
      <c r="B123" s="136"/>
      <c r="C123" s="136"/>
      <c r="D123" s="136"/>
      <c r="E123" s="136"/>
      <c r="F123" s="136"/>
      <c r="G123" s="136"/>
      <c r="H123" s="136"/>
      <c r="I123" s="136"/>
      <c r="J123" s="136"/>
      <c r="K123" s="136"/>
    </row>
    <row r="124" spans="1:17" s="230" customFormat="1">
      <c r="A124" s="136"/>
      <c r="B124" s="136"/>
      <c r="C124" s="136"/>
      <c r="D124" s="136"/>
      <c r="E124" s="136"/>
      <c r="F124" s="136"/>
      <c r="G124" s="136"/>
      <c r="H124" s="136"/>
      <c r="I124" s="136"/>
      <c r="J124" s="136"/>
      <c r="K124" s="136"/>
    </row>
    <row r="125" spans="1:17" s="230" customFormat="1">
      <c r="A125" s="136"/>
      <c r="B125" s="136"/>
      <c r="C125" s="136"/>
      <c r="D125" s="136"/>
      <c r="E125" s="136"/>
      <c r="F125" s="136"/>
      <c r="G125" s="136"/>
      <c r="H125" s="136"/>
      <c r="I125" s="136"/>
      <c r="J125" s="136"/>
      <c r="K125" s="136"/>
    </row>
    <row r="126" spans="1:17" s="230" customFormat="1">
      <c r="A126" s="136"/>
      <c r="B126" s="136"/>
      <c r="C126" s="136"/>
      <c r="D126" s="136"/>
      <c r="E126" s="136"/>
      <c r="F126" s="136"/>
      <c r="G126" s="136"/>
      <c r="H126" s="136"/>
      <c r="I126" s="136"/>
      <c r="J126" s="136"/>
      <c r="K126" s="136"/>
    </row>
    <row r="127" spans="1:17" s="230" customFormat="1" ht="28.5" customHeight="1">
      <c r="A127" s="136"/>
      <c r="B127" s="136"/>
      <c r="C127" s="136"/>
      <c r="D127" s="136"/>
      <c r="E127" s="136"/>
      <c r="F127" s="136"/>
      <c r="G127" s="136"/>
      <c r="H127" s="136"/>
      <c r="I127" s="136"/>
      <c r="J127" s="136"/>
      <c r="K127" s="136"/>
    </row>
    <row r="128" spans="1:17" s="230" customFormat="1">
      <c r="A128" s="136"/>
      <c r="B128" s="136"/>
      <c r="C128" s="136"/>
      <c r="D128" s="136"/>
      <c r="E128" s="136"/>
      <c r="F128" s="136"/>
      <c r="G128" s="136"/>
      <c r="H128" s="136"/>
      <c r="I128" s="136"/>
      <c r="J128" s="136"/>
      <c r="K128" s="136"/>
    </row>
    <row r="129" spans="1:15" s="230" customFormat="1" ht="20.399999999999999">
      <c r="A129" s="242"/>
      <c r="B129" s="136"/>
      <c r="C129" s="136"/>
      <c r="D129" s="136"/>
      <c r="E129" s="136"/>
      <c r="F129" s="136"/>
      <c r="G129" s="136"/>
      <c r="H129" s="136"/>
      <c r="I129" s="136"/>
      <c r="J129" s="136"/>
      <c r="K129" s="136"/>
    </row>
    <row r="130" spans="1:15" s="230" customFormat="1" ht="17.399999999999999">
      <c r="A130" s="237"/>
      <c r="B130" s="136"/>
      <c r="C130" s="136"/>
      <c r="D130" s="136"/>
      <c r="E130" s="136"/>
      <c r="F130" s="136"/>
      <c r="G130" s="136"/>
      <c r="H130" s="136"/>
      <c r="I130" s="136"/>
      <c r="J130" s="136"/>
      <c r="K130" s="136"/>
    </row>
    <row r="131" spans="1:15" s="230" customFormat="1">
      <c r="A131" s="138"/>
      <c r="B131" s="136"/>
      <c r="C131" s="136"/>
      <c r="D131" s="136"/>
      <c r="E131" s="136"/>
      <c r="F131" s="136"/>
      <c r="G131" s="136"/>
      <c r="H131" s="136"/>
      <c r="I131" s="136"/>
      <c r="J131" s="136"/>
      <c r="K131" s="136"/>
    </row>
    <row r="132" spans="1:15" s="230" customFormat="1">
      <c r="A132" s="136"/>
      <c r="B132" s="136"/>
      <c r="C132" s="136"/>
      <c r="D132" s="136"/>
      <c r="E132" s="136"/>
      <c r="F132" s="136"/>
      <c r="G132" s="136"/>
      <c r="H132" s="136"/>
      <c r="I132" s="136"/>
      <c r="J132" s="136"/>
      <c r="K132" s="136"/>
    </row>
    <row r="133" spans="1:15">
      <c r="L133" s="230"/>
      <c r="M133" s="230"/>
      <c r="N133" s="230"/>
      <c r="O133" s="230"/>
    </row>
    <row r="135" spans="1:15" ht="21">
      <c r="A135" s="246" t="s">
        <v>848</v>
      </c>
    </row>
    <row r="136" spans="1:15" s="222" customFormat="1" ht="15.75" customHeight="1">
      <c r="A136" s="136"/>
      <c r="B136" s="136"/>
      <c r="C136" s="136"/>
      <c r="D136" s="136"/>
      <c r="E136" s="136"/>
      <c r="F136" s="136"/>
      <c r="G136" s="136"/>
      <c r="H136" s="136"/>
      <c r="I136" s="136"/>
      <c r="J136" s="136"/>
      <c r="K136" s="136"/>
      <c r="L136" s="136"/>
      <c r="M136" s="136"/>
      <c r="N136" s="136"/>
      <c r="O136" s="136"/>
    </row>
    <row r="137" spans="1:15" s="222" customFormat="1" ht="28.2">
      <c r="A137" s="154"/>
      <c r="B137" s="137" t="s">
        <v>860</v>
      </c>
      <c r="C137" s="137" t="s">
        <v>746</v>
      </c>
      <c r="D137" s="231" t="s">
        <v>1364</v>
      </c>
      <c r="E137" s="137" t="s">
        <v>570</v>
      </c>
      <c r="F137" s="137" t="s">
        <v>591</v>
      </c>
      <c r="G137" s="137" t="s">
        <v>464</v>
      </c>
      <c r="H137" s="137" t="s">
        <v>463</v>
      </c>
      <c r="I137" s="136"/>
      <c r="J137" s="136"/>
    </row>
    <row r="138" spans="1:15" s="222" customFormat="1" ht="15.75" customHeight="1">
      <c r="A138" s="222" t="s">
        <v>2143</v>
      </c>
      <c r="B138" s="229">
        <f>FL_dues_Inc_HIGH</f>
        <v>0.94</v>
      </c>
      <c r="C138" s="229">
        <f>SE_dues_Inc_HIGH</f>
        <v>1</v>
      </c>
      <c r="D138" s="229">
        <f>BOCA_dues_Inc_HIGH</f>
        <v>0.94</v>
      </c>
      <c r="E138" s="229">
        <f>SW_dues_Inc_HIGH</f>
        <v>1</v>
      </c>
      <c r="F138" s="229">
        <f>SWCIRA_dues_Inc_HIGH</f>
        <v>0.94</v>
      </c>
      <c r="G138" s="229">
        <f>NC_dues_Inc_HIGH</f>
        <v>0.83</v>
      </c>
      <c r="H138" s="229">
        <f>YB_dues_Inc_HIGH</f>
        <v>1</v>
      </c>
    </row>
    <row r="139" spans="1:15" s="222" customFormat="1" ht="15.75" customHeight="1">
      <c r="A139" s="222" t="s">
        <v>1845</v>
      </c>
      <c r="B139" s="229">
        <v>0.95</v>
      </c>
      <c r="C139" s="229">
        <v>0.96</v>
      </c>
      <c r="D139" s="229">
        <v>1</v>
      </c>
      <c r="E139" s="229">
        <v>1</v>
      </c>
      <c r="F139" s="229">
        <v>0.95</v>
      </c>
      <c r="G139" s="229">
        <v>0.86</v>
      </c>
      <c r="H139" s="229">
        <v>0.71</v>
      </c>
    </row>
    <row r="140" spans="1:15" s="222" customFormat="1" ht="15.75" customHeight="1">
      <c r="A140" s="222" t="s">
        <v>1827</v>
      </c>
      <c r="B140" s="229">
        <v>0.75</v>
      </c>
      <c r="C140" s="229">
        <v>0.57999999999999996</v>
      </c>
      <c r="D140" s="229">
        <v>0.53</v>
      </c>
      <c r="E140" s="229">
        <v>1</v>
      </c>
      <c r="F140" s="229">
        <v>1</v>
      </c>
      <c r="G140" s="229">
        <v>0.62</v>
      </c>
      <c r="H140" s="229">
        <v>0.56000000000000005</v>
      </c>
    </row>
    <row r="141" spans="1:15" s="222" customFormat="1" ht="15.75" customHeight="1">
      <c r="A141" s="222" t="s">
        <v>1621</v>
      </c>
      <c r="B141" s="229">
        <v>0.93</v>
      </c>
      <c r="C141" s="229">
        <v>0.88</v>
      </c>
      <c r="D141" s="229">
        <v>1</v>
      </c>
      <c r="E141" s="229">
        <v>0.96</v>
      </c>
      <c r="F141" s="229">
        <v>0.95</v>
      </c>
      <c r="G141" s="229">
        <v>0.86</v>
      </c>
      <c r="H141" s="229">
        <v>0.76</v>
      </c>
    </row>
    <row r="142" spans="1:15" s="222" customFormat="1" ht="15.75" customHeight="1">
      <c r="A142" s="222" t="s">
        <v>1401</v>
      </c>
      <c r="B142" s="229">
        <v>0.88</v>
      </c>
      <c r="C142" s="229">
        <v>0.84</v>
      </c>
      <c r="D142" s="229">
        <v>1</v>
      </c>
      <c r="E142" s="229">
        <v>0.93</v>
      </c>
      <c r="F142" s="229">
        <v>0.89</v>
      </c>
      <c r="G142" s="229">
        <v>0.79</v>
      </c>
      <c r="H142" s="229">
        <v>0.72</v>
      </c>
    </row>
    <row r="143" spans="1:15" s="222" customFormat="1" ht="15.75" customHeight="1">
      <c r="A143" s="222" t="s">
        <v>1190</v>
      </c>
      <c r="B143" s="229">
        <v>0.88</v>
      </c>
      <c r="C143" s="229">
        <v>0.92</v>
      </c>
      <c r="D143" s="229">
        <v>1</v>
      </c>
      <c r="E143" s="229">
        <v>0.79</v>
      </c>
      <c r="F143" s="229">
        <v>0.89</v>
      </c>
      <c r="G143" s="229">
        <v>0.87</v>
      </c>
      <c r="H143" s="229">
        <v>0.72</v>
      </c>
    </row>
    <row r="144" spans="1:15" s="222" customFormat="1" ht="15.75" customHeight="1">
      <c r="A144" s="222" t="s">
        <v>1157</v>
      </c>
      <c r="B144" s="229">
        <v>0.85</v>
      </c>
      <c r="C144" s="229">
        <v>0.74</v>
      </c>
      <c r="D144" s="229">
        <v>0.94</v>
      </c>
      <c r="E144" s="229">
        <v>0.97</v>
      </c>
      <c r="F144" s="229">
        <v>0.79</v>
      </c>
      <c r="G144" s="229">
        <v>0.83</v>
      </c>
      <c r="H144" s="229">
        <v>0.79</v>
      </c>
    </row>
    <row r="145" spans="1:15" s="222" customFormat="1" ht="15.75" customHeight="1">
      <c r="A145" s="222" t="s">
        <v>1125</v>
      </c>
      <c r="B145" s="229">
        <v>0.78</v>
      </c>
      <c r="C145" s="229">
        <v>0.71</v>
      </c>
      <c r="D145" s="229">
        <v>0.89</v>
      </c>
      <c r="E145" s="229">
        <v>0.79</v>
      </c>
      <c r="F145" s="229">
        <v>0.74</v>
      </c>
      <c r="G145" s="229">
        <v>0.79</v>
      </c>
      <c r="H145" s="229">
        <v>0.72</v>
      </c>
    </row>
    <row r="146" spans="1:15" s="222" customFormat="1" ht="15.75" customHeight="1">
      <c r="A146" s="222" t="s">
        <v>979</v>
      </c>
      <c r="B146" s="229">
        <v>0.84</v>
      </c>
      <c r="C146" s="229">
        <v>0.77</v>
      </c>
      <c r="D146" s="229">
        <v>1</v>
      </c>
      <c r="E146" s="229">
        <v>0.83</v>
      </c>
      <c r="F146" s="229">
        <v>0.83</v>
      </c>
      <c r="G146" s="229">
        <v>0.79</v>
      </c>
      <c r="H146" s="229">
        <v>0.68</v>
      </c>
    </row>
    <row r="147" spans="1:15" s="222" customFormat="1" ht="15.75" customHeight="1">
      <c r="A147" s="222" t="s">
        <v>901</v>
      </c>
      <c r="B147" s="229">
        <v>0.75</v>
      </c>
      <c r="C147" s="229">
        <v>0.8</v>
      </c>
      <c r="D147" s="229">
        <v>0.78</v>
      </c>
      <c r="E147" s="229">
        <v>0.78</v>
      </c>
      <c r="F147" s="229">
        <v>0.88</v>
      </c>
      <c r="G147" s="229">
        <v>0.56000000000000005</v>
      </c>
      <c r="H147" s="229">
        <v>0.62</v>
      </c>
    </row>
    <row r="148" spans="1:15" s="222" customFormat="1" ht="15.75" customHeight="1">
      <c r="A148" s="222" t="s">
        <v>882</v>
      </c>
      <c r="B148" s="229">
        <v>0.66</v>
      </c>
      <c r="C148" s="229">
        <v>0.73</v>
      </c>
      <c r="D148" s="229">
        <v>0.57999999999999996</v>
      </c>
      <c r="E148" s="229">
        <v>0.7</v>
      </c>
      <c r="F148" s="229">
        <v>0.74</v>
      </c>
      <c r="G148" s="229">
        <v>0.54</v>
      </c>
      <c r="H148" s="229">
        <v>0.68</v>
      </c>
    </row>
    <row r="149" spans="1:15" s="222" customFormat="1" ht="15.75" customHeight="1">
      <c r="A149" s="222" t="s">
        <v>883</v>
      </c>
      <c r="B149" s="229">
        <v>0.64</v>
      </c>
      <c r="C149" s="229">
        <v>0.64</v>
      </c>
      <c r="D149" s="229">
        <v>0.6</v>
      </c>
      <c r="E149" s="229">
        <v>0.6</v>
      </c>
      <c r="F149" s="229">
        <v>0.79</v>
      </c>
      <c r="G149" s="229">
        <v>0.59</v>
      </c>
      <c r="H149" s="229">
        <v>0.65</v>
      </c>
    </row>
    <row r="150" spans="1:15" s="222" customFormat="1" ht="15" customHeight="1">
      <c r="A150" s="222" t="s">
        <v>884</v>
      </c>
      <c r="B150" s="229">
        <v>0.56000000000000005</v>
      </c>
      <c r="C150" s="229">
        <v>0.65</v>
      </c>
      <c r="D150" s="229">
        <v>0.6</v>
      </c>
      <c r="E150" s="229">
        <v>0.38</v>
      </c>
      <c r="F150" s="229">
        <v>0.78</v>
      </c>
      <c r="G150" s="229">
        <v>0.46</v>
      </c>
      <c r="H150" s="229">
        <v>0.63</v>
      </c>
    </row>
    <row r="151" spans="1:15" ht="14.25" hidden="1" customHeight="1">
      <c r="A151" s="222" t="s">
        <v>1158</v>
      </c>
      <c r="B151" s="229">
        <f>FL_dues_Inc_LOW</f>
        <v>0</v>
      </c>
      <c r="C151" s="229">
        <f>SE_dues_Inc_LOW</f>
        <v>0</v>
      </c>
      <c r="D151" s="229">
        <f>BOCA_dues_Inc_LOW</f>
        <v>0</v>
      </c>
      <c r="E151" s="229">
        <f>SW_dues_Inc_LOW</f>
        <v>0</v>
      </c>
      <c r="F151" s="229">
        <f>SWCIRA_dues_Inc_LOW</f>
        <v>0</v>
      </c>
      <c r="G151" s="229">
        <f>NC_dues_Inc_LOW</f>
        <v>0</v>
      </c>
      <c r="H151" s="229">
        <f>YB_dues_Inc_LOW</f>
        <v>0</v>
      </c>
      <c r="I151" s="222"/>
      <c r="J151" s="222"/>
      <c r="K151" s="381"/>
      <c r="L151" s="222"/>
      <c r="M151" s="222"/>
      <c r="N151" s="222"/>
      <c r="O151" s="222"/>
    </row>
    <row r="152" spans="1:15" ht="14.25" hidden="1" customHeight="1">
      <c r="A152" s="222" t="s">
        <v>1126</v>
      </c>
      <c r="B152" s="229">
        <v>0.76</v>
      </c>
      <c r="C152" s="229">
        <v>0.75</v>
      </c>
      <c r="D152" s="229">
        <v>0.83</v>
      </c>
      <c r="E152" s="229">
        <v>0.79</v>
      </c>
      <c r="F152" s="229">
        <v>0.74</v>
      </c>
      <c r="G152" s="229">
        <v>0.71</v>
      </c>
      <c r="H152" s="229">
        <v>0.67</v>
      </c>
      <c r="I152" s="222"/>
      <c r="J152" s="222"/>
      <c r="K152" s="381"/>
      <c r="L152" s="222"/>
      <c r="M152" s="222"/>
      <c r="N152" s="222"/>
      <c r="O152" s="222"/>
    </row>
    <row r="153" spans="1:15" ht="14.25" hidden="1" customHeight="1">
      <c r="A153" s="222" t="s">
        <v>980</v>
      </c>
      <c r="B153" s="229">
        <v>0.79</v>
      </c>
      <c r="C153" s="229">
        <v>0.69</v>
      </c>
      <c r="D153" s="229">
        <v>0.94</v>
      </c>
      <c r="E153" s="229">
        <v>0.83</v>
      </c>
      <c r="F153" s="229">
        <v>0.83</v>
      </c>
      <c r="G153" s="229">
        <v>0.71</v>
      </c>
      <c r="H153" s="229">
        <v>0.68</v>
      </c>
      <c r="I153" s="222"/>
      <c r="J153" s="222"/>
      <c r="K153" s="381"/>
      <c r="L153" s="222"/>
      <c r="M153" s="222"/>
      <c r="N153" s="222"/>
      <c r="O153" s="222"/>
    </row>
    <row r="154" spans="1:15" ht="14.25" hidden="1" customHeight="1">
      <c r="A154" s="222" t="s">
        <v>902</v>
      </c>
      <c r="B154" s="229">
        <v>0.67</v>
      </c>
      <c r="C154" s="229">
        <v>0.76</v>
      </c>
      <c r="D154" s="229">
        <v>0.72</v>
      </c>
      <c r="E154" s="229">
        <v>0.59</v>
      </c>
      <c r="F154" s="229">
        <v>0.82</v>
      </c>
      <c r="G154" s="229">
        <v>0.52</v>
      </c>
      <c r="H154" s="229">
        <v>0.52</v>
      </c>
      <c r="I154" s="222"/>
      <c r="J154" s="222"/>
      <c r="K154" s="381"/>
      <c r="L154" s="222"/>
      <c r="M154" s="222"/>
      <c r="N154" s="222"/>
      <c r="O154" s="222"/>
    </row>
    <row r="155" spans="1:15" ht="14.25" hidden="1" customHeight="1">
      <c r="A155" s="222" t="s">
        <v>885</v>
      </c>
      <c r="B155" s="229">
        <v>0.61</v>
      </c>
      <c r="C155" s="229">
        <v>0.73</v>
      </c>
      <c r="D155" s="229">
        <v>0.63</v>
      </c>
      <c r="E155" s="229">
        <v>0.63</v>
      </c>
      <c r="F155" s="229">
        <v>0.53</v>
      </c>
      <c r="G155" s="229">
        <v>0.5</v>
      </c>
      <c r="H155" s="229">
        <v>0.59</v>
      </c>
      <c r="I155" s="222"/>
      <c r="J155" s="222"/>
      <c r="K155" s="381"/>
      <c r="L155" s="222"/>
      <c r="M155" s="222"/>
      <c r="N155" s="222"/>
      <c r="O155" s="222"/>
    </row>
    <row r="156" spans="1:15" ht="14.25" hidden="1" customHeight="1">
      <c r="A156" s="222" t="s">
        <v>886</v>
      </c>
      <c r="B156" s="229">
        <v>0.56999999999999995</v>
      </c>
      <c r="C156" s="229">
        <v>0.52</v>
      </c>
      <c r="D156" s="229">
        <v>0.65</v>
      </c>
      <c r="E156" s="229">
        <v>0.56000000000000005</v>
      </c>
      <c r="F156" s="229">
        <v>0.57999999999999996</v>
      </c>
      <c r="G156" s="229">
        <v>0.56000000000000005</v>
      </c>
      <c r="H156" s="229">
        <v>0.6</v>
      </c>
      <c r="I156" s="222"/>
      <c r="J156" s="222"/>
      <c r="K156" s="381"/>
      <c r="L156" s="222"/>
      <c r="M156" s="222"/>
      <c r="N156" s="222"/>
      <c r="O156" s="222"/>
    </row>
    <row r="157" spans="1:15" ht="14.25" hidden="1" customHeight="1">
      <c r="A157" s="222" t="s">
        <v>887</v>
      </c>
      <c r="B157" s="229">
        <v>0.46</v>
      </c>
      <c r="C157" s="229">
        <v>0.48</v>
      </c>
      <c r="D157" s="229">
        <v>0.6</v>
      </c>
      <c r="E157" s="229">
        <v>0.38</v>
      </c>
      <c r="F157" s="229">
        <v>0.39</v>
      </c>
      <c r="G157" s="229">
        <v>0.46</v>
      </c>
      <c r="H157" s="229">
        <v>0.53</v>
      </c>
      <c r="I157" s="222" t="s">
        <v>549</v>
      </c>
      <c r="J157" s="222"/>
    </row>
    <row r="158" spans="1:15">
      <c r="A158" s="222"/>
    </row>
    <row r="159" spans="1:15">
      <c r="A159" s="222"/>
    </row>
    <row r="160" spans="1:15">
      <c r="A160" s="222"/>
    </row>
    <row r="161" spans="1:16">
      <c r="A161" s="222"/>
    </row>
    <row r="166" spans="1:16" ht="22.8">
      <c r="K166" s="874"/>
      <c r="L166" s="874"/>
      <c r="M166" s="874"/>
      <c r="N166" s="874"/>
      <c r="O166" s="874"/>
      <c r="P166" s="874"/>
    </row>
    <row r="167" spans="1:16" ht="22.8">
      <c r="K167" s="874"/>
      <c r="L167" s="874"/>
      <c r="M167" s="874"/>
      <c r="N167" s="874"/>
      <c r="O167" s="874"/>
      <c r="P167" s="874"/>
    </row>
    <row r="168" spans="1:16" ht="22.8">
      <c r="K168" s="874"/>
      <c r="L168" s="874"/>
      <c r="M168" s="874"/>
      <c r="N168" s="874"/>
      <c r="O168" s="874"/>
      <c r="P168" s="874"/>
    </row>
    <row r="169" spans="1:16" ht="22.8">
      <c r="K169" s="874"/>
      <c r="L169" s="874"/>
      <c r="M169" s="874"/>
      <c r="N169" s="874"/>
      <c r="O169" s="874"/>
      <c r="P169" s="874"/>
    </row>
    <row r="170" spans="1:16" ht="22.8">
      <c r="A170" s="242"/>
      <c r="K170" s="874"/>
      <c r="L170" s="874"/>
      <c r="M170" s="874"/>
      <c r="N170" s="874"/>
      <c r="O170" s="874"/>
      <c r="P170" s="874"/>
    </row>
    <row r="171" spans="1:16" ht="22.8">
      <c r="K171" s="874"/>
      <c r="L171" s="874"/>
      <c r="M171" s="874"/>
      <c r="N171" s="874"/>
      <c r="O171" s="874"/>
      <c r="P171" s="874"/>
    </row>
    <row r="172" spans="1:16" ht="22.8">
      <c r="K172" s="874"/>
      <c r="L172" s="874"/>
      <c r="M172" s="874"/>
      <c r="N172" s="874"/>
      <c r="O172" s="874"/>
      <c r="P172" s="874"/>
    </row>
    <row r="178" spans="1:10" hidden="1" outlineLevel="1"/>
    <row r="179" spans="1:10" ht="21" hidden="1" outlineLevel="1">
      <c r="A179" s="246" t="s">
        <v>849</v>
      </c>
    </row>
    <row r="180" spans="1:10" hidden="1" outlineLevel="1"/>
    <row r="181" spans="1:10" ht="28.2" hidden="1" outlineLevel="1">
      <c r="A181" s="154"/>
      <c r="B181" s="137" t="s">
        <v>738</v>
      </c>
      <c r="C181" s="137" t="s">
        <v>743</v>
      </c>
      <c r="D181" s="231" t="s">
        <v>1365</v>
      </c>
      <c r="E181" s="137" t="s">
        <v>744</v>
      </c>
      <c r="F181" s="137" t="s">
        <v>597</v>
      </c>
      <c r="G181" s="137" t="s">
        <v>464</v>
      </c>
      <c r="H181" s="137" t="s">
        <v>590</v>
      </c>
      <c r="I181" s="875" t="s">
        <v>972</v>
      </c>
    </row>
    <row r="182" spans="1:10" hidden="1" outlineLevel="1">
      <c r="A182" s="222" t="s">
        <v>901</v>
      </c>
      <c r="B182" s="229">
        <f>FL_dues_Dec_HIGH</f>
        <v>0.02</v>
      </c>
      <c r="C182" s="229">
        <f>SE_dues_Dec_HIGH</f>
        <v>0</v>
      </c>
      <c r="D182" s="229">
        <f>BOCA_dues_Dec_HIGH</f>
        <v>0.06</v>
      </c>
      <c r="E182" s="229">
        <f>SW_dues_Dec_HIGH</f>
        <v>0</v>
      </c>
      <c r="F182" s="229">
        <f>SWCIRA_dues_Dec_HIGH</f>
        <v>0.06</v>
      </c>
      <c r="G182" s="229">
        <f>NC_dues_Dec_HIGH</f>
        <v>0</v>
      </c>
      <c r="H182" s="229">
        <f>YB_dues_Dec_HIGH</f>
        <v>0</v>
      </c>
      <c r="I182" s="222"/>
      <c r="J182" s="222"/>
    </row>
    <row r="183" spans="1:10" hidden="1" outlineLevel="1">
      <c r="A183" s="222" t="s">
        <v>882</v>
      </c>
      <c r="B183" s="229">
        <v>0.06</v>
      </c>
      <c r="C183" s="229">
        <v>0.04</v>
      </c>
      <c r="D183" s="229">
        <v>0</v>
      </c>
      <c r="E183" s="229">
        <v>0</v>
      </c>
      <c r="F183" s="229">
        <v>0.16</v>
      </c>
      <c r="G183" s="229">
        <v>0.13</v>
      </c>
      <c r="H183" s="229">
        <v>0</v>
      </c>
      <c r="I183" s="222"/>
      <c r="J183" s="222"/>
    </row>
    <row r="184" spans="1:10" hidden="1" outlineLevel="1">
      <c r="A184" s="222" t="s">
        <v>883</v>
      </c>
      <c r="B184" s="229">
        <v>0.06</v>
      </c>
      <c r="C184" s="229">
        <v>0</v>
      </c>
      <c r="D184" s="229">
        <v>0.1</v>
      </c>
      <c r="E184" s="229">
        <v>0.12</v>
      </c>
      <c r="F184" s="229">
        <v>0.05</v>
      </c>
      <c r="G184" s="229">
        <v>0.04</v>
      </c>
      <c r="H184" s="229">
        <v>0.05</v>
      </c>
      <c r="I184" s="222"/>
      <c r="J184" s="222"/>
    </row>
    <row r="185" spans="1:10" hidden="1" outlineLevel="1">
      <c r="A185" s="222" t="s">
        <v>884</v>
      </c>
      <c r="B185" s="229">
        <v>0.06</v>
      </c>
      <c r="C185" s="229">
        <v>0</v>
      </c>
      <c r="D185" s="229">
        <v>0</v>
      </c>
      <c r="E185" s="229">
        <v>0.14000000000000001</v>
      </c>
      <c r="F185" s="229">
        <v>0.11</v>
      </c>
      <c r="G185" s="229">
        <v>0.08</v>
      </c>
      <c r="H185" s="229">
        <v>0.05</v>
      </c>
      <c r="I185" s="222"/>
      <c r="J185" s="222"/>
    </row>
    <row r="186" spans="1:10" hidden="1" outlineLevel="1">
      <c r="A186" s="222" t="s">
        <v>902</v>
      </c>
      <c r="B186" s="229">
        <f>FL_dues_Dec_LOW</f>
        <v>0</v>
      </c>
      <c r="C186" s="229">
        <f>SE_dues_Dec_LOW</f>
        <v>0</v>
      </c>
      <c r="D186" s="229">
        <f>BOCA_dues_Dec_LOW</f>
        <v>0</v>
      </c>
      <c r="E186" s="229">
        <f>SW_dues_Dec_LOW</f>
        <v>0</v>
      </c>
      <c r="F186" s="229">
        <f>SWCIRA_dues_Dec_LOW</f>
        <v>0</v>
      </c>
      <c r="G186" s="229">
        <f>NC_dues_Dec_LOW</f>
        <v>0</v>
      </c>
      <c r="H186" s="229">
        <f>YB_dues_Dec_LOW</f>
        <v>0</v>
      </c>
      <c r="I186" s="222"/>
      <c r="J186" s="222"/>
    </row>
    <row r="187" spans="1:10" hidden="1" outlineLevel="1">
      <c r="A187" s="222" t="s">
        <v>885</v>
      </c>
      <c r="B187" s="229">
        <v>0.05</v>
      </c>
      <c r="C187" s="229">
        <v>0</v>
      </c>
      <c r="D187" s="229">
        <v>0</v>
      </c>
      <c r="E187" s="229">
        <v>0</v>
      </c>
      <c r="F187" s="229">
        <v>0.21</v>
      </c>
      <c r="G187" s="229">
        <v>0.08</v>
      </c>
      <c r="H187" s="229">
        <v>0</v>
      </c>
      <c r="I187" s="222"/>
      <c r="J187" s="222"/>
    </row>
    <row r="188" spans="1:10" hidden="1" outlineLevel="1">
      <c r="A188" s="222" t="s">
        <v>886</v>
      </c>
      <c r="B188" s="229">
        <v>0.05</v>
      </c>
      <c r="C188" s="229">
        <v>0.04</v>
      </c>
      <c r="D188" s="229">
        <v>0</v>
      </c>
      <c r="E188" s="229">
        <v>0.08</v>
      </c>
      <c r="F188" s="229">
        <v>0.11</v>
      </c>
      <c r="G188" s="229">
        <v>0.04</v>
      </c>
      <c r="H188" s="229">
        <v>0.05</v>
      </c>
    </row>
    <row r="189" spans="1:10" hidden="1" outlineLevel="1">
      <c r="A189" s="222" t="s">
        <v>887</v>
      </c>
      <c r="B189" s="229">
        <v>0.05</v>
      </c>
      <c r="C189" s="229">
        <v>0</v>
      </c>
      <c r="D189" s="229">
        <v>0</v>
      </c>
      <c r="E189" s="229">
        <v>0.1</v>
      </c>
      <c r="F189" s="229">
        <v>0.11</v>
      </c>
      <c r="G189" s="229">
        <v>0.04</v>
      </c>
      <c r="H189" s="229">
        <v>0</v>
      </c>
    </row>
    <row r="190" spans="1:10" hidden="1" outlineLevel="1">
      <c r="A190" s="222"/>
    </row>
    <row r="191" spans="1:10" hidden="1" outlineLevel="1">
      <c r="A191" s="222"/>
    </row>
    <row r="192" spans="1:10" hidden="1" outlineLevel="1">
      <c r="A192" s="222"/>
    </row>
    <row r="193" spans="1:1" hidden="1" outlineLevel="1">
      <c r="A193" s="222"/>
    </row>
    <row r="194" spans="1:1" hidden="1" outlineLevel="1"/>
    <row r="195" spans="1:1" hidden="1" outlineLevel="1"/>
    <row r="196" spans="1:1" hidden="1" outlineLevel="1"/>
    <row r="197" spans="1:1" hidden="1" outlineLevel="1"/>
    <row r="198" spans="1:1" hidden="1" outlineLevel="1"/>
    <row r="199" spans="1:1" hidden="1" outlineLevel="1"/>
    <row r="200" spans="1:1" hidden="1" outlineLevel="1"/>
    <row r="201" spans="1:1" hidden="1" outlineLevel="1"/>
    <row r="202" spans="1:1" ht="20.399999999999999" hidden="1" outlineLevel="1">
      <c r="A202" s="242"/>
    </row>
    <row r="203" spans="1:1" hidden="1" outlineLevel="1"/>
    <row r="204" spans="1:1" hidden="1" outlineLevel="1"/>
    <row r="205" spans="1:1" hidden="1" outlineLevel="1"/>
    <row r="206" spans="1:1" hidden="1" outlineLevel="1"/>
    <row r="207" spans="1:1" hidden="1" outlineLevel="1"/>
    <row r="208" spans="1:1" ht="15.75" customHeight="1" collapsed="1"/>
    <row r="209" spans="1:9" ht="20.25" customHeight="1">
      <c r="A209" s="246" t="s">
        <v>1376</v>
      </c>
    </row>
    <row r="210" spans="1:9" ht="15.75" customHeight="1">
      <c r="A210" s="246"/>
      <c r="I210" s="120"/>
    </row>
    <row r="211" spans="1:9" ht="15.75" customHeight="1">
      <c r="A211" s="139" t="s">
        <v>459</v>
      </c>
      <c r="B211" s="140" t="s">
        <v>274</v>
      </c>
      <c r="C211" s="140" t="s">
        <v>419</v>
      </c>
      <c r="D211" s="140" t="s">
        <v>757</v>
      </c>
      <c r="E211" s="140" t="s">
        <v>271</v>
      </c>
      <c r="F211" s="140" t="s">
        <v>421</v>
      </c>
      <c r="G211" s="140" t="s">
        <v>272</v>
      </c>
      <c r="H211" s="140" t="s">
        <v>575</v>
      </c>
    </row>
    <row r="212" spans="1:9" ht="15.75" customHeight="1">
      <c r="A212" s="224"/>
      <c r="B212" s="140" t="s">
        <v>268</v>
      </c>
      <c r="C212" s="140" t="s">
        <v>295</v>
      </c>
      <c r="D212" s="140" t="s">
        <v>257</v>
      </c>
      <c r="E212" s="140" t="s">
        <v>296</v>
      </c>
      <c r="F212" s="140" t="s">
        <v>277</v>
      </c>
      <c r="G212" s="140" t="s">
        <v>278</v>
      </c>
      <c r="H212" s="225" t="s">
        <v>297</v>
      </c>
    </row>
    <row r="213" spans="1:9" ht="15.75" customHeight="1">
      <c r="A213" s="218" t="s">
        <v>755</v>
      </c>
      <c r="B213" s="146">
        <f>FL_ot_assmt</f>
        <v>2730</v>
      </c>
      <c r="C213" s="146">
        <f>SE_ot_assmt</f>
        <v>2873.85</v>
      </c>
      <c r="D213" s="146">
        <f>BOCA_ot_assmt</f>
        <v>3070</v>
      </c>
      <c r="E213" s="146">
        <f>SW_ot_assmt</f>
        <v>2450</v>
      </c>
      <c r="F213" s="146">
        <f>SWCIRA_ot_assmt</f>
        <v>1080</v>
      </c>
      <c r="G213" s="146">
        <f>NC_ot_assmt</f>
        <v>2300</v>
      </c>
      <c r="H213" s="146">
        <f>YB_ot_assmt</f>
        <v>2030</v>
      </c>
    </row>
    <row r="214" spans="1:9" hidden="1">
      <c r="A214" s="224" t="s">
        <v>756</v>
      </c>
      <c r="B214" s="227">
        <f>FL_cap_assmt_LOW</f>
        <v>0</v>
      </c>
      <c r="C214" s="227">
        <f>SE_cap_assmt_LOW</f>
        <v>0</v>
      </c>
      <c r="D214" s="227">
        <f>BOCA_cap_assmt_LOW</f>
        <v>0</v>
      </c>
      <c r="E214" s="227">
        <f>SW_cap_assmt_LOW</f>
        <v>0</v>
      </c>
      <c r="F214" s="227">
        <f>SWCIRA_cap_assmt_LOW</f>
        <v>0</v>
      </c>
      <c r="G214" s="227">
        <f>NC_cap_assmt_LOW</f>
        <v>0</v>
      </c>
      <c r="H214" s="227">
        <f>YB_cap_assmt_LOW</f>
        <v>0</v>
      </c>
    </row>
    <row r="215" spans="1:9" ht="20.399999999999999" hidden="1">
      <c r="A215" s="242"/>
    </row>
    <row r="216" spans="1:9">
      <c r="A216" s="224" t="s">
        <v>1377</v>
      </c>
      <c r="B216" s="1263">
        <f>FL_ot_assmt_perc</f>
        <v>0.54</v>
      </c>
      <c r="C216" s="1263">
        <f>SE_ot_assmt_perc</f>
        <v>0.56999999999999995</v>
      </c>
      <c r="D216" s="1263">
        <f>BOCA_ot_assmt_perc</f>
        <v>0.88</v>
      </c>
      <c r="E216" s="1263">
        <f>SW_ot_assmt_perc</f>
        <v>0.38</v>
      </c>
      <c r="F216" s="1263">
        <f>SWCIRA_ot_assmt_perc</f>
        <v>0.44</v>
      </c>
      <c r="G216" s="1263">
        <f>NC_ot_assmt_perc</f>
        <v>0.43</v>
      </c>
      <c r="H216" s="1263">
        <f>YB_ot_assmt_perc</f>
        <v>0.5</v>
      </c>
    </row>
    <row r="217" spans="1:9" ht="20.399999999999999">
      <c r="A217" s="242"/>
    </row>
    <row r="218" spans="1:9" ht="20.25" customHeight="1">
      <c r="A218" s="246" t="s">
        <v>761</v>
      </c>
    </row>
    <row r="219" spans="1:9" ht="15.75" customHeight="1">
      <c r="A219" s="246"/>
      <c r="I219" s="120"/>
    </row>
    <row r="220" spans="1:9" ht="15.75" customHeight="1">
      <c r="A220" s="139" t="s">
        <v>459</v>
      </c>
      <c r="B220" s="140" t="s">
        <v>274</v>
      </c>
      <c r="C220" s="140" t="s">
        <v>419</v>
      </c>
      <c r="D220" s="140" t="s">
        <v>757</v>
      </c>
      <c r="E220" s="140" t="s">
        <v>271</v>
      </c>
      <c r="F220" s="140" t="s">
        <v>421</v>
      </c>
      <c r="G220" s="140" t="s">
        <v>272</v>
      </c>
      <c r="H220" s="140" t="s">
        <v>575</v>
      </c>
    </row>
    <row r="221" spans="1:9" ht="15.75" customHeight="1">
      <c r="A221" s="224"/>
      <c r="B221" s="140" t="s">
        <v>268</v>
      </c>
      <c r="C221" s="140" t="s">
        <v>295</v>
      </c>
      <c r="D221" s="140" t="s">
        <v>257</v>
      </c>
      <c r="E221" s="140" t="s">
        <v>296</v>
      </c>
      <c r="F221" s="140" t="s">
        <v>277</v>
      </c>
      <c r="G221" s="140" t="s">
        <v>278</v>
      </c>
      <c r="H221" s="225" t="s">
        <v>297</v>
      </c>
    </row>
    <row r="222" spans="1:9" ht="15.75" customHeight="1">
      <c r="A222" s="218" t="s">
        <v>755</v>
      </c>
      <c r="B222" s="146">
        <f>FL_cap_assmt_HIGH</f>
        <v>2300</v>
      </c>
      <c r="C222" s="146">
        <f>SE_cap_assmt_HIGH</f>
        <v>1900</v>
      </c>
      <c r="D222" s="146">
        <f>BOCA_cap_assmt_HIGH</f>
        <v>2100</v>
      </c>
      <c r="E222" s="146">
        <f>SW_cap_assmt_HIGH</f>
        <v>2500</v>
      </c>
      <c r="F222" s="146">
        <f>SWCIRA_cap_assmt_HIGH</f>
        <v>1100</v>
      </c>
      <c r="G222" s="146">
        <f>NC_cap_assmt_HIGH</f>
        <v>2300</v>
      </c>
      <c r="H222" s="146">
        <f>YB_cap_assmt_HIGH</f>
        <v>1500</v>
      </c>
    </row>
    <row r="223" spans="1:9" hidden="1">
      <c r="A223" s="224" t="s">
        <v>756</v>
      </c>
      <c r="B223" s="227">
        <f>FL_cap_assmt_LOW</f>
        <v>0</v>
      </c>
      <c r="C223" s="227">
        <f>SE_cap_assmt_LOW</f>
        <v>0</v>
      </c>
      <c r="D223" s="227">
        <f>BOCA_cap_assmt_LOW</f>
        <v>0</v>
      </c>
      <c r="E223" s="227">
        <f>SW_cap_assmt_LOW</f>
        <v>0</v>
      </c>
      <c r="F223" s="227">
        <f>SWCIRA_cap_assmt_LOW</f>
        <v>0</v>
      </c>
      <c r="G223" s="227">
        <f>NC_cap_assmt_LOW</f>
        <v>0</v>
      </c>
      <c r="H223" s="227">
        <f>YB_cap_assmt_LOW</f>
        <v>0</v>
      </c>
    </row>
    <row r="224" spans="1:9" ht="20.399999999999999" hidden="1">
      <c r="A224" s="242"/>
    </row>
    <row r="225" spans="1:8">
      <c r="A225" s="224" t="s">
        <v>1377</v>
      </c>
      <c r="B225" s="1263">
        <f>FL_cap_assmt</f>
        <v>0.71</v>
      </c>
      <c r="C225" s="1263">
        <f>SE_cap_assmt</f>
        <v>0.56999999999999995</v>
      </c>
      <c r="D225" s="1263">
        <f>BOCA_cap_assmt</f>
        <v>0.65</v>
      </c>
      <c r="E225" s="1263">
        <f>SW_cap_assmt</f>
        <v>0.88</v>
      </c>
      <c r="F225" s="1263">
        <f>SWCIRA_cap_assmt</f>
        <v>0.78</v>
      </c>
      <c r="G225" s="1263">
        <f>NC_cap_assmt</f>
        <v>0.7</v>
      </c>
      <c r="H225" s="1263">
        <f>YB_cap_assmt</f>
        <v>0.75</v>
      </c>
    </row>
    <row r="226" spans="1:8" ht="20.399999999999999">
      <c r="A226" s="242"/>
    </row>
    <row r="227" spans="1:8" ht="21">
      <c r="A227" s="246" t="s">
        <v>762</v>
      </c>
    </row>
    <row r="228" spans="1:8">
      <c r="A228" s="223"/>
      <c r="B228" s="223"/>
      <c r="C228" s="223"/>
      <c r="D228" s="223"/>
      <c r="E228" s="223"/>
      <c r="F228" s="223"/>
      <c r="G228" s="223"/>
      <c r="H228" s="223"/>
    </row>
    <row r="229" spans="1:8" ht="27.6">
      <c r="A229" s="150"/>
      <c r="B229" s="231" t="s">
        <v>747</v>
      </c>
      <c r="C229" s="231" t="s">
        <v>746</v>
      </c>
      <c r="D229" s="231" t="s">
        <v>1867</v>
      </c>
      <c r="E229" s="231" t="s">
        <v>745</v>
      </c>
      <c r="F229" s="231" t="s">
        <v>595</v>
      </c>
      <c r="G229" s="231" t="s">
        <v>596</v>
      </c>
      <c r="H229" s="231" t="s">
        <v>748</v>
      </c>
    </row>
    <row r="230" spans="1:8">
      <c r="A230" s="669">
        <v>2022</v>
      </c>
      <c r="B230" s="771">
        <f>ROUND(FL_cap_assmt_HIGH,-2)</f>
        <v>2300</v>
      </c>
      <c r="C230" s="771">
        <f>ROUND(SE_cap_assmt_HIGH,-2)</f>
        <v>1900</v>
      </c>
      <c r="D230" s="771">
        <f>ROUND(BOCA_cap_assmt_HIGH,-2)</f>
        <v>2100</v>
      </c>
      <c r="E230" s="771">
        <f>ROUND(SW_cap_assmt_HIGH,-2)</f>
        <v>2500</v>
      </c>
      <c r="F230" s="771">
        <f>ROUND(SWCIRA_cap_assmt_HIGH,-2)</f>
        <v>1100</v>
      </c>
      <c r="G230" s="771">
        <f>ROUND(NC_cap_assmt_HIGH,-2)</f>
        <v>2300</v>
      </c>
      <c r="H230" s="771">
        <f>ROUND(YB_cap_assmt_HIGH,-2)</f>
        <v>1500</v>
      </c>
    </row>
    <row r="231" spans="1:8">
      <c r="A231" s="669">
        <v>2021</v>
      </c>
      <c r="B231" s="771">
        <v>2100</v>
      </c>
      <c r="C231" s="771">
        <v>2200</v>
      </c>
      <c r="D231" s="771">
        <v>1900</v>
      </c>
      <c r="E231" s="771">
        <v>2300</v>
      </c>
      <c r="F231" s="771">
        <v>1100</v>
      </c>
      <c r="G231" s="771">
        <v>1900</v>
      </c>
      <c r="H231" s="771">
        <v>1300</v>
      </c>
    </row>
    <row r="232" spans="1:8">
      <c r="A232" s="669">
        <v>2020</v>
      </c>
      <c r="B232" s="771">
        <v>2000</v>
      </c>
      <c r="C232" s="771">
        <v>2100</v>
      </c>
      <c r="D232" s="771">
        <v>1800</v>
      </c>
      <c r="E232" s="771">
        <v>2300</v>
      </c>
      <c r="F232" s="771">
        <v>1100</v>
      </c>
      <c r="G232" s="771">
        <v>1700</v>
      </c>
      <c r="H232" s="771">
        <v>1200</v>
      </c>
    </row>
    <row r="233" spans="1:8">
      <c r="A233" s="669">
        <v>2019</v>
      </c>
      <c r="B233" s="771">
        <v>1900</v>
      </c>
      <c r="C233" s="771">
        <v>1900</v>
      </c>
      <c r="D233" s="771">
        <v>1600</v>
      </c>
      <c r="E233" s="771">
        <v>2200</v>
      </c>
      <c r="F233" s="771">
        <v>900</v>
      </c>
      <c r="G233" s="771">
        <v>1800</v>
      </c>
      <c r="H233" s="771">
        <v>800</v>
      </c>
    </row>
    <row r="234" spans="1:8">
      <c r="A234" s="669">
        <v>2018</v>
      </c>
      <c r="B234" s="771">
        <v>1700</v>
      </c>
      <c r="C234" s="771">
        <v>1600</v>
      </c>
      <c r="D234" s="771">
        <v>1800</v>
      </c>
      <c r="E234" s="771">
        <v>1900</v>
      </c>
      <c r="F234" s="771">
        <v>900</v>
      </c>
      <c r="G234" s="771">
        <v>1600</v>
      </c>
      <c r="H234" s="771">
        <v>900</v>
      </c>
    </row>
    <row r="235" spans="1:8">
      <c r="A235" s="669">
        <v>2017</v>
      </c>
      <c r="B235" s="771">
        <v>1600</v>
      </c>
      <c r="C235" s="771">
        <v>1700</v>
      </c>
      <c r="D235" s="771">
        <v>1400</v>
      </c>
      <c r="E235" s="771">
        <v>1700</v>
      </c>
      <c r="F235" s="771">
        <v>900</v>
      </c>
      <c r="G235" s="771">
        <v>1400</v>
      </c>
      <c r="H235" s="771">
        <v>700</v>
      </c>
    </row>
    <row r="236" spans="1:8">
      <c r="A236" s="669">
        <v>2016</v>
      </c>
      <c r="B236" s="771">
        <v>1600</v>
      </c>
      <c r="C236" s="771">
        <v>1800</v>
      </c>
      <c r="D236" s="771">
        <v>1700</v>
      </c>
      <c r="E236" s="771">
        <v>1700</v>
      </c>
      <c r="F236" s="771">
        <v>900</v>
      </c>
      <c r="G236" s="771">
        <v>1300</v>
      </c>
      <c r="H236" s="771">
        <v>700</v>
      </c>
    </row>
    <row r="237" spans="1:8">
      <c r="A237" s="669">
        <v>2015</v>
      </c>
      <c r="B237" s="771">
        <v>1600</v>
      </c>
      <c r="C237" s="771">
        <v>1800</v>
      </c>
      <c r="D237" s="771">
        <v>1600</v>
      </c>
      <c r="E237" s="771">
        <v>1700</v>
      </c>
      <c r="F237" s="771">
        <v>700</v>
      </c>
      <c r="G237" s="771">
        <v>1100</v>
      </c>
      <c r="H237" s="771">
        <v>600</v>
      </c>
    </row>
    <row r="238" spans="1:8">
      <c r="A238" s="669" t="s">
        <v>899</v>
      </c>
      <c r="B238" s="771">
        <v>1500</v>
      </c>
      <c r="C238" s="771">
        <v>1800</v>
      </c>
      <c r="D238" s="771">
        <v>1600</v>
      </c>
      <c r="E238" s="771">
        <v>1400</v>
      </c>
      <c r="F238" s="771">
        <v>700</v>
      </c>
      <c r="G238" s="771">
        <v>1200</v>
      </c>
      <c r="H238" s="771">
        <v>700</v>
      </c>
    </row>
    <row r="239" spans="1:8">
      <c r="A239" s="669" t="s">
        <v>671</v>
      </c>
      <c r="B239" s="771">
        <v>1300</v>
      </c>
      <c r="C239" s="771">
        <v>1500</v>
      </c>
      <c r="D239" s="771">
        <v>1600</v>
      </c>
      <c r="E239" s="771">
        <v>1200</v>
      </c>
      <c r="F239" s="771">
        <v>700</v>
      </c>
      <c r="G239" s="771">
        <v>1100</v>
      </c>
      <c r="H239" s="771">
        <v>600</v>
      </c>
    </row>
    <row r="240" spans="1:8">
      <c r="A240" s="669" t="s">
        <v>608</v>
      </c>
      <c r="B240" s="771">
        <v>1300</v>
      </c>
      <c r="C240" s="771">
        <v>1600</v>
      </c>
      <c r="D240" s="771">
        <v>1500</v>
      </c>
      <c r="E240" s="771">
        <v>1300</v>
      </c>
      <c r="F240" s="771">
        <v>700</v>
      </c>
      <c r="G240" s="771">
        <v>1000</v>
      </c>
      <c r="H240" s="771">
        <v>700</v>
      </c>
    </row>
    <row r="241" spans="1:9" ht="15.6">
      <c r="A241" s="152">
        <v>2011</v>
      </c>
      <c r="B241" s="771">
        <v>1200</v>
      </c>
      <c r="C241" s="771">
        <v>1500</v>
      </c>
      <c r="D241" s="771">
        <v>1100</v>
      </c>
      <c r="E241" s="771">
        <v>1100</v>
      </c>
      <c r="F241" s="771">
        <v>700</v>
      </c>
      <c r="G241" s="771">
        <v>1000</v>
      </c>
      <c r="H241" s="771">
        <v>900</v>
      </c>
      <c r="I241" s="745"/>
    </row>
    <row r="242" spans="1:9">
      <c r="A242" s="152" t="s">
        <v>299</v>
      </c>
      <c r="B242" s="771">
        <v>1100</v>
      </c>
      <c r="C242" s="771">
        <v>1500</v>
      </c>
      <c r="D242" s="771">
        <v>1300</v>
      </c>
      <c r="E242" s="771">
        <v>1000</v>
      </c>
      <c r="F242" s="771">
        <v>700</v>
      </c>
      <c r="G242" s="771">
        <v>1000</v>
      </c>
      <c r="H242" s="771">
        <v>900</v>
      </c>
    </row>
    <row r="243" spans="1:9">
      <c r="A243" s="152">
        <v>2009</v>
      </c>
      <c r="B243" s="771">
        <v>1100</v>
      </c>
      <c r="C243" s="771">
        <v>1400</v>
      </c>
      <c r="D243" s="771">
        <v>1500</v>
      </c>
      <c r="E243" s="771">
        <v>1000</v>
      </c>
      <c r="F243" s="771">
        <v>600</v>
      </c>
      <c r="G243" s="771">
        <v>1000</v>
      </c>
      <c r="H243" s="771">
        <v>800</v>
      </c>
    </row>
    <row r="244" spans="1:9">
      <c r="A244" s="152">
        <v>2008</v>
      </c>
      <c r="B244" s="771">
        <v>1100</v>
      </c>
      <c r="C244" s="771">
        <v>1500</v>
      </c>
      <c r="D244" s="771">
        <v>1300</v>
      </c>
      <c r="E244" s="771">
        <v>800</v>
      </c>
      <c r="F244" s="771">
        <v>700</v>
      </c>
      <c r="G244" s="771">
        <v>1000</v>
      </c>
      <c r="H244" s="771">
        <v>700</v>
      </c>
    </row>
    <row r="245" spans="1:9">
      <c r="A245" s="152">
        <v>2007</v>
      </c>
      <c r="B245" s="771">
        <v>1200</v>
      </c>
      <c r="C245" s="771">
        <v>1600</v>
      </c>
      <c r="D245" s="771">
        <v>1500</v>
      </c>
      <c r="E245" s="771">
        <v>700</v>
      </c>
      <c r="F245" s="771">
        <v>600</v>
      </c>
      <c r="G245" s="771">
        <v>1100</v>
      </c>
      <c r="H245" s="771">
        <v>1100</v>
      </c>
    </row>
    <row r="262" spans="1:8" ht="20.399999999999999">
      <c r="A262" s="242"/>
    </row>
    <row r="263" spans="1:8" ht="21">
      <c r="A263" s="240"/>
    </row>
    <row r="266" spans="1:8" ht="15.75" customHeight="1"/>
    <row r="268" spans="1:8" ht="15.75" customHeight="1"/>
    <row r="269" spans="1:8" ht="20.25" customHeight="1">
      <c r="A269" s="246" t="s">
        <v>763</v>
      </c>
    </row>
    <row r="270" spans="1:8" ht="15.75" customHeight="1">
      <c r="A270" s="140"/>
    </row>
    <row r="271" spans="1:8" ht="15.75" customHeight="1">
      <c r="A271" s="139" t="s">
        <v>459</v>
      </c>
      <c r="B271" s="140" t="s">
        <v>274</v>
      </c>
      <c r="C271" s="140" t="s">
        <v>419</v>
      </c>
      <c r="D271" s="140" t="s">
        <v>757</v>
      </c>
      <c r="E271" s="140" t="s">
        <v>271</v>
      </c>
      <c r="F271" s="140" t="s">
        <v>421</v>
      </c>
      <c r="G271" s="140" t="s">
        <v>272</v>
      </c>
      <c r="H271" s="140" t="s">
        <v>575</v>
      </c>
    </row>
    <row r="272" spans="1:8" ht="15.75" customHeight="1">
      <c r="A272" s="140"/>
      <c r="B272" s="140" t="s">
        <v>268</v>
      </c>
      <c r="C272" s="140" t="s">
        <v>295</v>
      </c>
      <c r="D272" s="140" t="s">
        <v>257</v>
      </c>
      <c r="E272" s="140" t="s">
        <v>296</v>
      </c>
      <c r="F272" s="140" t="s">
        <v>277</v>
      </c>
      <c r="G272" s="140" t="s">
        <v>278</v>
      </c>
      <c r="H272" s="225" t="s">
        <v>297</v>
      </c>
    </row>
    <row r="273" spans="1:14" ht="15.75" customHeight="1">
      <c r="A273" s="382" t="s">
        <v>2142</v>
      </c>
      <c r="B273" s="146">
        <f>FL_tot_init_HIGH</f>
        <v>129000</v>
      </c>
      <c r="C273" s="146">
        <f>SE_tot_init_HIGH</f>
        <v>176500</v>
      </c>
      <c r="D273" s="146">
        <f>BOCA_tot_init_HIGH</f>
        <v>121700</v>
      </c>
      <c r="E273" s="146">
        <f>SW_tot_init_HIGH</f>
        <v>111400</v>
      </c>
      <c r="F273" s="146">
        <f>SWCIRA_tot_init_HIGH</f>
        <v>5500</v>
      </c>
      <c r="G273" s="146">
        <f>NC_tot_init_HIGH</f>
        <v>102200</v>
      </c>
      <c r="H273" s="146">
        <f>YB_tot_init_HIGH</f>
        <v>84700</v>
      </c>
    </row>
    <row r="274" spans="1:14" ht="15.75" customHeight="1">
      <c r="A274" s="383" t="s">
        <v>1844</v>
      </c>
      <c r="B274" s="227">
        <v>106200</v>
      </c>
      <c r="C274" s="227">
        <v>135400</v>
      </c>
      <c r="D274" s="227">
        <v>103200</v>
      </c>
      <c r="E274" s="227">
        <v>90400</v>
      </c>
      <c r="F274" s="227">
        <v>4900</v>
      </c>
      <c r="G274" s="227">
        <v>92200</v>
      </c>
      <c r="H274" s="227">
        <v>54900</v>
      </c>
    </row>
    <row r="275" spans="1:14">
      <c r="A275" s="218" t="s">
        <v>301</v>
      </c>
      <c r="B275" s="180">
        <f t="shared" ref="B275:H275" si="3">+B273-B274</f>
        <v>22800</v>
      </c>
      <c r="C275" s="180">
        <f t="shared" si="3"/>
        <v>41100</v>
      </c>
      <c r="D275" s="180">
        <f t="shared" si="3"/>
        <v>18500</v>
      </c>
      <c r="E275" s="180">
        <f t="shared" si="3"/>
        <v>21000</v>
      </c>
      <c r="F275" s="180">
        <f t="shared" si="3"/>
        <v>600</v>
      </c>
      <c r="G275" s="180">
        <f t="shared" si="3"/>
        <v>10000</v>
      </c>
      <c r="H275" s="180">
        <f t="shared" si="3"/>
        <v>29800</v>
      </c>
    </row>
    <row r="276" spans="1:14">
      <c r="A276" s="224" t="s">
        <v>732</v>
      </c>
      <c r="B276" s="312">
        <f t="shared" ref="B276:H276" si="4">+B275/B274</f>
        <v>0.21468926553672316</v>
      </c>
      <c r="C276" s="312">
        <f t="shared" si="4"/>
        <v>0.30354505169867063</v>
      </c>
      <c r="D276" s="312">
        <f t="shared" si="4"/>
        <v>0.17926356589147288</v>
      </c>
      <c r="E276" s="313">
        <f t="shared" si="4"/>
        <v>0.23230088495575221</v>
      </c>
      <c r="F276" s="313">
        <f t="shared" si="4"/>
        <v>0.12244897959183673</v>
      </c>
      <c r="G276" s="312">
        <f t="shared" si="4"/>
        <v>0.10845986984815618</v>
      </c>
      <c r="H276" s="312">
        <f t="shared" si="4"/>
        <v>0.54280510018214934</v>
      </c>
    </row>
    <row r="277" spans="1:14">
      <c r="A277" s="224"/>
      <c r="B277" s="226"/>
      <c r="C277" s="226"/>
      <c r="D277" s="226"/>
      <c r="E277" s="226"/>
      <c r="F277" s="226"/>
      <c r="G277" s="226"/>
      <c r="H277" s="226"/>
      <c r="L277" s="120"/>
      <c r="M277" s="120"/>
      <c r="N277" s="120"/>
    </row>
    <row r="278" spans="1:14" ht="27.6">
      <c r="B278" s="231" t="s">
        <v>573</v>
      </c>
      <c r="C278" s="231" t="s">
        <v>609</v>
      </c>
      <c r="D278" s="231" t="s">
        <v>1868</v>
      </c>
      <c r="E278" s="231" t="s">
        <v>610</v>
      </c>
      <c r="F278" s="231" t="s">
        <v>749</v>
      </c>
      <c r="G278" s="231" t="s">
        <v>572</v>
      </c>
      <c r="H278" s="231" t="s">
        <v>590</v>
      </c>
      <c r="K278" s="231" t="s">
        <v>573</v>
      </c>
      <c r="L278" s="120"/>
      <c r="M278" s="120"/>
      <c r="N278" s="120"/>
    </row>
    <row r="279" spans="1:14">
      <c r="A279" s="152">
        <v>2023</v>
      </c>
      <c r="B279" s="153">
        <f>FL_tot_init_HIGH</f>
        <v>129000</v>
      </c>
      <c r="C279" s="153">
        <f>SE_tot_init_HIGH</f>
        <v>176500</v>
      </c>
      <c r="D279" s="153">
        <f>BOCA_tot_init_HIGH</f>
        <v>121700</v>
      </c>
      <c r="E279" s="153">
        <f>SW_tot_init_HIGH</f>
        <v>111400</v>
      </c>
      <c r="F279" s="153">
        <f>SWCIRA_tot_init_HIGH</f>
        <v>5500</v>
      </c>
      <c r="G279" s="153">
        <f>NC_tot_init_HIGH</f>
        <v>102200</v>
      </c>
      <c r="H279" s="153">
        <f>YB_tot_init_HIGH</f>
        <v>84700</v>
      </c>
      <c r="L279" s="120"/>
      <c r="M279" s="120"/>
      <c r="N279" s="120"/>
    </row>
    <row r="280" spans="1:14">
      <c r="A280" s="152">
        <v>2022</v>
      </c>
      <c r="B280" s="153">
        <v>106200</v>
      </c>
      <c r="C280" s="153">
        <v>135400</v>
      </c>
      <c r="D280" s="153">
        <v>103200</v>
      </c>
      <c r="E280" s="153">
        <v>90400</v>
      </c>
      <c r="F280" s="153">
        <v>4900</v>
      </c>
      <c r="G280" s="153">
        <v>92200</v>
      </c>
      <c r="H280" s="153">
        <v>54900</v>
      </c>
      <c r="L280" s="120"/>
      <c r="M280" s="120"/>
      <c r="N280" s="120"/>
    </row>
    <row r="281" spans="1:14">
      <c r="A281" s="152">
        <v>2021</v>
      </c>
      <c r="B281" s="153">
        <v>90300</v>
      </c>
      <c r="C281" s="153">
        <v>110200</v>
      </c>
      <c r="D281" s="153">
        <v>85900</v>
      </c>
      <c r="E281" s="153">
        <v>83200</v>
      </c>
      <c r="F281" s="153">
        <v>4200</v>
      </c>
      <c r="G281" s="153">
        <v>77700</v>
      </c>
      <c r="H281" s="153">
        <v>40700</v>
      </c>
      <c r="L281" s="120"/>
      <c r="M281" s="120"/>
      <c r="N281" s="120"/>
    </row>
    <row r="282" spans="1:14">
      <c r="A282" s="152">
        <v>2020</v>
      </c>
      <c r="B282" s="153">
        <v>85900</v>
      </c>
      <c r="C282" s="153">
        <v>107100</v>
      </c>
      <c r="D282" s="153">
        <v>83700</v>
      </c>
      <c r="E282" s="153">
        <v>74200</v>
      </c>
      <c r="F282" s="153">
        <v>3700</v>
      </c>
      <c r="G282" s="153">
        <v>76800</v>
      </c>
      <c r="H282" s="153">
        <v>37900</v>
      </c>
      <c r="L282" s="120"/>
      <c r="M282" s="120"/>
      <c r="N282" s="120"/>
    </row>
    <row r="283" spans="1:14">
      <c r="A283" s="152">
        <v>2019</v>
      </c>
      <c r="B283" s="153">
        <v>81000</v>
      </c>
      <c r="C283" s="153">
        <v>104700</v>
      </c>
      <c r="D283" s="153">
        <v>79600</v>
      </c>
      <c r="E283" s="153">
        <v>70000</v>
      </c>
      <c r="F283" s="153">
        <v>3700</v>
      </c>
      <c r="G283" s="153">
        <v>67900</v>
      </c>
      <c r="H283" s="153">
        <v>31300</v>
      </c>
      <c r="J283" s="152">
        <f>A297</f>
        <v>2005</v>
      </c>
      <c r="K283" s="153">
        <f>B297</f>
        <v>64300</v>
      </c>
      <c r="L283" s="120"/>
      <c r="M283" s="120"/>
      <c r="N283" s="120"/>
    </row>
    <row r="284" spans="1:14">
      <c r="A284" s="152">
        <v>2018</v>
      </c>
      <c r="B284" s="153">
        <v>77600</v>
      </c>
      <c r="C284" s="153">
        <v>101200</v>
      </c>
      <c r="D284" s="153">
        <v>76600</v>
      </c>
      <c r="E284" s="153">
        <v>68400</v>
      </c>
      <c r="F284" s="153">
        <v>3300</v>
      </c>
      <c r="G284" s="153">
        <v>63600</v>
      </c>
      <c r="H284" s="153">
        <v>29100</v>
      </c>
      <c r="J284" s="152">
        <f>A292</f>
        <v>2010</v>
      </c>
      <c r="K284" s="153">
        <f>B292</f>
        <v>72500</v>
      </c>
      <c r="L284" s="120"/>
      <c r="M284" s="120"/>
      <c r="N284" s="120"/>
    </row>
    <row r="285" spans="1:14">
      <c r="A285" s="152">
        <v>2017</v>
      </c>
      <c r="B285" s="153">
        <v>77500</v>
      </c>
      <c r="C285" s="153">
        <v>99500</v>
      </c>
      <c r="D285" s="153">
        <v>75400</v>
      </c>
      <c r="E285" s="153">
        <v>66100</v>
      </c>
      <c r="F285" s="153">
        <v>3100</v>
      </c>
      <c r="G285" s="153">
        <v>67200</v>
      </c>
      <c r="H285" s="153">
        <v>29000</v>
      </c>
      <c r="J285" s="152">
        <f>A287</f>
        <v>2015</v>
      </c>
      <c r="K285" s="153">
        <f>B287</f>
        <v>69600</v>
      </c>
      <c r="L285" s="120"/>
      <c r="M285" s="120"/>
      <c r="N285" s="120"/>
    </row>
    <row r="286" spans="1:14">
      <c r="A286" s="152">
        <v>2016</v>
      </c>
      <c r="B286" s="153">
        <v>73300</v>
      </c>
      <c r="C286" s="153">
        <v>98500</v>
      </c>
      <c r="D286" s="153">
        <v>70300</v>
      </c>
      <c r="E286" s="153">
        <v>64000</v>
      </c>
      <c r="F286" s="153">
        <v>3100</v>
      </c>
      <c r="G286" s="153">
        <v>61000</v>
      </c>
      <c r="H286" s="153">
        <v>25800</v>
      </c>
      <c r="J286" s="152">
        <f>A286</f>
        <v>2016</v>
      </c>
      <c r="K286" s="153">
        <f>B286</f>
        <v>73300</v>
      </c>
      <c r="L286" s="120"/>
      <c r="M286" s="120"/>
      <c r="N286" s="120"/>
    </row>
    <row r="287" spans="1:14">
      <c r="A287" s="152">
        <v>2015</v>
      </c>
      <c r="B287" s="153">
        <v>69600</v>
      </c>
      <c r="C287" s="153">
        <v>90800</v>
      </c>
      <c r="D287" s="153">
        <v>66600</v>
      </c>
      <c r="E287" s="153">
        <v>59600</v>
      </c>
      <c r="F287" s="153">
        <v>2900</v>
      </c>
      <c r="G287" s="153">
        <v>61000</v>
      </c>
      <c r="H287" s="153">
        <v>23600</v>
      </c>
      <c r="J287" s="152">
        <f>A285</f>
        <v>2017</v>
      </c>
      <c r="K287" s="153">
        <f>B285</f>
        <v>77500</v>
      </c>
      <c r="L287" s="120"/>
      <c r="M287" s="120"/>
      <c r="N287" s="120"/>
    </row>
    <row r="288" spans="1:14">
      <c r="A288" s="152">
        <v>2014</v>
      </c>
      <c r="B288" s="153">
        <v>65800</v>
      </c>
      <c r="C288" s="153">
        <v>87600</v>
      </c>
      <c r="D288" s="153">
        <v>58500</v>
      </c>
      <c r="E288" s="153">
        <v>56200</v>
      </c>
      <c r="F288" s="153">
        <v>2700</v>
      </c>
      <c r="G288" s="153">
        <v>59500</v>
      </c>
      <c r="H288" s="153">
        <v>20300</v>
      </c>
      <c r="J288" s="152">
        <f>A284</f>
        <v>2018</v>
      </c>
      <c r="K288" s="153">
        <f>B284</f>
        <v>77600</v>
      </c>
      <c r="L288" s="779"/>
      <c r="M288" s="120"/>
      <c r="N288" s="120"/>
    </row>
    <row r="289" spans="1:14" ht="14.25" customHeight="1">
      <c r="A289" s="152">
        <v>2013</v>
      </c>
      <c r="B289" s="153">
        <v>64600</v>
      </c>
      <c r="C289" s="153">
        <v>83700</v>
      </c>
      <c r="D289" s="153">
        <v>58000</v>
      </c>
      <c r="E289" s="153">
        <v>54900</v>
      </c>
      <c r="F289" s="153">
        <v>2900</v>
      </c>
      <c r="G289" s="153">
        <v>59700</v>
      </c>
      <c r="H289" s="153">
        <v>18700</v>
      </c>
      <c r="J289" s="152">
        <f>A283</f>
        <v>2019</v>
      </c>
      <c r="K289" s="153">
        <f>B283</f>
        <v>81000</v>
      </c>
      <c r="L289" s="120"/>
      <c r="M289" s="120"/>
      <c r="N289" s="120"/>
    </row>
    <row r="290" spans="1:14" ht="15.6">
      <c r="A290" s="152">
        <v>2012</v>
      </c>
      <c r="B290" s="153">
        <v>65000</v>
      </c>
      <c r="C290" s="153">
        <v>82300</v>
      </c>
      <c r="D290" s="153">
        <v>57400</v>
      </c>
      <c r="E290" s="153">
        <v>60100</v>
      </c>
      <c r="F290" s="153">
        <v>2700</v>
      </c>
      <c r="G290" s="153">
        <v>58800</v>
      </c>
      <c r="H290" s="755">
        <v>19800</v>
      </c>
      <c r="I290" s="745" t="s">
        <v>847</v>
      </c>
      <c r="J290" s="152">
        <f>A282</f>
        <v>2020</v>
      </c>
      <c r="K290" s="153">
        <f>B282</f>
        <v>85900</v>
      </c>
      <c r="L290" s="120"/>
      <c r="M290" s="120"/>
    </row>
    <row r="291" spans="1:14" ht="15.6">
      <c r="A291" s="152">
        <v>2011</v>
      </c>
      <c r="B291" s="153">
        <v>67300</v>
      </c>
      <c r="C291" s="153">
        <v>84500</v>
      </c>
      <c r="D291" s="153">
        <v>58800</v>
      </c>
      <c r="E291" s="153">
        <v>62700</v>
      </c>
      <c r="F291" s="153">
        <v>2600</v>
      </c>
      <c r="G291" s="153">
        <v>62700</v>
      </c>
      <c r="H291" s="755">
        <v>20000</v>
      </c>
      <c r="I291" s="745" t="s">
        <v>847</v>
      </c>
      <c r="J291" s="152">
        <f>A281</f>
        <v>2021</v>
      </c>
      <c r="K291" s="153">
        <f>B281</f>
        <v>90300</v>
      </c>
      <c r="L291" s="120"/>
      <c r="M291" s="120"/>
    </row>
    <row r="292" spans="1:14">
      <c r="A292" s="152">
        <v>2010</v>
      </c>
      <c r="B292" s="153">
        <v>72500</v>
      </c>
      <c r="C292" s="153">
        <v>89800</v>
      </c>
      <c r="D292" s="153">
        <v>67400</v>
      </c>
      <c r="E292" s="153">
        <v>58700</v>
      </c>
      <c r="F292" s="153">
        <v>2400</v>
      </c>
      <c r="G292" s="153">
        <v>68700</v>
      </c>
      <c r="H292" s="153">
        <v>29500</v>
      </c>
      <c r="I292" s="120"/>
      <c r="J292" s="152">
        <f>A280</f>
        <v>2022</v>
      </c>
      <c r="K292" s="153">
        <f>B280</f>
        <v>106200</v>
      </c>
      <c r="L292" s="120"/>
      <c r="M292" s="120"/>
    </row>
    <row r="293" spans="1:14">
      <c r="A293" s="152">
        <v>2009</v>
      </c>
      <c r="B293" s="153">
        <v>72200</v>
      </c>
      <c r="C293" s="153">
        <v>86500</v>
      </c>
      <c r="D293" s="153">
        <v>62700</v>
      </c>
      <c r="E293" s="153">
        <v>67300</v>
      </c>
      <c r="F293" s="153">
        <v>2100</v>
      </c>
      <c r="G293" s="153">
        <v>67500</v>
      </c>
      <c r="H293" s="153">
        <v>28900</v>
      </c>
      <c r="I293" s="120"/>
      <c r="J293" s="152">
        <f>A279</f>
        <v>2023</v>
      </c>
      <c r="K293" s="153">
        <f>B279</f>
        <v>129000</v>
      </c>
      <c r="L293" s="120"/>
      <c r="M293" s="120"/>
    </row>
    <row r="294" spans="1:14">
      <c r="A294" s="152">
        <v>2008</v>
      </c>
      <c r="B294" s="153">
        <v>69600</v>
      </c>
      <c r="C294" s="153">
        <v>83300</v>
      </c>
      <c r="D294" s="153">
        <v>61900</v>
      </c>
      <c r="E294" s="153">
        <v>68300</v>
      </c>
      <c r="F294" s="153">
        <v>2200</v>
      </c>
      <c r="G294" s="153">
        <v>61600</v>
      </c>
      <c r="H294" s="153">
        <v>26000</v>
      </c>
      <c r="I294" s="120"/>
      <c r="L294" s="120"/>
      <c r="M294" s="120"/>
    </row>
    <row r="295" spans="1:14" ht="15.75" customHeight="1">
      <c r="A295" s="152">
        <v>2007</v>
      </c>
      <c r="B295" s="153">
        <v>69000</v>
      </c>
      <c r="C295" s="153">
        <v>79900</v>
      </c>
      <c r="D295" s="153">
        <v>60600</v>
      </c>
      <c r="E295" s="153">
        <v>67800</v>
      </c>
      <c r="F295" s="153">
        <v>2200</v>
      </c>
      <c r="G295" s="153">
        <v>63400</v>
      </c>
      <c r="H295" s="153">
        <v>24900</v>
      </c>
      <c r="I295" s="120"/>
      <c r="L295" s="120"/>
      <c r="M295" s="120"/>
    </row>
    <row r="296" spans="1:14">
      <c r="A296" s="152">
        <v>2006</v>
      </c>
      <c r="B296" s="153">
        <v>66600</v>
      </c>
      <c r="C296" s="153">
        <v>72100</v>
      </c>
      <c r="D296" s="153">
        <v>64000</v>
      </c>
      <c r="E296" s="153">
        <v>74400</v>
      </c>
      <c r="F296" s="153">
        <v>2800</v>
      </c>
      <c r="G296" s="153">
        <v>61800</v>
      </c>
      <c r="H296" s="153">
        <v>23400</v>
      </c>
      <c r="I296" s="120"/>
    </row>
    <row r="297" spans="1:14">
      <c r="A297" s="152">
        <v>2005</v>
      </c>
      <c r="B297" s="153">
        <v>64300</v>
      </c>
      <c r="C297" s="153"/>
      <c r="D297" s="153"/>
      <c r="E297" s="153"/>
      <c r="F297" s="153"/>
      <c r="G297" s="153"/>
      <c r="H297" s="153"/>
      <c r="I297" s="120"/>
      <c r="L297" s="120"/>
      <c r="M297" s="120"/>
    </row>
    <row r="298" spans="1:14">
      <c r="A298" s="152">
        <v>2004</v>
      </c>
      <c r="B298" s="153">
        <v>57600</v>
      </c>
      <c r="C298" s="153"/>
      <c r="D298" s="153"/>
      <c r="E298" s="153"/>
      <c r="F298" s="153"/>
      <c r="G298" s="153"/>
      <c r="H298" s="153"/>
      <c r="L298" s="120"/>
      <c r="M298" s="120"/>
    </row>
    <row r="299" spans="1:14">
      <c r="A299" s="152">
        <v>2003</v>
      </c>
      <c r="B299" s="153">
        <f>ROUND(H299,-2)</f>
        <v>53500</v>
      </c>
      <c r="C299" s="153"/>
      <c r="D299" s="153"/>
      <c r="E299" s="153"/>
      <c r="F299" s="153"/>
      <c r="G299" s="153"/>
      <c r="H299" s="153">
        <v>53460</v>
      </c>
      <c r="I299" s="120"/>
      <c r="L299" s="120"/>
      <c r="M299" s="120"/>
    </row>
    <row r="300" spans="1:14">
      <c r="A300" s="152">
        <v>2002</v>
      </c>
      <c r="B300" s="153">
        <f>ROUND(H300,-2)</f>
        <v>48700</v>
      </c>
      <c r="C300" s="153"/>
      <c r="D300" s="153"/>
      <c r="E300" s="153"/>
      <c r="F300" s="153"/>
      <c r="G300" s="153"/>
      <c r="H300" s="153">
        <v>48663</v>
      </c>
      <c r="I300" s="120"/>
      <c r="J300" s="120"/>
      <c r="K300" s="120"/>
      <c r="L300" s="120"/>
      <c r="M300" s="120"/>
    </row>
    <row r="301" spans="1:14">
      <c r="A301" s="152">
        <v>2001</v>
      </c>
      <c r="B301" s="153">
        <f>ROUND(H301,-2)</f>
        <v>42100</v>
      </c>
      <c r="C301" s="153"/>
      <c r="D301" s="153"/>
      <c r="E301" s="153"/>
      <c r="F301" s="153"/>
      <c r="G301" s="153"/>
      <c r="H301" s="153">
        <v>42149</v>
      </c>
      <c r="I301" s="120"/>
      <c r="J301" s="120"/>
      <c r="K301" s="120"/>
      <c r="L301" s="120"/>
      <c r="M301" s="120"/>
    </row>
    <row r="302" spans="1:14">
      <c r="A302" s="152">
        <v>2000</v>
      </c>
      <c r="B302" s="153">
        <f>ROUND(H302,-2)</f>
        <v>38900</v>
      </c>
      <c r="C302" s="153"/>
      <c r="D302" s="153"/>
      <c r="E302" s="153"/>
      <c r="F302" s="153"/>
      <c r="G302" s="153"/>
      <c r="H302" s="153">
        <v>38890</v>
      </c>
      <c r="I302" s="120"/>
      <c r="J302" s="120"/>
      <c r="K302" s="120"/>
      <c r="L302" s="120"/>
      <c r="M302" s="120"/>
    </row>
    <row r="303" spans="1:14">
      <c r="A303" s="152"/>
      <c r="B303" s="153"/>
      <c r="C303" s="153"/>
      <c r="D303" s="153"/>
      <c r="E303" s="153"/>
      <c r="F303" s="153"/>
      <c r="G303" s="153"/>
      <c r="H303" s="153"/>
      <c r="I303" s="120"/>
      <c r="J303" s="120"/>
      <c r="K303" s="120"/>
      <c r="L303" s="120"/>
      <c r="M303" s="120"/>
    </row>
    <row r="304" spans="1:14">
      <c r="A304" s="152"/>
      <c r="B304" s="153"/>
      <c r="C304" s="153"/>
      <c r="D304" s="153"/>
      <c r="E304" s="153"/>
      <c r="F304" s="153"/>
      <c r="G304" s="153"/>
      <c r="H304" s="153"/>
      <c r="I304" s="120"/>
      <c r="J304" s="120"/>
      <c r="K304" s="120"/>
      <c r="L304" s="120"/>
      <c r="M304" s="120"/>
    </row>
    <row r="305" spans="1:13">
      <c r="A305" s="152"/>
      <c r="B305" s="153"/>
      <c r="C305" s="153"/>
      <c r="D305" s="153"/>
      <c r="E305" s="153"/>
      <c r="F305" s="153"/>
      <c r="G305" s="153"/>
      <c r="H305" s="153"/>
      <c r="I305" s="120"/>
      <c r="J305" s="120"/>
      <c r="K305" s="120"/>
      <c r="L305" s="120"/>
      <c r="M305" s="120"/>
    </row>
    <row r="306" spans="1:13" ht="20.399999999999999">
      <c r="A306" s="242"/>
      <c r="I306" s="120"/>
      <c r="J306" s="120"/>
      <c r="K306" s="120"/>
      <c r="L306" s="120"/>
      <c r="M306" s="120"/>
    </row>
    <row r="307" spans="1:13">
      <c r="I307" s="120"/>
      <c r="J307" s="120"/>
      <c r="K307" s="120"/>
      <c r="L307" s="120"/>
      <c r="M307" s="120"/>
    </row>
    <row r="308" spans="1:13">
      <c r="I308" s="120"/>
      <c r="J308" s="120"/>
      <c r="K308" s="120"/>
      <c r="L308" s="120"/>
      <c r="M308" s="120"/>
    </row>
    <row r="309" spans="1:13">
      <c r="I309" s="120"/>
      <c r="J309" s="120"/>
      <c r="K309" s="120"/>
      <c r="L309" s="120"/>
      <c r="M309" s="120"/>
    </row>
    <row r="310" spans="1:13">
      <c r="I310" s="120"/>
      <c r="J310" s="120"/>
      <c r="K310" s="120"/>
      <c r="L310" s="120"/>
      <c r="M310" s="120"/>
    </row>
    <row r="311" spans="1:13">
      <c r="I311" s="120"/>
      <c r="J311" s="120"/>
      <c r="K311" s="120"/>
      <c r="L311" s="120"/>
      <c r="M311" s="120"/>
    </row>
    <row r="312" spans="1:13">
      <c r="I312" s="120"/>
      <c r="J312" s="120"/>
      <c r="K312" s="120"/>
      <c r="L312" s="120"/>
      <c r="M312" s="120"/>
    </row>
    <row r="313" spans="1:13">
      <c r="I313" s="120"/>
      <c r="J313" s="120"/>
      <c r="K313" s="120"/>
      <c r="L313" s="120"/>
      <c r="M313" s="120"/>
    </row>
    <row r="314" spans="1:13">
      <c r="I314" s="120"/>
      <c r="J314" s="120"/>
      <c r="K314" s="120"/>
      <c r="L314" s="120"/>
      <c r="M314" s="120"/>
    </row>
    <row r="315" spans="1:13">
      <c r="I315" s="120"/>
      <c r="J315" s="120"/>
      <c r="K315" s="120"/>
      <c r="L315" s="120"/>
      <c r="M315" s="120"/>
    </row>
    <row r="316" spans="1:13">
      <c r="I316" s="120"/>
      <c r="J316" s="120"/>
      <c r="K316" s="120"/>
      <c r="L316" s="120"/>
      <c r="M316" s="120"/>
    </row>
    <row r="317" spans="1:13">
      <c r="I317" s="120"/>
      <c r="J317" s="120"/>
      <c r="K317" s="120"/>
      <c r="L317" s="120"/>
      <c r="M317" s="120"/>
    </row>
    <row r="318" spans="1:13">
      <c r="I318" s="120"/>
      <c r="J318" s="120"/>
      <c r="K318" s="120"/>
      <c r="L318" s="120"/>
      <c r="M318" s="120"/>
    </row>
    <row r="319" spans="1:13" ht="15.75" customHeight="1">
      <c r="I319" s="120"/>
      <c r="J319" s="120"/>
      <c r="K319" s="120"/>
      <c r="L319" s="120"/>
      <c r="M319" s="120"/>
    </row>
    <row r="320" spans="1:13">
      <c r="I320" s="120"/>
      <c r="J320" s="120"/>
    </row>
    <row r="321" spans="1:11">
      <c r="I321" s="120"/>
    </row>
    <row r="323" spans="1:11">
      <c r="J323" s="120"/>
      <c r="K323" s="120"/>
    </row>
    <row r="324" spans="1:11">
      <c r="I324" s="120"/>
      <c r="J324" s="120"/>
    </row>
    <row r="325" spans="1:11">
      <c r="I325" s="120"/>
    </row>
    <row r="329" spans="1:11">
      <c r="A329" s="307" t="s">
        <v>592</v>
      </c>
    </row>
    <row r="342" spans="1:12">
      <c r="K342" s="120"/>
    </row>
    <row r="343" spans="1:12">
      <c r="J343" s="120"/>
    </row>
    <row r="344" spans="1:12">
      <c r="I344" s="120"/>
    </row>
    <row r="346" spans="1:12">
      <c r="L346" s="153"/>
    </row>
    <row r="350" spans="1:12">
      <c r="A350" s="307" t="s">
        <v>574</v>
      </c>
    </row>
    <row r="351" spans="1:12" ht="27.6">
      <c r="A351" s="307"/>
      <c r="K351" s="231" t="s">
        <v>573</v>
      </c>
    </row>
    <row r="352" spans="1:12" ht="27.6">
      <c r="A352" s="10"/>
      <c r="B352" s="231" t="s">
        <v>573</v>
      </c>
      <c r="C352" s="231" t="s">
        <v>609</v>
      </c>
      <c r="D352" s="231" t="s">
        <v>758</v>
      </c>
      <c r="E352" s="231" t="s">
        <v>610</v>
      </c>
      <c r="F352" s="231" t="s">
        <v>591</v>
      </c>
      <c r="G352" s="231" t="s">
        <v>572</v>
      </c>
      <c r="H352" s="231" t="s">
        <v>590</v>
      </c>
    </row>
    <row r="353" spans="1:11">
      <c r="A353" s="152">
        <v>2023</v>
      </c>
      <c r="B353" s="153">
        <f>FL_dues_HIGH_CY</f>
        <v>18600</v>
      </c>
      <c r="C353" s="153">
        <f>SE_dues_HIGH_CY</f>
        <v>20400</v>
      </c>
      <c r="D353" s="153">
        <f>BOCA_dues_HIGH_CY</f>
        <v>24600</v>
      </c>
      <c r="E353" s="153">
        <f>SW_dues_HIGH_CY</f>
        <v>15600</v>
      </c>
      <c r="F353" s="153">
        <f>SWCIRA_dues_HIGH_CY</f>
        <v>7100</v>
      </c>
      <c r="G353" s="153">
        <f>NC_dues_HIGH_CY</f>
        <v>15500</v>
      </c>
      <c r="H353" s="153">
        <f>YB_dues_HIGH_CY</f>
        <v>8500</v>
      </c>
      <c r="J353" s="152"/>
      <c r="K353" s="153"/>
    </row>
    <row r="354" spans="1:11">
      <c r="A354" s="152">
        <v>2022</v>
      </c>
      <c r="B354" s="153">
        <v>16800</v>
      </c>
      <c r="C354" s="153">
        <v>17900</v>
      </c>
      <c r="D354" s="153">
        <v>21800</v>
      </c>
      <c r="E354" s="153">
        <v>14100</v>
      </c>
      <c r="F354" s="153">
        <v>6600</v>
      </c>
      <c r="G354" s="153">
        <v>14300</v>
      </c>
      <c r="H354" s="153">
        <v>7700</v>
      </c>
      <c r="J354" s="152">
        <f t="shared" ref="J354:K356" si="5">A369</f>
        <v>2007</v>
      </c>
      <c r="K354" s="153">
        <f>B369</f>
        <v>8100</v>
      </c>
    </row>
    <row r="355" spans="1:11">
      <c r="A355" s="152">
        <v>2021</v>
      </c>
      <c r="B355" s="153">
        <v>15900</v>
      </c>
      <c r="C355" s="153">
        <v>16700</v>
      </c>
      <c r="D355" s="153">
        <v>20300</v>
      </c>
      <c r="E355" s="153">
        <v>13700</v>
      </c>
      <c r="F355" s="153">
        <v>6200</v>
      </c>
      <c r="G355" s="153">
        <v>13700</v>
      </c>
      <c r="H355" s="153">
        <v>7100</v>
      </c>
      <c r="J355" s="152">
        <f t="shared" si="5"/>
        <v>2006</v>
      </c>
      <c r="K355" s="153">
        <f t="shared" si="5"/>
        <v>7800</v>
      </c>
    </row>
    <row r="356" spans="1:11">
      <c r="A356" s="152">
        <v>2020</v>
      </c>
      <c r="B356" s="153">
        <v>15300</v>
      </c>
      <c r="C356" s="153">
        <v>16800</v>
      </c>
      <c r="D356" s="153">
        <v>19900</v>
      </c>
      <c r="E356" s="153">
        <v>12700</v>
      </c>
      <c r="F356" s="153">
        <v>5700</v>
      </c>
      <c r="G356" s="153">
        <v>13200</v>
      </c>
      <c r="H356" s="153">
        <v>6600</v>
      </c>
      <c r="J356" s="152">
        <f t="shared" si="5"/>
        <v>2005</v>
      </c>
      <c r="K356" s="153">
        <f t="shared" si="5"/>
        <v>7400</v>
      </c>
    </row>
    <row r="357" spans="1:11">
      <c r="A357" s="152">
        <v>2019</v>
      </c>
      <c r="B357" s="153">
        <v>14500</v>
      </c>
      <c r="C357" s="153">
        <v>16300</v>
      </c>
      <c r="D357" s="153">
        <v>19100</v>
      </c>
      <c r="E357" s="153">
        <v>12200</v>
      </c>
      <c r="F357" s="153">
        <v>5400</v>
      </c>
      <c r="G357" s="153">
        <v>11900</v>
      </c>
      <c r="H357" s="153">
        <v>6100</v>
      </c>
      <c r="J357" s="152">
        <f>A366</f>
        <v>2010</v>
      </c>
      <c r="K357" s="153">
        <f>B366</f>
        <v>11000</v>
      </c>
    </row>
    <row r="358" spans="1:11">
      <c r="A358" s="152">
        <v>2018</v>
      </c>
      <c r="B358" s="153">
        <v>13700</v>
      </c>
      <c r="C358" s="153">
        <v>15400</v>
      </c>
      <c r="D358" s="153">
        <v>18200</v>
      </c>
      <c r="E358" s="153">
        <v>11700</v>
      </c>
      <c r="F358" s="153">
        <v>5200</v>
      </c>
      <c r="G358" s="153">
        <v>11100</v>
      </c>
      <c r="H358" s="153">
        <v>5900</v>
      </c>
      <c r="J358" s="152">
        <v>2011</v>
      </c>
      <c r="K358" s="153">
        <f>B365</f>
        <v>11300</v>
      </c>
    </row>
    <row r="359" spans="1:11">
      <c r="A359" s="152">
        <v>2017</v>
      </c>
      <c r="B359" s="153">
        <v>13400</v>
      </c>
      <c r="C359" s="153">
        <v>15100</v>
      </c>
      <c r="D359" s="153">
        <v>17800</v>
      </c>
      <c r="E359" s="153">
        <v>11200</v>
      </c>
      <c r="F359" s="153">
        <v>5000</v>
      </c>
      <c r="G359" s="153">
        <v>10800</v>
      </c>
      <c r="H359" s="153">
        <v>5800</v>
      </c>
      <c r="J359" s="152">
        <v>2012</v>
      </c>
      <c r="K359" s="153">
        <f>B364</f>
        <v>11500</v>
      </c>
    </row>
    <row r="360" spans="1:11">
      <c r="A360" s="152">
        <v>2016</v>
      </c>
      <c r="B360" s="153">
        <v>12700</v>
      </c>
      <c r="C360" s="153">
        <v>14300</v>
      </c>
      <c r="D360" s="153">
        <v>17000</v>
      </c>
      <c r="E360" s="153">
        <v>10800</v>
      </c>
      <c r="F360" s="153">
        <v>4900</v>
      </c>
      <c r="G360" s="153">
        <v>10200</v>
      </c>
      <c r="H360" s="153">
        <v>5600</v>
      </c>
      <c r="J360" s="152">
        <v>2013</v>
      </c>
      <c r="K360" s="153">
        <f>B363</f>
        <v>11600</v>
      </c>
    </row>
    <row r="361" spans="1:11">
      <c r="A361" s="152">
        <v>2015</v>
      </c>
      <c r="B361" s="153">
        <v>12300</v>
      </c>
      <c r="C361" s="153">
        <v>13800</v>
      </c>
      <c r="D361" s="153">
        <v>16500</v>
      </c>
      <c r="E361" s="153">
        <v>10500</v>
      </c>
      <c r="F361" s="153">
        <v>4800</v>
      </c>
      <c r="G361" s="153">
        <v>9900</v>
      </c>
      <c r="H361" s="153">
        <v>5400</v>
      </c>
      <c r="J361" s="152">
        <v>2014</v>
      </c>
      <c r="K361" s="153">
        <f>B362</f>
        <v>12000</v>
      </c>
    </row>
    <row r="362" spans="1:11">
      <c r="A362" s="152">
        <v>2014</v>
      </c>
      <c r="B362" s="153">
        <v>12000</v>
      </c>
      <c r="C362" s="153">
        <v>13000</v>
      </c>
      <c r="D362" s="153">
        <v>15900</v>
      </c>
      <c r="E362" s="153">
        <v>10500</v>
      </c>
      <c r="F362" s="153">
        <v>4600</v>
      </c>
      <c r="G362" s="153">
        <v>9900</v>
      </c>
      <c r="H362" s="153">
        <v>5200</v>
      </c>
      <c r="J362" s="152">
        <v>2015</v>
      </c>
      <c r="K362" s="153">
        <f>B361</f>
        <v>12300</v>
      </c>
    </row>
    <row r="363" spans="1:11">
      <c r="A363" s="152">
        <v>2013</v>
      </c>
      <c r="B363" s="153">
        <v>11600</v>
      </c>
      <c r="C363" s="153">
        <v>12700</v>
      </c>
      <c r="D363" s="153">
        <v>15200</v>
      </c>
      <c r="E363" s="153">
        <v>9700</v>
      </c>
      <c r="F363" s="153">
        <v>4600</v>
      </c>
      <c r="G363" s="153">
        <v>9900</v>
      </c>
      <c r="H363" s="153">
        <v>4700</v>
      </c>
      <c r="J363" s="152">
        <v>2016</v>
      </c>
      <c r="K363" s="153">
        <f>B360</f>
        <v>12700</v>
      </c>
    </row>
    <row r="364" spans="1:11">
      <c r="A364" s="152">
        <v>2012</v>
      </c>
      <c r="B364" s="153">
        <v>11500</v>
      </c>
      <c r="C364" s="153">
        <v>12600</v>
      </c>
      <c r="D364" s="153">
        <v>15300</v>
      </c>
      <c r="E364" s="153">
        <v>9500</v>
      </c>
      <c r="F364" s="153">
        <v>4400</v>
      </c>
      <c r="G364" s="153">
        <v>9700</v>
      </c>
      <c r="H364" s="153">
        <v>4600</v>
      </c>
      <c r="J364" s="152">
        <v>2017</v>
      </c>
      <c r="K364" s="153">
        <f>B359</f>
        <v>13400</v>
      </c>
    </row>
    <row r="365" spans="1:11" ht="15.6">
      <c r="A365" s="152">
        <v>2011</v>
      </c>
      <c r="B365" s="153">
        <v>11300</v>
      </c>
      <c r="C365" s="153">
        <v>12500</v>
      </c>
      <c r="D365" s="153">
        <v>15000</v>
      </c>
      <c r="E365" s="153">
        <v>9500</v>
      </c>
      <c r="F365" s="153">
        <v>4400</v>
      </c>
      <c r="G365" s="153">
        <v>9200</v>
      </c>
      <c r="H365" s="153">
        <v>4600</v>
      </c>
      <c r="I365" s="305"/>
      <c r="J365" s="152">
        <f>A358</f>
        <v>2018</v>
      </c>
      <c r="K365" s="153">
        <f>B358</f>
        <v>13700</v>
      </c>
    </row>
    <row r="366" spans="1:11" ht="15.6">
      <c r="A366" s="152">
        <v>2010</v>
      </c>
      <c r="B366" s="153">
        <v>11000</v>
      </c>
      <c r="C366" s="153">
        <v>12100</v>
      </c>
      <c r="D366" s="153">
        <v>14900</v>
      </c>
      <c r="E366" s="153">
        <v>9100</v>
      </c>
      <c r="F366" s="153">
        <v>4300</v>
      </c>
      <c r="G366" s="153">
        <v>8700</v>
      </c>
      <c r="H366" s="153">
        <v>4300</v>
      </c>
      <c r="I366" s="305"/>
      <c r="J366" s="152">
        <f>A357</f>
        <v>2019</v>
      </c>
      <c r="K366" s="153">
        <f>B357</f>
        <v>14500</v>
      </c>
    </row>
    <row r="367" spans="1:11" ht="15.6">
      <c r="A367" s="152">
        <v>2009</v>
      </c>
      <c r="B367" s="153">
        <v>9500</v>
      </c>
      <c r="C367" s="153">
        <v>11000</v>
      </c>
      <c r="D367" s="153">
        <v>14000</v>
      </c>
      <c r="E367" s="153">
        <v>8600</v>
      </c>
      <c r="F367" s="153">
        <v>4300</v>
      </c>
      <c r="G367" s="153">
        <v>8700</v>
      </c>
      <c r="H367" s="153">
        <v>4100</v>
      </c>
      <c r="I367" s="305"/>
      <c r="J367" s="152">
        <f>A356</f>
        <v>2020</v>
      </c>
      <c r="K367" s="153">
        <f>B356</f>
        <v>15300</v>
      </c>
    </row>
    <row r="368" spans="1:11" ht="15.6">
      <c r="A368" s="152">
        <v>2008</v>
      </c>
      <c r="B368" s="153">
        <v>8700</v>
      </c>
      <c r="C368" s="153">
        <v>10000</v>
      </c>
      <c r="D368" s="153">
        <v>12900</v>
      </c>
      <c r="E368" s="153">
        <v>8100</v>
      </c>
      <c r="F368" s="153">
        <v>3800</v>
      </c>
      <c r="G368" s="153">
        <v>8100</v>
      </c>
      <c r="H368" s="153">
        <v>3800</v>
      </c>
      <c r="I368" s="305"/>
      <c r="J368" s="152">
        <f>A355</f>
        <v>2021</v>
      </c>
      <c r="K368" s="153">
        <f>B355</f>
        <v>15900</v>
      </c>
    </row>
    <row r="369" spans="1:11" ht="15.6">
      <c r="A369" s="152">
        <v>2007</v>
      </c>
      <c r="B369" s="153">
        <v>8100</v>
      </c>
      <c r="C369" s="153">
        <v>9100</v>
      </c>
      <c r="D369" s="153">
        <v>12300</v>
      </c>
      <c r="E369" s="153">
        <v>7500</v>
      </c>
      <c r="F369" s="153">
        <v>3500</v>
      </c>
      <c r="G369" s="153">
        <v>7500</v>
      </c>
      <c r="H369" s="153">
        <v>3700</v>
      </c>
      <c r="I369" s="305"/>
      <c r="J369" s="152">
        <f>A354</f>
        <v>2022</v>
      </c>
      <c r="K369" s="153">
        <f>B354</f>
        <v>16800</v>
      </c>
    </row>
    <row r="370" spans="1:11" ht="15.6">
      <c r="A370" s="152">
        <v>2006</v>
      </c>
      <c r="B370" s="153">
        <v>7800</v>
      </c>
      <c r="C370" s="153">
        <v>8800</v>
      </c>
      <c r="D370" s="153">
        <v>11725</v>
      </c>
      <c r="E370" s="153">
        <v>7200</v>
      </c>
      <c r="F370" s="153">
        <v>3500</v>
      </c>
      <c r="G370" s="153">
        <v>7300</v>
      </c>
      <c r="H370" s="153">
        <v>3600</v>
      </c>
      <c r="I370" s="305"/>
      <c r="J370" s="152">
        <f>A353</f>
        <v>2023</v>
      </c>
      <c r="K370" s="153">
        <f>B353</f>
        <v>18600</v>
      </c>
    </row>
    <row r="371" spans="1:11" ht="15.6">
      <c r="A371" s="152">
        <v>2005</v>
      </c>
      <c r="B371" s="153">
        <v>7400</v>
      </c>
      <c r="C371" s="153"/>
      <c r="D371" s="153"/>
      <c r="E371" s="153"/>
      <c r="F371" s="153"/>
      <c r="G371" s="153"/>
      <c r="H371" s="153"/>
      <c r="J371" s="305"/>
    </row>
    <row r="372" spans="1:11" ht="15.6">
      <c r="A372" s="152">
        <v>2004</v>
      </c>
      <c r="B372" s="153">
        <v>7100</v>
      </c>
      <c r="C372" s="305"/>
      <c r="D372" s="305"/>
      <c r="E372" s="305"/>
      <c r="F372" s="305"/>
      <c r="G372" s="305"/>
      <c r="H372" s="10"/>
      <c r="J372" s="305"/>
    </row>
    <row r="373" spans="1:11" ht="15.6">
      <c r="A373" s="152">
        <v>2003</v>
      </c>
      <c r="B373" s="153">
        <v>6900</v>
      </c>
      <c r="C373" s="305"/>
      <c r="D373" s="305"/>
      <c r="E373" s="305"/>
      <c r="F373" s="305"/>
      <c r="G373" s="305"/>
      <c r="H373" s="10"/>
      <c r="J373" s="305"/>
    </row>
    <row r="374" spans="1:11" ht="15.6">
      <c r="A374" s="152">
        <v>2002</v>
      </c>
      <c r="B374" s="153">
        <f>ROUND(H374,-2)</f>
        <v>6500</v>
      </c>
      <c r="C374" s="305"/>
      <c r="D374" s="305"/>
      <c r="E374" s="305"/>
      <c r="F374" s="305"/>
      <c r="G374" s="305"/>
      <c r="H374" s="153">
        <v>6452</v>
      </c>
      <c r="J374" s="305"/>
    </row>
    <row r="375" spans="1:11" ht="15.6">
      <c r="A375" s="152">
        <v>2001</v>
      </c>
      <c r="B375" s="153">
        <f>ROUND(H375,-2)</f>
        <v>6200</v>
      </c>
      <c r="C375" s="305"/>
      <c r="D375" s="305"/>
      <c r="E375" s="305"/>
      <c r="F375" s="305"/>
      <c r="G375" s="305"/>
      <c r="H375" s="153">
        <v>6177</v>
      </c>
      <c r="J375" s="305"/>
    </row>
    <row r="376" spans="1:11" ht="15.6">
      <c r="A376" s="152">
        <v>2000</v>
      </c>
      <c r="B376" s="153">
        <f>ROUND(H376,-2)</f>
        <v>5800</v>
      </c>
      <c r="C376" s="305"/>
      <c r="D376" s="305"/>
      <c r="E376" s="305"/>
      <c r="F376" s="305"/>
      <c r="G376" s="305"/>
      <c r="H376" s="153">
        <v>5840</v>
      </c>
      <c r="J376" s="305"/>
    </row>
    <row r="377" spans="1:11" ht="15.6">
      <c r="A377" s="152"/>
      <c r="B377" s="153"/>
      <c r="C377" s="305"/>
      <c r="D377" s="153"/>
      <c r="E377" s="305"/>
      <c r="F377" s="305"/>
      <c r="G377" s="305"/>
      <c r="H377" s="305"/>
      <c r="J377" s="305"/>
    </row>
    <row r="378" spans="1:11" ht="15.6">
      <c r="J378" s="305"/>
    </row>
    <row r="379" spans="1:11" ht="15.6">
      <c r="J379" s="305"/>
    </row>
    <row r="380" spans="1:11" ht="15.6">
      <c r="J380" s="305"/>
    </row>
    <row r="381" spans="1:11" ht="15.6">
      <c r="J381" s="305"/>
    </row>
    <row r="382" spans="1:11" ht="15.6">
      <c r="J382" s="305"/>
    </row>
    <row r="383" spans="1:11" ht="15.6">
      <c r="J383" s="305"/>
    </row>
    <row r="384" spans="1:11" ht="15.6">
      <c r="J384" s="305"/>
    </row>
    <row r="403" spans="1:9">
      <c r="A403" s="307" t="s">
        <v>589</v>
      </c>
    </row>
    <row r="416" spans="1:9">
      <c r="I416" s="10"/>
    </row>
    <row r="425" spans="1:8">
      <c r="A425" s="307" t="s">
        <v>580</v>
      </c>
      <c r="B425" s="10"/>
      <c r="C425" s="10"/>
      <c r="D425" s="10"/>
      <c r="E425" s="10"/>
      <c r="F425" s="10"/>
      <c r="G425" s="10"/>
      <c r="H425" s="10"/>
    </row>
    <row r="426" spans="1:8" ht="27.6">
      <c r="A426" s="10"/>
      <c r="B426" s="231" t="s">
        <v>573</v>
      </c>
      <c r="C426" s="231" t="s">
        <v>750</v>
      </c>
      <c r="D426" s="231" t="s">
        <v>1366</v>
      </c>
      <c r="E426" s="231" t="s">
        <v>745</v>
      </c>
      <c r="F426" s="231" t="s">
        <v>660</v>
      </c>
      <c r="G426" s="231" t="s">
        <v>572</v>
      </c>
      <c r="H426" s="231" t="s">
        <v>594</v>
      </c>
    </row>
    <row r="427" spans="1:8">
      <c r="A427" s="152">
        <v>2023</v>
      </c>
      <c r="B427" s="229">
        <f>FL_ref_equity_perc_HIGH</f>
        <v>0.08</v>
      </c>
      <c r="C427" s="229">
        <f>SE_ref_equity_perc_HIGH</f>
        <v>0.12</v>
      </c>
      <c r="D427" s="229">
        <f>BOCA_ref_equity_perc_HIGH</f>
        <v>7.0000000000000007E-2</v>
      </c>
      <c r="E427" s="229">
        <f>SW_ref_equity_perc_HIGH</f>
        <v>0.03</v>
      </c>
      <c r="F427" s="229">
        <f>SWCIRA_ref_equity_perc_HIGH</f>
        <v>0</v>
      </c>
      <c r="G427" s="229">
        <f>NC_ref_equity_perc_HIGH</f>
        <v>7.0000000000000007E-2</v>
      </c>
      <c r="H427" s="229">
        <f>YB_ref_equity_perc_HIGH</f>
        <v>0.11</v>
      </c>
    </row>
    <row r="428" spans="1:8">
      <c r="A428" s="152">
        <v>2022</v>
      </c>
      <c r="B428" s="229">
        <v>0.11</v>
      </c>
      <c r="C428" s="229">
        <v>0.15</v>
      </c>
      <c r="D428" s="229">
        <v>0.11</v>
      </c>
      <c r="E428" s="229">
        <v>0.03</v>
      </c>
      <c r="F428" s="229">
        <v>0</v>
      </c>
      <c r="G428" s="229">
        <v>0.15</v>
      </c>
      <c r="H428" s="229">
        <v>0.11</v>
      </c>
    </row>
    <row r="429" spans="1:8">
      <c r="A429" s="152">
        <v>2021</v>
      </c>
      <c r="B429" s="229">
        <v>0.16</v>
      </c>
      <c r="C429" s="229">
        <v>0.26</v>
      </c>
      <c r="D429" s="229">
        <v>0.14000000000000001</v>
      </c>
      <c r="E429" s="229">
        <v>0.04</v>
      </c>
      <c r="F429" s="229">
        <v>0</v>
      </c>
      <c r="G429" s="229">
        <v>0.18</v>
      </c>
      <c r="H429" s="229">
        <v>0.15</v>
      </c>
    </row>
    <row r="430" spans="1:8">
      <c r="A430" s="152">
        <v>2020</v>
      </c>
      <c r="B430" s="229">
        <v>0.2</v>
      </c>
      <c r="C430" s="229">
        <v>0.28999999999999998</v>
      </c>
      <c r="D430" s="229">
        <v>0.19</v>
      </c>
      <c r="E430" s="229">
        <v>0.08</v>
      </c>
      <c r="F430" s="229">
        <v>0</v>
      </c>
      <c r="G430" s="229">
        <v>0.18</v>
      </c>
      <c r="H430" s="229">
        <v>0.15</v>
      </c>
    </row>
    <row r="431" spans="1:8">
      <c r="A431" s="152">
        <v>2019</v>
      </c>
      <c r="B431" s="229">
        <v>0.24</v>
      </c>
      <c r="C431" s="229">
        <v>0.28999999999999998</v>
      </c>
      <c r="D431" s="229">
        <v>0.21</v>
      </c>
      <c r="E431" s="229">
        <v>0.17</v>
      </c>
      <c r="F431" s="229">
        <v>0</v>
      </c>
      <c r="G431" s="229">
        <v>0.28999999999999998</v>
      </c>
      <c r="H431" s="229">
        <v>0.18</v>
      </c>
    </row>
    <row r="432" spans="1:8">
      <c r="A432" s="152">
        <v>2018</v>
      </c>
      <c r="B432" s="229">
        <v>0.28999999999999998</v>
      </c>
      <c r="C432" s="229">
        <v>0.28999999999999998</v>
      </c>
      <c r="D432" s="229">
        <v>0.28000000000000003</v>
      </c>
      <c r="E432" s="229">
        <v>0.28000000000000003</v>
      </c>
      <c r="F432" s="229">
        <v>0</v>
      </c>
      <c r="G432" s="229">
        <v>0.32</v>
      </c>
      <c r="H432" s="229">
        <v>0.18</v>
      </c>
    </row>
    <row r="433" spans="1:11">
      <c r="A433" s="152">
        <v>2017</v>
      </c>
      <c r="B433" s="229">
        <v>0.33</v>
      </c>
      <c r="C433" s="229">
        <v>0.3</v>
      </c>
      <c r="D433" s="229">
        <v>0.33</v>
      </c>
      <c r="E433" s="229">
        <v>0.3</v>
      </c>
      <c r="F433" s="229">
        <v>0</v>
      </c>
      <c r="G433" s="229">
        <v>0.39</v>
      </c>
      <c r="H433" s="229">
        <v>0.16</v>
      </c>
    </row>
    <row r="434" spans="1:11">
      <c r="A434" s="152">
        <v>2016</v>
      </c>
      <c r="B434" s="229">
        <v>0.33</v>
      </c>
      <c r="C434" s="229">
        <v>0.28999999999999998</v>
      </c>
      <c r="D434" s="229">
        <v>0.33</v>
      </c>
      <c r="E434" s="229">
        <v>0.31</v>
      </c>
      <c r="F434" s="229">
        <v>0</v>
      </c>
      <c r="G434" s="229">
        <v>0.41</v>
      </c>
      <c r="H434" s="229">
        <v>0.21</v>
      </c>
    </row>
    <row r="435" spans="1:11">
      <c r="A435" s="152">
        <v>2015</v>
      </c>
      <c r="B435" s="229">
        <v>0.33</v>
      </c>
      <c r="C435" s="229">
        <v>0.31</v>
      </c>
      <c r="D435" s="229">
        <v>0.33</v>
      </c>
      <c r="E435" s="229">
        <v>0.28000000000000003</v>
      </c>
      <c r="F435" s="229">
        <v>0</v>
      </c>
      <c r="G435" s="229">
        <v>0.4</v>
      </c>
      <c r="H435" s="229">
        <v>0.17</v>
      </c>
      <c r="K435" s="758"/>
    </row>
    <row r="436" spans="1:11">
      <c r="A436" s="152">
        <v>2014</v>
      </c>
      <c r="B436" s="229">
        <v>0.35</v>
      </c>
      <c r="C436" s="229">
        <v>0.33</v>
      </c>
      <c r="D436" s="229">
        <v>0.36</v>
      </c>
      <c r="E436" s="229">
        <v>0.24</v>
      </c>
      <c r="F436" s="229">
        <v>0</v>
      </c>
      <c r="G436" s="229">
        <v>0.51</v>
      </c>
      <c r="H436" s="229">
        <v>0.22</v>
      </c>
    </row>
    <row r="437" spans="1:11">
      <c r="A437" s="152">
        <v>2013</v>
      </c>
      <c r="B437" s="229">
        <v>0.35</v>
      </c>
      <c r="C437" s="229">
        <v>0.28999999999999998</v>
      </c>
      <c r="D437" s="229">
        <v>0.37</v>
      </c>
      <c r="E437" s="229">
        <v>0.28000000000000003</v>
      </c>
      <c r="F437" s="229">
        <v>0</v>
      </c>
      <c r="G437" s="229">
        <v>0.52</v>
      </c>
      <c r="H437" s="229">
        <v>0.2</v>
      </c>
      <c r="I437" s="757"/>
    </row>
    <row r="438" spans="1:11">
      <c r="A438" s="152">
        <v>2012</v>
      </c>
      <c r="B438" s="229">
        <v>0.39</v>
      </c>
      <c r="C438" s="229">
        <v>0.28999999999999998</v>
      </c>
      <c r="D438" s="229">
        <v>0.35</v>
      </c>
      <c r="E438" s="229">
        <v>0.39</v>
      </c>
      <c r="F438" s="229">
        <v>0</v>
      </c>
      <c r="G438" s="229">
        <v>0.54</v>
      </c>
      <c r="H438" s="756">
        <v>0.16</v>
      </c>
    </row>
    <row r="439" spans="1:11">
      <c r="A439" s="152">
        <v>2011</v>
      </c>
      <c r="B439" s="229">
        <v>0.39</v>
      </c>
      <c r="C439" s="229">
        <v>0.28999999999999998</v>
      </c>
      <c r="D439" s="229">
        <v>0.43</v>
      </c>
      <c r="E439" s="229">
        <v>0.34</v>
      </c>
      <c r="F439" s="229">
        <v>0</v>
      </c>
      <c r="G439" s="229">
        <v>0.52</v>
      </c>
      <c r="H439" s="229">
        <v>0.08</v>
      </c>
      <c r="I439" s="757"/>
      <c r="K439" s="758"/>
    </row>
    <row r="440" spans="1:11">
      <c r="A440" s="152">
        <v>2010</v>
      </c>
      <c r="B440" s="229">
        <v>0.38</v>
      </c>
      <c r="C440" s="229">
        <v>0.31</v>
      </c>
      <c r="D440" s="229">
        <v>0.39</v>
      </c>
      <c r="E440" s="229">
        <v>0.38</v>
      </c>
      <c r="F440" s="229">
        <v>0</v>
      </c>
      <c r="G440" s="756">
        <v>0.53</v>
      </c>
      <c r="H440" s="756">
        <v>0.18</v>
      </c>
      <c r="I440" s="757"/>
    </row>
    <row r="441" spans="1:11">
      <c r="A441" s="152">
        <v>2009</v>
      </c>
      <c r="B441" s="229">
        <v>0.45</v>
      </c>
      <c r="C441" s="229">
        <v>0.34</v>
      </c>
      <c r="D441" s="229">
        <v>0.47</v>
      </c>
      <c r="E441" s="229">
        <v>0.49</v>
      </c>
      <c r="F441" s="229">
        <v>0</v>
      </c>
      <c r="G441" s="229">
        <v>0.53</v>
      </c>
      <c r="H441" s="229">
        <v>0.16</v>
      </c>
    </row>
    <row r="442" spans="1:11">
      <c r="A442" s="152">
        <v>2008</v>
      </c>
      <c r="B442" s="229">
        <v>0.44</v>
      </c>
      <c r="C442" s="229">
        <v>0.41</v>
      </c>
      <c r="D442" s="229">
        <v>0.55000000000000004</v>
      </c>
      <c r="E442" s="229">
        <v>0.54</v>
      </c>
      <c r="F442" s="229">
        <v>0</v>
      </c>
      <c r="G442" s="229">
        <v>0.5</v>
      </c>
      <c r="H442" s="229">
        <v>0.15</v>
      </c>
    </row>
    <row r="443" spans="1:11">
      <c r="A443" s="152">
        <v>2007</v>
      </c>
      <c r="B443" s="229">
        <v>0.5</v>
      </c>
      <c r="C443" s="229">
        <v>0.36</v>
      </c>
      <c r="D443" s="229">
        <v>0.53</v>
      </c>
      <c r="E443" s="229">
        <v>0.56999999999999995</v>
      </c>
      <c r="F443" s="229">
        <v>0</v>
      </c>
      <c r="G443" s="229">
        <v>0.53</v>
      </c>
      <c r="H443" s="756">
        <v>0.22</v>
      </c>
      <c r="I443" s="757"/>
    </row>
    <row r="457" spans="1:15" ht="15.75" customHeight="1"/>
    <row r="458" spans="1:15" s="120" customFormat="1">
      <c r="A458" s="136"/>
      <c r="B458" s="136"/>
      <c r="C458" s="136"/>
      <c r="D458" s="136"/>
      <c r="E458" s="136"/>
      <c r="F458" s="136"/>
      <c r="G458" s="136"/>
      <c r="H458" s="136"/>
      <c r="I458" s="136"/>
      <c r="J458" s="136"/>
      <c r="K458" s="136"/>
      <c r="L458" s="136"/>
      <c r="M458" s="136"/>
      <c r="N458" s="136"/>
      <c r="O458" s="136"/>
    </row>
    <row r="459" spans="1:15" s="120" customFormat="1">
      <c r="A459" s="136"/>
      <c r="B459" s="136"/>
      <c r="C459" s="136"/>
      <c r="D459" s="136"/>
      <c r="E459" s="136"/>
      <c r="F459" s="136"/>
      <c r="G459" s="136"/>
      <c r="H459" s="136"/>
      <c r="I459" s="136"/>
      <c r="J459" s="136"/>
    </row>
    <row r="460" spans="1:15" s="120" customFormat="1">
      <c r="A460" s="136"/>
      <c r="B460" s="136"/>
      <c r="C460" s="136"/>
      <c r="D460" s="136"/>
      <c r="E460" s="136"/>
      <c r="F460" s="136"/>
      <c r="G460" s="136"/>
      <c r="H460" s="136"/>
      <c r="I460" s="136"/>
    </row>
    <row r="461" spans="1:15">
      <c r="J461" s="973"/>
      <c r="K461" s="120"/>
      <c r="L461" s="120"/>
      <c r="M461" s="120"/>
      <c r="N461" s="120"/>
      <c r="O461" s="120"/>
    </row>
    <row r="462" spans="1:15">
      <c r="J462" s="120"/>
    </row>
    <row r="466" spans="1:10">
      <c r="J466" s="136" t="s">
        <v>1154</v>
      </c>
    </row>
    <row r="467" spans="1:10" hidden="1"/>
    <row r="468" spans="1:10" hidden="1">
      <c r="I468" s="120"/>
    </row>
    <row r="469" spans="1:10" hidden="1">
      <c r="I469" s="120"/>
    </row>
    <row r="470" spans="1:10" hidden="1">
      <c r="I470" s="120"/>
    </row>
    <row r="471" spans="1:10" hidden="1"/>
    <row r="472" spans="1:10" ht="21" hidden="1">
      <c r="A472" s="246" t="s">
        <v>751</v>
      </c>
    </row>
    <row r="473" spans="1:10" hidden="1">
      <c r="J473" s="136" t="s">
        <v>1123</v>
      </c>
    </row>
    <row r="474" spans="1:10" hidden="1">
      <c r="A474" s="139" t="s">
        <v>459</v>
      </c>
      <c r="B474" s="140" t="s">
        <v>274</v>
      </c>
      <c r="C474" s="140" t="s">
        <v>419</v>
      </c>
      <c r="D474" s="140" t="s">
        <v>757</v>
      </c>
      <c r="E474" s="140" t="s">
        <v>271</v>
      </c>
      <c r="F474" s="140" t="s">
        <v>421</v>
      </c>
      <c r="G474" s="140" t="s">
        <v>272</v>
      </c>
      <c r="H474" s="140" t="s">
        <v>575</v>
      </c>
    </row>
    <row r="475" spans="1:10" hidden="1">
      <c r="A475" s="224"/>
      <c r="B475" s="140" t="s">
        <v>268</v>
      </c>
      <c r="C475" s="140" t="s">
        <v>295</v>
      </c>
      <c r="D475" s="140" t="s">
        <v>257</v>
      </c>
      <c r="E475" s="140" t="s">
        <v>296</v>
      </c>
      <c r="F475" s="140" t="s">
        <v>277</v>
      </c>
      <c r="G475" s="140" t="s">
        <v>278</v>
      </c>
      <c r="H475" s="225" t="s">
        <v>297</v>
      </c>
    </row>
    <row r="476" spans="1:10" hidden="1">
      <c r="A476" s="372" t="s">
        <v>877</v>
      </c>
      <c r="B476" s="373">
        <f>FL_resignedwaitlist</f>
        <v>0</v>
      </c>
      <c r="C476" s="373">
        <f>SE_resignedwaitlist</f>
        <v>0</v>
      </c>
      <c r="D476" s="373">
        <f>BOCA_resignedwaitlist</f>
        <v>0</v>
      </c>
      <c r="E476" s="373">
        <f>SW_resignedwaitlist</f>
        <v>0</v>
      </c>
      <c r="F476" s="374" t="s">
        <v>288</v>
      </c>
      <c r="G476" s="373">
        <f>NC_resignedwaitlist</f>
        <v>0</v>
      </c>
      <c r="H476" s="373">
        <f>YB_resignedwaitlist</f>
        <v>0</v>
      </c>
    </row>
    <row r="477" spans="1:10" hidden="1">
      <c r="A477" s="166" t="s">
        <v>878</v>
      </c>
      <c r="B477" s="375">
        <f>FL_AvWait_ResignedMem</f>
        <v>0</v>
      </c>
      <c r="C477" s="375">
        <f>SE_AvWait_ResignedMem</f>
        <v>0</v>
      </c>
      <c r="D477" s="375">
        <f>BOCA_AvWait_ResignedMem</f>
        <v>0</v>
      </c>
      <c r="E477" s="375">
        <f>SW_AvWait_ResignedMem</f>
        <v>0</v>
      </c>
      <c r="F477" s="376" t="s">
        <v>288</v>
      </c>
      <c r="G477" s="375">
        <f>NC_AvWait_ResignedMem</f>
        <v>0</v>
      </c>
      <c r="H477" s="375">
        <f>YB_AvWait_ResignedMem</f>
        <v>0</v>
      </c>
    </row>
  </sheetData>
  <sortState xmlns:xlrd2="http://schemas.microsoft.com/office/spreadsheetml/2017/richdata2" ref="A240:K250">
    <sortCondition descending="1" ref="A236:A246"/>
  </sortState>
  <mergeCells count="2">
    <mergeCell ref="A86:H86"/>
    <mergeCell ref="A96:H96"/>
  </mergeCells>
  <pageMargins left="0.7" right="0.7" top="0.75" bottom="0.75" header="0.3" footer="0.3"/>
  <pageSetup scale="52" orientation="portrait" r:id="rId1"/>
  <rowBreaks count="5" manualBreakCount="5">
    <brk id="83" max="7" man="1"/>
    <brk id="207" max="7" man="1"/>
    <brk id="267" max="7" man="1"/>
    <brk id="348" max="7" man="1"/>
    <brk id="424" max="7" man="1"/>
  </rowBreaks>
  <colBreaks count="1" manualBreakCount="1">
    <brk id="8" max="1048575" man="1"/>
  </colBreaks>
  <customProperties>
    <customPr name="OrphanNamesChecked" r:id="rId2"/>
  </customPropertie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5" tint="0.79998168889431442"/>
  </sheetPr>
  <dimension ref="A1:AG312"/>
  <sheetViews>
    <sheetView showGridLines="0" view="pageBreakPreview" zoomScale="89" zoomScaleNormal="73" zoomScaleSheetLayoutView="89" workbookViewId="0"/>
  </sheetViews>
  <sheetFormatPr defaultColWidth="8.90625" defaultRowHeight="15"/>
  <cols>
    <col min="1" max="1" width="44.90625" style="155" customWidth="1"/>
    <col min="2" max="3" width="11.36328125" style="155" customWidth="1"/>
    <col min="4" max="4" width="11.6328125" style="155" customWidth="1"/>
    <col min="5" max="6" width="11.36328125" style="155" customWidth="1"/>
    <col min="7" max="7" width="11.1796875" style="155" customWidth="1"/>
    <col min="8" max="8" width="10.54296875" style="155" customWidth="1"/>
    <col min="9" max="9" width="10.36328125" style="155" customWidth="1"/>
    <col min="10" max="10" width="10.90625" style="209" bestFit="1" customWidth="1"/>
    <col min="11" max="11" width="13.453125" style="209" customWidth="1"/>
    <col min="12" max="12" width="10.08984375" style="209" customWidth="1"/>
    <col min="13" max="13" width="12.08984375" style="209" bestFit="1" customWidth="1"/>
    <col min="14" max="14" width="13.6328125" style="209" customWidth="1"/>
    <col min="15" max="15" width="9.54296875" style="209" customWidth="1"/>
    <col min="16" max="16" width="10.36328125" style="155" customWidth="1"/>
    <col min="17" max="17" width="11.1796875" style="155" bestFit="1" customWidth="1"/>
    <col min="18" max="21" width="8.90625" style="155"/>
    <col min="22" max="22" width="12.54296875" style="155" customWidth="1"/>
    <col min="23" max="16384" width="8.90625" style="155"/>
  </cols>
  <sheetData>
    <row r="1" spans="1:33" s="209" customFormat="1" ht="21">
      <c r="A1" s="156" t="s">
        <v>764</v>
      </c>
      <c r="K1" s="209" t="s">
        <v>2144</v>
      </c>
      <c r="R1" s="247"/>
      <c r="S1" s="247"/>
      <c r="T1" s="247"/>
      <c r="U1" s="247"/>
      <c r="V1" s="247"/>
      <c r="W1" s="230"/>
    </row>
    <row r="2" spans="1:33" s="209" customFormat="1">
      <c r="A2" s="236"/>
      <c r="K2" s="993"/>
      <c r="Y2" s="247"/>
      <c r="Z2" s="247"/>
      <c r="AA2" s="247"/>
      <c r="AB2" s="247"/>
      <c r="AC2" s="247"/>
      <c r="AD2" s="230"/>
    </row>
    <row r="3" spans="1:33" s="209" customFormat="1" ht="15.75" customHeight="1" thickBot="1">
      <c r="A3" s="169" t="s">
        <v>459</v>
      </c>
      <c r="B3" s="164" t="s">
        <v>274</v>
      </c>
      <c r="C3" s="164" t="s">
        <v>419</v>
      </c>
      <c r="D3" s="164" t="s">
        <v>270</v>
      </c>
      <c r="E3" s="164" t="s">
        <v>271</v>
      </c>
      <c r="F3" s="164" t="s">
        <v>421</v>
      </c>
      <c r="G3" s="164" t="s">
        <v>272</v>
      </c>
      <c r="H3" s="164" t="s">
        <v>273</v>
      </c>
      <c r="Y3" s="248" t="s">
        <v>514</v>
      </c>
      <c r="Z3" s="248"/>
      <c r="AA3" s="248"/>
      <c r="AB3" s="248"/>
      <c r="AC3" s="248"/>
      <c r="AD3" s="230"/>
    </row>
    <row r="4" spans="1:33" ht="15.75" customHeight="1">
      <c r="A4" s="239"/>
      <c r="B4" s="164" t="s">
        <v>268</v>
      </c>
      <c r="C4" s="164" t="s">
        <v>295</v>
      </c>
      <c r="D4" s="164" t="s">
        <v>734</v>
      </c>
      <c r="E4" s="164" t="s">
        <v>296</v>
      </c>
      <c r="F4" s="164" t="s">
        <v>277</v>
      </c>
      <c r="G4" s="164" t="s">
        <v>278</v>
      </c>
      <c r="H4" s="164" t="s">
        <v>297</v>
      </c>
      <c r="I4" s="127"/>
      <c r="P4" s="127"/>
      <c r="Q4" s="127"/>
      <c r="Y4" s="249" t="s">
        <v>415</v>
      </c>
      <c r="Z4" s="250"/>
      <c r="AA4" s="250"/>
      <c r="AB4" s="250"/>
      <c r="AC4" s="251"/>
      <c r="AD4" s="230"/>
    </row>
    <row r="5" spans="1:33" s="127" customFormat="1">
      <c r="A5" s="210" t="s">
        <v>5</v>
      </c>
      <c r="B5" s="166"/>
      <c r="C5" s="166"/>
      <c r="D5" s="166"/>
      <c r="E5" s="166"/>
      <c r="F5" s="166"/>
      <c r="G5" s="166"/>
      <c r="H5" s="166"/>
      <c r="J5" s="209"/>
      <c r="K5" s="209"/>
      <c r="L5" s="209"/>
      <c r="M5" s="209"/>
      <c r="N5" s="209"/>
      <c r="O5" s="209"/>
      <c r="Y5" s="252" t="s">
        <v>416</v>
      </c>
      <c r="Z5" s="253"/>
      <c r="AA5" s="253"/>
      <c r="AB5" s="253"/>
      <c r="AC5" s="254"/>
      <c r="AD5" s="230"/>
    </row>
    <row r="6" spans="1:33" s="127" customFormat="1">
      <c r="A6" s="147" t="s">
        <v>45</v>
      </c>
      <c r="B6" s="143">
        <f>SUM(FL_dues_rev_perc)</f>
        <v>0.61399999999999999</v>
      </c>
      <c r="C6" s="143">
        <f>SUM(SE_dues_rev_perc)</f>
        <v>0.629</v>
      </c>
      <c r="D6" s="143">
        <f>SUM(BOCA_dues_rev_perc)</f>
        <v>0.68400000000000005</v>
      </c>
      <c r="E6" s="143">
        <f>SUM(SW_dues_rev_perc)</f>
        <v>0.57299999999999995</v>
      </c>
      <c r="F6" s="143">
        <f>SUM(SWCIRA_dues_rev_perc)</f>
        <v>0.56299999999999994</v>
      </c>
      <c r="G6" s="143">
        <f>SUM(NC_dues_rev_perc)</f>
        <v>0.56500000000000006</v>
      </c>
      <c r="H6" s="143">
        <f>SUM(YB_dues_rev_perc)</f>
        <v>0.46500000000000002</v>
      </c>
      <c r="J6" s="209"/>
      <c r="K6" s="209"/>
      <c r="L6" s="209"/>
      <c r="M6" s="209"/>
      <c r="N6" s="209"/>
      <c r="O6" s="209"/>
      <c r="Y6" s="255" t="s">
        <v>417</v>
      </c>
      <c r="Z6" s="253"/>
      <c r="AA6" s="253"/>
      <c r="AB6" s="253"/>
      <c r="AC6" s="254"/>
      <c r="AD6" s="230"/>
    </row>
    <row r="7" spans="1:33" s="127" customFormat="1">
      <c r="A7" s="211" t="s">
        <v>311</v>
      </c>
      <c r="B7" s="175">
        <f>SUM(FL_sport_rev_perc)</f>
        <v>0.16400000000000001</v>
      </c>
      <c r="C7" s="175">
        <f>SUM(SE_sport_rev_perc)</f>
        <v>0.16200000000000001</v>
      </c>
      <c r="D7" s="175">
        <f>SUM(Boca_sport_rev_perc)</f>
        <v>0.13</v>
      </c>
      <c r="E7" s="175">
        <f>SUM(SW_sport_rev_perc)</f>
        <v>0.20299999999999999</v>
      </c>
      <c r="F7" s="175">
        <f>SUM(SWCIRA_sport_rev_perc)</f>
        <v>0.19</v>
      </c>
      <c r="G7" s="175">
        <f>SUM(NC_sport_rev_perc)</f>
        <v>0.159</v>
      </c>
      <c r="H7" s="175">
        <f>SUM(YB_sport_rev_perc)</f>
        <v>0.156</v>
      </c>
      <c r="J7" s="209"/>
      <c r="K7" s="209"/>
      <c r="L7" s="209"/>
      <c r="M7" s="209"/>
      <c r="N7" s="209"/>
      <c r="O7" s="209"/>
      <c r="Y7" s="252"/>
      <c r="Z7" s="253"/>
      <c r="AA7" s="253"/>
      <c r="AB7" s="253"/>
      <c r="AC7" s="254"/>
      <c r="AD7" s="230"/>
    </row>
    <row r="8" spans="1:33" s="127" customFormat="1">
      <c r="A8" s="147" t="s">
        <v>312</v>
      </c>
      <c r="B8" s="143">
        <f>FL_food_rev_perc</f>
        <v>0.13200000000000001</v>
      </c>
      <c r="C8" s="143">
        <f>SE_food_rev_perc</f>
        <v>0.125</v>
      </c>
      <c r="D8" s="143">
        <f>Boca_food_rev_perc</f>
        <v>0.13500000000000001</v>
      </c>
      <c r="E8" s="143">
        <f>SW_food_rev_perc</f>
        <v>0.13</v>
      </c>
      <c r="F8" s="143">
        <f>SWCIRA_food_rev_perc</f>
        <v>0.129</v>
      </c>
      <c r="G8" s="143">
        <f>NC_food_rev_perc</f>
        <v>0.14000000000000001</v>
      </c>
      <c r="H8" s="143">
        <f>YB_food_rev_perc</f>
        <v>0.23200000000000001</v>
      </c>
      <c r="J8" s="209"/>
      <c r="K8" s="209"/>
      <c r="L8" s="209"/>
      <c r="M8" s="209"/>
      <c r="N8" s="209"/>
      <c r="O8" s="209"/>
      <c r="Y8" s="256" t="s">
        <v>515</v>
      </c>
      <c r="Z8" s="253"/>
      <c r="AA8" s="253"/>
      <c r="AB8" s="253"/>
      <c r="AC8" s="254"/>
      <c r="AD8" s="230"/>
    </row>
    <row r="9" spans="1:33" s="127" customFormat="1">
      <c r="A9" s="211" t="s">
        <v>313</v>
      </c>
      <c r="B9" s="175">
        <f>FL_bev_rev_perc</f>
        <v>5.2999999999999999E-2</v>
      </c>
      <c r="C9" s="175">
        <f>SE_bev_rev_perc</f>
        <v>4.7E-2</v>
      </c>
      <c r="D9" s="175">
        <f>Boca_bev_rev_perc</f>
        <v>2.7E-2</v>
      </c>
      <c r="E9" s="175">
        <f>SW_bev_rev_perc</f>
        <v>7.3999999999999996E-2</v>
      </c>
      <c r="F9" s="175">
        <f>SWCIRA_bev_rev_perc</f>
        <v>6.8000000000000005E-2</v>
      </c>
      <c r="G9" s="175">
        <f>NC_bev_rev_perc</f>
        <v>6.8000000000000005E-2</v>
      </c>
      <c r="H9" s="175">
        <f>YB_bev_rev_perc</f>
        <v>0.122</v>
      </c>
      <c r="I9" s="120"/>
      <c r="J9" s="989"/>
      <c r="K9" s="989"/>
      <c r="L9" s="989"/>
      <c r="M9" s="209"/>
      <c r="N9" s="209"/>
      <c r="O9" s="209"/>
      <c r="Y9" s="252"/>
      <c r="Z9" s="253"/>
      <c r="AA9" s="253"/>
      <c r="AB9" s="253"/>
      <c r="AC9" s="254"/>
      <c r="AD9" s="230"/>
    </row>
    <row r="10" spans="1:33" s="127" customFormat="1" ht="15.75" customHeight="1">
      <c r="A10" s="147" t="s">
        <v>314</v>
      </c>
      <c r="B10" s="143">
        <f>FL_ot_rev_perc</f>
        <v>3.6999999999999998E-2</v>
      </c>
      <c r="C10" s="143">
        <f>SE_ot_rev_perc</f>
        <v>3.6999999999999998E-2</v>
      </c>
      <c r="D10" s="143">
        <f>Boca_ot_rev_perc-0.1%</f>
        <v>2.4E-2</v>
      </c>
      <c r="E10" s="143">
        <f>SW_ot_rev_perc+0.1%</f>
        <v>0.02</v>
      </c>
      <c r="F10" s="143">
        <f>SWCIRA_ot_rev_perc+0.1%</f>
        <v>0.05</v>
      </c>
      <c r="G10" s="143">
        <f>NC_ot_rev_perc-0.1%</f>
        <v>6.8000000000000005E-2</v>
      </c>
      <c r="H10" s="143">
        <f>YB_ot_rev_perc</f>
        <v>2.5000000000000001E-2</v>
      </c>
      <c r="I10" s="120"/>
      <c r="J10" s="989"/>
      <c r="K10" s="989"/>
      <c r="L10" s="120"/>
      <c r="M10" s="2131" t="s">
        <v>909</v>
      </c>
      <c r="N10" s="2131"/>
      <c r="O10" s="2131"/>
      <c r="P10" s="2131"/>
      <c r="Q10" s="2131"/>
      <c r="R10" s="2131"/>
      <c r="S10" s="2131"/>
      <c r="AB10" s="252" t="s">
        <v>516</v>
      </c>
      <c r="AC10" s="253"/>
      <c r="AD10" s="257"/>
      <c r="AE10" s="253"/>
      <c r="AF10" s="254"/>
      <c r="AG10" s="230"/>
    </row>
    <row r="11" spans="1:33" s="127" customFormat="1" ht="16.2" thickBot="1">
      <c r="A11" s="177"/>
      <c r="B11" s="212">
        <f>SUM(B6:B10)</f>
        <v>1</v>
      </c>
      <c r="C11" s="212">
        <f t="shared" ref="C11:G11" si="0">SUM(C6:C10)</f>
        <v>1</v>
      </c>
      <c r="D11" s="212">
        <f>SUM(D6:D10)</f>
        <v>1</v>
      </c>
      <c r="E11" s="212">
        <f t="shared" si="0"/>
        <v>0.99999999999999989</v>
      </c>
      <c r="F11" s="212">
        <f>SUM(F6:F10)</f>
        <v>1</v>
      </c>
      <c r="G11" s="212">
        <f t="shared" si="0"/>
        <v>1.0000000000000002</v>
      </c>
      <c r="H11" s="212">
        <f>SUM(H6:H10)</f>
        <v>1</v>
      </c>
      <c r="I11" s="1248"/>
      <c r="J11" s="1248"/>
      <c r="K11" s="1248"/>
      <c r="L11" s="781" t="str">
        <f>IF(B11&lt;&gt;100%,"FIX TOTALS",+IF(C11&lt;&gt;100%,"FIX TOTALS",+IF(D11&lt;&gt;100%,"FIX TOTALS",+IF(E11&lt;&gt;100%,"FIX TOTALS",+IF(F11&lt;&gt;100%,"FIX TOTALS",+IF(G11&lt;&gt;100%,"FIX TOTALS",+IF(H11&lt;&gt;100%,"FIX TOTALS"," ")))))))</f>
        <v xml:space="preserve"> </v>
      </c>
      <c r="M11" s="2131"/>
      <c r="N11" s="2131"/>
      <c r="O11" s="2131"/>
      <c r="P11" s="2131"/>
      <c r="Q11" s="2131"/>
      <c r="R11" s="2131"/>
      <c r="S11" s="2131"/>
      <c r="AB11" s="252"/>
      <c r="AC11" s="258"/>
      <c r="AD11" s="253" t="s">
        <v>517</v>
      </c>
      <c r="AE11" s="253"/>
      <c r="AF11" s="266" t="s">
        <v>520</v>
      </c>
      <c r="AG11" s="230"/>
    </row>
    <row r="12" spans="1:33" s="127" customFormat="1" ht="16.8" thickTop="1" thickBot="1">
      <c r="A12" s="147" t="s">
        <v>315</v>
      </c>
      <c r="B12" s="267">
        <f>FL_tl_rev</f>
        <v>16454000</v>
      </c>
      <c r="C12" s="267">
        <f>SE_tl_rev</f>
        <v>18338000</v>
      </c>
      <c r="D12" s="267">
        <f>BOCA_tl_rev</f>
        <v>27365000</v>
      </c>
      <c r="E12" s="267">
        <f>SW_tl_rev</f>
        <v>14271000</v>
      </c>
      <c r="F12" s="267">
        <f>SWCIRA_tl_rev</f>
        <v>9831000</v>
      </c>
      <c r="G12" s="267">
        <f>NC_tl_rev</f>
        <v>14156000</v>
      </c>
      <c r="H12" s="267">
        <f>YB_tl_rev</f>
        <v>9532000</v>
      </c>
      <c r="I12" s="209"/>
      <c r="J12" s="269"/>
      <c r="K12" s="269"/>
      <c r="L12" s="120"/>
      <c r="M12" s="2131"/>
      <c r="N12" s="2131"/>
      <c r="O12" s="2131"/>
      <c r="P12" s="2131"/>
      <c r="Q12" s="2131"/>
      <c r="R12" s="2131"/>
      <c r="S12" s="2131"/>
      <c r="AB12" s="252"/>
      <c r="AC12" s="259"/>
      <c r="AD12" s="253" t="s">
        <v>518</v>
      </c>
      <c r="AE12" s="253"/>
      <c r="AF12" s="266">
        <v>204229239</v>
      </c>
      <c r="AG12" s="230"/>
    </row>
    <row r="13" spans="1:33" s="127" customFormat="1" ht="16.2" thickTop="1">
      <c r="A13" s="206"/>
      <c r="B13" s="166"/>
      <c r="C13" s="166"/>
      <c r="D13" s="166"/>
      <c r="E13" s="166"/>
      <c r="F13" s="166"/>
      <c r="G13" s="166"/>
      <c r="H13" s="166"/>
      <c r="I13" s="142"/>
      <c r="J13" s="142"/>
      <c r="K13" s="142"/>
      <c r="L13" s="120"/>
      <c r="M13" s="209"/>
      <c r="N13" s="209"/>
      <c r="O13" s="209"/>
      <c r="P13" s="209"/>
      <c r="Q13" s="209"/>
      <c r="R13" s="209"/>
      <c r="AB13" s="252"/>
      <c r="AC13" s="260"/>
      <c r="AD13" s="253"/>
      <c r="AE13" s="253"/>
      <c r="AF13" s="266"/>
      <c r="AG13" s="230"/>
    </row>
    <row r="14" spans="1:33" s="127" customFormat="1" ht="15.6">
      <c r="A14" s="210" t="s">
        <v>316</v>
      </c>
      <c r="B14" s="166"/>
      <c r="C14" s="166"/>
      <c r="D14" s="166"/>
      <c r="E14" s="166"/>
      <c r="F14" s="166"/>
      <c r="G14" s="166"/>
      <c r="H14" s="166"/>
      <c r="I14" s="142"/>
      <c r="J14" s="142"/>
      <c r="K14" s="142"/>
      <c r="L14" s="120"/>
      <c r="M14" s="209"/>
      <c r="N14" s="209"/>
      <c r="O14" s="209"/>
      <c r="P14" s="209"/>
      <c r="Q14" s="209"/>
      <c r="R14" s="209"/>
      <c r="AB14" s="252"/>
      <c r="AC14" s="261"/>
      <c r="AD14" s="253" t="s">
        <v>521</v>
      </c>
      <c r="AE14" s="253"/>
      <c r="AF14" s="266">
        <v>210203204</v>
      </c>
      <c r="AG14" s="230"/>
    </row>
    <row r="15" spans="1:33" s="127" customFormat="1">
      <c r="A15" s="211" t="s">
        <v>16</v>
      </c>
      <c r="B15" s="175">
        <f>FL_pay</f>
        <v>0.51400000000000001</v>
      </c>
      <c r="C15" s="175">
        <f>SE_pay</f>
        <v>0.502</v>
      </c>
      <c r="D15" s="175">
        <f>BOCA_pay</f>
        <v>0.53100000000000003</v>
      </c>
      <c r="E15" s="175">
        <f>SW_pay</f>
        <v>0.52500000000000002</v>
      </c>
      <c r="F15" s="175">
        <f>SWCIRA_pay</f>
        <v>0.49199999999999999</v>
      </c>
      <c r="G15" s="175">
        <f>NC_pay</f>
        <v>0.503</v>
      </c>
      <c r="H15" s="175">
        <f>YB_pay</f>
        <v>0.48899999999999999</v>
      </c>
      <c r="I15" s="1247"/>
      <c r="J15" s="1247"/>
      <c r="K15" s="1247"/>
      <c r="L15" s="120"/>
      <c r="M15" s="209"/>
      <c r="N15" s="209"/>
      <c r="O15" s="209"/>
      <c r="P15" s="209"/>
      <c r="Q15" s="209"/>
      <c r="R15" s="209"/>
      <c r="AB15" s="252"/>
      <c r="AC15" s="262"/>
      <c r="AD15" s="253" t="s">
        <v>519</v>
      </c>
      <c r="AE15" s="253"/>
      <c r="AF15" s="266" t="s">
        <v>522</v>
      </c>
      <c r="AG15" s="230"/>
    </row>
    <row r="16" spans="1:33" s="127" customFormat="1">
      <c r="A16" s="147" t="s">
        <v>317</v>
      </c>
      <c r="B16" s="143">
        <f>FL_fb_cos</f>
        <v>9.0999999999999998E-2</v>
      </c>
      <c r="C16" s="143">
        <f>SE_fb_cos</f>
        <v>8.5999999999999993E-2</v>
      </c>
      <c r="D16" s="143">
        <f>BOCA_fb_cos</f>
        <v>9.7000000000000003E-2</v>
      </c>
      <c r="E16" s="143">
        <f>SW_fb_cos</f>
        <v>9.1999999999999998E-2</v>
      </c>
      <c r="F16" s="143">
        <f>SWCIRA_fb_cos</f>
        <v>8.5999999999999993E-2</v>
      </c>
      <c r="G16" s="143">
        <f>NC_fb_cos</f>
        <v>9.2999999999999999E-2</v>
      </c>
      <c r="H16" s="143">
        <f>YB_fb_cos</f>
        <v>0.14799999999999999</v>
      </c>
      <c r="I16" s="1247"/>
      <c r="J16" s="1247"/>
      <c r="K16" s="1247"/>
      <c r="L16" s="120"/>
      <c r="M16" s="209"/>
      <c r="N16" s="209"/>
      <c r="O16" s="209"/>
      <c r="P16" s="209"/>
      <c r="Q16" s="209"/>
      <c r="R16" s="209"/>
      <c r="AB16" s="252"/>
      <c r="AC16" s="253"/>
      <c r="AD16" s="253"/>
      <c r="AE16" s="253"/>
      <c r="AF16" s="254"/>
      <c r="AG16" s="230"/>
    </row>
    <row r="17" spans="1:33" s="127" customFormat="1" ht="15.6" thickBot="1">
      <c r="A17" s="211" t="s">
        <v>318</v>
      </c>
      <c r="B17" s="175">
        <f>SUM(FL_op_exp)</f>
        <v>0.35400000000000004</v>
      </c>
      <c r="C17" s="175">
        <f>SUM(SE_op_exp)</f>
        <v>0.36600000000000005</v>
      </c>
      <c r="D17" s="175">
        <f>SUM(BOCA_op_exp)+0.1%</f>
        <v>0.33500000000000002</v>
      </c>
      <c r="E17" s="175">
        <f>SUM(SW_op_exp)</f>
        <v>0.34599999999999997</v>
      </c>
      <c r="F17" s="175">
        <f>SUM(SWCIRA_op_exp)+0.1%</f>
        <v>0.39300000000000002</v>
      </c>
      <c r="G17" s="175">
        <f>SUM(NC_op_exp)</f>
        <v>0.35900000000000004</v>
      </c>
      <c r="H17" s="175">
        <f>SUM(YB_op_exp)</f>
        <v>0.29599999999999999</v>
      </c>
      <c r="I17" s="1247"/>
      <c r="J17" s="1247"/>
      <c r="K17" s="1247"/>
      <c r="L17" s="120"/>
      <c r="M17" s="2131" t="s">
        <v>911</v>
      </c>
      <c r="N17" s="2131"/>
      <c r="O17" s="2131"/>
      <c r="P17" s="2131"/>
      <c r="Q17" s="2131"/>
      <c r="R17" s="2131"/>
      <c r="S17" s="2131"/>
      <c r="AB17" s="263"/>
      <c r="AC17" s="264"/>
      <c r="AD17" s="264"/>
      <c r="AE17" s="264"/>
      <c r="AF17" s="265"/>
      <c r="AG17" s="230"/>
    </row>
    <row r="18" spans="1:33" s="127" customFormat="1" ht="15.75" customHeight="1">
      <c r="A18" s="147" t="s">
        <v>319</v>
      </c>
      <c r="B18" s="143">
        <f>SUM(FL_proptax_ins_exp)+0.1%</f>
        <v>4.1000000000000002E-2</v>
      </c>
      <c r="C18" s="143">
        <f>SUM(SE_proptax_ins_exp)</f>
        <v>4.5999999999999999E-2</v>
      </c>
      <c r="D18" s="143">
        <f>SUM(BOCA_proptax_ins_exp)-0.1%</f>
        <v>3.6999999999999998E-2</v>
      </c>
      <c r="E18" s="143">
        <f>SUM(SW_proptax_ins_exp)-0.1%</f>
        <v>3.6999999999999998E-2</v>
      </c>
      <c r="F18" s="143">
        <f>SUM(SWCIRA_proptax_ins_exp)</f>
        <v>2.9000000000000001E-2</v>
      </c>
      <c r="G18" s="143">
        <f>SUM(NC_proptax_ins_exp)</f>
        <v>4.4999999999999998E-2</v>
      </c>
      <c r="H18" s="143">
        <f>SUM(YB_proptax_ins_exp)</f>
        <v>6.7000000000000004E-2</v>
      </c>
      <c r="I18" s="1247"/>
      <c r="J18" s="1247"/>
      <c r="K18" s="1247"/>
      <c r="L18" s="120"/>
      <c r="M18" s="2131"/>
      <c r="N18" s="2131"/>
      <c r="O18" s="2131"/>
      <c r="P18" s="2131"/>
      <c r="Q18" s="2131"/>
      <c r="R18" s="2131"/>
      <c r="S18" s="2131"/>
      <c r="AB18" s="238"/>
      <c r="AC18" s="238"/>
      <c r="AD18" s="238"/>
      <c r="AE18" s="238"/>
      <c r="AF18" s="238"/>
      <c r="AG18" s="230"/>
    </row>
    <row r="19" spans="1:33" s="127" customFormat="1" ht="16.2" thickBot="1">
      <c r="A19" s="177"/>
      <c r="B19" s="212">
        <f t="shared" ref="B19:E19" si="1">SUM(B15:B18)</f>
        <v>1</v>
      </c>
      <c r="C19" s="212">
        <f t="shared" si="1"/>
        <v>1</v>
      </c>
      <c r="D19" s="212">
        <f t="shared" si="1"/>
        <v>1</v>
      </c>
      <c r="E19" s="212">
        <f t="shared" si="1"/>
        <v>1</v>
      </c>
      <c r="F19" s="212">
        <f>SUM(F15:F18)</f>
        <v>1</v>
      </c>
      <c r="G19" s="212">
        <f>SUM(G15:G18)</f>
        <v>1</v>
      </c>
      <c r="H19" s="212">
        <f>SUM(H15:H18)</f>
        <v>1</v>
      </c>
      <c r="I19" s="1248"/>
      <c r="J19" s="1248"/>
      <c r="K19" s="1248"/>
      <c r="L19" s="781" t="str">
        <f>IF(B19&lt;&gt;100%,"FIX TOTALS",+IF(C19&lt;&gt;100%,"FIX TOTALS",+IF(D19&lt;&gt;100%,"FIX TOTALS",+IF(E19&lt;&gt;100%,"FIX TOTALS",+IF(F19&lt;&gt;100%,"FIX TOTALS",+IF(G19&lt;&gt;100%,"FIX TOTALS",+IF(H19&lt;&gt;100%,"FIX TOTALS"," ")))))))</f>
        <v xml:space="preserve"> </v>
      </c>
      <c r="M19" s="2131"/>
      <c r="N19" s="2131"/>
      <c r="O19" s="2131"/>
      <c r="P19" s="2131"/>
      <c r="Q19" s="2131"/>
      <c r="R19" s="2131"/>
      <c r="S19" s="2131"/>
    </row>
    <row r="20" spans="1:33" s="127" customFormat="1" thickTop="1" thickBot="1">
      <c r="A20" s="147" t="s">
        <v>320</v>
      </c>
      <c r="B20" s="267">
        <f>FL_tl_exp</f>
        <v>16411000</v>
      </c>
      <c r="C20" s="267">
        <f>SE_tl_exp</f>
        <v>18169000</v>
      </c>
      <c r="D20" s="267">
        <f>BOCA_tl_exp</f>
        <v>27622000</v>
      </c>
      <c r="E20" s="267">
        <f>SW_tl_exp</f>
        <v>14004000</v>
      </c>
      <c r="F20" s="267">
        <f>SWCIRA_tl_exp</f>
        <v>9690000</v>
      </c>
      <c r="G20" s="267">
        <f>NC_tl_exp</f>
        <v>14346000</v>
      </c>
      <c r="H20" s="267">
        <f>YB_tl_exp</f>
        <v>9606000</v>
      </c>
      <c r="I20" s="209"/>
      <c r="J20" s="2131"/>
      <c r="K20" s="2131"/>
      <c r="L20" s="2131"/>
      <c r="M20" s="2131"/>
      <c r="N20" s="2131"/>
      <c r="O20" s="2131"/>
      <c r="P20" s="2131"/>
    </row>
    <row r="21" spans="1:33" s="127" customFormat="1" ht="14.4" thickTop="1">
      <c r="A21" s="177"/>
      <c r="B21" s="166"/>
      <c r="C21" s="166"/>
      <c r="D21" s="166"/>
      <c r="E21" s="166"/>
      <c r="F21" s="166"/>
      <c r="G21" s="166"/>
      <c r="H21" s="166"/>
      <c r="J21" s="2131"/>
      <c r="K21" s="2131"/>
      <c r="L21" s="2131"/>
      <c r="M21" s="2131"/>
      <c r="N21" s="2131"/>
      <c r="O21" s="2131"/>
      <c r="P21" s="2131"/>
    </row>
    <row r="22" spans="1:33" s="127" customFormat="1" ht="14.4" thickBot="1">
      <c r="A22" s="213" t="s">
        <v>585</v>
      </c>
      <c r="B22" s="268">
        <f>+B12-B20</f>
        <v>43000</v>
      </c>
      <c r="C22" s="268">
        <f t="shared" ref="C22:H22" si="2">+C12-C20</f>
        <v>169000</v>
      </c>
      <c r="D22" s="268">
        <f t="shared" si="2"/>
        <v>-257000</v>
      </c>
      <c r="E22" s="268">
        <f t="shared" si="2"/>
        <v>267000</v>
      </c>
      <c r="F22" s="268">
        <f t="shared" si="2"/>
        <v>141000</v>
      </c>
      <c r="G22" s="268">
        <f t="shared" si="2"/>
        <v>-190000</v>
      </c>
      <c r="H22" s="268">
        <f t="shared" si="2"/>
        <v>-74000</v>
      </c>
      <c r="Q22" s="209"/>
      <c r="R22" s="209"/>
      <c r="S22" s="209"/>
      <c r="T22" s="209"/>
      <c r="U22" s="209"/>
    </row>
    <row r="23" spans="1:33" s="127" customFormat="1" ht="14.4" thickTop="1">
      <c r="A23" s="120"/>
      <c r="B23" s="120"/>
      <c r="C23" s="120"/>
      <c r="D23" s="120"/>
      <c r="E23" s="120"/>
      <c r="F23" s="120"/>
      <c r="J23" s="209"/>
      <c r="K23" s="209"/>
      <c r="L23" s="209"/>
      <c r="M23" s="209"/>
      <c r="N23" s="209"/>
      <c r="O23" s="209"/>
      <c r="P23" s="209"/>
      <c r="Q23" s="209"/>
      <c r="R23" s="209"/>
      <c r="S23" s="209"/>
      <c r="T23" s="209"/>
      <c r="U23" s="209"/>
    </row>
    <row r="24" spans="1:33" s="127" customFormat="1" ht="13.8">
      <c r="A24" s="120"/>
      <c r="B24" s="142"/>
      <c r="C24" s="142"/>
      <c r="D24" s="142"/>
      <c r="E24" s="142"/>
      <c r="F24" s="142"/>
      <c r="G24" s="166"/>
      <c r="H24" s="166"/>
      <c r="J24" s="209"/>
      <c r="K24" s="209"/>
      <c r="L24" s="209"/>
      <c r="M24" s="209"/>
      <c r="N24" s="209"/>
      <c r="O24" s="209"/>
      <c r="P24" s="209"/>
      <c r="Q24" s="209"/>
      <c r="R24" s="209"/>
      <c r="S24" s="209"/>
      <c r="T24" s="209"/>
      <c r="U24" s="209"/>
    </row>
    <row r="25" spans="1:33" s="209" customFormat="1" ht="21">
      <c r="A25" s="246" t="s">
        <v>1040</v>
      </c>
      <c r="B25" s="989"/>
      <c r="C25" s="989"/>
      <c r="D25" s="989"/>
      <c r="E25" s="989"/>
      <c r="F25" s="989"/>
    </row>
    <row r="26" spans="1:33" s="209" customFormat="1" ht="13.8">
      <c r="A26" s="990"/>
      <c r="B26" s="989"/>
      <c r="C26" s="989"/>
      <c r="D26" s="989"/>
      <c r="E26" s="989"/>
      <c r="F26" s="989"/>
    </row>
    <row r="27" spans="1:33" s="209" customFormat="1" ht="15.75" customHeight="1">
      <c r="A27" s="139" t="s">
        <v>459</v>
      </c>
      <c r="B27" s="140" t="s">
        <v>274</v>
      </c>
      <c r="C27" s="140" t="s">
        <v>419</v>
      </c>
      <c r="D27" s="140" t="s">
        <v>270</v>
      </c>
      <c r="E27" s="140" t="s">
        <v>271</v>
      </c>
      <c r="F27" s="140" t="s">
        <v>421</v>
      </c>
      <c r="G27" s="164" t="s">
        <v>272</v>
      </c>
      <c r="H27" s="164" t="s">
        <v>273</v>
      </c>
    </row>
    <row r="28" spans="1:33" ht="15.75" customHeight="1">
      <c r="A28" s="991"/>
      <c r="B28" s="140" t="s">
        <v>268</v>
      </c>
      <c r="C28" s="140" t="s">
        <v>295</v>
      </c>
      <c r="D28" s="140" t="s">
        <v>734</v>
      </c>
      <c r="E28" s="140" t="s">
        <v>296</v>
      </c>
      <c r="F28" s="140" t="s">
        <v>277</v>
      </c>
      <c r="G28" s="164" t="s">
        <v>278</v>
      </c>
      <c r="H28" s="164" t="s">
        <v>297</v>
      </c>
      <c r="I28" s="209"/>
      <c r="J28" s="127"/>
      <c r="K28" s="127"/>
      <c r="L28" s="127"/>
      <c r="M28" s="127"/>
      <c r="N28" s="127"/>
      <c r="O28" s="127"/>
      <c r="P28" s="127"/>
      <c r="Q28" s="127"/>
      <c r="R28" s="127"/>
      <c r="S28" s="127"/>
      <c r="T28" s="127"/>
      <c r="U28" s="127"/>
      <c r="V28" s="127"/>
      <c r="W28" s="127"/>
    </row>
    <row r="29" spans="1:33" s="127" customFormat="1" ht="13.8">
      <c r="A29" s="210" t="s">
        <v>5</v>
      </c>
      <c r="B29" s="166"/>
      <c r="C29" s="166"/>
      <c r="D29" s="166"/>
      <c r="E29" s="166"/>
      <c r="F29" s="166"/>
      <c r="G29" s="166"/>
      <c r="H29" s="166"/>
      <c r="I29" s="209"/>
    </row>
    <row r="30" spans="1:33" s="127" customFormat="1">
      <c r="A30" s="147" t="s">
        <v>45</v>
      </c>
      <c r="B30" s="880">
        <f>SUM(FL_dues_rev_perFME)</f>
        <v>13820</v>
      </c>
      <c r="C30" s="881">
        <f>SUM(SE_dues_rev_perFME)</f>
        <v>18600</v>
      </c>
      <c r="D30" s="881">
        <f>SUM(BOCA_dues_rev_perFME)</f>
        <v>20770</v>
      </c>
      <c r="E30" s="881">
        <f>SUM(SW_dues_rev_perFME)</f>
        <v>14350</v>
      </c>
      <c r="F30" s="881">
        <f>SUM(SWCIRA_dues_rev_perFME)</f>
        <v>6150</v>
      </c>
      <c r="G30" s="881">
        <f>SUM(NC_dues_rev_perFME)</f>
        <v>10520</v>
      </c>
      <c r="H30" s="881">
        <f>SUM(YB_dues_rev_perFME)</f>
        <v>6430</v>
      </c>
      <c r="I30" s="209"/>
      <c r="J30" s="136"/>
      <c r="K30" s="2098"/>
      <c r="L30" s="2098"/>
      <c r="M30" s="2098"/>
      <c r="N30" s="2098"/>
      <c r="O30" s="2098"/>
      <c r="P30" s="2098"/>
      <c r="Q30" s="2098"/>
    </row>
    <row r="31" spans="1:33" s="127" customFormat="1" ht="13.8">
      <c r="A31" s="211" t="s">
        <v>311</v>
      </c>
      <c r="B31" s="679">
        <f>SUM(FL_sport_rev_perFME)</f>
        <v>3720</v>
      </c>
      <c r="C31" s="679">
        <f>SUM(SE_sport_rev_perFME)</f>
        <v>4830</v>
      </c>
      <c r="D31" s="679">
        <f>SUM(BOCA_sport_rev_perFME)</f>
        <v>3940</v>
      </c>
      <c r="E31" s="679">
        <f>SUM(SW_sport_rev_perFME)</f>
        <v>5090</v>
      </c>
      <c r="F31" s="679">
        <f>SUM(SWCIRA_sport_rev_perFME)</f>
        <v>2080</v>
      </c>
      <c r="G31" s="679">
        <f>SUM(NC_sport_rev_perFME)</f>
        <v>2970</v>
      </c>
      <c r="H31" s="679">
        <f>SUM(YB_sport_rev_perFME)</f>
        <v>2150</v>
      </c>
      <c r="I31" s="209"/>
      <c r="J31" s="2099"/>
      <c r="K31" s="2100"/>
      <c r="L31" s="2100"/>
      <c r="M31" s="2100"/>
      <c r="N31" s="2100"/>
      <c r="O31" s="2100"/>
      <c r="P31" s="2100"/>
      <c r="Q31" s="679"/>
    </row>
    <row r="32" spans="1:33" s="127" customFormat="1" ht="13.8">
      <c r="A32" s="147" t="s">
        <v>312</v>
      </c>
      <c r="B32" s="678">
        <f>FL_food_rev_perFME</f>
        <v>2970</v>
      </c>
      <c r="C32" s="678">
        <f>SE_food_rev_perFME</f>
        <v>3680</v>
      </c>
      <c r="D32" s="678">
        <f>BOCA_food_rev_perFME</f>
        <v>4100</v>
      </c>
      <c r="E32" s="678">
        <f>SW_food_rev_perFME</f>
        <v>3250</v>
      </c>
      <c r="F32" s="678">
        <f>SWCIRA_food_rev_perFME</f>
        <v>1410</v>
      </c>
      <c r="G32" s="678">
        <f>NC_food_rev_perFME</f>
        <v>2600</v>
      </c>
      <c r="H32" s="678">
        <f>YB_food_rev_perFME</f>
        <v>3200</v>
      </c>
      <c r="I32" s="209"/>
      <c r="J32" s="209"/>
      <c r="K32" s="209"/>
      <c r="L32" s="209"/>
      <c r="M32" s="209"/>
      <c r="N32" s="209"/>
      <c r="O32" s="209"/>
    </row>
    <row r="33" spans="1:21" s="127" customFormat="1" ht="13.8">
      <c r="A33" s="211" t="s">
        <v>313</v>
      </c>
      <c r="B33" s="679">
        <f>FL_bev_rev_perFME</f>
        <v>1200</v>
      </c>
      <c r="C33" s="679">
        <f>SE_bev_rev_perFME</f>
        <v>1380</v>
      </c>
      <c r="D33" s="679">
        <f>BOCA_bev_rev_perFME</f>
        <v>830</v>
      </c>
      <c r="E33" s="679">
        <f>SW_bev_rev_perFME</f>
        <v>1860</v>
      </c>
      <c r="F33" s="679">
        <f>SWCIRA_bev_rev_perFME</f>
        <v>750</v>
      </c>
      <c r="G33" s="679">
        <f>NC_bev_rev_perFME</f>
        <v>1260</v>
      </c>
      <c r="H33" s="679">
        <f>YB_bev_rev_perFME</f>
        <v>1680</v>
      </c>
      <c r="I33" s="209"/>
      <c r="J33" s="209"/>
      <c r="K33" s="623"/>
      <c r="L33" s="623"/>
      <c r="M33" s="623"/>
      <c r="N33" s="623"/>
      <c r="O33" s="623"/>
      <c r="P33" s="623"/>
      <c r="Q33" s="623"/>
    </row>
    <row r="34" spans="1:21" s="127" customFormat="1" ht="13.8">
      <c r="A34" s="147" t="s">
        <v>314</v>
      </c>
      <c r="B34" s="678">
        <f>FL_ot_rev_perFME</f>
        <v>830</v>
      </c>
      <c r="C34" s="678">
        <f>SE_ot_rev_perFME</f>
        <v>1080</v>
      </c>
      <c r="D34" s="678">
        <f>BOCA_ot_rev_perFME</f>
        <v>750</v>
      </c>
      <c r="E34" s="678">
        <f>SW_ot_rev_perFME</f>
        <v>480</v>
      </c>
      <c r="F34" s="678">
        <f>SWCIRA_ot_rev_perFME</f>
        <v>540</v>
      </c>
      <c r="G34" s="678">
        <f>NC_ot_rev_perFME</f>
        <v>1280</v>
      </c>
      <c r="H34" s="678">
        <f>YB_ot_rev_perFME</f>
        <v>350</v>
      </c>
      <c r="I34" s="209"/>
      <c r="J34" s="623"/>
      <c r="K34" s="623"/>
      <c r="L34" s="623"/>
      <c r="M34" s="623"/>
      <c r="N34" s="623"/>
      <c r="O34" s="623"/>
      <c r="P34" s="623"/>
      <c r="Q34" s="623"/>
    </row>
    <row r="35" spans="1:21" s="127" customFormat="1" ht="14.4" thickBot="1">
      <c r="A35" s="741" t="s">
        <v>952</v>
      </c>
      <c r="B35" s="882">
        <f>SUM(B30:B34)</f>
        <v>22540</v>
      </c>
      <c r="C35" s="882">
        <f t="shared" ref="C35:H35" si="3">SUM(C30:C34)</f>
        <v>29570</v>
      </c>
      <c r="D35" s="882">
        <f t="shared" si="3"/>
        <v>30390</v>
      </c>
      <c r="E35" s="882">
        <f t="shared" si="3"/>
        <v>25030</v>
      </c>
      <c r="F35" s="882">
        <f t="shared" si="3"/>
        <v>10930</v>
      </c>
      <c r="G35" s="882">
        <f t="shared" si="3"/>
        <v>18630</v>
      </c>
      <c r="H35" s="882">
        <f t="shared" si="3"/>
        <v>13810</v>
      </c>
      <c r="I35" s="209"/>
    </row>
    <row r="36" spans="1:21" s="127" customFormat="1" ht="14.4" thickTop="1">
      <c r="A36" s="206"/>
      <c r="B36" s="166"/>
      <c r="C36" s="166"/>
      <c r="D36" s="166"/>
      <c r="E36" s="166"/>
      <c r="F36" s="166"/>
      <c r="G36" s="166"/>
      <c r="H36" s="166"/>
      <c r="I36" s="209"/>
      <c r="K36" s="2101"/>
      <c r="L36" s="2101"/>
      <c r="M36" s="2101"/>
      <c r="N36" s="2101"/>
      <c r="O36" s="2101"/>
      <c r="P36" s="2101"/>
      <c r="Q36" s="2101"/>
    </row>
    <row r="37" spans="1:21" s="127" customFormat="1" ht="13.8">
      <c r="A37" s="210" t="s">
        <v>316</v>
      </c>
      <c r="B37" s="166"/>
      <c r="C37" s="166"/>
      <c r="D37" s="166"/>
      <c r="E37" s="166"/>
      <c r="F37" s="166"/>
      <c r="G37" s="166"/>
      <c r="H37" s="166"/>
      <c r="I37" s="209"/>
      <c r="K37" s="2102"/>
      <c r="L37" s="2102"/>
      <c r="M37" s="2102"/>
      <c r="N37" s="2102"/>
      <c r="O37" s="2102"/>
      <c r="P37" s="2102"/>
      <c r="Q37" s="2102"/>
    </row>
    <row r="38" spans="1:21" s="127" customFormat="1" ht="13.8">
      <c r="A38" s="211" t="s">
        <v>16</v>
      </c>
      <c r="B38" s="883">
        <f>FL_pay_p.FME</f>
        <v>11550</v>
      </c>
      <c r="C38" s="883">
        <f>SE_pay_p.FME</f>
        <v>14710</v>
      </c>
      <c r="D38" s="883">
        <f>BOCA_pay_p.FME</f>
        <v>16300</v>
      </c>
      <c r="E38" s="883">
        <f>SW_pay_p.FME</f>
        <v>12890</v>
      </c>
      <c r="F38" s="883">
        <f>SWCIRA_pay_p.FME</f>
        <v>5300</v>
      </c>
      <c r="G38" s="883">
        <f>NC_pay_p.FME</f>
        <v>9500</v>
      </c>
      <c r="H38" s="883">
        <f>YB_pay_p.FME</f>
        <v>6810</v>
      </c>
      <c r="I38" s="209"/>
    </row>
    <row r="39" spans="1:21" s="127" customFormat="1" ht="13.8">
      <c r="A39" s="147" t="s">
        <v>317</v>
      </c>
      <c r="B39" s="678">
        <f>FL_fb_cos_perFME</f>
        <v>2060</v>
      </c>
      <c r="C39" s="678">
        <f>SE_fb_cos_perFME</f>
        <v>2530</v>
      </c>
      <c r="D39" s="678">
        <f>BOCA_fb_cos_perFME</f>
        <v>2960</v>
      </c>
      <c r="E39" s="678">
        <f>SW_fb_cos_perFME</f>
        <v>2260</v>
      </c>
      <c r="F39" s="678">
        <f>SWCIRA_fb_cos_perFME</f>
        <v>930</v>
      </c>
      <c r="G39" s="678">
        <f>NC_fb_cos_perFME</f>
        <v>1760</v>
      </c>
      <c r="H39" s="678">
        <f>YB_fb_cos_perFME</f>
        <v>2070</v>
      </c>
      <c r="I39" s="209"/>
    </row>
    <row r="40" spans="1:21" s="127" customFormat="1" ht="13.8">
      <c r="A40" s="211" t="s">
        <v>318</v>
      </c>
      <c r="B40" s="679">
        <f>SUM(FL_op_exp_perFME)</f>
        <v>7960</v>
      </c>
      <c r="C40" s="679">
        <f>SUM(SE_op_exp_perFME)</f>
        <v>10710</v>
      </c>
      <c r="D40" s="679">
        <f>SUM(BOCA_op_exp_perFME)</f>
        <v>10260</v>
      </c>
      <c r="E40" s="679">
        <f>SUM(SW_op_exp_perFME)</f>
        <v>8490</v>
      </c>
      <c r="F40" s="679">
        <f>SUM(SWCIRA_op_exp_perFME)</f>
        <v>4230</v>
      </c>
      <c r="G40" s="679">
        <f>SUM(NC_op_exp_perFME)</f>
        <v>6770</v>
      </c>
      <c r="H40" s="679">
        <f>SUM(YB_op_exp_perFME)</f>
        <v>4110</v>
      </c>
      <c r="I40" s="209"/>
      <c r="K40" s="623"/>
      <c r="L40" s="623"/>
      <c r="M40" s="623"/>
      <c r="N40" s="623"/>
      <c r="O40" s="623"/>
      <c r="P40" s="623"/>
      <c r="Q40" s="623"/>
    </row>
    <row r="41" spans="1:21" s="127" customFormat="1" ht="13.8">
      <c r="A41" s="147" t="s">
        <v>319</v>
      </c>
      <c r="B41" s="678">
        <f>SUM(FL_proptax_p.FME)+SUM(FL_ins_p.FME)</f>
        <v>910</v>
      </c>
      <c r="C41" s="678">
        <f>SUM(SE_proptax_p.FME)+SUM(SE_ins_p.FME)</f>
        <v>1350</v>
      </c>
      <c r="D41" s="678">
        <f>SUM(BOCA_proptax_p.FME)+SUM(BOCA_ins_p.FME)</f>
        <v>1180</v>
      </c>
      <c r="E41" s="678">
        <f>SUM(SW_proptax_p.FME)+SUM(SW_ins_p.FME)</f>
        <v>950</v>
      </c>
      <c r="F41" s="678">
        <f>SUM(SWCIRA_proptax_p.FME)+SUM(SWCIRA_ins_p.FME)</f>
        <v>310</v>
      </c>
      <c r="G41" s="678">
        <f>SUM(NC_proptax_p.FME)+SUM(NC_ins_p.FME)</f>
        <v>860</v>
      </c>
      <c r="H41" s="678">
        <f>SUM(YB_proptax_p.FME)+SUM(YB_ins_p.FME)</f>
        <v>930</v>
      </c>
      <c r="I41" s="209"/>
    </row>
    <row r="42" spans="1:21" s="127" customFormat="1" ht="14.4" thickBot="1">
      <c r="A42" s="741" t="s">
        <v>953</v>
      </c>
      <c r="B42" s="882">
        <f>SUM(B38:B41)</f>
        <v>22480</v>
      </c>
      <c r="C42" s="882">
        <f t="shared" ref="C42:H42" si="4">SUM(C38:C41)</f>
        <v>29300</v>
      </c>
      <c r="D42" s="882">
        <f t="shared" si="4"/>
        <v>30700</v>
      </c>
      <c r="E42" s="882">
        <f t="shared" si="4"/>
        <v>24590</v>
      </c>
      <c r="F42" s="882">
        <f t="shared" si="4"/>
        <v>10770</v>
      </c>
      <c r="G42" s="882">
        <f t="shared" si="4"/>
        <v>18890</v>
      </c>
      <c r="H42" s="882">
        <f t="shared" si="4"/>
        <v>13920</v>
      </c>
      <c r="I42" s="209"/>
    </row>
    <row r="43" spans="1:21" s="127" customFormat="1" ht="14.4" thickTop="1">
      <c r="A43" s="177"/>
      <c r="B43" s="166"/>
      <c r="C43" s="166"/>
      <c r="D43" s="166"/>
      <c r="E43" s="166"/>
      <c r="F43" s="166"/>
      <c r="G43" s="166"/>
      <c r="H43" s="166"/>
      <c r="I43" s="209"/>
    </row>
    <row r="44" spans="1:21" s="127" customFormat="1" ht="14.4" thickBot="1">
      <c r="A44" s="211" t="s">
        <v>1120</v>
      </c>
      <c r="B44" s="268">
        <f>+B35-B42</f>
        <v>60</v>
      </c>
      <c r="C44" s="268">
        <f t="shared" ref="C44:H44" si="5">+C35-C42</f>
        <v>270</v>
      </c>
      <c r="D44" s="268">
        <f t="shared" si="5"/>
        <v>-310</v>
      </c>
      <c r="E44" s="268">
        <f t="shared" si="5"/>
        <v>440</v>
      </c>
      <c r="F44" s="268">
        <f t="shared" si="5"/>
        <v>160</v>
      </c>
      <c r="G44" s="268">
        <f t="shared" si="5"/>
        <v>-260</v>
      </c>
      <c r="H44" s="268">
        <f t="shared" si="5"/>
        <v>-110</v>
      </c>
      <c r="I44" s="209"/>
      <c r="J44" s="166"/>
      <c r="R44" s="209"/>
      <c r="S44" s="209"/>
      <c r="T44" s="209"/>
      <c r="U44" s="209"/>
    </row>
    <row r="45" spans="1:21" s="127" customFormat="1" ht="14.4" thickTop="1">
      <c r="A45" s="213"/>
      <c r="B45" s="677"/>
      <c r="C45" s="677"/>
      <c r="D45" s="677"/>
      <c r="E45" s="677"/>
      <c r="F45" s="677"/>
      <c r="G45" s="677"/>
      <c r="H45" s="677"/>
      <c r="J45" s="623"/>
      <c r="K45" s="623"/>
      <c r="L45" s="623"/>
      <c r="M45" s="623"/>
      <c r="N45" s="623"/>
      <c r="O45" s="623"/>
      <c r="P45" s="623"/>
      <c r="Q45" s="209"/>
      <c r="R45" s="209"/>
      <c r="S45" s="209"/>
      <c r="T45" s="209"/>
      <c r="U45" s="209"/>
    </row>
    <row r="46" spans="1:21" s="127" customFormat="1" ht="21">
      <c r="A46" s="246" t="s">
        <v>1380</v>
      </c>
      <c r="B46" s="677"/>
      <c r="C46" s="677"/>
      <c r="D46" s="677"/>
      <c r="E46" s="677"/>
      <c r="F46" s="677"/>
      <c r="G46" s="677"/>
      <c r="H46" s="677"/>
      <c r="J46" s="623"/>
      <c r="R46" s="209"/>
      <c r="S46" s="209"/>
      <c r="T46" s="209"/>
      <c r="U46" s="209"/>
    </row>
    <row r="47" spans="1:21" s="127" customFormat="1" ht="13.8">
      <c r="A47" s="213"/>
      <c r="B47" s="677"/>
      <c r="C47" s="677"/>
      <c r="D47" s="677"/>
      <c r="E47" s="677"/>
      <c r="F47" s="677"/>
      <c r="G47" s="677"/>
      <c r="H47" s="677"/>
      <c r="J47" s="623"/>
      <c r="K47" s="623"/>
      <c r="L47" s="623"/>
      <c r="M47" s="623"/>
      <c r="N47" s="623"/>
      <c r="O47" s="623"/>
      <c r="P47" s="623"/>
      <c r="Q47" s="209"/>
      <c r="R47" s="209"/>
      <c r="S47" s="209"/>
      <c r="T47" s="209"/>
      <c r="U47" s="209"/>
    </row>
    <row r="48" spans="1:21" s="127" customFormat="1" ht="13.8">
      <c r="A48" s="139" t="s">
        <v>459</v>
      </c>
      <c r="B48" s="140" t="s">
        <v>274</v>
      </c>
      <c r="C48" s="140" t="s">
        <v>419</v>
      </c>
      <c r="D48" s="140" t="s">
        <v>757</v>
      </c>
      <c r="E48" s="140" t="s">
        <v>271</v>
      </c>
      <c r="F48" s="140" t="s">
        <v>421</v>
      </c>
      <c r="G48" s="140" t="s">
        <v>272</v>
      </c>
      <c r="H48" s="140" t="s">
        <v>575</v>
      </c>
      <c r="J48" s="209"/>
      <c r="K48" s="209"/>
      <c r="L48" s="209"/>
      <c r="M48" s="209"/>
      <c r="N48" s="209"/>
      <c r="O48" s="209"/>
      <c r="P48" s="209"/>
      <c r="Q48" s="209"/>
      <c r="R48" s="209"/>
      <c r="S48" s="209"/>
      <c r="T48" s="209"/>
      <c r="U48" s="209"/>
    </row>
    <row r="49" spans="1:21" s="127" customFormat="1" ht="13.8">
      <c r="A49" s="224"/>
      <c r="B49" s="140" t="s">
        <v>268</v>
      </c>
      <c r="C49" s="140" t="s">
        <v>295</v>
      </c>
      <c r="D49" s="140" t="s">
        <v>257</v>
      </c>
      <c r="E49" s="140" t="s">
        <v>296</v>
      </c>
      <c r="F49" s="140" t="s">
        <v>277</v>
      </c>
      <c r="G49" s="140" t="s">
        <v>278</v>
      </c>
      <c r="H49" s="225" t="s">
        <v>297</v>
      </c>
      <c r="J49" s="209"/>
      <c r="K49" s="209"/>
      <c r="L49" s="209"/>
      <c r="M49" s="209"/>
      <c r="N49" s="209"/>
      <c r="O49" s="209"/>
      <c r="P49" s="209"/>
      <c r="Q49" s="209"/>
      <c r="R49" s="209"/>
      <c r="S49" s="209"/>
      <c r="T49" s="209"/>
      <c r="U49" s="209"/>
    </row>
    <row r="50" spans="1:21" s="127" customFormat="1" ht="13.8">
      <c r="A50" s="218" t="s">
        <v>1381</v>
      </c>
      <c r="B50" s="165">
        <f>FL_healthins_percinc</f>
        <v>0.09</v>
      </c>
      <c r="C50" s="165">
        <f>SE_healthins_percinc</f>
        <v>0.08</v>
      </c>
      <c r="D50" s="165">
        <f>BOCA_healthins_percinc</f>
        <v>0.09</v>
      </c>
      <c r="E50" s="165">
        <f>SW_healthins_percinc</f>
        <v>0.09</v>
      </c>
      <c r="F50" s="165">
        <f>SWCIRA_healthins_percinc</f>
        <v>0.08</v>
      </c>
      <c r="G50" s="165">
        <f>NC_healthins_percinc</f>
        <v>0.09</v>
      </c>
      <c r="H50" s="165">
        <f>YB_healthins_percinc</f>
        <v>0.1</v>
      </c>
      <c r="J50" s="209"/>
      <c r="K50" s="209"/>
      <c r="L50" s="209"/>
      <c r="M50" s="209"/>
      <c r="N50" s="209"/>
      <c r="O50" s="209"/>
      <c r="P50" s="209"/>
      <c r="Q50" s="209"/>
      <c r="R50" s="209"/>
      <c r="S50" s="209"/>
      <c r="T50" s="209"/>
      <c r="U50" s="209"/>
    </row>
    <row r="51" spans="1:21" s="127" customFormat="1" ht="20.399999999999999">
      <c r="A51" s="242"/>
      <c r="B51" s="136"/>
      <c r="C51" s="136"/>
      <c r="D51" s="136"/>
      <c r="E51" s="136"/>
      <c r="F51" s="136"/>
      <c r="G51" s="136"/>
      <c r="H51" s="136"/>
      <c r="J51" s="209"/>
      <c r="K51" s="209"/>
      <c r="L51" s="209"/>
      <c r="M51" s="209"/>
      <c r="N51" s="209"/>
      <c r="O51" s="209"/>
      <c r="P51" s="209"/>
      <c r="Q51" s="209"/>
      <c r="R51" s="209"/>
      <c r="S51" s="209"/>
      <c r="T51" s="209"/>
      <c r="U51" s="209"/>
    </row>
    <row r="52" spans="1:21" s="127" customFormat="1" ht="13.8">
      <c r="J52" s="209"/>
      <c r="K52" s="209"/>
      <c r="L52" s="209"/>
      <c r="M52" s="209"/>
      <c r="N52" s="209"/>
      <c r="O52" s="209"/>
      <c r="P52" s="209"/>
      <c r="Q52" s="209"/>
      <c r="R52" s="209"/>
      <c r="S52" s="209"/>
      <c r="T52" s="209"/>
      <c r="U52" s="209"/>
    </row>
    <row r="53" spans="1:21" s="127" customFormat="1" ht="21">
      <c r="A53" s="246" t="s">
        <v>1039</v>
      </c>
      <c r="B53" s="120"/>
      <c r="C53" s="120"/>
      <c r="D53" s="120"/>
      <c r="J53" s="209"/>
      <c r="K53" s="209"/>
      <c r="L53" s="209"/>
      <c r="M53" s="209"/>
      <c r="N53" s="209"/>
      <c r="O53" s="209"/>
      <c r="P53" s="209"/>
      <c r="Q53" s="209"/>
      <c r="R53" s="209"/>
      <c r="S53" s="209"/>
      <c r="T53" s="209"/>
      <c r="U53" s="209"/>
    </row>
    <row r="54" spans="1:21" s="127" customFormat="1" ht="15" customHeight="1">
      <c r="A54" s="239"/>
      <c r="J54" s="209"/>
      <c r="K54" s="209"/>
      <c r="L54" s="209"/>
      <c r="M54" s="209"/>
      <c r="N54" s="209"/>
      <c r="O54" s="209"/>
      <c r="P54" s="209"/>
      <c r="Q54" s="209"/>
      <c r="R54" s="209"/>
      <c r="S54" s="209"/>
      <c r="T54" s="209"/>
      <c r="U54" s="209"/>
    </row>
    <row r="55" spans="1:21" s="127" customFormat="1">
      <c r="A55" s="214" t="s">
        <v>306</v>
      </c>
      <c r="B55" s="159"/>
      <c r="C55" s="159"/>
      <c r="D55" s="159"/>
      <c r="E55" s="159"/>
      <c r="F55" s="159"/>
      <c r="G55" s="159"/>
      <c r="H55" s="159"/>
      <c r="I55" s="155"/>
      <c r="J55" s="209"/>
      <c r="K55" s="209"/>
      <c r="L55" s="209"/>
      <c r="M55" s="209"/>
      <c r="N55" s="209"/>
      <c r="O55" s="209"/>
      <c r="P55" s="209"/>
      <c r="Q55" s="209"/>
      <c r="R55" s="209"/>
      <c r="S55" s="209"/>
      <c r="T55" s="209"/>
      <c r="U55" s="209"/>
    </row>
    <row r="56" spans="1:21" ht="28.8">
      <c r="A56" s="159"/>
      <c r="B56" s="287" t="s">
        <v>672</v>
      </c>
      <c r="C56" s="287" t="s">
        <v>673</v>
      </c>
      <c r="D56" s="287" t="s">
        <v>752</v>
      </c>
      <c r="E56" s="287" t="s">
        <v>745</v>
      </c>
      <c r="F56" s="287" t="s">
        <v>753</v>
      </c>
      <c r="G56" s="287" t="s">
        <v>572</v>
      </c>
      <c r="H56" s="287" t="s">
        <v>676</v>
      </c>
      <c r="P56" s="209"/>
      <c r="Q56" s="209"/>
      <c r="R56" s="209"/>
      <c r="S56" s="209"/>
      <c r="T56" s="209"/>
      <c r="U56" s="209"/>
    </row>
    <row r="57" spans="1:21">
      <c r="A57" s="162">
        <v>2022</v>
      </c>
      <c r="B57" s="215">
        <f>FL_pay_p.FME</f>
        <v>11550</v>
      </c>
      <c r="C57" s="215">
        <f>SE_pay_p.FME</f>
        <v>14710</v>
      </c>
      <c r="D57" s="215">
        <f>BOCA_pay_p.FME</f>
        <v>16300</v>
      </c>
      <c r="E57" s="215">
        <f>SW_pay_p.FME</f>
        <v>12890</v>
      </c>
      <c r="F57" s="215">
        <f>SWCIRA_pay_p.FME</f>
        <v>5300</v>
      </c>
      <c r="G57" s="215">
        <f>NC_pay_p.FME</f>
        <v>9500</v>
      </c>
      <c r="H57" s="985">
        <f>YB_pay_p.FME</f>
        <v>6810</v>
      </c>
      <c r="P57" s="209"/>
      <c r="Q57" s="209"/>
      <c r="R57" s="209"/>
      <c r="S57" s="209"/>
      <c r="T57" s="209"/>
      <c r="U57" s="209"/>
    </row>
    <row r="58" spans="1:21">
      <c r="A58" s="162">
        <v>2021</v>
      </c>
      <c r="B58" s="215">
        <v>10100</v>
      </c>
      <c r="C58" s="215">
        <v>12900</v>
      </c>
      <c r="D58" s="215">
        <v>14400</v>
      </c>
      <c r="E58" s="215">
        <v>11800</v>
      </c>
      <c r="F58" s="215">
        <v>4800</v>
      </c>
      <c r="G58" s="215">
        <v>8200</v>
      </c>
      <c r="H58" s="985">
        <v>6300</v>
      </c>
      <c r="P58" s="209"/>
      <c r="Q58" s="209"/>
      <c r="R58" s="209"/>
      <c r="S58" s="209"/>
      <c r="T58" s="209"/>
      <c r="U58" s="209"/>
    </row>
    <row r="59" spans="1:21">
      <c r="A59" s="162">
        <v>2020</v>
      </c>
      <c r="B59" s="215">
        <v>9900</v>
      </c>
      <c r="C59" s="215">
        <v>12400</v>
      </c>
      <c r="D59" s="215">
        <v>14500</v>
      </c>
      <c r="E59" s="215">
        <v>11800</v>
      </c>
      <c r="F59" s="215">
        <v>4500</v>
      </c>
      <c r="G59" s="215">
        <v>8100</v>
      </c>
      <c r="H59" s="985">
        <v>5500</v>
      </c>
      <c r="P59" s="209"/>
      <c r="Q59" s="209"/>
      <c r="R59" s="209"/>
      <c r="S59" s="209"/>
      <c r="T59" s="209"/>
      <c r="U59" s="209"/>
    </row>
    <row r="60" spans="1:21">
      <c r="A60" s="162">
        <v>2019</v>
      </c>
      <c r="B60" s="215">
        <v>10400</v>
      </c>
      <c r="C60" s="215">
        <v>13700</v>
      </c>
      <c r="D60" s="215">
        <v>14800</v>
      </c>
      <c r="E60" s="215">
        <v>11700</v>
      </c>
      <c r="F60" s="215">
        <v>4700</v>
      </c>
      <c r="G60" s="215">
        <v>8300</v>
      </c>
      <c r="H60" s="985">
        <v>6000</v>
      </c>
      <c r="P60" s="209"/>
      <c r="Q60" s="209"/>
      <c r="R60" s="209"/>
      <c r="S60" s="209"/>
      <c r="T60" s="209"/>
      <c r="U60" s="209"/>
    </row>
    <row r="61" spans="1:21">
      <c r="A61" s="162">
        <v>2018</v>
      </c>
      <c r="B61" s="215">
        <v>9600</v>
      </c>
      <c r="C61" s="215">
        <v>12700</v>
      </c>
      <c r="D61" s="215">
        <v>14100</v>
      </c>
      <c r="E61" s="215">
        <v>10600</v>
      </c>
      <c r="F61" s="215">
        <v>4400</v>
      </c>
      <c r="G61" s="215">
        <v>7300</v>
      </c>
      <c r="H61" s="985">
        <v>5500</v>
      </c>
      <c r="P61" s="209"/>
      <c r="Q61" s="209"/>
      <c r="R61" s="209"/>
      <c r="S61" s="209"/>
      <c r="T61" s="209"/>
      <c r="U61" s="209"/>
    </row>
    <row r="62" spans="1:21">
      <c r="A62" s="162">
        <v>2017</v>
      </c>
      <c r="B62" s="215">
        <v>9300</v>
      </c>
      <c r="C62" s="215">
        <v>12600</v>
      </c>
      <c r="D62" s="215">
        <v>13800</v>
      </c>
      <c r="E62" s="215">
        <v>10200</v>
      </c>
      <c r="F62" s="215">
        <v>4200</v>
      </c>
      <c r="G62" s="215">
        <v>7400</v>
      </c>
      <c r="H62" s="985">
        <v>5300</v>
      </c>
      <c r="P62" s="209"/>
      <c r="Q62" s="209"/>
      <c r="R62" s="209"/>
      <c r="S62" s="209"/>
      <c r="T62" s="209"/>
      <c r="U62" s="209"/>
    </row>
    <row r="63" spans="1:21">
      <c r="A63" s="162">
        <v>2016</v>
      </c>
      <c r="B63" s="215">
        <v>9000</v>
      </c>
      <c r="C63" s="215">
        <v>12200</v>
      </c>
      <c r="D63" s="215">
        <v>13200</v>
      </c>
      <c r="E63" s="215">
        <v>9900</v>
      </c>
      <c r="F63" s="215">
        <v>4100</v>
      </c>
      <c r="G63" s="215">
        <v>7100</v>
      </c>
      <c r="H63" s="985">
        <v>5200</v>
      </c>
      <c r="P63" s="209"/>
      <c r="Q63" s="209"/>
      <c r="R63" s="209"/>
      <c r="S63" s="209"/>
      <c r="T63" s="209"/>
      <c r="U63" s="209"/>
    </row>
    <row r="64" spans="1:21">
      <c r="A64" s="162">
        <v>2015</v>
      </c>
      <c r="B64" s="215">
        <v>8700</v>
      </c>
      <c r="C64" s="215">
        <v>11400</v>
      </c>
      <c r="D64" s="215">
        <v>12700</v>
      </c>
      <c r="E64" s="215">
        <v>9300</v>
      </c>
      <c r="F64" s="215">
        <v>4000</v>
      </c>
      <c r="G64" s="215">
        <v>6800</v>
      </c>
      <c r="H64" s="985">
        <v>4900</v>
      </c>
      <c r="P64" s="209"/>
      <c r="Q64" s="209"/>
      <c r="R64" s="209"/>
      <c r="S64" s="209"/>
      <c r="T64" s="209"/>
      <c r="U64" s="209"/>
    </row>
    <row r="65" spans="1:21">
      <c r="A65" s="162">
        <v>2014</v>
      </c>
      <c r="B65" s="215">
        <v>8300</v>
      </c>
      <c r="C65" s="215">
        <v>10900</v>
      </c>
      <c r="D65" s="215">
        <v>12200</v>
      </c>
      <c r="E65" s="215">
        <v>9100</v>
      </c>
      <c r="F65" s="215">
        <v>3800</v>
      </c>
      <c r="G65" s="215">
        <v>6800</v>
      </c>
      <c r="H65" s="985">
        <v>4600</v>
      </c>
      <c r="P65" s="209"/>
      <c r="Q65" s="209"/>
      <c r="R65" s="209"/>
      <c r="S65" s="209"/>
      <c r="T65" s="209"/>
      <c r="U65" s="209"/>
    </row>
    <row r="66" spans="1:21">
      <c r="A66" s="162">
        <v>2013</v>
      </c>
      <c r="B66" s="215">
        <v>8100</v>
      </c>
      <c r="C66" s="215">
        <v>10600</v>
      </c>
      <c r="D66" s="215">
        <v>11900</v>
      </c>
      <c r="E66" s="215">
        <v>8600</v>
      </c>
      <c r="F66" s="215">
        <v>3700</v>
      </c>
      <c r="G66" s="215">
        <v>6600</v>
      </c>
      <c r="H66" s="985">
        <v>4100</v>
      </c>
      <c r="P66" s="209"/>
      <c r="Q66" s="209"/>
      <c r="R66" s="209"/>
      <c r="S66" s="209"/>
      <c r="T66" s="209"/>
      <c r="U66" s="209"/>
    </row>
    <row r="67" spans="1:21">
      <c r="A67" s="162">
        <v>2012</v>
      </c>
      <c r="B67" s="215">
        <v>7800</v>
      </c>
      <c r="C67" s="215">
        <v>10300</v>
      </c>
      <c r="D67" s="215">
        <v>11700</v>
      </c>
      <c r="E67" s="215">
        <v>8500</v>
      </c>
      <c r="F67" s="215">
        <v>3400</v>
      </c>
      <c r="G67" s="215">
        <v>6400</v>
      </c>
      <c r="H67" s="985">
        <v>4000</v>
      </c>
      <c r="P67" s="209"/>
      <c r="Q67" s="209"/>
      <c r="R67" s="209"/>
      <c r="S67" s="209"/>
      <c r="T67" s="209"/>
      <c r="U67" s="209"/>
    </row>
    <row r="68" spans="1:21">
      <c r="A68" s="162">
        <v>2011</v>
      </c>
      <c r="B68" s="215">
        <v>7600</v>
      </c>
      <c r="C68" s="215">
        <v>10000</v>
      </c>
      <c r="D68" s="215">
        <v>11300</v>
      </c>
      <c r="E68" s="215">
        <v>8300</v>
      </c>
      <c r="F68" s="215">
        <v>3400</v>
      </c>
      <c r="G68" s="215">
        <v>6500</v>
      </c>
      <c r="H68" s="985">
        <v>3800</v>
      </c>
      <c r="P68" s="209"/>
      <c r="Q68" s="209"/>
      <c r="R68" s="209"/>
      <c r="S68" s="209"/>
      <c r="T68" s="209"/>
      <c r="U68" s="209"/>
    </row>
    <row r="69" spans="1:21">
      <c r="A69" s="162">
        <v>2010</v>
      </c>
      <c r="B69" s="215">
        <v>7200</v>
      </c>
      <c r="C69" s="215">
        <v>9800</v>
      </c>
      <c r="D69" s="215">
        <v>10800</v>
      </c>
      <c r="E69" s="215">
        <v>7600</v>
      </c>
      <c r="F69" s="215">
        <v>3200</v>
      </c>
      <c r="G69" s="215">
        <v>5800</v>
      </c>
      <c r="H69" s="985">
        <v>3900</v>
      </c>
      <c r="J69" s="215"/>
      <c r="K69" s="215"/>
      <c r="L69" s="215"/>
      <c r="M69" s="215"/>
      <c r="N69" s="215"/>
      <c r="O69" s="215"/>
      <c r="P69" s="215"/>
      <c r="Q69" s="209"/>
      <c r="R69" s="209"/>
      <c r="S69" s="209"/>
      <c r="T69" s="209"/>
      <c r="U69" s="209"/>
    </row>
    <row r="70" spans="1:21">
      <c r="A70" s="162">
        <v>2009</v>
      </c>
      <c r="B70" s="215"/>
      <c r="C70" s="215"/>
      <c r="D70" s="215"/>
      <c r="E70" s="215"/>
      <c r="F70" s="215"/>
      <c r="G70" s="215"/>
      <c r="H70" s="215"/>
      <c r="J70" s="215"/>
      <c r="K70" s="215"/>
      <c r="L70" s="215"/>
      <c r="M70" s="215"/>
      <c r="N70" s="215"/>
      <c r="O70" s="215"/>
      <c r="P70" s="215"/>
      <c r="Q70" s="209"/>
      <c r="R70" s="209"/>
      <c r="S70" s="209"/>
      <c r="T70" s="209"/>
      <c r="U70" s="209"/>
    </row>
    <row r="71" spans="1:21">
      <c r="A71" s="162">
        <v>2008</v>
      </c>
      <c r="B71" s="215"/>
      <c r="C71" s="215"/>
      <c r="D71" s="215"/>
      <c r="E71" s="215"/>
      <c r="F71" s="215"/>
      <c r="G71" s="215"/>
      <c r="H71" s="215"/>
      <c r="P71" s="209"/>
      <c r="Q71" s="209"/>
      <c r="R71" s="209"/>
      <c r="S71" s="209"/>
      <c r="T71" s="209"/>
      <c r="U71" s="209"/>
    </row>
    <row r="72" spans="1:21">
      <c r="A72" s="162">
        <v>2007</v>
      </c>
      <c r="B72" s="215"/>
      <c r="C72" s="215"/>
      <c r="D72" s="215"/>
      <c r="E72" s="215"/>
      <c r="F72" s="215"/>
      <c r="G72" s="215"/>
      <c r="H72" s="215"/>
      <c r="P72" s="209"/>
      <c r="Q72" s="209"/>
      <c r="R72" s="209"/>
      <c r="S72" s="209"/>
      <c r="T72" s="209"/>
      <c r="U72" s="209"/>
    </row>
    <row r="73" spans="1:21">
      <c r="A73" s="162">
        <v>2006</v>
      </c>
      <c r="B73" s="215"/>
      <c r="C73" s="215"/>
      <c r="D73" s="215"/>
      <c r="E73" s="215"/>
      <c r="F73" s="215"/>
      <c r="G73" s="215"/>
      <c r="H73" s="215"/>
      <c r="P73" s="127"/>
      <c r="Q73" s="127"/>
      <c r="R73" s="127"/>
      <c r="S73" s="127"/>
    </row>
    <row r="74" spans="1:21">
      <c r="A74" s="162">
        <v>2005</v>
      </c>
      <c r="B74" s="215"/>
      <c r="C74" s="215"/>
      <c r="D74" s="215"/>
      <c r="E74" s="215"/>
      <c r="F74" s="215"/>
      <c r="G74" s="215"/>
      <c r="H74" s="215"/>
      <c r="P74" s="127"/>
      <c r="Q74" s="127"/>
      <c r="R74" s="127"/>
      <c r="S74" s="127"/>
    </row>
    <row r="75" spans="1:21" ht="17.399999999999999">
      <c r="A75" s="241"/>
      <c r="P75" s="127"/>
      <c r="Q75" s="127"/>
      <c r="R75" s="127"/>
      <c r="S75" s="127"/>
    </row>
    <row r="76" spans="1:21">
      <c r="P76" s="127"/>
      <c r="Q76" s="127"/>
      <c r="R76" s="127"/>
      <c r="S76" s="127"/>
    </row>
    <row r="77" spans="1:21">
      <c r="P77" s="127"/>
      <c r="Q77" s="127"/>
      <c r="R77" s="127"/>
      <c r="S77" s="127"/>
    </row>
    <row r="78" spans="1:21">
      <c r="R78" s="127"/>
      <c r="S78" s="127"/>
    </row>
    <row r="89" spans="1:17" ht="32.25" customHeight="1">
      <c r="A89" s="239"/>
    </row>
    <row r="90" spans="1:17" ht="21">
      <c r="A90" s="246" t="s">
        <v>946</v>
      </c>
      <c r="B90" s="136"/>
      <c r="C90" s="136"/>
      <c r="D90" s="136"/>
    </row>
    <row r="91" spans="1:17">
      <c r="A91" s="136"/>
      <c r="B91" s="136"/>
      <c r="C91" s="136"/>
      <c r="D91" s="136"/>
      <c r="J91" s="216"/>
      <c r="K91" s="216"/>
      <c r="L91" s="216"/>
      <c r="M91" s="216"/>
      <c r="N91" s="216"/>
      <c r="O91" s="216"/>
      <c r="P91" s="159"/>
      <c r="Q91" s="159"/>
    </row>
    <row r="92" spans="1:17" s="159" customFormat="1">
      <c r="A92" s="214" t="s">
        <v>1038</v>
      </c>
      <c r="J92" s="216"/>
      <c r="K92" s="216"/>
      <c r="L92" s="216"/>
      <c r="M92" s="216"/>
      <c r="N92" s="216"/>
      <c r="O92" s="216"/>
    </row>
    <row r="93" spans="1:17" s="159" customFormat="1" ht="28.8">
      <c r="B93" s="287" t="s">
        <v>672</v>
      </c>
      <c r="C93" s="287" t="s">
        <v>673</v>
      </c>
      <c r="D93" s="287" t="s">
        <v>752</v>
      </c>
      <c r="E93" s="287" t="s">
        <v>745</v>
      </c>
      <c r="F93" s="287" t="s">
        <v>753</v>
      </c>
      <c r="G93" s="287" t="s">
        <v>572</v>
      </c>
      <c r="H93" s="287" t="s">
        <v>676</v>
      </c>
      <c r="J93" s="209"/>
      <c r="K93" s="216"/>
      <c r="L93" s="216"/>
      <c r="M93" s="216"/>
      <c r="N93" s="216"/>
      <c r="O93" s="216"/>
    </row>
    <row r="94" spans="1:17" s="159" customFormat="1">
      <c r="A94" s="162">
        <v>2022</v>
      </c>
      <c r="B94" s="217">
        <f>FL_FME_p.employee</f>
        <v>4.5</v>
      </c>
      <c r="C94" s="217">
        <f>SE_FME_p.employee</f>
        <v>3.7</v>
      </c>
      <c r="D94" s="217">
        <f>BOCA_FME_p.employee</f>
        <v>3.3</v>
      </c>
      <c r="E94" s="217">
        <f>SW_FME_p.employee</f>
        <v>4.2</v>
      </c>
      <c r="F94" s="217">
        <f>SWCIRA_FME_p.employee</f>
        <v>8.9</v>
      </c>
      <c r="G94" s="217">
        <f>NC_FME_p.employee</f>
        <v>4.9000000000000004</v>
      </c>
      <c r="H94" s="987">
        <f>YB_FME_p.employee</f>
        <v>8.6</v>
      </c>
      <c r="J94" s="209"/>
      <c r="K94" s="216"/>
      <c r="L94" s="216"/>
      <c r="M94" s="216"/>
      <c r="N94" s="216"/>
      <c r="O94" s="216"/>
    </row>
    <row r="95" spans="1:17" s="159" customFormat="1">
      <c r="A95" s="162">
        <v>2021</v>
      </c>
      <c r="B95" s="217">
        <v>4.8</v>
      </c>
      <c r="C95" s="217">
        <v>3.7</v>
      </c>
      <c r="D95" s="217">
        <v>3.7</v>
      </c>
      <c r="E95" s="217">
        <v>4.3</v>
      </c>
      <c r="F95" s="217">
        <v>9.1999999999999993</v>
      </c>
      <c r="G95" s="217">
        <v>5.6</v>
      </c>
      <c r="H95" s="987">
        <v>8.5</v>
      </c>
      <c r="J95" s="209"/>
      <c r="K95" s="216"/>
      <c r="L95" s="216"/>
      <c r="M95" s="216"/>
      <c r="N95" s="216"/>
      <c r="O95" s="216"/>
    </row>
    <row r="96" spans="1:17" s="159" customFormat="1">
      <c r="A96" s="162">
        <v>2020</v>
      </c>
      <c r="B96" s="217">
        <v>4.8</v>
      </c>
      <c r="C96" s="217">
        <v>3.9</v>
      </c>
      <c r="D96" s="217">
        <v>3.4</v>
      </c>
      <c r="E96" s="217">
        <v>4.0999999999999996</v>
      </c>
      <c r="F96" s="217">
        <v>10</v>
      </c>
      <c r="G96" s="217">
        <v>5.3</v>
      </c>
      <c r="H96" s="987">
        <v>7.8</v>
      </c>
      <c r="J96" s="209"/>
      <c r="K96" s="216"/>
      <c r="L96" s="216"/>
      <c r="M96" s="216"/>
      <c r="N96" s="216"/>
      <c r="O96" s="216"/>
    </row>
    <row r="97" spans="1:17" s="159" customFormat="1">
      <c r="A97" s="162">
        <v>2019</v>
      </c>
      <c r="B97" s="217">
        <v>4.4000000000000004</v>
      </c>
      <c r="C97" s="217">
        <v>3.3</v>
      </c>
      <c r="D97" s="217">
        <v>3.1</v>
      </c>
      <c r="E97" s="217">
        <v>4.3</v>
      </c>
      <c r="F97" s="217">
        <v>8.8000000000000007</v>
      </c>
      <c r="G97" s="217">
        <v>5.3</v>
      </c>
      <c r="H97" s="987">
        <v>8.1999999999999993</v>
      </c>
      <c r="J97" s="209"/>
      <c r="K97" s="216"/>
      <c r="L97" s="216"/>
      <c r="M97" s="216"/>
      <c r="N97" s="216"/>
      <c r="O97" s="216"/>
    </row>
    <row r="98" spans="1:17" s="159" customFormat="1">
      <c r="A98" s="162">
        <v>2018</v>
      </c>
      <c r="B98" s="217">
        <v>4.4000000000000004</v>
      </c>
      <c r="C98" s="217">
        <v>3.3</v>
      </c>
      <c r="D98" s="217">
        <v>3.1</v>
      </c>
      <c r="E98" s="217">
        <v>4.2</v>
      </c>
      <c r="F98" s="217">
        <v>8.8000000000000007</v>
      </c>
      <c r="G98" s="217">
        <v>5.2</v>
      </c>
      <c r="H98" s="987">
        <v>8</v>
      </c>
      <c r="J98" s="209"/>
      <c r="K98" s="216"/>
      <c r="L98" s="216"/>
      <c r="M98" s="216"/>
      <c r="N98" s="216"/>
      <c r="O98" s="216"/>
    </row>
    <row r="99" spans="1:17" s="159" customFormat="1">
      <c r="A99" s="162">
        <v>2017</v>
      </c>
      <c r="B99" s="217">
        <v>4.5</v>
      </c>
      <c r="C99" s="217">
        <v>3.3</v>
      </c>
      <c r="D99" s="217">
        <v>3.3</v>
      </c>
      <c r="E99" s="217">
        <v>4</v>
      </c>
      <c r="F99" s="217">
        <v>9.6999999999999993</v>
      </c>
      <c r="G99" s="217">
        <v>5.3</v>
      </c>
      <c r="H99" s="987">
        <v>8.3000000000000007</v>
      </c>
      <c r="J99" s="209"/>
      <c r="K99" s="216"/>
      <c r="L99" s="216"/>
      <c r="M99" s="216"/>
      <c r="N99" s="216"/>
      <c r="O99" s="216"/>
    </row>
    <row r="100" spans="1:17" s="159" customFormat="1">
      <c r="A100" s="162">
        <v>2016</v>
      </c>
      <c r="B100" s="217">
        <v>4.2</v>
      </c>
      <c r="C100" s="217">
        <v>3.2</v>
      </c>
      <c r="D100" s="217">
        <v>3</v>
      </c>
      <c r="E100" s="217">
        <v>3.9</v>
      </c>
      <c r="F100" s="217">
        <v>8.8000000000000007</v>
      </c>
      <c r="G100" s="217">
        <v>5</v>
      </c>
      <c r="H100" s="987">
        <v>6.9</v>
      </c>
      <c r="J100" s="209"/>
      <c r="L100" s="216"/>
      <c r="M100" s="216"/>
      <c r="N100" s="216"/>
      <c r="O100" s="216"/>
    </row>
    <row r="101" spans="1:17" s="159" customFormat="1">
      <c r="A101" s="162">
        <v>2015</v>
      </c>
      <c r="B101" s="217">
        <v>4.3</v>
      </c>
      <c r="C101" s="217">
        <v>3.3</v>
      </c>
      <c r="D101" s="217">
        <v>3</v>
      </c>
      <c r="E101" s="217">
        <v>4.0999999999999996</v>
      </c>
      <c r="F101" s="217">
        <v>8.6999999999999993</v>
      </c>
      <c r="G101" s="217">
        <v>5.0999999999999996</v>
      </c>
      <c r="H101" s="987">
        <v>6.7</v>
      </c>
      <c r="J101" s="209"/>
      <c r="K101" s="216"/>
      <c r="L101" s="216"/>
      <c r="M101" s="216"/>
      <c r="N101" s="216"/>
      <c r="O101" s="216"/>
    </row>
    <row r="102" spans="1:17" s="159" customFormat="1">
      <c r="A102" s="162">
        <v>2014</v>
      </c>
      <c r="B102" s="217">
        <v>4.2</v>
      </c>
      <c r="C102" s="217">
        <v>3.3</v>
      </c>
      <c r="D102" s="217">
        <v>3</v>
      </c>
      <c r="E102" s="217">
        <v>4</v>
      </c>
      <c r="F102" s="217">
        <v>8.3000000000000007</v>
      </c>
      <c r="G102" s="217">
        <v>4.9000000000000004</v>
      </c>
      <c r="H102" s="987">
        <v>6.6</v>
      </c>
      <c r="J102" s="209"/>
      <c r="K102" s="216"/>
      <c r="L102" s="216"/>
      <c r="M102" s="216"/>
      <c r="N102" s="216"/>
      <c r="O102" s="216"/>
    </row>
    <row r="103" spans="1:17" s="159" customFormat="1">
      <c r="A103" s="162">
        <v>2013</v>
      </c>
      <c r="B103" s="217">
        <v>4.3</v>
      </c>
      <c r="C103" s="217">
        <v>3.3</v>
      </c>
      <c r="D103" s="217">
        <v>3</v>
      </c>
      <c r="E103" s="217">
        <v>4.0999999999999996</v>
      </c>
      <c r="F103" s="217">
        <v>8.3000000000000007</v>
      </c>
      <c r="G103" s="217">
        <v>4.9000000000000004</v>
      </c>
      <c r="H103" s="987">
        <v>7.2</v>
      </c>
      <c r="J103" s="209"/>
      <c r="K103" s="216"/>
      <c r="L103" s="216"/>
      <c r="M103" s="216"/>
      <c r="N103" s="216"/>
      <c r="O103" s="216"/>
    </row>
    <row r="104" spans="1:17" s="159" customFormat="1">
      <c r="A104" s="162">
        <v>2012</v>
      </c>
      <c r="B104" s="217">
        <v>4.4000000000000004</v>
      </c>
      <c r="C104" s="217">
        <v>3.6</v>
      </c>
      <c r="D104" s="217">
        <v>3</v>
      </c>
      <c r="E104" s="217">
        <v>4.0999999999999996</v>
      </c>
      <c r="F104" s="217">
        <v>8.9</v>
      </c>
      <c r="G104" s="217">
        <v>5</v>
      </c>
      <c r="H104" s="987">
        <v>7.7</v>
      </c>
      <c r="J104" s="209"/>
      <c r="K104" s="216"/>
      <c r="L104" s="216"/>
      <c r="M104" s="216"/>
      <c r="N104" s="216"/>
      <c r="O104" s="216"/>
    </row>
    <row r="105" spans="1:17" s="159" customFormat="1">
      <c r="A105" s="162">
        <v>2011</v>
      </c>
      <c r="B105" s="217">
        <v>4.3</v>
      </c>
      <c r="C105" s="217">
        <v>3.3</v>
      </c>
      <c r="D105" s="217">
        <v>3.1</v>
      </c>
      <c r="E105" s="217">
        <v>4</v>
      </c>
      <c r="F105" s="217">
        <v>8.6999999999999993</v>
      </c>
      <c r="G105" s="217">
        <v>4.7</v>
      </c>
      <c r="H105" s="987">
        <v>7</v>
      </c>
      <c r="J105" s="746"/>
      <c r="K105" s="216"/>
      <c r="L105" s="216"/>
      <c r="M105" s="216"/>
      <c r="N105" s="216"/>
      <c r="O105" s="216"/>
    </row>
    <row r="106" spans="1:17" s="159" customFormat="1">
      <c r="A106" s="162">
        <v>2010</v>
      </c>
      <c r="B106" s="217">
        <v>4.5</v>
      </c>
      <c r="C106" s="217">
        <v>3.6</v>
      </c>
      <c r="D106" s="217">
        <v>3.1</v>
      </c>
      <c r="E106" s="217">
        <v>4.2</v>
      </c>
      <c r="F106" s="217">
        <v>9.1</v>
      </c>
      <c r="G106" s="217">
        <v>5.3</v>
      </c>
      <c r="H106" s="987">
        <v>6.8</v>
      </c>
      <c r="J106" s="216"/>
      <c r="K106" s="216"/>
      <c r="L106" s="216"/>
      <c r="M106" s="216"/>
      <c r="N106" s="216"/>
      <c r="O106" s="216"/>
    </row>
    <row r="107" spans="1:17" s="159" customFormat="1">
      <c r="A107" s="162"/>
      <c r="B107" s="217"/>
      <c r="C107" s="217"/>
      <c r="D107" s="217"/>
      <c r="E107" s="217"/>
      <c r="F107" s="217"/>
      <c r="G107" s="217"/>
      <c r="H107" s="217"/>
      <c r="J107" s="216"/>
      <c r="K107" s="216"/>
      <c r="L107" s="216"/>
      <c r="M107" s="216"/>
      <c r="N107" s="216"/>
      <c r="O107" s="216"/>
    </row>
    <row r="108" spans="1:17" s="159" customFormat="1">
      <c r="A108" s="162">
        <v>2008</v>
      </c>
      <c r="B108" s="217"/>
      <c r="C108" s="217"/>
      <c r="D108" s="217"/>
      <c r="E108" s="217"/>
      <c r="F108" s="217"/>
      <c r="G108" s="217"/>
      <c r="H108" s="217"/>
      <c r="J108" s="216"/>
      <c r="K108" s="216"/>
      <c r="L108" s="216"/>
      <c r="M108" s="216"/>
      <c r="N108" s="216"/>
      <c r="O108" s="216"/>
    </row>
    <row r="109" spans="1:17" s="159" customFormat="1">
      <c r="A109" s="162">
        <v>2007</v>
      </c>
      <c r="B109" s="217"/>
      <c r="C109" s="217"/>
      <c r="D109" s="217"/>
      <c r="E109" s="217"/>
      <c r="F109" s="217"/>
      <c r="G109" s="217"/>
      <c r="H109" s="217"/>
      <c r="J109" s="216"/>
      <c r="K109" s="216"/>
      <c r="L109" s="216"/>
      <c r="M109" s="216"/>
      <c r="N109" s="216"/>
      <c r="O109" s="216"/>
    </row>
    <row r="110" spans="1:17" s="159" customFormat="1">
      <c r="A110" s="162">
        <v>2006</v>
      </c>
      <c r="B110" s="217"/>
      <c r="C110" s="217"/>
      <c r="D110" s="217"/>
      <c r="E110" s="217"/>
      <c r="F110" s="217"/>
      <c r="G110" s="217"/>
      <c r="H110" s="217"/>
      <c r="J110" s="209"/>
      <c r="K110" s="209"/>
      <c r="L110" s="209"/>
      <c r="M110" s="209"/>
      <c r="N110" s="209"/>
      <c r="O110" s="209"/>
      <c r="P110" s="155"/>
      <c r="Q110" s="155"/>
    </row>
    <row r="111" spans="1:17">
      <c r="A111" s="162">
        <v>2005</v>
      </c>
      <c r="B111" s="217"/>
      <c r="C111" s="217"/>
      <c r="D111" s="217"/>
      <c r="E111" s="217"/>
      <c r="F111" s="217"/>
      <c r="G111" s="217"/>
      <c r="H111" s="217"/>
    </row>
    <row r="130" spans="1:16" hidden="1">
      <c r="J130" s="219"/>
      <c r="L130" s="219"/>
      <c r="M130" s="219"/>
      <c r="N130" s="219"/>
      <c r="O130" s="219"/>
      <c r="P130" s="220"/>
    </row>
    <row r="131" spans="1:16" ht="20.399999999999999" hidden="1">
      <c r="A131" s="244"/>
    </row>
    <row r="132" spans="1:16" hidden="1"/>
    <row r="133" spans="1:16" ht="21" hidden="1">
      <c r="A133" s="156" t="s">
        <v>765</v>
      </c>
    </row>
    <row r="134" spans="1:16" hidden="1"/>
    <row r="135" spans="1:16" hidden="1">
      <c r="A135" s="214" t="s">
        <v>771</v>
      </c>
    </row>
    <row r="136" spans="1:16" ht="28.8" hidden="1">
      <c r="A136" s="127"/>
      <c r="B136" s="287" t="s">
        <v>672</v>
      </c>
      <c r="C136" s="287" t="s">
        <v>673</v>
      </c>
      <c r="D136" s="287" t="s">
        <v>752</v>
      </c>
      <c r="E136" s="287" t="s">
        <v>745</v>
      </c>
      <c r="F136" s="287" t="s">
        <v>753</v>
      </c>
      <c r="G136" s="287" t="s">
        <v>572</v>
      </c>
      <c r="H136" s="287" t="s">
        <v>676</v>
      </c>
    </row>
    <row r="137" spans="1:16" hidden="1">
      <c r="A137" s="162">
        <v>2015</v>
      </c>
      <c r="B137" s="221">
        <f>FL_surplus</f>
        <v>0.52</v>
      </c>
      <c r="C137" s="221">
        <f>SE_surplus</f>
        <v>0.56999999999999995</v>
      </c>
      <c r="D137" s="221">
        <f>BOCA_surplus</f>
        <v>0.24</v>
      </c>
      <c r="E137" s="221">
        <f>SW_surplus</f>
        <v>0.62</v>
      </c>
      <c r="F137" s="221">
        <f>SWCIRA_surplus</f>
        <v>0.67</v>
      </c>
      <c r="G137" s="221">
        <f>NC_surplus</f>
        <v>0.48</v>
      </c>
      <c r="H137" s="221">
        <f>YB_surplus</f>
        <v>0.42</v>
      </c>
    </row>
    <row r="138" spans="1:16" hidden="1">
      <c r="A138" s="162">
        <v>2014</v>
      </c>
      <c r="B138" s="221">
        <v>0.78</v>
      </c>
      <c r="C138" s="221">
        <v>0.65</v>
      </c>
      <c r="D138" s="221">
        <v>0.78</v>
      </c>
      <c r="E138" s="221">
        <v>0.7</v>
      </c>
      <c r="F138" s="221">
        <v>0.89</v>
      </c>
      <c r="G138" s="221">
        <v>0.96</v>
      </c>
      <c r="H138" s="221">
        <v>0.68</v>
      </c>
    </row>
    <row r="139" spans="1:16" hidden="1">
      <c r="A139" s="162">
        <v>2013</v>
      </c>
      <c r="B139" s="221">
        <v>0.73</v>
      </c>
      <c r="C139" s="221">
        <v>0.68</v>
      </c>
      <c r="D139" s="221">
        <v>0.72</v>
      </c>
      <c r="E139" s="221">
        <v>0.56000000000000005</v>
      </c>
      <c r="F139" s="221">
        <v>0.94</v>
      </c>
      <c r="G139" s="221">
        <v>0.84</v>
      </c>
      <c r="H139" s="221">
        <v>0.81</v>
      </c>
    </row>
    <row r="140" spans="1:16" hidden="1">
      <c r="A140" s="162">
        <v>2012</v>
      </c>
      <c r="B140" s="221">
        <v>0.75</v>
      </c>
      <c r="C140" s="221">
        <v>0.57999999999999996</v>
      </c>
      <c r="D140" s="221">
        <v>0.53</v>
      </c>
      <c r="E140" s="221">
        <v>0.74</v>
      </c>
      <c r="F140" s="221">
        <v>0.89</v>
      </c>
      <c r="G140" s="221">
        <v>1</v>
      </c>
      <c r="H140" s="221">
        <v>0.73</v>
      </c>
    </row>
    <row r="141" spans="1:16" hidden="1">
      <c r="A141" s="162">
        <v>2011</v>
      </c>
      <c r="B141" s="221">
        <v>0.72</v>
      </c>
      <c r="C141" s="221">
        <v>0.56000000000000005</v>
      </c>
      <c r="D141" s="221">
        <v>0.6</v>
      </c>
      <c r="E141" s="221">
        <v>0.72</v>
      </c>
      <c r="F141" s="221">
        <v>0.89</v>
      </c>
      <c r="G141" s="221">
        <v>0.81</v>
      </c>
      <c r="H141" s="221">
        <v>0.5</v>
      </c>
    </row>
    <row r="142" spans="1:16" hidden="1">
      <c r="A142" s="162">
        <v>2010</v>
      </c>
      <c r="B142" s="221">
        <v>0.77</v>
      </c>
      <c r="C142" s="221">
        <v>0.7</v>
      </c>
      <c r="D142" s="221">
        <v>0.65</v>
      </c>
      <c r="E142" s="221">
        <v>0.89</v>
      </c>
      <c r="F142" s="221">
        <v>1</v>
      </c>
      <c r="G142" s="221">
        <v>0.69</v>
      </c>
      <c r="H142" s="221">
        <v>0.53</v>
      </c>
    </row>
    <row r="143" spans="1:16" hidden="1">
      <c r="A143" s="162">
        <v>2009</v>
      </c>
      <c r="B143" s="221">
        <v>0.80582524271844658</v>
      </c>
      <c r="C143" s="221">
        <v>0.69230769230769229</v>
      </c>
      <c r="D143" s="221">
        <v>0.8</v>
      </c>
      <c r="E143" s="221">
        <v>0.8</v>
      </c>
      <c r="F143" s="221">
        <v>1</v>
      </c>
      <c r="G143" s="221">
        <v>0.77272727272727271</v>
      </c>
      <c r="H143" s="221">
        <v>0.63157894736842102</v>
      </c>
    </row>
    <row r="144" spans="1:16" hidden="1"/>
    <row r="145" spans="1:1" hidden="1"/>
    <row r="146" spans="1:1" hidden="1"/>
    <row r="147" spans="1:1" hidden="1"/>
    <row r="148" spans="1:1" hidden="1"/>
    <row r="149" spans="1:1" hidden="1"/>
    <row r="150" spans="1:1" hidden="1"/>
    <row r="151" spans="1:1" hidden="1"/>
    <row r="152" spans="1:1" hidden="1"/>
    <row r="153" spans="1:1" ht="20.399999999999999" hidden="1">
      <c r="A153" s="244"/>
    </row>
    <row r="154" spans="1:1" hidden="1"/>
    <row r="155" spans="1:1" hidden="1"/>
    <row r="156" spans="1:1" hidden="1"/>
    <row r="157" spans="1:1" hidden="1"/>
    <row r="158" spans="1:1" hidden="1"/>
    <row r="159" spans="1:1" hidden="1"/>
    <row r="160" spans="1:1" hidden="1"/>
    <row r="161" spans="1:9" hidden="1"/>
    <row r="162" spans="1:9" hidden="1"/>
    <row r="163" spans="1:9" hidden="1"/>
    <row r="164" spans="1:9" hidden="1"/>
    <row r="165" spans="1:9" hidden="1">
      <c r="I165" s="136"/>
    </row>
    <row r="166" spans="1:9" ht="21">
      <c r="A166" s="156" t="s">
        <v>754</v>
      </c>
      <c r="I166" s="136"/>
    </row>
    <row r="167" spans="1:9">
      <c r="A167" s="136"/>
      <c r="B167" s="120"/>
      <c r="C167" s="120"/>
      <c r="D167" s="120"/>
      <c r="E167" s="120"/>
      <c r="F167" s="120"/>
      <c r="G167" s="120"/>
      <c r="H167" s="120"/>
      <c r="I167" s="120"/>
    </row>
    <row r="168" spans="1:9">
      <c r="A168" s="139" t="s">
        <v>459</v>
      </c>
      <c r="B168" s="140" t="s">
        <v>274</v>
      </c>
      <c r="C168" s="140" t="s">
        <v>419</v>
      </c>
      <c r="D168" s="140" t="s">
        <v>270</v>
      </c>
      <c r="E168" s="140" t="s">
        <v>271</v>
      </c>
      <c r="F168" s="140" t="s">
        <v>421</v>
      </c>
      <c r="G168" s="140" t="s">
        <v>272</v>
      </c>
      <c r="H168" s="164" t="s">
        <v>273</v>
      </c>
      <c r="I168" s="127"/>
    </row>
    <row r="169" spans="1:9">
      <c r="A169" s="139"/>
      <c r="B169" s="140" t="s">
        <v>268</v>
      </c>
      <c r="C169" s="140" t="s">
        <v>295</v>
      </c>
      <c r="D169" s="140" t="s">
        <v>734</v>
      </c>
      <c r="E169" s="140" t="s">
        <v>296</v>
      </c>
      <c r="F169" s="140" t="s">
        <v>277</v>
      </c>
      <c r="G169" s="140" t="s">
        <v>278</v>
      </c>
      <c r="H169" s="140" t="s">
        <v>297</v>
      </c>
      <c r="I169" s="127"/>
    </row>
    <row r="170" spans="1:9">
      <c r="A170" s="372" t="s">
        <v>772</v>
      </c>
      <c r="B170" s="373">
        <f>FL_perc_Club_ForLab</f>
        <v>0.64</v>
      </c>
      <c r="C170" s="373">
        <f>SE_perc_Club_ForLab</f>
        <v>0.65</v>
      </c>
      <c r="D170" s="373">
        <f>BOCA_perc_Club_ForLab</f>
        <v>0.94</v>
      </c>
      <c r="E170" s="373">
        <f>SW_perc_Club_ForLab</f>
        <v>0.69</v>
      </c>
      <c r="F170" s="373">
        <f>SWCIRA_perc_Club_ForLab</f>
        <v>0.61</v>
      </c>
      <c r="G170" s="373">
        <f>NC_perc_Club_ForLab</f>
        <v>0.39</v>
      </c>
      <c r="H170" s="373">
        <f>YB_perc_Club_ForLab</f>
        <v>0.25</v>
      </c>
      <c r="I170" s="127"/>
    </row>
    <row r="171" spans="1:9">
      <c r="A171" s="166" t="s">
        <v>576</v>
      </c>
      <c r="B171" s="166">
        <f>FL_NoForeignLab</f>
        <v>45</v>
      </c>
      <c r="C171" s="166">
        <f>SE_NoForeignLab</f>
        <v>52</v>
      </c>
      <c r="D171" s="166">
        <f>BOCA_NoForeignLab</f>
        <v>77</v>
      </c>
      <c r="E171" s="166">
        <f>SW_NoForeignLab</f>
        <v>29</v>
      </c>
      <c r="F171" s="166">
        <f>SWCIRA_NoForeignLab</f>
        <v>18</v>
      </c>
      <c r="G171" s="166">
        <f>NC_NoForeignLab</f>
        <v>38</v>
      </c>
      <c r="H171" s="166">
        <f>YB_NoForeignLab</f>
        <v>31</v>
      </c>
      <c r="I171" s="127"/>
    </row>
    <row r="172" spans="1:9">
      <c r="A172" s="372" t="s">
        <v>1379</v>
      </c>
      <c r="B172" s="1646">
        <f>FL_ForLabCosts</f>
        <v>376100</v>
      </c>
      <c r="C172" s="1646">
        <f>SE_ForLabCosts</f>
        <v>471340</v>
      </c>
      <c r="D172" s="1646">
        <f>BOCA_ForLabCosts</f>
        <v>737620</v>
      </c>
      <c r="E172" s="1646">
        <f>SW_ForLabCosts</f>
        <v>209920</v>
      </c>
      <c r="F172" s="1646">
        <f>SWCIRA_ForLabCosts</f>
        <v>59910</v>
      </c>
      <c r="G172" s="1646">
        <f>NC_ForLabCosts</f>
        <v>274260</v>
      </c>
      <c r="H172" s="1646">
        <f>YB_ForLabCosts</f>
        <v>339000</v>
      </c>
      <c r="I172" s="127"/>
    </row>
    <row r="173" spans="1:9">
      <c r="A173" s="127"/>
      <c r="B173" s="127"/>
      <c r="C173" s="127"/>
      <c r="D173" s="209"/>
      <c r="I173" s="127"/>
    </row>
    <row r="210" spans="1:14">
      <c r="N210" s="155"/>
    </row>
    <row r="211" spans="1:14">
      <c r="N211" s="155"/>
    </row>
    <row r="222" spans="1:14" ht="20.399999999999999">
      <c r="A222" s="244"/>
    </row>
    <row r="252" spans="1:1" ht="13.5" customHeight="1">
      <c r="A252" s="244"/>
    </row>
    <row r="253" spans="1:1" ht="20.399999999999999">
      <c r="A253" s="244"/>
    </row>
    <row r="284" spans="1:1" ht="20.399999999999999">
      <c r="A284" s="244"/>
    </row>
    <row r="285" spans="1:1" ht="20.399999999999999">
      <c r="A285" s="244"/>
    </row>
    <row r="286" spans="1:1" ht="20.399999999999999">
      <c r="A286" s="244"/>
    </row>
    <row r="311" spans="1:1" ht="20.399999999999999">
      <c r="A311" s="244"/>
    </row>
    <row r="312" spans="1:1" ht="20.399999999999999">
      <c r="A312" s="244"/>
    </row>
  </sheetData>
  <mergeCells count="3">
    <mergeCell ref="M10:S12"/>
    <mergeCell ref="M17:S19"/>
    <mergeCell ref="J20:P21"/>
  </mergeCells>
  <pageMargins left="0.7" right="0.7" top="0.75" bottom="0.75" header="0.3" footer="0.3"/>
  <pageSetup scale="51" fitToHeight="2" orientation="portrait" r:id="rId1"/>
  <rowBreaks count="2" manualBreakCount="2">
    <brk id="52" max="7" man="1"/>
    <brk id="172" max="7" man="1"/>
  </rowBreaks>
  <customProperties>
    <customPr name="OrphanNamesChecked" r:id="rId2"/>
  </customProperties>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5" tint="0.79998168889431442"/>
  </sheetPr>
  <dimension ref="A1:Z445"/>
  <sheetViews>
    <sheetView showGridLines="0" view="pageBreakPreview" topLeftCell="A449" zoomScaleNormal="74" zoomScaleSheetLayoutView="100" workbookViewId="0">
      <selection activeCell="J281" sqref="J281"/>
    </sheetView>
  </sheetViews>
  <sheetFormatPr defaultColWidth="8.90625" defaultRowHeight="15"/>
  <cols>
    <col min="1" max="1" width="42.36328125" style="155" customWidth="1"/>
    <col min="2" max="2" width="11.1796875" style="155" customWidth="1"/>
    <col min="3" max="3" width="10.6328125" style="155" customWidth="1"/>
    <col min="4" max="4" width="11.08984375" style="155" customWidth="1"/>
    <col min="5" max="5" width="10.90625" style="155" customWidth="1"/>
    <col min="6" max="6" width="9.81640625" style="155" bestFit="1" customWidth="1"/>
    <col min="7" max="7" width="11.1796875" style="155" customWidth="1"/>
    <col min="8" max="8" width="9.81640625" style="155" bestFit="1" customWidth="1"/>
    <col min="9" max="9" width="8.90625" style="155"/>
    <col min="10" max="16" width="8.54296875" style="155" customWidth="1"/>
    <col min="17" max="17" width="8.90625" style="155"/>
    <col min="18" max="18" width="9.90625" style="155" customWidth="1"/>
    <col min="19" max="19" width="8.90625" style="155"/>
    <col min="20" max="20" width="9.90625" style="155" customWidth="1"/>
    <col min="21" max="16384" width="8.90625" style="155"/>
  </cols>
  <sheetData>
    <row r="1" spans="1:21" ht="21">
      <c r="A1" s="246" t="s">
        <v>947</v>
      </c>
      <c r="B1" s="136"/>
      <c r="C1" s="136"/>
      <c r="D1" s="136"/>
      <c r="M1" s="155" t="s">
        <v>2144</v>
      </c>
      <c r="P1" s="247"/>
      <c r="Q1" s="247"/>
      <c r="R1" s="247"/>
      <c r="S1" s="247"/>
      <c r="T1" s="247"/>
      <c r="U1" s="230"/>
    </row>
    <row r="2" spans="1:21">
      <c r="A2" s="988"/>
      <c r="B2" s="136"/>
      <c r="C2" s="136"/>
      <c r="D2" s="136"/>
    </row>
    <row r="3" spans="1:21" ht="15.6">
      <c r="A3" s="288" t="s">
        <v>1079</v>
      </c>
    </row>
    <row r="4" spans="1:21" ht="28.8">
      <c r="A4" s="158"/>
      <c r="B4" s="287" t="s">
        <v>662</v>
      </c>
      <c r="C4" s="287" t="s">
        <v>658</v>
      </c>
      <c r="D4" s="231" t="s">
        <v>766</v>
      </c>
      <c r="E4" s="287" t="s">
        <v>659</v>
      </c>
      <c r="F4" s="287" t="s">
        <v>660</v>
      </c>
      <c r="G4" s="287" t="s">
        <v>572</v>
      </c>
      <c r="H4" s="287" t="s">
        <v>903</v>
      </c>
    </row>
    <row r="5" spans="1:21">
      <c r="A5" s="162">
        <v>2022</v>
      </c>
      <c r="B5" s="161">
        <f>SUM(FL_fb_rev_p.FME)</f>
        <v>4200</v>
      </c>
      <c r="C5" s="161">
        <f>SUM(SE_fb_rev_p.FME)</f>
        <v>5100</v>
      </c>
      <c r="D5" s="161">
        <f>SUM(BOCA_fb_rev_p.FME)</f>
        <v>4900</v>
      </c>
      <c r="E5" s="161">
        <f>SUM(SW_fb_rev_p.FME)</f>
        <v>5100</v>
      </c>
      <c r="F5" s="161">
        <f>SUM(SWCIRA_fb_rev_p.FME)</f>
        <v>2200</v>
      </c>
      <c r="G5" s="161">
        <f>SUM(NC_fb_rev_p.FME)</f>
        <v>4000</v>
      </c>
      <c r="H5" s="161">
        <f>SUM(YB_fb_rev_p.FME)</f>
        <v>4900</v>
      </c>
    </row>
    <row r="6" spans="1:21">
      <c r="A6" s="162">
        <v>2021</v>
      </c>
      <c r="B6" s="161">
        <v>3000</v>
      </c>
      <c r="C6" s="161">
        <v>3500</v>
      </c>
      <c r="D6" s="161">
        <v>3300</v>
      </c>
      <c r="E6" s="161">
        <v>3700</v>
      </c>
      <c r="F6" s="161">
        <v>1700</v>
      </c>
      <c r="G6" s="161">
        <v>3000</v>
      </c>
      <c r="H6" s="161">
        <v>3600</v>
      </c>
    </row>
    <row r="7" spans="1:21">
      <c r="A7" s="162">
        <v>2020</v>
      </c>
      <c r="B7" s="161">
        <v>3000</v>
      </c>
      <c r="C7" s="161">
        <v>3600</v>
      </c>
      <c r="D7" s="161">
        <v>4100</v>
      </c>
      <c r="E7" s="161">
        <v>3700</v>
      </c>
      <c r="F7" s="161">
        <v>1300</v>
      </c>
      <c r="G7" s="161">
        <v>2800</v>
      </c>
      <c r="H7" s="161">
        <v>2700</v>
      </c>
    </row>
    <row r="8" spans="1:21">
      <c r="A8" s="162">
        <v>2019</v>
      </c>
      <c r="B8" s="161">
        <v>3900</v>
      </c>
      <c r="C8" s="161">
        <v>5200</v>
      </c>
      <c r="D8" s="161">
        <v>4900</v>
      </c>
      <c r="E8" s="161">
        <v>4200</v>
      </c>
      <c r="F8" s="161">
        <v>1800</v>
      </c>
      <c r="G8" s="161">
        <v>3600</v>
      </c>
      <c r="H8" s="161">
        <v>3700</v>
      </c>
    </row>
    <row r="9" spans="1:21">
      <c r="A9" s="162">
        <v>2018</v>
      </c>
      <c r="B9" s="161">
        <v>3600</v>
      </c>
      <c r="C9" s="161">
        <v>4800</v>
      </c>
      <c r="D9" s="161">
        <v>4700</v>
      </c>
      <c r="E9" s="161">
        <v>3800</v>
      </c>
      <c r="F9" s="161">
        <v>1700</v>
      </c>
      <c r="G9" s="161">
        <v>3200</v>
      </c>
      <c r="H9" s="161">
        <v>3600</v>
      </c>
    </row>
    <row r="10" spans="1:21">
      <c r="A10" s="162">
        <v>2017</v>
      </c>
      <c r="B10" s="161">
        <v>3400</v>
      </c>
      <c r="C10" s="161">
        <v>4500</v>
      </c>
      <c r="D10" s="161">
        <v>4500</v>
      </c>
      <c r="E10" s="161">
        <v>3600</v>
      </c>
      <c r="F10" s="161">
        <v>1600</v>
      </c>
      <c r="G10" s="161">
        <v>3200</v>
      </c>
      <c r="H10" s="161">
        <v>3500</v>
      </c>
    </row>
    <row r="11" spans="1:21">
      <c r="A11" s="162">
        <v>2016</v>
      </c>
      <c r="B11" s="161">
        <v>3300</v>
      </c>
      <c r="C11" s="161">
        <v>4400</v>
      </c>
      <c r="D11" s="161">
        <v>4300</v>
      </c>
      <c r="E11" s="161">
        <v>3400</v>
      </c>
      <c r="F11" s="161">
        <v>1600</v>
      </c>
      <c r="G11" s="161">
        <v>3000</v>
      </c>
      <c r="H11" s="161">
        <v>3300</v>
      </c>
    </row>
    <row r="12" spans="1:21">
      <c r="A12" s="162">
        <v>2015</v>
      </c>
      <c r="B12" s="161">
        <v>3200</v>
      </c>
      <c r="C12" s="161">
        <v>4100</v>
      </c>
      <c r="D12" s="161">
        <v>4300</v>
      </c>
      <c r="E12" s="161">
        <v>3300</v>
      </c>
      <c r="F12" s="161">
        <v>1600</v>
      </c>
      <c r="G12" s="161">
        <v>2900</v>
      </c>
      <c r="H12" s="161">
        <v>3200</v>
      </c>
    </row>
    <row r="13" spans="1:21">
      <c r="A13" s="162">
        <v>2014</v>
      </c>
      <c r="B13" s="161">
        <v>3100</v>
      </c>
      <c r="C13" s="161">
        <v>4000</v>
      </c>
      <c r="D13" s="161">
        <v>4200</v>
      </c>
      <c r="E13" s="161">
        <v>3100</v>
      </c>
      <c r="F13" s="161">
        <v>1500</v>
      </c>
      <c r="G13" s="161">
        <v>3000</v>
      </c>
      <c r="H13" s="161">
        <v>3100</v>
      </c>
    </row>
    <row r="14" spans="1:21">
      <c r="A14" s="162">
        <v>2013</v>
      </c>
      <c r="B14" s="161">
        <v>3000</v>
      </c>
      <c r="C14" s="161">
        <v>3800</v>
      </c>
      <c r="D14" s="161">
        <v>4100</v>
      </c>
      <c r="E14" s="161">
        <v>2900</v>
      </c>
      <c r="F14" s="161">
        <v>1400</v>
      </c>
      <c r="G14" s="161">
        <v>2800</v>
      </c>
      <c r="H14" s="161">
        <v>2700</v>
      </c>
    </row>
    <row r="15" spans="1:21">
      <c r="A15" s="162" t="s">
        <v>608</v>
      </c>
      <c r="B15" s="161">
        <v>2700</v>
      </c>
      <c r="C15" s="161">
        <v>3500</v>
      </c>
      <c r="D15" s="161">
        <v>3900</v>
      </c>
      <c r="E15" s="161">
        <v>2700</v>
      </c>
      <c r="F15" s="161">
        <v>1200</v>
      </c>
      <c r="G15" s="161">
        <v>2700</v>
      </c>
      <c r="H15" s="161">
        <v>2400</v>
      </c>
    </row>
    <row r="16" spans="1:21">
      <c r="A16" s="162" t="s">
        <v>388</v>
      </c>
      <c r="B16" s="161">
        <v>2700</v>
      </c>
      <c r="C16" s="161">
        <v>3400</v>
      </c>
      <c r="D16" s="161">
        <v>3800</v>
      </c>
      <c r="E16" s="161">
        <v>2700</v>
      </c>
      <c r="F16" s="161">
        <v>1200</v>
      </c>
      <c r="G16" s="161">
        <v>2700</v>
      </c>
      <c r="H16" s="161">
        <v>2500</v>
      </c>
    </row>
    <row r="17" spans="1:10">
      <c r="A17" s="162" t="s">
        <v>299</v>
      </c>
      <c r="B17" s="161">
        <v>2500</v>
      </c>
      <c r="C17" s="161">
        <v>3100</v>
      </c>
      <c r="D17" s="161">
        <v>3500</v>
      </c>
      <c r="E17" s="161">
        <v>2700</v>
      </c>
      <c r="F17" s="161">
        <v>1100</v>
      </c>
      <c r="G17" s="161">
        <v>2400</v>
      </c>
      <c r="H17" s="161">
        <v>2500</v>
      </c>
    </row>
    <row r="18" spans="1:10" hidden="1">
      <c r="A18" s="162">
        <v>2009</v>
      </c>
      <c r="B18" s="161"/>
      <c r="C18" s="161"/>
      <c r="D18" s="161"/>
      <c r="E18" s="161"/>
      <c r="F18" s="161"/>
      <c r="G18" s="161"/>
      <c r="H18" s="161"/>
    </row>
    <row r="19" spans="1:10" hidden="1">
      <c r="A19" s="162">
        <v>2008</v>
      </c>
      <c r="B19" s="161"/>
      <c r="C19" s="161"/>
      <c r="D19" s="161"/>
      <c r="E19" s="161"/>
      <c r="F19" s="161"/>
      <c r="G19" s="161"/>
      <c r="H19" s="161"/>
    </row>
    <row r="20" spans="1:10" hidden="1">
      <c r="A20" s="162">
        <v>2007</v>
      </c>
      <c r="B20" s="161"/>
      <c r="C20" s="161"/>
      <c r="D20" s="161"/>
      <c r="E20" s="161"/>
      <c r="F20" s="161"/>
      <c r="G20" s="161"/>
      <c r="H20" s="161"/>
    </row>
    <row r="21" spans="1:10" hidden="1">
      <c r="A21" s="162">
        <v>2006</v>
      </c>
      <c r="B21" s="161"/>
      <c r="C21" s="161"/>
      <c r="D21" s="161"/>
      <c r="E21" s="161"/>
      <c r="F21" s="161"/>
      <c r="G21" s="161"/>
      <c r="H21" s="161"/>
    </row>
    <row r="22" spans="1:10" hidden="1">
      <c r="A22" s="162">
        <v>2005</v>
      </c>
      <c r="B22" s="161"/>
      <c r="C22" s="161"/>
      <c r="D22" s="161"/>
      <c r="E22" s="161"/>
      <c r="F22" s="161"/>
      <c r="G22" s="161"/>
      <c r="H22" s="161"/>
      <c r="I22" s="163"/>
    </row>
    <row r="23" spans="1:10">
      <c r="A23" s="163"/>
      <c r="B23" s="163"/>
      <c r="C23" s="163"/>
      <c r="D23" s="163"/>
      <c r="E23" s="163"/>
      <c r="F23" s="163"/>
      <c r="G23" s="163"/>
      <c r="H23" s="163"/>
    </row>
    <row r="28" spans="1:10" ht="15.6">
      <c r="J28" s="745"/>
    </row>
    <row r="37" spans="1:8" ht="21">
      <c r="A37" s="156"/>
    </row>
    <row r="38" spans="1:8" ht="21">
      <c r="A38" s="233"/>
    </row>
    <row r="44" spans="1:8" ht="21">
      <c r="A44" s="156" t="s">
        <v>768</v>
      </c>
    </row>
    <row r="45" spans="1:8" ht="21">
      <c r="A45" s="156"/>
    </row>
    <row r="46" spans="1:8" ht="17.399999999999999">
      <c r="A46" s="2134">
        <v>2022</v>
      </c>
      <c r="B46" s="2134"/>
      <c r="C46" s="2134"/>
      <c r="D46" s="2134"/>
      <c r="E46" s="2134"/>
      <c r="F46" s="2134"/>
      <c r="G46" s="2134"/>
      <c r="H46" s="2134"/>
    </row>
    <row r="47" spans="1:8" ht="17.399999999999999">
      <c r="A47" s="241"/>
      <c r="B47" s="164" t="s">
        <v>274</v>
      </c>
      <c r="C47" s="164" t="s">
        <v>419</v>
      </c>
      <c r="D47" s="164" t="s">
        <v>270</v>
      </c>
      <c r="E47" s="164" t="s">
        <v>271</v>
      </c>
      <c r="F47" s="164" t="s">
        <v>421</v>
      </c>
      <c r="G47" s="164" t="s">
        <v>272</v>
      </c>
      <c r="H47" s="164" t="s">
        <v>273</v>
      </c>
    </row>
    <row r="48" spans="1:8">
      <c r="B48" s="164" t="s">
        <v>268</v>
      </c>
      <c r="C48" s="164" t="s">
        <v>295</v>
      </c>
      <c r="D48" s="164" t="s">
        <v>257</v>
      </c>
      <c r="E48" s="164" t="s">
        <v>296</v>
      </c>
      <c r="F48" s="164" t="s">
        <v>277</v>
      </c>
      <c r="G48" s="164" t="s">
        <v>278</v>
      </c>
      <c r="H48" s="164" t="s">
        <v>297</v>
      </c>
    </row>
    <row r="49" spans="1:8">
      <c r="A49" s="141" t="s">
        <v>774</v>
      </c>
      <c r="B49" s="165">
        <f>FL_inc_menu_price</f>
        <v>0.79</v>
      </c>
      <c r="C49" s="165">
        <f>SE_inc_menu_price</f>
        <v>0.83</v>
      </c>
      <c r="D49" s="165">
        <f>BOCA_inc_menu_price</f>
        <v>0.71</v>
      </c>
      <c r="E49" s="165">
        <f>SW_inc_menu_price</f>
        <v>0.81</v>
      </c>
      <c r="F49" s="165">
        <f>SWCIRA_inc_menu_price</f>
        <v>0.72</v>
      </c>
      <c r="G49" s="165">
        <f>NC_inc_menu_price</f>
        <v>0.83</v>
      </c>
      <c r="H49" s="165">
        <f>YB_inc_menu_price</f>
        <v>0.83</v>
      </c>
    </row>
    <row r="50" spans="1:8">
      <c r="A50" s="206" t="s">
        <v>773</v>
      </c>
      <c r="B50" s="167">
        <f>FL_amt_menu_inc</f>
        <v>7.0000000000000007E-2</v>
      </c>
      <c r="C50" s="167">
        <f>SE_amt_menu_inc</f>
        <v>0.06</v>
      </c>
      <c r="D50" s="167">
        <f>BOCA_amt_menu_inc</f>
        <v>7.0000000000000007E-2</v>
      </c>
      <c r="E50" s="167">
        <f>SW_amt_menu_inc</f>
        <v>0.09</v>
      </c>
      <c r="F50" s="167">
        <f>SWCIRA_amt_menu_inc</f>
        <v>7.0000000000000007E-2</v>
      </c>
      <c r="G50" s="167">
        <f>NC_amt_menu_inc</f>
        <v>7.0000000000000007E-2</v>
      </c>
      <c r="H50" s="167">
        <f>YB_amt_menu_inc</f>
        <v>7.0000000000000007E-2</v>
      </c>
    </row>
    <row r="51" spans="1:8">
      <c r="A51" s="141" t="s">
        <v>775</v>
      </c>
      <c r="B51" s="165">
        <f>FL_inc_bev_price</f>
        <v>0.64</v>
      </c>
      <c r="C51" s="165">
        <f>SE_inc_bev_price</f>
        <v>0.61</v>
      </c>
      <c r="D51" s="165">
        <f>boca_inc_bev_price</f>
        <v>0.71</v>
      </c>
      <c r="E51" s="165">
        <f>SW_inc_bev_price</f>
        <v>0.65</v>
      </c>
      <c r="F51" s="165">
        <f>SWCIRA_inc_bev_price</f>
        <v>0.56000000000000005</v>
      </c>
      <c r="G51" s="165">
        <f>NC_inc_bev_price</f>
        <v>0.65</v>
      </c>
      <c r="H51" s="165">
        <f>YB_inc_bev_price</f>
        <v>0.57999999999999996</v>
      </c>
    </row>
    <row r="52" spans="1:8">
      <c r="A52" s="206" t="s">
        <v>773</v>
      </c>
      <c r="B52" s="167">
        <f>FL_amt_bev_inc</f>
        <v>0.06</v>
      </c>
      <c r="C52" s="167">
        <f>SE_amt_bev_inc</f>
        <v>0.04</v>
      </c>
      <c r="D52" s="167">
        <f>BOCA_amt_bev_inc</f>
        <v>0.08</v>
      </c>
      <c r="E52" s="167">
        <f>SW_amt_bev_inc</f>
        <v>7.0000000000000007E-2</v>
      </c>
      <c r="F52" s="167">
        <f>SWCIRA_amt_bev_inc</f>
        <v>7.0000000000000007E-2</v>
      </c>
      <c r="G52" s="167">
        <f>NC_amt_bev_inc</f>
        <v>7.0000000000000007E-2</v>
      </c>
      <c r="H52" s="167">
        <f>YB_amt_bev_inc</f>
        <v>0.08</v>
      </c>
    </row>
    <row r="53" spans="1:8">
      <c r="A53" s="166"/>
    </row>
    <row r="54" spans="1:8" ht="17.399999999999999">
      <c r="A54" s="2134">
        <v>2021</v>
      </c>
      <c r="B54" s="2134"/>
      <c r="C54" s="2134"/>
      <c r="D54" s="2134"/>
      <c r="E54" s="2134"/>
      <c r="F54" s="2134"/>
      <c r="G54" s="2134"/>
      <c r="H54" s="2134"/>
    </row>
    <row r="55" spans="1:8" ht="17.399999999999999">
      <c r="A55" s="241"/>
      <c r="B55" s="164" t="s">
        <v>274</v>
      </c>
      <c r="C55" s="164" t="s">
        <v>419</v>
      </c>
      <c r="D55" s="164" t="s">
        <v>270</v>
      </c>
      <c r="E55" s="164" t="s">
        <v>271</v>
      </c>
      <c r="F55" s="164" t="s">
        <v>421</v>
      </c>
      <c r="G55" s="164" t="s">
        <v>272</v>
      </c>
      <c r="H55" s="164" t="s">
        <v>273</v>
      </c>
    </row>
    <row r="56" spans="1:8">
      <c r="B56" s="164" t="s">
        <v>268</v>
      </c>
      <c r="C56" s="164" t="s">
        <v>295</v>
      </c>
      <c r="D56" s="164" t="s">
        <v>257</v>
      </c>
      <c r="E56" s="164" t="s">
        <v>296</v>
      </c>
      <c r="F56" s="164" t="s">
        <v>277</v>
      </c>
      <c r="G56" s="164" t="s">
        <v>278</v>
      </c>
      <c r="H56" s="164" t="s">
        <v>297</v>
      </c>
    </row>
    <row r="57" spans="1:8">
      <c r="A57" s="141" t="s">
        <v>774</v>
      </c>
      <c r="B57" s="165">
        <v>0.59</v>
      </c>
      <c r="C57" s="165">
        <v>0.57999999999999996</v>
      </c>
      <c r="D57" s="165">
        <v>0.65</v>
      </c>
      <c r="E57" s="165">
        <v>0.48</v>
      </c>
      <c r="F57" s="165">
        <v>0.68</v>
      </c>
      <c r="G57" s="165">
        <v>0.62</v>
      </c>
      <c r="H57" s="165">
        <v>0.53</v>
      </c>
    </row>
    <row r="58" spans="1:8">
      <c r="A58" s="206" t="s">
        <v>773</v>
      </c>
      <c r="B58" s="167">
        <v>0.06</v>
      </c>
      <c r="C58" s="167">
        <v>7.0000000000000007E-2</v>
      </c>
      <c r="D58" s="167">
        <v>0.05</v>
      </c>
      <c r="E58" s="167">
        <v>0.06</v>
      </c>
      <c r="F58" s="167">
        <v>0.05</v>
      </c>
      <c r="G58" s="167">
        <v>0.05</v>
      </c>
      <c r="H58" s="167">
        <v>0.04</v>
      </c>
    </row>
    <row r="59" spans="1:8">
      <c r="A59" s="141" t="s">
        <v>775</v>
      </c>
      <c r="B59" s="165">
        <v>0.4</v>
      </c>
      <c r="C59" s="165">
        <v>0.38</v>
      </c>
      <c r="D59" s="165">
        <v>0.35</v>
      </c>
      <c r="E59" s="165">
        <v>0.24</v>
      </c>
      <c r="F59" s="165">
        <v>0.47</v>
      </c>
      <c r="G59" s="165">
        <v>0.56999999999999995</v>
      </c>
      <c r="H59" s="165">
        <v>0.28999999999999998</v>
      </c>
    </row>
    <row r="60" spans="1:8">
      <c r="A60" s="206" t="s">
        <v>773</v>
      </c>
      <c r="B60" s="167">
        <v>0.05</v>
      </c>
      <c r="C60" s="167">
        <v>0.06</v>
      </c>
      <c r="D60" s="167">
        <v>0.04</v>
      </c>
      <c r="E60" s="167">
        <v>0.05</v>
      </c>
      <c r="F60" s="167">
        <v>0.06</v>
      </c>
      <c r="G60" s="167">
        <v>0.04</v>
      </c>
      <c r="H60" s="167">
        <v>0.04</v>
      </c>
    </row>
    <row r="61" spans="1:8">
      <c r="A61" s="166"/>
    </row>
    <row r="62" spans="1:8" ht="17.399999999999999">
      <c r="A62" s="2134">
        <v>2020</v>
      </c>
      <c r="B62" s="2134"/>
      <c r="C62" s="2134"/>
      <c r="D62" s="2134"/>
      <c r="E62" s="2134"/>
      <c r="F62" s="2134"/>
      <c r="G62" s="2134"/>
      <c r="H62" s="2134"/>
    </row>
    <row r="63" spans="1:8" ht="17.399999999999999">
      <c r="A63" s="241"/>
      <c r="B63" s="164" t="s">
        <v>274</v>
      </c>
      <c r="C63" s="164" t="s">
        <v>419</v>
      </c>
      <c r="D63" s="164" t="s">
        <v>270</v>
      </c>
      <c r="E63" s="164" t="s">
        <v>271</v>
      </c>
      <c r="F63" s="164" t="s">
        <v>421</v>
      </c>
      <c r="G63" s="164" t="s">
        <v>272</v>
      </c>
      <c r="H63" s="164" t="s">
        <v>273</v>
      </c>
    </row>
    <row r="64" spans="1:8">
      <c r="B64" s="164" t="s">
        <v>268</v>
      </c>
      <c r="C64" s="164" t="s">
        <v>295</v>
      </c>
      <c r="D64" s="164" t="s">
        <v>257</v>
      </c>
      <c r="E64" s="164" t="s">
        <v>296</v>
      </c>
      <c r="F64" s="164" t="s">
        <v>277</v>
      </c>
      <c r="G64" s="164" t="s">
        <v>278</v>
      </c>
      <c r="H64" s="164" t="s">
        <v>297</v>
      </c>
    </row>
    <row r="65" spans="1:8">
      <c r="A65" s="141" t="s">
        <v>774</v>
      </c>
      <c r="B65" s="165">
        <v>0.45</v>
      </c>
      <c r="C65" s="165">
        <v>0.42</v>
      </c>
      <c r="D65" s="165">
        <v>0.24</v>
      </c>
      <c r="E65" s="165">
        <v>0.52</v>
      </c>
      <c r="F65" s="165">
        <v>0.53</v>
      </c>
      <c r="G65" s="165">
        <v>0.52</v>
      </c>
      <c r="H65" s="165">
        <v>0.25</v>
      </c>
    </row>
    <row r="66" spans="1:8">
      <c r="A66" s="206" t="s">
        <v>773</v>
      </c>
      <c r="B66" s="167">
        <v>0.04</v>
      </c>
      <c r="C66" s="167">
        <v>0.05</v>
      </c>
      <c r="D66" s="167">
        <v>0.03</v>
      </c>
      <c r="E66" s="167">
        <v>0.04</v>
      </c>
      <c r="F66" s="167">
        <v>0.05</v>
      </c>
      <c r="G66" s="167">
        <v>0.04</v>
      </c>
      <c r="H66" s="167">
        <v>0.03</v>
      </c>
    </row>
    <row r="67" spans="1:8" ht="15" customHeight="1">
      <c r="A67" s="141" t="s">
        <v>775</v>
      </c>
      <c r="B67" s="165">
        <v>0.31</v>
      </c>
      <c r="C67" s="165">
        <v>0.25</v>
      </c>
      <c r="D67" s="165">
        <v>0.12</v>
      </c>
      <c r="E67" s="165">
        <v>0.28000000000000003</v>
      </c>
      <c r="F67" s="165">
        <v>0.42</v>
      </c>
      <c r="G67" s="165">
        <v>0.48</v>
      </c>
      <c r="H67" s="165">
        <v>0.31</v>
      </c>
    </row>
    <row r="68" spans="1:8" ht="15" customHeight="1">
      <c r="A68" s="206" t="s">
        <v>773</v>
      </c>
      <c r="B68" s="167">
        <v>0.05</v>
      </c>
      <c r="C68" s="167">
        <v>0.06</v>
      </c>
      <c r="D68" s="167">
        <v>0.04</v>
      </c>
      <c r="E68" s="167">
        <v>0.04</v>
      </c>
      <c r="F68" s="167">
        <v>0.05</v>
      </c>
      <c r="G68" s="167">
        <v>0.04</v>
      </c>
      <c r="H68" s="167">
        <v>0.03</v>
      </c>
    </row>
    <row r="69" spans="1:8" ht="15" customHeight="1">
      <c r="A69" s="166"/>
      <c r="B69" s="167"/>
      <c r="C69" s="167"/>
      <c r="D69" s="167"/>
      <c r="E69" s="167"/>
      <c r="F69" s="167"/>
      <c r="G69" s="167"/>
      <c r="H69" s="167"/>
    </row>
    <row r="70" spans="1:8">
      <c r="A70" s="166"/>
      <c r="B70" s="167"/>
      <c r="C70" s="167"/>
      <c r="D70" s="167"/>
      <c r="E70" s="167"/>
      <c r="F70" s="167"/>
      <c r="G70" s="167"/>
      <c r="H70" s="167"/>
    </row>
    <row r="71" spans="1:8" ht="21">
      <c r="A71" s="233"/>
    </row>
    <row r="72" spans="1:8" ht="21">
      <c r="A72" s="156" t="s">
        <v>767</v>
      </c>
    </row>
    <row r="73" spans="1:8" ht="15.6">
      <c r="A73" s="168"/>
    </row>
    <row r="74" spans="1:8">
      <c r="A74" s="169" t="s">
        <v>459</v>
      </c>
      <c r="B74" s="164" t="s">
        <v>274</v>
      </c>
      <c r="C74" s="164" t="s">
        <v>419</v>
      </c>
      <c r="D74" s="164" t="s">
        <v>270</v>
      </c>
      <c r="E74" s="164" t="s">
        <v>271</v>
      </c>
      <c r="F74" s="164" t="s">
        <v>421</v>
      </c>
      <c r="G74" s="164" t="s">
        <v>272</v>
      </c>
      <c r="H74" s="164" t="s">
        <v>273</v>
      </c>
    </row>
    <row r="75" spans="1:8">
      <c r="B75" s="164" t="s">
        <v>268</v>
      </c>
      <c r="C75" s="164" t="s">
        <v>295</v>
      </c>
      <c r="D75" s="164" t="s">
        <v>257</v>
      </c>
      <c r="E75" s="164" t="s">
        <v>296</v>
      </c>
      <c r="F75" s="164" t="s">
        <v>277</v>
      </c>
      <c r="G75" s="164" t="s">
        <v>278</v>
      </c>
      <c r="H75" s="164" t="s">
        <v>297</v>
      </c>
    </row>
    <row r="76" spans="1:8">
      <c r="A76" s="141" t="s">
        <v>776</v>
      </c>
      <c r="B76" s="165">
        <f>FL_fb_min</f>
        <v>0.53</v>
      </c>
      <c r="C76" s="165">
        <f>SE_fb_min</f>
        <v>0.26</v>
      </c>
      <c r="D76" s="165">
        <f>BOCA_fb_min</f>
        <v>0.65</v>
      </c>
      <c r="E76" s="165">
        <f>SW_fb_min</f>
        <v>0.62</v>
      </c>
      <c r="F76" s="165">
        <f>SWCIRA_fb_min</f>
        <v>0.78</v>
      </c>
      <c r="G76" s="165">
        <f>NC_fb_min</f>
        <v>0.43</v>
      </c>
      <c r="H76" s="165">
        <f>YB_fb_min</f>
        <v>0.57999999999999996</v>
      </c>
    </row>
    <row r="77" spans="1:8">
      <c r="A77" s="813" t="s">
        <v>779</v>
      </c>
      <c r="B77" s="269">
        <f>FL_fb_min_amt</f>
        <v>1200</v>
      </c>
      <c r="C77" s="269">
        <f>SE_fb_min_amt</f>
        <v>1600</v>
      </c>
      <c r="D77" s="269">
        <f>BOCA_fb_min_amt</f>
        <v>1800</v>
      </c>
      <c r="E77" s="269">
        <f>SW_fb_min_amt</f>
        <v>1300</v>
      </c>
      <c r="F77" s="269">
        <f>SWCIRA_fb_min_amt</f>
        <v>700</v>
      </c>
      <c r="G77" s="269">
        <f>NC_fb_min_amt</f>
        <v>800</v>
      </c>
      <c r="H77" s="269">
        <f>YB_fb_min_amt</f>
        <v>900</v>
      </c>
    </row>
    <row r="78" spans="1:8">
      <c r="A78" s="141" t="s">
        <v>777</v>
      </c>
      <c r="B78" s="165">
        <f>FL_mand_serv_chg</f>
        <v>0.25</v>
      </c>
      <c r="C78" s="165">
        <f>SE_mand_serv_chg</f>
        <v>0.3</v>
      </c>
      <c r="D78" s="165">
        <f>BOCA_mand_serv_chg</f>
        <v>0.59</v>
      </c>
      <c r="E78" s="165">
        <f>SW_mand_serv_chg</f>
        <v>0.15</v>
      </c>
      <c r="F78" s="165">
        <f>SWCIRA_mand_serv_chg</f>
        <v>0.06</v>
      </c>
      <c r="G78" s="165">
        <f>NC_mand_serv_chg</f>
        <v>0.22</v>
      </c>
      <c r="H78" s="165">
        <f>YB_mand_serv_chg</f>
        <v>0.42</v>
      </c>
    </row>
    <row r="79" spans="1:8">
      <c r="A79" s="813" t="s">
        <v>778</v>
      </c>
      <c r="B79" s="269">
        <f>FL_ann_servchg</f>
        <v>1300</v>
      </c>
      <c r="C79" s="269">
        <f>SE_ann_servchg</f>
        <v>1100</v>
      </c>
      <c r="D79" s="269">
        <f>BOCA_ann_servchg</f>
        <v>2000</v>
      </c>
      <c r="E79" s="269">
        <f>SW_ann_servchg</f>
        <v>800</v>
      </c>
      <c r="F79" s="170">
        <f>SWCIRA_ann_servchg</f>
        <v>600</v>
      </c>
      <c r="G79" s="170">
        <f>NC_ann_servchg</f>
        <v>600</v>
      </c>
      <c r="H79" s="269">
        <f>YB_ann_servchg</f>
        <v>1200</v>
      </c>
    </row>
    <row r="80" spans="1:8">
      <c r="A80" s="141" t="s">
        <v>780</v>
      </c>
      <c r="B80" s="685"/>
      <c r="C80" s="685"/>
      <c r="D80" s="685"/>
      <c r="E80" s="685"/>
      <c r="F80" s="685"/>
      <c r="G80" s="685"/>
      <c r="H80" s="685"/>
    </row>
    <row r="81" spans="1:8">
      <c r="A81" s="684" t="s">
        <v>781</v>
      </c>
      <c r="B81" s="686">
        <f>FL_both_fbmin_servchg</f>
        <v>0.11</v>
      </c>
      <c r="C81" s="686">
        <f>SE_both_fbmin_servchg</f>
        <v>0.09</v>
      </c>
      <c r="D81" s="686">
        <f>BOCA_both_fbmin_servchg</f>
        <v>0.41</v>
      </c>
      <c r="E81" s="686">
        <f>SW_both_fbmin_servchg</f>
        <v>0.04</v>
      </c>
      <c r="F81" s="686">
        <f>SWCIRA_both_fbmin_servchg</f>
        <v>0.06</v>
      </c>
      <c r="G81" s="686">
        <f>NC_both_fbmin_servchg</f>
        <v>0.04</v>
      </c>
      <c r="H81" s="686">
        <f>YB_both_fbmin_servchg</f>
        <v>0.17</v>
      </c>
    </row>
    <row r="82" spans="1:8">
      <c r="A82" s="1262" t="s">
        <v>1374</v>
      </c>
      <c r="B82" s="136"/>
      <c r="C82" s="136"/>
      <c r="D82" s="136"/>
      <c r="E82" s="136"/>
      <c r="F82" s="136"/>
      <c r="G82" s="136"/>
      <c r="H82" s="136"/>
    </row>
    <row r="83" spans="1:8">
      <c r="A83" s="1262" t="s">
        <v>1375</v>
      </c>
      <c r="B83" s="309">
        <f>FL_fb_nograt_nomand</f>
        <v>0.21</v>
      </c>
      <c r="C83" s="309">
        <f>SE_fb_nograt_nomand</f>
        <v>0.39</v>
      </c>
      <c r="D83" s="309">
        <f>BOCA_fb_nograt_nomand</f>
        <v>0.28999999999999998</v>
      </c>
      <c r="E83" s="309">
        <f>SW_fb_nograt_nomand</f>
        <v>0.08</v>
      </c>
      <c r="F83" s="309">
        <f>SWCIRA_fb_nograt_nomand</f>
        <v>0.06</v>
      </c>
      <c r="G83" s="309">
        <f>NC_fb_nograt_nomand</f>
        <v>0.26</v>
      </c>
      <c r="H83" s="309">
        <f>YB_fb_nograt_nomand</f>
        <v>0.08</v>
      </c>
    </row>
    <row r="85" spans="1:8" ht="21">
      <c r="A85" s="156" t="s">
        <v>767</v>
      </c>
    </row>
    <row r="86" spans="1:8" ht="15.6">
      <c r="A86" s="171"/>
    </row>
    <row r="87" spans="1:8">
      <c r="A87" s="169" t="s">
        <v>459</v>
      </c>
      <c r="B87" s="164" t="s">
        <v>274</v>
      </c>
      <c r="C87" s="164" t="s">
        <v>419</v>
      </c>
      <c r="D87" s="164" t="s">
        <v>270</v>
      </c>
      <c r="E87" s="164" t="s">
        <v>271</v>
      </c>
      <c r="F87" s="164" t="s">
        <v>421</v>
      </c>
      <c r="G87" s="164" t="s">
        <v>272</v>
      </c>
      <c r="H87" s="164" t="s">
        <v>273</v>
      </c>
    </row>
    <row r="88" spans="1:8">
      <c r="B88" s="164" t="s">
        <v>268</v>
      </c>
      <c r="C88" s="164" t="s">
        <v>295</v>
      </c>
      <c r="D88" s="164" t="s">
        <v>257</v>
      </c>
      <c r="E88" s="164" t="s">
        <v>296</v>
      </c>
      <c r="F88" s="164" t="s">
        <v>277</v>
      </c>
      <c r="G88" s="164" t="s">
        <v>278</v>
      </c>
      <c r="H88" s="164" t="s">
        <v>297</v>
      </c>
    </row>
    <row r="89" spans="1:8">
      <c r="A89" s="218" t="s">
        <v>327</v>
      </c>
      <c r="B89" s="143">
        <v>1</v>
      </c>
      <c r="C89" s="143">
        <v>1</v>
      </c>
      <c r="D89" s="143">
        <v>1</v>
      </c>
      <c r="E89" s="143">
        <v>1</v>
      </c>
      <c r="F89" s="143">
        <v>1</v>
      </c>
      <c r="G89" s="143">
        <v>1</v>
      </c>
      <c r="H89" s="143">
        <v>1</v>
      </c>
    </row>
    <row r="90" spans="1:8">
      <c r="A90" s="206" t="s">
        <v>342</v>
      </c>
      <c r="B90" s="172">
        <f>FL_fd_cos</f>
        <v>0.54200000000000004</v>
      </c>
      <c r="C90" s="172">
        <f>SE_fd_cos</f>
        <v>0.54600000000000004</v>
      </c>
      <c r="D90" s="172">
        <f>BOCA_fd_cos</f>
        <v>0.64800000000000002</v>
      </c>
      <c r="E90" s="172">
        <f>SW_fd_cos</f>
        <v>0.46300000000000002</v>
      </c>
      <c r="F90" s="172">
        <f>SWCIRA_fd_cos</f>
        <v>0.47199999999999998</v>
      </c>
      <c r="G90" s="172">
        <f>NC_fd_cos</f>
        <v>0.50900000000000001</v>
      </c>
      <c r="H90" s="172">
        <f>YB_fd_cos</f>
        <v>0.46600000000000003</v>
      </c>
    </row>
    <row r="91" spans="1:8" ht="15.6" thickBot="1">
      <c r="A91" s="218" t="s">
        <v>343</v>
      </c>
      <c r="B91" s="174">
        <f>+B89-B90</f>
        <v>0.45799999999999996</v>
      </c>
      <c r="C91" s="174">
        <f t="shared" ref="C91:H91" si="0">+C89-C90</f>
        <v>0.45399999999999996</v>
      </c>
      <c r="D91" s="174">
        <f t="shared" si="0"/>
        <v>0.35199999999999998</v>
      </c>
      <c r="E91" s="174">
        <f t="shared" si="0"/>
        <v>0.53699999999999992</v>
      </c>
      <c r="F91" s="174">
        <f t="shared" si="0"/>
        <v>0.52800000000000002</v>
      </c>
      <c r="G91" s="174">
        <f t="shared" si="0"/>
        <v>0.49099999999999999</v>
      </c>
      <c r="H91" s="174">
        <f t="shared" si="0"/>
        <v>0.53400000000000003</v>
      </c>
    </row>
    <row r="92" spans="1:8" ht="15.6" thickTop="1">
      <c r="A92" s="206"/>
      <c r="B92" s="175"/>
      <c r="C92" s="175"/>
      <c r="D92" s="175"/>
      <c r="E92" s="175"/>
      <c r="F92" s="175"/>
      <c r="G92" s="175"/>
      <c r="H92" s="175"/>
    </row>
    <row r="93" spans="1:8">
      <c r="A93" s="218" t="s">
        <v>12</v>
      </c>
      <c r="B93" s="143">
        <v>1</v>
      </c>
      <c r="C93" s="143">
        <v>1</v>
      </c>
      <c r="D93" s="143">
        <v>1</v>
      </c>
      <c r="E93" s="143">
        <v>1</v>
      </c>
      <c r="F93" s="143">
        <v>1</v>
      </c>
      <c r="G93" s="143">
        <v>1</v>
      </c>
      <c r="H93" s="143">
        <v>1</v>
      </c>
    </row>
    <row r="94" spans="1:8">
      <c r="A94" s="206" t="s">
        <v>344</v>
      </c>
      <c r="B94" s="172">
        <f>FL_bev_cos</f>
        <v>0.372</v>
      </c>
      <c r="C94" s="172">
        <f>SE_bev_cos</f>
        <v>0.374</v>
      </c>
      <c r="D94" s="172">
        <f>BOCA_bev_cos</f>
        <v>0.37</v>
      </c>
      <c r="E94" s="172">
        <f>SW_bev_cos</f>
        <v>0.40200000000000002</v>
      </c>
      <c r="F94" s="172">
        <f>SWCIRA_bev_cos</f>
        <v>0.34799999999999998</v>
      </c>
      <c r="G94" s="172">
        <f>NC_bev_cos</f>
        <v>0.34499999999999997</v>
      </c>
      <c r="H94" s="172">
        <f>YB_bev_cos</f>
        <v>0.34100000000000003</v>
      </c>
    </row>
    <row r="95" spans="1:8" ht="15.6" thickBot="1">
      <c r="A95" s="218" t="s">
        <v>345</v>
      </c>
      <c r="B95" s="174">
        <f>+B93-B94</f>
        <v>0.628</v>
      </c>
      <c r="C95" s="174">
        <f t="shared" ref="C95:H95" si="1">+C93-C94</f>
        <v>0.626</v>
      </c>
      <c r="D95" s="174">
        <f t="shared" si="1"/>
        <v>0.63</v>
      </c>
      <c r="E95" s="174">
        <f t="shared" si="1"/>
        <v>0.59799999999999998</v>
      </c>
      <c r="F95" s="174">
        <f t="shared" si="1"/>
        <v>0.65200000000000002</v>
      </c>
      <c r="G95" s="174">
        <f t="shared" si="1"/>
        <v>0.65500000000000003</v>
      </c>
      <c r="H95" s="174">
        <f t="shared" si="1"/>
        <v>0.65900000000000003</v>
      </c>
    </row>
    <row r="96" spans="1:8" ht="15.6" thickTop="1">
      <c r="A96" s="206"/>
      <c r="B96" s="175"/>
      <c r="C96" s="175"/>
      <c r="D96" s="175"/>
      <c r="E96" s="175"/>
      <c r="F96" s="175"/>
      <c r="G96" s="175"/>
      <c r="H96" s="175"/>
    </row>
    <row r="97" spans="1:21">
      <c r="A97" s="776" t="s">
        <v>888</v>
      </c>
      <c r="B97" s="143">
        <v>1</v>
      </c>
      <c r="C97" s="143">
        <v>1</v>
      </c>
      <c r="D97" s="143">
        <v>1</v>
      </c>
      <c r="E97" s="143">
        <v>1</v>
      </c>
      <c r="F97" s="143">
        <v>1</v>
      </c>
      <c r="G97" s="143">
        <v>1</v>
      </c>
      <c r="H97" s="143">
        <v>1</v>
      </c>
    </row>
    <row r="98" spans="1:21">
      <c r="A98" s="206" t="s">
        <v>347</v>
      </c>
      <c r="B98" s="172">
        <f>FL_fANDb_cos</f>
        <v>0.49299999999999999</v>
      </c>
      <c r="C98" s="172">
        <f>SE_fANDb_cos</f>
        <v>0.499</v>
      </c>
      <c r="D98" s="172">
        <f>BOCA_fANDb_cos</f>
        <v>0.60099999999999998</v>
      </c>
      <c r="E98" s="172">
        <f>SW_fANDb_cos</f>
        <v>0.441</v>
      </c>
      <c r="F98" s="172">
        <f>SWCIRA_fANDb_cos</f>
        <v>0.42899999999999999</v>
      </c>
      <c r="G98" s="172">
        <f>NC_fANDb_cos</f>
        <v>0.45600000000000002</v>
      </c>
      <c r="H98" s="172">
        <f>YB_fANDb_cos</f>
        <v>0.42299999999999999</v>
      </c>
    </row>
    <row r="99" spans="1:21" ht="15.6" thickBot="1">
      <c r="A99" s="218" t="s">
        <v>348</v>
      </c>
      <c r="B99" s="174">
        <f>+B97-B98</f>
        <v>0.50700000000000001</v>
      </c>
      <c r="C99" s="174">
        <f t="shared" ref="C99:H99" si="2">+C97-C98</f>
        <v>0.501</v>
      </c>
      <c r="D99" s="174">
        <f t="shared" si="2"/>
        <v>0.39900000000000002</v>
      </c>
      <c r="E99" s="174">
        <f t="shared" si="2"/>
        <v>0.55899999999999994</v>
      </c>
      <c r="F99" s="174">
        <f t="shared" si="2"/>
        <v>0.57099999999999995</v>
      </c>
      <c r="G99" s="174">
        <f t="shared" si="2"/>
        <v>0.54400000000000004</v>
      </c>
      <c r="H99" s="174">
        <f t="shared" si="2"/>
        <v>0.57699999999999996</v>
      </c>
    </row>
    <row r="100" spans="1:21" ht="15.6" thickTop="1">
      <c r="A100" s="206"/>
      <c r="B100" s="175"/>
      <c r="C100" s="175"/>
      <c r="D100" s="175"/>
      <c r="E100" s="175"/>
      <c r="F100" s="175"/>
      <c r="G100" s="175"/>
      <c r="H100" s="175"/>
    </row>
    <row r="101" spans="1:21">
      <c r="A101" s="166" t="s">
        <v>29</v>
      </c>
      <c r="B101" s="176"/>
      <c r="C101" s="175"/>
      <c r="D101" s="175"/>
      <c r="E101" s="175"/>
      <c r="F101" s="175"/>
      <c r="G101" s="175"/>
      <c r="H101" s="175"/>
    </row>
    <row r="102" spans="1:21">
      <c r="A102" s="218" t="s">
        <v>349</v>
      </c>
      <c r="B102" s="144">
        <f>SUM(FL_pay_net_servchg)</f>
        <v>0.74299999999999999</v>
      </c>
      <c r="C102" s="144">
        <f>SUM(SE_pay_net_servchg)</f>
        <v>0.70499999999999996</v>
      </c>
      <c r="D102" s="144">
        <f>SUM(BOCA_pay_net_servchg)</f>
        <v>1.034</v>
      </c>
      <c r="E102" s="144">
        <f>SUM(SW_pay_net_servchg)</f>
        <v>0.622</v>
      </c>
      <c r="F102" s="144">
        <f>SUM(SWCIRA_pay_net_servchg)</f>
        <v>0.67700000000000005</v>
      </c>
      <c r="G102" s="144">
        <f>SUM(NC_pay_net_servchg)</f>
        <v>0.63</v>
      </c>
      <c r="H102" s="144">
        <f>SUM(YB_pay_net_servchg)</f>
        <v>0.58900000000000008</v>
      </c>
    </row>
    <row r="103" spans="1:21">
      <c r="A103" s="206" t="s">
        <v>350</v>
      </c>
      <c r="B103" s="175">
        <f>SUM(FL_pay_taxANDben)</f>
        <v>0.17699999999999999</v>
      </c>
      <c r="C103" s="175">
        <f>SUM(SE_pay_taxANDben)</f>
        <v>0.16099999999999998</v>
      </c>
      <c r="D103" s="175">
        <f>SUM(BOCA_pay_taxANDben)</f>
        <v>0.23900000000000002</v>
      </c>
      <c r="E103" s="175">
        <f>SUM(SW_pay_taxANDben)</f>
        <v>0.15300000000000002</v>
      </c>
      <c r="F103" s="175">
        <f>SUM(SWCIRA_pay_taxANDben)</f>
        <v>0.17</v>
      </c>
      <c r="G103" s="175">
        <f>SUM(NC_pay_taxANDben)</f>
        <v>0.157</v>
      </c>
      <c r="H103" s="175">
        <f>SUM(YB_pay_taxANDben)</f>
        <v>0.13500000000000001</v>
      </c>
    </row>
    <row r="104" spans="1:21" ht="15.75" customHeight="1">
      <c r="A104" s="218" t="s">
        <v>351</v>
      </c>
      <c r="B104" s="143">
        <f>SUM(FL_all_ot_exp)</f>
        <v>0.22</v>
      </c>
      <c r="C104" s="143">
        <f>SUM(SE_all_ot_exp)+0.1%</f>
        <v>0.222</v>
      </c>
      <c r="D104" s="143">
        <f>SUM(BOCA_all_ot_exp)+0.1%</f>
        <v>0.30700000000000005</v>
      </c>
      <c r="E104" s="143">
        <f>SUM(SW_all_ot_exp)-0.1%</f>
        <v>0.16699999999999998</v>
      </c>
      <c r="F104" s="143">
        <f>SUM(SWCIRA_all_ot_exp)</f>
        <v>0.19700000000000001</v>
      </c>
      <c r="G104" s="143">
        <f>SUM(NC_all_ot_exp)</f>
        <v>0.191</v>
      </c>
      <c r="H104" s="143">
        <f>SUM(YB_all_ot_exp)+0.1%</f>
        <v>0.125</v>
      </c>
    </row>
    <row r="105" spans="1:21" ht="17.399999999999999">
      <c r="A105" s="206" t="s">
        <v>352</v>
      </c>
      <c r="B105" s="179">
        <f>SUM(B102:B104)</f>
        <v>1.1399999999999999</v>
      </c>
      <c r="C105" s="179">
        <f t="shared" ref="C105:H105" si="3">SUM(C102:C104)</f>
        <v>1.0879999999999999</v>
      </c>
      <c r="D105" s="179">
        <f t="shared" si="3"/>
        <v>1.58</v>
      </c>
      <c r="E105" s="179">
        <f t="shared" si="3"/>
        <v>0.94199999999999995</v>
      </c>
      <c r="F105" s="179">
        <f t="shared" si="3"/>
        <v>1.044</v>
      </c>
      <c r="G105" s="179">
        <f t="shared" si="3"/>
        <v>0.97799999999999998</v>
      </c>
      <c r="H105" s="179">
        <f t="shared" si="3"/>
        <v>0.84900000000000009</v>
      </c>
      <c r="J105" s="155" t="s">
        <v>2105</v>
      </c>
      <c r="Q105" s="311"/>
      <c r="R105" s="311"/>
      <c r="S105" s="311"/>
      <c r="T105" s="311"/>
      <c r="U105" s="311"/>
    </row>
    <row r="106" spans="1:21" ht="15.6" thickBot="1">
      <c r="A106" s="218" t="s">
        <v>853</v>
      </c>
      <c r="B106" s="310">
        <f>+B99-B105</f>
        <v>-0.6329999999999999</v>
      </c>
      <c r="C106" s="148">
        <f t="shared" ref="C106:H106" si="4">+C99-C105</f>
        <v>-0.58699999999999986</v>
      </c>
      <c r="D106" s="148">
        <f t="shared" si="4"/>
        <v>-1.181</v>
      </c>
      <c r="E106" s="148">
        <f t="shared" si="4"/>
        <v>-0.38300000000000001</v>
      </c>
      <c r="F106" s="148">
        <f t="shared" si="4"/>
        <v>-0.47300000000000009</v>
      </c>
      <c r="G106" s="148">
        <f t="shared" si="4"/>
        <v>-0.43399999999999994</v>
      </c>
      <c r="H106" s="148">
        <f t="shared" si="4"/>
        <v>-0.27200000000000013</v>
      </c>
      <c r="J106" s="1928">
        <f>'Exec Summary'!B53/'Exec Summary'!B47</f>
        <v>0.63316092514882405</v>
      </c>
      <c r="K106" s="1928">
        <f>'Exec Summary'!C53/'Exec Summary'!C47</f>
        <v>0.58737895005096841</v>
      </c>
      <c r="L106" s="1928">
        <f>'Exec Summary'!D53/'Exec Summary'!D47</f>
        <v>1.1807421769320949</v>
      </c>
      <c r="M106" s="1928">
        <f>'Exec Summary'!E53/'Exec Summary'!E47</f>
        <v>0.38252640241393498</v>
      </c>
      <c r="N106" s="1928">
        <f>'Exec Summary'!F53/'Exec Summary'!F47</f>
        <v>0.47304249408375348</v>
      </c>
      <c r="O106" s="1928">
        <f>'Exec Summary'!G53/'Exec Summary'!G47</f>
        <v>0.43438264557168488</v>
      </c>
      <c r="P106" s="1928">
        <f>'Exec Summary'!H53/'Exec Summary'!H47</f>
        <v>0.27155620195304386</v>
      </c>
      <c r="Q106" s="1924"/>
    </row>
    <row r="107" spans="1:21" ht="15.6" thickTop="1">
      <c r="A107" s="166" t="s">
        <v>783</v>
      </c>
      <c r="B107" s="271">
        <f>FL_fb_ratio</f>
        <v>2.4700000000000002</v>
      </c>
      <c r="C107" s="271">
        <f>SE_fb_ratio</f>
        <v>2.67</v>
      </c>
      <c r="D107" s="271">
        <f>BOCA_fb_ratio</f>
        <v>4.97</v>
      </c>
      <c r="E107" s="271">
        <f>SW_fb_ratio</f>
        <v>1.75</v>
      </c>
      <c r="F107" s="271">
        <f>SWCIRA_fb_ratio</f>
        <v>1.89</v>
      </c>
      <c r="G107" s="271">
        <f>NC_fb_ratio</f>
        <v>2.0699999999999998</v>
      </c>
      <c r="H107" s="271">
        <f>YB_fb_ratio</f>
        <v>1.91</v>
      </c>
      <c r="J107" s="1925">
        <f>+J106+B106</f>
        <v>1.6092514882415365E-4</v>
      </c>
      <c r="K107" s="1925">
        <f t="shared" ref="K107:O107" si="5">+K106+C106</f>
        <v>3.7895005096855172E-4</v>
      </c>
      <c r="L107" s="1925">
        <f t="shared" si="5"/>
        <v>-2.5782306790511633E-4</v>
      </c>
      <c r="M107" s="1925">
        <f>+M106+E106</f>
        <v>-4.7359758606502211E-4</v>
      </c>
      <c r="N107" s="1925">
        <f t="shared" si="5"/>
        <v>4.2494083753397138E-5</v>
      </c>
      <c r="O107" s="1925">
        <f t="shared" si="5"/>
        <v>3.826455716849364E-4</v>
      </c>
      <c r="P107" s="1925">
        <f>+P106+H106</f>
        <v>-4.4379804695626746E-4</v>
      </c>
    </row>
    <row r="108" spans="1:21" s="872" customFormat="1" ht="15.6">
      <c r="A108" s="870" t="s">
        <v>356</v>
      </c>
      <c r="B108" s="871">
        <f>FL_fb_rev/1000</f>
        <v>3074.1</v>
      </c>
      <c r="C108" s="871">
        <f>SE_fb_rev/1000</f>
        <v>3139.2</v>
      </c>
      <c r="D108" s="871">
        <f>BOCA_fb_rev/1000</f>
        <v>4435.6000000000004</v>
      </c>
      <c r="E108" s="871">
        <f>SW_fb_rev/1000</f>
        <v>2916.4</v>
      </c>
      <c r="F108" s="871">
        <f>SWCIRA_fb_rev/1000</f>
        <v>1943.8</v>
      </c>
      <c r="G108" s="871">
        <f>NC_fb_rev/1000</f>
        <v>3065.5</v>
      </c>
      <c r="H108" s="871">
        <f>YB_fb_rev/1000</f>
        <v>3369.1</v>
      </c>
    </row>
    <row r="109" spans="1:21">
      <c r="A109" s="142" t="s">
        <v>1045</v>
      </c>
      <c r="B109" s="270">
        <f>FL_FME</f>
        <v>730</v>
      </c>
      <c r="C109" s="270">
        <f>SE_FME</f>
        <v>620</v>
      </c>
      <c r="D109" s="270">
        <f>BOCA_FME</f>
        <v>900</v>
      </c>
      <c r="E109" s="270">
        <f>SW_FME</f>
        <v>570</v>
      </c>
      <c r="F109" s="270">
        <f>SWCIRA_FME</f>
        <v>900</v>
      </c>
      <c r="G109" s="270">
        <f>NC_FME</f>
        <v>760</v>
      </c>
      <c r="H109" s="270">
        <f>YB_FME</f>
        <v>690</v>
      </c>
    </row>
    <row r="110" spans="1:21" s="872" customFormat="1" ht="15.6">
      <c r="A110" s="870" t="s">
        <v>871</v>
      </c>
      <c r="B110" s="871">
        <f>FL_FB_loss</f>
        <v>-1946400</v>
      </c>
      <c r="C110" s="871">
        <f>SE_FB_loss</f>
        <v>-1843900</v>
      </c>
      <c r="D110" s="871">
        <f>BOCA_FB_loss</f>
        <v>-5237300</v>
      </c>
      <c r="E110" s="871">
        <f>SW_FB_loss</f>
        <v>-1115600</v>
      </c>
      <c r="F110" s="871">
        <f>SWCIRA_FB_loss</f>
        <v>-919500</v>
      </c>
      <c r="G110" s="871">
        <f>NC_FB_loss</f>
        <v>-1331600</v>
      </c>
      <c r="H110" s="871">
        <f>YB_FB_loss</f>
        <v>-914900</v>
      </c>
    </row>
    <row r="111" spans="1:21">
      <c r="A111" s="166" t="s">
        <v>970</v>
      </c>
      <c r="B111" s="1923">
        <f>-FL_FBLoss_DuesRev</f>
        <v>0.19403848070979962</v>
      </c>
      <c r="C111" s="1923">
        <f>-SE_FBLoss_DuesRev</f>
        <v>0.15990807388778078</v>
      </c>
      <c r="D111" s="1923">
        <f>-BOCA_FBLoss_DuesRev</f>
        <v>0.28160554898376172</v>
      </c>
      <c r="E111" s="1923">
        <f>-SW_FBLoss_DuesRev</f>
        <v>0.13705159705159706</v>
      </c>
      <c r="F111" s="1923">
        <f>-SWCIRA_FBLoss_DuesRev</f>
        <v>0.16615468015901699</v>
      </c>
      <c r="G111" s="1923">
        <f>-NC_FBLoss_DuesRev</f>
        <v>0.16947944508081966</v>
      </c>
      <c r="H111" s="1923">
        <f>-YB_FBLoss_DuesRev</f>
        <v>0.21516933207902164</v>
      </c>
    </row>
    <row r="112" spans="1:21" s="872" customFormat="1" ht="15.6">
      <c r="A112" s="870" t="s">
        <v>1047</v>
      </c>
      <c r="B112" s="871">
        <f>-FL_FB_loss_p.FME</f>
        <v>2670</v>
      </c>
      <c r="C112" s="871">
        <f>-SE_FB_loss_p.FME</f>
        <v>2970</v>
      </c>
      <c r="D112" s="871">
        <f>-BOCA_FB_loss_p.FME</f>
        <v>5820</v>
      </c>
      <c r="E112" s="871">
        <f>-SW_FB_loss_p.FME</f>
        <v>1960</v>
      </c>
      <c r="F112" s="871">
        <f>-SWCIRA_FB_loss_p.FME</f>
        <v>1020</v>
      </c>
      <c r="G112" s="871">
        <f>-NC_FB_loss_p.FME</f>
        <v>1750</v>
      </c>
      <c r="H112" s="871">
        <f>-YB_FB_loss_p.FME</f>
        <v>1330</v>
      </c>
    </row>
    <row r="115" spans="1:20" ht="21">
      <c r="A115" s="156" t="s">
        <v>769</v>
      </c>
    </row>
    <row r="116" spans="1:20" ht="21">
      <c r="A116" s="156" t="s">
        <v>429</v>
      </c>
    </row>
    <row r="117" spans="1:20">
      <c r="P117" s="127"/>
      <c r="Q117" s="127"/>
      <c r="R117" s="127"/>
    </row>
    <row r="118" spans="1:20">
      <c r="A118" s="181" t="s">
        <v>453</v>
      </c>
      <c r="B118" s="127"/>
      <c r="C118" s="127"/>
      <c r="D118" s="127"/>
      <c r="E118" s="127"/>
      <c r="F118" s="127"/>
      <c r="G118" s="127"/>
      <c r="H118" s="127"/>
      <c r="J118" s="159"/>
      <c r="N118" s="127"/>
      <c r="O118" s="127"/>
    </row>
    <row r="119" spans="1:20" ht="28.8">
      <c r="A119" s="235"/>
      <c r="B119" s="287" t="s">
        <v>862</v>
      </c>
      <c r="C119" s="287" t="s">
        <v>861</v>
      </c>
      <c r="D119" s="231" t="s">
        <v>782</v>
      </c>
      <c r="E119" s="287" t="s">
        <v>863</v>
      </c>
      <c r="F119" s="287" t="s">
        <v>864</v>
      </c>
      <c r="G119" s="287" t="s">
        <v>865</v>
      </c>
      <c r="H119" s="287" t="s">
        <v>866</v>
      </c>
    </row>
    <row r="120" spans="1:20">
      <c r="A120" s="214" t="s">
        <v>312</v>
      </c>
      <c r="B120" s="378">
        <f>FL_food_rev</f>
        <v>2187500</v>
      </c>
      <c r="C120" s="378">
        <f>SE_food_rev</f>
        <v>2283700</v>
      </c>
      <c r="D120" s="378">
        <f>BOCA_food_rev</f>
        <v>3692300</v>
      </c>
      <c r="E120" s="378">
        <f>SW_food_rev</f>
        <v>1855300</v>
      </c>
      <c r="F120" s="378">
        <f>SWCIRA_food_rev</f>
        <v>1271300</v>
      </c>
      <c r="G120" s="378">
        <f>NC_food_rev</f>
        <v>2066500</v>
      </c>
      <c r="H120" s="378">
        <f>YB_food_rev</f>
        <v>2210100</v>
      </c>
      <c r="N120" s="797" t="s">
        <v>907</v>
      </c>
      <c r="O120" s="783"/>
      <c r="P120" s="783"/>
      <c r="Q120" s="783"/>
      <c r="R120" s="783"/>
      <c r="S120" s="783"/>
      <c r="T120" s="784"/>
    </row>
    <row r="121" spans="1:20">
      <c r="A121" s="214" t="s">
        <v>313</v>
      </c>
      <c r="B121" s="378">
        <f>FL_bev_rev</f>
        <v>886600</v>
      </c>
      <c r="C121" s="378">
        <f>SE_bev_rev</f>
        <v>855500</v>
      </c>
      <c r="D121" s="378">
        <f>BOCA_bev_rev</f>
        <v>743300</v>
      </c>
      <c r="E121" s="378">
        <f>SW_bev_rev</f>
        <v>1061100</v>
      </c>
      <c r="F121" s="378">
        <f>SWCIRA_bev_rev</f>
        <v>672500</v>
      </c>
      <c r="G121" s="378">
        <f>NC_bev_rev</f>
        <v>999000</v>
      </c>
      <c r="H121" s="378">
        <f>YB_bev_rev</f>
        <v>1159000</v>
      </c>
      <c r="N121" s="785">
        <f t="shared" ref="N121:S121" si="6">B120+B121-B122</f>
        <v>0</v>
      </c>
      <c r="O121" s="786">
        <f t="shared" si="6"/>
        <v>0</v>
      </c>
      <c r="P121" s="786">
        <f>D120+D121-D122</f>
        <v>0</v>
      </c>
      <c r="Q121" s="786">
        <f t="shared" si="6"/>
        <v>0</v>
      </c>
      <c r="R121" s="786">
        <f t="shared" si="6"/>
        <v>0</v>
      </c>
      <c r="S121" s="786">
        <f t="shared" si="6"/>
        <v>0</v>
      </c>
      <c r="T121" s="787">
        <f>H120+H121-H122</f>
        <v>0</v>
      </c>
    </row>
    <row r="122" spans="1:20">
      <c r="A122" s="214" t="s">
        <v>452</v>
      </c>
      <c r="B122" s="378">
        <f>FL_fb_rev</f>
        <v>3074100</v>
      </c>
      <c r="C122" s="378">
        <f>SE_fb_rev</f>
        <v>3139200</v>
      </c>
      <c r="D122" s="378">
        <f>BOCA_fb_rev</f>
        <v>4435600</v>
      </c>
      <c r="E122" s="378">
        <f>SW_fb_rev</f>
        <v>2916400</v>
      </c>
      <c r="F122" s="378">
        <f>SWCIRA_fb_rev</f>
        <v>1943800</v>
      </c>
      <c r="G122" s="378">
        <f>NC_fb_rev</f>
        <v>3065500</v>
      </c>
      <c r="H122" s="378">
        <f>YB_fb_rev</f>
        <v>3369100</v>
      </c>
      <c r="J122" s="378"/>
      <c r="K122" s="378"/>
      <c r="L122" s="378"/>
      <c r="M122" s="378"/>
      <c r="N122" s="378"/>
      <c r="O122" s="378"/>
      <c r="P122" s="378"/>
    </row>
    <row r="123" spans="1:20">
      <c r="A123" s="214" t="s">
        <v>454</v>
      </c>
      <c r="B123" s="216">
        <f t="shared" ref="B123:H124" si="7">ROUND(B120/B$122,3)</f>
        <v>0.71199999999999997</v>
      </c>
      <c r="C123" s="216">
        <f t="shared" si="7"/>
        <v>0.72699999999999998</v>
      </c>
      <c r="D123" s="216">
        <f t="shared" si="7"/>
        <v>0.83199999999999996</v>
      </c>
      <c r="E123" s="216">
        <f t="shared" si="7"/>
        <v>0.63600000000000001</v>
      </c>
      <c r="F123" s="216">
        <f t="shared" si="7"/>
        <v>0.65400000000000003</v>
      </c>
      <c r="G123" s="216">
        <f t="shared" si="7"/>
        <v>0.67400000000000004</v>
      </c>
      <c r="H123" s="216">
        <f t="shared" si="7"/>
        <v>0.65600000000000003</v>
      </c>
      <c r="N123" s="1919" t="s">
        <v>2125</v>
      </c>
    </row>
    <row r="124" spans="1:20">
      <c r="A124" s="214" t="s">
        <v>455</v>
      </c>
      <c r="B124" s="216">
        <f t="shared" si="7"/>
        <v>0.28799999999999998</v>
      </c>
      <c r="C124" s="216">
        <f t="shared" si="7"/>
        <v>0.27300000000000002</v>
      </c>
      <c r="D124" s="216">
        <f t="shared" si="7"/>
        <v>0.16800000000000001</v>
      </c>
      <c r="E124" s="216">
        <f t="shared" si="7"/>
        <v>0.36399999999999999</v>
      </c>
      <c r="F124" s="216">
        <f t="shared" si="7"/>
        <v>0.34599999999999997</v>
      </c>
      <c r="G124" s="216">
        <f t="shared" si="7"/>
        <v>0.32600000000000001</v>
      </c>
      <c r="H124" s="216">
        <f t="shared" si="7"/>
        <v>0.34399999999999997</v>
      </c>
    </row>
    <row r="128" spans="1:20" ht="21">
      <c r="A128" s="156"/>
    </row>
    <row r="153" spans="1:18" s="127" customFormat="1" ht="21">
      <c r="A153" s="156" t="s">
        <v>770</v>
      </c>
      <c r="B153" s="155"/>
      <c r="C153" s="155"/>
      <c r="D153" s="155"/>
      <c r="E153" s="155"/>
      <c r="F153" s="155"/>
      <c r="G153" s="155"/>
      <c r="H153" s="155"/>
      <c r="I153" s="155"/>
      <c r="J153" s="159"/>
      <c r="K153" s="155"/>
      <c r="L153" s="155"/>
      <c r="M153" s="155"/>
      <c r="N153" s="155"/>
      <c r="O153" s="155"/>
    </row>
    <row r="154" spans="1:18" s="127" customFormat="1">
      <c r="A154" s="155"/>
      <c r="B154" s="155"/>
      <c r="C154" s="155"/>
      <c r="D154" s="155"/>
      <c r="E154" s="155"/>
      <c r="F154" s="155"/>
      <c r="G154" s="155"/>
      <c r="H154" s="155"/>
    </row>
    <row r="155" spans="1:18">
      <c r="A155" s="183" t="s">
        <v>349</v>
      </c>
      <c r="B155" s="127"/>
      <c r="C155" s="127"/>
      <c r="D155" s="127"/>
      <c r="E155" s="127"/>
      <c r="F155" s="127"/>
      <c r="G155" s="127"/>
      <c r="H155" s="127"/>
      <c r="I155" s="127"/>
      <c r="J155" s="127"/>
      <c r="K155" s="127"/>
      <c r="L155" s="127"/>
      <c r="M155" s="127"/>
      <c r="N155" s="127"/>
      <c r="O155" s="127"/>
      <c r="P155" s="127"/>
      <c r="Q155" s="127"/>
      <c r="R155" s="127"/>
    </row>
    <row r="156" spans="1:18">
      <c r="A156" s="183" t="s">
        <v>350</v>
      </c>
      <c r="B156" s="127"/>
      <c r="C156" s="127"/>
      <c r="D156" s="127"/>
      <c r="E156" s="127"/>
      <c r="F156" s="127"/>
      <c r="G156" s="127"/>
      <c r="H156" s="127"/>
      <c r="J156" s="159"/>
      <c r="N156" s="127"/>
      <c r="O156" s="127"/>
      <c r="P156" s="127"/>
      <c r="Q156" s="127"/>
      <c r="R156" s="127"/>
    </row>
    <row r="157" spans="1:18" ht="28.8">
      <c r="A157" s="158"/>
      <c r="B157" s="287" t="s">
        <v>862</v>
      </c>
      <c r="C157" s="287" t="s">
        <v>861</v>
      </c>
      <c r="D157" s="231" t="s">
        <v>782</v>
      </c>
      <c r="E157" s="287" t="s">
        <v>863</v>
      </c>
      <c r="F157" s="287" t="s">
        <v>864</v>
      </c>
      <c r="G157" s="287" t="s">
        <v>865</v>
      </c>
      <c r="H157" s="287" t="s">
        <v>866</v>
      </c>
      <c r="J157" s="159"/>
      <c r="N157" s="127"/>
      <c r="O157" s="127"/>
      <c r="P157" s="127"/>
      <c r="Q157" s="127"/>
      <c r="R157" s="127"/>
    </row>
    <row r="158" spans="1:18">
      <c r="A158" s="162">
        <v>2022</v>
      </c>
      <c r="B158" s="184">
        <f>SUM(FL_pay_net_servchg)+SUM(FL_pay_taxANDben)</f>
        <v>0.91999999999999993</v>
      </c>
      <c r="C158" s="184">
        <f>SUM(SE_pay_net_servchg)+SUM(SE_pay_taxANDben)</f>
        <v>0.86599999999999988</v>
      </c>
      <c r="D158" s="184">
        <f>SUM(BOCA_pay_net_servchg)+SUM(BOCA_pay_taxANDben)</f>
        <v>1.2730000000000001</v>
      </c>
      <c r="E158" s="184">
        <f>SUM(SW_pay_net_servchg)+SUM(SW_pay_taxANDben)</f>
        <v>0.77500000000000002</v>
      </c>
      <c r="F158" s="184">
        <f>SUM(SWCIRA_pay_net_servchg)+SUM(SWCIRA_pay_taxANDben)</f>
        <v>0.84700000000000009</v>
      </c>
      <c r="G158" s="184">
        <f>SUM(NC_pay_net_servchg)+SUM(NC_pay_taxANDben)</f>
        <v>0.78700000000000003</v>
      </c>
      <c r="H158" s="184">
        <f>SUM(YB_pay_net_servchg)+SUM(YB_pay_taxANDben)</f>
        <v>0.72400000000000009</v>
      </c>
      <c r="J158" s="159"/>
      <c r="N158" s="127"/>
      <c r="O158" s="127"/>
      <c r="P158" s="127"/>
      <c r="Q158" s="127"/>
      <c r="R158" s="127"/>
    </row>
    <row r="159" spans="1:18">
      <c r="A159" s="162">
        <v>2021</v>
      </c>
      <c r="B159" s="184">
        <v>1.0660000000000001</v>
      </c>
      <c r="C159" s="184">
        <v>1.002</v>
      </c>
      <c r="D159" s="184">
        <v>1.5869999999999997</v>
      </c>
      <c r="E159" s="184">
        <v>0.88700000000000001</v>
      </c>
      <c r="F159" s="184">
        <v>0.96199999999999997</v>
      </c>
      <c r="G159" s="184">
        <v>0.86299999999999999</v>
      </c>
      <c r="H159" s="184">
        <v>0.79600000000000004</v>
      </c>
      <c r="J159" s="159"/>
      <c r="N159" s="127"/>
      <c r="O159" s="127"/>
      <c r="P159" s="127"/>
      <c r="Q159" s="127"/>
      <c r="R159" s="127"/>
    </row>
    <row r="160" spans="1:18">
      <c r="A160" s="162">
        <v>2020</v>
      </c>
      <c r="B160" s="184">
        <v>1.0730000000000002</v>
      </c>
      <c r="C160" s="184">
        <v>0.98799999999999999</v>
      </c>
      <c r="D160" s="184">
        <v>1.3540000000000001</v>
      </c>
      <c r="E160" s="184">
        <v>0.91300000000000003</v>
      </c>
      <c r="F160" s="184">
        <v>1.077</v>
      </c>
      <c r="G160" s="184">
        <v>0.95899999999999985</v>
      </c>
      <c r="H160" s="184">
        <v>0.83400000000000007</v>
      </c>
      <c r="J160" s="159"/>
      <c r="N160" s="127"/>
      <c r="O160" s="127"/>
      <c r="P160" s="127"/>
      <c r="Q160" s="127"/>
      <c r="R160" s="127"/>
    </row>
    <row r="161" spans="1:18">
      <c r="A161" s="162">
        <v>2019</v>
      </c>
      <c r="B161" s="184">
        <v>0.91300000000000003</v>
      </c>
      <c r="C161" s="184">
        <v>0.85600000000000009</v>
      </c>
      <c r="D161" s="184">
        <v>1.177</v>
      </c>
      <c r="E161" s="184">
        <v>0.80899999999999994</v>
      </c>
      <c r="F161" s="184">
        <v>0.871</v>
      </c>
      <c r="G161" s="184">
        <v>0.77</v>
      </c>
      <c r="H161" s="184">
        <v>0.68200000000000005</v>
      </c>
      <c r="J161" s="159"/>
      <c r="N161" s="127"/>
      <c r="O161" s="127"/>
      <c r="P161" s="127"/>
      <c r="Q161" s="127"/>
      <c r="R161" s="127"/>
    </row>
    <row r="162" spans="1:18">
      <c r="A162" s="162">
        <v>2018</v>
      </c>
      <c r="B162" s="184">
        <v>0.90599999999999992</v>
      </c>
      <c r="C162" s="184">
        <v>0.8680000000000001</v>
      </c>
      <c r="D162" s="184">
        <v>1.127</v>
      </c>
      <c r="E162" s="184">
        <v>0.82299999999999995</v>
      </c>
      <c r="F162" s="184">
        <v>0.86499999999999999</v>
      </c>
      <c r="G162" s="184">
        <v>0.78</v>
      </c>
      <c r="H162" s="184">
        <v>0.65600000000000003</v>
      </c>
      <c r="J162" s="159"/>
      <c r="N162" s="127"/>
      <c r="O162" s="127"/>
      <c r="P162" s="127"/>
      <c r="Q162" s="127"/>
      <c r="R162" s="127"/>
    </row>
    <row r="163" spans="1:18">
      <c r="A163" s="162">
        <v>2017</v>
      </c>
      <c r="B163" s="184">
        <v>0.89800000000000013</v>
      </c>
      <c r="C163" s="184">
        <v>0.88600000000000012</v>
      </c>
      <c r="D163" s="184">
        <v>1.1360000000000001</v>
      </c>
      <c r="E163" s="184">
        <v>0.81400000000000006</v>
      </c>
      <c r="F163" s="184">
        <v>0.85099999999999998</v>
      </c>
      <c r="G163" s="184">
        <v>0.72099999999999997</v>
      </c>
      <c r="H163" s="184">
        <v>0.65200000000000002</v>
      </c>
      <c r="J163" s="159"/>
      <c r="N163" s="127"/>
      <c r="O163" s="127"/>
      <c r="P163" s="127"/>
      <c r="Q163" s="127"/>
      <c r="R163" s="127"/>
    </row>
    <row r="164" spans="1:18">
      <c r="A164" s="162">
        <v>2016</v>
      </c>
      <c r="B164" s="184">
        <v>0.88500000000000001</v>
      </c>
      <c r="C164" s="184">
        <v>0.84899999999999998</v>
      </c>
      <c r="D164" s="184">
        <v>1.137</v>
      </c>
      <c r="E164" s="184">
        <v>0.79699999999999993</v>
      </c>
      <c r="F164" s="184">
        <v>0.81600000000000006</v>
      </c>
      <c r="G164" s="184">
        <v>0.74899999999999989</v>
      </c>
      <c r="H164" s="184">
        <v>0.67100000000000004</v>
      </c>
      <c r="J164" s="159"/>
      <c r="N164" s="127"/>
      <c r="O164" s="127"/>
      <c r="P164" s="127"/>
      <c r="Q164" s="127"/>
      <c r="R164" s="127"/>
    </row>
    <row r="165" spans="1:18">
      <c r="A165" s="162">
        <v>2015</v>
      </c>
      <c r="B165" s="184">
        <v>0.86699999999999999</v>
      </c>
      <c r="C165" s="184">
        <v>0.82099999999999995</v>
      </c>
      <c r="D165" s="184">
        <v>1.1040000000000001</v>
      </c>
      <c r="E165" s="184">
        <v>0.77200000000000002</v>
      </c>
      <c r="F165" s="184">
        <v>0.80200000000000005</v>
      </c>
      <c r="G165" s="184">
        <v>0.73399999999999999</v>
      </c>
      <c r="H165" s="184">
        <v>0.65200000000000002</v>
      </c>
      <c r="J165" s="159"/>
      <c r="N165" s="127"/>
      <c r="O165" s="127"/>
      <c r="P165" s="127"/>
      <c r="Q165" s="127"/>
      <c r="R165" s="127"/>
    </row>
    <row r="166" spans="1:18">
      <c r="A166" s="162">
        <v>2014</v>
      </c>
      <c r="B166" s="184">
        <v>0.871</v>
      </c>
      <c r="C166" s="184">
        <v>0.82200000000000006</v>
      </c>
      <c r="D166" s="184">
        <v>1.105</v>
      </c>
      <c r="E166" s="184">
        <v>0.77899999999999991</v>
      </c>
      <c r="F166" s="184">
        <v>0.82600000000000007</v>
      </c>
      <c r="G166" s="184">
        <v>0.73199999999999998</v>
      </c>
      <c r="H166" s="184">
        <v>0.63400000000000001</v>
      </c>
      <c r="J166" s="159"/>
      <c r="N166" s="127"/>
      <c r="O166" s="127"/>
      <c r="P166" s="127"/>
      <c r="Q166" s="127"/>
      <c r="R166" s="127"/>
    </row>
    <row r="167" spans="1:18">
      <c r="A167" s="162">
        <v>2013</v>
      </c>
      <c r="B167" s="184">
        <v>0.879</v>
      </c>
      <c r="C167" s="184">
        <v>0.81899999999999995</v>
      </c>
      <c r="D167" s="184">
        <v>1.115</v>
      </c>
      <c r="E167" s="184">
        <v>0.79899999999999993</v>
      </c>
      <c r="F167" s="184">
        <v>0.82400000000000007</v>
      </c>
      <c r="G167" s="184">
        <v>0.73099999999999998</v>
      </c>
      <c r="H167" s="184">
        <v>0.62999999999999989</v>
      </c>
      <c r="J167" s="159"/>
      <c r="N167" s="127"/>
      <c r="O167" s="127"/>
      <c r="P167" s="127"/>
      <c r="Q167" s="127"/>
      <c r="R167" s="127"/>
    </row>
    <row r="168" spans="1:18">
      <c r="A168" s="162">
        <v>2012</v>
      </c>
      <c r="B168" s="184">
        <v>0.89300000000000002</v>
      </c>
      <c r="C168" s="184">
        <v>0.84800000000000009</v>
      </c>
      <c r="D168" s="184">
        <v>1.1140000000000001</v>
      </c>
      <c r="E168" s="184">
        <v>0.81699999999999995</v>
      </c>
      <c r="F168" s="184">
        <v>0.83899999999999997</v>
      </c>
      <c r="G168" s="184">
        <v>0.74099999999999988</v>
      </c>
      <c r="H168" s="184">
        <v>0.64100000000000001</v>
      </c>
      <c r="J168" s="159"/>
      <c r="N168" s="127"/>
      <c r="O168" s="127"/>
      <c r="P168" s="127"/>
      <c r="Q168" s="127"/>
      <c r="R168" s="127"/>
    </row>
    <row r="169" spans="1:18">
      <c r="A169" s="162">
        <v>2011</v>
      </c>
      <c r="B169" s="184">
        <v>0.88900000000000001</v>
      </c>
      <c r="C169" s="184">
        <v>0.83499999999999996</v>
      </c>
      <c r="D169" s="184">
        <v>1.101</v>
      </c>
      <c r="E169" s="184">
        <v>0.81899999999999995</v>
      </c>
      <c r="F169" s="184">
        <v>0.85199999999999998</v>
      </c>
      <c r="G169" s="184">
        <v>0.7350000000000001</v>
      </c>
      <c r="H169" s="184">
        <v>0.62799999999999989</v>
      </c>
      <c r="N169" s="127"/>
      <c r="O169" s="127"/>
      <c r="P169" s="127"/>
      <c r="Q169" s="127"/>
      <c r="R169" s="127"/>
    </row>
    <row r="170" spans="1:18">
      <c r="A170" s="162">
        <v>2010</v>
      </c>
      <c r="B170" s="184">
        <v>0.86299999999999999</v>
      </c>
      <c r="C170" s="184">
        <v>0.81600000000000006</v>
      </c>
      <c r="D170" s="184">
        <v>1.05</v>
      </c>
      <c r="E170" s="184">
        <v>0.77800000000000002</v>
      </c>
      <c r="F170" s="184">
        <v>0.85299999999999998</v>
      </c>
      <c r="G170" s="184">
        <v>0.7340000000000001</v>
      </c>
      <c r="H170" s="184">
        <v>0.66300000000000003</v>
      </c>
      <c r="J170" s="159"/>
      <c r="N170" s="127"/>
      <c r="O170" s="127"/>
      <c r="P170" s="127"/>
      <c r="Q170" s="127"/>
      <c r="R170" s="127"/>
    </row>
    <row r="171" spans="1:18">
      <c r="A171" s="162">
        <v>2009</v>
      </c>
      <c r="B171" s="184">
        <f>0.688+0.189</f>
        <v>0.877</v>
      </c>
      <c r="C171" s="184">
        <f>0.646+0.178</f>
        <v>0.82400000000000007</v>
      </c>
      <c r="D171" s="184">
        <f>0.832+0.219</f>
        <v>1.0509999999999999</v>
      </c>
      <c r="E171" s="184">
        <f>0.611+0.177</f>
        <v>0.78800000000000003</v>
      </c>
      <c r="F171" s="184">
        <f>0.662+0.183</f>
        <v>0.84499999999999997</v>
      </c>
      <c r="G171" s="184">
        <f>0.591+0.163</f>
        <v>0.754</v>
      </c>
      <c r="H171" s="184">
        <f>0.512+0.155</f>
        <v>0.66700000000000004</v>
      </c>
      <c r="J171" s="159"/>
      <c r="N171" s="127"/>
      <c r="O171" s="127"/>
      <c r="P171" s="127"/>
      <c r="Q171" s="127"/>
      <c r="R171" s="127"/>
    </row>
    <row r="172" spans="1:18">
      <c r="A172" s="162">
        <v>2008</v>
      </c>
      <c r="B172" s="184">
        <v>0.84399999999999997</v>
      </c>
      <c r="C172" s="184">
        <f>0.619+0.176</f>
        <v>0.79499999999999993</v>
      </c>
      <c r="D172" s="184">
        <f>0.786+0.21</f>
        <v>0.996</v>
      </c>
      <c r="E172" s="184">
        <v>0.76700000000000002</v>
      </c>
      <c r="F172" s="184">
        <v>0.80400000000000005</v>
      </c>
      <c r="G172" s="184">
        <f>0.564+0.157</f>
        <v>0.72099999999999997</v>
      </c>
      <c r="H172" s="184">
        <f>0.499+0.152</f>
        <v>0.65100000000000002</v>
      </c>
      <c r="J172" s="159"/>
      <c r="N172" s="127"/>
      <c r="O172" s="127"/>
      <c r="P172" s="127"/>
      <c r="Q172" s="127"/>
      <c r="R172" s="127"/>
    </row>
    <row r="173" spans="1:18">
      <c r="A173" s="162">
        <v>2007</v>
      </c>
      <c r="B173" s="184">
        <v>0.83199999999999996</v>
      </c>
      <c r="C173" s="184">
        <f>0.622+0.175</f>
        <v>0.79699999999999993</v>
      </c>
      <c r="D173" s="184">
        <f>0.765+0.2</f>
        <v>0.96500000000000008</v>
      </c>
      <c r="E173" s="184">
        <v>0.78</v>
      </c>
      <c r="F173" s="184">
        <v>0.77</v>
      </c>
      <c r="G173" s="184">
        <f>0.574+0.152</f>
        <v>0.72599999999999998</v>
      </c>
      <c r="H173" s="184">
        <f>0.469+0.15</f>
        <v>0.61899999999999999</v>
      </c>
      <c r="J173" s="159"/>
      <c r="N173" s="127"/>
      <c r="O173" s="127"/>
      <c r="P173" s="127"/>
      <c r="Q173" s="127"/>
      <c r="R173" s="127"/>
    </row>
    <row r="174" spans="1:18">
      <c r="A174" s="162">
        <v>2006</v>
      </c>
      <c r="B174" s="184">
        <v>0.8</v>
      </c>
      <c r="C174" s="184">
        <f>0.575+0.182</f>
        <v>0.7569999999999999</v>
      </c>
      <c r="D174" s="184">
        <f>0.743+0.196</f>
        <v>0.93900000000000006</v>
      </c>
      <c r="E174" s="184">
        <v>0.77400000000000002</v>
      </c>
      <c r="F174" s="184">
        <v>0.754</v>
      </c>
      <c r="G174" s="184">
        <f>0.538+0.15</f>
        <v>0.68800000000000006</v>
      </c>
      <c r="H174" s="184">
        <f>0.473+0.158</f>
        <v>0.63100000000000001</v>
      </c>
      <c r="N174" s="127"/>
      <c r="O174" s="127"/>
      <c r="P174" s="127"/>
      <c r="Q174" s="127"/>
      <c r="R174" s="127"/>
    </row>
    <row r="175" spans="1:18">
      <c r="A175" s="162">
        <v>2005</v>
      </c>
      <c r="B175" s="184">
        <v>0.8</v>
      </c>
      <c r="C175" s="184">
        <f>0.576+0.162</f>
        <v>0.73799999999999999</v>
      </c>
      <c r="D175" s="184">
        <f>0.714+0.182</f>
        <v>0.89599999999999991</v>
      </c>
      <c r="E175" s="184">
        <v>0.73499999999999999</v>
      </c>
      <c r="F175" s="184">
        <v>0.74299999999999999</v>
      </c>
      <c r="G175" s="184">
        <f>0.54+0.131</f>
        <v>0.67100000000000004</v>
      </c>
      <c r="H175" s="184">
        <f>0.481+0.156</f>
        <v>0.63700000000000001</v>
      </c>
      <c r="N175" s="127"/>
      <c r="O175" s="127"/>
      <c r="P175" s="127"/>
      <c r="Q175" s="127"/>
      <c r="R175" s="127"/>
    </row>
    <row r="176" spans="1:18">
      <c r="N176" s="127"/>
      <c r="O176" s="127"/>
      <c r="P176" s="127"/>
      <c r="Q176" s="127"/>
      <c r="R176" s="127"/>
    </row>
    <row r="177" spans="1:18">
      <c r="N177" s="127"/>
      <c r="O177" s="127"/>
      <c r="P177" s="127"/>
      <c r="Q177" s="127"/>
      <c r="R177" s="127"/>
    </row>
    <row r="178" spans="1:18">
      <c r="N178" s="127"/>
      <c r="O178" s="127"/>
      <c r="P178" s="127"/>
      <c r="Q178" s="127"/>
      <c r="R178" s="127"/>
    </row>
    <row r="179" spans="1:18">
      <c r="N179" s="127"/>
      <c r="O179" s="127"/>
      <c r="P179" s="127"/>
      <c r="Q179" s="127"/>
      <c r="R179" s="127"/>
    </row>
    <row r="180" spans="1:18">
      <c r="N180" s="127"/>
      <c r="O180" s="127"/>
      <c r="P180" s="127"/>
      <c r="Q180" s="127"/>
      <c r="R180" s="127"/>
    </row>
    <row r="181" spans="1:18">
      <c r="N181" s="127"/>
      <c r="O181" s="127"/>
      <c r="P181" s="127"/>
      <c r="Q181" s="127"/>
      <c r="R181" s="127"/>
    </row>
    <row r="182" spans="1:18">
      <c r="N182" s="127"/>
      <c r="O182" s="127"/>
    </row>
    <row r="188" spans="1:18" ht="21">
      <c r="A188" s="185"/>
    </row>
    <row r="189" spans="1:18" ht="21">
      <c r="A189" s="185"/>
    </row>
    <row r="190" spans="1:18" ht="21">
      <c r="A190" s="185"/>
    </row>
    <row r="191" spans="1:18" ht="21">
      <c r="A191" s="185"/>
    </row>
    <row r="192" spans="1:18" ht="21">
      <c r="A192" s="185"/>
    </row>
    <row r="200" spans="1:23" ht="21">
      <c r="A200" s="156" t="s">
        <v>785</v>
      </c>
    </row>
    <row r="201" spans="1:23" ht="21">
      <c r="A201" s="156" t="s">
        <v>784</v>
      </c>
      <c r="B201" s="156"/>
      <c r="C201" s="156"/>
    </row>
    <row r="202" spans="1:23">
      <c r="A202" s="186"/>
      <c r="B202" s="187" t="s">
        <v>1844</v>
      </c>
      <c r="C202" s="187" t="s">
        <v>1826</v>
      </c>
      <c r="D202" s="187" t="s">
        <v>1620</v>
      </c>
      <c r="E202" s="187" t="s">
        <v>1400</v>
      </c>
      <c r="F202" s="187" t="s">
        <v>1189</v>
      </c>
      <c r="G202" s="187" t="s">
        <v>1156</v>
      </c>
      <c r="H202" s="187" t="s">
        <v>1124</v>
      </c>
      <c r="I202" s="188" t="s">
        <v>978</v>
      </c>
      <c r="J202" s="188" t="s">
        <v>899</v>
      </c>
      <c r="K202" s="188" t="s">
        <v>671</v>
      </c>
      <c r="L202" s="188" t="s">
        <v>608</v>
      </c>
      <c r="M202" s="188" t="s">
        <v>388</v>
      </c>
      <c r="N202" s="188" t="s">
        <v>299</v>
      </c>
      <c r="O202" s="188" t="s">
        <v>300</v>
      </c>
      <c r="P202" s="188" t="s">
        <v>361</v>
      </c>
      <c r="Q202" s="188" t="s">
        <v>362</v>
      </c>
      <c r="R202" s="188" t="s">
        <v>363</v>
      </c>
      <c r="S202" s="188" t="s">
        <v>364</v>
      </c>
      <c r="T202" s="188" t="s">
        <v>365</v>
      </c>
      <c r="U202" s="188" t="s">
        <v>366</v>
      </c>
      <c r="V202" s="188" t="s">
        <v>367</v>
      </c>
      <c r="W202" s="188" t="s">
        <v>368</v>
      </c>
    </row>
    <row r="203" spans="1:23">
      <c r="A203" s="186"/>
      <c r="B203" s="186"/>
      <c r="C203" s="186"/>
      <c r="D203" s="186"/>
      <c r="E203" s="186"/>
      <c r="F203" s="186"/>
      <c r="G203" s="186"/>
      <c r="H203" s="186"/>
      <c r="I203" s="188"/>
      <c r="J203" s="188"/>
      <c r="K203" s="188"/>
      <c r="L203" s="188"/>
      <c r="M203" s="188"/>
      <c r="N203" s="188"/>
      <c r="O203" s="188"/>
      <c r="P203" s="188"/>
      <c r="Q203" s="188"/>
      <c r="R203" s="188"/>
      <c r="S203" s="188"/>
      <c r="T203" s="188"/>
      <c r="U203" s="188"/>
      <c r="V203" s="188"/>
      <c r="W203" s="188"/>
    </row>
    <row r="204" spans="1:23">
      <c r="A204" s="141" t="s">
        <v>327</v>
      </c>
      <c r="B204" s="189">
        <v>1</v>
      </c>
      <c r="C204" s="189">
        <v>1</v>
      </c>
      <c r="D204" s="189">
        <v>1</v>
      </c>
      <c r="E204" s="189">
        <v>1</v>
      </c>
      <c r="F204" s="189">
        <v>1</v>
      </c>
      <c r="G204" s="189">
        <v>1</v>
      </c>
      <c r="H204" s="189">
        <v>1</v>
      </c>
      <c r="I204" s="190">
        <v>1</v>
      </c>
      <c r="J204" s="190">
        <v>1</v>
      </c>
      <c r="K204" s="190">
        <v>1</v>
      </c>
      <c r="L204" s="190">
        <v>1</v>
      </c>
      <c r="M204" s="190">
        <v>1</v>
      </c>
      <c r="N204" s="190">
        <v>1</v>
      </c>
      <c r="O204" s="190">
        <v>1</v>
      </c>
      <c r="P204" s="190">
        <v>1</v>
      </c>
      <c r="Q204" s="190">
        <v>1</v>
      </c>
      <c r="R204" s="190">
        <v>1</v>
      </c>
      <c r="S204" s="190">
        <v>1</v>
      </c>
      <c r="T204" s="190">
        <v>1</v>
      </c>
      <c r="U204" s="190">
        <v>1</v>
      </c>
      <c r="V204" s="190">
        <v>1</v>
      </c>
      <c r="W204" s="190">
        <v>1</v>
      </c>
    </row>
    <row r="205" spans="1:23">
      <c r="A205" s="166" t="s">
        <v>342</v>
      </c>
      <c r="B205" s="172">
        <f>FL_fd_cos</f>
        <v>0.54200000000000004</v>
      </c>
      <c r="C205" s="172">
        <v>0.53200000000000003</v>
      </c>
      <c r="D205" s="172">
        <v>0.50900000000000001</v>
      </c>
      <c r="E205" s="172">
        <v>0.50600000000000001</v>
      </c>
      <c r="F205" s="172">
        <v>0.498</v>
      </c>
      <c r="G205" s="172">
        <v>0.495</v>
      </c>
      <c r="H205" s="172">
        <v>0.49399999999999999</v>
      </c>
      <c r="I205" s="191">
        <v>0.49299999999999999</v>
      </c>
      <c r="J205" s="191">
        <v>0.48899999999999999</v>
      </c>
      <c r="K205" s="191">
        <v>0.48599999999999999</v>
      </c>
      <c r="L205" s="191">
        <v>0.48399999999999999</v>
      </c>
      <c r="M205" s="191">
        <v>0.48099999999999998</v>
      </c>
      <c r="N205" s="191">
        <v>0.47199999999999998</v>
      </c>
      <c r="O205" s="191">
        <v>0.45900000000000002</v>
      </c>
      <c r="P205" s="191">
        <v>0.48399999999999999</v>
      </c>
      <c r="Q205" s="191">
        <v>0.47199999999999998</v>
      </c>
      <c r="R205" s="191">
        <v>0.46600000000000003</v>
      </c>
      <c r="S205" s="191">
        <v>0.47</v>
      </c>
      <c r="T205" s="191">
        <v>0.45800000000000002</v>
      </c>
      <c r="U205" s="191">
        <v>0.46500000000000002</v>
      </c>
      <c r="V205" s="191">
        <v>0.46</v>
      </c>
      <c r="W205" s="191">
        <v>0.46300000000000002</v>
      </c>
    </row>
    <row r="206" spans="1:23" ht="15.6" thickBot="1">
      <c r="A206" s="218" t="s">
        <v>343</v>
      </c>
      <c r="B206" s="192">
        <f>+B204-B205</f>
        <v>0.45799999999999996</v>
      </c>
      <c r="C206" s="192">
        <v>0.46799999999999997</v>
      </c>
      <c r="D206" s="192">
        <v>0.49099999999999999</v>
      </c>
      <c r="E206" s="192">
        <v>0.49399999999999999</v>
      </c>
      <c r="F206" s="192">
        <v>0.502</v>
      </c>
      <c r="G206" s="192">
        <v>0.505</v>
      </c>
      <c r="H206" s="192">
        <v>0.50600000000000001</v>
      </c>
      <c r="I206" s="193">
        <v>0.50700000000000001</v>
      </c>
      <c r="J206" s="193">
        <v>0.51100000000000001</v>
      </c>
      <c r="K206" s="193">
        <v>0.51400000000000001</v>
      </c>
      <c r="L206" s="193">
        <v>0.51600000000000001</v>
      </c>
      <c r="M206" s="193">
        <v>0.51900000000000002</v>
      </c>
      <c r="N206" s="193">
        <v>0.52800000000000002</v>
      </c>
      <c r="O206" s="193">
        <v>0.54099999999999993</v>
      </c>
      <c r="P206" s="193">
        <v>0.51600000000000001</v>
      </c>
      <c r="Q206" s="193">
        <v>0.52800000000000002</v>
      </c>
      <c r="R206" s="193">
        <f t="shared" ref="R206:W206" si="8">+R204-R205</f>
        <v>0.53400000000000003</v>
      </c>
      <c r="S206" s="193">
        <f t="shared" si="8"/>
        <v>0.53</v>
      </c>
      <c r="T206" s="193">
        <f t="shared" si="8"/>
        <v>0.54200000000000004</v>
      </c>
      <c r="U206" s="193">
        <f t="shared" si="8"/>
        <v>0.53499999999999992</v>
      </c>
      <c r="V206" s="193">
        <f t="shared" si="8"/>
        <v>0.54</v>
      </c>
      <c r="W206" s="193">
        <f t="shared" si="8"/>
        <v>0.53699999999999992</v>
      </c>
    </row>
    <row r="207" spans="1:23" ht="15.6" thickTop="1">
      <c r="A207" s="166"/>
      <c r="B207" s="194"/>
      <c r="C207" s="194"/>
      <c r="D207" s="194"/>
      <c r="E207" s="194"/>
      <c r="F207" s="194"/>
      <c r="G207" s="194"/>
      <c r="H207" s="194"/>
      <c r="I207" s="190"/>
      <c r="J207" s="190"/>
      <c r="K207" s="190"/>
      <c r="L207" s="190"/>
      <c r="M207" s="190"/>
      <c r="N207" s="190"/>
      <c r="O207" s="190"/>
      <c r="P207" s="190"/>
      <c r="Q207" s="190"/>
      <c r="R207" s="190"/>
      <c r="S207" s="190"/>
      <c r="T207" s="190"/>
      <c r="U207" s="190"/>
      <c r="V207" s="190"/>
      <c r="W207" s="190"/>
    </row>
    <row r="208" spans="1:23">
      <c r="A208" s="141" t="s">
        <v>12</v>
      </c>
      <c r="B208" s="189">
        <v>1</v>
      </c>
      <c r="C208" s="189">
        <v>1</v>
      </c>
      <c r="D208" s="189">
        <v>1</v>
      </c>
      <c r="E208" s="189">
        <v>1</v>
      </c>
      <c r="F208" s="189">
        <v>1</v>
      </c>
      <c r="G208" s="189">
        <v>1</v>
      </c>
      <c r="H208" s="189">
        <v>1</v>
      </c>
      <c r="I208" s="190">
        <v>1</v>
      </c>
      <c r="J208" s="190">
        <v>1</v>
      </c>
      <c r="K208" s="190">
        <v>1</v>
      </c>
      <c r="L208" s="190">
        <v>1</v>
      </c>
      <c r="M208" s="190">
        <v>1</v>
      </c>
      <c r="N208" s="190">
        <v>1</v>
      </c>
      <c r="O208" s="190">
        <v>1</v>
      </c>
      <c r="P208" s="190">
        <v>1</v>
      </c>
      <c r="Q208" s="190">
        <v>1</v>
      </c>
      <c r="R208" s="190">
        <v>1</v>
      </c>
      <c r="S208" s="190">
        <v>1</v>
      </c>
      <c r="T208" s="190">
        <v>1</v>
      </c>
      <c r="U208" s="190">
        <v>1</v>
      </c>
      <c r="V208" s="190">
        <v>1</v>
      </c>
      <c r="W208" s="190">
        <v>1</v>
      </c>
    </row>
    <row r="209" spans="1:25">
      <c r="A209" s="166" t="s">
        <v>344</v>
      </c>
      <c r="B209" s="172">
        <f>FL_bev_cos</f>
        <v>0.372</v>
      </c>
      <c r="C209" s="172">
        <v>0.378</v>
      </c>
      <c r="D209" s="172">
        <v>0.36699999999999999</v>
      </c>
      <c r="E209" s="172">
        <v>0.34</v>
      </c>
      <c r="F209" s="172">
        <v>0.34200000000000003</v>
      </c>
      <c r="G209" s="172">
        <v>0.33600000000000002</v>
      </c>
      <c r="H209" s="172">
        <v>0.33800000000000002</v>
      </c>
      <c r="I209" s="191">
        <v>0.33200000000000002</v>
      </c>
      <c r="J209" s="191">
        <v>0.33200000000000002</v>
      </c>
      <c r="K209" s="191">
        <v>0.33800000000000002</v>
      </c>
      <c r="L209" s="191">
        <v>0.32400000000000001</v>
      </c>
      <c r="M209" s="191">
        <v>0.32100000000000001</v>
      </c>
      <c r="N209" s="191">
        <v>0.312</v>
      </c>
      <c r="O209" s="191">
        <v>0.31900000000000001</v>
      </c>
      <c r="P209" s="191">
        <v>0.32</v>
      </c>
      <c r="Q209" s="191">
        <v>0.313</v>
      </c>
      <c r="R209" s="191">
        <v>0.316</v>
      </c>
      <c r="S209" s="191">
        <v>0.314</v>
      </c>
      <c r="T209" s="191">
        <v>0.317</v>
      </c>
      <c r="U209" s="191">
        <v>0.32800000000000001</v>
      </c>
      <c r="V209" s="191">
        <v>0.33</v>
      </c>
      <c r="W209" s="191">
        <v>0.32400000000000001</v>
      </c>
    </row>
    <row r="210" spans="1:25" ht="15.6" thickBot="1">
      <c r="A210" s="218" t="s">
        <v>345</v>
      </c>
      <c r="B210" s="192">
        <f>+B208-B209</f>
        <v>0.628</v>
      </c>
      <c r="C210" s="192">
        <v>0.622</v>
      </c>
      <c r="D210" s="192">
        <v>0.63300000000000001</v>
      </c>
      <c r="E210" s="192">
        <v>0.65999999999999992</v>
      </c>
      <c r="F210" s="192">
        <v>0.65799999999999992</v>
      </c>
      <c r="G210" s="192">
        <v>0.66399999999999992</v>
      </c>
      <c r="H210" s="192">
        <v>0.66199999999999992</v>
      </c>
      <c r="I210" s="193">
        <v>0.66799999999999993</v>
      </c>
      <c r="J210" s="193">
        <v>0.66799999999999993</v>
      </c>
      <c r="K210" s="193">
        <v>0.66199999999999992</v>
      </c>
      <c r="L210" s="193">
        <v>0.67599999999999993</v>
      </c>
      <c r="M210" s="193">
        <v>0.67900000000000005</v>
      </c>
      <c r="N210" s="193">
        <v>0.68799999999999994</v>
      </c>
      <c r="O210" s="193">
        <v>0.68100000000000005</v>
      </c>
      <c r="P210" s="193">
        <v>0.67999999999999994</v>
      </c>
      <c r="Q210" s="193">
        <v>0.68700000000000006</v>
      </c>
      <c r="R210" s="193">
        <f t="shared" ref="R210:W210" si="9">+R208-R209</f>
        <v>0.68399999999999994</v>
      </c>
      <c r="S210" s="193">
        <f t="shared" si="9"/>
        <v>0.68599999999999994</v>
      </c>
      <c r="T210" s="193">
        <f t="shared" si="9"/>
        <v>0.68300000000000005</v>
      </c>
      <c r="U210" s="193">
        <f t="shared" si="9"/>
        <v>0.67199999999999993</v>
      </c>
      <c r="V210" s="193">
        <f t="shared" si="9"/>
        <v>0.66999999999999993</v>
      </c>
      <c r="W210" s="193">
        <f t="shared" si="9"/>
        <v>0.67599999999999993</v>
      </c>
    </row>
    <row r="211" spans="1:25" ht="15.6" thickTop="1">
      <c r="A211" s="166"/>
      <c r="B211" s="194"/>
      <c r="C211" s="194"/>
      <c r="D211" s="194"/>
      <c r="E211" s="194"/>
      <c r="F211" s="194"/>
      <c r="G211" s="194"/>
      <c r="H211" s="194"/>
      <c r="I211" s="190"/>
      <c r="J211" s="190"/>
      <c r="K211" s="190"/>
      <c r="L211" s="190"/>
      <c r="M211" s="190"/>
      <c r="N211" s="190"/>
      <c r="O211" s="190"/>
      <c r="P211" s="190"/>
      <c r="Q211" s="190"/>
      <c r="R211" s="190"/>
      <c r="S211" s="190"/>
      <c r="T211" s="190"/>
      <c r="U211" s="190"/>
      <c r="V211" s="190"/>
      <c r="W211" s="190"/>
    </row>
    <row r="212" spans="1:25">
      <c r="A212" s="141" t="s">
        <v>346</v>
      </c>
      <c r="B212" s="189">
        <v>1</v>
      </c>
      <c r="C212" s="189">
        <v>1</v>
      </c>
      <c r="D212" s="189">
        <v>1</v>
      </c>
      <c r="E212" s="189">
        <v>1</v>
      </c>
      <c r="F212" s="189">
        <v>1</v>
      </c>
      <c r="G212" s="189">
        <v>1</v>
      </c>
      <c r="H212" s="189">
        <v>1</v>
      </c>
      <c r="I212" s="190">
        <v>1</v>
      </c>
      <c r="J212" s="190">
        <v>1</v>
      </c>
      <c r="K212" s="190">
        <v>1</v>
      </c>
      <c r="L212" s="190">
        <v>1</v>
      </c>
      <c r="M212" s="190">
        <v>1</v>
      </c>
      <c r="N212" s="190">
        <v>1</v>
      </c>
      <c r="O212" s="190">
        <v>1</v>
      </c>
      <c r="P212" s="190">
        <v>1</v>
      </c>
      <c r="Q212" s="190">
        <v>1</v>
      </c>
      <c r="R212" s="190">
        <v>1</v>
      </c>
      <c r="S212" s="190">
        <v>1</v>
      </c>
      <c r="T212" s="190">
        <v>1</v>
      </c>
      <c r="U212" s="190">
        <v>1</v>
      </c>
      <c r="V212" s="190">
        <v>1</v>
      </c>
      <c r="W212" s="190">
        <v>1</v>
      </c>
    </row>
    <row r="213" spans="1:25">
      <c r="A213" s="166" t="s">
        <v>347</v>
      </c>
      <c r="B213" s="172">
        <f>FL_fANDb_cos</f>
        <v>0.49299999999999999</v>
      </c>
      <c r="C213" s="172">
        <v>0.48699999999999999</v>
      </c>
      <c r="D213" s="172">
        <v>0.47299999999999998</v>
      </c>
      <c r="E213" s="172">
        <v>0.46200000000000002</v>
      </c>
      <c r="F213" s="172">
        <v>0.45800000000000002</v>
      </c>
      <c r="G213" s="172">
        <v>0.45500000000000002</v>
      </c>
      <c r="H213" s="172">
        <v>0.45600000000000002</v>
      </c>
      <c r="I213" s="191">
        <v>0.45400000000000001</v>
      </c>
      <c r="J213" s="191">
        <v>0.45200000000000001</v>
      </c>
      <c r="K213" s="191">
        <v>0.45200000000000001</v>
      </c>
      <c r="L213" s="191">
        <v>0.44900000000000001</v>
      </c>
      <c r="M213" s="191">
        <v>0.44500000000000001</v>
      </c>
      <c r="N213" s="191">
        <v>0.436</v>
      </c>
      <c r="O213" s="191">
        <v>0.42899999999999999</v>
      </c>
      <c r="P213" s="191">
        <v>0.44900000000000001</v>
      </c>
      <c r="Q213" s="191">
        <v>0.439</v>
      </c>
      <c r="R213" s="191">
        <v>0.435</v>
      </c>
      <c r="S213" s="191">
        <v>0.438</v>
      </c>
      <c r="T213" s="191">
        <v>0.42899999999999999</v>
      </c>
      <c r="U213" s="191">
        <v>0.438</v>
      </c>
      <c r="V213" s="191">
        <v>0.435</v>
      </c>
      <c r="W213" s="191">
        <v>0.436</v>
      </c>
    </row>
    <row r="214" spans="1:25" ht="15.6" thickBot="1">
      <c r="A214" s="218" t="s">
        <v>348</v>
      </c>
      <c r="B214" s="192">
        <f>+B212-B213</f>
        <v>0.50700000000000001</v>
      </c>
      <c r="C214" s="192">
        <v>0.51300000000000001</v>
      </c>
      <c r="D214" s="192">
        <v>0.52700000000000002</v>
      </c>
      <c r="E214" s="192">
        <v>0.53800000000000003</v>
      </c>
      <c r="F214" s="192">
        <v>0.54200000000000004</v>
      </c>
      <c r="G214" s="192">
        <v>0.54499999999999993</v>
      </c>
      <c r="H214" s="192">
        <v>0.54400000000000004</v>
      </c>
      <c r="I214" s="193">
        <v>0.54600000000000004</v>
      </c>
      <c r="J214" s="193">
        <v>0.54800000000000004</v>
      </c>
      <c r="K214" s="193">
        <v>0.54800000000000004</v>
      </c>
      <c r="L214" s="193">
        <v>0.55099999999999993</v>
      </c>
      <c r="M214" s="193">
        <v>0.55499999999999994</v>
      </c>
      <c r="N214" s="193">
        <v>0.56400000000000006</v>
      </c>
      <c r="O214" s="193">
        <v>0.57099999999999995</v>
      </c>
      <c r="P214" s="193">
        <v>0.55099999999999993</v>
      </c>
      <c r="Q214" s="193">
        <v>0.56099999999999994</v>
      </c>
      <c r="R214" s="193">
        <f t="shared" ref="R214:W214" si="10">+R212-R213</f>
        <v>0.56499999999999995</v>
      </c>
      <c r="S214" s="193">
        <f t="shared" si="10"/>
        <v>0.56200000000000006</v>
      </c>
      <c r="T214" s="193">
        <f t="shared" si="10"/>
        <v>0.57099999999999995</v>
      </c>
      <c r="U214" s="193">
        <f t="shared" si="10"/>
        <v>0.56200000000000006</v>
      </c>
      <c r="V214" s="193">
        <f t="shared" si="10"/>
        <v>0.56499999999999995</v>
      </c>
      <c r="W214" s="193">
        <f t="shared" si="10"/>
        <v>0.56400000000000006</v>
      </c>
    </row>
    <row r="215" spans="1:25" ht="15.6" thickTop="1">
      <c r="A215" s="166"/>
      <c r="B215" s="194"/>
      <c r="C215" s="194"/>
      <c r="D215" s="1926"/>
      <c r="E215" s="194"/>
      <c r="F215" s="194"/>
      <c r="G215" s="194"/>
      <c r="H215" s="194"/>
      <c r="I215" s="190"/>
      <c r="J215" s="190"/>
      <c r="K215" s="190"/>
      <c r="L215" s="190"/>
      <c r="M215" s="190"/>
      <c r="N215" s="190"/>
      <c r="O215" s="190"/>
      <c r="P215" s="190"/>
      <c r="Q215" s="190"/>
      <c r="R215" s="190"/>
      <c r="S215" s="190"/>
      <c r="T215" s="190"/>
      <c r="U215" s="190"/>
      <c r="V215" s="190"/>
      <c r="W215" s="190"/>
    </row>
    <row r="216" spans="1:25">
      <c r="A216" s="166" t="s">
        <v>29</v>
      </c>
      <c r="B216" s="194"/>
      <c r="C216" s="194"/>
      <c r="D216" s="194"/>
      <c r="E216" s="194"/>
      <c r="F216" s="194"/>
      <c r="G216" s="194"/>
      <c r="H216" s="194"/>
      <c r="I216" s="190"/>
      <c r="J216" s="190"/>
      <c r="K216" s="190"/>
      <c r="L216" s="190"/>
      <c r="M216" s="190"/>
      <c r="N216" s="190"/>
      <c r="O216" s="190"/>
      <c r="P216" s="190"/>
      <c r="Q216" s="190"/>
      <c r="R216" s="190"/>
      <c r="S216" s="190"/>
      <c r="T216" s="190"/>
      <c r="U216" s="190"/>
      <c r="V216" s="190"/>
      <c r="W216" s="190"/>
    </row>
    <row r="217" spans="1:25">
      <c r="A217" s="218" t="s">
        <v>349</v>
      </c>
      <c r="B217" s="144">
        <f>SUM(FL_pay_net_servchg)</f>
        <v>0.74299999999999999</v>
      </c>
      <c r="C217" s="1248">
        <v>0.85099999999999998</v>
      </c>
      <c r="D217" s="144">
        <v>0.8640000000000001</v>
      </c>
      <c r="E217" s="144">
        <v>0.72400000000000009</v>
      </c>
      <c r="F217" s="144">
        <v>0.71399999999999997</v>
      </c>
      <c r="G217" s="144">
        <v>0.70400000000000007</v>
      </c>
      <c r="H217" s="144">
        <v>0.69700000000000006</v>
      </c>
      <c r="I217" s="190">
        <v>0.68400000000000005</v>
      </c>
      <c r="J217" s="190">
        <v>0.68700000000000006</v>
      </c>
      <c r="K217" s="190">
        <v>0.69400000000000006</v>
      </c>
      <c r="L217" s="190">
        <v>0.70400000000000007</v>
      </c>
      <c r="M217" s="190">
        <v>0.70200000000000007</v>
      </c>
      <c r="N217" s="190">
        <v>0.67600000000000005</v>
      </c>
      <c r="O217" s="190">
        <v>0.68799999999999994</v>
      </c>
      <c r="P217" s="190">
        <v>0.66200000000000003</v>
      </c>
      <c r="Q217" s="190">
        <v>0.65400000000000003</v>
      </c>
      <c r="R217" s="190">
        <v>0.622</v>
      </c>
      <c r="S217" s="190">
        <v>0.62</v>
      </c>
      <c r="T217" s="190">
        <v>0.622</v>
      </c>
      <c r="U217" s="190">
        <v>0.63100000000000001</v>
      </c>
      <c r="V217" s="190">
        <v>0.61799999999999999</v>
      </c>
      <c r="W217" s="190">
        <v>0.60599999999999998</v>
      </c>
    </row>
    <row r="218" spans="1:25">
      <c r="A218" s="206" t="s">
        <v>350</v>
      </c>
      <c r="B218" s="175">
        <f>SUM(FL_pay_taxANDben)</f>
        <v>0.17699999999999999</v>
      </c>
      <c r="C218" s="1247">
        <v>0.215</v>
      </c>
      <c r="D218" s="175">
        <v>0.20899999999999999</v>
      </c>
      <c r="E218" s="175">
        <v>0.189</v>
      </c>
      <c r="F218" s="175">
        <v>0.192</v>
      </c>
      <c r="G218" s="175">
        <v>0.19400000000000001</v>
      </c>
      <c r="H218" s="175">
        <v>0.188</v>
      </c>
      <c r="I218" s="190">
        <v>0.183</v>
      </c>
      <c r="J218" s="190">
        <v>0.184</v>
      </c>
      <c r="K218" s="190">
        <v>0.185</v>
      </c>
      <c r="L218" s="190">
        <v>0.189</v>
      </c>
      <c r="M218" s="190">
        <v>0.187</v>
      </c>
      <c r="N218" s="190">
        <v>0.187</v>
      </c>
      <c r="O218" s="190">
        <v>0.189</v>
      </c>
      <c r="P218" s="190">
        <v>0.182</v>
      </c>
      <c r="Q218" s="190">
        <v>0.17799999999999999</v>
      </c>
      <c r="R218" s="190">
        <v>0.17799999999999999</v>
      </c>
      <c r="S218" s="190">
        <v>0.18</v>
      </c>
      <c r="T218" s="190">
        <v>0.18</v>
      </c>
      <c r="U218" s="190">
        <v>0.186</v>
      </c>
      <c r="V218" s="190">
        <v>0.18099999999999999</v>
      </c>
      <c r="W218" s="190">
        <v>0.17299999999999999</v>
      </c>
    </row>
    <row r="219" spans="1:25" ht="17.399999999999999">
      <c r="A219" s="218" t="s">
        <v>369</v>
      </c>
      <c r="B219" s="1247">
        <f>B104</f>
        <v>0.22</v>
      </c>
      <c r="C219" s="1247">
        <v>0.254</v>
      </c>
      <c r="D219" s="143">
        <v>0.23599999999999999</v>
      </c>
      <c r="E219" s="143">
        <v>0.191</v>
      </c>
      <c r="F219" s="143">
        <v>0.189</v>
      </c>
      <c r="G219" s="143">
        <v>0.191</v>
      </c>
      <c r="H219" s="143">
        <v>0.183</v>
      </c>
      <c r="I219" s="190">
        <v>0.17899999999999999</v>
      </c>
      <c r="J219" s="190">
        <v>0.185</v>
      </c>
      <c r="K219" s="190">
        <v>0.189</v>
      </c>
      <c r="L219" s="190">
        <v>0.185</v>
      </c>
      <c r="M219" s="190">
        <v>0.189</v>
      </c>
      <c r="N219" s="190">
        <v>0.16700000000000001</v>
      </c>
      <c r="O219" s="190">
        <v>0.17799999999999999</v>
      </c>
      <c r="P219" s="190">
        <v>0.17199999999999999</v>
      </c>
      <c r="Q219" s="190">
        <v>0.16400000000000001</v>
      </c>
      <c r="R219" s="190">
        <v>0.16500000000000001</v>
      </c>
      <c r="S219" s="190">
        <v>0.156</v>
      </c>
      <c r="T219" s="190">
        <v>0.14400000000000002</v>
      </c>
      <c r="U219" s="190">
        <v>0.14800000000000002</v>
      </c>
      <c r="V219" s="190">
        <v>0.156</v>
      </c>
      <c r="W219" s="190">
        <v>0.15200000000000002</v>
      </c>
      <c r="Y219" s="311"/>
    </row>
    <row r="220" spans="1:25">
      <c r="A220" s="206" t="s">
        <v>352</v>
      </c>
      <c r="B220" s="195">
        <f>SUM(B217:B219)</f>
        <v>1.1399999999999999</v>
      </c>
      <c r="C220" s="2105">
        <v>1.32</v>
      </c>
      <c r="D220" s="195">
        <v>1.3090000000000002</v>
      </c>
      <c r="E220" s="195">
        <v>1.1040000000000001</v>
      </c>
      <c r="F220" s="195">
        <v>1.095</v>
      </c>
      <c r="G220" s="195">
        <v>1.0890000000000002</v>
      </c>
      <c r="H220" s="195">
        <v>1.0680000000000001</v>
      </c>
      <c r="I220" s="196">
        <v>1.046</v>
      </c>
      <c r="J220" s="196">
        <v>1.056</v>
      </c>
      <c r="K220" s="196">
        <v>1.0680000000000001</v>
      </c>
      <c r="L220" s="196">
        <v>1.0780000000000001</v>
      </c>
      <c r="M220" s="196">
        <v>1.0780000000000001</v>
      </c>
      <c r="N220" s="196">
        <v>1.03</v>
      </c>
      <c r="O220" s="196">
        <v>1.0549999999999999</v>
      </c>
      <c r="P220" s="196">
        <v>1.016</v>
      </c>
      <c r="Q220" s="196">
        <v>0.99600000000000011</v>
      </c>
      <c r="R220" s="196">
        <f t="shared" ref="R220:W220" si="11">SUM(R217:R219)</f>
        <v>0.96500000000000008</v>
      </c>
      <c r="S220" s="196">
        <f t="shared" si="11"/>
        <v>0.95600000000000007</v>
      </c>
      <c r="T220" s="196">
        <f t="shared" si="11"/>
        <v>0.94600000000000006</v>
      </c>
      <c r="U220" s="196">
        <f t="shared" si="11"/>
        <v>0.96499999999999997</v>
      </c>
      <c r="V220" s="196">
        <f t="shared" si="11"/>
        <v>0.95499999999999996</v>
      </c>
      <c r="W220" s="196">
        <f t="shared" si="11"/>
        <v>0.93099999999999994</v>
      </c>
    </row>
    <row r="221" spans="1:25" ht="15.6" thickBot="1">
      <c r="A221" s="218" t="s">
        <v>853</v>
      </c>
      <c r="B221" s="310">
        <f>+B214-B220</f>
        <v>-0.6329999999999999</v>
      </c>
      <c r="C221" s="2106">
        <v>-0.80700000000000005</v>
      </c>
      <c r="D221" s="310">
        <v>-0.78200000000000003</v>
      </c>
      <c r="E221" s="310">
        <v>-0.56600000000000006</v>
      </c>
      <c r="F221" s="310">
        <v>-0.55299999999999994</v>
      </c>
      <c r="G221" s="310">
        <v>-0.54400000000000026</v>
      </c>
      <c r="H221" s="310">
        <v>-0.52400000000000002</v>
      </c>
      <c r="I221" s="767">
        <v>-0.5</v>
      </c>
      <c r="J221" s="767">
        <v>-0.50800000000000001</v>
      </c>
      <c r="K221" s="767">
        <v>-0.52</v>
      </c>
      <c r="L221" s="767">
        <v>-0.52700000000000014</v>
      </c>
      <c r="M221" s="767">
        <v>-0.52300000000000013</v>
      </c>
      <c r="N221" s="767">
        <v>-0.46599999999999997</v>
      </c>
      <c r="O221" s="767">
        <v>-0.48399999999999999</v>
      </c>
      <c r="P221" s="767">
        <v>-0.46500000000000008</v>
      </c>
      <c r="Q221" s="767">
        <v>-0.435</v>
      </c>
      <c r="R221" s="767">
        <f t="shared" ref="R221:W221" si="12">+R214-R220</f>
        <v>-0.40000000000000013</v>
      </c>
      <c r="S221" s="767">
        <f t="shared" si="12"/>
        <v>-0.39400000000000002</v>
      </c>
      <c r="T221" s="767">
        <f t="shared" si="12"/>
        <v>-0.37500000000000011</v>
      </c>
      <c r="U221" s="767">
        <f t="shared" si="12"/>
        <v>-0.40299999999999991</v>
      </c>
      <c r="V221" s="767">
        <f t="shared" si="12"/>
        <v>-0.39</v>
      </c>
      <c r="W221" s="767">
        <f t="shared" si="12"/>
        <v>-0.36699999999999988</v>
      </c>
    </row>
    <row r="222" spans="1:25" ht="3.75" customHeight="1" thickTop="1">
      <c r="A222" s="166"/>
      <c r="B222" s="166"/>
      <c r="C222" s="166"/>
      <c r="D222" s="166"/>
      <c r="E222" s="166"/>
      <c r="F222" s="166"/>
      <c r="G222" s="166"/>
      <c r="H222" s="166"/>
      <c r="I222" s="197"/>
      <c r="J222" s="197"/>
      <c r="K222" s="197"/>
      <c r="L222" s="197"/>
      <c r="M222" s="197"/>
      <c r="N222" s="197"/>
      <c r="O222" s="197"/>
      <c r="P222" s="197"/>
      <c r="Q222" s="197"/>
      <c r="R222" s="197"/>
      <c r="S222" s="198"/>
      <c r="T222" s="198"/>
      <c r="U222" s="198"/>
      <c r="V222" s="198"/>
      <c r="W222" s="198"/>
    </row>
    <row r="223" spans="1:25">
      <c r="A223" s="166" t="s">
        <v>783</v>
      </c>
      <c r="B223" s="199">
        <f>FL_fb_ratio</f>
        <v>2.4700000000000002</v>
      </c>
      <c r="C223" s="199">
        <v>2.4300000000000002</v>
      </c>
      <c r="D223" s="199">
        <v>3</v>
      </c>
      <c r="E223" s="199">
        <v>2.81</v>
      </c>
      <c r="F223" s="199">
        <v>2.89</v>
      </c>
      <c r="G223" s="199">
        <v>2.98</v>
      </c>
      <c r="H223" s="199">
        <v>3.09</v>
      </c>
      <c r="I223" s="200">
        <v>3.18</v>
      </c>
      <c r="J223" s="200">
        <v>3.25</v>
      </c>
      <c r="K223" s="200">
        <v>3.34</v>
      </c>
      <c r="L223" s="200">
        <v>3.52</v>
      </c>
      <c r="M223" s="200">
        <v>3.53</v>
      </c>
      <c r="N223" s="200">
        <v>3.6840444286418879</v>
      </c>
      <c r="O223" s="200">
        <v>3.7437991815562657</v>
      </c>
      <c r="P223" s="200">
        <v>3.80078970355247</v>
      </c>
      <c r="Q223" s="200">
        <v>3.8065552888456251</v>
      </c>
      <c r="R223" s="200">
        <v>3.79</v>
      </c>
      <c r="S223" s="200">
        <v>3.83</v>
      </c>
      <c r="T223" s="200">
        <v>4</v>
      </c>
      <c r="U223" s="200">
        <v>4.12</v>
      </c>
      <c r="V223" s="200">
        <v>4.2</v>
      </c>
    </row>
    <row r="224" spans="1:25" ht="3.75" customHeight="1">
      <c r="A224" s="141"/>
      <c r="B224" s="141"/>
      <c r="C224" s="141"/>
      <c r="D224" s="141"/>
      <c r="E224" s="146"/>
      <c r="F224" s="146"/>
      <c r="G224" s="146"/>
      <c r="H224" s="146"/>
      <c r="I224" s="188"/>
      <c r="J224" s="146"/>
      <c r="K224" s="146"/>
      <c r="L224" s="1137"/>
      <c r="M224" s="146"/>
      <c r="N224" s="146"/>
      <c r="O224" s="146"/>
      <c r="P224" s="146"/>
      <c r="Q224" s="146"/>
      <c r="R224" s="146"/>
      <c r="S224" s="146"/>
    </row>
    <row r="225" spans="1:24">
      <c r="A225" s="127" t="s">
        <v>431</v>
      </c>
      <c r="B225" s="209"/>
      <c r="C225" s="209"/>
      <c r="D225" s="127"/>
      <c r="E225" s="127"/>
      <c r="F225" s="127"/>
    </row>
    <row r="226" spans="1:24" s="159" customFormat="1">
      <c r="A226" s="155"/>
      <c r="B226" s="155"/>
      <c r="C226" s="155"/>
      <c r="D226" s="155"/>
      <c r="E226" s="155"/>
      <c r="F226" s="155"/>
      <c r="G226" s="155"/>
      <c r="H226" s="155"/>
      <c r="I226" s="155"/>
      <c r="J226" s="155"/>
      <c r="K226" s="155"/>
      <c r="L226" s="155"/>
      <c r="M226" s="155"/>
      <c r="N226" s="155"/>
      <c r="O226" s="155"/>
      <c r="P226" s="155"/>
      <c r="Q226" s="155"/>
    </row>
    <row r="227" spans="1:24" s="159" customFormat="1" ht="21">
      <c r="A227" s="156" t="s">
        <v>854</v>
      </c>
      <c r="B227" s="155"/>
      <c r="C227" s="155"/>
      <c r="D227" s="155"/>
      <c r="E227" s="155"/>
      <c r="F227" s="155"/>
      <c r="G227" s="155"/>
      <c r="H227" s="155"/>
      <c r="I227" s="155"/>
      <c r="J227" s="155"/>
      <c r="K227" s="155"/>
      <c r="L227" s="155"/>
      <c r="M227" s="155"/>
    </row>
    <row r="228" spans="1:24" s="159" customFormat="1">
      <c r="A228" s="155"/>
      <c r="B228" s="155"/>
      <c r="C228" s="155"/>
      <c r="D228" s="155"/>
      <c r="E228" s="155"/>
      <c r="F228" s="155"/>
      <c r="G228" s="155"/>
      <c r="H228" s="155"/>
      <c r="I228" s="155"/>
      <c r="J228" s="155"/>
      <c r="K228" s="155"/>
      <c r="L228" s="155"/>
      <c r="M228" s="155"/>
    </row>
    <row r="229" spans="1:24" s="159" customFormat="1">
      <c r="A229" s="158"/>
      <c r="B229" s="158">
        <v>2000</v>
      </c>
      <c r="C229" s="158">
        <v>2001</v>
      </c>
      <c r="D229" s="158">
        <v>2002</v>
      </c>
      <c r="E229" s="158">
        <v>2003</v>
      </c>
      <c r="F229" s="158">
        <v>2004</v>
      </c>
      <c r="G229" s="158">
        <v>2005</v>
      </c>
      <c r="H229" s="158">
        <v>2006</v>
      </c>
      <c r="I229" s="158">
        <v>2007</v>
      </c>
      <c r="J229" s="158">
        <v>2008</v>
      </c>
      <c r="K229" s="158">
        <v>2009</v>
      </c>
      <c r="L229" s="158">
        <v>2010</v>
      </c>
      <c r="M229" s="158">
        <v>2011</v>
      </c>
      <c r="N229" s="158">
        <v>2012</v>
      </c>
      <c r="O229" s="158">
        <v>2013</v>
      </c>
      <c r="P229" s="158">
        <v>2014</v>
      </c>
      <c r="Q229" s="158">
        <v>2015</v>
      </c>
      <c r="R229" s="158">
        <v>2016</v>
      </c>
      <c r="S229" s="158">
        <v>2017</v>
      </c>
      <c r="T229" s="158">
        <v>2018</v>
      </c>
      <c r="U229" s="158">
        <v>2019</v>
      </c>
      <c r="V229" s="1696">
        <v>2020</v>
      </c>
      <c r="W229" s="1696">
        <v>2021</v>
      </c>
      <c r="X229" s="1696">
        <v>2022</v>
      </c>
    </row>
    <row r="230" spans="1:24" s="159" customFormat="1">
      <c r="A230" s="158" t="s">
        <v>423</v>
      </c>
      <c r="B230" s="184">
        <v>0.437</v>
      </c>
      <c r="C230" s="184">
        <v>0.436</v>
      </c>
      <c r="D230" s="184">
        <v>0.435</v>
      </c>
      <c r="E230" s="184">
        <v>0.438</v>
      </c>
      <c r="F230" s="184">
        <v>0.42899999999999999</v>
      </c>
      <c r="G230" s="184">
        <v>0.438</v>
      </c>
      <c r="H230" s="184">
        <v>0.435</v>
      </c>
      <c r="I230" s="184">
        <v>0.439</v>
      </c>
      <c r="J230" s="184">
        <v>0.44900000000000001</v>
      </c>
      <c r="K230" s="184">
        <v>0.42899999999999999</v>
      </c>
      <c r="L230" s="184">
        <f>N213</f>
        <v>0.436</v>
      </c>
      <c r="M230" s="184">
        <v>0.44500000000000001</v>
      </c>
      <c r="N230" s="184">
        <v>0.44900000000000001</v>
      </c>
      <c r="O230" s="184">
        <v>0.45200000000000001</v>
      </c>
      <c r="P230" s="184">
        <v>0.45200000000000001</v>
      </c>
      <c r="Q230" s="184">
        <v>0.45400000000000001</v>
      </c>
      <c r="R230" s="184">
        <v>0.45600000000000002</v>
      </c>
      <c r="S230" s="184">
        <v>0.45500000000000002</v>
      </c>
      <c r="T230" s="184">
        <v>0.45800000000000002</v>
      </c>
      <c r="U230" s="184">
        <v>0.46200000000000002</v>
      </c>
      <c r="V230" s="184">
        <v>0.47299999999999998</v>
      </c>
      <c r="W230" s="184">
        <v>0.48699999999999999</v>
      </c>
      <c r="X230" s="184">
        <f>FL_fANDb_cos</f>
        <v>0.49299999999999999</v>
      </c>
    </row>
    <row r="231" spans="1:24" s="159" customFormat="1">
      <c r="A231" s="158" t="s">
        <v>424</v>
      </c>
      <c r="B231" s="184">
        <v>0.58699999999999997</v>
      </c>
      <c r="C231" s="184">
        <v>0.60599999999999998</v>
      </c>
      <c r="D231" s="184">
        <v>0.61799999999999999</v>
      </c>
      <c r="E231" s="184">
        <v>0.63100000000000001</v>
      </c>
      <c r="F231" s="184">
        <v>0.622</v>
      </c>
      <c r="G231" s="184">
        <v>0.62</v>
      </c>
      <c r="H231" s="184">
        <v>0.622</v>
      </c>
      <c r="I231" s="184">
        <v>0.65400000000000003</v>
      </c>
      <c r="J231" s="184">
        <v>0.66200000000000003</v>
      </c>
      <c r="K231" s="184">
        <v>0.68799999999999994</v>
      </c>
      <c r="L231" s="184">
        <f>N217</f>
        <v>0.67600000000000005</v>
      </c>
      <c r="M231" s="184">
        <v>0.70200000000000007</v>
      </c>
      <c r="N231" s="184">
        <v>0.70400000000000007</v>
      </c>
      <c r="O231" s="184">
        <v>0.69400000000000006</v>
      </c>
      <c r="P231" s="184">
        <v>0.68700000000000006</v>
      </c>
      <c r="Q231" s="184">
        <v>0.68400000000000005</v>
      </c>
      <c r="R231" s="184">
        <v>0.69700000000000006</v>
      </c>
      <c r="S231" s="184">
        <v>0.70400000000000007</v>
      </c>
      <c r="T231" s="184">
        <v>0.71399999999999997</v>
      </c>
      <c r="U231" s="184">
        <v>0.72400000000000009</v>
      </c>
      <c r="V231" s="184">
        <v>0.8640000000000001</v>
      </c>
      <c r="W231" s="184">
        <v>0.85099999999999998</v>
      </c>
      <c r="X231" s="184">
        <f>SUM(FL_pay_net_servchg)</f>
        <v>0.74299999999999999</v>
      </c>
    </row>
    <row r="232" spans="1:24">
      <c r="A232" s="158" t="s">
        <v>425</v>
      </c>
      <c r="B232" s="184">
        <v>0.157</v>
      </c>
      <c r="C232" s="184">
        <v>0.17299999999999999</v>
      </c>
      <c r="D232" s="184">
        <v>0.18099999999999999</v>
      </c>
      <c r="E232" s="184">
        <v>0.186</v>
      </c>
      <c r="F232" s="184">
        <v>0.18</v>
      </c>
      <c r="G232" s="184">
        <v>0.18</v>
      </c>
      <c r="H232" s="184">
        <v>0.17799999999999999</v>
      </c>
      <c r="I232" s="184">
        <v>0.17799999999999999</v>
      </c>
      <c r="J232" s="184">
        <v>0.182</v>
      </c>
      <c r="K232" s="184">
        <v>0.189</v>
      </c>
      <c r="L232" s="184">
        <f>N218</f>
        <v>0.187</v>
      </c>
      <c r="M232" s="184">
        <v>0.187</v>
      </c>
      <c r="N232" s="184">
        <v>0.189</v>
      </c>
      <c r="O232" s="184">
        <v>0.185</v>
      </c>
      <c r="P232" s="184">
        <v>0.184</v>
      </c>
      <c r="Q232" s="184">
        <v>0.183</v>
      </c>
      <c r="R232" s="184">
        <v>0.188</v>
      </c>
      <c r="S232" s="184">
        <v>0.19400000000000001</v>
      </c>
      <c r="T232" s="184">
        <v>0.192</v>
      </c>
      <c r="U232" s="184">
        <v>0.189</v>
      </c>
      <c r="V232" s="184">
        <v>0.20899999999999999</v>
      </c>
      <c r="W232" s="184">
        <v>0.215</v>
      </c>
      <c r="X232" s="184">
        <f>SUM(FL_pay_taxANDben)</f>
        <v>0.17699999999999999</v>
      </c>
    </row>
    <row r="233" spans="1:24">
      <c r="A233" s="158" t="s">
        <v>426</v>
      </c>
      <c r="B233" s="184">
        <v>0.152</v>
      </c>
      <c r="C233" s="184">
        <v>0.152</v>
      </c>
      <c r="D233" s="184">
        <v>0.156</v>
      </c>
      <c r="E233" s="184">
        <v>0.14799999999999999</v>
      </c>
      <c r="F233" s="184">
        <v>0.14399999999999999</v>
      </c>
      <c r="G233" s="184">
        <v>0.156</v>
      </c>
      <c r="H233" s="184">
        <v>0.16500000000000001</v>
      </c>
      <c r="I233" s="184">
        <v>0.16400000000000001</v>
      </c>
      <c r="J233" s="184">
        <v>0.17199999999999999</v>
      </c>
      <c r="K233" s="184">
        <v>0.17799999999999999</v>
      </c>
      <c r="L233" s="184">
        <f>N219</f>
        <v>0.16700000000000001</v>
      </c>
      <c r="M233" s="184">
        <v>0.189</v>
      </c>
      <c r="N233" s="184">
        <v>0.185</v>
      </c>
      <c r="O233" s="184">
        <v>0.189</v>
      </c>
      <c r="P233" s="184">
        <v>0.185</v>
      </c>
      <c r="Q233" s="184">
        <v>0.17899999999999999</v>
      </c>
      <c r="R233" s="184">
        <v>0.183</v>
      </c>
      <c r="S233" s="184">
        <v>0.191</v>
      </c>
      <c r="T233" s="184">
        <v>0.189</v>
      </c>
      <c r="U233" s="184">
        <v>0.191</v>
      </c>
      <c r="V233" s="184">
        <v>0.23599999999999999</v>
      </c>
      <c r="W233" s="2107">
        <v>0.254</v>
      </c>
      <c r="X233" s="184">
        <f>SUM(FL_all_ot_exp)</f>
        <v>0.22</v>
      </c>
    </row>
    <row r="234" spans="1:24">
      <c r="A234" s="158" t="s">
        <v>855</v>
      </c>
      <c r="B234" s="201">
        <v>1.333</v>
      </c>
      <c r="C234" s="201">
        <f t="shared" ref="C234:N234" si="13">SUM(C230:C233)</f>
        <v>1.367</v>
      </c>
      <c r="D234" s="201">
        <f t="shared" si="13"/>
        <v>1.39</v>
      </c>
      <c r="E234" s="201">
        <f t="shared" si="13"/>
        <v>1.4029999999999998</v>
      </c>
      <c r="F234" s="201">
        <f t="shared" si="13"/>
        <v>1.3749999999999998</v>
      </c>
      <c r="G234" s="201">
        <f t="shared" si="13"/>
        <v>1.3939999999999999</v>
      </c>
      <c r="H234" s="201">
        <f t="shared" si="13"/>
        <v>1.4</v>
      </c>
      <c r="I234" s="201">
        <f t="shared" si="13"/>
        <v>1.4349999999999998</v>
      </c>
      <c r="J234" s="201">
        <f t="shared" si="13"/>
        <v>1.4649999999999999</v>
      </c>
      <c r="K234" s="201">
        <f t="shared" si="13"/>
        <v>1.484</v>
      </c>
      <c r="L234" s="201">
        <f t="shared" si="13"/>
        <v>1.4660000000000002</v>
      </c>
      <c r="M234" s="201">
        <f t="shared" si="13"/>
        <v>1.5230000000000001</v>
      </c>
      <c r="N234" s="201">
        <f t="shared" si="13"/>
        <v>1.5270000000000001</v>
      </c>
      <c r="O234" s="201">
        <v>1.5200000000000002</v>
      </c>
      <c r="P234" s="201">
        <v>1.508</v>
      </c>
      <c r="Q234" s="201">
        <v>1.5000000000000002</v>
      </c>
      <c r="R234" s="201">
        <v>1.524</v>
      </c>
      <c r="S234" s="201">
        <v>1.544</v>
      </c>
      <c r="T234" s="201">
        <v>1.5529999999999999</v>
      </c>
      <c r="U234" s="201">
        <v>1.5660000000000003</v>
      </c>
      <c r="V234" s="201">
        <v>1.7820000000000003</v>
      </c>
      <c r="W234" s="2108">
        <v>1.8069999999999999</v>
      </c>
      <c r="X234" s="201">
        <f>SUM(X230:X233)</f>
        <v>1.633</v>
      </c>
    </row>
    <row r="238" spans="1:24">
      <c r="M238" s="877"/>
      <c r="N238" s="877"/>
      <c r="O238" s="877"/>
    </row>
    <row r="240" spans="1:24">
      <c r="K240" s="876"/>
      <c r="L240" s="159"/>
    </row>
    <row r="257" spans="1:24" ht="21">
      <c r="A257" s="156" t="s">
        <v>785</v>
      </c>
    </row>
    <row r="258" spans="1:24" ht="21">
      <c r="A258" s="156" t="s">
        <v>769</v>
      </c>
    </row>
    <row r="259" spans="1:24" ht="15.6">
      <c r="A259" s="171" t="s">
        <v>429</v>
      </c>
    </row>
    <row r="261" spans="1:24">
      <c r="A261" s="158"/>
      <c r="B261" s="158">
        <v>2000</v>
      </c>
      <c r="C261" s="158">
        <v>2001</v>
      </c>
      <c r="D261" s="158">
        <v>2002</v>
      </c>
      <c r="E261" s="158">
        <v>2003</v>
      </c>
      <c r="F261" s="158">
        <v>2004</v>
      </c>
      <c r="G261" s="158">
        <v>2005</v>
      </c>
      <c r="H261" s="158">
        <v>2006</v>
      </c>
      <c r="I261" s="158">
        <v>2007</v>
      </c>
      <c r="J261" s="158">
        <v>2008</v>
      </c>
      <c r="K261" s="158">
        <v>2009</v>
      </c>
      <c r="L261" s="158">
        <v>2010</v>
      </c>
      <c r="M261" s="158">
        <v>2011</v>
      </c>
      <c r="N261" s="158">
        <v>2012</v>
      </c>
      <c r="O261" s="158">
        <v>2013</v>
      </c>
      <c r="P261" s="158">
        <v>2014</v>
      </c>
      <c r="Q261" s="158">
        <v>2015</v>
      </c>
      <c r="R261" s="158">
        <v>2016</v>
      </c>
      <c r="S261" s="158">
        <v>2017</v>
      </c>
      <c r="T261" s="158">
        <v>2018</v>
      </c>
      <c r="U261" s="158">
        <v>2019</v>
      </c>
      <c r="V261" s="158">
        <v>2020</v>
      </c>
      <c r="W261" s="158">
        <v>2021</v>
      </c>
      <c r="X261" s="158">
        <v>2022</v>
      </c>
    </row>
    <row r="262" spans="1:24">
      <c r="A262" s="159" t="s">
        <v>312</v>
      </c>
      <c r="B262" s="202">
        <v>1045000</v>
      </c>
      <c r="C262" s="202">
        <v>1067000</v>
      </c>
      <c r="D262" s="202">
        <v>1073000</v>
      </c>
      <c r="E262" s="202">
        <v>1076000</v>
      </c>
      <c r="F262" s="202">
        <v>1074000</v>
      </c>
      <c r="G262" s="202">
        <v>1203000</v>
      </c>
      <c r="H262" s="202">
        <v>1265000</v>
      </c>
      <c r="I262" s="202">
        <v>1307000</v>
      </c>
      <c r="J262" s="202">
        <v>1304000</v>
      </c>
      <c r="K262" s="202">
        <v>1284000</v>
      </c>
      <c r="L262" s="202">
        <v>1260900</v>
      </c>
      <c r="M262" s="202">
        <v>1341900</v>
      </c>
      <c r="N262" s="202">
        <v>1401600</v>
      </c>
      <c r="O262" s="202">
        <v>1504300</v>
      </c>
      <c r="P262" s="202">
        <v>1565600</v>
      </c>
      <c r="Q262" s="202">
        <v>1638800</v>
      </c>
      <c r="R262" s="202">
        <v>1660000</v>
      </c>
      <c r="S262" s="202">
        <v>1719800</v>
      </c>
      <c r="T262" s="202">
        <v>1826000</v>
      </c>
      <c r="U262" s="1921">
        <f>1970500+1</f>
        <v>1970501</v>
      </c>
      <c r="V262" s="1921">
        <f>1629500</f>
        <v>1629500</v>
      </c>
      <c r="W262" s="202">
        <v>1543700</v>
      </c>
      <c r="X262" s="202">
        <f>FL_food_rev</f>
        <v>2187500</v>
      </c>
    </row>
    <row r="263" spans="1:24">
      <c r="A263" s="159" t="s">
        <v>313</v>
      </c>
      <c r="B263" s="202">
        <v>249000</v>
      </c>
      <c r="C263" s="202">
        <v>254000</v>
      </c>
      <c r="D263" s="202">
        <v>260000</v>
      </c>
      <c r="E263" s="202">
        <v>269000</v>
      </c>
      <c r="F263" s="202">
        <v>280000</v>
      </c>
      <c r="G263" s="202">
        <v>318000</v>
      </c>
      <c r="H263" s="202">
        <v>333000</v>
      </c>
      <c r="I263" s="202">
        <v>343000</v>
      </c>
      <c r="J263" s="202">
        <v>349000</v>
      </c>
      <c r="K263" s="202">
        <v>347000</v>
      </c>
      <c r="L263" s="202">
        <v>359600</v>
      </c>
      <c r="M263" s="202">
        <v>379900</v>
      </c>
      <c r="N263" s="202">
        <v>398200</v>
      </c>
      <c r="O263" s="202">
        <v>451000</v>
      </c>
      <c r="P263" s="202">
        <v>482300</v>
      </c>
      <c r="Q263" s="202">
        <v>515200</v>
      </c>
      <c r="R263" s="202">
        <v>536800</v>
      </c>
      <c r="S263" s="1920">
        <f>576500-1</f>
        <v>576499</v>
      </c>
      <c r="T263" s="202">
        <v>630900</v>
      </c>
      <c r="U263" s="1921">
        <f>700800-301</f>
        <v>700499</v>
      </c>
      <c r="V263" s="1921">
        <f>543500-1</f>
        <v>543499</v>
      </c>
      <c r="W263" s="202">
        <v>634400</v>
      </c>
      <c r="X263" s="202">
        <f>FL_bev_rev</f>
        <v>886600</v>
      </c>
    </row>
    <row r="264" spans="1:24">
      <c r="A264" s="159" t="s">
        <v>452</v>
      </c>
      <c r="B264" s="202">
        <f>SUM(B262:B263)</f>
        <v>1294000</v>
      </c>
      <c r="C264" s="202">
        <f t="shared" ref="C264:K264" si="14">SUM(C262:C263)</f>
        <v>1321000</v>
      </c>
      <c r="D264" s="202">
        <f t="shared" si="14"/>
        <v>1333000</v>
      </c>
      <c r="E264" s="202">
        <f t="shared" si="14"/>
        <v>1345000</v>
      </c>
      <c r="F264" s="202">
        <f t="shared" si="14"/>
        <v>1354000</v>
      </c>
      <c r="G264" s="202">
        <f t="shared" si="14"/>
        <v>1521000</v>
      </c>
      <c r="H264" s="202">
        <f t="shared" si="14"/>
        <v>1598000</v>
      </c>
      <c r="I264" s="202">
        <f t="shared" si="14"/>
        <v>1650000</v>
      </c>
      <c r="J264" s="202">
        <f t="shared" si="14"/>
        <v>1653000</v>
      </c>
      <c r="K264" s="202">
        <f t="shared" si="14"/>
        <v>1631000</v>
      </c>
      <c r="L264" s="202">
        <v>1620500</v>
      </c>
      <c r="M264" s="202">
        <v>1721800</v>
      </c>
      <c r="N264" s="202">
        <v>1799600</v>
      </c>
      <c r="O264" s="202">
        <v>1955300</v>
      </c>
      <c r="P264" s="202">
        <v>2047900</v>
      </c>
      <c r="Q264" s="202">
        <v>2154000</v>
      </c>
      <c r="R264" s="202">
        <v>2196800</v>
      </c>
      <c r="S264" s="202">
        <v>2296300</v>
      </c>
      <c r="T264" s="202">
        <v>2456900</v>
      </c>
      <c r="U264" s="202">
        <v>2671300</v>
      </c>
      <c r="V264" s="202">
        <v>2173000</v>
      </c>
      <c r="W264" s="202">
        <v>2178100</v>
      </c>
      <c r="X264" s="202">
        <f>FL_fb_rev</f>
        <v>3074100</v>
      </c>
    </row>
    <row r="265" spans="1:24">
      <c r="A265" s="159" t="s">
        <v>454</v>
      </c>
      <c r="B265" s="182">
        <f t="shared" ref="B265:I266" si="15">ROUND(B262/B$264,3)</f>
        <v>0.80800000000000005</v>
      </c>
      <c r="C265" s="182">
        <f t="shared" si="15"/>
        <v>0.80800000000000005</v>
      </c>
      <c r="D265" s="182">
        <f t="shared" si="15"/>
        <v>0.80500000000000005</v>
      </c>
      <c r="E265" s="182">
        <f t="shared" si="15"/>
        <v>0.8</v>
      </c>
      <c r="F265" s="182">
        <f t="shared" si="15"/>
        <v>0.79300000000000004</v>
      </c>
      <c r="G265" s="182">
        <f t="shared" si="15"/>
        <v>0.79100000000000004</v>
      </c>
      <c r="H265" s="182">
        <f t="shared" si="15"/>
        <v>0.79200000000000004</v>
      </c>
      <c r="I265" s="182">
        <f t="shared" si="15"/>
        <v>0.79200000000000004</v>
      </c>
      <c r="J265" s="182">
        <f>ROUND(J262/J$264,3)</f>
        <v>0.78900000000000003</v>
      </c>
      <c r="K265" s="182">
        <f>ROUND(K262/K$264,3)</f>
        <v>0.78700000000000003</v>
      </c>
      <c r="L265" s="182">
        <v>0.77800000000000002</v>
      </c>
      <c r="M265" s="182">
        <v>0.77900000000000003</v>
      </c>
      <c r="N265" s="182">
        <v>0.77900000000000003</v>
      </c>
      <c r="O265" s="182">
        <v>0.76900000000000002</v>
      </c>
      <c r="P265" s="182">
        <v>0.76400000000000001</v>
      </c>
      <c r="Q265" s="182">
        <v>0.76100000000000001</v>
      </c>
      <c r="R265" s="182">
        <v>0.75600000000000001</v>
      </c>
      <c r="S265" s="182">
        <v>0.749</v>
      </c>
      <c r="T265" s="182">
        <v>0.74299999999999999</v>
      </c>
      <c r="U265" s="182">
        <v>0.73799999999999999</v>
      </c>
      <c r="V265" s="182">
        <v>0.75</v>
      </c>
      <c r="W265" s="182">
        <v>0.70899999999999996</v>
      </c>
      <c r="X265" s="182">
        <f>ROUND(X262/X$264,3)</f>
        <v>0.71199999999999997</v>
      </c>
    </row>
    <row r="266" spans="1:24">
      <c r="A266" s="159" t="s">
        <v>455</v>
      </c>
      <c r="B266" s="182">
        <f t="shared" si="15"/>
        <v>0.192</v>
      </c>
      <c r="C266" s="182">
        <f t="shared" si="15"/>
        <v>0.192</v>
      </c>
      <c r="D266" s="182">
        <f t="shared" si="15"/>
        <v>0.19500000000000001</v>
      </c>
      <c r="E266" s="182">
        <f t="shared" si="15"/>
        <v>0.2</v>
      </c>
      <c r="F266" s="182">
        <f t="shared" si="15"/>
        <v>0.20699999999999999</v>
      </c>
      <c r="G266" s="182">
        <f t="shared" si="15"/>
        <v>0.20899999999999999</v>
      </c>
      <c r="H266" s="182">
        <f t="shared" si="15"/>
        <v>0.20799999999999999</v>
      </c>
      <c r="I266" s="182">
        <f t="shared" si="15"/>
        <v>0.20799999999999999</v>
      </c>
      <c r="J266" s="182">
        <f>ROUND(J263/J$264,3)</f>
        <v>0.21099999999999999</v>
      </c>
      <c r="K266" s="182">
        <f>ROUND(K263/K$264,3)</f>
        <v>0.21299999999999999</v>
      </c>
      <c r="L266" s="182">
        <v>0.222</v>
      </c>
      <c r="M266" s="182">
        <v>0.221</v>
      </c>
      <c r="N266" s="182">
        <v>0.221</v>
      </c>
      <c r="O266" s="182">
        <v>0.23100000000000001</v>
      </c>
      <c r="P266" s="182">
        <v>0.23599999999999999</v>
      </c>
      <c r="Q266" s="182">
        <v>0.23899999999999999</v>
      </c>
      <c r="R266" s="182">
        <v>0.24399999999999999</v>
      </c>
      <c r="S266" s="182">
        <v>0.251</v>
      </c>
      <c r="T266" s="182">
        <v>0.25700000000000001</v>
      </c>
      <c r="U266" s="182">
        <v>0.26200000000000001</v>
      </c>
      <c r="V266" s="182">
        <v>0.25</v>
      </c>
      <c r="W266" s="182">
        <v>0.29099999999999998</v>
      </c>
      <c r="X266" s="182">
        <f>ROUND(X263/X$264,3)</f>
        <v>0.28799999999999998</v>
      </c>
    </row>
    <row r="267" spans="1:24">
      <c r="A267" s="158"/>
      <c r="B267" s="158"/>
      <c r="C267" s="158"/>
      <c r="D267" s="158"/>
      <c r="E267" s="158"/>
      <c r="F267" s="158"/>
      <c r="G267" s="158"/>
      <c r="H267" s="158"/>
      <c r="I267" s="158"/>
      <c r="J267" s="158"/>
      <c r="K267" s="158"/>
    </row>
    <row r="268" spans="1:24">
      <c r="A268" s="158"/>
      <c r="B268" s="158"/>
      <c r="C268" s="158"/>
      <c r="D268" s="158"/>
      <c r="E268" s="158"/>
      <c r="F268" s="158"/>
      <c r="G268" s="158"/>
      <c r="H268" s="158"/>
      <c r="I268" s="158"/>
      <c r="J268" s="158"/>
      <c r="K268" s="158"/>
    </row>
    <row r="269" spans="1:24">
      <c r="B269" s="184"/>
      <c r="C269" s="184"/>
      <c r="D269" s="184"/>
      <c r="E269" s="184"/>
      <c r="F269" s="184"/>
      <c r="G269" s="184"/>
      <c r="H269" s="184"/>
      <c r="I269" s="184"/>
      <c r="J269" s="184"/>
      <c r="K269" s="184"/>
      <c r="O269" s="1919" t="s">
        <v>2082</v>
      </c>
    </row>
    <row r="270" spans="1:24">
      <c r="B270" s="184"/>
      <c r="C270" s="184"/>
      <c r="D270" s="184"/>
      <c r="E270" s="184"/>
      <c r="F270" s="184"/>
      <c r="G270" s="184"/>
      <c r="H270" s="184"/>
      <c r="I270" s="184"/>
      <c r="J270" s="184"/>
      <c r="K270" s="184"/>
      <c r="N270" s="1919"/>
    </row>
    <row r="271" spans="1:24">
      <c r="B271" s="184"/>
      <c r="C271" s="184"/>
      <c r="D271" s="184"/>
      <c r="E271" s="184"/>
      <c r="F271" s="184"/>
      <c r="G271" s="184"/>
      <c r="H271" s="184"/>
      <c r="I271" s="184"/>
      <c r="J271" s="184"/>
      <c r="K271" s="184"/>
    </row>
    <row r="272" spans="1:24">
      <c r="B272" s="184"/>
      <c r="C272" s="184"/>
      <c r="D272" s="184"/>
      <c r="E272" s="184"/>
      <c r="F272" s="184"/>
      <c r="G272" s="184"/>
      <c r="H272" s="184"/>
      <c r="I272" s="184"/>
      <c r="J272" s="184"/>
      <c r="K272" s="184"/>
    </row>
    <row r="273" spans="1:12">
      <c r="B273" s="201"/>
      <c r="C273" s="201"/>
      <c r="D273" s="201"/>
      <c r="E273" s="201"/>
      <c r="F273" s="201"/>
      <c r="G273" s="201"/>
      <c r="H273" s="201"/>
      <c r="I273" s="201"/>
      <c r="J273" s="201"/>
      <c r="K273" s="201"/>
    </row>
    <row r="276" spans="1:12">
      <c r="A276" s="304"/>
      <c r="B276" s="304"/>
      <c r="C276" s="304"/>
      <c r="D276" s="304"/>
      <c r="E276" s="304"/>
      <c r="F276" s="304"/>
      <c r="G276" s="304"/>
      <c r="H276" s="304"/>
      <c r="I276" s="304"/>
      <c r="J276" s="304"/>
      <c r="K276" s="304"/>
      <c r="L276" s="304"/>
    </row>
    <row r="277" spans="1:12">
      <c r="A277" s="304"/>
      <c r="B277" s="304"/>
      <c r="C277" s="304"/>
      <c r="D277" s="304"/>
      <c r="E277" s="304"/>
      <c r="F277" s="304"/>
      <c r="G277" s="304"/>
      <c r="H277" s="304"/>
      <c r="I277" s="304"/>
      <c r="J277" s="304"/>
      <c r="K277" s="304"/>
      <c r="L277" s="304"/>
    </row>
    <row r="278" spans="1:12">
      <c r="A278" s="304"/>
      <c r="B278" s="304"/>
      <c r="C278" s="304"/>
      <c r="D278" s="304"/>
      <c r="E278" s="304"/>
      <c r="F278" s="304"/>
      <c r="G278" s="304"/>
      <c r="H278" s="304"/>
      <c r="I278" s="304"/>
      <c r="J278" s="304"/>
      <c r="K278" s="304"/>
      <c r="L278" s="304"/>
    </row>
    <row r="279" spans="1:12">
      <c r="A279" s="304"/>
      <c r="B279" s="304"/>
      <c r="C279" s="304"/>
      <c r="D279" s="304"/>
      <c r="E279" s="304"/>
      <c r="F279" s="304"/>
      <c r="G279" s="304"/>
      <c r="H279" s="304"/>
      <c r="I279" s="304"/>
      <c r="J279" s="304"/>
      <c r="K279" s="304"/>
      <c r="L279" s="304"/>
    </row>
    <row r="280" spans="1:12">
      <c r="A280" s="304"/>
      <c r="B280" s="304"/>
      <c r="C280" s="304"/>
      <c r="D280" s="304"/>
      <c r="E280" s="304"/>
      <c r="F280" s="304"/>
      <c r="G280" s="304"/>
      <c r="H280" s="304"/>
      <c r="I280" s="304"/>
      <c r="J280" s="304"/>
      <c r="K280" s="304"/>
      <c r="L280" s="304"/>
    </row>
    <row r="281" spans="1:12">
      <c r="A281" s="304"/>
      <c r="B281" s="304"/>
      <c r="C281" s="304"/>
      <c r="D281" s="304"/>
      <c r="E281" s="304"/>
      <c r="F281" s="304"/>
      <c r="G281" s="304"/>
      <c r="H281" s="304"/>
      <c r="I281" s="304"/>
      <c r="J281" s="304"/>
      <c r="K281" s="304"/>
      <c r="L281" s="304"/>
    </row>
    <row r="282" spans="1:12">
      <c r="A282" s="304"/>
      <c r="B282" s="304"/>
      <c r="C282" s="304"/>
      <c r="D282" s="304"/>
      <c r="E282" s="304"/>
      <c r="F282" s="304"/>
      <c r="G282" s="304"/>
      <c r="H282" s="304"/>
      <c r="I282" s="304"/>
      <c r="J282" s="304"/>
      <c r="K282" s="304"/>
      <c r="L282" s="304"/>
    </row>
    <row r="283" spans="1:12">
      <c r="A283" s="304"/>
      <c r="B283" s="304"/>
      <c r="C283" s="304"/>
      <c r="D283" s="304"/>
      <c r="E283" s="304"/>
      <c r="F283" s="304"/>
      <c r="G283" s="304"/>
      <c r="H283" s="304"/>
      <c r="I283" s="304"/>
      <c r="J283" s="304"/>
      <c r="K283" s="304"/>
      <c r="L283" s="304"/>
    </row>
    <row r="291" spans="1:23" ht="21">
      <c r="A291" s="156" t="s">
        <v>973</v>
      </c>
    </row>
    <row r="292" spans="1:23" ht="21">
      <c r="A292" s="156" t="s">
        <v>784</v>
      </c>
      <c r="I292" s="159"/>
      <c r="J292" s="159"/>
      <c r="K292" s="159"/>
      <c r="L292" s="159"/>
    </row>
    <row r="293" spans="1:23" ht="15.75" customHeight="1">
      <c r="A293" s="156"/>
      <c r="B293" s="187" t="s">
        <v>1844</v>
      </c>
      <c r="C293" s="187" t="s">
        <v>1826</v>
      </c>
      <c r="D293" s="187" t="s">
        <v>1620</v>
      </c>
      <c r="E293" s="187" t="s">
        <v>1400</v>
      </c>
      <c r="F293" s="187" t="s">
        <v>1189</v>
      </c>
      <c r="G293" s="187" t="s">
        <v>1156</v>
      </c>
      <c r="H293" s="187" t="s">
        <v>1124</v>
      </c>
      <c r="I293" s="1374" t="s">
        <v>978</v>
      </c>
      <c r="J293" s="1374" t="s">
        <v>899</v>
      </c>
      <c r="K293" s="1374" t="s">
        <v>671</v>
      </c>
      <c r="L293" s="1374" t="s">
        <v>608</v>
      </c>
      <c r="M293" s="1374" t="s">
        <v>388</v>
      </c>
      <c r="N293" s="1374" t="s">
        <v>299</v>
      </c>
      <c r="O293" s="188" t="s">
        <v>300</v>
      </c>
      <c r="P293" s="188" t="s">
        <v>361</v>
      </c>
      <c r="Q293" s="188" t="s">
        <v>362</v>
      </c>
      <c r="R293" s="188" t="s">
        <v>363</v>
      </c>
      <c r="S293" s="188" t="s">
        <v>364</v>
      </c>
      <c r="T293" s="188" t="s">
        <v>365</v>
      </c>
      <c r="U293" s="188" t="s">
        <v>366</v>
      </c>
      <c r="V293" s="188" t="s">
        <v>367</v>
      </c>
      <c r="W293" s="188" t="s">
        <v>368</v>
      </c>
    </row>
    <row r="294" spans="1:23" ht="15.75" customHeight="1">
      <c r="A294" s="186"/>
      <c r="B294" s="186"/>
      <c r="C294" s="186"/>
      <c r="D294" s="186"/>
      <c r="E294" s="186"/>
      <c r="F294" s="186"/>
      <c r="G294" s="186"/>
      <c r="H294" s="186"/>
      <c r="I294" s="1375"/>
      <c r="J294" s="1375"/>
      <c r="K294" s="1375"/>
      <c r="L294" s="1375"/>
      <c r="M294" s="1375"/>
      <c r="N294" s="1375"/>
      <c r="O294" s="188"/>
      <c r="P294" s="188"/>
      <c r="Q294" s="188"/>
      <c r="R294" s="188"/>
      <c r="S294" s="188"/>
      <c r="T294" s="188"/>
      <c r="U294" s="188"/>
      <c r="V294" s="188"/>
      <c r="W294" s="188"/>
    </row>
    <row r="295" spans="1:23" ht="15.75" customHeight="1">
      <c r="A295" s="141" t="s">
        <v>327</v>
      </c>
      <c r="B295" s="143">
        <v>1</v>
      </c>
      <c r="C295" s="143">
        <v>1</v>
      </c>
      <c r="D295" s="143">
        <v>1</v>
      </c>
      <c r="E295" s="143">
        <v>1</v>
      </c>
      <c r="F295" s="143">
        <v>1</v>
      </c>
      <c r="G295" s="143">
        <v>1</v>
      </c>
      <c r="H295" s="143">
        <v>1</v>
      </c>
      <c r="I295" s="1376">
        <v>1</v>
      </c>
      <c r="J295" s="1376">
        <v>1</v>
      </c>
      <c r="K295" s="1376">
        <v>1</v>
      </c>
      <c r="L295" s="1376">
        <v>1</v>
      </c>
      <c r="M295" s="1376">
        <v>1</v>
      </c>
      <c r="N295" s="1376">
        <v>1</v>
      </c>
      <c r="O295" s="203">
        <v>1</v>
      </c>
      <c r="P295" s="203">
        <v>1</v>
      </c>
      <c r="Q295" s="203">
        <v>1</v>
      </c>
      <c r="R295" s="203">
        <v>1</v>
      </c>
      <c r="S295" s="203">
        <v>1</v>
      </c>
      <c r="T295" s="203">
        <v>1</v>
      </c>
      <c r="U295" s="203">
        <v>1</v>
      </c>
      <c r="V295" s="203">
        <v>1</v>
      </c>
      <c r="W295" s="203">
        <v>1</v>
      </c>
    </row>
    <row r="296" spans="1:23" ht="15.75" customHeight="1">
      <c r="A296" s="166" t="s">
        <v>342</v>
      </c>
      <c r="B296" s="172">
        <f>YB_fd_cos</f>
        <v>0.46600000000000003</v>
      </c>
      <c r="C296" s="172">
        <v>0.46500000000000002</v>
      </c>
      <c r="D296" s="172">
        <v>0.46700000000000003</v>
      </c>
      <c r="E296" s="172">
        <v>0.46700000000000003</v>
      </c>
      <c r="F296" s="172">
        <v>0.45</v>
      </c>
      <c r="G296" s="172">
        <v>0.44400000000000001</v>
      </c>
      <c r="H296" s="172">
        <v>0.441</v>
      </c>
      <c r="I296" s="1377">
        <v>0.44700000000000001</v>
      </c>
      <c r="J296" s="1377">
        <v>0.439</v>
      </c>
      <c r="K296" s="1377">
        <v>0.41699999999999998</v>
      </c>
      <c r="L296" s="1377">
        <v>0.42699999999999999</v>
      </c>
      <c r="M296" s="1377">
        <v>0.433</v>
      </c>
      <c r="N296" s="1377">
        <v>0.43099999999999999</v>
      </c>
      <c r="O296" s="204">
        <v>0.41599999999999998</v>
      </c>
      <c r="P296" s="204">
        <v>0.42399999999999999</v>
      </c>
      <c r="Q296" s="204">
        <v>0.41099999999999998</v>
      </c>
      <c r="R296" s="204">
        <v>0.43559871992575511</v>
      </c>
      <c r="S296" s="204">
        <v>0.433</v>
      </c>
      <c r="T296" s="204">
        <v>0.443</v>
      </c>
      <c r="U296" s="204">
        <v>0.434</v>
      </c>
      <c r="V296" s="204">
        <v>0.436</v>
      </c>
      <c r="W296" s="204">
        <v>0.44600000000000001</v>
      </c>
    </row>
    <row r="297" spans="1:23" ht="15.75" customHeight="1" thickBot="1">
      <c r="A297" s="173" t="s">
        <v>343</v>
      </c>
      <c r="B297" s="174">
        <f>+B295-B296</f>
        <v>0.53400000000000003</v>
      </c>
      <c r="C297" s="174">
        <v>0.53499999999999992</v>
      </c>
      <c r="D297" s="174">
        <v>0.53299999999999992</v>
      </c>
      <c r="E297" s="174">
        <v>0.53299999999999992</v>
      </c>
      <c r="F297" s="174">
        <v>0.55000000000000004</v>
      </c>
      <c r="G297" s="174">
        <v>0.55600000000000005</v>
      </c>
      <c r="H297" s="174">
        <v>0.55899999999999994</v>
      </c>
      <c r="I297" s="1378">
        <v>0.55299999999999994</v>
      </c>
      <c r="J297" s="1378">
        <v>0.56099999999999994</v>
      </c>
      <c r="K297" s="1378">
        <v>0.58299999999999996</v>
      </c>
      <c r="L297" s="1378">
        <v>0.57299999999999995</v>
      </c>
      <c r="M297" s="1378">
        <v>0.56699999999999995</v>
      </c>
      <c r="N297" s="1378">
        <v>0.56899999999999995</v>
      </c>
      <c r="O297" s="205">
        <v>0.58400000000000007</v>
      </c>
      <c r="P297" s="205">
        <v>0.57600000000000007</v>
      </c>
      <c r="Q297" s="205">
        <v>0.58899999999999997</v>
      </c>
      <c r="R297" s="205">
        <f t="shared" ref="R297:W297" si="16">+R295-R296</f>
        <v>0.56440128007424484</v>
      </c>
      <c r="S297" s="205">
        <f t="shared" si="16"/>
        <v>0.56699999999999995</v>
      </c>
      <c r="T297" s="205">
        <f t="shared" si="16"/>
        <v>0.55699999999999994</v>
      </c>
      <c r="U297" s="205">
        <f t="shared" si="16"/>
        <v>0.56600000000000006</v>
      </c>
      <c r="V297" s="205">
        <f t="shared" si="16"/>
        <v>0.56400000000000006</v>
      </c>
      <c r="W297" s="205">
        <f t="shared" si="16"/>
        <v>0.55400000000000005</v>
      </c>
    </row>
    <row r="298" spans="1:23" ht="15.75" customHeight="1" thickTop="1">
      <c r="A298" s="166"/>
      <c r="B298" s="175"/>
      <c r="C298" s="175"/>
      <c r="D298" s="175"/>
      <c r="E298" s="175"/>
      <c r="F298" s="175"/>
      <c r="G298" s="175"/>
      <c r="H298" s="175"/>
      <c r="I298" s="1376"/>
      <c r="J298" s="1376"/>
      <c r="K298" s="1376"/>
      <c r="L298" s="1376"/>
      <c r="M298" s="1376"/>
      <c r="N298" s="1376"/>
      <c r="O298" s="203"/>
      <c r="P298" s="203"/>
      <c r="Q298" s="203"/>
      <c r="R298" s="203"/>
      <c r="S298" s="203"/>
      <c r="T298" s="203"/>
      <c r="U298" s="203"/>
      <c r="V298" s="203"/>
      <c r="W298" s="203"/>
    </row>
    <row r="299" spans="1:23" ht="15.75" customHeight="1">
      <c r="A299" s="141" t="s">
        <v>12</v>
      </c>
      <c r="B299" s="143">
        <v>1</v>
      </c>
      <c r="C299" s="143">
        <v>1</v>
      </c>
      <c r="D299" s="143">
        <v>1</v>
      </c>
      <c r="E299" s="143">
        <v>1</v>
      </c>
      <c r="F299" s="143">
        <v>1</v>
      </c>
      <c r="G299" s="143">
        <v>1</v>
      </c>
      <c r="H299" s="143">
        <v>1</v>
      </c>
      <c r="I299" s="1376">
        <v>1</v>
      </c>
      <c r="J299" s="1376">
        <v>1</v>
      </c>
      <c r="K299" s="1376">
        <v>1</v>
      </c>
      <c r="L299" s="1376">
        <v>1</v>
      </c>
      <c r="M299" s="1376">
        <v>1</v>
      </c>
      <c r="N299" s="1376">
        <v>1</v>
      </c>
      <c r="O299" s="203">
        <v>1</v>
      </c>
      <c r="P299" s="203">
        <v>1</v>
      </c>
      <c r="Q299" s="203">
        <v>1</v>
      </c>
      <c r="R299" s="203">
        <v>1</v>
      </c>
      <c r="S299" s="203">
        <v>1</v>
      </c>
      <c r="T299" s="203">
        <v>1</v>
      </c>
      <c r="U299" s="203">
        <v>1</v>
      </c>
      <c r="V299" s="203">
        <v>1</v>
      </c>
      <c r="W299" s="203">
        <v>1</v>
      </c>
    </row>
    <row r="300" spans="1:23" ht="15.75" customHeight="1">
      <c r="A300" s="206" t="s">
        <v>344</v>
      </c>
      <c r="B300" s="172">
        <f>YB_bev_cos</f>
        <v>0.34100000000000003</v>
      </c>
      <c r="C300" s="172">
        <v>0.34300000000000003</v>
      </c>
      <c r="D300" s="172">
        <v>0.33500000000000002</v>
      </c>
      <c r="E300" s="172">
        <v>0.316</v>
      </c>
      <c r="F300" s="172">
        <v>0.313</v>
      </c>
      <c r="G300" s="172">
        <v>0.313</v>
      </c>
      <c r="H300" s="172">
        <v>0.32400000000000001</v>
      </c>
      <c r="I300" s="1377">
        <v>0.313</v>
      </c>
      <c r="J300" s="1377">
        <v>0.315</v>
      </c>
      <c r="K300" s="1377">
        <v>0.309</v>
      </c>
      <c r="L300" s="1377">
        <v>0.30599999999999999</v>
      </c>
      <c r="M300" s="1377">
        <v>0.3</v>
      </c>
      <c r="N300" s="1377">
        <v>0.30399999999999999</v>
      </c>
      <c r="O300" s="204">
        <v>0.29699999999999999</v>
      </c>
      <c r="P300" s="204">
        <v>0.30399999999999999</v>
      </c>
      <c r="Q300" s="204">
        <v>0.29899999999999999</v>
      </c>
      <c r="R300" s="204">
        <v>0.30314786884100642</v>
      </c>
      <c r="S300" s="204">
        <v>0.3</v>
      </c>
      <c r="T300" s="204">
        <v>0.30499999999999999</v>
      </c>
      <c r="U300" s="204">
        <v>0.39900000000000002</v>
      </c>
      <c r="V300" s="204">
        <v>0.309</v>
      </c>
      <c r="W300" s="204">
        <v>0.307</v>
      </c>
    </row>
    <row r="301" spans="1:23" ht="15.75" customHeight="1" thickBot="1">
      <c r="A301" s="173" t="s">
        <v>345</v>
      </c>
      <c r="B301" s="174">
        <f>+B299-B300</f>
        <v>0.65900000000000003</v>
      </c>
      <c r="C301" s="174">
        <v>0.65700000000000003</v>
      </c>
      <c r="D301" s="174">
        <v>0.66500000000000004</v>
      </c>
      <c r="E301" s="174">
        <v>0.68399999999999994</v>
      </c>
      <c r="F301" s="174">
        <v>0.68700000000000006</v>
      </c>
      <c r="G301" s="174">
        <v>0.68700000000000006</v>
      </c>
      <c r="H301" s="174">
        <v>0.67599999999999993</v>
      </c>
      <c r="I301" s="1378">
        <v>0.68700000000000006</v>
      </c>
      <c r="J301" s="1378">
        <v>0.68500000000000005</v>
      </c>
      <c r="K301" s="1378">
        <v>0.69100000000000006</v>
      </c>
      <c r="L301" s="1378">
        <v>0.69399999999999995</v>
      </c>
      <c r="M301" s="1378">
        <v>0.7</v>
      </c>
      <c r="N301" s="1378">
        <v>0.69599999999999995</v>
      </c>
      <c r="O301" s="205">
        <v>0.70300000000000007</v>
      </c>
      <c r="P301" s="205">
        <v>0.69599999999999995</v>
      </c>
      <c r="Q301" s="205">
        <v>0.70100000000000007</v>
      </c>
      <c r="R301" s="205">
        <f t="shared" ref="R301:W301" si="17">+R299-R300</f>
        <v>0.69685213115899358</v>
      </c>
      <c r="S301" s="205">
        <f t="shared" si="17"/>
        <v>0.7</v>
      </c>
      <c r="T301" s="205">
        <f t="shared" si="17"/>
        <v>0.69500000000000006</v>
      </c>
      <c r="U301" s="205">
        <f t="shared" si="17"/>
        <v>0.60099999999999998</v>
      </c>
      <c r="V301" s="205">
        <f t="shared" si="17"/>
        <v>0.69100000000000006</v>
      </c>
      <c r="W301" s="205">
        <f t="shared" si="17"/>
        <v>0.69300000000000006</v>
      </c>
    </row>
    <row r="302" spans="1:23" ht="15.75" customHeight="1" thickTop="1">
      <c r="A302" s="166"/>
      <c r="B302" s="175"/>
      <c r="C302" s="175"/>
      <c r="D302" s="175"/>
      <c r="E302" s="175"/>
      <c r="F302" s="175"/>
      <c r="G302" s="175"/>
      <c r="H302" s="175"/>
      <c r="I302" s="1376"/>
      <c r="J302" s="1376"/>
      <c r="K302" s="1376"/>
      <c r="L302" s="1376"/>
      <c r="M302" s="1376"/>
      <c r="N302" s="1376"/>
      <c r="O302" s="203"/>
      <c r="P302" s="203"/>
      <c r="Q302" s="203"/>
      <c r="R302" s="203"/>
      <c r="S302" s="203"/>
      <c r="T302" s="203"/>
      <c r="U302" s="203"/>
      <c r="V302" s="203"/>
      <c r="W302" s="203"/>
    </row>
    <row r="303" spans="1:23" ht="15.75" customHeight="1">
      <c r="A303" s="141" t="s">
        <v>346</v>
      </c>
      <c r="B303" s="143">
        <v>1</v>
      </c>
      <c r="C303" s="143">
        <v>1</v>
      </c>
      <c r="D303" s="143">
        <v>1</v>
      </c>
      <c r="E303" s="143">
        <v>1</v>
      </c>
      <c r="F303" s="143">
        <v>1</v>
      </c>
      <c r="G303" s="143">
        <v>1</v>
      </c>
      <c r="H303" s="143">
        <v>1</v>
      </c>
      <c r="I303" s="1376">
        <v>1</v>
      </c>
      <c r="J303" s="1376">
        <v>1</v>
      </c>
      <c r="K303" s="1376">
        <v>1</v>
      </c>
      <c r="L303" s="1376">
        <v>1</v>
      </c>
      <c r="M303" s="1376">
        <v>1</v>
      </c>
      <c r="N303" s="1376">
        <v>1</v>
      </c>
      <c r="O303" s="203">
        <v>1</v>
      </c>
      <c r="P303" s="203">
        <v>1</v>
      </c>
      <c r="Q303" s="203">
        <v>1</v>
      </c>
      <c r="R303" s="203">
        <v>1</v>
      </c>
      <c r="S303" s="203">
        <v>1</v>
      </c>
      <c r="T303" s="203">
        <v>1</v>
      </c>
      <c r="U303" s="203">
        <v>1</v>
      </c>
      <c r="V303" s="203">
        <v>1</v>
      </c>
      <c r="W303" s="203">
        <v>1</v>
      </c>
    </row>
    <row r="304" spans="1:23" ht="15.75" customHeight="1">
      <c r="A304" s="206" t="s">
        <v>347</v>
      </c>
      <c r="B304" s="172">
        <f>YB_fANDb_cos</f>
        <v>0.42299999999999999</v>
      </c>
      <c r="C304" s="172">
        <v>0.42399999999999999</v>
      </c>
      <c r="D304" s="172">
        <v>0.42599999999999999</v>
      </c>
      <c r="E304" s="172">
        <v>0.42</v>
      </c>
      <c r="F304" s="172">
        <v>0.40699999999999997</v>
      </c>
      <c r="G304" s="172">
        <v>0.40300000000000002</v>
      </c>
      <c r="H304" s="172">
        <v>0.40600000000000003</v>
      </c>
      <c r="I304" s="1377">
        <v>0.40699999999999997</v>
      </c>
      <c r="J304" s="1377">
        <v>0.40200000000000002</v>
      </c>
      <c r="K304" s="1377">
        <v>0.38600000000000001</v>
      </c>
      <c r="L304" s="1377">
        <v>0.39300000000000002</v>
      </c>
      <c r="M304" s="1377">
        <v>0.39400000000000002</v>
      </c>
      <c r="N304" s="1377">
        <v>0.39400000000000002</v>
      </c>
      <c r="O304" s="204">
        <v>0.38</v>
      </c>
      <c r="P304" s="204">
        <v>0.38900000000000001</v>
      </c>
      <c r="Q304" s="204">
        <v>0.379</v>
      </c>
      <c r="R304" s="204">
        <v>0.39869313077316643</v>
      </c>
      <c r="S304" s="204">
        <v>0.39700000000000002</v>
      </c>
      <c r="T304" s="204">
        <v>0.40600000000000003</v>
      </c>
      <c r="U304" s="204">
        <v>0.4</v>
      </c>
      <c r="V304" s="204">
        <v>0.40400000000000003</v>
      </c>
      <c r="W304" s="204">
        <v>0.41199999999999998</v>
      </c>
    </row>
    <row r="305" spans="1:26" ht="15.75" customHeight="1">
      <c r="A305" s="173" t="s">
        <v>348</v>
      </c>
      <c r="B305" s="207">
        <f>+B303-B304</f>
        <v>0.57699999999999996</v>
      </c>
      <c r="C305" s="207">
        <v>0.57600000000000007</v>
      </c>
      <c r="D305" s="207">
        <v>0.57400000000000007</v>
      </c>
      <c r="E305" s="207">
        <v>0.58000000000000007</v>
      </c>
      <c r="F305" s="207">
        <v>0.59299999999999997</v>
      </c>
      <c r="G305" s="207">
        <v>0.59699999999999998</v>
      </c>
      <c r="H305" s="207">
        <v>0.59399999999999997</v>
      </c>
      <c r="I305" s="1379">
        <v>0.59299999999999997</v>
      </c>
      <c r="J305" s="1379">
        <v>0.59799999999999998</v>
      </c>
      <c r="K305" s="1379">
        <v>0.61399999999999999</v>
      </c>
      <c r="L305" s="1379">
        <v>0.60699999999999998</v>
      </c>
      <c r="M305" s="1379">
        <v>0.60599999999999998</v>
      </c>
      <c r="N305" s="1379">
        <v>0.60599999999999998</v>
      </c>
      <c r="O305" s="208">
        <v>0.62</v>
      </c>
      <c r="P305" s="208">
        <v>0.61099999999999999</v>
      </c>
      <c r="Q305" s="208">
        <v>0.621</v>
      </c>
      <c r="R305" s="208">
        <f t="shared" ref="R305:W305" si="18">+R303-R304</f>
        <v>0.60130686922683352</v>
      </c>
      <c r="S305" s="208">
        <f t="shared" si="18"/>
        <v>0.60299999999999998</v>
      </c>
      <c r="T305" s="208">
        <f t="shared" si="18"/>
        <v>0.59399999999999997</v>
      </c>
      <c r="U305" s="208">
        <f t="shared" si="18"/>
        <v>0.6</v>
      </c>
      <c r="V305" s="208">
        <f t="shared" si="18"/>
        <v>0.59599999999999997</v>
      </c>
      <c r="W305" s="208">
        <f t="shared" si="18"/>
        <v>0.58800000000000008</v>
      </c>
    </row>
    <row r="306" spans="1:26" ht="15.75" customHeight="1">
      <c r="A306" s="166"/>
      <c r="B306" s="175"/>
      <c r="C306" s="175"/>
      <c r="D306" s="175"/>
      <c r="E306" s="175"/>
      <c r="F306" s="175"/>
      <c r="G306" s="175"/>
      <c r="H306" s="175"/>
      <c r="I306" s="1376"/>
      <c r="J306" s="1376"/>
      <c r="K306" s="1376"/>
      <c r="L306" s="1376"/>
      <c r="M306" s="1376"/>
      <c r="N306" s="1376"/>
      <c r="O306" s="203"/>
      <c r="P306" s="203"/>
      <c r="Q306" s="203"/>
      <c r="R306" s="203"/>
      <c r="S306" s="203"/>
      <c r="T306" s="203"/>
      <c r="U306" s="203"/>
      <c r="V306" s="203"/>
      <c r="W306" s="203"/>
    </row>
    <row r="307" spans="1:26" ht="15.75" customHeight="1">
      <c r="A307" s="166" t="s">
        <v>29</v>
      </c>
      <c r="B307" s="175"/>
      <c r="C307" s="175"/>
      <c r="D307" s="175"/>
      <c r="E307" s="175"/>
      <c r="F307" s="175"/>
      <c r="G307" s="175"/>
      <c r="H307" s="175"/>
      <c r="I307" s="1376"/>
      <c r="J307" s="1376"/>
      <c r="K307" s="1376"/>
      <c r="L307" s="1376"/>
      <c r="M307" s="1376"/>
      <c r="N307" s="1376"/>
      <c r="O307" s="203"/>
      <c r="P307" s="203"/>
      <c r="Q307" s="203"/>
      <c r="R307" s="203"/>
      <c r="S307" s="203"/>
      <c r="T307" s="203"/>
      <c r="U307" s="203"/>
      <c r="V307" s="203"/>
      <c r="W307" s="203"/>
    </row>
    <row r="308" spans="1:26" ht="15.75" customHeight="1">
      <c r="A308" s="145" t="s">
        <v>349</v>
      </c>
      <c r="B308" s="144">
        <f>SUM(YB_pay_net_servchg)</f>
        <v>0.58900000000000008</v>
      </c>
      <c r="C308" s="144">
        <v>0.63500000000000001</v>
      </c>
      <c r="D308" s="144">
        <v>0.65800000000000003</v>
      </c>
      <c r="E308" s="144">
        <v>0.53400000000000003</v>
      </c>
      <c r="F308" s="144">
        <v>0.51500000000000001</v>
      </c>
      <c r="G308" s="144">
        <v>0.51200000000000001</v>
      </c>
      <c r="H308" s="144">
        <v>0.52700000000000002</v>
      </c>
      <c r="I308" s="1380">
        <v>0.51</v>
      </c>
      <c r="J308" s="1380">
        <v>0.49199999999999999</v>
      </c>
      <c r="K308" s="1380">
        <v>0.49299999999999994</v>
      </c>
      <c r="L308" s="1380">
        <v>0.501</v>
      </c>
      <c r="M308" s="1380">
        <v>0.49499999999999994</v>
      </c>
      <c r="N308" s="1380">
        <v>0.51500000000000001</v>
      </c>
      <c r="O308" s="203">
        <v>0.51200000000000001</v>
      </c>
      <c r="P308" s="203">
        <v>0.499</v>
      </c>
      <c r="Q308" s="203">
        <v>0.46900000000000003</v>
      </c>
      <c r="R308" s="203">
        <v>0.47299999999999998</v>
      </c>
      <c r="S308" s="203">
        <v>0.48099999999999998</v>
      </c>
      <c r="T308" s="203">
        <v>0.48199999999999998</v>
      </c>
      <c r="U308" s="203">
        <v>0.52</v>
      </c>
      <c r="V308" s="203">
        <v>0.52900000000000003</v>
      </c>
      <c r="W308" s="203">
        <v>0.504</v>
      </c>
    </row>
    <row r="309" spans="1:26" ht="15.75" customHeight="1">
      <c r="A309" s="177" t="s">
        <v>350</v>
      </c>
      <c r="B309" s="175">
        <f>SUM(YB_pay_taxANDben)</f>
        <v>0.13500000000000001</v>
      </c>
      <c r="C309" s="175">
        <v>0.161</v>
      </c>
      <c r="D309" s="175">
        <v>0.17599999999999999</v>
      </c>
      <c r="E309" s="175">
        <v>0.14800000000000002</v>
      </c>
      <c r="F309" s="175">
        <v>0.14100000000000001</v>
      </c>
      <c r="G309" s="175">
        <v>0.14000000000000001</v>
      </c>
      <c r="H309" s="175">
        <v>0.14400000000000002</v>
      </c>
      <c r="I309" s="1376">
        <v>0.14200000000000002</v>
      </c>
      <c r="J309" s="1376">
        <v>0.14200000000000002</v>
      </c>
      <c r="K309" s="1376">
        <v>0.13700000000000001</v>
      </c>
      <c r="L309" s="1376">
        <v>0.14000000000000001</v>
      </c>
      <c r="M309" s="1376">
        <v>0.13300000000000001</v>
      </c>
      <c r="N309" s="1376">
        <v>0.14800000000000002</v>
      </c>
      <c r="O309" s="203">
        <v>0.155</v>
      </c>
      <c r="P309" s="203">
        <v>0.152</v>
      </c>
      <c r="Q309" s="203">
        <v>0.15</v>
      </c>
      <c r="R309" s="203">
        <v>0.15799999999999997</v>
      </c>
      <c r="S309" s="203">
        <v>0.156</v>
      </c>
      <c r="T309" s="203">
        <v>0.16599999999999998</v>
      </c>
      <c r="U309" s="203">
        <v>0.16599999999999998</v>
      </c>
      <c r="V309" s="203">
        <v>0.17199999999999999</v>
      </c>
      <c r="W309" s="203">
        <v>0.158</v>
      </c>
    </row>
    <row r="310" spans="1:26" ht="17.399999999999999">
      <c r="A310" s="145" t="s">
        <v>369</v>
      </c>
      <c r="B310" s="143">
        <f>SUM(YB_all_ot_exp)</f>
        <v>0.124</v>
      </c>
      <c r="C310" s="143">
        <v>0.14299999999999999</v>
      </c>
      <c r="D310" s="143">
        <v>0.14499999999999999</v>
      </c>
      <c r="E310" s="143">
        <v>0.13600000000000001</v>
      </c>
      <c r="F310" s="143">
        <v>0.123</v>
      </c>
      <c r="G310" s="143">
        <v>0.12</v>
      </c>
      <c r="H310" s="143">
        <v>0.121</v>
      </c>
      <c r="I310" s="1376">
        <v>0.126</v>
      </c>
      <c r="J310" s="1376">
        <v>0.13</v>
      </c>
      <c r="K310" s="1376">
        <v>0.13800000000000001</v>
      </c>
      <c r="L310" s="1376">
        <v>0.14699999999999999</v>
      </c>
      <c r="M310" s="1376">
        <v>0.151</v>
      </c>
      <c r="N310" s="1376">
        <v>0.157</v>
      </c>
      <c r="O310" s="203">
        <v>0.13600000000000001</v>
      </c>
      <c r="P310" s="203">
        <v>0.129</v>
      </c>
      <c r="Q310" s="203">
        <v>0.14000000000000001</v>
      </c>
      <c r="R310" s="203">
        <v>0.11899999999999999</v>
      </c>
      <c r="S310" s="203">
        <v>0.121</v>
      </c>
      <c r="T310" s="203">
        <v>0.11599999999999999</v>
      </c>
      <c r="U310" s="203">
        <v>0.11799999999999999</v>
      </c>
      <c r="V310" s="203">
        <v>0.115</v>
      </c>
      <c r="W310" s="203">
        <v>0.12</v>
      </c>
      <c r="Z310" s="311"/>
    </row>
    <row r="311" spans="1:26">
      <c r="A311" s="178" t="s">
        <v>352</v>
      </c>
      <c r="B311" s="179">
        <f>SUM(B308:B310)</f>
        <v>0.84800000000000009</v>
      </c>
      <c r="C311" s="179">
        <v>0.93900000000000006</v>
      </c>
      <c r="D311" s="179">
        <v>0.97900000000000009</v>
      </c>
      <c r="E311" s="179">
        <v>0.81800000000000006</v>
      </c>
      <c r="F311" s="179">
        <v>0.77900000000000003</v>
      </c>
      <c r="G311" s="179">
        <v>0.77200000000000002</v>
      </c>
      <c r="H311" s="179">
        <v>0.79200000000000004</v>
      </c>
      <c r="I311" s="1379">
        <v>0.77800000000000002</v>
      </c>
      <c r="J311" s="1379">
        <v>0.76400000000000001</v>
      </c>
      <c r="K311" s="1379">
        <v>0.7679999999999999</v>
      </c>
      <c r="L311" s="1379">
        <v>0.78800000000000003</v>
      </c>
      <c r="M311" s="1379">
        <v>0.77899999999999991</v>
      </c>
      <c r="N311" s="1379">
        <v>0.82000000000000006</v>
      </c>
      <c r="O311" s="208">
        <v>0.80300000000000005</v>
      </c>
      <c r="P311" s="208">
        <v>0.78</v>
      </c>
      <c r="Q311" s="208">
        <v>0.75900000000000001</v>
      </c>
      <c r="R311" s="208">
        <f t="shared" ref="R311:W311" si="19">SUM(R308:R310)</f>
        <v>0.75</v>
      </c>
      <c r="S311" s="208">
        <f t="shared" si="19"/>
        <v>0.75800000000000001</v>
      </c>
      <c r="T311" s="208">
        <f t="shared" si="19"/>
        <v>0.7639999999999999</v>
      </c>
      <c r="U311" s="208">
        <f t="shared" si="19"/>
        <v>0.80399999999999994</v>
      </c>
      <c r="V311" s="208">
        <f t="shared" si="19"/>
        <v>0.81600000000000006</v>
      </c>
      <c r="W311" s="208">
        <f t="shared" si="19"/>
        <v>0.78200000000000003</v>
      </c>
    </row>
    <row r="312" spans="1:26" ht="15.6" thickBot="1">
      <c r="A312" s="173" t="s">
        <v>853</v>
      </c>
      <c r="B312" s="310">
        <f>+B305-B311</f>
        <v>-0.27100000000000013</v>
      </c>
      <c r="C312" s="310">
        <v>-0.36299999999999999</v>
      </c>
      <c r="D312" s="310">
        <v>-0.40500000000000003</v>
      </c>
      <c r="E312" s="310">
        <v>-0.23799999999999999</v>
      </c>
      <c r="F312" s="310">
        <v>-0.18600000000000005</v>
      </c>
      <c r="G312" s="310">
        <v>-0.17500000000000004</v>
      </c>
      <c r="H312" s="310">
        <v>-0.19800000000000006</v>
      </c>
      <c r="I312" s="1381">
        <v>-0.18500000000000005</v>
      </c>
      <c r="J312" s="1381">
        <v>-0.16600000000000004</v>
      </c>
      <c r="K312" s="1381">
        <v>-0.15399999999999991</v>
      </c>
      <c r="L312" s="1381">
        <v>-0.18100000000000005</v>
      </c>
      <c r="M312" s="1381">
        <v>-0.17299999999999993</v>
      </c>
      <c r="N312" s="1381">
        <v>-0.21400000000000008</v>
      </c>
      <c r="O312" s="767">
        <v>-0.18300000000000005</v>
      </c>
      <c r="P312" s="767">
        <v>-0.16900000000000004</v>
      </c>
      <c r="Q312" s="767">
        <v>-0.13800000000000001</v>
      </c>
      <c r="R312" s="767">
        <f t="shared" ref="R312:W312" si="20">+R305-R311</f>
        <v>-0.14869313077316648</v>
      </c>
      <c r="S312" s="767">
        <f t="shared" si="20"/>
        <v>-0.15500000000000003</v>
      </c>
      <c r="T312" s="767">
        <f t="shared" si="20"/>
        <v>-0.16999999999999993</v>
      </c>
      <c r="U312" s="767">
        <f t="shared" si="20"/>
        <v>-0.20399999999999996</v>
      </c>
      <c r="V312" s="767">
        <f t="shared" si="20"/>
        <v>-0.22000000000000008</v>
      </c>
      <c r="W312" s="767">
        <f t="shared" si="20"/>
        <v>-0.19399999999999995</v>
      </c>
    </row>
    <row r="313" spans="1:26" ht="3.75" customHeight="1" thickTop="1">
      <c r="A313" s="166"/>
      <c r="B313" s="166"/>
      <c r="C313" s="166"/>
      <c r="D313" s="166"/>
      <c r="E313" s="166"/>
      <c r="F313" s="166"/>
      <c r="G313" s="166"/>
      <c r="H313" s="166"/>
      <c r="I313" s="1382"/>
      <c r="J313" s="1382"/>
      <c r="K313" s="1382"/>
      <c r="L313" s="1382"/>
      <c r="M313" s="1382"/>
      <c r="N313" s="1382"/>
      <c r="O313" s="166"/>
      <c r="P313" s="166"/>
      <c r="Q313" s="166"/>
      <c r="R313" s="166"/>
      <c r="S313" s="157"/>
      <c r="T313" s="157"/>
      <c r="U313" s="157"/>
      <c r="V313" s="157"/>
      <c r="W313" s="157"/>
    </row>
    <row r="314" spans="1:26">
      <c r="A314" s="166" t="s">
        <v>428</v>
      </c>
      <c r="B314" s="199">
        <f>YB_fb_ratio</f>
        <v>1.91</v>
      </c>
      <c r="C314" s="199">
        <v>1.97</v>
      </c>
      <c r="D314" s="199">
        <v>2.19</v>
      </c>
      <c r="E314" s="199">
        <v>2.16</v>
      </c>
      <c r="F314" s="199">
        <v>2.19</v>
      </c>
      <c r="G314" s="199">
        <v>2.21</v>
      </c>
      <c r="H314" s="199">
        <v>2.31</v>
      </c>
      <c r="I314" s="1383">
        <v>2.35</v>
      </c>
      <c r="J314" s="1383">
        <v>2.34</v>
      </c>
      <c r="K314" s="1383">
        <v>2.44</v>
      </c>
      <c r="L314" s="1383">
        <v>2.56</v>
      </c>
      <c r="M314" s="1383">
        <v>2.4500000000000002</v>
      </c>
      <c r="N314" s="1383">
        <v>2.3649555111649967</v>
      </c>
      <c r="O314" s="200">
        <v>2.4450337578442238</v>
      </c>
      <c r="P314" s="200">
        <v>2.4995479756526389</v>
      </c>
      <c r="Q314" s="200">
        <v>2.5889103554781809</v>
      </c>
      <c r="R314" s="200">
        <v>2.66</v>
      </c>
      <c r="S314" s="200">
        <v>2.75</v>
      </c>
      <c r="T314" s="200">
        <v>2.89</v>
      </c>
      <c r="U314" s="200">
        <v>2.97</v>
      </c>
      <c r="V314" s="200">
        <v>3.03</v>
      </c>
    </row>
    <row r="315" spans="1:26" s="150" customFormat="1" ht="9.75" customHeight="1">
      <c r="A315" s="142"/>
      <c r="B315" s="227"/>
      <c r="C315" s="227"/>
      <c r="D315" s="227"/>
      <c r="E315" s="227"/>
      <c r="F315" s="227"/>
      <c r="G315" s="227"/>
      <c r="H315" s="227"/>
      <c r="I315" s="227"/>
      <c r="J315" s="227"/>
      <c r="K315" s="227"/>
      <c r="L315" s="227"/>
      <c r="M315" s="227"/>
      <c r="N315" s="227"/>
      <c r="O315" s="227"/>
      <c r="P315" s="227"/>
      <c r="Q315" s="227"/>
      <c r="R315" s="136"/>
      <c r="S315" s="136"/>
      <c r="T315" s="136"/>
      <c r="U315" s="136"/>
    </row>
    <row r="316" spans="1:26" s="159" customFormat="1">
      <c r="A316" s="127" t="s">
        <v>431</v>
      </c>
      <c r="B316" s="155"/>
      <c r="C316" s="155"/>
      <c r="D316" s="155"/>
      <c r="E316" s="155"/>
      <c r="F316" s="155"/>
      <c r="G316" s="155"/>
      <c r="H316" s="155"/>
      <c r="I316" s="188"/>
      <c r="J316" s="155"/>
      <c r="K316" s="155"/>
      <c r="L316" s="155"/>
      <c r="M316" s="155"/>
      <c r="N316" s="155"/>
      <c r="O316" s="155"/>
    </row>
    <row r="317" spans="1:26" s="159" customFormat="1">
      <c r="A317" s="155"/>
      <c r="B317" s="155"/>
      <c r="C317" s="155"/>
      <c r="D317" s="155"/>
      <c r="E317" s="155"/>
      <c r="F317" s="155"/>
      <c r="G317" s="155"/>
      <c r="H317" s="155"/>
      <c r="I317" s="155"/>
      <c r="J317" s="155"/>
      <c r="K317" s="155"/>
      <c r="L317" s="155"/>
      <c r="M317" s="155"/>
    </row>
    <row r="318" spans="1:26" s="159" customFormat="1" ht="21">
      <c r="A318" s="156" t="s">
        <v>973</v>
      </c>
    </row>
    <row r="319" spans="1:26" ht="21">
      <c r="A319" s="156" t="s">
        <v>769</v>
      </c>
      <c r="B319" s="159"/>
      <c r="C319" s="159"/>
      <c r="D319" s="159"/>
      <c r="E319" s="159"/>
      <c r="F319" s="159"/>
      <c r="G319" s="159"/>
      <c r="H319" s="159"/>
      <c r="I319" s="159"/>
      <c r="J319" s="159"/>
      <c r="K319" s="159"/>
      <c r="L319" s="159"/>
      <c r="M319" s="159"/>
      <c r="N319" s="159"/>
      <c r="O319" s="159"/>
    </row>
    <row r="320" spans="1:26" ht="15.6">
      <c r="A320" s="171" t="s">
        <v>429</v>
      </c>
      <c r="B320" s="159"/>
      <c r="C320" s="159"/>
      <c r="D320" s="159"/>
      <c r="E320" s="159"/>
      <c r="F320" s="159"/>
      <c r="G320" s="159"/>
      <c r="H320" s="159"/>
      <c r="I320" s="159"/>
      <c r="J320" s="159"/>
      <c r="K320" s="159"/>
      <c r="L320" s="159"/>
      <c r="M320" s="159"/>
    </row>
    <row r="321" spans="1:24">
      <c r="A321" s="159"/>
      <c r="B321" s="159"/>
      <c r="C321" s="159"/>
      <c r="D321" s="159"/>
      <c r="E321" s="159"/>
      <c r="F321" s="159"/>
      <c r="G321" s="159"/>
      <c r="H321" s="159"/>
      <c r="I321" s="159"/>
      <c r="J321" s="159"/>
      <c r="K321" s="159"/>
      <c r="L321" s="159"/>
      <c r="M321" s="159"/>
    </row>
    <row r="323" spans="1:24">
      <c r="A323" s="158"/>
      <c r="B323" s="158">
        <v>2000</v>
      </c>
      <c r="C323" s="158">
        <v>2001</v>
      </c>
      <c r="D323" s="158">
        <v>2002</v>
      </c>
      <c r="E323" s="158">
        <v>2003</v>
      </c>
      <c r="F323" s="158">
        <v>2004</v>
      </c>
      <c r="G323" s="158">
        <v>2005</v>
      </c>
      <c r="H323" s="158">
        <v>2006</v>
      </c>
      <c r="I323" s="158">
        <v>2007</v>
      </c>
      <c r="J323" s="158">
        <v>2008</v>
      </c>
      <c r="K323" s="158">
        <v>2009</v>
      </c>
      <c r="L323" s="158">
        <v>2010</v>
      </c>
      <c r="M323" s="158">
        <v>2011</v>
      </c>
      <c r="N323" s="158">
        <v>2012</v>
      </c>
      <c r="O323" s="158">
        <v>2013</v>
      </c>
      <c r="P323" s="158">
        <v>2014</v>
      </c>
      <c r="Q323" s="158">
        <v>2015</v>
      </c>
      <c r="R323" s="158">
        <v>2016</v>
      </c>
      <c r="S323" s="158">
        <v>2017</v>
      </c>
      <c r="T323" s="158">
        <v>2018</v>
      </c>
      <c r="U323" s="158">
        <v>2019</v>
      </c>
      <c r="V323" s="158">
        <v>2020</v>
      </c>
      <c r="W323" s="158">
        <v>2021</v>
      </c>
      <c r="X323" s="158">
        <v>2022</v>
      </c>
    </row>
    <row r="324" spans="1:24">
      <c r="A324" s="159" t="s">
        <v>312</v>
      </c>
      <c r="B324" s="202">
        <v>1051000</v>
      </c>
      <c r="C324" s="202">
        <v>1077000</v>
      </c>
      <c r="D324" s="202">
        <v>1051000</v>
      </c>
      <c r="E324" s="202">
        <v>1104000</v>
      </c>
      <c r="F324" s="202">
        <v>115000</v>
      </c>
      <c r="G324" s="202">
        <v>1177000</v>
      </c>
      <c r="H324" s="202">
        <v>1203000</v>
      </c>
      <c r="I324" s="202">
        <v>1306000</v>
      </c>
      <c r="J324" s="202">
        <v>1284000</v>
      </c>
      <c r="K324" s="202">
        <v>1189000</v>
      </c>
      <c r="L324" s="202">
        <v>1183100</v>
      </c>
      <c r="M324" s="202">
        <v>1239400</v>
      </c>
      <c r="N324" s="202">
        <v>1368300</v>
      </c>
      <c r="O324" s="202">
        <v>1417700</v>
      </c>
      <c r="P324" s="202">
        <v>1380800</v>
      </c>
      <c r="Q324" s="202">
        <v>1494200</v>
      </c>
      <c r="R324" s="202">
        <v>1528100</v>
      </c>
      <c r="S324" s="202">
        <v>1561600</v>
      </c>
      <c r="T324" s="202">
        <v>1607400</v>
      </c>
      <c r="U324" s="202">
        <v>1585900</v>
      </c>
      <c r="V324" s="202">
        <v>1295100</v>
      </c>
      <c r="W324" s="1921">
        <v>1557400</v>
      </c>
      <c r="X324" s="202">
        <f>YB_food_rev</f>
        <v>2210100</v>
      </c>
    </row>
    <row r="325" spans="1:24">
      <c r="A325" s="159" t="s">
        <v>313</v>
      </c>
      <c r="B325" s="202">
        <v>338000</v>
      </c>
      <c r="C325" s="202">
        <v>355000</v>
      </c>
      <c r="D325" s="202">
        <v>354000</v>
      </c>
      <c r="E325" s="202">
        <v>382000</v>
      </c>
      <c r="F325" s="202">
        <v>403000</v>
      </c>
      <c r="G325" s="202">
        <v>442000</v>
      </c>
      <c r="H325" s="202">
        <v>465000</v>
      </c>
      <c r="I325" s="202">
        <v>523000</v>
      </c>
      <c r="J325" s="202">
        <v>525000</v>
      </c>
      <c r="K325" s="202">
        <v>503000</v>
      </c>
      <c r="L325" s="202">
        <v>481300</v>
      </c>
      <c r="M325" s="202">
        <v>505900</v>
      </c>
      <c r="N325" s="202">
        <v>533700</v>
      </c>
      <c r="O325" s="202">
        <v>581700</v>
      </c>
      <c r="P325" s="202">
        <v>589000</v>
      </c>
      <c r="Q325" s="202">
        <v>635400</v>
      </c>
      <c r="R325" s="202">
        <v>661600</v>
      </c>
      <c r="S325" s="1921">
        <f>706500-1</f>
        <v>706499</v>
      </c>
      <c r="T325" s="202">
        <v>732700</v>
      </c>
      <c r="U325" s="202">
        <v>733600</v>
      </c>
      <c r="V325" s="202">
        <v>592200</v>
      </c>
      <c r="W325" s="202">
        <v>790800</v>
      </c>
      <c r="X325" s="202">
        <f>YB_bev_rev</f>
        <v>1159000</v>
      </c>
    </row>
    <row r="326" spans="1:24" s="127" customFormat="1" ht="13.8">
      <c r="A326" s="214" t="s">
        <v>452</v>
      </c>
      <c r="B326" s="202">
        <f>SUM(B324:B325)</f>
        <v>1389000</v>
      </c>
      <c r="C326" s="202">
        <f t="shared" ref="C326:K326" si="21">SUM(C324:C325)</f>
        <v>1432000</v>
      </c>
      <c r="D326" s="202">
        <f t="shared" si="21"/>
        <v>1405000</v>
      </c>
      <c r="E326" s="202">
        <f t="shared" si="21"/>
        <v>1486000</v>
      </c>
      <c r="F326" s="202">
        <f t="shared" si="21"/>
        <v>518000</v>
      </c>
      <c r="G326" s="202">
        <f t="shared" si="21"/>
        <v>1619000</v>
      </c>
      <c r="H326" s="202">
        <f t="shared" si="21"/>
        <v>1668000</v>
      </c>
      <c r="I326" s="202">
        <f t="shared" si="21"/>
        <v>1829000</v>
      </c>
      <c r="J326" s="202">
        <f t="shared" si="21"/>
        <v>1809000</v>
      </c>
      <c r="K326" s="202">
        <f t="shared" si="21"/>
        <v>1692000</v>
      </c>
      <c r="L326" s="202">
        <v>1664400</v>
      </c>
      <c r="M326" s="202">
        <v>1745300</v>
      </c>
      <c r="N326" s="202">
        <v>1902000</v>
      </c>
      <c r="O326" s="202">
        <v>1999500</v>
      </c>
      <c r="P326" s="202">
        <v>1969800</v>
      </c>
      <c r="Q326" s="202">
        <v>2129600</v>
      </c>
      <c r="R326" s="202">
        <v>2189700</v>
      </c>
      <c r="S326" s="202">
        <v>2268100</v>
      </c>
      <c r="T326" s="202">
        <v>2340100</v>
      </c>
      <c r="U326" s="202">
        <v>2319500</v>
      </c>
      <c r="V326" s="202">
        <v>1887300</v>
      </c>
      <c r="W326" s="202">
        <v>2348400</v>
      </c>
      <c r="X326" s="202">
        <f>YB_fb_rev</f>
        <v>3369100</v>
      </c>
    </row>
    <row r="327" spans="1:24" s="127" customFormat="1" ht="13.8">
      <c r="A327" s="214" t="s">
        <v>454</v>
      </c>
      <c r="B327" s="216">
        <f t="shared" ref="B327:I328" si="22">ROUND(B324/B$326,3)</f>
        <v>0.75700000000000001</v>
      </c>
      <c r="C327" s="216">
        <f t="shared" si="22"/>
        <v>0.752</v>
      </c>
      <c r="D327" s="216">
        <f t="shared" si="22"/>
        <v>0.748</v>
      </c>
      <c r="E327" s="216">
        <f t="shared" si="22"/>
        <v>0.74299999999999999</v>
      </c>
      <c r="F327" s="216">
        <f t="shared" si="22"/>
        <v>0.222</v>
      </c>
      <c r="G327" s="216">
        <f t="shared" si="22"/>
        <v>0.72699999999999998</v>
      </c>
      <c r="H327" s="216">
        <f t="shared" si="22"/>
        <v>0.72099999999999997</v>
      </c>
      <c r="I327" s="216">
        <f t="shared" si="22"/>
        <v>0.71399999999999997</v>
      </c>
      <c r="J327" s="216">
        <f>ROUND(J324/J$326,3)</f>
        <v>0.71</v>
      </c>
      <c r="K327" s="216">
        <f>ROUND(K324/K$326,3)</f>
        <v>0.70299999999999996</v>
      </c>
      <c r="L327" s="216">
        <v>0.71099999999999997</v>
      </c>
      <c r="M327" s="216">
        <v>0.71</v>
      </c>
      <c r="N327" s="216">
        <v>0.71899999999999997</v>
      </c>
      <c r="O327" s="216">
        <v>0.70899999999999996</v>
      </c>
      <c r="P327" s="216">
        <v>0.70099999999999996</v>
      </c>
      <c r="Q327" s="216">
        <v>0.70199999999999996</v>
      </c>
      <c r="R327" s="216">
        <v>0.69799999999999995</v>
      </c>
      <c r="S327" s="216">
        <v>0.68899999999999995</v>
      </c>
      <c r="T327" s="216">
        <v>0.68700000000000006</v>
      </c>
      <c r="U327" s="216">
        <v>0.68400000000000005</v>
      </c>
      <c r="V327" s="216">
        <v>0.68600000000000005</v>
      </c>
      <c r="W327" s="216">
        <v>0.66300000000000003</v>
      </c>
      <c r="X327" s="216">
        <f>ROUND(X324/X$326,3)</f>
        <v>0.65600000000000003</v>
      </c>
    </row>
    <row r="328" spans="1:24" s="127" customFormat="1" ht="13.8">
      <c r="A328" s="214" t="s">
        <v>455</v>
      </c>
      <c r="B328" s="216">
        <f t="shared" si="22"/>
        <v>0.24299999999999999</v>
      </c>
      <c r="C328" s="216">
        <f t="shared" si="22"/>
        <v>0.248</v>
      </c>
      <c r="D328" s="216">
        <f t="shared" si="22"/>
        <v>0.252</v>
      </c>
      <c r="E328" s="216">
        <f t="shared" si="22"/>
        <v>0.25700000000000001</v>
      </c>
      <c r="F328" s="216">
        <f t="shared" si="22"/>
        <v>0.77800000000000002</v>
      </c>
      <c r="G328" s="216">
        <f t="shared" si="22"/>
        <v>0.27300000000000002</v>
      </c>
      <c r="H328" s="216">
        <f t="shared" si="22"/>
        <v>0.27900000000000003</v>
      </c>
      <c r="I328" s="216">
        <f t="shared" si="22"/>
        <v>0.28599999999999998</v>
      </c>
      <c r="J328" s="216">
        <f>ROUND(J325/J$326,3)</f>
        <v>0.28999999999999998</v>
      </c>
      <c r="K328" s="216">
        <f>ROUND(K325/K$326,3)</f>
        <v>0.29699999999999999</v>
      </c>
      <c r="L328" s="216">
        <v>0.28899999999999998</v>
      </c>
      <c r="M328" s="216">
        <v>0.28999999999999998</v>
      </c>
      <c r="N328" s="216">
        <v>0.28100000000000003</v>
      </c>
      <c r="O328" s="216">
        <v>0.29099999999999998</v>
      </c>
      <c r="P328" s="216">
        <v>0.29899999999999999</v>
      </c>
      <c r="Q328" s="216">
        <v>0.29799999999999999</v>
      </c>
      <c r="R328" s="216">
        <v>0.30199999999999999</v>
      </c>
      <c r="S328" s="216">
        <v>0.311</v>
      </c>
      <c r="T328" s="216">
        <v>0.313</v>
      </c>
      <c r="U328" s="216">
        <v>0.316</v>
      </c>
      <c r="V328" s="216">
        <v>0.314</v>
      </c>
      <c r="W328" s="216">
        <v>0.33700000000000002</v>
      </c>
      <c r="X328" s="216">
        <f>ROUND(X325/X$326,3)</f>
        <v>0.34399999999999997</v>
      </c>
    </row>
    <row r="329" spans="1:24">
      <c r="A329" s="158"/>
      <c r="B329" s="158"/>
      <c r="C329" s="158"/>
      <c r="D329" s="158"/>
      <c r="E329" s="158"/>
      <c r="F329" s="158"/>
      <c r="G329" s="158"/>
      <c r="H329" s="158"/>
      <c r="I329" s="158"/>
      <c r="J329" s="158"/>
      <c r="K329" s="158"/>
    </row>
    <row r="330" spans="1:24">
      <c r="A330" s="158"/>
      <c r="B330" s="158"/>
      <c r="C330" s="158"/>
      <c r="D330" s="158"/>
      <c r="E330" s="158"/>
      <c r="F330" s="158"/>
      <c r="G330" s="158"/>
      <c r="H330" s="158"/>
      <c r="I330" s="158"/>
      <c r="J330" s="158"/>
      <c r="K330" s="158"/>
    </row>
    <row r="331" spans="1:24">
      <c r="B331" s="184"/>
      <c r="C331" s="184"/>
      <c r="D331" s="184"/>
      <c r="E331" s="184"/>
      <c r="F331" s="184"/>
      <c r="G331" s="184"/>
      <c r="H331" s="184"/>
      <c r="I331" s="184"/>
      <c r="K331" s="184"/>
      <c r="P331" s="1919" t="s">
        <v>2082</v>
      </c>
    </row>
    <row r="332" spans="1:24">
      <c r="B332" s="184"/>
      <c r="C332" s="184"/>
      <c r="D332" s="184"/>
      <c r="E332" s="184"/>
      <c r="F332" s="184"/>
      <c r="G332" s="184"/>
      <c r="H332" s="184"/>
      <c r="I332" s="184"/>
      <c r="J332" s="184"/>
      <c r="K332" s="184"/>
    </row>
    <row r="333" spans="1:24">
      <c r="B333" s="184"/>
      <c r="C333" s="184"/>
      <c r="D333" s="184"/>
      <c r="E333" s="184"/>
      <c r="F333" s="184"/>
      <c r="G333" s="184"/>
      <c r="H333" s="184"/>
      <c r="I333" s="184"/>
      <c r="J333" s="184"/>
      <c r="K333" s="184"/>
    </row>
    <row r="334" spans="1:24">
      <c r="B334" s="184"/>
      <c r="C334" s="184"/>
      <c r="D334" s="184"/>
      <c r="E334" s="184"/>
      <c r="F334" s="184"/>
      <c r="G334" s="184"/>
      <c r="H334" s="184"/>
      <c r="I334" s="184"/>
      <c r="J334" s="184"/>
      <c r="K334" s="184"/>
    </row>
    <row r="335" spans="1:24">
      <c r="B335" s="201"/>
      <c r="C335" s="201"/>
      <c r="D335" s="201"/>
      <c r="E335" s="201"/>
      <c r="F335" s="201"/>
      <c r="G335" s="201"/>
      <c r="H335" s="201"/>
      <c r="I335" s="201"/>
      <c r="J335" s="201"/>
      <c r="K335" s="201"/>
    </row>
    <row r="348" spans="1:15" ht="28.5" customHeight="1"/>
    <row r="349" spans="1:15" ht="38.25" customHeight="1">
      <c r="A349" s="156" t="s">
        <v>786</v>
      </c>
    </row>
    <row r="350" spans="1:15" s="127" customFormat="1" ht="15.75" customHeight="1">
      <c r="A350" s="156"/>
      <c r="B350" s="155"/>
      <c r="C350" s="155"/>
      <c r="D350" s="155"/>
      <c r="E350" s="155"/>
      <c r="F350" s="155"/>
      <c r="G350" s="155"/>
      <c r="H350" s="155"/>
      <c r="I350" s="155"/>
      <c r="J350" s="155"/>
      <c r="K350" s="155"/>
      <c r="L350" s="155"/>
      <c r="M350" s="155"/>
      <c r="N350" s="155"/>
      <c r="O350" s="155"/>
    </row>
    <row r="351" spans="1:15" s="127" customFormat="1" ht="29.4">
      <c r="A351" s="239"/>
      <c r="B351" s="160" t="s">
        <v>672</v>
      </c>
      <c r="C351" s="160" t="s">
        <v>673</v>
      </c>
      <c r="D351" s="160" t="s">
        <v>787</v>
      </c>
      <c r="E351" s="160" t="s">
        <v>570</v>
      </c>
      <c r="F351" s="160" t="s">
        <v>674</v>
      </c>
      <c r="G351" s="160" t="s">
        <v>675</v>
      </c>
      <c r="H351" s="160" t="s">
        <v>676</v>
      </c>
      <c r="I351" s="136"/>
      <c r="K351" s="155"/>
      <c r="L351" s="155"/>
      <c r="N351" s="780" t="s">
        <v>904</v>
      </c>
    </row>
    <row r="352" spans="1:15" s="127" customFormat="1" ht="21">
      <c r="A352" s="239"/>
      <c r="B352" s="231"/>
      <c r="C352" s="231"/>
      <c r="D352" s="231"/>
      <c r="E352" s="231"/>
      <c r="F352" s="231"/>
      <c r="G352" s="231"/>
      <c r="H352" s="231"/>
      <c r="I352" s="136"/>
      <c r="J352" s="155"/>
      <c r="K352" s="155"/>
      <c r="L352" s="155"/>
      <c r="M352" s="155"/>
    </row>
    <row r="353" spans="1:15" s="127" customFormat="1" ht="13.8">
      <c r="A353" s="169" t="s">
        <v>459</v>
      </c>
      <c r="B353" s="164" t="s">
        <v>274</v>
      </c>
      <c r="C353" s="164" t="s">
        <v>419</v>
      </c>
      <c r="D353" s="164" t="s">
        <v>420</v>
      </c>
      <c r="E353" s="164" t="s">
        <v>271</v>
      </c>
      <c r="F353" s="164" t="s">
        <v>421</v>
      </c>
      <c r="G353" s="164" t="s">
        <v>272</v>
      </c>
      <c r="H353" s="164" t="s">
        <v>422</v>
      </c>
    </row>
    <row r="354" spans="1:15" s="127" customFormat="1" ht="13.8">
      <c r="A354" s="169"/>
      <c r="B354" s="164" t="s">
        <v>268</v>
      </c>
      <c r="C354" s="164" t="s">
        <v>295</v>
      </c>
      <c r="D354" s="164" t="s">
        <v>257</v>
      </c>
      <c r="E354" s="164" t="s">
        <v>296</v>
      </c>
      <c r="F354" s="164" t="s">
        <v>277</v>
      </c>
      <c r="G354" s="164" t="s">
        <v>278</v>
      </c>
      <c r="H354" s="164" t="s">
        <v>297</v>
      </c>
    </row>
    <row r="355" spans="1:15" s="127" customFormat="1" ht="13.8">
      <c r="A355" s="372" t="s">
        <v>889</v>
      </c>
      <c r="B355" s="372">
        <f>FL_TlCovers-FL_BanqCovers</f>
        <v>79900</v>
      </c>
      <c r="C355" s="372">
        <f>SE_TlCovers-SE_BanqCovers</f>
        <v>76600</v>
      </c>
      <c r="D355" s="372">
        <f>BOCA_TlCovers-BOCA_BanqCovers</f>
        <v>137100</v>
      </c>
      <c r="E355" s="372">
        <f>Sw_TlCovers-SW_BanqCovers</f>
        <v>60100</v>
      </c>
      <c r="F355" s="372">
        <f>SWCIRA_TlCovers-SWCIRA_BanqCovers</f>
        <v>58900</v>
      </c>
      <c r="G355" s="372">
        <f>NC_TlCovers-NC_BanqCovers</f>
        <v>76100</v>
      </c>
      <c r="H355" s="372">
        <f>YB_TlCovers-YB_BanqCovers</f>
        <v>48900</v>
      </c>
    </row>
    <row r="356" spans="1:15">
      <c r="A356" s="166" t="s">
        <v>890</v>
      </c>
      <c r="B356" s="166">
        <f>FL_BanqCovers</f>
        <v>9000</v>
      </c>
      <c r="C356" s="166">
        <f>SE_BanqCovers</f>
        <v>8500</v>
      </c>
      <c r="D356" s="166">
        <f>BOCA_BanqCovers</f>
        <v>7800</v>
      </c>
      <c r="E356" s="166">
        <f>SW_BanqCovers</f>
        <v>9100</v>
      </c>
      <c r="F356" s="166">
        <f>SWCIRA_BanqCovers</f>
        <v>5800</v>
      </c>
      <c r="G356" s="166">
        <f>NC_BanqCovers</f>
        <v>12900</v>
      </c>
      <c r="H356" s="166">
        <f>YB_BanqCovers</f>
        <v>13700</v>
      </c>
      <c r="I356" s="127"/>
      <c r="J356" s="127"/>
      <c r="K356" s="127"/>
      <c r="L356" s="127"/>
      <c r="M356" s="127"/>
      <c r="N356" s="127"/>
      <c r="O356" s="127"/>
    </row>
    <row r="357" spans="1:15" ht="15.6" thickBot="1">
      <c r="A357" s="372" t="s">
        <v>891</v>
      </c>
      <c r="B357" s="377">
        <f>FL_TlCovers</f>
        <v>88900</v>
      </c>
      <c r="C357" s="377">
        <f>SE_TlCovers</f>
        <v>85100</v>
      </c>
      <c r="D357" s="377">
        <f>BOCA_TlCovers</f>
        <v>144900</v>
      </c>
      <c r="E357" s="377">
        <f>Sw_TlCovers</f>
        <v>69200</v>
      </c>
      <c r="F357" s="377">
        <f>SWCIRA_TlCovers</f>
        <v>64700</v>
      </c>
      <c r="G357" s="377">
        <f>NC_TlCovers</f>
        <v>89000</v>
      </c>
      <c r="H357" s="377">
        <f>YB_TlCovers</f>
        <v>62600</v>
      </c>
      <c r="I357" s="127"/>
      <c r="J357" s="127"/>
      <c r="K357" s="127"/>
      <c r="L357" s="127"/>
      <c r="M357" s="127"/>
    </row>
    <row r="358" spans="1:15" ht="15.6" thickTop="1">
      <c r="A358" s="166" t="s">
        <v>915</v>
      </c>
      <c r="B358" s="309">
        <f>B356/B357</f>
        <v>0.10123734533183353</v>
      </c>
      <c r="C358" s="309">
        <f t="shared" ref="C358:H358" si="23">C356/C357</f>
        <v>9.9882491186839006E-2</v>
      </c>
      <c r="D358" s="309">
        <f t="shared" si="23"/>
        <v>5.3830227743271224E-2</v>
      </c>
      <c r="E358" s="309">
        <f t="shared" si="23"/>
        <v>0.13150289017341041</v>
      </c>
      <c r="F358" s="309">
        <f t="shared" si="23"/>
        <v>8.964451313755796E-2</v>
      </c>
      <c r="G358" s="309">
        <f t="shared" si="23"/>
        <v>0.14494382022471911</v>
      </c>
      <c r="H358" s="309">
        <f t="shared" si="23"/>
        <v>0.21884984025559107</v>
      </c>
      <c r="I358" s="127"/>
      <c r="J358" s="127"/>
      <c r="K358" s="127"/>
      <c r="L358" s="127"/>
      <c r="M358" s="127"/>
    </row>
    <row r="359" spans="1:15" ht="15.6">
      <c r="A359" s="308"/>
      <c r="B359" s="309"/>
      <c r="C359" s="309"/>
      <c r="D359" s="309"/>
      <c r="E359" s="309"/>
      <c r="F359" s="309"/>
      <c r="G359" s="309"/>
      <c r="H359" s="309"/>
    </row>
    <row r="379" spans="1:15">
      <c r="A379" s="127"/>
      <c r="B379" s="127"/>
      <c r="C379" s="1254"/>
      <c r="D379" s="1276"/>
      <c r="E379" s="1276"/>
      <c r="F379" s="1276"/>
      <c r="G379" s="1276"/>
      <c r="I379" s="127"/>
      <c r="J379" s="209"/>
      <c r="K379" s="209"/>
      <c r="L379" s="209"/>
      <c r="M379" s="209"/>
      <c r="N379" s="209"/>
      <c r="O379" s="209"/>
    </row>
    <row r="380" spans="1:15" ht="21">
      <c r="A380" s="156" t="s">
        <v>1297</v>
      </c>
      <c r="B380" s="127"/>
      <c r="C380" s="1254"/>
      <c r="D380" s="1253"/>
      <c r="E380" s="1277" t="s">
        <v>1301</v>
      </c>
      <c r="F380" s="1277" t="s">
        <v>1355</v>
      </c>
      <c r="G380" s="1277" t="s">
        <v>1356</v>
      </c>
      <c r="I380" s="127"/>
      <c r="J380" s="209"/>
      <c r="L380" s="209"/>
      <c r="M380" s="209"/>
      <c r="N380" s="1220"/>
      <c r="O380" s="209"/>
    </row>
    <row r="381" spans="1:15" ht="14.25" customHeight="1">
      <c r="A381" s="156"/>
      <c r="B381" s="127"/>
      <c r="C381" s="1254"/>
      <c r="D381" s="1253" t="s">
        <v>1354</v>
      </c>
      <c r="E381" s="1276">
        <f>'IN ROWS'!EX7</f>
        <v>40</v>
      </c>
      <c r="F381" s="1276">
        <f>'IN ROWS'!EX8</f>
        <v>57</v>
      </c>
      <c r="G381" s="1276">
        <f>'IN ROWS'!EX9</f>
        <v>10</v>
      </c>
      <c r="I381" s="127"/>
      <c r="J381" s="209"/>
      <c r="L381" s="209"/>
      <c r="M381" s="209"/>
      <c r="N381" s="1220"/>
      <c r="O381" s="209"/>
    </row>
    <row r="382" spans="1:15" ht="14.25" customHeight="1">
      <c r="A382" s="156"/>
      <c r="B382" s="127"/>
      <c r="C382" s="1254"/>
      <c r="D382" s="1253" t="s">
        <v>1298</v>
      </c>
      <c r="E382" s="1276">
        <f>'IN ROWS'!EX13</f>
        <v>14</v>
      </c>
      <c r="F382" s="1276">
        <f>'IN ROWS'!EX14</f>
        <v>8</v>
      </c>
      <c r="G382" s="1276">
        <f>'IN ROWS'!EX15</f>
        <v>1</v>
      </c>
      <c r="I382" s="127"/>
      <c r="J382" s="209"/>
      <c r="L382" s="209"/>
      <c r="M382" s="209"/>
      <c r="N382" s="209"/>
      <c r="O382" s="209"/>
    </row>
    <row r="383" spans="1:15" ht="14.25" customHeight="1">
      <c r="A383" s="156"/>
      <c r="B383" s="127"/>
      <c r="C383" s="1254"/>
      <c r="D383" s="1253" t="s">
        <v>1299</v>
      </c>
      <c r="E383" s="1276">
        <f>'IN ROWS'!EX19</f>
        <v>10</v>
      </c>
      <c r="F383" s="1276">
        <f>'IN ROWS'!EX20</f>
        <v>6</v>
      </c>
      <c r="G383" s="1276">
        <f>'IN ROWS'!EX21</f>
        <v>1</v>
      </c>
      <c r="I383" s="127"/>
      <c r="J383" s="209"/>
      <c r="L383" s="209"/>
      <c r="M383" s="209"/>
      <c r="N383" s="209"/>
      <c r="O383" s="209"/>
    </row>
    <row r="384" spans="1:15" ht="14.25" customHeight="1">
      <c r="A384" s="156"/>
      <c r="B384" s="127"/>
      <c r="C384" s="1254"/>
      <c r="D384" s="1253" t="s">
        <v>1300</v>
      </c>
      <c r="E384" s="1276">
        <f>'IN ROWS'!EX25</f>
        <v>6</v>
      </c>
      <c r="F384" s="1276">
        <f>'IN ROWS'!EX26</f>
        <v>16</v>
      </c>
      <c r="G384" s="1276">
        <f>'IN ROWS'!EX27</f>
        <v>4</v>
      </c>
      <c r="I384" s="127"/>
      <c r="J384" s="209"/>
      <c r="L384" s="209"/>
      <c r="M384" s="209"/>
      <c r="N384" s="209"/>
      <c r="O384" s="209"/>
    </row>
    <row r="385" spans="1:19" ht="14.25" customHeight="1">
      <c r="A385" s="156"/>
      <c r="B385" s="127"/>
      <c r="C385" s="1254"/>
      <c r="D385" s="1253" t="s">
        <v>418</v>
      </c>
      <c r="E385" s="1276">
        <f>'IN ROWS'!EX31</f>
        <v>1</v>
      </c>
      <c r="F385" s="1276">
        <f>'IN ROWS'!EX32</f>
        <v>15</v>
      </c>
      <c r="G385" s="1276">
        <f>'IN ROWS'!EX33</f>
        <v>2</v>
      </c>
      <c r="I385" s="127"/>
      <c r="J385" s="209"/>
      <c r="L385" s="209"/>
      <c r="M385" s="209"/>
      <c r="N385" s="209"/>
      <c r="O385" s="209"/>
    </row>
    <row r="386" spans="1:19" ht="14.25" customHeight="1">
      <c r="A386" s="156"/>
      <c r="B386" s="127"/>
      <c r="C386" s="1254"/>
      <c r="D386" s="1253" t="s">
        <v>414</v>
      </c>
      <c r="E386" s="1276">
        <f>'IN ROWS'!EX37</f>
        <v>9</v>
      </c>
      <c r="F386" s="1276">
        <f>'IN ROWS'!EX38</f>
        <v>12</v>
      </c>
      <c r="G386" s="1276">
        <f>'IN ROWS'!EX39</f>
        <v>2</v>
      </c>
      <c r="I386" s="127"/>
      <c r="J386" s="209"/>
      <c r="L386" s="209"/>
      <c r="M386" s="209"/>
      <c r="N386" s="209"/>
      <c r="O386" s="209"/>
    </row>
    <row r="387" spans="1:19" ht="14.25" customHeight="1">
      <c r="A387" s="156"/>
      <c r="B387" s="127"/>
      <c r="C387" s="1254"/>
      <c r="D387" s="1253" t="s">
        <v>412</v>
      </c>
      <c r="E387" s="1276">
        <f>'IN ROWS'!EX43</f>
        <v>5</v>
      </c>
      <c r="F387" s="1276">
        <f>'IN ROWS'!EX44</f>
        <v>7</v>
      </c>
      <c r="G387" s="1276">
        <f>'IN ROWS'!EX45</f>
        <v>0</v>
      </c>
      <c r="I387" s="127"/>
      <c r="J387" s="209"/>
      <c r="L387" s="209"/>
      <c r="M387" s="209"/>
      <c r="N387" s="209"/>
      <c r="O387" s="209"/>
    </row>
    <row r="388" spans="1:19" ht="24.75" customHeight="1">
      <c r="A388" s="1221"/>
      <c r="B388" s="1242"/>
      <c r="C388" s="1242"/>
      <c r="D388" s="1242"/>
      <c r="E388" s="1242"/>
      <c r="F388" s="1242"/>
      <c r="G388" s="1242"/>
      <c r="H388" s="1242"/>
      <c r="I388" s="1242"/>
      <c r="J388" s="1243"/>
      <c r="K388" s="1243"/>
      <c r="L388" s="1243"/>
      <c r="M388" s="1243"/>
    </row>
    <row r="389" spans="1:19">
      <c r="J389" s="209"/>
      <c r="K389" s="209"/>
      <c r="L389" s="209"/>
      <c r="M389" s="209"/>
    </row>
    <row r="390" spans="1:19">
      <c r="J390" s="209"/>
      <c r="K390" s="209"/>
      <c r="L390" s="209"/>
      <c r="M390" s="209"/>
    </row>
    <row r="391" spans="1:19">
      <c r="J391" s="209"/>
      <c r="K391" s="209"/>
      <c r="L391" s="209"/>
      <c r="M391" s="209"/>
    </row>
    <row r="392" spans="1:19">
      <c r="J392" s="209"/>
      <c r="K392" s="209"/>
      <c r="L392" s="209"/>
      <c r="M392" s="209"/>
    </row>
    <row r="393" spans="1:19">
      <c r="J393" s="209"/>
      <c r="K393" s="209"/>
      <c r="L393" s="209"/>
      <c r="M393" s="209"/>
    </row>
    <row r="394" spans="1:19">
      <c r="J394" s="209"/>
      <c r="K394" s="209"/>
      <c r="L394" s="209"/>
      <c r="M394" s="209"/>
      <c r="S394" s="209"/>
    </row>
    <row r="395" spans="1:19">
      <c r="J395" s="209"/>
      <c r="K395" s="209"/>
      <c r="L395" s="209"/>
      <c r="M395" s="209"/>
      <c r="S395" s="209"/>
    </row>
    <row r="396" spans="1:19">
      <c r="J396" s="209"/>
      <c r="K396" s="209"/>
      <c r="L396" s="209"/>
      <c r="M396" s="209"/>
      <c r="S396" s="209"/>
    </row>
    <row r="397" spans="1:19">
      <c r="J397" s="209"/>
      <c r="K397" s="209"/>
      <c r="L397" s="209"/>
      <c r="M397" s="209"/>
      <c r="S397" s="209"/>
    </row>
    <row r="398" spans="1:19">
      <c r="J398" s="209"/>
      <c r="K398" s="209"/>
      <c r="L398" s="209"/>
      <c r="M398" s="209"/>
      <c r="N398" s="209"/>
      <c r="O398" s="209"/>
      <c r="P398" s="209"/>
      <c r="Q398" s="209"/>
      <c r="R398" s="209"/>
      <c r="S398" s="209"/>
    </row>
    <row r="399" spans="1:19">
      <c r="J399" s="209"/>
      <c r="K399" s="209"/>
      <c r="L399" s="209"/>
      <c r="M399" s="209"/>
      <c r="N399" s="209"/>
      <c r="O399" s="209"/>
      <c r="P399" s="209"/>
      <c r="Q399" s="209"/>
      <c r="R399" s="209"/>
      <c r="S399" s="209"/>
    </row>
    <row r="400" spans="1:19">
      <c r="J400" s="209"/>
      <c r="K400" s="209"/>
      <c r="L400" s="209"/>
      <c r="M400" s="209"/>
      <c r="N400" s="209"/>
      <c r="O400" s="209"/>
      <c r="P400" s="209"/>
      <c r="Q400" s="209"/>
      <c r="R400" s="209"/>
      <c r="S400" s="209"/>
    </row>
    <row r="401" spans="1:19">
      <c r="J401" s="209"/>
      <c r="K401" s="209"/>
      <c r="L401" s="209"/>
      <c r="M401" s="209"/>
      <c r="N401" s="209"/>
      <c r="O401" s="209"/>
      <c r="P401" s="209"/>
      <c r="Q401" s="209"/>
      <c r="R401" s="209"/>
      <c r="S401" s="209"/>
    </row>
    <row r="402" spans="1:19">
      <c r="J402" s="209"/>
      <c r="K402" s="209"/>
      <c r="L402" s="209"/>
      <c r="M402" s="209"/>
      <c r="N402" s="209"/>
      <c r="O402" s="209"/>
      <c r="P402" s="209"/>
      <c r="Q402" s="209"/>
      <c r="R402" s="209"/>
      <c r="S402" s="209"/>
    </row>
    <row r="403" spans="1:19">
      <c r="J403" s="209"/>
      <c r="K403" s="209"/>
      <c r="L403" s="209"/>
      <c r="M403" s="1384"/>
      <c r="N403" s="209"/>
      <c r="O403" s="209"/>
      <c r="P403" s="209"/>
      <c r="Q403" s="209"/>
      <c r="R403" s="209"/>
      <c r="S403" s="209"/>
    </row>
    <row r="404" spans="1:19">
      <c r="J404" s="209"/>
      <c r="K404" s="209"/>
      <c r="L404" s="209"/>
      <c r="M404" s="1384"/>
      <c r="N404" s="209"/>
      <c r="O404" s="209"/>
      <c r="P404" s="209"/>
      <c r="Q404" s="209"/>
      <c r="R404" s="209"/>
      <c r="S404" s="209"/>
    </row>
    <row r="405" spans="1:19">
      <c r="J405" s="209"/>
      <c r="K405" s="209"/>
      <c r="L405" s="209"/>
      <c r="M405" s="1384"/>
      <c r="N405" s="209"/>
      <c r="O405" s="209"/>
      <c r="P405" s="209"/>
      <c r="Q405" s="209"/>
      <c r="R405" s="209"/>
      <c r="S405" s="209"/>
    </row>
    <row r="406" spans="1:19">
      <c r="J406" s="209"/>
      <c r="K406" s="209"/>
      <c r="L406" s="209"/>
      <c r="M406" s="1384"/>
      <c r="N406" s="209"/>
      <c r="O406" s="209"/>
      <c r="P406" s="209"/>
      <c r="Q406" s="209"/>
      <c r="R406" s="209"/>
      <c r="S406" s="209"/>
    </row>
    <row r="407" spans="1:19">
      <c r="J407" s="209"/>
      <c r="K407" s="209"/>
      <c r="L407" s="209"/>
      <c r="M407" s="1384"/>
      <c r="N407" s="209"/>
      <c r="O407" s="209"/>
      <c r="P407" s="209"/>
      <c r="Q407" s="209"/>
      <c r="R407" s="209"/>
      <c r="S407" s="209"/>
    </row>
    <row r="408" spans="1:19">
      <c r="J408" s="209"/>
      <c r="K408" s="209"/>
      <c r="L408" s="209"/>
      <c r="M408" s="1384"/>
      <c r="N408" s="209"/>
      <c r="O408" s="209"/>
      <c r="P408" s="209"/>
      <c r="Q408" s="209"/>
      <c r="R408" s="209"/>
      <c r="S408" s="209"/>
    </row>
    <row r="409" spans="1:19">
      <c r="J409" s="209"/>
      <c r="K409" s="209"/>
      <c r="L409" s="209"/>
      <c r="M409" s="1384"/>
      <c r="N409" s="209"/>
      <c r="O409" s="209"/>
      <c r="P409" s="209"/>
      <c r="Q409" s="209"/>
      <c r="R409" s="209"/>
      <c r="S409" s="209"/>
    </row>
    <row r="410" spans="1:19">
      <c r="J410" s="209"/>
      <c r="K410" s="209"/>
      <c r="L410" s="209"/>
      <c r="M410" s="1384"/>
      <c r="N410" s="209"/>
      <c r="O410" s="209"/>
      <c r="P410" s="209"/>
      <c r="Q410" s="209"/>
      <c r="R410" s="209"/>
      <c r="S410" s="209"/>
    </row>
    <row r="411" spans="1:19" ht="20.399999999999999">
      <c r="A411" s="1244"/>
      <c r="B411" s="1245"/>
      <c r="C411" s="1245"/>
      <c r="D411" s="1245"/>
      <c r="E411" s="1245"/>
      <c r="F411" s="1245"/>
      <c r="G411" s="1245"/>
      <c r="H411" s="1245"/>
      <c r="I411" s="1245"/>
      <c r="J411" s="1246"/>
      <c r="K411" s="1246"/>
      <c r="L411" s="1246"/>
      <c r="M411" s="209"/>
      <c r="N411" s="209"/>
      <c r="O411" s="209"/>
      <c r="P411" s="209"/>
      <c r="Q411" s="209"/>
      <c r="R411" s="209"/>
      <c r="S411" s="209"/>
    </row>
    <row r="412" spans="1:19">
      <c r="J412" s="209"/>
      <c r="K412" s="209"/>
      <c r="L412" s="209"/>
      <c r="M412" s="209"/>
      <c r="N412" s="1237"/>
      <c r="O412" s="209"/>
    </row>
    <row r="413" spans="1:19">
      <c r="J413" s="209"/>
      <c r="K413" s="209"/>
      <c r="L413" s="209"/>
      <c r="M413" s="209"/>
      <c r="N413" s="209"/>
      <c r="O413" s="209"/>
    </row>
    <row r="414" spans="1:19">
      <c r="J414" s="209"/>
      <c r="K414" s="209"/>
      <c r="L414" s="209"/>
      <c r="M414" s="209"/>
      <c r="N414" s="209"/>
      <c r="O414" s="209"/>
    </row>
    <row r="415" spans="1:19">
      <c r="J415" s="209"/>
      <c r="K415" s="209"/>
      <c r="L415" s="209"/>
      <c r="M415" s="209"/>
      <c r="N415" s="209"/>
      <c r="O415" s="209"/>
    </row>
    <row r="416" spans="1:19">
      <c r="J416" s="209"/>
      <c r="K416" s="209"/>
      <c r="L416" s="209"/>
      <c r="M416" s="209"/>
      <c r="N416" s="209"/>
      <c r="O416" s="209"/>
    </row>
    <row r="417" spans="1:19">
      <c r="D417" s="1276"/>
      <c r="E417" s="1276"/>
      <c r="F417" s="1276"/>
      <c r="G417" s="1276"/>
      <c r="H417" s="1276"/>
      <c r="I417" s="1276"/>
      <c r="J417" s="1276"/>
      <c r="K417" s="1276"/>
    </row>
    <row r="418" spans="1:19" ht="21">
      <c r="A418" s="156" t="s">
        <v>1386</v>
      </c>
      <c r="B418" s="1253"/>
      <c r="C418" s="1277" t="s">
        <v>1383</v>
      </c>
      <c r="D418" s="1277" t="s">
        <v>1384</v>
      </c>
      <c r="E418" s="1277" t="s">
        <v>1385</v>
      </c>
      <c r="F418" s="1276"/>
      <c r="G418" s="1254"/>
      <c r="H418" s="1278"/>
      <c r="K418" s="1276"/>
      <c r="L418" s="209"/>
      <c r="M418" s="209"/>
      <c r="N418" s="1220"/>
      <c r="O418" s="209"/>
    </row>
    <row r="419" spans="1:19" ht="14.25" customHeight="1">
      <c r="A419" s="156"/>
      <c r="B419" s="1253" t="s">
        <v>1354</v>
      </c>
      <c r="C419" s="1276">
        <f>'IN ROWS'!EU7</f>
        <v>37</v>
      </c>
      <c r="D419" s="1276">
        <f>'IN ROWS'!EU8</f>
        <v>46</v>
      </c>
      <c r="E419" s="1276">
        <f>'IN ROWS'!EU9</f>
        <v>23</v>
      </c>
      <c r="F419" s="1279">
        <f>C419/SUM(C419:E419)</f>
        <v>0.34905660377358488</v>
      </c>
      <c r="G419" s="1279">
        <f>D419/SUM(C419:E419)</f>
        <v>0.43396226415094341</v>
      </c>
      <c r="H419" s="1279">
        <f>E419/SUM(C419:E419)</f>
        <v>0.21698113207547171</v>
      </c>
      <c r="K419" s="1276"/>
      <c r="L419" s="209"/>
      <c r="M419" s="209"/>
      <c r="N419" s="1220"/>
      <c r="O419" s="209"/>
    </row>
    <row r="420" spans="1:19" ht="14.25" customHeight="1">
      <c r="A420" s="156"/>
      <c r="B420" s="1253" t="s">
        <v>1298</v>
      </c>
      <c r="C420" s="1276">
        <f>'IN ROWS'!EU13</f>
        <v>9</v>
      </c>
      <c r="D420" s="1276">
        <f>'IN ROWS'!EU14</f>
        <v>9</v>
      </c>
      <c r="E420" s="1276">
        <f>'IN ROWS'!EU15</f>
        <v>5</v>
      </c>
      <c r="F420" s="1279">
        <f t="shared" ref="F420:F424" si="24">C420/SUM(C420:E420)</f>
        <v>0.39130434782608697</v>
      </c>
      <c r="G420" s="1279">
        <f t="shared" ref="G420:G425" si="25">D420/SUM(C420:E420)</f>
        <v>0.39130434782608697</v>
      </c>
      <c r="H420" s="1279">
        <f t="shared" ref="H420:H425" si="26">E420/SUM(C420:E420)</f>
        <v>0.21739130434782608</v>
      </c>
      <c r="K420" s="1276"/>
      <c r="L420" s="209"/>
      <c r="M420" s="209"/>
      <c r="N420" s="209"/>
      <c r="O420" s="209"/>
    </row>
    <row r="421" spans="1:19" ht="14.25" customHeight="1">
      <c r="A421" s="156"/>
      <c r="B421" s="1253" t="s">
        <v>1299</v>
      </c>
      <c r="C421" s="1276">
        <f>'IN ROWS'!EU19</f>
        <v>4</v>
      </c>
      <c r="D421" s="1276">
        <f>'IN ROWS'!EU20</f>
        <v>6</v>
      </c>
      <c r="E421" s="1276">
        <f>'IN ROWS'!EU21</f>
        <v>7</v>
      </c>
      <c r="F421" s="1279">
        <f t="shared" si="24"/>
        <v>0.23529411764705882</v>
      </c>
      <c r="G421" s="1279">
        <f t="shared" si="25"/>
        <v>0.35294117647058826</v>
      </c>
      <c r="H421" s="1279">
        <f t="shared" si="26"/>
        <v>0.41176470588235292</v>
      </c>
      <c r="K421" s="1276"/>
      <c r="L421" s="209"/>
      <c r="M421" s="209"/>
      <c r="N421" s="209"/>
      <c r="O421" s="209"/>
    </row>
    <row r="422" spans="1:19" ht="14.25" customHeight="1">
      <c r="A422" s="156"/>
      <c r="B422" s="1253" t="s">
        <v>1300</v>
      </c>
      <c r="C422" s="1276">
        <f>'IN ROWS'!EU25</f>
        <v>8</v>
      </c>
      <c r="D422" s="1276">
        <f>'IN ROWS'!EU26</f>
        <v>14</v>
      </c>
      <c r="E422" s="1276">
        <f>'IN ROWS'!EU27</f>
        <v>4</v>
      </c>
      <c r="F422" s="1279">
        <f t="shared" si="24"/>
        <v>0.30769230769230771</v>
      </c>
      <c r="G422" s="1279">
        <f t="shared" si="25"/>
        <v>0.53846153846153844</v>
      </c>
      <c r="H422" s="1279">
        <f t="shared" si="26"/>
        <v>0.15384615384615385</v>
      </c>
      <c r="K422" s="1276"/>
      <c r="L422" s="209"/>
      <c r="M422" s="209"/>
      <c r="N422" s="209"/>
      <c r="O422" s="209"/>
    </row>
    <row r="423" spans="1:19" ht="14.25" customHeight="1">
      <c r="A423" s="156"/>
      <c r="B423" s="1253" t="s">
        <v>418</v>
      </c>
      <c r="C423" s="1276">
        <f>'IN ROWS'!EU31</f>
        <v>8</v>
      </c>
      <c r="D423" s="1276">
        <f>'IN ROWS'!EU32</f>
        <v>10</v>
      </c>
      <c r="E423" s="1276">
        <f>'IN ROWS'!EU33</f>
        <v>0</v>
      </c>
      <c r="F423" s="1279">
        <f t="shared" si="24"/>
        <v>0.44444444444444442</v>
      </c>
      <c r="G423" s="1279">
        <f t="shared" si="25"/>
        <v>0.55555555555555558</v>
      </c>
      <c r="H423" s="1279">
        <f t="shared" si="26"/>
        <v>0</v>
      </c>
      <c r="K423" s="1276"/>
      <c r="L423" s="209"/>
      <c r="M423" s="209"/>
      <c r="N423" s="209"/>
      <c r="O423" s="209"/>
    </row>
    <row r="424" spans="1:19" ht="14.25" customHeight="1">
      <c r="A424" s="156"/>
      <c r="B424" s="1253" t="s">
        <v>414</v>
      </c>
      <c r="C424" s="1276">
        <f>'IN ROWS'!EU37</f>
        <v>8</v>
      </c>
      <c r="D424" s="1276">
        <f>'IN ROWS'!EU38</f>
        <v>7</v>
      </c>
      <c r="E424" s="1276">
        <f>'IN ROWS'!EU39</f>
        <v>7</v>
      </c>
      <c r="F424" s="1279">
        <f t="shared" si="24"/>
        <v>0.36363636363636365</v>
      </c>
      <c r="G424" s="1279">
        <f t="shared" si="25"/>
        <v>0.31818181818181818</v>
      </c>
      <c r="H424" s="1279">
        <f t="shared" si="26"/>
        <v>0.31818181818181818</v>
      </c>
      <c r="K424" s="1276"/>
      <c r="L424" s="209"/>
      <c r="M424" s="209"/>
      <c r="N424" s="209"/>
      <c r="O424" s="209"/>
    </row>
    <row r="425" spans="1:19" ht="14.25" customHeight="1">
      <c r="A425" s="156"/>
      <c r="B425" s="1253" t="s">
        <v>412</v>
      </c>
      <c r="C425" s="1276">
        <f>'IN ROWS'!EU43</f>
        <v>2</v>
      </c>
      <c r="D425" s="1276">
        <f>'IN ROWS'!EU44</f>
        <v>9</v>
      </c>
      <c r="E425" s="1276">
        <f>'IN ROWS'!EU45</f>
        <v>1</v>
      </c>
      <c r="F425" s="1279">
        <f>C425/SUM(C425:E425)</f>
        <v>0.16666666666666666</v>
      </c>
      <c r="G425" s="1279">
        <f t="shared" si="25"/>
        <v>0.75</v>
      </c>
      <c r="H425" s="1279">
        <f t="shared" si="26"/>
        <v>8.3333333333333329E-2</v>
      </c>
      <c r="K425" s="1276"/>
      <c r="L425" s="209"/>
      <c r="M425" s="209"/>
      <c r="N425" s="209"/>
      <c r="O425" s="209"/>
    </row>
    <row r="426" spans="1:19" ht="24.75" customHeight="1">
      <c r="A426" s="1221"/>
      <c r="B426" s="1242"/>
      <c r="C426" s="1242"/>
      <c r="D426" s="1242"/>
      <c r="E426" s="1221"/>
      <c r="F426" s="1221"/>
      <c r="G426" s="1242"/>
      <c r="H426" s="1242"/>
      <c r="I426" s="1242"/>
      <c r="J426" s="1243"/>
      <c r="K426" s="1243"/>
      <c r="L426" s="1243"/>
      <c r="M426" s="1243"/>
    </row>
    <row r="427" spans="1:19">
      <c r="J427" s="209"/>
      <c r="K427" s="209"/>
      <c r="L427" s="209"/>
      <c r="M427" s="209"/>
    </row>
    <row r="428" spans="1:19">
      <c r="J428" s="209"/>
      <c r="K428" s="209"/>
      <c r="L428" s="209"/>
      <c r="M428" s="209"/>
    </row>
    <row r="429" spans="1:19">
      <c r="J429" s="209"/>
      <c r="K429" s="209"/>
      <c r="L429" s="209"/>
      <c r="M429" s="209"/>
    </row>
    <row r="430" spans="1:19">
      <c r="J430" s="209"/>
      <c r="K430" s="209"/>
      <c r="L430" s="209"/>
      <c r="M430" s="209"/>
    </row>
    <row r="431" spans="1:19">
      <c r="J431" s="209"/>
      <c r="K431" s="209"/>
      <c r="L431" s="209"/>
      <c r="M431" s="209"/>
    </row>
    <row r="432" spans="1:19">
      <c r="J432" s="209"/>
      <c r="K432" s="209"/>
      <c r="L432" s="209"/>
      <c r="M432" s="209"/>
      <c r="S432" s="209"/>
    </row>
    <row r="433" spans="1:19">
      <c r="J433" s="209"/>
      <c r="K433" s="209"/>
      <c r="L433" s="209"/>
      <c r="M433" s="209"/>
      <c r="S433" s="209"/>
    </row>
    <row r="434" spans="1:19">
      <c r="J434" s="209"/>
      <c r="K434" s="209"/>
      <c r="L434" s="209"/>
      <c r="M434" s="209"/>
      <c r="S434" s="209"/>
    </row>
    <row r="435" spans="1:19">
      <c r="J435" s="209"/>
      <c r="K435" s="209"/>
      <c r="L435" s="209"/>
      <c r="M435" s="209"/>
      <c r="S435" s="209"/>
    </row>
    <row r="436" spans="1:19">
      <c r="J436" s="209"/>
      <c r="K436" s="209"/>
      <c r="L436" s="209"/>
      <c r="M436" s="209"/>
      <c r="N436" s="209"/>
      <c r="O436" s="209"/>
      <c r="P436" s="209"/>
      <c r="Q436" s="209"/>
      <c r="R436" s="209"/>
      <c r="S436" s="209"/>
    </row>
    <row r="437" spans="1:19">
      <c r="J437" s="209"/>
      <c r="K437" s="209"/>
      <c r="L437" s="209"/>
      <c r="M437" s="1243"/>
      <c r="N437" s="209"/>
      <c r="O437" s="209"/>
      <c r="P437" s="209"/>
      <c r="Q437" s="209"/>
      <c r="R437" s="209"/>
      <c r="S437" s="209"/>
    </row>
    <row r="438" spans="1:19" ht="20.399999999999999">
      <c r="A438" s="1244"/>
      <c r="B438" s="1245"/>
      <c r="C438" s="1245"/>
      <c r="D438" s="1245"/>
      <c r="E438" s="1245"/>
      <c r="F438" s="1245"/>
      <c r="G438" s="1245"/>
      <c r="H438" s="1245"/>
      <c r="I438" s="1245"/>
      <c r="J438" s="1246"/>
      <c r="K438" s="1246"/>
      <c r="L438" s="1246"/>
      <c r="M438" s="209"/>
      <c r="N438" s="209"/>
      <c r="O438" s="209"/>
      <c r="P438" s="209"/>
      <c r="Q438" s="209"/>
      <c r="R438" s="209"/>
      <c r="S438" s="209"/>
    </row>
    <row r="439" spans="1:19">
      <c r="J439" s="209"/>
      <c r="K439" s="209"/>
      <c r="L439" s="209"/>
      <c r="M439" s="209"/>
      <c r="N439" s="1237"/>
      <c r="O439" s="209"/>
    </row>
    <row r="440" spans="1:19">
      <c r="J440" s="209"/>
      <c r="K440" s="209"/>
      <c r="L440" s="209"/>
      <c r="M440" s="209"/>
      <c r="N440" s="209"/>
      <c r="O440" s="209"/>
    </row>
    <row r="441" spans="1:19">
      <c r="J441" s="209"/>
      <c r="K441" s="209"/>
      <c r="L441" s="209"/>
      <c r="M441" s="209"/>
      <c r="N441" s="209"/>
      <c r="O441" s="209"/>
    </row>
    <row r="442" spans="1:19">
      <c r="J442" s="209"/>
      <c r="K442" s="209"/>
      <c r="L442" s="209"/>
      <c r="M442" s="209"/>
      <c r="N442" s="209"/>
      <c r="O442" s="209"/>
    </row>
    <row r="443" spans="1:19">
      <c r="J443" s="209"/>
      <c r="K443" s="209"/>
      <c r="L443" s="209"/>
      <c r="M443" s="209"/>
      <c r="N443" s="209"/>
      <c r="O443" s="209"/>
    </row>
    <row r="444" spans="1:19">
      <c r="J444" s="209"/>
      <c r="K444" s="209"/>
      <c r="L444" s="209"/>
      <c r="M444" s="209"/>
      <c r="N444" s="209"/>
      <c r="O444" s="209"/>
    </row>
    <row r="445" spans="1:19">
      <c r="J445" s="209"/>
      <c r="K445" s="209"/>
      <c r="L445" s="209"/>
      <c r="M445" s="209"/>
      <c r="N445" s="209"/>
      <c r="O445" s="209"/>
    </row>
  </sheetData>
  <mergeCells count="3">
    <mergeCell ref="A54:H54"/>
    <mergeCell ref="A46:H46"/>
    <mergeCell ref="A62:H62"/>
  </mergeCells>
  <pageMargins left="0.7" right="0.7" top="0.75" bottom="0.75" header="0.3" footer="0.3"/>
  <pageSetup scale="47" fitToHeight="5" orientation="portrait" r:id="rId1"/>
  <rowBreaks count="3" manualBreakCount="3">
    <brk id="84" max="7" man="1"/>
    <brk id="175" max="7" man="1"/>
    <brk id="266" max="7" man="1"/>
  </rowBreaks>
  <customProperties>
    <customPr name="OrphanNamesChecke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rgb="FF99FF33"/>
  </sheetPr>
  <dimension ref="A1:CA601"/>
  <sheetViews>
    <sheetView showGridLines="0" view="pageBreakPreview" topLeftCell="A178" zoomScale="85" zoomScaleNormal="75" zoomScaleSheetLayoutView="85" workbookViewId="0">
      <selection activeCell="A169" sqref="A169"/>
    </sheetView>
  </sheetViews>
  <sheetFormatPr defaultColWidth="8.90625" defaultRowHeight="15" outlineLevelRow="1"/>
  <cols>
    <col min="1" max="1" width="42.36328125" style="739" customWidth="1"/>
    <col min="2" max="5" width="13.81640625" style="739" customWidth="1"/>
    <col min="6" max="7" width="12.36328125" style="739" customWidth="1"/>
    <col min="8" max="8" width="10.54296875" style="739" customWidth="1"/>
    <col min="9" max="9" width="8.453125" style="738" customWidth="1"/>
    <col min="10" max="10" width="8.36328125" style="738" customWidth="1"/>
    <col min="11" max="16" width="8.08984375" style="738" customWidth="1"/>
    <col min="17" max="22" width="8.90625" style="738"/>
    <col min="23" max="23" width="9.1796875" style="738" customWidth="1"/>
    <col min="24" max="24" width="10.36328125" style="738" customWidth="1"/>
    <col min="25" max="74" width="8.90625" style="738"/>
    <col min="75" max="16384" width="8.90625" style="739"/>
  </cols>
  <sheetData>
    <row r="1" spans="1:74" s="689" customFormat="1" ht="27.6" outlineLevel="1">
      <c r="A1" s="687" t="s">
        <v>584</v>
      </c>
      <c r="B1" s="688" t="s">
        <v>747</v>
      </c>
      <c r="C1" s="688" t="s">
        <v>737</v>
      </c>
      <c r="D1" s="688" t="s">
        <v>1361</v>
      </c>
      <c r="E1" s="688" t="s">
        <v>745</v>
      </c>
      <c r="F1" s="688" t="s">
        <v>739</v>
      </c>
      <c r="G1" s="688" t="s">
        <v>867</v>
      </c>
      <c r="N1" s="689" t="s">
        <v>2144</v>
      </c>
    </row>
    <row r="2" spans="1:74" s="689" customFormat="1" ht="13.8" outlineLevel="1">
      <c r="A2" s="690" t="s">
        <v>554</v>
      </c>
      <c r="B2" s="688"/>
      <c r="C2" s="688"/>
      <c r="D2" s="688"/>
      <c r="E2" s="688"/>
      <c r="F2" s="688"/>
      <c r="G2" s="688"/>
    </row>
    <row r="3" spans="1:74" s="389" customFormat="1" outlineLevel="1">
      <c r="A3" s="691" t="s">
        <v>1844</v>
      </c>
      <c r="B3" s="692">
        <f>FL_18_rounds</f>
        <v>32000</v>
      </c>
      <c r="C3" s="692">
        <f>SE_18_rounds</f>
        <v>21200</v>
      </c>
      <c r="D3" s="692">
        <f>BOCA_18_rounds</f>
        <v>30800</v>
      </c>
      <c r="E3" s="692">
        <f>SW_18_rounds</f>
        <v>30700</v>
      </c>
      <c r="F3" s="692">
        <f>SWCIRA_18_rounds</f>
        <v>47800</v>
      </c>
      <c r="G3" s="692">
        <f>NC_18_rounds</f>
        <v>26800</v>
      </c>
      <c r="H3" s="689"/>
      <c r="I3" s="689"/>
      <c r="J3" s="689"/>
      <c r="K3" s="689"/>
      <c r="L3" s="689"/>
      <c r="M3" s="689"/>
      <c r="O3" s="689"/>
      <c r="P3" s="689"/>
      <c r="Q3" s="689"/>
      <c r="R3" s="689"/>
      <c r="S3" s="689"/>
      <c r="T3" s="689"/>
      <c r="U3" s="689"/>
      <c r="V3" s="689"/>
      <c r="W3" s="689"/>
      <c r="X3" s="689"/>
      <c r="Y3" s="689"/>
      <c r="Z3" s="689"/>
      <c r="AA3" s="689"/>
      <c r="AB3" s="689"/>
      <c r="AC3" s="689"/>
      <c r="AD3" s="689"/>
      <c r="AE3" s="689"/>
      <c r="AF3" s="689"/>
      <c r="AG3" s="689"/>
      <c r="AH3" s="689"/>
      <c r="AI3" s="689"/>
      <c r="AJ3" s="689"/>
      <c r="AK3" s="689"/>
      <c r="AL3" s="689"/>
      <c r="AM3" s="689"/>
      <c r="AN3" s="689"/>
      <c r="AO3" s="689"/>
      <c r="AP3" s="689"/>
      <c r="AQ3" s="689"/>
      <c r="AR3" s="689"/>
      <c r="AS3" s="689"/>
      <c r="AT3" s="689"/>
      <c r="AU3" s="689"/>
      <c r="AV3" s="689"/>
      <c r="AW3" s="689"/>
      <c r="AX3" s="689"/>
      <c r="AY3" s="689"/>
      <c r="AZ3" s="689"/>
      <c r="BA3" s="689"/>
      <c r="BB3" s="689"/>
      <c r="BC3" s="689"/>
      <c r="BD3" s="689"/>
      <c r="BE3" s="689"/>
      <c r="BF3" s="689"/>
      <c r="BG3" s="689"/>
      <c r="BH3" s="689"/>
      <c r="BI3" s="689"/>
      <c r="BJ3" s="689"/>
      <c r="BK3" s="689"/>
      <c r="BL3" s="689"/>
      <c r="BM3" s="689"/>
      <c r="BN3" s="689"/>
      <c r="BO3" s="689"/>
      <c r="BP3" s="689"/>
      <c r="BQ3" s="689"/>
      <c r="BR3" s="689"/>
      <c r="BS3" s="689"/>
      <c r="BT3" s="689"/>
      <c r="BU3" s="689"/>
      <c r="BV3" s="689"/>
    </row>
    <row r="4" spans="1:74" s="389" customFormat="1" outlineLevel="1">
      <c r="A4" s="691" t="s">
        <v>1826</v>
      </c>
      <c r="B4" s="692">
        <v>31800</v>
      </c>
      <c r="C4" s="692">
        <v>22100</v>
      </c>
      <c r="D4" s="692">
        <v>28700</v>
      </c>
      <c r="E4" s="692">
        <v>29000</v>
      </c>
      <c r="F4" s="692">
        <v>47300</v>
      </c>
      <c r="G4" s="692">
        <v>27600</v>
      </c>
      <c r="H4" s="689"/>
      <c r="I4" s="689"/>
      <c r="J4" s="689"/>
      <c r="K4" s="689"/>
      <c r="L4" s="689"/>
      <c r="M4" s="689"/>
      <c r="N4" s="689"/>
      <c r="O4" s="689"/>
      <c r="P4" s="689"/>
      <c r="Q4" s="689"/>
      <c r="R4" s="689"/>
      <c r="S4" s="689"/>
      <c r="T4" s="689"/>
      <c r="U4" s="689"/>
      <c r="V4" s="689"/>
      <c r="W4" s="689"/>
      <c r="X4" s="689"/>
      <c r="Y4" s="689"/>
      <c r="Z4" s="689"/>
      <c r="AA4" s="689"/>
      <c r="AB4" s="689"/>
      <c r="AC4" s="689"/>
      <c r="AD4" s="689"/>
      <c r="AE4" s="689"/>
      <c r="AF4" s="689"/>
      <c r="AG4" s="689"/>
      <c r="AH4" s="689"/>
      <c r="AI4" s="689"/>
      <c r="AJ4" s="689"/>
      <c r="AK4" s="689"/>
      <c r="AL4" s="689"/>
      <c r="AM4" s="689"/>
      <c r="AN4" s="689"/>
      <c r="AO4" s="689"/>
      <c r="AP4" s="689"/>
      <c r="AQ4" s="689"/>
      <c r="AR4" s="689"/>
      <c r="AS4" s="689"/>
      <c r="AT4" s="689"/>
      <c r="AU4" s="689"/>
      <c r="AV4" s="689"/>
      <c r="AW4" s="689"/>
      <c r="AX4" s="689"/>
      <c r="AY4" s="689"/>
      <c r="AZ4" s="689"/>
      <c r="BA4" s="689"/>
      <c r="BB4" s="689"/>
      <c r="BC4" s="689"/>
      <c r="BD4" s="689"/>
      <c r="BE4" s="689"/>
      <c r="BF4" s="689"/>
      <c r="BG4" s="689"/>
      <c r="BH4" s="689"/>
      <c r="BI4" s="689"/>
      <c r="BJ4" s="689"/>
      <c r="BK4" s="689"/>
      <c r="BL4" s="689"/>
      <c r="BM4" s="689"/>
      <c r="BN4" s="689"/>
      <c r="BO4" s="689"/>
      <c r="BP4" s="689"/>
      <c r="BQ4" s="689"/>
      <c r="BR4" s="689"/>
      <c r="BS4" s="689"/>
      <c r="BT4" s="689"/>
      <c r="BU4" s="689"/>
      <c r="BV4" s="689"/>
    </row>
    <row r="5" spans="1:74" s="389" customFormat="1" ht="15" customHeight="1" outlineLevel="1">
      <c r="A5" s="693" t="s">
        <v>301</v>
      </c>
      <c r="B5" s="692">
        <f t="shared" ref="B5:G5" si="0">+B3-B4</f>
        <v>200</v>
      </c>
      <c r="C5" s="692">
        <f t="shared" si="0"/>
        <v>-900</v>
      </c>
      <c r="D5" s="692">
        <f t="shared" si="0"/>
        <v>2100</v>
      </c>
      <c r="E5" s="692">
        <f t="shared" si="0"/>
        <v>1700</v>
      </c>
      <c r="F5" s="692">
        <f t="shared" si="0"/>
        <v>500</v>
      </c>
      <c r="G5" s="692">
        <f t="shared" si="0"/>
        <v>-800</v>
      </c>
      <c r="H5" s="689"/>
      <c r="I5" s="689"/>
      <c r="J5" s="689"/>
      <c r="K5" s="689"/>
      <c r="L5" s="689"/>
      <c r="M5" s="689"/>
      <c r="N5" s="689"/>
      <c r="O5" s="689"/>
      <c r="P5" s="689"/>
      <c r="Q5" s="689"/>
      <c r="R5" s="689"/>
      <c r="S5" s="689"/>
      <c r="T5" s="689"/>
      <c r="U5" s="689"/>
      <c r="V5" s="689"/>
      <c r="W5" s="689"/>
      <c r="X5" s="689"/>
      <c r="Y5" s="689"/>
      <c r="Z5" s="689"/>
      <c r="AA5" s="689"/>
      <c r="AB5" s="689"/>
      <c r="AC5" s="689"/>
      <c r="AD5" s="689"/>
      <c r="AE5" s="689"/>
      <c r="AF5" s="689"/>
      <c r="AG5" s="689"/>
      <c r="AH5" s="689"/>
      <c r="AI5" s="689"/>
      <c r="AJ5" s="689"/>
      <c r="AK5" s="689"/>
      <c r="AL5" s="689"/>
      <c r="AM5" s="689"/>
      <c r="AN5" s="689"/>
      <c r="AO5" s="689"/>
      <c r="AP5" s="689"/>
      <c r="AQ5" s="689"/>
      <c r="AR5" s="689"/>
      <c r="AS5" s="689"/>
      <c r="AT5" s="689"/>
      <c r="AU5" s="689"/>
      <c r="AV5" s="689"/>
      <c r="AW5" s="689"/>
      <c r="AX5" s="689"/>
      <c r="AY5" s="689"/>
      <c r="AZ5" s="689"/>
      <c r="BA5" s="689"/>
      <c r="BB5" s="689"/>
      <c r="BC5" s="689"/>
      <c r="BD5" s="689"/>
      <c r="BE5" s="689"/>
      <c r="BF5" s="689"/>
      <c r="BG5" s="689"/>
      <c r="BH5" s="689"/>
      <c r="BI5" s="689"/>
      <c r="BJ5" s="689"/>
      <c r="BK5" s="689"/>
      <c r="BL5" s="689"/>
      <c r="BM5" s="689"/>
      <c r="BN5" s="689"/>
      <c r="BO5" s="689"/>
      <c r="BP5" s="689"/>
      <c r="BQ5" s="689"/>
      <c r="BR5" s="689"/>
      <c r="BS5" s="689"/>
      <c r="BT5" s="689"/>
      <c r="BU5" s="689"/>
      <c r="BV5" s="689"/>
    </row>
    <row r="6" spans="1:74" s="389" customFormat="1" outlineLevel="1">
      <c r="A6" s="693" t="s">
        <v>302</v>
      </c>
      <c r="B6" s="694">
        <f t="shared" ref="B6:G6" si="1">+B5/B4</f>
        <v>6.2893081761006293E-3</v>
      </c>
      <c r="C6" s="694">
        <f t="shared" si="1"/>
        <v>-4.072398190045249E-2</v>
      </c>
      <c r="D6" s="694">
        <f t="shared" si="1"/>
        <v>7.3170731707317069E-2</v>
      </c>
      <c r="E6" s="694">
        <f t="shared" si="1"/>
        <v>5.8620689655172413E-2</v>
      </c>
      <c r="F6" s="694">
        <f t="shared" si="1"/>
        <v>1.0570824524312896E-2</v>
      </c>
      <c r="G6" s="694">
        <f t="shared" si="1"/>
        <v>-2.8985507246376812E-2</v>
      </c>
      <c r="H6" s="689"/>
      <c r="I6" s="689"/>
      <c r="J6" s="689"/>
      <c r="K6" s="689"/>
      <c r="L6" s="689"/>
      <c r="M6" s="689"/>
      <c r="N6" s="689"/>
      <c r="O6" s="689"/>
      <c r="P6" s="689"/>
      <c r="Q6" s="689"/>
      <c r="R6" s="689"/>
      <c r="S6" s="689"/>
      <c r="T6" s="689"/>
      <c r="U6" s="689"/>
      <c r="V6" s="689"/>
      <c r="W6" s="689"/>
      <c r="X6" s="689"/>
      <c r="Y6" s="689"/>
      <c r="Z6" s="689"/>
      <c r="AA6" s="689"/>
      <c r="AB6" s="689"/>
      <c r="AC6" s="689"/>
      <c r="AD6" s="689"/>
      <c r="AE6" s="689"/>
      <c r="AF6" s="689"/>
      <c r="AG6" s="689"/>
      <c r="AH6" s="689"/>
      <c r="AI6" s="689"/>
      <c r="AJ6" s="689"/>
      <c r="AK6" s="689"/>
      <c r="AL6" s="689"/>
      <c r="AM6" s="689"/>
      <c r="AN6" s="689"/>
      <c r="AO6" s="689"/>
      <c r="AP6" s="689"/>
      <c r="AQ6" s="689"/>
      <c r="AR6" s="689"/>
      <c r="AS6" s="689"/>
      <c r="AT6" s="689"/>
      <c r="AU6" s="689"/>
      <c r="AV6" s="689"/>
      <c r="AW6" s="689"/>
      <c r="AX6" s="689"/>
      <c r="AY6" s="689"/>
      <c r="AZ6" s="689"/>
      <c r="BA6" s="689"/>
      <c r="BB6" s="689"/>
      <c r="BC6" s="689"/>
      <c r="BD6" s="689"/>
      <c r="BE6" s="689"/>
      <c r="BF6" s="689"/>
      <c r="BG6" s="689"/>
      <c r="BH6" s="689"/>
      <c r="BI6" s="689"/>
      <c r="BJ6" s="689"/>
      <c r="BK6" s="689"/>
      <c r="BL6" s="689"/>
      <c r="BM6" s="689"/>
      <c r="BN6" s="689"/>
      <c r="BO6" s="689"/>
      <c r="BP6" s="689"/>
      <c r="BQ6" s="689"/>
      <c r="BR6" s="689"/>
      <c r="BS6" s="689"/>
      <c r="BT6" s="689"/>
      <c r="BU6" s="689"/>
      <c r="BV6" s="689"/>
    </row>
    <row r="7" spans="1:74" s="389" customFormat="1" outlineLevel="1">
      <c r="A7" s="690"/>
      <c r="B7" s="690"/>
      <c r="C7" s="690"/>
      <c r="D7" s="690"/>
      <c r="E7" s="690"/>
      <c r="F7" s="690"/>
      <c r="G7" s="690"/>
      <c r="H7" s="689"/>
      <c r="I7" s="689"/>
      <c r="J7" s="689"/>
      <c r="K7" s="689"/>
      <c r="L7" s="689"/>
      <c r="M7" s="689"/>
      <c r="N7" s="689"/>
      <c r="O7" s="689"/>
      <c r="P7" s="689"/>
      <c r="Q7" s="689"/>
      <c r="R7" s="689"/>
      <c r="S7" s="689"/>
      <c r="T7" s="689"/>
      <c r="U7" s="689"/>
      <c r="V7" s="689"/>
      <c r="W7" s="689"/>
      <c r="X7" s="689"/>
      <c r="Y7" s="689"/>
      <c r="Z7" s="689"/>
      <c r="AA7" s="689"/>
      <c r="AB7" s="689"/>
      <c r="AC7" s="689"/>
      <c r="AD7" s="689"/>
      <c r="AE7" s="689"/>
      <c r="AF7" s="689"/>
      <c r="AG7" s="689"/>
      <c r="AH7" s="689"/>
      <c r="AI7" s="689"/>
      <c r="AJ7" s="689"/>
      <c r="AK7" s="689"/>
      <c r="AL7" s="689"/>
      <c r="AM7" s="689"/>
      <c r="AN7" s="689"/>
      <c r="AO7" s="689"/>
      <c r="AP7" s="689"/>
      <c r="AQ7" s="689"/>
      <c r="AR7" s="689"/>
      <c r="AS7" s="689"/>
      <c r="AT7" s="689"/>
      <c r="AU7" s="689"/>
      <c r="AV7" s="689"/>
      <c r="AW7" s="689"/>
      <c r="AX7" s="689"/>
      <c r="AY7" s="689"/>
      <c r="AZ7" s="689"/>
      <c r="BA7" s="689"/>
      <c r="BB7" s="689"/>
      <c r="BC7" s="689"/>
      <c r="BD7" s="689"/>
      <c r="BE7" s="689"/>
      <c r="BF7" s="689"/>
      <c r="BG7" s="689"/>
      <c r="BH7" s="689"/>
      <c r="BI7" s="689"/>
      <c r="BJ7" s="689"/>
      <c r="BK7" s="689"/>
      <c r="BL7" s="689"/>
      <c r="BM7" s="689"/>
      <c r="BN7" s="689"/>
      <c r="BO7" s="689"/>
      <c r="BP7" s="689"/>
      <c r="BQ7" s="689"/>
      <c r="BR7" s="689"/>
      <c r="BS7" s="689"/>
      <c r="BT7" s="689"/>
      <c r="BU7" s="689"/>
      <c r="BV7" s="689"/>
    </row>
    <row r="8" spans="1:74" s="389" customFormat="1" outlineLevel="1">
      <c r="A8" s="690" t="s">
        <v>440</v>
      </c>
      <c r="B8" s="690"/>
      <c r="C8" s="690"/>
      <c r="D8" s="690"/>
      <c r="E8" s="690"/>
      <c r="F8" s="690"/>
      <c r="G8" s="690"/>
      <c r="H8" s="689"/>
      <c r="I8" s="689"/>
      <c r="J8" s="689"/>
      <c r="K8" s="689"/>
      <c r="L8" s="689"/>
      <c r="M8" s="689"/>
      <c r="N8" s="689"/>
      <c r="O8" s="689"/>
      <c r="P8" s="689"/>
      <c r="Q8" s="689"/>
      <c r="R8" s="689"/>
      <c r="S8" s="689"/>
      <c r="T8" s="689"/>
      <c r="U8" s="689"/>
      <c r="V8" s="689"/>
      <c r="W8" s="689"/>
      <c r="X8" s="689"/>
      <c r="Y8" s="689"/>
      <c r="Z8" s="689"/>
      <c r="AA8" s="689"/>
      <c r="AB8" s="689"/>
      <c r="AC8" s="689"/>
      <c r="AD8" s="689"/>
      <c r="AE8" s="689"/>
      <c r="AF8" s="689"/>
      <c r="AG8" s="689"/>
      <c r="AH8" s="689"/>
      <c r="AI8" s="689"/>
      <c r="AJ8" s="689"/>
      <c r="AK8" s="689"/>
      <c r="AL8" s="689"/>
      <c r="AM8" s="689"/>
      <c r="AN8" s="689"/>
      <c r="AO8" s="689"/>
      <c r="AP8" s="689"/>
      <c r="AQ8" s="689"/>
      <c r="AR8" s="689"/>
      <c r="AS8" s="689"/>
      <c r="AT8" s="689"/>
      <c r="AU8" s="689"/>
      <c r="AV8" s="689"/>
      <c r="AW8" s="689"/>
      <c r="AX8" s="689"/>
      <c r="AY8" s="689"/>
      <c r="AZ8" s="689"/>
      <c r="BA8" s="689"/>
      <c r="BB8" s="689"/>
      <c r="BC8" s="689"/>
      <c r="BD8" s="689"/>
      <c r="BE8" s="689"/>
      <c r="BF8" s="689"/>
      <c r="BG8" s="689"/>
      <c r="BH8" s="689"/>
      <c r="BI8" s="689"/>
      <c r="BJ8" s="689"/>
      <c r="BK8" s="689"/>
      <c r="BL8" s="689"/>
      <c r="BM8" s="689"/>
      <c r="BN8" s="689"/>
      <c r="BO8" s="689"/>
      <c r="BP8" s="689"/>
      <c r="BQ8" s="689"/>
      <c r="BR8" s="689"/>
      <c r="BS8" s="689"/>
      <c r="BT8" s="689"/>
      <c r="BU8" s="689"/>
      <c r="BV8" s="689"/>
    </row>
    <row r="9" spans="1:74" s="389" customFormat="1" outlineLevel="1">
      <c r="A9" s="691" t="s">
        <v>1844</v>
      </c>
      <c r="B9" s="692">
        <f>FL_mult_rounds_18</f>
        <v>28100</v>
      </c>
      <c r="C9" s="692">
        <f>SE_mult_rounds_18</f>
        <v>28500</v>
      </c>
      <c r="D9" s="692">
        <f>BOCA_mult_rounds_18</f>
        <v>28300</v>
      </c>
      <c r="E9" s="692">
        <f>SW_mult_rounds_18</f>
        <v>26700</v>
      </c>
      <c r="F9" s="1032" t="s">
        <v>288</v>
      </c>
      <c r="G9" s="692">
        <f>NC_mult_rounds_18</f>
        <v>27700</v>
      </c>
      <c r="H9" s="689"/>
      <c r="I9" s="689"/>
      <c r="J9" s="689"/>
      <c r="K9" s="689"/>
      <c r="L9" s="689"/>
      <c r="M9" s="689"/>
      <c r="N9" s="689"/>
      <c r="O9" s="689"/>
      <c r="P9" s="689"/>
      <c r="Q9" s="689"/>
      <c r="R9" s="689"/>
      <c r="S9" s="689"/>
      <c r="T9" s="689"/>
      <c r="U9" s="689"/>
      <c r="V9" s="689"/>
      <c r="W9" s="689"/>
      <c r="X9" s="689"/>
      <c r="Y9" s="689"/>
      <c r="Z9" s="689"/>
      <c r="AA9" s="689"/>
      <c r="AB9" s="689"/>
      <c r="AC9" s="689"/>
      <c r="AD9" s="689"/>
      <c r="AE9" s="689"/>
      <c r="AF9" s="689"/>
      <c r="AG9" s="689"/>
      <c r="AH9" s="689"/>
      <c r="AI9" s="689"/>
      <c r="AJ9" s="689"/>
      <c r="AK9" s="689"/>
      <c r="AL9" s="689"/>
      <c r="AM9" s="689"/>
      <c r="AN9" s="689"/>
      <c r="AO9" s="689"/>
      <c r="AP9" s="689"/>
      <c r="AQ9" s="689"/>
      <c r="AR9" s="689"/>
      <c r="AS9" s="689"/>
      <c r="AT9" s="689"/>
      <c r="AU9" s="689"/>
      <c r="AV9" s="689"/>
      <c r="AW9" s="689"/>
      <c r="AX9" s="689"/>
      <c r="AY9" s="689"/>
      <c r="AZ9" s="689"/>
      <c r="BA9" s="689"/>
      <c r="BB9" s="689"/>
      <c r="BC9" s="689"/>
      <c r="BD9" s="689"/>
      <c r="BE9" s="689"/>
      <c r="BF9" s="689"/>
      <c r="BG9" s="689"/>
      <c r="BH9" s="689"/>
      <c r="BI9" s="689"/>
      <c r="BJ9" s="689"/>
      <c r="BK9" s="689"/>
      <c r="BL9" s="689"/>
      <c r="BM9" s="689"/>
      <c r="BN9" s="689"/>
      <c r="BO9" s="689"/>
      <c r="BP9" s="689"/>
      <c r="BQ9" s="689"/>
      <c r="BR9" s="689"/>
      <c r="BS9" s="689"/>
      <c r="BT9" s="689"/>
      <c r="BU9" s="689"/>
      <c r="BV9" s="689"/>
    </row>
    <row r="10" spans="1:74" s="389" customFormat="1" outlineLevel="1">
      <c r="A10" s="691" t="s">
        <v>1826</v>
      </c>
      <c r="B10" s="692">
        <v>28400</v>
      </c>
      <c r="C10" s="692">
        <v>26100</v>
      </c>
      <c r="D10" s="692">
        <v>28800</v>
      </c>
      <c r="E10" s="692">
        <v>27200</v>
      </c>
      <c r="F10" s="1032" t="s">
        <v>288</v>
      </c>
      <c r="G10" s="692">
        <v>30600</v>
      </c>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c r="AE10" s="689"/>
      <c r="AF10" s="689"/>
      <c r="AG10" s="689"/>
      <c r="AH10" s="689"/>
      <c r="AI10" s="689"/>
      <c r="AJ10" s="689"/>
      <c r="AK10" s="689"/>
      <c r="AL10" s="689"/>
      <c r="AM10" s="689"/>
      <c r="AN10" s="689"/>
      <c r="AO10" s="689"/>
      <c r="AP10" s="689"/>
      <c r="AQ10" s="689"/>
      <c r="AR10" s="689"/>
      <c r="AS10" s="689"/>
      <c r="AT10" s="689"/>
      <c r="AU10" s="689"/>
      <c r="AV10" s="689"/>
      <c r="AW10" s="689"/>
      <c r="AX10" s="689"/>
      <c r="AY10" s="689"/>
      <c r="AZ10" s="689"/>
      <c r="BA10" s="689"/>
      <c r="BB10" s="689"/>
      <c r="BC10" s="689"/>
      <c r="BD10" s="689"/>
      <c r="BE10" s="689"/>
      <c r="BF10" s="689"/>
      <c r="BG10" s="689"/>
      <c r="BH10" s="689"/>
      <c r="BI10" s="689"/>
      <c r="BJ10" s="689"/>
      <c r="BK10" s="689"/>
      <c r="BL10" s="689"/>
      <c r="BM10" s="689"/>
      <c r="BN10" s="689"/>
      <c r="BO10" s="689"/>
      <c r="BP10" s="689"/>
      <c r="BQ10" s="689"/>
      <c r="BR10" s="689"/>
      <c r="BS10" s="689"/>
      <c r="BT10" s="689"/>
      <c r="BU10" s="689"/>
      <c r="BV10" s="689"/>
    </row>
    <row r="11" spans="1:74" s="389" customFormat="1" outlineLevel="1">
      <c r="A11" s="693" t="s">
        <v>301</v>
      </c>
      <c r="B11" s="692">
        <f t="shared" ref="B11:G11" si="2">+B9-B10</f>
        <v>-300</v>
      </c>
      <c r="C11" s="692">
        <f t="shared" si="2"/>
        <v>2400</v>
      </c>
      <c r="D11" s="692">
        <f t="shared" si="2"/>
        <v>-500</v>
      </c>
      <c r="E11" s="692">
        <f t="shared" si="2"/>
        <v>-500</v>
      </c>
      <c r="F11" s="1032" t="s">
        <v>288</v>
      </c>
      <c r="G11" s="692">
        <f t="shared" si="2"/>
        <v>-2900</v>
      </c>
      <c r="H11" s="689"/>
      <c r="I11" s="689"/>
      <c r="J11" s="689"/>
      <c r="K11" s="689"/>
      <c r="L11" s="689"/>
      <c r="M11" s="689"/>
      <c r="N11" s="689"/>
      <c r="O11" s="689"/>
      <c r="P11" s="689"/>
      <c r="Q11" s="689"/>
      <c r="R11" s="689"/>
      <c r="S11" s="689"/>
      <c r="T11" s="689"/>
      <c r="U11" s="689"/>
      <c r="V11" s="689"/>
      <c r="W11" s="689"/>
      <c r="X11" s="689"/>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c r="BQ11" s="689"/>
      <c r="BR11" s="689"/>
      <c r="BS11" s="689"/>
      <c r="BT11" s="689"/>
      <c r="BU11" s="689"/>
      <c r="BV11" s="689"/>
    </row>
    <row r="12" spans="1:74" s="389" customFormat="1" outlineLevel="1">
      <c r="A12" s="693" t="s">
        <v>302</v>
      </c>
      <c r="B12" s="694">
        <f t="shared" ref="B12:G12" si="3">+B11/B10</f>
        <v>-1.0563380281690141E-2</v>
      </c>
      <c r="C12" s="694">
        <f t="shared" si="3"/>
        <v>9.1954022988505746E-2</v>
      </c>
      <c r="D12" s="694">
        <f t="shared" si="3"/>
        <v>-1.7361111111111112E-2</v>
      </c>
      <c r="E12" s="694">
        <f t="shared" si="3"/>
        <v>-1.8382352941176471E-2</v>
      </c>
      <c r="F12" s="1032" t="s">
        <v>288</v>
      </c>
      <c r="G12" s="694">
        <f t="shared" si="3"/>
        <v>-9.4771241830065356E-2</v>
      </c>
      <c r="H12" s="689"/>
      <c r="I12" s="689"/>
      <c r="J12" s="689"/>
      <c r="K12" s="689"/>
      <c r="L12" s="689"/>
      <c r="M12" s="689"/>
      <c r="N12" s="689"/>
      <c r="O12" s="689"/>
      <c r="P12" s="689"/>
      <c r="Q12" s="689"/>
      <c r="R12" s="689"/>
      <c r="S12" s="689"/>
      <c r="T12" s="689"/>
      <c r="U12" s="689"/>
      <c r="V12" s="689"/>
      <c r="W12" s="689"/>
      <c r="X12" s="689"/>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c r="BQ12" s="689"/>
      <c r="BR12" s="689"/>
      <c r="BS12" s="689"/>
      <c r="BT12" s="689"/>
      <c r="BU12" s="689"/>
      <c r="BV12" s="689"/>
    </row>
    <row r="13" spans="1:74" s="389" customFormat="1" ht="21" outlineLevel="1">
      <c r="A13" s="695"/>
      <c r="H13" s="689"/>
      <c r="I13" s="689"/>
      <c r="J13" s="689"/>
      <c r="K13" s="689"/>
      <c r="L13" s="689"/>
      <c r="M13" s="689"/>
      <c r="N13" s="689"/>
      <c r="O13" s="689"/>
      <c r="P13" s="689"/>
      <c r="Q13" s="689"/>
      <c r="R13" s="689"/>
      <c r="S13" s="689"/>
      <c r="T13" s="689"/>
      <c r="U13" s="689"/>
      <c r="V13" s="689"/>
      <c r="W13" s="689"/>
      <c r="X13" s="689"/>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c r="BQ13" s="689"/>
      <c r="BR13" s="689"/>
      <c r="BS13" s="689"/>
      <c r="BT13" s="689"/>
      <c r="BU13" s="689"/>
      <c r="BV13" s="689"/>
    </row>
    <row r="14" spans="1:74" s="689" customFormat="1" ht="13.8" outlineLevel="1">
      <c r="A14" s="690" t="s">
        <v>460</v>
      </c>
      <c r="G14" s="696"/>
    </row>
    <row r="15" spans="1:74" s="689" customFormat="1" ht="13.8" outlineLevel="1">
      <c r="A15" s="691" t="s">
        <v>1844</v>
      </c>
      <c r="B15" s="692">
        <f>FL_18_cost_p.hole</f>
        <v>118400</v>
      </c>
      <c r="C15" s="692">
        <f>SE_18_cost_p.hole</f>
        <v>145900</v>
      </c>
      <c r="D15" s="692">
        <f>BOCA_18_cost_p.hole</f>
        <v>124600</v>
      </c>
      <c r="E15" s="692">
        <f>SW_18_cost_p.hole</f>
        <v>124200</v>
      </c>
      <c r="F15" s="692">
        <f>SWCIRA_18_cost_p.hole</f>
        <v>99900</v>
      </c>
      <c r="G15" s="692">
        <f>NC_18_cost_p.hole</f>
        <v>102900</v>
      </c>
    </row>
    <row r="16" spans="1:74" s="689" customFormat="1" ht="13.8" outlineLevel="1">
      <c r="A16" s="691" t="s">
        <v>1826</v>
      </c>
      <c r="B16" s="692">
        <v>107800</v>
      </c>
      <c r="C16" s="692">
        <v>134900</v>
      </c>
      <c r="D16" s="692">
        <v>114000</v>
      </c>
      <c r="E16" s="692">
        <v>108100</v>
      </c>
      <c r="F16" s="692">
        <v>92000</v>
      </c>
      <c r="G16" s="692">
        <v>94200</v>
      </c>
    </row>
    <row r="17" spans="1:74" s="689" customFormat="1" ht="13.8" outlineLevel="1">
      <c r="A17" s="693" t="s">
        <v>301</v>
      </c>
      <c r="B17" s="692">
        <f t="shared" ref="B17:G17" si="4">+B15-B16</f>
        <v>10600</v>
      </c>
      <c r="C17" s="692">
        <f t="shared" si="4"/>
        <v>11000</v>
      </c>
      <c r="D17" s="692">
        <f t="shared" si="4"/>
        <v>10600</v>
      </c>
      <c r="E17" s="692">
        <f t="shared" si="4"/>
        <v>16100</v>
      </c>
      <c r="F17" s="692">
        <f t="shared" si="4"/>
        <v>7900</v>
      </c>
      <c r="G17" s="692">
        <f t="shared" si="4"/>
        <v>8700</v>
      </c>
    </row>
    <row r="18" spans="1:74" s="689" customFormat="1" ht="13.8" outlineLevel="1">
      <c r="A18" s="693" t="s">
        <v>302</v>
      </c>
      <c r="B18" s="694">
        <f t="shared" ref="B18:G18" si="5">+B17/B16</f>
        <v>9.8330241187384038E-2</v>
      </c>
      <c r="C18" s="694">
        <f t="shared" si="5"/>
        <v>8.1541882876204591E-2</v>
      </c>
      <c r="D18" s="694">
        <f t="shared" si="5"/>
        <v>9.2982456140350875E-2</v>
      </c>
      <c r="E18" s="694">
        <f t="shared" si="5"/>
        <v>0.14893617021276595</v>
      </c>
      <c r="F18" s="694">
        <f t="shared" si="5"/>
        <v>8.5869565217391308E-2</v>
      </c>
      <c r="G18" s="694">
        <f t="shared" si="5"/>
        <v>9.2356687898089165E-2</v>
      </c>
    </row>
    <row r="19" spans="1:74" s="389" customFormat="1" ht="21" outlineLevel="1">
      <c r="A19" s="695"/>
      <c r="H19" s="689"/>
      <c r="I19" s="689"/>
      <c r="J19" s="689"/>
      <c r="K19" s="689"/>
      <c r="L19" s="689"/>
      <c r="M19" s="689"/>
      <c r="N19" s="689"/>
      <c r="O19" s="689"/>
      <c r="P19" s="689"/>
      <c r="Q19" s="689"/>
      <c r="R19" s="689"/>
      <c r="S19" s="689"/>
      <c r="T19" s="689"/>
      <c r="U19" s="689"/>
      <c r="V19" s="689"/>
      <c r="W19" s="689"/>
      <c r="X19" s="689"/>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c r="BQ19" s="689"/>
      <c r="BR19" s="689"/>
      <c r="BS19" s="689"/>
      <c r="BT19" s="689"/>
      <c r="BU19" s="689"/>
      <c r="BV19" s="689"/>
    </row>
    <row r="20" spans="1:74" s="689" customFormat="1" ht="13.8" outlineLevel="1">
      <c r="A20" s="690" t="s">
        <v>461</v>
      </c>
      <c r="G20" s="696"/>
    </row>
    <row r="21" spans="1:74" s="689" customFormat="1" ht="13.8" outlineLevel="1">
      <c r="A21" s="691" t="s">
        <v>1844</v>
      </c>
      <c r="B21" s="692">
        <f>FL_mult_cost_p.hole</f>
        <v>107200</v>
      </c>
      <c r="C21" s="692">
        <f>SE_mult_cost_p.hole</f>
        <v>113000</v>
      </c>
      <c r="D21" s="692">
        <f>BOCA_mult_cost_p.hole</f>
        <v>101100</v>
      </c>
      <c r="E21" s="692">
        <f>SW_mult_cost_p.hole</f>
        <v>111300</v>
      </c>
      <c r="F21" s="1032" t="s">
        <v>288</v>
      </c>
      <c r="G21" s="692">
        <f>NC_mult_cost_p.hole</f>
        <v>106200</v>
      </c>
    </row>
    <row r="22" spans="1:74" s="689" customFormat="1" ht="13.8" outlineLevel="1">
      <c r="A22" s="691" t="s">
        <v>1826</v>
      </c>
      <c r="B22" s="692">
        <v>99000</v>
      </c>
      <c r="C22" s="692">
        <v>102000</v>
      </c>
      <c r="D22" s="692">
        <v>98800</v>
      </c>
      <c r="E22" s="692">
        <v>104600</v>
      </c>
      <c r="F22" s="1032" t="s">
        <v>288</v>
      </c>
      <c r="G22" s="692">
        <v>90400</v>
      </c>
    </row>
    <row r="23" spans="1:74" s="689" customFormat="1" ht="13.8" outlineLevel="1">
      <c r="A23" s="693" t="s">
        <v>301</v>
      </c>
      <c r="B23" s="692">
        <f t="shared" ref="B23:G23" si="6">+B21-B22</f>
        <v>8200</v>
      </c>
      <c r="C23" s="692">
        <f t="shared" si="6"/>
        <v>11000</v>
      </c>
      <c r="D23" s="692">
        <f t="shared" si="6"/>
        <v>2300</v>
      </c>
      <c r="E23" s="692">
        <f t="shared" si="6"/>
        <v>6700</v>
      </c>
      <c r="F23" s="1032" t="s">
        <v>288</v>
      </c>
      <c r="G23" s="692">
        <f t="shared" si="6"/>
        <v>15800</v>
      </c>
    </row>
    <row r="24" spans="1:74" s="689" customFormat="1" ht="13.8" outlineLevel="1">
      <c r="A24" s="693" t="s">
        <v>302</v>
      </c>
      <c r="B24" s="694">
        <f t="shared" ref="B24:G24" si="7">+B23/B22</f>
        <v>8.2828282828282834E-2</v>
      </c>
      <c r="C24" s="694">
        <f t="shared" si="7"/>
        <v>0.10784313725490197</v>
      </c>
      <c r="D24" s="694">
        <f t="shared" si="7"/>
        <v>2.3279352226720649E-2</v>
      </c>
      <c r="E24" s="694">
        <f t="shared" si="7"/>
        <v>6.4053537284894838E-2</v>
      </c>
      <c r="F24" s="1032" t="s">
        <v>288</v>
      </c>
      <c r="G24" s="694">
        <f t="shared" si="7"/>
        <v>0.1747787610619469</v>
      </c>
    </row>
    <row r="25" spans="1:74" s="389" customFormat="1" ht="21" outlineLevel="1">
      <c r="A25" s="697"/>
      <c r="H25" s="689"/>
      <c r="I25" s="689"/>
      <c r="J25" s="689"/>
      <c r="K25" s="689"/>
      <c r="L25" s="689"/>
      <c r="M25" s="689"/>
      <c r="N25" s="689"/>
      <c r="O25" s="689"/>
      <c r="P25" s="689"/>
      <c r="Q25" s="689"/>
      <c r="R25" s="689"/>
      <c r="S25" s="689"/>
      <c r="T25" s="689"/>
      <c r="U25" s="689"/>
      <c r="V25" s="689"/>
      <c r="W25" s="689"/>
      <c r="X25" s="689"/>
      <c r="Y25" s="689"/>
      <c r="Z25" s="689"/>
      <c r="AA25" s="689"/>
      <c r="AB25" s="689"/>
      <c r="AC25" s="689"/>
      <c r="AD25" s="689"/>
      <c r="AE25" s="689"/>
      <c r="AF25" s="689"/>
      <c r="AG25" s="689"/>
      <c r="AH25" s="689"/>
      <c r="AI25" s="689"/>
      <c r="AJ25" s="689"/>
      <c r="AK25" s="689"/>
      <c r="AL25" s="689"/>
      <c r="AM25" s="689"/>
      <c r="AN25" s="689"/>
      <c r="AO25" s="689"/>
      <c r="AP25" s="689"/>
      <c r="AQ25" s="689"/>
      <c r="AR25" s="689"/>
      <c r="AS25" s="689"/>
      <c r="AT25" s="689"/>
      <c r="AU25" s="689"/>
      <c r="AV25" s="689"/>
      <c r="AW25" s="689"/>
      <c r="AX25" s="689"/>
      <c r="AY25" s="689"/>
      <c r="AZ25" s="689"/>
      <c r="BA25" s="689"/>
      <c r="BB25" s="689"/>
      <c r="BC25" s="689"/>
      <c r="BD25" s="689"/>
      <c r="BE25" s="689"/>
      <c r="BF25" s="689"/>
      <c r="BG25" s="689"/>
      <c r="BH25" s="689"/>
      <c r="BI25" s="689"/>
      <c r="BJ25" s="689"/>
      <c r="BK25" s="689"/>
      <c r="BL25" s="689"/>
      <c r="BM25" s="689"/>
      <c r="BN25" s="689"/>
      <c r="BO25" s="689"/>
      <c r="BP25" s="689"/>
      <c r="BQ25" s="689"/>
      <c r="BR25" s="689"/>
      <c r="BS25" s="689"/>
      <c r="BT25" s="689"/>
      <c r="BU25" s="689"/>
      <c r="BV25" s="689"/>
    </row>
    <row r="26" spans="1:74" s="389" customFormat="1" ht="21" outlineLevel="1">
      <c r="A26" s="695"/>
      <c r="H26" s="689"/>
      <c r="I26" s="689"/>
      <c r="J26" s="689"/>
      <c r="K26" s="689"/>
      <c r="L26" s="689"/>
      <c r="M26" s="689"/>
      <c r="N26" s="689"/>
      <c r="O26" s="689"/>
      <c r="P26" s="689"/>
      <c r="Q26" s="689"/>
      <c r="R26" s="689"/>
      <c r="S26" s="689"/>
      <c r="T26" s="689"/>
      <c r="U26" s="689"/>
      <c r="V26" s="689"/>
      <c r="W26" s="689"/>
      <c r="X26" s="689"/>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c r="BQ26" s="689"/>
      <c r="BR26" s="689"/>
      <c r="BS26" s="689"/>
      <c r="BT26" s="689"/>
      <c r="BU26" s="689"/>
      <c r="BV26" s="689"/>
    </row>
    <row r="27" spans="1:74" s="389" customFormat="1" ht="21">
      <c r="A27" s="698" t="s">
        <v>788</v>
      </c>
      <c r="I27" s="689"/>
      <c r="J27" s="689"/>
      <c r="K27" s="689"/>
      <c r="L27" s="689"/>
      <c r="M27" s="689"/>
      <c r="N27" s="689"/>
      <c r="O27" s="689"/>
      <c r="P27" s="689"/>
      <c r="Q27" s="689"/>
      <c r="R27" s="689"/>
      <c r="S27" s="689"/>
      <c r="T27" s="689"/>
      <c r="U27" s="689"/>
      <c r="V27" s="689"/>
      <c r="W27" s="689"/>
      <c r="X27" s="689"/>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c r="BQ27" s="689"/>
      <c r="BR27" s="689"/>
      <c r="BS27" s="689"/>
      <c r="BT27" s="689"/>
      <c r="BU27" s="689"/>
      <c r="BV27" s="689"/>
    </row>
    <row r="28" spans="1:74" s="389" customFormat="1" ht="17.399999999999999">
      <c r="A28" s="699"/>
      <c r="I28" s="689"/>
      <c r="J28" s="689"/>
      <c r="K28" s="689"/>
      <c r="L28" s="689"/>
      <c r="M28" s="689"/>
      <c r="N28" s="689"/>
      <c r="O28" s="689"/>
      <c r="P28" s="689"/>
      <c r="Q28" s="689"/>
      <c r="R28" s="689"/>
      <c r="S28" s="689"/>
      <c r="T28" s="689"/>
      <c r="U28" s="689"/>
      <c r="V28" s="689"/>
      <c r="W28" s="689"/>
      <c r="X28" s="689"/>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c r="BQ28" s="689"/>
      <c r="BR28" s="689"/>
      <c r="BS28" s="689"/>
      <c r="BT28" s="689"/>
      <c r="BU28" s="689"/>
      <c r="BV28" s="689"/>
    </row>
    <row r="29" spans="1:74" s="389" customFormat="1">
      <c r="A29" s="700" t="s">
        <v>459</v>
      </c>
      <c r="B29" s="701" t="s">
        <v>274</v>
      </c>
      <c r="C29" s="701" t="s">
        <v>419</v>
      </c>
      <c r="D29" s="701" t="s">
        <v>270</v>
      </c>
      <c r="E29" s="701" t="s">
        <v>271</v>
      </c>
      <c r="F29" s="701" t="s">
        <v>421</v>
      </c>
      <c r="G29" s="701" t="s">
        <v>272</v>
      </c>
      <c r="H29" s="689"/>
      <c r="I29" s="689"/>
      <c r="J29" s="689"/>
      <c r="K29" s="689"/>
      <c r="L29" s="689"/>
      <c r="M29" s="689"/>
      <c r="N29" s="689"/>
      <c r="O29" s="689"/>
      <c r="P29" s="689"/>
      <c r="Q29" s="689"/>
      <c r="R29" s="689"/>
      <c r="S29" s="701"/>
      <c r="T29" s="701"/>
      <c r="U29" s="689"/>
      <c r="V29" s="689"/>
      <c r="W29" s="689"/>
      <c r="X29" s="689"/>
      <c r="Y29" s="689"/>
      <c r="Z29" s="689"/>
      <c r="AA29" s="689"/>
      <c r="AB29" s="689"/>
      <c r="AC29" s="689"/>
      <c r="AD29" s="689"/>
      <c r="AE29" s="689"/>
      <c r="AF29" s="689"/>
      <c r="AG29" s="689"/>
      <c r="AH29" s="689"/>
      <c r="AI29" s="689"/>
      <c r="AJ29" s="689"/>
      <c r="AK29" s="689"/>
      <c r="AL29" s="689"/>
      <c r="AM29" s="689"/>
      <c r="AN29" s="689"/>
      <c r="AO29" s="689"/>
      <c r="AP29" s="689"/>
      <c r="AQ29" s="689"/>
      <c r="AR29" s="689"/>
      <c r="AS29" s="689"/>
      <c r="AT29" s="689"/>
      <c r="AU29" s="689"/>
      <c r="AV29" s="689"/>
      <c r="AW29" s="689"/>
      <c r="AX29" s="689"/>
      <c r="AY29" s="689"/>
      <c r="AZ29" s="689"/>
      <c r="BA29" s="689"/>
      <c r="BB29" s="689"/>
      <c r="BC29" s="689"/>
      <c r="BD29" s="689"/>
      <c r="BE29" s="689"/>
      <c r="BF29" s="689"/>
      <c r="BG29" s="689"/>
      <c r="BH29" s="689"/>
      <c r="BI29" s="689"/>
      <c r="BJ29" s="689"/>
      <c r="BK29" s="689"/>
      <c r="BL29" s="689"/>
      <c r="BM29" s="689"/>
      <c r="BN29" s="689"/>
      <c r="BO29" s="689"/>
      <c r="BP29" s="689"/>
      <c r="BQ29" s="689"/>
      <c r="BR29" s="689"/>
      <c r="BS29" s="689"/>
      <c r="BT29" s="689"/>
      <c r="BU29" s="689"/>
      <c r="BV29" s="689"/>
    </row>
    <row r="30" spans="1:74" s="389" customFormat="1">
      <c r="B30" s="701" t="s">
        <v>268</v>
      </c>
      <c r="C30" s="701" t="s">
        <v>295</v>
      </c>
      <c r="D30" s="701" t="s">
        <v>257</v>
      </c>
      <c r="E30" s="701" t="s">
        <v>296</v>
      </c>
      <c r="F30" s="701" t="s">
        <v>277</v>
      </c>
      <c r="G30" s="701" t="s">
        <v>278</v>
      </c>
      <c r="I30" s="689"/>
      <c r="J30" s="689"/>
      <c r="K30" s="689"/>
      <c r="L30" s="689"/>
      <c r="M30" s="689"/>
      <c r="N30" s="689"/>
      <c r="O30" s="689"/>
      <c r="P30" s="689"/>
      <c r="Q30" s="689"/>
      <c r="R30" s="689"/>
      <c r="S30" s="701"/>
      <c r="T30" s="701"/>
      <c r="U30" s="689"/>
      <c r="V30" s="689"/>
      <c r="W30" s="689"/>
      <c r="X30" s="689"/>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c r="BQ30" s="689"/>
      <c r="BR30" s="689"/>
      <c r="BS30" s="689"/>
      <c r="BT30" s="689"/>
      <c r="BU30" s="689"/>
      <c r="BV30" s="689"/>
    </row>
    <row r="31" spans="1:74" s="389" customFormat="1" ht="15.75" customHeight="1">
      <c r="A31" s="702" t="s">
        <v>433</v>
      </c>
      <c r="B31" s="703">
        <f>FL_18_rounds</f>
        <v>32000</v>
      </c>
      <c r="C31" s="703">
        <f>SE_18_rounds</f>
        <v>21200</v>
      </c>
      <c r="D31" s="703">
        <f>BOCA_18_rounds</f>
        <v>30800</v>
      </c>
      <c r="E31" s="703">
        <f>SW_18_rounds</f>
        <v>30700</v>
      </c>
      <c r="F31" s="703">
        <f>SWCIRA_18_rounds</f>
        <v>47800</v>
      </c>
      <c r="G31" s="703">
        <f>NC_18_rounds</f>
        <v>26800</v>
      </c>
      <c r="I31" s="689"/>
      <c r="J31" s="689"/>
      <c r="K31" s="689"/>
      <c r="L31" s="689"/>
      <c r="M31" s="689"/>
      <c r="N31" s="689"/>
      <c r="O31" s="689"/>
      <c r="P31" s="689"/>
      <c r="Q31" s="689"/>
      <c r="R31" s="689"/>
      <c r="S31" s="703"/>
      <c r="T31" s="703"/>
      <c r="U31" s="689"/>
      <c r="V31" s="689"/>
      <c r="W31" s="689"/>
      <c r="X31" s="689"/>
      <c r="Y31" s="689"/>
      <c r="Z31" s="689"/>
      <c r="AA31" s="689"/>
      <c r="AB31" s="689"/>
      <c r="AC31" s="689"/>
      <c r="AD31" s="689"/>
      <c r="AE31" s="689"/>
      <c r="AF31" s="689"/>
      <c r="AG31" s="689"/>
      <c r="AH31" s="689"/>
      <c r="AI31" s="689"/>
      <c r="AJ31" s="689"/>
      <c r="AK31" s="689"/>
      <c r="AL31" s="689"/>
      <c r="AM31" s="689"/>
      <c r="AN31" s="689"/>
      <c r="AO31" s="689"/>
      <c r="AP31" s="689"/>
      <c r="AQ31" s="689"/>
      <c r="AR31" s="689"/>
      <c r="AS31" s="689"/>
      <c r="AT31" s="689"/>
      <c r="AU31" s="689"/>
      <c r="AV31" s="689"/>
      <c r="AW31" s="689"/>
      <c r="AX31" s="689"/>
      <c r="AY31" s="689"/>
      <c r="AZ31" s="689"/>
      <c r="BA31" s="689"/>
      <c r="BB31" s="689"/>
      <c r="BC31" s="689"/>
      <c r="BD31" s="689"/>
      <c r="BE31" s="689"/>
      <c r="BF31" s="689"/>
      <c r="BG31" s="689"/>
      <c r="BH31" s="689"/>
      <c r="BI31" s="689"/>
      <c r="BJ31" s="689"/>
      <c r="BK31" s="689"/>
      <c r="BL31" s="689"/>
      <c r="BM31" s="689"/>
      <c r="BN31" s="689"/>
      <c r="BO31" s="689"/>
      <c r="BP31" s="689"/>
      <c r="BQ31" s="689"/>
      <c r="BR31" s="689"/>
      <c r="BS31" s="689"/>
      <c r="BT31" s="689"/>
      <c r="BU31" s="689"/>
      <c r="BV31" s="689"/>
    </row>
    <row r="32" spans="1:74" s="389" customFormat="1" ht="15.75" customHeight="1">
      <c r="A32" s="704" t="s">
        <v>732</v>
      </c>
      <c r="B32" s="705">
        <f>+B5/B4</f>
        <v>6.2893081761006293E-3</v>
      </c>
      <c r="C32" s="705">
        <f>+C5/C4</f>
        <v>-4.072398190045249E-2</v>
      </c>
      <c r="D32" s="705">
        <f>+D5/D4</f>
        <v>7.3170731707317069E-2</v>
      </c>
      <c r="E32" s="705">
        <f>E6</f>
        <v>5.8620689655172413E-2</v>
      </c>
      <c r="F32" s="705">
        <f>+F5/F4</f>
        <v>1.0570824524312896E-2</v>
      </c>
      <c r="G32" s="705">
        <f>+G5/G4</f>
        <v>-2.8985507246376812E-2</v>
      </c>
      <c r="I32" s="689"/>
      <c r="J32" s="706"/>
      <c r="K32" s="689"/>
      <c r="L32" s="689"/>
      <c r="M32" s="689"/>
      <c r="N32" s="689"/>
      <c r="O32" s="689"/>
      <c r="P32" s="689"/>
      <c r="Q32" s="689"/>
      <c r="R32" s="689"/>
      <c r="S32" s="705"/>
      <c r="T32" s="705"/>
      <c r="U32" s="689"/>
      <c r="V32" s="689"/>
      <c r="W32" s="689"/>
      <c r="X32" s="689"/>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row>
    <row r="33" spans="1:74" s="389" customFormat="1" ht="15.75" customHeight="1">
      <c r="A33" s="702" t="s">
        <v>432</v>
      </c>
      <c r="B33" s="703">
        <f>FL_mult_rounds_18</f>
        <v>28100</v>
      </c>
      <c r="C33" s="703">
        <f>SE_mult_rounds_18</f>
        <v>28500</v>
      </c>
      <c r="D33" s="703">
        <f>BOCA_mult_rounds_18</f>
        <v>28300</v>
      </c>
      <c r="E33" s="703">
        <f>SW_mult_rounds_18</f>
        <v>26700</v>
      </c>
      <c r="F33" s="1017" t="s">
        <v>1150</v>
      </c>
      <c r="G33" s="703">
        <f>NC_mult_rounds_18</f>
        <v>27700</v>
      </c>
      <c r="I33" s="689"/>
      <c r="J33" s="689"/>
      <c r="K33" s="689"/>
      <c r="L33" s="689"/>
      <c r="M33" s="689"/>
      <c r="N33" s="689"/>
      <c r="O33" s="689"/>
      <c r="P33" s="689"/>
      <c r="Q33" s="689"/>
      <c r="R33" s="689"/>
      <c r="S33" s="1017"/>
      <c r="T33" s="1017"/>
      <c r="U33" s="689"/>
      <c r="V33" s="689"/>
      <c r="W33" s="689"/>
      <c r="X33" s="689"/>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row>
    <row r="34" spans="1:74" s="389" customFormat="1" ht="15.75" customHeight="1">
      <c r="A34" s="704" t="s">
        <v>732</v>
      </c>
      <c r="B34" s="705">
        <f t="shared" ref="B34:G34" si="8">+B11/B10</f>
        <v>-1.0563380281690141E-2</v>
      </c>
      <c r="C34" s="705">
        <f t="shared" si="8"/>
        <v>9.1954022988505746E-2</v>
      </c>
      <c r="D34" s="705">
        <f t="shared" si="8"/>
        <v>-1.7361111111111112E-2</v>
      </c>
      <c r="E34" s="705">
        <f t="shared" si="8"/>
        <v>-1.8382352941176471E-2</v>
      </c>
      <c r="F34" s="1018" t="s">
        <v>1150</v>
      </c>
      <c r="G34" s="705">
        <f t="shared" si="8"/>
        <v>-9.4771241830065356E-2</v>
      </c>
      <c r="I34" s="689"/>
      <c r="J34" s="706"/>
      <c r="K34" s="689"/>
      <c r="L34" s="689"/>
      <c r="M34" s="689"/>
      <c r="N34" s="689"/>
      <c r="O34" s="689"/>
      <c r="P34" s="689"/>
      <c r="Q34" s="689"/>
      <c r="R34" s="689"/>
      <c r="S34" s="1018"/>
      <c r="T34" s="1018"/>
      <c r="U34" s="689"/>
      <c r="V34" s="689"/>
      <c r="W34" s="689"/>
      <c r="X34" s="689"/>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row>
    <row r="35" spans="1:74" s="389" customFormat="1" ht="15.75" customHeight="1">
      <c r="A35" s="707" t="s">
        <v>892</v>
      </c>
      <c r="B35" s="708">
        <f>FL_inhouse_proshop</f>
        <v>0.84</v>
      </c>
      <c r="C35" s="708">
        <f>SE_inhouse_proshop</f>
        <v>0.65</v>
      </c>
      <c r="D35" s="708">
        <f>BOCA_inhouse_proshop</f>
        <v>1</v>
      </c>
      <c r="E35" s="708">
        <f>SW_inhouse_proshop</f>
        <v>0.92</v>
      </c>
      <c r="F35" s="708">
        <f>SWCIRA_inhouse_proshop</f>
        <v>0.94</v>
      </c>
      <c r="G35" s="708">
        <f>NC_inhouse_proshop</f>
        <v>0.74</v>
      </c>
      <c r="I35" s="689"/>
      <c r="J35" s="689"/>
      <c r="K35" s="689"/>
      <c r="L35" s="689"/>
      <c r="M35" s="689"/>
      <c r="N35" s="689"/>
      <c r="O35" s="689"/>
      <c r="P35" s="689"/>
      <c r="Q35" s="689"/>
      <c r="R35" s="689"/>
      <c r="S35" s="708"/>
      <c r="T35" s="708"/>
      <c r="U35" s="689"/>
      <c r="V35" s="689"/>
      <c r="W35" s="689"/>
      <c r="X35" s="689"/>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row>
    <row r="36" spans="1:74" s="389" customFormat="1" ht="15.75" customHeight="1">
      <c r="A36" s="704" t="s">
        <v>789</v>
      </c>
      <c r="B36" s="709">
        <f>FL_golf_cos</f>
        <v>0.75</v>
      </c>
      <c r="C36" s="709">
        <f>SE_golf_cos</f>
        <v>0.78</v>
      </c>
      <c r="D36" s="709">
        <f>BOCA_golf_cos</f>
        <v>0.79</v>
      </c>
      <c r="E36" s="709">
        <f>SW_golf_cos</f>
        <v>0.71</v>
      </c>
      <c r="F36" s="709">
        <f>SWCIRA_golf_cos</f>
        <v>0.76</v>
      </c>
      <c r="G36" s="709">
        <f>NC_golf_cos</f>
        <v>0.71</v>
      </c>
      <c r="I36" s="689"/>
      <c r="J36" s="689"/>
      <c r="K36" s="689"/>
      <c r="L36" s="689"/>
      <c r="M36" s="689"/>
      <c r="N36" s="689"/>
      <c r="O36" s="689"/>
      <c r="P36" s="689"/>
      <c r="Q36" s="689"/>
      <c r="R36" s="689"/>
      <c r="S36" s="709"/>
      <c r="T36" s="70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row>
    <row r="37" spans="1:74" s="710" customFormat="1" ht="3.75" customHeight="1">
      <c r="A37" s="702"/>
      <c r="B37" s="702"/>
      <c r="C37" s="702"/>
      <c r="D37" s="702"/>
      <c r="E37" s="702"/>
      <c r="F37" s="702"/>
      <c r="G37" s="702"/>
      <c r="I37" s="711"/>
      <c r="J37" s="711"/>
      <c r="K37" s="711"/>
      <c r="L37" s="711"/>
      <c r="M37" s="711"/>
      <c r="N37" s="711"/>
      <c r="O37" s="711"/>
      <c r="P37" s="711"/>
      <c r="Q37" s="711"/>
      <c r="R37" s="711"/>
      <c r="S37" s="711"/>
      <c r="T37" s="711"/>
      <c r="U37" s="711"/>
      <c r="V37" s="711"/>
      <c r="W37" s="711"/>
      <c r="X37" s="711"/>
      <c r="Y37" s="711"/>
      <c r="Z37" s="711"/>
      <c r="AA37" s="711"/>
      <c r="AB37" s="711"/>
      <c r="AC37" s="711"/>
      <c r="AD37" s="711"/>
      <c r="AE37" s="711"/>
      <c r="AF37" s="711"/>
      <c r="AG37" s="711"/>
      <c r="AH37" s="711"/>
      <c r="AI37" s="711"/>
      <c r="AJ37" s="711"/>
      <c r="AK37" s="711"/>
      <c r="AL37" s="711"/>
      <c r="AM37" s="711"/>
      <c r="AN37" s="711"/>
      <c r="AO37" s="711"/>
      <c r="AP37" s="711"/>
      <c r="AQ37" s="711"/>
      <c r="AR37" s="711"/>
      <c r="AS37" s="711"/>
      <c r="AT37" s="711"/>
      <c r="AU37" s="711"/>
      <c r="AV37" s="711"/>
      <c r="AW37" s="711"/>
      <c r="AX37" s="711"/>
      <c r="AY37" s="711"/>
      <c r="AZ37" s="711"/>
      <c r="BA37" s="711"/>
      <c r="BB37" s="711"/>
      <c r="BC37" s="711"/>
      <c r="BD37" s="711"/>
      <c r="BE37" s="711"/>
      <c r="BF37" s="711"/>
      <c r="BG37" s="711"/>
      <c r="BH37" s="711"/>
      <c r="BI37" s="711"/>
      <c r="BJ37" s="711"/>
      <c r="BK37" s="711"/>
      <c r="BL37" s="711"/>
      <c r="BM37" s="711"/>
      <c r="BN37" s="711"/>
      <c r="BO37" s="711"/>
      <c r="BP37" s="711"/>
      <c r="BQ37" s="711"/>
      <c r="BR37" s="711"/>
      <c r="BS37" s="711"/>
      <c r="BT37" s="711"/>
      <c r="BU37" s="711"/>
      <c r="BV37" s="711"/>
    </row>
    <row r="38" spans="1:74" s="710" customFormat="1">
      <c r="A38" s="1021" t="s">
        <v>1151</v>
      </c>
      <c r="B38" s="711"/>
      <c r="C38" s="711"/>
      <c r="D38" s="711"/>
      <c r="E38" s="711"/>
      <c r="F38" s="711"/>
      <c r="G38" s="711"/>
      <c r="I38" s="711"/>
      <c r="J38" s="711"/>
      <c r="K38" s="711"/>
      <c r="L38" s="711"/>
      <c r="M38" s="711"/>
      <c r="N38" s="711"/>
      <c r="O38" s="711"/>
      <c r="P38" s="711"/>
      <c r="Q38" s="711"/>
      <c r="R38" s="711"/>
      <c r="S38" s="711"/>
      <c r="T38" s="711"/>
      <c r="U38" s="711"/>
      <c r="V38" s="711"/>
      <c r="W38" s="711"/>
      <c r="X38" s="711"/>
      <c r="Y38" s="711"/>
      <c r="Z38" s="711"/>
      <c r="AA38" s="711"/>
      <c r="AB38" s="711"/>
      <c r="AC38" s="711"/>
      <c r="AD38" s="711"/>
      <c r="AE38" s="711"/>
      <c r="AF38" s="711"/>
      <c r="AG38" s="711"/>
      <c r="AH38" s="711"/>
      <c r="AI38" s="711"/>
      <c r="AJ38" s="711"/>
      <c r="AK38" s="711"/>
      <c r="AL38" s="711"/>
      <c r="AM38" s="711"/>
      <c r="AN38" s="711"/>
      <c r="AO38" s="711"/>
      <c r="AP38" s="711"/>
      <c r="AQ38" s="711"/>
      <c r="AR38" s="711"/>
      <c r="AS38" s="711"/>
      <c r="AT38" s="711"/>
      <c r="AU38" s="711"/>
      <c r="AV38" s="711"/>
      <c r="AW38" s="711"/>
      <c r="AX38" s="711"/>
      <c r="AY38" s="711"/>
      <c r="AZ38" s="711"/>
      <c r="BA38" s="711"/>
      <c r="BB38" s="711"/>
      <c r="BC38" s="711"/>
      <c r="BD38" s="711"/>
      <c r="BE38" s="711"/>
      <c r="BF38" s="711"/>
      <c r="BG38" s="711"/>
      <c r="BH38" s="711"/>
      <c r="BI38" s="711"/>
      <c r="BJ38" s="711"/>
      <c r="BK38" s="711"/>
      <c r="BL38" s="711"/>
      <c r="BM38" s="711"/>
      <c r="BN38" s="711"/>
      <c r="BO38" s="711"/>
      <c r="BP38" s="711"/>
      <c r="BQ38" s="711"/>
      <c r="BR38" s="711"/>
      <c r="BS38" s="711"/>
      <c r="BT38" s="711"/>
      <c r="BU38" s="711"/>
      <c r="BV38" s="711"/>
    </row>
    <row r="39" spans="1:74" s="389" customFormat="1">
      <c r="I39" s="689"/>
      <c r="J39" s="689"/>
      <c r="K39" s="689"/>
      <c r="L39" s="689"/>
      <c r="M39" s="689"/>
      <c r="N39" s="689"/>
      <c r="O39" s="689"/>
      <c r="P39" s="689"/>
      <c r="Q39" s="689"/>
      <c r="R39" s="689"/>
      <c r="S39" s="689"/>
      <c r="T39" s="689"/>
      <c r="U39" s="689"/>
      <c r="V39" s="689"/>
      <c r="W39" s="689"/>
      <c r="X39" s="689"/>
      <c r="Y39" s="689"/>
      <c r="Z39" s="689"/>
      <c r="AA39" s="689"/>
      <c r="AB39" s="689"/>
      <c r="AC39" s="689"/>
      <c r="AD39" s="689"/>
      <c r="AE39" s="689"/>
      <c r="AF39" s="689"/>
      <c r="AG39" s="689"/>
      <c r="AH39" s="689"/>
      <c r="AI39" s="689"/>
      <c r="AJ39" s="689"/>
      <c r="AK39" s="689"/>
      <c r="AL39" s="689"/>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row>
    <row r="40" spans="1:74" s="710" customFormat="1" ht="21">
      <c r="A40" s="698" t="s">
        <v>790</v>
      </c>
      <c r="I40" s="711"/>
      <c r="J40" s="711"/>
      <c r="K40" s="711"/>
      <c r="L40" s="711"/>
      <c r="M40" s="711"/>
      <c r="N40" s="711"/>
      <c r="O40" s="711"/>
      <c r="P40" s="711"/>
      <c r="Q40" s="711"/>
      <c r="R40" s="711"/>
      <c r="S40" s="711"/>
      <c r="T40" s="711"/>
      <c r="U40" s="711"/>
      <c r="V40" s="711"/>
      <c r="W40" s="711"/>
      <c r="X40" s="711"/>
      <c r="Y40" s="711"/>
      <c r="Z40" s="711"/>
      <c r="AA40" s="711"/>
      <c r="AB40" s="711"/>
      <c r="AC40" s="711"/>
      <c r="AD40" s="711"/>
      <c r="AE40" s="711"/>
      <c r="AF40" s="711"/>
      <c r="AG40" s="711"/>
      <c r="AH40" s="711"/>
      <c r="AI40" s="711"/>
      <c r="AJ40" s="711"/>
      <c r="AK40" s="711"/>
      <c r="AL40" s="711"/>
      <c r="AM40" s="711"/>
      <c r="AN40" s="711"/>
      <c r="AO40" s="711"/>
      <c r="AP40" s="711"/>
      <c r="AQ40" s="711"/>
      <c r="AR40" s="711"/>
      <c r="AS40" s="711"/>
      <c r="AT40" s="711"/>
      <c r="AU40" s="711"/>
      <c r="AV40" s="711"/>
      <c r="AW40" s="711"/>
      <c r="AX40" s="711"/>
      <c r="AY40" s="711"/>
      <c r="AZ40" s="711"/>
      <c r="BA40" s="711"/>
      <c r="BB40" s="711"/>
      <c r="BC40" s="711"/>
      <c r="BD40" s="711"/>
      <c r="BE40" s="711"/>
      <c r="BF40" s="711"/>
      <c r="BG40" s="711"/>
      <c r="BH40" s="711"/>
      <c r="BI40" s="711"/>
      <c r="BJ40" s="711"/>
      <c r="BK40" s="711"/>
      <c r="BL40" s="711"/>
      <c r="BM40" s="711"/>
      <c r="BN40" s="711"/>
      <c r="BO40" s="711"/>
      <c r="BP40" s="711"/>
      <c r="BQ40" s="711"/>
      <c r="BR40" s="711"/>
      <c r="BS40" s="711"/>
      <c r="BT40" s="711"/>
      <c r="BU40" s="711"/>
      <c r="BV40" s="711"/>
    </row>
    <row r="41" spans="1:74" s="710" customFormat="1" ht="17.399999999999999">
      <c r="A41" s="712"/>
      <c r="I41" s="711"/>
      <c r="J41" s="711"/>
      <c r="K41" s="711"/>
      <c r="L41" s="711"/>
      <c r="M41" s="711"/>
      <c r="N41" s="711"/>
      <c r="O41" s="711"/>
      <c r="P41" s="711"/>
      <c r="Q41" s="711"/>
      <c r="R41" s="711"/>
      <c r="S41" s="711"/>
      <c r="T41" s="711"/>
      <c r="U41" s="711"/>
      <c r="V41" s="711"/>
      <c r="W41" s="711"/>
      <c r="X41" s="711"/>
      <c r="Y41" s="711"/>
      <c r="Z41" s="711"/>
      <c r="AA41" s="711"/>
      <c r="AB41" s="711"/>
      <c r="AC41" s="711"/>
      <c r="AD41" s="711"/>
      <c r="AE41" s="711"/>
      <c r="AF41" s="711"/>
      <c r="AG41" s="711"/>
      <c r="AH41" s="711"/>
      <c r="AI41" s="711"/>
      <c r="AJ41" s="711"/>
      <c r="AK41" s="711"/>
      <c r="AL41" s="711"/>
      <c r="AM41" s="711"/>
      <c r="AN41" s="711"/>
      <c r="AO41" s="711"/>
      <c r="AP41" s="711"/>
      <c r="AQ41" s="711"/>
      <c r="AR41" s="711"/>
      <c r="AS41" s="711"/>
      <c r="AT41" s="711"/>
      <c r="AU41" s="711"/>
      <c r="AV41" s="711"/>
      <c r="AW41" s="711"/>
      <c r="AX41" s="711"/>
      <c r="AY41" s="711"/>
      <c r="AZ41" s="711"/>
      <c r="BA41" s="711"/>
      <c r="BB41" s="711"/>
      <c r="BC41" s="711"/>
      <c r="BD41" s="711"/>
      <c r="BE41" s="711"/>
      <c r="BF41" s="711"/>
      <c r="BG41" s="711"/>
      <c r="BH41" s="711"/>
      <c r="BI41" s="711"/>
      <c r="BJ41" s="711"/>
      <c r="BK41" s="711"/>
      <c r="BL41" s="711"/>
      <c r="BM41" s="711"/>
      <c r="BN41" s="711"/>
      <c r="BO41" s="711"/>
      <c r="BP41" s="711"/>
      <c r="BQ41" s="711"/>
      <c r="BR41" s="711"/>
      <c r="BS41" s="711"/>
      <c r="BT41" s="711"/>
      <c r="BU41" s="711"/>
      <c r="BV41" s="711"/>
    </row>
    <row r="42" spans="1:74" s="710" customFormat="1">
      <c r="A42" s="700" t="s">
        <v>459</v>
      </c>
      <c r="B42" s="701" t="s">
        <v>274</v>
      </c>
      <c r="C42" s="701" t="s">
        <v>419</v>
      </c>
      <c r="D42" s="701" t="s">
        <v>270</v>
      </c>
      <c r="E42" s="701" t="s">
        <v>271</v>
      </c>
      <c r="F42" s="701" t="s">
        <v>421</v>
      </c>
      <c r="G42" s="701" t="s">
        <v>272</v>
      </c>
      <c r="H42" s="711"/>
      <c r="I42" s="711"/>
      <c r="J42" s="711"/>
      <c r="K42" s="711"/>
      <c r="L42" s="711"/>
      <c r="M42" s="711"/>
      <c r="N42" s="711"/>
      <c r="O42" s="711"/>
      <c r="P42" s="711"/>
      <c r="Q42" s="711"/>
      <c r="R42" s="711"/>
      <c r="S42" s="701"/>
      <c r="T42" s="701"/>
      <c r="U42" s="711"/>
      <c r="V42" s="711"/>
      <c r="W42" s="711"/>
      <c r="X42" s="711"/>
      <c r="Y42" s="711"/>
      <c r="Z42" s="711"/>
      <c r="AA42" s="711"/>
      <c r="AB42" s="711"/>
      <c r="AC42" s="711"/>
      <c r="AD42" s="711"/>
      <c r="AE42" s="711"/>
      <c r="AF42" s="711"/>
      <c r="AG42" s="711"/>
      <c r="AH42" s="711"/>
      <c r="AI42" s="711"/>
      <c r="AJ42" s="711"/>
      <c r="AK42" s="711"/>
      <c r="AL42" s="711"/>
      <c r="AM42" s="711"/>
      <c r="AN42" s="711"/>
      <c r="AO42" s="711"/>
      <c r="AP42" s="711"/>
      <c r="AQ42" s="711"/>
      <c r="AR42" s="711"/>
      <c r="AS42" s="711"/>
      <c r="AT42" s="711"/>
      <c r="AU42" s="711"/>
      <c r="AV42" s="711"/>
      <c r="AW42" s="711"/>
      <c r="AX42" s="711"/>
      <c r="AY42" s="711"/>
      <c r="AZ42" s="711"/>
      <c r="BA42" s="711"/>
      <c r="BB42" s="711"/>
      <c r="BC42" s="711"/>
      <c r="BD42" s="711"/>
      <c r="BE42" s="711"/>
      <c r="BF42" s="711"/>
      <c r="BG42" s="711"/>
      <c r="BH42" s="711"/>
      <c r="BI42" s="711"/>
      <c r="BJ42" s="711"/>
      <c r="BK42" s="711"/>
      <c r="BL42" s="711"/>
      <c r="BM42" s="711"/>
      <c r="BN42" s="711"/>
      <c r="BO42" s="711"/>
      <c r="BP42" s="711"/>
      <c r="BQ42" s="711"/>
      <c r="BR42" s="711"/>
      <c r="BS42" s="711"/>
      <c r="BT42" s="711"/>
      <c r="BU42" s="711"/>
      <c r="BV42" s="711"/>
    </row>
    <row r="43" spans="1:74" s="710" customFormat="1">
      <c r="B43" s="701" t="s">
        <v>268</v>
      </c>
      <c r="C43" s="701" t="s">
        <v>295</v>
      </c>
      <c r="D43" s="701" t="s">
        <v>257</v>
      </c>
      <c r="E43" s="701" t="s">
        <v>296</v>
      </c>
      <c r="F43" s="701" t="s">
        <v>277</v>
      </c>
      <c r="G43" s="701" t="s">
        <v>278</v>
      </c>
      <c r="I43" s="711"/>
      <c r="J43" s="711"/>
      <c r="K43" s="711"/>
      <c r="L43" s="711"/>
      <c r="M43" s="711"/>
      <c r="N43" s="711"/>
      <c r="O43" s="711"/>
      <c r="P43" s="711"/>
      <c r="Q43" s="711"/>
      <c r="R43" s="711"/>
      <c r="S43" s="701"/>
      <c r="T43" s="701"/>
      <c r="U43" s="711"/>
      <c r="V43" s="711"/>
      <c r="W43" s="711"/>
      <c r="X43" s="711"/>
      <c r="Y43" s="711"/>
      <c r="Z43" s="711"/>
      <c r="AA43" s="711"/>
      <c r="AB43" s="711"/>
      <c r="AC43" s="711"/>
      <c r="AD43" s="711"/>
      <c r="AE43" s="711"/>
      <c r="AF43" s="711"/>
      <c r="AG43" s="711"/>
      <c r="AH43" s="711"/>
      <c r="AI43" s="711"/>
      <c r="AJ43" s="711"/>
      <c r="AK43" s="711"/>
      <c r="AL43" s="711"/>
      <c r="AM43" s="711"/>
      <c r="AN43" s="711"/>
      <c r="AO43" s="711"/>
      <c r="AP43" s="711"/>
      <c r="AQ43" s="711"/>
      <c r="AR43" s="711"/>
      <c r="AS43" s="711"/>
      <c r="AT43" s="711"/>
      <c r="AU43" s="711"/>
      <c r="AV43" s="711"/>
      <c r="AW43" s="711"/>
      <c r="AX43" s="711"/>
      <c r="AY43" s="711"/>
      <c r="AZ43" s="711"/>
      <c r="BA43" s="711"/>
      <c r="BB43" s="711"/>
      <c r="BC43" s="711"/>
      <c r="BD43" s="711"/>
      <c r="BE43" s="711"/>
      <c r="BF43" s="711"/>
      <c r="BG43" s="711"/>
      <c r="BH43" s="711"/>
      <c r="BI43" s="711"/>
      <c r="BJ43" s="711"/>
      <c r="BK43" s="711"/>
      <c r="BL43" s="711"/>
      <c r="BM43" s="711"/>
      <c r="BN43" s="711"/>
      <c r="BO43" s="711"/>
      <c r="BP43" s="711"/>
      <c r="BQ43" s="711"/>
      <c r="BR43" s="711"/>
      <c r="BS43" s="711"/>
      <c r="BT43" s="711"/>
      <c r="BU43" s="711"/>
      <c r="BV43" s="711"/>
    </row>
    <row r="44" spans="1:74" s="710" customFormat="1" ht="15.75" customHeight="1">
      <c r="A44" s="702" t="s">
        <v>791</v>
      </c>
      <c r="B44" s="713">
        <f>FL_18_cost_p.hole</f>
        <v>118400</v>
      </c>
      <c r="C44" s="713">
        <f>SE_18_cost_p.hole</f>
        <v>145900</v>
      </c>
      <c r="D44" s="713">
        <f>BOCA_18_cost_p.hole</f>
        <v>124600</v>
      </c>
      <c r="E44" s="713">
        <f>SW_18_cost_p.hole</f>
        <v>124200</v>
      </c>
      <c r="F44" s="713">
        <f>SWCIRA_18_cost_p.hole</f>
        <v>99900</v>
      </c>
      <c r="G44" s="713">
        <f>NC_18_cost_p.hole</f>
        <v>102900</v>
      </c>
      <c r="I44" s="711"/>
      <c r="J44" s="711"/>
      <c r="K44" s="711"/>
      <c r="L44" s="711"/>
      <c r="M44" s="711"/>
      <c r="N44" s="711"/>
      <c r="O44" s="711"/>
      <c r="P44" s="711"/>
      <c r="Q44" s="711"/>
      <c r="R44" s="711"/>
      <c r="S44" s="713"/>
      <c r="T44" s="713"/>
      <c r="U44" s="711"/>
      <c r="V44" s="711"/>
      <c r="W44" s="711"/>
      <c r="X44" s="711"/>
      <c r="Y44" s="711"/>
      <c r="Z44" s="711"/>
      <c r="AA44" s="711"/>
      <c r="AB44" s="711"/>
      <c r="AC44" s="711"/>
      <c r="AD44" s="711"/>
      <c r="AE44" s="711"/>
      <c r="AF44" s="711"/>
      <c r="AG44" s="711"/>
      <c r="AH44" s="711"/>
      <c r="AI44" s="711"/>
      <c r="AJ44" s="711"/>
      <c r="AK44" s="711"/>
      <c r="AL44" s="711"/>
      <c r="AM44" s="711"/>
      <c r="AN44" s="711"/>
      <c r="AO44" s="711"/>
      <c r="AP44" s="711"/>
      <c r="AQ44" s="711"/>
      <c r="AR44" s="711"/>
      <c r="AS44" s="711"/>
      <c r="AT44" s="711"/>
      <c r="AU44" s="711"/>
      <c r="AV44" s="711"/>
      <c r="AW44" s="711"/>
      <c r="AX44" s="711"/>
      <c r="AY44" s="711"/>
      <c r="AZ44" s="711"/>
      <c r="BA44" s="711"/>
      <c r="BB44" s="711"/>
      <c r="BC44" s="711"/>
      <c r="BD44" s="711"/>
      <c r="BE44" s="711"/>
      <c r="BF44" s="711"/>
      <c r="BG44" s="711"/>
      <c r="BH44" s="711"/>
      <c r="BI44" s="711"/>
      <c r="BJ44" s="711"/>
      <c r="BK44" s="711"/>
      <c r="BL44" s="711"/>
      <c r="BM44" s="711"/>
      <c r="BN44" s="711"/>
      <c r="BO44" s="711"/>
      <c r="BP44" s="711"/>
      <c r="BQ44" s="711"/>
      <c r="BR44" s="711"/>
      <c r="BS44" s="711"/>
      <c r="BT44" s="711"/>
      <c r="BU44" s="711"/>
      <c r="BV44" s="711"/>
    </row>
    <row r="45" spans="1:74" s="710" customFormat="1" ht="15.75" customHeight="1">
      <c r="A45" s="714" t="s">
        <v>732</v>
      </c>
      <c r="B45" s="715">
        <f t="shared" ref="B45:G45" si="9">B17/B16</f>
        <v>9.8330241187384038E-2</v>
      </c>
      <c r="C45" s="715">
        <f t="shared" si="9"/>
        <v>8.1541882876204591E-2</v>
      </c>
      <c r="D45" s="715">
        <f t="shared" si="9"/>
        <v>9.2982456140350875E-2</v>
      </c>
      <c r="E45" s="715">
        <f t="shared" si="9"/>
        <v>0.14893617021276595</v>
      </c>
      <c r="F45" s="715">
        <f t="shared" si="9"/>
        <v>8.5869565217391308E-2</v>
      </c>
      <c r="G45" s="715">
        <f t="shared" si="9"/>
        <v>9.2356687898089165E-2</v>
      </c>
      <c r="I45" s="711"/>
      <c r="J45" s="706"/>
      <c r="K45" s="711"/>
      <c r="L45" s="711"/>
      <c r="M45" s="711"/>
      <c r="N45" s="711"/>
      <c r="O45" s="711"/>
      <c r="P45" s="711"/>
      <c r="Q45" s="711"/>
      <c r="R45" s="711"/>
      <c r="S45" s="715"/>
      <c r="T45" s="715"/>
      <c r="U45" s="711"/>
      <c r="V45" s="711"/>
      <c r="W45" s="711"/>
      <c r="X45" s="711"/>
      <c r="Y45" s="711"/>
      <c r="Z45" s="711"/>
      <c r="AA45" s="711"/>
      <c r="AB45" s="711"/>
      <c r="AC45" s="711"/>
      <c r="AD45" s="711"/>
      <c r="AE45" s="711"/>
      <c r="AF45" s="711"/>
      <c r="AG45" s="711"/>
      <c r="AH45" s="711"/>
      <c r="AI45" s="711"/>
      <c r="AJ45" s="711"/>
      <c r="AK45" s="711"/>
      <c r="AL45" s="711"/>
      <c r="AM45" s="711"/>
      <c r="AN45" s="711"/>
      <c r="AO45" s="711"/>
      <c r="AP45" s="711"/>
      <c r="AQ45" s="711"/>
      <c r="AR45" s="711"/>
      <c r="AS45" s="711"/>
      <c r="AT45" s="711"/>
      <c r="AU45" s="711"/>
      <c r="AV45" s="711"/>
      <c r="AW45" s="711"/>
      <c r="AX45" s="711"/>
      <c r="AY45" s="711"/>
      <c r="AZ45" s="711"/>
      <c r="BA45" s="711"/>
      <c r="BB45" s="711"/>
      <c r="BC45" s="711"/>
      <c r="BD45" s="711"/>
      <c r="BE45" s="711"/>
      <c r="BF45" s="711"/>
      <c r="BG45" s="711"/>
      <c r="BH45" s="711"/>
      <c r="BI45" s="711"/>
      <c r="BJ45" s="711"/>
      <c r="BK45" s="711"/>
      <c r="BL45" s="711"/>
      <c r="BM45" s="711"/>
      <c r="BN45" s="711"/>
      <c r="BO45" s="711"/>
      <c r="BP45" s="711"/>
      <c r="BQ45" s="711"/>
      <c r="BR45" s="711"/>
      <c r="BS45" s="711"/>
      <c r="BT45" s="711"/>
      <c r="BU45" s="711"/>
      <c r="BV45" s="711"/>
    </row>
    <row r="46" spans="1:74" s="710" customFormat="1" ht="15.75" customHeight="1">
      <c r="A46" s="702" t="s">
        <v>792</v>
      </c>
      <c r="B46" s="703">
        <f>FL_18_acres</f>
        <v>112</v>
      </c>
      <c r="C46" s="703">
        <f>SE_18_acres</f>
        <v>132</v>
      </c>
      <c r="D46" s="703">
        <f>BOCA_18_acres</f>
        <v>122</v>
      </c>
      <c r="E46" s="703">
        <f>SW_18_acres</f>
        <v>105</v>
      </c>
      <c r="F46" s="703">
        <f>SWCIRA_18_acres</f>
        <v>105</v>
      </c>
      <c r="G46" s="703">
        <f>NC_18_acres</f>
        <v>100</v>
      </c>
      <c r="I46" s="711"/>
      <c r="J46" s="711"/>
      <c r="K46" s="711"/>
      <c r="L46" s="711"/>
      <c r="M46" s="711"/>
      <c r="N46" s="711"/>
      <c r="O46" s="711"/>
      <c r="P46" s="711"/>
      <c r="Q46" s="711"/>
      <c r="R46" s="711"/>
      <c r="S46" s="703"/>
      <c r="T46" s="703"/>
      <c r="U46" s="711"/>
      <c r="V46" s="711"/>
      <c r="W46" s="711"/>
      <c r="X46" s="711"/>
      <c r="Y46" s="711"/>
      <c r="Z46" s="711"/>
      <c r="AA46" s="711"/>
      <c r="AB46" s="711"/>
      <c r="AC46" s="711"/>
      <c r="AD46" s="711"/>
      <c r="AE46" s="711"/>
      <c r="AF46" s="711"/>
      <c r="AG46" s="711"/>
      <c r="AH46" s="711"/>
      <c r="AI46" s="711"/>
      <c r="AJ46" s="711"/>
      <c r="AK46" s="711"/>
      <c r="AL46" s="711"/>
      <c r="AM46" s="711"/>
      <c r="AN46" s="711"/>
      <c r="AO46" s="711"/>
      <c r="AP46" s="711"/>
      <c r="AQ46" s="711"/>
      <c r="AR46" s="711"/>
      <c r="AS46" s="711"/>
      <c r="AT46" s="711"/>
      <c r="AU46" s="711"/>
      <c r="AV46" s="711"/>
      <c r="AW46" s="711"/>
      <c r="AX46" s="711"/>
      <c r="AY46" s="711"/>
      <c r="AZ46" s="711"/>
      <c r="BA46" s="711"/>
      <c r="BB46" s="711"/>
      <c r="BC46" s="711"/>
      <c r="BD46" s="711"/>
      <c r="BE46" s="711"/>
      <c r="BF46" s="711"/>
      <c r="BG46" s="711"/>
      <c r="BH46" s="711"/>
      <c r="BI46" s="711"/>
      <c r="BJ46" s="711"/>
      <c r="BK46" s="711"/>
      <c r="BL46" s="711"/>
      <c r="BM46" s="711"/>
      <c r="BN46" s="711"/>
      <c r="BO46" s="711"/>
      <c r="BP46" s="711"/>
      <c r="BQ46" s="711"/>
      <c r="BR46" s="711"/>
      <c r="BS46" s="711"/>
      <c r="BT46" s="711"/>
      <c r="BU46" s="711"/>
      <c r="BV46" s="711"/>
    </row>
    <row r="47" spans="1:74" s="710" customFormat="1" ht="15.75" customHeight="1">
      <c r="A47" s="714" t="s">
        <v>793</v>
      </c>
      <c r="B47" s="716">
        <f>FL_18_cost_p.acre</f>
        <v>19000</v>
      </c>
      <c r="C47" s="716">
        <f>SE_18_cost_p.acre</f>
        <v>19900</v>
      </c>
      <c r="D47" s="716">
        <f>BOCA_18_cost_p.acre</f>
        <v>18400</v>
      </c>
      <c r="E47" s="716">
        <f>SW_18_cost_p.acre</f>
        <v>21300</v>
      </c>
      <c r="F47" s="716">
        <f>SWCIRA_18_cost_p.acre</f>
        <v>17100</v>
      </c>
      <c r="G47" s="716">
        <f>NC_18_cost_p.acre</f>
        <v>18500</v>
      </c>
      <c r="I47" s="711"/>
      <c r="J47" s="711"/>
      <c r="K47" s="711"/>
      <c r="L47" s="711"/>
      <c r="M47" s="711"/>
      <c r="N47" s="711"/>
      <c r="O47" s="711"/>
      <c r="P47" s="711"/>
      <c r="Q47" s="711"/>
      <c r="R47" s="711"/>
      <c r="S47" s="716"/>
      <c r="T47" s="716"/>
      <c r="U47" s="711"/>
      <c r="V47" s="711"/>
      <c r="W47" s="711"/>
      <c r="X47" s="711"/>
      <c r="Y47" s="711"/>
      <c r="Z47" s="711"/>
      <c r="AA47" s="711"/>
      <c r="AB47" s="711"/>
      <c r="AC47" s="711"/>
      <c r="AD47" s="711"/>
      <c r="AE47" s="711"/>
      <c r="AF47" s="711"/>
      <c r="AG47" s="711"/>
      <c r="AH47" s="711"/>
      <c r="AI47" s="711"/>
      <c r="AJ47" s="711"/>
      <c r="AK47" s="711"/>
      <c r="AL47" s="711"/>
      <c r="AM47" s="711"/>
      <c r="AN47" s="711"/>
      <c r="AO47" s="711"/>
      <c r="AP47" s="711"/>
      <c r="AQ47" s="711"/>
      <c r="AR47" s="711"/>
      <c r="AS47" s="711"/>
      <c r="AT47" s="711"/>
      <c r="AU47" s="711"/>
      <c r="AV47" s="711"/>
      <c r="AW47" s="711"/>
      <c r="AX47" s="711"/>
      <c r="AY47" s="711"/>
      <c r="AZ47" s="711"/>
      <c r="BA47" s="711"/>
      <c r="BB47" s="711"/>
      <c r="BC47" s="711"/>
      <c r="BD47" s="711"/>
      <c r="BE47" s="711"/>
      <c r="BF47" s="711"/>
      <c r="BG47" s="711"/>
      <c r="BH47" s="711"/>
      <c r="BI47" s="711"/>
      <c r="BJ47" s="711"/>
      <c r="BK47" s="711"/>
      <c r="BL47" s="711"/>
      <c r="BM47" s="711"/>
      <c r="BN47" s="711"/>
      <c r="BO47" s="711"/>
      <c r="BP47" s="711"/>
      <c r="BQ47" s="711"/>
      <c r="BR47" s="711"/>
      <c r="BS47" s="711"/>
      <c r="BT47" s="711"/>
      <c r="BU47" s="711"/>
      <c r="BV47" s="711"/>
    </row>
    <row r="48" spans="1:74" s="710" customFormat="1" ht="15.75" customHeight="1">
      <c r="A48" s="702" t="s">
        <v>794</v>
      </c>
      <c r="B48" s="713">
        <f>FL_18_cost_p.round</f>
        <v>66.584374999999994</v>
      </c>
      <c r="C48" s="713">
        <f>SE_18_cost_p.round</f>
        <v>123.89622641509433</v>
      </c>
      <c r="D48" s="713">
        <f>BOCA_18_cost_p.round</f>
        <v>72.795454545454547</v>
      </c>
      <c r="E48" s="713">
        <f>SW_18_cost_p.round</f>
        <v>72.830618892508141</v>
      </c>
      <c r="F48" s="713">
        <f>SWCIRA_18_cost_p.round</f>
        <v>37.623430962343093</v>
      </c>
      <c r="G48" s="713">
        <f>NC_18_cost_p.round</f>
        <v>69.134328358208961</v>
      </c>
      <c r="I48" s="711"/>
      <c r="J48" s="711"/>
      <c r="K48" s="711"/>
      <c r="L48" s="711"/>
      <c r="M48" s="711"/>
      <c r="N48" s="711"/>
      <c r="O48" s="711"/>
      <c r="P48" s="711"/>
      <c r="Q48" s="711"/>
      <c r="R48" s="711"/>
      <c r="S48" s="713"/>
      <c r="T48" s="713"/>
      <c r="U48" s="711"/>
      <c r="V48" s="711"/>
      <c r="W48" s="711"/>
      <c r="X48" s="711"/>
      <c r="Y48" s="711"/>
      <c r="Z48" s="711"/>
      <c r="AA48" s="711"/>
      <c r="AB48" s="711"/>
      <c r="AC48" s="711"/>
      <c r="AD48" s="711"/>
      <c r="AE48" s="711"/>
      <c r="AF48" s="711"/>
      <c r="AG48" s="711"/>
      <c r="AH48" s="711"/>
      <c r="AI48" s="711"/>
      <c r="AJ48" s="711"/>
      <c r="AK48" s="711"/>
      <c r="AL48" s="711"/>
      <c r="AM48" s="711"/>
      <c r="AN48" s="711"/>
      <c r="AO48" s="711"/>
      <c r="AP48" s="711"/>
      <c r="AQ48" s="711"/>
      <c r="AR48" s="711"/>
      <c r="AS48" s="711"/>
      <c r="AT48" s="711"/>
      <c r="AU48" s="711"/>
      <c r="AV48" s="711"/>
      <c r="AW48" s="711"/>
      <c r="AX48" s="711"/>
      <c r="AY48" s="711"/>
      <c r="AZ48" s="711"/>
      <c r="BA48" s="711"/>
      <c r="BB48" s="711"/>
      <c r="BC48" s="711"/>
      <c r="BD48" s="711"/>
      <c r="BE48" s="711"/>
      <c r="BF48" s="711"/>
      <c r="BG48" s="711"/>
      <c r="BH48" s="711"/>
      <c r="BI48" s="711"/>
      <c r="BJ48" s="711"/>
      <c r="BK48" s="711"/>
      <c r="BL48" s="711"/>
      <c r="BM48" s="711"/>
      <c r="BN48" s="711"/>
      <c r="BO48" s="711"/>
      <c r="BP48" s="711"/>
      <c r="BQ48" s="711"/>
      <c r="BR48" s="711"/>
      <c r="BS48" s="711"/>
      <c r="BT48" s="711"/>
      <c r="BU48" s="711"/>
      <c r="BV48" s="711"/>
    </row>
    <row r="49" spans="1:74" s="710" customFormat="1" ht="15.75" customHeight="1">
      <c r="A49" s="714"/>
      <c r="B49" s="714"/>
      <c r="C49" s="714"/>
      <c r="D49" s="714"/>
      <c r="E49" s="714"/>
      <c r="F49" s="714"/>
      <c r="G49" s="714"/>
      <c r="I49" s="711"/>
      <c r="J49" s="711"/>
      <c r="K49" s="711"/>
      <c r="L49" s="711"/>
      <c r="M49" s="711"/>
      <c r="N49" s="711"/>
      <c r="O49" s="711"/>
      <c r="P49" s="711"/>
      <c r="Q49" s="711"/>
      <c r="R49" s="711"/>
      <c r="S49" s="711"/>
      <c r="T49" s="711"/>
      <c r="U49" s="711"/>
      <c r="V49" s="711"/>
      <c r="W49" s="711"/>
      <c r="X49" s="711"/>
      <c r="Y49" s="711"/>
      <c r="Z49" s="711"/>
      <c r="AA49" s="711"/>
      <c r="AB49" s="711"/>
      <c r="AC49" s="711"/>
      <c r="AD49" s="711"/>
      <c r="AE49" s="711"/>
      <c r="AF49" s="711"/>
      <c r="AG49" s="711"/>
      <c r="AH49" s="711"/>
      <c r="AI49" s="711"/>
      <c r="AJ49" s="711"/>
      <c r="AK49" s="711"/>
      <c r="AL49" s="711"/>
      <c r="AM49" s="711"/>
      <c r="AN49" s="711"/>
      <c r="AO49" s="711"/>
      <c r="AP49" s="711"/>
      <c r="AQ49" s="711"/>
      <c r="AR49" s="711"/>
      <c r="AS49" s="711"/>
      <c r="AT49" s="711"/>
      <c r="AU49" s="711"/>
      <c r="AV49" s="711"/>
      <c r="AW49" s="711"/>
      <c r="AX49" s="711"/>
      <c r="AY49" s="711"/>
      <c r="AZ49" s="711"/>
      <c r="BA49" s="711"/>
      <c r="BB49" s="711"/>
      <c r="BC49" s="711"/>
      <c r="BD49" s="711"/>
      <c r="BE49" s="711"/>
      <c r="BF49" s="711"/>
      <c r="BG49" s="711"/>
      <c r="BH49" s="711"/>
      <c r="BI49" s="711"/>
      <c r="BJ49" s="711"/>
      <c r="BK49" s="711"/>
      <c r="BL49" s="711"/>
      <c r="BM49" s="711"/>
      <c r="BN49" s="711"/>
      <c r="BO49" s="711"/>
      <c r="BP49" s="711"/>
      <c r="BQ49" s="711"/>
      <c r="BR49" s="711"/>
      <c r="BS49" s="711"/>
      <c r="BT49" s="711"/>
      <c r="BU49" s="711"/>
      <c r="BV49" s="711"/>
    </row>
    <row r="50" spans="1:74" s="710" customFormat="1" ht="15.75" customHeight="1">
      <c r="A50" s="702" t="s">
        <v>795</v>
      </c>
      <c r="B50" s="713">
        <f>FL_mult_cost_p.hole</f>
        <v>107200</v>
      </c>
      <c r="C50" s="713">
        <f>SE_mult_cost_p.hole</f>
        <v>113000</v>
      </c>
      <c r="D50" s="713">
        <f>BOCA_mult_cost_p.hole</f>
        <v>101100</v>
      </c>
      <c r="E50" s="713">
        <f>SW_mult_cost_p.hole</f>
        <v>111300</v>
      </c>
      <c r="F50" s="1017" t="s">
        <v>1150</v>
      </c>
      <c r="G50" s="713">
        <f>NC_mult_cost_p.hole</f>
        <v>106200</v>
      </c>
      <c r="I50" s="711"/>
      <c r="J50" s="711"/>
      <c r="K50" s="711"/>
      <c r="L50" s="711"/>
      <c r="M50" s="711"/>
      <c r="N50" s="711"/>
      <c r="O50" s="711"/>
      <c r="P50" s="711"/>
      <c r="Q50" s="711"/>
      <c r="R50" s="711"/>
      <c r="S50" s="713"/>
      <c r="T50" s="713"/>
      <c r="U50" s="711"/>
      <c r="V50" s="711"/>
      <c r="W50" s="711"/>
      <c r="X50" s="711"/>
      <c r="Y50" s="711"/>
      <c r="Z50" s="711"/>
      <c r="AA50" s="711"/>
      <c r="AB50" s="711"/>
      <c r="AC50" s="711"/>
      <c r="AD50" s="711"/>
      <c r="AE50" s="711"/>
      <c r="AF50" s="711"/>
      <c r="AG50" s="711"/>
      <c r="AH50" s="711"/>
      <c r="AI50" s="711"/>
      <c r="AJ50" s="711"/>
      <c r="AK50" s="711"/>
      <c r="AL50" s="711"/>
      <c r="AM50" s="711"/>
      <c r="AN50" s="711"/>
      <c r="AO50" s="711"/>
      <c r="AP50" s="711"/>
      <c r="AQ50" s="711"/>
      <c r="AR50" s="711"/>
      <c r="AS50" s="711"/>
      <c r="AT50" s="711"/>
      <c r="AU50" s="711"/>
      <c r="AV50" s="711"/>
      <c r="AW50" s="711"/>
      <c r="AX50" s="711"/>
      <c r="AY50" s="711"/>
      <c r="AZ50" s="711"/>
      <c r="BA50" s="711"/>
      <c r="BB50" s="711"/>
      <c r="BC50" s="711"/>
      <c r="BD50" s="711"/>
      <c r="BE50" s="711"/>
      <c r="BF50" s="711"/>
      <c r="BG50" s="711"/>
      <c r="BH50" s="711"/>
      <c r="BI50" s="711"/>
      <c r="BJ50" s="711"/>
      <c r="BK50" s="711"/>
      <c r="BL50" s="711"/>
      <c r="BM50" s="711"/>
      <c r="BN50" s="711"/>
      <c r="BO50" s="711"/>
      <c r="BP50" s="711"/>
      <c r="BQ50" s="711"/>
      <c r="BR50" s="711"/>
      <c r="BS50" s="711"/>
      <c r="BT50" s="711"/>
      <c r="BU50" s="711"/>
      <c r="BV50" s="711"/>
    </row>
    <row r="51" spans="1:74" s="710" customFormat="1" ht="15.75" customHeight="1">
      <c r="A51" s="714" t="s">
        <v>732</v>
      </c>
      <c r="B51" s="715">
        <f>B23/B22</f>
        <v>8.2828282828282834E-2</v>
      </c>
      <c r="C51" s="715">
        <f>C23/C22</f>
        <v>0.10784313725490197</v>
      </c>
      <c r="D51" s="715">
        <f>D23/D22</f>
        <v>2.3279352226720649E-2</v>
      </c>
      <c r="E51" s="715">
        <f>E23/E22</f>
        <v>6.4053537284894838E-2</v>
      </c>
      <c r="F51" s="1018" t="s">
        <v>1150</v>
      </c>
      <c r="G51" s="715">
        <f>G23/G22</f>
        <v>0.1747787610619469</v>
      </c>
      <c r="I51" s="711"/>
      <c r="J51" s="706"/>
      <c r="K51" s="711"/>
      <c r="L51" s="711"/>
      <c r="M51" s="711"/>
      <c r="N51" s="711"/>
      <c r="O51" s="711"/>
      <c r="P51" s="711"/>
      <c r="Q51" s="711"/>
      <c r="R51" s="711"/>
      <c r="S51" s="715"/>
      <c r="T51" s="715"/>
      <c r="U51" s="711"/>
      <c r="V51" s="711"/>
      <c r="W51" s="711"/>
      <c r="X51" s="711"/>
      <c r="Y51" s="711"/>
      <c r="Z51" s="711"/>
      <c r="AA51" s="711"/>
      <c r="AB51" s="711"/>
      <c r="AC51" s="711"/>
      <c r="AD51" s="711"/>
      <c r="AE51" s="711"/>
      <c r="AF51" s="711"/>
      <c r="AG51" s="711"/>
      <c r="AH51" s="711"/>
      <c r="AI51" s="711"/>
      <c r="AJ51" s="711"/>
      <c r="AK51" s="711"/>
      <c r="AL51" s="711"/>
      <c r="AM51" s="711"/>
      <c r="AN51" s="711"/>
      <c r="AO51" s="711"/>
      <c r="AP51" s="711"/>
      <c r="AQ51" s="711"/>
      <c r="AR51" s="711"/>
      <c r="AS51" s="711"/>
      <c r="AT51" s="711"/>
      <c r="AU51" s="711"/>
      <c r="AV51" s="711"/>
      <c r="AW51" s="711"/>
      <c r="AX51" s="711"/>
      <c r="AY51" s="711"/>
      <c r="AZ51" s="711"/>
      <c r="BA51" s="711"/>
      <c r="BB51" s="711"/>
      <c r="BC51" s="711"/>
      <c r="BD51" s="711"/>
      <c r="BE51" s="711"/>
      <c r="BF51" s="711"/>
      <c r="BG51" s="711"/>
      <c r="BH51" s="711"/>
      <c r="BI51" s="711"/>
      <c r="BJ51" s="711"/>
      <c r="BK51" s="711"/>
      <c r="BL51" s="711"/>
      <c r="BM51" s="711"/>
      <c r="BN51" s="711"/>
      <c r="BO51" s="711"/>
      <c r="BP51" s="711"/>
      <c r="BQ51" s="711"/>
      <c r="BR51" s="711"/>
      <c r="BS51" s="711"/>
      <c r="BT51" s="711"/>
      <c r="BU51" s="711"/>
      <c r="BV51" s="711"/>
    </row>
    <row r="52" spans="1:74" s="710" customFormat="1" ht="15.75" customHeight="1">
      <c r="A52" s="702" t="s">
        <v>796</v>
      </c>
      <c r="B52" s="703">
        <f>FL_mult_acre_36</f>
        <v>249</v>
      </c>
      <c r="C52" s="703">
        <f>SE_mult_acre_36</f>
        <v>295</v>
      </c>
      <c r="D52" s="703">
        <f>BOCA_mult_acre_36</f>
        <v>266</v>
      </c>
      <c r="E52" s="703">
        <f>SW_mult_acre_36</f>
        <v>242</v>
      </c>
      <c r="F52" s="1017" t="s">
        <v>1150</v>
      </c>
      <c r="G52" s="703">
        <f>NC_mult_acre_36</f>
        <v>207</v>
      </c>
      <c r="I52" s="711"/>
      <c r="J52" s="711"/>
      <c r="K52" s="711"/>
      <c r="L52" s="711"/>
      <c r="M52" s="711"/>
      <c r="N52" s="711"/>
      <c r="O52" s="711"/>
      <c r="P52" s="711"/>
      <c r="Q52" s="711"/>
      <c r="R52" s="711"/>
      <c r="S52" s="703"/>
      <c r="T52" s="703"/>
      <c r="U52" s="711"/>
      <c r="V52" s="711"/>
      <c r="W52" s="711"/>
      <c r="X52" s="711"/>
      <c r="Y52" s="711"/>
      <c r="Z52" s="711"/>
      <c r="AA52" s="711"/>
      <c r="AB52" s="711"/>
      <c r="AC52" s="711"/>
      <c r="AD52" s="711"/>
      <c r="AE52" s="711"/>
      <c r="AF52" s="711"/>
      <c r="AG52" s="711"/>
      <c r="AH52" s="711"/>
      <c r="AI52" s="711"/>
      <c r="AJ52" s="711"/>
      <c r="AK52" s="711"/>
      <c r="AL52" s="711"/>
      <c r="AM52" s="711"/>
      <c r="AN52" s="711"/>
      <c r="AO52" s="711"/>
      <c r="AP52" s="711"/>
      <c r="AQ52" s="711"/>
      <c r="AR52" s="711"/>
      <c r="AS52" s="711"/>
      <c r="AT52" s="711"/>
      <c r="AU52" s="711"/>
      <c r="AV52" s="711"/>
      <c r="AW52" s="711"/>
      <c r="AX52" s="711"/>
      <c r="AY52" s="711"/>
      <c r="AZ52" s="711"/>
      <c r="BA52" s="711"/>
      <c r="BB52" s="711"/>
      <c r="BC52" s="711"/>
      <c r="BD52" s="711"/>
      <c r="BE52" s="711"/>
      <c r="BF52" s="711"/>
      <c r="BG52" s="711"/>
      <c r="BH52" s="711"/>
      <c r="BI52" s="711"/>
      <c r="BJ52" s="711"/>
      <c r="BK52" s="711"/>
      <c r="BL52" s="711"/>
      <c r="BM52" s="711"/>
      <c r="BN52" s="711"/>
      <c r="BO52" s="711"/>
      <c r="BP52" s="711"/>
      <c r="BQ52" s="711"/>
      <c r="BR52" s="711"/>
      <c r="BS52" s="711"/>
      <c r="BT52" s="711"/>
      <c r="BU52" s="711"/>
      <c r="BV52" s="711"/>
    </row>
    <row r="53" spans="1:74" s="710" customFormat="1" ht="15.75" customHeight="1">
      <c r="A53" s="714" t="s">
        <v>797</v>
      </c>
      <c r="B53" s="716">
        <f>FL_mult_cost_p.acre</f>
        <v>15480</v>
      </c>
      <c r="C53" s="716">
        <f>SE_mult_cost_p.acre</f>
        <v>13780</v>
      </c>
      <c r="D53" s="716">
        <f>BOCA_mult_cost_p.acre</f>
        <v>13710</v>
      </c>
      <c r="E53" s="716">
        <f>SW_mult_cost_p.acre</f>
        <v>16570</v>
      </c>
      <c r="F53" s="1018" t="s">
        <v>1150</v>
      </c>
      <c r="G53" s="716">
        <f>NC_mult_cost_p.acre</f>
        <v>18480</v>
      </c>
      <c r="I53" s="711"/>
      <c r="J53" s="711"/>
      <c r="K53" s="711"/>
      <c r="L53" s="711"/>
      <c r="M53" s="711"/>
      <c r="N53" s="711"/>
      <c r="O53" s="711"/>
      <c r="P53" s="711"/>
      <c r="Q53" s="711"/>
      <c r="R53" s="711"/>
      <c r="S53" s="716"/>
      <c r="T53" s="716"/>
      <c r="U53" s="711"/>
      <c r="V53" s="711"/>
      <c r="W53" s="711"/>
      <c r="X53" s="711"/>
      <c r="Y53" s="711"/>
      <c r="Z53" s="711"/>
      <c r="AA53" s="711"/>
      <c r="AB53" s="711"/>
      <c r="AC53" s="711"/>
      <c r="AD53" s="711"/>
      <c r="AE53" s="711"/>
      <c r="AF53" s="711"/>
      <c r="AG53" s="711"/>
      <c r="AH53" s="711"/>
      <c r="AI53" s="711"/>
      <c r="AJ53" s="711"/>
      <c r="AK53" s="711"/>
      <c r="AL53" s="711"/>
      <c r="AM53" s="711"/>
      <c r="AN53" s="711"/>
      <c r="AO53" s="711"/>
      <c r="AP53" s="711"/>
      <c r="AQ53" s="711"/>
      <c r="AR53" s="711"/>
      <c r="AS53" s="711"/>
      <c r="AT53" s="711"/>
      <c r="AU53" s="711"/>
      <c r="AV53" s="711"/>
      <c r="AW53" s="711"/>
      <c r="AX53" s="711"/>
      <c r="AY53" s="711"/>
      <c r="AZ53" s="711"/>
      <c r="BA53" s="711"/>
      <c r="BB53" s="711"/>
      <c r="BC53" s="711"/>
      <c r="BD53" s="711"/>
      <c r="BE53" s="711"/>
      <c r="BF53" s="711"/>
      <c r="BG53" s="711"/>
      <c r="BH53" s="711"/>
      <c r="BI53" s="711"/>
      <c r="BJ53" s="711"/>
      <c r="BK53" s="711"/>
      <c r="BL53" s="711"/>
      <c r="BM53" s="711"/>
      <c r="BN53" s="711"/>
      <c r="BO53" s="711"/>
      <c r="BP53" s="711"/>
      <c r="BQ53" s="711"/>
      <c r="BR53" s="711"/>
      <c r="BS53" s="711"/>
      <c r="BT53" s="711"/>
      <c r="BU53" s="711"/>
      <c r="BV53" s="711"/>
    </row>
    <row r="54" spans="1:74" s="710" customFormat="1" ht="15.75" customHeight="1">
      <c r="A54" s="702" t="s">
        <v>798</v>
      </c>
      <c r="B54" s="713">
        <f>FL_mult_cost_p.round</f>
        <v>69</v>
      </c>
      <c r="C54" s="713">
        <f>SE_mult_cost_p.round</f>
        <v>71</v>
      </c>
      <c r="D54" s="713">
        <f>BOCA_mult_cost_p.round</f>
        <v>64</v>
      </c>
      <c r="E54" s="713">
        <f>SW_mult_cost_p.round</f>
        <v>75</v>
      </c>
      <c r="F54" s="1017" t="s">
        <v>1150</v>
      </c>
      <c r="G54" s="713">
        <f>NC_mult_cost_p.round</f>
        <v>69</v>
      </c>
      <c r="I54" s="711"/>
      <c r="J54" s="711"/>
      <c r="K54" s="711"/>
      <c r="L54" s="711"/>
      <c r="M54" s="711"/>
      <c r="N54" s="711"/>
      <c r="O54" s="711"/>
      <c r="P54" s="711"/>
      <c r="Q54" s="711"/>
      <c r="R54" s="711"/>
      <c r="S54" s="713"/>
      <c r="T54" s="713"/>
      <c r="U54" s="711"/>
      <c r="V54" s="711"/>
      <c r="W54" s="711"/>
      <c r="X54" s="711"/>
      <c r="Y54" s="711"/>
      <c r="Z54" s="711"/>
      <c r="AA54" s="711"/>
      <c r="AB54" s="711"/>
      <c r="AC54" s="711"/>
      <c r="AD54" s="711"/>
      <c r="AE54" s="711"/>
      <c r="AF54" s="711"/>
      <c r="AG54" s="711"/>
      <c r="AH54" s="711"/>
      <c r="AI54" s="711"/>
      <c r="AJ54" s="711"/>
      <c r="AK54" s="711"/>
      <c r="AL54" s="711"/>
      <c r="AM54" s="711"/>
      <c r="AN54" s="711"/>
      <c r="AO54" s="711"/>
      <c r="AP54" s="711"/>
      <c r="AQ54" s="711"/>
      <c r="AR54" s="711"/>
      <c r="AS54" s="711"/>
      <c r="AT54" s="711"/>
      <c r="AU54" s="711"/>
      <c r="AV54" s="711"/>
      <c r="AW54" s="711"/>
      <c r="AX54" s="711"/>
      <c r="AY54" s="711"/>
      <c r="AZ54" s="711"/>
      <c r="BA54" s="711"/>
      <c r="BB54" s="711"/>
      <c r="BC54" s="711"/>
      <c r="BD54" s="711"/>
      <c r="BE54" s="711"/>
      <c r="BF54" s="711"/>
      <c r="BG54" s="711"/>
      <c r="BH54" s="711"/>
      <c r="BI54" s="711"/>
      <c r="BJ54" s="711"/>
      <c r="BK54" s="711"/>
      <c r="BL54" s="711"/>
      <c r="BM54" s="711"/>
      <c r="BN54" s="711"/>
      <c r="BO54" s="711"/>
      <c r="BP54" s="711"/>
      <c r="BQ54" s="711"/>
      <c r="BR54" s="711"/>
      <c r="BS54" s="711"/>
      <c r="BT54" s="711"/>
      <c r="BU54" s="711"/>
      <c r="BV54" s="711"/>
    </row>
    <row r="55" spans="1:74" s="710" customFormat="1" ht="3.75" customHeight="1">
      <c r="I55" s="711"/>
      <c r="J55" s="711"/>
      <c r="K55" s="711"/>
      <c r="L55" s="711"/>
      <c r="M55" s="711"/>
      <c r="N55" s="711"/>
      <c r="O55" s="711"/>
      <c r="P55" s="711"/>
      <c r="Q55" s="711"/>
      <c r="R55" s="711"/>
      <c r="S55" s="711"/>
      <c r="T55" s="711"/>
      <c r="U55" s="711"/>
      <c r="V55" s="711"/>
      <c r="W55" s="711"/>
      <c r="X55" s="711"/>
      <c r="Y55" s="711"/>
      <c r="Z55" s="711"/>
      <c r="AA55" s="711"/>
      <c r="AB55" s="711"/>
      <c r="AC55" s="711"/>
      <c r="AD55" s="711"/>
      <c r="AE55" s="711"/>
      <c r="AF55" s="711"/>
      <c r="AG55" s="711"/>
      <c r="AH55" s="711"/>
      <c r="AI55" s="711"/>
      <c r="AJ55" s="711"/>
      <c r="AK55" s="711"/>
      <c r="AL55" s="711"/>
      <c r="AM55" s="711"/>
      <c r="AN55" s="711"/>
      <c r="AO55" s="711"/>
      <c r="AP55" s="711"/>
      <c r="AQ55" s="711"/>
      <c r="AR55" s="711"/>
      <c r="AS55" s="711"/>
      <c r="AT55" s="711"/>
      <c r="AU55" s="711"/>
      <c r="AV55" s="711"/>
      <c r="AW55" s="711"/>
      <c r="AX55" s="711"/>
      <c r="AY55" s="711"/>
      <c r="AZ55" s="711"/>
      <c r="BA55" s="711"/>
      <c r="BB55" s="711"/>
      <c r="BC55" s="711"/>
      <c r="BD55" s="711"/>
      <c r="BE55" s="711"/>
      <c r="BF55" s="711"/>
      <c r="BG55" s="711"/>
      <c r="BH55" s="711"/>
      <c r="BI55" s="711"/>
      <c r="BJ55" s="711"/>
      <c r="BK55" s="711"/>
      <c r="BL55" s="711"/>
      <c r="BM55" s="711"/>
      <c r="BN55" s="711"/>
      <c r="BO55" s="711"/>
      <c r="BP55" s="711"/>
      <c r="BQ55" s="711"/>
      <c r="BR55" s="711"/>
      <c r="BS55" s="711"/>
      <c r="BT55" s="711"/>
      <c r="BU55" s="711"/>
      <c r="BV55" s="711"/>
    </row>
    <row r="56" spans="1:74" s="710" customFormat="1">
      <c r="A56" s="711" t="s">
        <v>430</v>
      </c>
      <c r="B56" s="711"/>
      <c r="C56" s="711"/>
      <c r="D56" s="711"/>
      <c r="E56" s="711"/>
      <c r="F56" s="711"/>
      <c r="G56" s="711"/>
      <c r="I56" s="711"/>
      <c r="J56" s="711"/>
      <c r="K56" s="711"/>
      <c r="L56" s="711"/>
      <c r="M56" s="711"/>
      <c r="N56" s="711"/>
      <c r="O56" s="711"/>
      <c r="P56" s="711"/>
      <c r="Q56" s="711"/>
      <c r="R56" s="711"/>
      <c r="S56" s="711"/>
      <c r="T56" s="711"/>
      <c r="U56" s="711"/>
      <c r="V56" s="711"/>
      <c r="W56" s="711"/>
      <c r="X56" s="711"/>
      <c r="Y56" s="711"/>
      <c r="Z56" s="711"/>
      <c r="AA56" s="711"/>
      <c r="AB56" s="711"/>
      <c r="AC56" s="711"/>
      <c r="AD56" s="711"/>
      <c r="AE56" s="711"/>
      <c r="AF56" s="711"/>
      <c r="AG56" s="711"/>
      <c r="AH56" s="711"/>
      <c r="AI56" s="711"/>
      <c r="AJ56" s="711"/>
      <c r="AK56" s="711"/>
      <c r="AL56" s="711"/>
      <c r="AM56" s="711"/>
      <c r="AN56" s="711"/>
      <c r="AO56" s="711"/>
      <c r="AP56" s="711"/>
      <c r="AQ56" s="711"/>
      <c r="AR56" s="711"/>
      <c r="AS56" s="711"/>
      <c r="AT56" s="711"/>
      <c r="AU56" s="711"/>
      <c r="AV56" s="711"/>
      <c r="AW56" s="711"/>
      <c r="AX56" s="711"/>
      <c r="AY56" s="711"/>
      <c r="AZ56" s="711"/>
      <c r="BA56" s="711"/>
      <c r="BB56" s="711"/>
      <c r="BC56" s="711"/>
      <c r="BD56" s="711"/>
      <c r="BE56" s="711"/>
      <c r="BF56" s="711"/>
      <c r="BG56" s="711"/>
      <c r="BH56" s="711"/>
      <c r="BI56" s="711"/>
      <c r="BJ56" s="711"/>
      <c r="BK56" s="711"/>
      <c r="BL56" s="711"/>
      <c r="BM56" s="711"/>
      <c r="BN56" s="711"/>
      <c r="BO56" s="711"/>
      <c r="BP56" s="711"/>
      <c r="BQ56" s="711"/>
      <c r="BR56" s="711"/>
      <c r="BS56" s="711"/>
      <c r="BT56" s="711"/>
      <c r="BU56" s="711"/>
      <c r="BV56" s="711"/>
    </row>
    <row r="57" spans="1:74" s="710" customFormat="1">
      <c r="A57" s="1020" t="s">
        <v>1152</v>
      </c>
      <c r="I57" s="711"/>
      <c r="J57" s="711"/>
      <c r="K57" s="711"/>
      <c r="L57" s="711"/>
      <c r="M57" s="711"/>
      <c r="N57" s="711"/>
      <c r="O57" s="711"/>
      <c r="P57" s="711"/>
      <c r="Q57" s="711"/>
      <c r="R57" s="711"/>
      <c r="S57" s="711"/>
      <c r="T57" s="711"/>
      <c r="U57" s="711"/>
      <c r="V57" s="711"/>
      <c r="W57" s="711"/>
      <c r="X57" s="711"/>
      <c r="Y57" s="711"/>
      <c r="Z57" s="711"/>
      <c r="AA57" s="711"/>
      <c r="AB57" s="711"/>
      <c r="AC57" s="711"/>
      <c r="AD57" s="711"/>
      <c r="AE57" s="711"/>
      <c r="AF57" s="711"/>
      <c r="AG57" s="711"/>
      <c r="AH57" s="711"/>
      <c r="AI57" s="711"/>
      <c r="AJ57" s="711"/>
      <c r="AK57" s="711"/>
      <c r="AL57" s="711"/>
      <c r="AM57" s="711"/>
      <c r="AN57" s="711"/>
      <c r="AO57" s="711"/>
      <c r="AP57" s="711"/>
      <c r="AQ57" s="711"/>
      <c r="AR57" s="711"/>
      <c r="AS57" s="711"/>
      <c r="AT57" s="711"/>
      <c r="AU57" s="711"/>
      <c r="AV57" s="711"/>
      <c r="AW57" s="711"/>
      <c r="AX57" s="711"/>
      <c r="AY57" s="711"/>
      <c r="AZ57" s="711"/>
      <c r="BA57" s="711"/>
      <c r="BB57" s="711"/>
      <c r="BC57" s="711"/>
      <c r="BD57" s="711"/>
      <c r="BE57" s="711"/>
      <c r="BF57" s="711"/>
      <c r="BG57" s="711"/>
      <c r="BH57" s="711"/>
      <c r="BI57" s="711"/>
      <c r="BJ57" s="711"/>
      <c r="BK57" s="711"/>
      <c r="BL57" s="711"/>
      <c r="BM57" s="711"/>
      <c r="BN57" s="711"/>
      <c r="BO57" s="711"/>
      <c r="BP57" s="711"/>
      <c r="BQ57" s="711"/>
      <c r="BR57" s="711"/>
      <c r="BS57" s="711"/>
      <c r="BT57" s="711"/>
      <c r="BU57" s="711"/>
      <c r="BV57" s="711"/>
    </row>
    <row r="58" spans="1:74" s="710" customFormat="1">
      <c r="I58" s="711"/>
      <c r="J58" s="711"/>
      <c r="K58" s="711"/>
      <c r="L58" s="711"/>
      <c r="M58" s="711"/>
      <c r="N58" s="711"/>
      <c r="O58" s="711"/>
      <c r="P58" s="711"/>
      <c r="Q58" s="711"/>
      <c r="R58" s="711"/>
      <c r="S58" s="711"/>
      <c r="T58" s="711"/>
      <c r="U58" s="711"/>
      <c r="V58" s="711"/>
      <c r="W58" s="711"/>
      <c r="X58" s="711"/>
      <c r="Y58" s="711"/>
      <c r="Z58" s="711"/>
      <c r="AA58" s="711"/>
      <c r="AB58" s="711"/>
      <c r="AC58" s="711"/>
      <c r="AD58" s="711"/>
      <c r="AE58" s="711"/>
      <c r="AF58" s="711"/>
      <c r="AG58" s="711"/>
      <c r="AH58" s="711"/>
      <c r="AI58" s="711"/>
      <c r="AJ58" s="711"/>
      <c r="AK58" s="711"/>
      <c r="AL58" s="711"/>
      <c r="AM58" s="711"/>
      <c r="AN58" s="711"/>
      <c r="AO58" s="711"/>
      <c r="AP58" s="711"/>
      <c r="AQ58" s="711"/>
      <c r="AR58" s="711"/>
      <c r="AS58" s="711"/>
      <c r="AT58" s="711"/>
      <c r="AU58" s="711"/>
      <c r="AV58" s="711"/>
      <c r="AW58" s="711"/>
      <c r="AX58" s="711"/>
      <c r="AY58" s="711"/>
      <c r="AZ58" s="711"/>
      <c r="BA58" s="711"/>
      <c r="BB58" s="711"/>
      <c r="BC58" s="711"/>
      <c r="BD58" s="711"/>
      <c r="BE58" s="711"/>
      <c r="BF58" s="711"/>
      <c r="BG58" s="711"/>
      <c r="BH58" s="711"/>
      <c r="BI58" s="711"/>
      <c r="BJ58" s="711"/>
      <c r="BK58" s="711"/>
      <c r="BL58" s="711"/>
      <c r="BM58" s="711"/>
      <c r="BN58" s="711"/>
      <c r="BO58" s="711"/>
      <c r="BP58" s="711"/>
      <c r="BQ58" s="711"/>
      <c r="BR58" s="711"/>
      <c r="BS58" s="711"/>
      <c r="BT58" s="711"/>
      <c r="BU58" s="711"/>
      <c r="BV58" s="711"/>
    </row>
    <row r="59" spans="1:74" s="389" customFormat="1" ht="21">
      <c r="A59" s="698" t="s">
        <v>799</v>
      </c>
      <c r="I59" s="689"/>
      <c r="J59" s="689"/>
      <c r="K59" s="689"/>
      <c r="L59" s="689"/>
      <c r="M59" s="689"/>
      <c r="N59" s="689"/>
      <c r="O59" s="689"/>
      <c r="P59" s="689"/>
      <c r="Q59" s="689"/>
      <c r="R59" s="689"/>
      <c r="S59" s="689"/>
      <c r="T59" s="689"/>
      <c r="U59" s="689"/>
      <c r="V59" s="689"/>
      <c r="W59" s="689"/>
      <c r="X59" s="689"/>
      <c r="Y59" s="689"/>
      <c r="Z59" s="689"/>
      <c r="AA59" s="689"/>
      <c r="AB59" s="689"/>
      <c r="AC59" s="689"/>
      <c r="AD59" s="689"/>
      <c r="AE59" s="689"/>
      <c r="AF59" s="689"/>
      <c r="AG59" s="689"/>
      <c r="AH59" s="689"/>
      <c r="AI59" s="689"/>
      <c r="AJ59" s="689"/>
      <c r="AK59" s="689"/>
      <c r="AL59" s="689"/>
      <c r="AM59" s="689"/>
      <c r="AN59" s="689"/>
      <c r="AO59" s="689"/>
      <c r="AP59" s="689"/>
      <c r="AQ59" s="689"/>
      <c r="AR59" s="689"/>
      <c r="AS59" s="689"/>
      <c r="AT59" s="689"/>
      <c r="AU59" s="689"/>
      <c r="AV59" s="689"/>
      <c r="AW59" s="689"/>
      <c r="AX59" s="689"/>
      <c r="AY59" s="689"/>
      <c r="AZ59" s="689"/>
      <c r="BA59" s="689"/>
      <c r="BB59" s="689"/>
      <c r="BC59" s="689"/>
      <c r="BD59" s="689"/>
      <c r="BE59" s="689"/>
      <c r="BF59" s="689"/>
      <c r="BG59" s="689"/>
      <c r="BH59" s="689"/>
      <c r="BI59" s="689"/>
      <c r="BJ59" s="689"/>
      <c r="BK59" s="689"/>
      <c r="BL59" s="689"/>
      <c r="BM59" s="689"/>
      <c r="BN59" s="689"/>
      <c r="BO59" s="689"/>
      <c r="BP59" s="689"/>
      <c r="BQ59" s="689"/>
      <c r="BR59" s="689"/>
      <c r="BS59" s="689"/>
      <c r="BT59" s="689"/>
      <c r="BU59" s="689"/>
      <c r="BV59" s="689"/>
    </row>
    <row r="60" spans="1:74" s="389" customFormat="1">
      <c r="A60" s="700" t="s">
        <v>459</v>
      </c>
      <c r="B60" s="701" t="s">
        <v>274</v>
      </c>
      <c r="C60" s="701" t="s">
        <v>419</v>
      </c>
      <c r="D60" s="701" t="s">
        <v>270</v>
      </c>
      <c r="E60" s="701" t="s">
        <v>271</v>
      </c>
      <c r="F60" s="701" t="s">
        <v>421</v>
      </c>
      <c r="G60" s="701" t="s">
        <v>272</v>
      </c>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row>
    <row r="61" spans="1:74" s="389" customFormat="1">
      <c r="B61" s="701" t="s">
        <v>268</v>
      </c>
      <c r="C61" s="701" t="s">
        <v>295</v>
      </c>
      <c r="D61" s="701" t="s">
        <v>257</v>
      </c>
      <c r="E61" s="701" t="s">
        <v>296</v>
      </c>
      <c r="F61" s="701" t="s">
        <v>277</v>
      </c>
      <c r="G61" s="701" t="s">
        <v>278</v>
      </c>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row>
    <row r="62" spans="1:74" s="389" customFormat="1">
      <c r="A62" s="719" t="s">
        <v>434</v>
      </c>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row>
    <row r="63" spans="1:74" s="389" customFormat="1">
      <c r="A63" s="720" t="s">
        <v>30</v>
      </c>
      <c r="B63" s="721">
        <f>FL_18_salwage_p.hole</f>
        <v>54900</v>
      </c>
      <c r="C63" s="721">
        <f>SE_18_salwage_p.hole</f>
        <v>67700</v>
      </c>
      <c r="D63" s="721">
        <f>BOCA_18_salwage_p.hole</f>
        <v>64500</v>
      </c>
      <c r="E63" s="721">
        <f>SW_18_salwage_p.hole</f>
        <v>54600</v>
      </c>
      <c r="F63" s="721">
        <f>SWCIRA_18_salwage_p.hole</f>
        <v>44300</v>
      </c>
      <c r="G63" s="721">
        <f>NC_18_salwage_p.hole</f>
        <v>49200</v>
      </c>
      <c r="I63" s="689"/>
      <c r="J63" s="689"/>
      <c r="K63" s="689"/>
      <c r="L63" s="689"/>
      <c r="M63" s="689"/>
      <c r="N63" s="689"/>
      <c r="O63" s="689"/>
      <c r="P63" s="689"/>
      <c r="Q63" s="689"/>
      <c r="R63" s="689"/>
      <c r="S63" s="689"/>
      <c r="T63" s="689"/>
      <c r="U63" s="689"/>
      <c r="V63" s="689"/>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row>
    <row r="64" spans="1:74" s="389" customFormat="1">
      <c r="A64" s="719" t="s">
        <v>350</v>
      </c>
      <c r="B64" s="722">
        <f>FL_18_paytax_bens_p.hole</f>
        <v>10700</v>
      </c>
      <c r="C64" s="722">
        <f>SE_18_paytax_bens_p.hole</f>
        <v>12000</v>
      </c>
      <c r="D64" s="722">
        <f>BOCA_18_paytax_bens_p.hole</f>
        <v>12100</v>
      </c>
      <c r="E64" s="722">
        <f>SW_18_paytax_bens_p.hole</f>
        <v>10700</v>
      </c>
      <c r="F64" s="722">
        <f>SWCIRA_18_paytax_bens_p.hole</f>
        <v>9400</v>
      </c>
      <c r="G64" s="722">
        <f>NC_18_paytax_bens_p.hole</f>
        <v>10300</v>
      </c>
      <c r="I64" s="689"/>
      <c r="J64" s="689"/>
      <c r="K64" s="689"/>
      <c r="L64" s="689"/>
      <c r="M64" s="689"/>
      <c r="N64" s="689"/>
      <c r="O64" s="689"/>
      <c r="P64" s="689"/>
      <c r="Q64" s="689"/>
      <c r="R64" s="689"/>
      <c r="S64" s="689"/>
      <c r="T64" s="689"/>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row>
    <row r="65" spans="1:74" s="389" customFormat="1">
      <c r="A65" s="707" t="s">
        <v>377</v>
      </c>
      <c r="B65" s="723">
        <f>FL_18_supplies_p.hole</f>
        <v>29800</v>
      </c>
      <c r="C65" s="723">
        <f>SE_18_supplies_p.hole</f>
        <v>34900</v>
      </c>
      <c r="D65" s="723">
        <f>BOCA_18_supplies_p.hole</f>
        <v>29800</v>
      </c>
      <c r="E65" s="723">
        <f>SW_18_supplies_p.hole</f>
        <v>31100</v>
      </c>
      <c r="F65" s="723">
        <f>SWCIRA_18_supplies_p.hole</f>
        <v>28400</v>
      </c>
      <c r="G65" s="723">
        <f>NC_18_supplies_p.hole</f>
        <v>25000</v>
      </c>
      <c r="I65" s="689"/>
      <c r="J65" s="689"/>
      <c r="K65" s="689"/>
      <c r="L65" s="689"/>
      <c r="M65" s="689"/>
      <c r="N65" s="689"/>
      <c r="O65" s="689"/>
      <c r="P65" s="689"/>
      <c r="Q65" s="689"/>
      <c r="R65" s="689"/>
      <c r="S65" s="689"/>
      <c r="T65" s="689"/>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89"/>
      <c r="AY65" s="689"/>
      <c r="AZ65" s="689"/>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row>
    <row r="66" spans="1:74" s="389" customFormat="1">
      <c r="A66" s="719" t="s">
        <v>378</v>
      </c>
      <c r="B66" s="722"/>
      <c r="C66" s="722"/>
      <c r="D66" s="722"/>
      <c r="E66" s="722"/>
      <c r="F66" s="722"/>
      <c r="G66" s="722"/>
      <c r="I66" s="689"/>
      <c r="J66" s="689"/>
      <c r="K66" s="689"/>
      <c r="L66" s="689"/>
      <c r="M66" s="689"/>
      <c r="N66" s="689"/>
      <c r="O66" s="689"/>
      <c r="P66" s="689"/>
      <c r="Q66" s="689"/>
      <c r="R66" s="689"/>
      <c r="S66" s="689"/>
      <c r="T66" s="689"/>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row>
    <row r="67" spans="1:74" s="389" customFormat="1">
      <c r="A67" s="719" t="s">
        <v>379</v>
      </c>
      <c r="B67" s="722">
        <f>FL_18_rep_mtce_p.hole</f>
        <v>8500</v>
      </c>
      <c r="C67" s="722">
        <f>SE_18_rep_mtce_p.hole</f>
        <v>11500</v>
      </c>
      <c r="D67" s="722">
        <f>BOCA_18_rep_mtce_p.hole</f>
        <v>7800</v>
      </c>
      <c r="E67" s="722">
        <f>SW_18_rep_mtce_p.hole</f>
        <v>10000</v>
      </c>
      <c r="F67" s="722">
        <f>SWCIRA_18_rep_mtce_p.hole</f>
        <v>5800</v>
      </c>
      <c r="G67" s="722">
        <f>NC_18_rep_mtce_p.hole</f>
        <v>7300</v>
      </c>
      <c r="I67" s="689"/>
      <c r="J67" s="689"/>
      <c r="K67" s="689"/>
      <c r="L67" s="689"/>
      <c r="M67" s="689"/>
      <c r="N67" s="689"/>
      <c r="O67" s="689"/>
      <c r="P67" s="689"/>
      <c r="Q67" s="689"/>
      <c r="R67" s="689"/>
      <c r="S67" s="689"/>
      <c r="T67" s="689"/>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89"/>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row>
    <row r="68" spans="1:74" s="389" customFormat="1">
      <c r="A68" s="707" t="s">
        <v>1116</v>
      </c>
      <c r="B68" s="723">
        <f>FL_18_lease_p.hole</f>
        <v>2800</v>
      </c>
      <c r="C68" s="723">
        <f>SE_18_lease_p.hole</f>
        <v>2000</v>
      </c>
      <c r="D68" s="723">
        <f>BOCA_18_lease_p.hole</f>
        <v>100</v>
      </c>
      <c r="E68" s="723">
        <f>SW_18_lease_p.hole</f>
        <v>4300</v>
      </c>
      <c r="F68" s="723">
        <f>SWCIRA_18_lease_p.hole</f>
        <v>3300</v>
      </c>
      <c r="G68" s="723">
        <f>NC_18_lease_p.hole</f>
        <v>2900</v>
      </c>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row>
    <row r="69" spans="1:74" s="389" customFormat="1">
      <c r="A69" s="727" t="s">
        <v>39</v>
      </c>
      <c r="B69" s="722">
        <f>SUM(FL_18_all_otherexp_p.hole)-B68-100</f>
        <v>11700</v>
      </c>
      <c r="C69" s="722">
        <f>SUM(SE_18_all_otherexp_p.hole)-C68</f>
        <v>17800</v>
      </c>
      <c r="D69" s="722">
        <f>SUM(BOCA_18_all_otherexp_p.hole)-D68+100</f>
        <v>10300</v>
      </c>
      <c r="E69" s="722">
        <f>SUM(SW_18_all_otherexp_p.hole)-E68-100</f>
        <v>13500</v>
      </c>
      <c r="F69" s="722">
        <f>SUM(SWCIRA_18_all_otherexp_p.hole)-F68</f>
        <v>8700</v>
      </c>
      <c r="G69" s="722">
        <f>SUM(NC_18_all_otherexp_p.hole)-G68-100</f>
        <v>8200</v>
      </c>
      <c r="J69" s="788">
        <f>B70-Y121</f>
        <v>0</v>
      </c>
      <c r="K69" s="796" t="s">
        <v>906</v>
      </c>
      <c r="L69" s="789"/>
      <c r="M69" s="789"/>
      <c r="N69" s="789"/>
      <c r="O69" s="790"/>
      <c r="P69" s="689"/>
      <c r="Q69" s="689"/>
      <c r="R69" s="689"/>
      <c r="S69" s="689"/>
      <c r="T69" s="689"/>
      <c r="U69" s="689"/>
      <c r="V69" s="689"/>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row>
    <row r="70" spans="1:74" s="389" customFormat="1" ht="15.6" thickBot="1">
      <c r="A70" s="702"/>
      <c r="B70" s="976">
        <f>FL_18_cost_p.hole</f>
        <v>118400</v>
      </c>
      <c r="C70" s="976">
        <f>SE_18_cost_p.hole</f>
        <v>145900</v>
      </c>
      <c r="D70" s="976">
        <f>BOCA_18_cost_p.hole</f>
        <v>124600</v>
      </c>
      <c r="E70" s="976">
        <f>SW_18_cost_p.hole</f>
        <v>124200</v>
      </c>
      <c r="F70" s="976">
        <f>SWCIRA_18_cost_p.hole</f>
        <v>99900</v>
      </c>
      <c r="G70" s="976">
        <f>NC_18_cost_p.hole</f>
        <v>102900</v>
      </c>
      <c r="J70" s="791">
        <f>SUM(B63:B69)-B70</f>
        <v>0</v>
      </c>
      <c r="K70" s="711">
        <f>SUM(C63:C69)-C70</f>
        <v>0</v>
      </c>
      <c r="L70" s="711">
        <f t="shared" ref="L70:N70" si="10">SUM(D63:D69)-D70</f>
        <v>0</v>
      </c>
      <c r="M70" s="711">
        <f t="shared" si="10"/>
        <v>0</v>
      </c>
      <c r="N70" s="711">
        <f t="shared" si="10"/>
        <v>0</v>
      </c>
      <c r="O70" s="792">
        <f>SUM(G63:G69)-G70</f>
        <v>0</v>
      </c>
      <c r="P70" s="689"/>
      <c r="Q70" s="689"/>
      <c r="R70" s="689"/>
      <c r="S70" s="689"/>
      <c r="T70" s="689"/>
      <c r="U70" s="689"/>
      <c r="V70" s="689"/>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row>
    <row r="71" spans="1:74" s="389" customFormat="1" ht="16.2" thickTop="1" thickBot="1">
      <c r="A71" s="727" t="s">
        <v>895</v>
      </c>
      <c r="B71" s="724">
        <f t="shared" ref="B71:G71" si="11">B70*18</f>
        <v>2131200</v>
      </c>
      <c r="C71" s="724">
        <f t="shared" si="11"/>
        <v>2626200</v>
      </c>
      <c r="D71" s="724">
        <f t="shared" si="11"/>
        <v>2242800</v>
      </c>
      <c r="E71" s="724">
        <f t="shared" si="11"/>
        <v>2235600</v>
      </c>
      <c r="F71" s="724">
        <f t="shared" si="11"/>
        <v>1798200</v>
      </c>
      <c r="G71" s="724">
        <f t="shared" si="11"/>
        <v>1852200</v>
      </c>
      <c r="J71" s="793">
        <f t="shared" ref="J71:O71" si="12">B70*18-B71</f>
        <v>0</v>
      </c>
      <c r="K71" s="794">
        <f t="shared" si="12"/>
        <v>0</v>
      </c>
      <c r="L71" s="794">
        <f t="shared" si="12"/>
        <v>0</v>
      </c>
      <c r="M71" s="794">
        <f t="shared" si="12"/>
        <v>0</v>
      </c>
      <c r="N71" s="794">
        <f t="shared" si="12"/>
        <v>0</v>
      </c>
      <c r="O71" s="795">
        <f t="shared" si="12"/>
        <v>0</v>
      </c>
      <c r="P71" s="689"/>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89"/>
      <c r="AT71" s="689"/>
      <c r="AU71" s="689"/>
      <c r="AV71" s="689"/>
      <c r="AW71" s="689"/>
      <c r="AX71" s="689"/>
      <c r="AY71" s="689"/>
      <c r="AZ71" s="689"/>
      <c r="BA71" s="689"/>
      <c r="BB71" s="689"/>
      <c r="BC71" s="689"/>
      <c r="BD71" s="689"/>
      <c r="BE71" s="689"/>
      <c r="BF71" s="689"/>
      <c r="BG71" s="689"/>
      <c r="BH71" s="689"/>
      <c r="BI71" s="689"/>
      <c r="BJ71" s="689"/>
      <c r="BK71" s="689"/>
      <c r="BL71" s="689"/>
      <c r="BM71" s="689"/>
      <c r="BN71" s="689"/>
      <c r="BO71" s="689"/>
      <c r="BP71" s="689"/>
      <c r="BQ71" s="689"/>
      <c r="BR71" s="689"/>
      <c r="BS71" s="689"/>
      <c r="BT71" s="689"/>
      <c r="BU71" s="689"/>
      <c r="BV71" s="689"/>
    </row>
    <row r="72" spans="1:74" s="389" customFormat="1" ht="15.6" thickTop="1">
      <c r="I72" s="689"/>
      <c r="J72" s="689"/>
      <c r="K72" s="689"/>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row>
    <row r="73" spans="1:74" s="389" customFormat="1">
      <c r="A73" s="707" t="s">
        <v>30</v>
      </c>
      <c r="B73" s="717">
        <f>FL_18_sal_wage_perc</f>
        <v>0.46300000000000002</v>
      </c>
      <c r="C73" s="717">
        <f>SE_18_sal_wage_perc</f>
        <v>0.46400000000000002</v>
      </c>
      <c r="D73" s="717">
        <f>BOCA_18_sal_wage_perc</f>
        <v>0.51800000000000002</v>
      </c>
      <c r="E73" s="717">
        <f>SW_18_sal_wage_perc</f>
        <v>0.44</v>
      </c>
      <c r="F73" s="717">
        <f>SWCIRA_18_sal_wage_perc</f>
        <v>0.443</v>
      </c>
      <c r="G73" s="717">
        <f>NC_18_sal_wage_perc</f>
        <v>0.47799999999999998</v>
      </c>
      <c r="I73" s="725"/>
      <c r="J73" s="726"/>
      <c r="K73" s="726"/>
      <c r="L73" s="726"/>
      <c r="M73" s="726"/>
      <c r="N73" s="726"/>
      <c r="O73" s="689"/>
      <c r="P73" s="689"/>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89"/>
      <c r="BC73" s="689"/>
      <c r="BD73" s="689"/>
      <c r="BE73" s="689"/>
      <c r="BF73" s="689"/>
      <c r="BG73" s="689"/>
      <c r="BH73" s="689"/>
      <c r="BI73" s="689"/>
      <c r="BJ73" s="689"/>
      <c r="BK73" s="689"/>
      <c r="BL73" s="689"/>
      <c r="BM73" s="689"/>
      <c r="BN73" s="689"/>
      <c r="BO73" s="689"/>
      <c r="BP73" s="689"/>
      <c r="BQ73" s="689"/>
      <c r="BR73" s="689"/>
      <c r="BS73" s="689"/>
      <c r="BT73" s="689"/>
      <c r="BU73" s="689"/>
      <c r="BV73" s="689"/>
    </row>
    <row r="74" spans="1:74" s="389" customFormat="1">
      <c r="A74" s="727" t="s">
        <v>350</v>
      </c>
      <c r="B74" s="705">
        <f>FL_18_paytax_bens_perc</f>
        <v>9.0999999999999998E-2</v>
      </c>
      <c r="C74" s="705">
        <f>SE_18_paytax_bens_perc</f>
        <v>8.2000000000000003E-2</v>
      </c>
      <c r="D74" s="705">
        <f>BOCA_18_paytax_bens_perc</f>
        <v>9.7000000000000003E-2</v>
      </c>
      <c r="E74" s="705">
        <f>SW_18_paytax_bens_perc</f>
        <v>8.5999999999999993E-2</v>
      </c>
      <c r="F74" s="705">
        <f>SWCIRA_18_paytax_bens_perc</f>
        <v>9.4E-2</v>
      </c>
      <c r="G74" s="705">
        <f>NC_18_paytax_bens_perc</f>
        <v>0.1</v>
      </c>
      <c r="I74" s="725"/>
      <c r="J74" s="726"/>
      <c r="K74" s="726"/>
      <c r="L74" s="726"/>
      <c r="M74" s="726"/>
      <c r="N74" s="726"/>
      <c r="O74" s="689"/>
      <c r="P74" s="689"/>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row>
    <row r="75" spans="1:74" s="389" customFormat="1">
      <c r="A75" s="707" t="s">
        <v>377</v>
      </c>
      <c r="B75" s="717">
        <f>FL_18_supplies_perc</f>
        <v>0.252</v>
      </c>
      <c r="C75" s="717">
        <f>SE_18_supplies_perc</f>
        <v>0.23899999999999999</v>
      </c>
      <c r="D75" s="717">
        <f>BOCA_18_supplies_perc</f>
        <v>0.24</v>
      </c>
      <c r="E75" s="717">
        <f>SW_18_supplies_perc</f>
        <v>0.25</v>
      </c>
      <c r="F75" s="717">
        <f>SWCIRA_18_supplies_perc</f>
        <v>0.28399999999999997</v>
      </c>
      <c r="G75" s="717">
        <f>NC_18_supplies_perc</f>
        <v>0.24199999999999999</v>
      </c>
      <c r="I75" s="725"/>
      <c r="J75" s="726"/>
      <c r="K75" s="726"/>
      <c r="L75" s="726"/>
      <c r="M75" s="726"/>
      <c r="N75" s="726"/>
      <c r="O75" s="689"/>
      <c r="P75" s="689"/>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89"/>
      <c r="BC75" s="689"/>
      <c r="BD75" s="689"/>
      <c r="BE75" s="689"/>
      <c r="BF75" s="689"/>
      <c r="BG75" s="689"/>
      <c r="BH75" s="689"/>
      <c r="BI75" s="689"/>
      <c r="BJ75" s="689"/>
      <c r="BK75" s="689"/>
      <c r="BL75" s="689"/>
      <c r="BM75" s="689"/>
      <c r="BN75" s="689"/>
      <c r="BO75" s="689"/>
      <c r="BP75" s="689"/>
      <c r="BQ75" s="689"/>
      <c r="BR75" s="689"/>
      <c r="BS75" s="689"/>
      <c r="BT75" s="689"/>
      <c r="BU75" s="689"/>
      <c r="BV75" s="689"/>
    </row>
    <row r="76" spans="1:74" s="389" customFormat="1">
      <c r="A76" s="727" t="s">
        <v>378</v>
      </c>
      <c r="B76" s="705"/>
      <c r="C76" s="705"/>
      <c r="D76" s="705"/>
      <c r="E76" s="705"/>
      <c r="F76" s="705"/>
      <c r="G76" s="705"/>
      <c r="I76" s="725"/>
      <c r="J76" s="726"/>
      <c r="K76" s="726"/>
      <c r="L76" s="726"/>
      <c r="M76" s="726"/>
      <c r="N76" s="726"/>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89"/>
      <c r="AU76" s="689"/>
      <c r="AV76" s="689"/>
      <c r="AW76" s="689"/>
      <c r="AX76" s="689"/>
      <c r="AY76" s="689"/>
      <c r="AZ76" s="689"/>
      <c r="BA76" s="689"/>
      <c r="BB76" s="689"/>
      <c r="BC76" s="689"/>
      <c r="BD76" s="689"/>
      <c r="BE76" s="689"/>
      <c r="BF76" s="689"/>
      <c r="BG76" s="689"/>
      <c r="BH76" s="689"/>
      <c r="BI76" s="689"/>
      <c r="BJ76" s="689"/>
      <c r="BK76" s="689"/>
      <c r="BL76" s="689"/>
      <c r="BM76" s="689"/>
      <c r="BN76" s="689"/>
      <c r="BO76" s="689"/>
      <c r="BP76" s="689"/>
      <c r="BQ76" s="689"/>
      <c r="BR76" s="689"/>
      <c r="BS76" s="689"/>
      <c r="BT76" s="689"/>
      <c r="BU76" s="689"/>
      <c r="BV76" s="689"/>
    </row>
    <row r="77" spans="1:74" s="389" customFormat="1">
      <c r="A77" s="740" t="s">
        <v>379</v>
      </c>
      <c r="B77" s="705">
        <f>FL_18_rep_mtce_perc</f>
        <v>7.1999999999999995E-2</v>
      </c>
      <c r="C77" s="705">
        <f>SE_18_rep_mtce_perc</f>
        <v>0.08</v>
      </c>
      <c r="D77" s="705">
        <f>BOCA_18_rep_mtce_perc</f>
        <v>6.0999999999999999E-2</v>
      </c>
      <c r="E77" s="705">
        <f>SW_18_rep_mtce_perc</f>
        <v>8.2000000000000003E-2</v>
      </c>
      <c r="F77" s="705">
        <f>SWCIRA_18_rep_mtce_perc</f>
        <v>5.7000000000000002E-2</v>
      </c>
      <c r="G77" s="705">
        <f>NC_18_rep_mtce_perc</f>
        <v>7.0999999999999994E-2</v>
      </c>
      <c r="I77" s="725"/>
      <c r="J77" s="726"/>
      <c r="K77" s="726"/>
      <c r="L77" s="726"/>
      <c r="M77" s="726"/>
      <c r="N77" s="726"/>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89"/>
      <c r="AU77" s="689"/>
      <c r="AV77" s="689"/>
      <c r="AW77" s="689"/>
      <c r="AX77" s="689"/>
      <c r="AY77" s="689"/>
      <c r="AZ77" s="689"/>
      <c r="BA77" s="689"/>
      <c r="BB77" s="689"/>
      <c r="BC77" s="689"/>
      <c r="BD77" s="689"/>
      <c r="BE77" s="689"/>
      <c r="BF77" s="689"/>
      <c r="BG77" s="689"/>
      <c r="BH77" s="689"/>
      <c r="BI77" s="689"/>
      <c r="BJ77" s="689"/>
      <c r="BK77" s="689"/>
      <c r="BL77" s="689"/>
      <c r="BM77" s="689"/>
      <c r="BN77" s="689"/>
      <c r="BO77" s="689"/>
      <c r="BP77" s="689"/>
      <c r="BQ77" s="689"/>
      <c r="BR77" s="689"/>
      <c r="BS77" s="689"/>
      <c r="BT77" s="689"/>
      <c r="BU77" s="689"/>
      <c r="BV77" s="689"/>
    </row>
    <row r="78" spans="1:74" s="389" customFormat="1" ht="15.75" customHeight="1">
      <c r="A78" s="707" t="s">
        <v>1116</v>
      </c>
      <c r="B78" s="717">
        <f>FL_18_lease_perc</f>
        <v>2.3E-2</v>
      </c>
      <c r="C78" s="717">
        <f>SE_18_lease_perc</f>
        <v>1.4E-2</v>
      </c>
      <c r="D78" s="717">
        <f>BOCA_18_lease_perc</f>
        <v>1E-3</v>
      </c>
      <c r="E78" s="717">
        <f>SW_18_lease_perc</f>
        <v>3.4000000000000002E-2</v>
      </c>
      <c r="F78" s="717">
        <f>SWCIRA_18_lease_perc</f>
        <v>3.3000000000000002E-2</v>
      </c>
      <c r="G78" s="717">
        <f>NC_18_lease_perc</f>
        <v>2.8000000000000001E-2</v>
      </c>
      <c r="I78" s="725"/>
      <c r="J78" s="726"/>
      <c r="K78" s="726"/>
      <c r="L78" s="726"/>
      <c r="M78" s="726"/>
      <c r="N78" s="726"/>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row>
    <row r="79" spans="1:74" s="389" customFormat="1" ht="15.75" customHeight="1">
      <c r="A79" s="727" t="s">
        <v>39</v>
      </c>
      <c r="B79" s="705">
        <f>SUM(FL_18_all_otherexp_perc)-B78</f>
        <v>9.9000000000000005E-2</v>
      </c>
      <c r="C79" s="705">
        <f>SUM(SE_18_all_otherexp_perc)-C78-0.1%</f>
        <v>0.12100000000000001</v>
      </c>
      <c r="D79" s="705">
        <f>SUM(BOCA_18_all_otherexp_perc)-D78+0.2%</f>
        <v>8.3000000000000004E-2</v>
      </c>
      <c r="E79" s="705">
        <f>SUM(SW_18_all_otherexp_perc)-E78-0.1%</f>
        <v>0.10800000000000001</v>
      </c>
      <c r="F79" s="705">
        <f>SUM(SWCIRA_18_all_otherexp_perc)-F78+0.2%</f>
        <v>8.8999999999999996E-2</v>
      </c>
      <c r="G79" s="705">
        <f>SUM(NC_18_all_otherexp_perc)-G78+0.1%</f>
        <v>8.1000000000000003E-2</v>
      </c>
      <c r="I79" s="726"/>
      <c r="J79" s="2131" t="s">
        <v>905</v>
      </c>
      <c r="K79" s="2131"/>
      <c r="L79" s="2131"/>
      <c r="M79" s="2131"/>
      <c r="N79" s="2131"/>
      <c r="O79" s="2131"/>
      <c r="P79" s="2131"/>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89"/>
      <c r="BC79" s="689"/>
      <c r="BD79" s="689"/>
      <c r="BE79" s="689"/>
      <c r="BF79" s="689"/>
      <c r="BG79" s="689"/>
      <c r="BH79" s="689"/>
      <c r="BI79" s="689"/>
      <c r="BJ79" s="689"/>
      <c r="BK79" s="689"/>
      <c r="BL79" s="689"/>
      <c r="BM79" s="689"/>
      <c r="BN79" s="689"/>
      <c r="BO79" s="689"/>
      <c r="BP79" s="689"/>
      <c r="BQ79" s="689"/>
      <c r="BR79" s="689"/>
      <c r="BS79" s="689"/>
      <c r="BT79" s="689"/>
      <c r="BU79" s="689"/>
      <c r="BV79" s="689"/>
    </row>
    <row r="80" spans="1:74" s="389" customFormat="1" ht="16.2" thickBot="1">
      <c r="A80" s="702"/>
      <c r="B80" s="977">
        <f t="shared" ref="B80:G80" si="13">SUM(B73:B79)</f>
        <v>1</v>
      </c>
      <c r="C80" s="977">
        <f t="shared" si="13"/>
        <v>1</v>
      </c>
      <c r="D80" s="977">
        <f t="shared" si="13"/>
        <v>0.99999999999999989</v>
      </c>
      <c r="E80" s="977">
        <f t="shared" si="13"/>
        <v>1</v>
      </c>
      <c r="F80" s="977">
        <f t="shared" si="13"/>
        <v>1</v>
      </c>
      <c r="G80" s="977">
        <f t="shared" si="13"/>
        <v>0.99999999999999989</v>
      </c>
      <c r="H80" s="802" t="str">
        <f>IF(B80&lt;&gt;100%,"FIX TOTALS",+IF(C80&lt;&gt;100%,"FIX TOTALS",+IF(D80&lt;&gt;100%,"FIX TOTALS",+IF(E80&lt;&gt;100%,"FIX TOTALS",+IF(F80&lt;&gt;100%,"FIX TOTALS",+IF(G80&lt;&gt;100%,"FIX TOTALS"," "))))))</f>
        <v xml:space="preserve"> </v>
      </c>
      <c r="I80" s="728"/>
      <c r="J80" s="2131"/>
      <c r="K80" s="2131"/>
      <c r="L80" s="2131"/>
      <c r="M80" s="2131"/>
      <c r="N80" s="2131"/>
      <c r="O80" s="2131"/>
      <c r="P80" s="2131"/>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c r="BQ80" s="689"/>
      <c r="BR80" s="689"/>
      <c r="BS80" s="689"/>
      <c r="BT80" s="689"/>
      <c r="BU80" s="689"/>
      <c r="BV80" s="689"/>
    </row>
    <row r="81" spans="1:74" s="389" customFormat="1" ht="15.6" thickTop="1">
      <c r="A81" s="727" t="s">
        <v>810</v>
      </c>
      <c r="B81" s="727"/>
      <c r="C81" s="727"/>
      <c r="D81" s="727"/>
      <c r="E81" s="727"/>
      <c r="F81" s="727"/>
      <c r="G81" s="727"/>
      <c r="I81" s="765"/>
      <c r="J81" s="2131"/>
      <c r="K81" s="2131"/>
      <c r="L81" s="2131"/>
      <c r="M81" s="2131"/>
      <c r="N81" s="2131"/>
      <c r="O81" s="2131"/>
      <c r="P81" s="2131"/>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c r="BQ81" s="689"/>
      <c r="BR81" s="689"/>
      <c r="BS81" s="689"/>
      <c r="BT81" s="689"/>
      <c r="BU81" s="689"/>
      <c r="BV81" s="689"/>
    </row>
    <row r="82" spans="1:74" s="389" customFormat="1">
      <c r="A82" s="727" t="s">
        <v>811</v>
      </c>
      <c r="B82" s="978">
        <f>FL_golfexp_to_totexp_18</f>
        <v>0.22</v>
      </c>
      <c r="C82" s="978">
        <f>SE_golfexp_to_totexp_18</f>
        <v>0.25</v>
      </c>
      <c r="D82" s="978">
        <f>BOCA_golfexp_to_totexp_18</f>
        <v>0.14000000000000001</v>
      </c>
      <c r="E82" s="978">
        <f>SW_golfexp_to_totexp_18</f>
        <v>0.26</v>
      </c>
      <c r="F82" s="978">
        <f>SWCIRA_golfexp_to_totexp_18</f>
        <v>0.21</v>
      </c>
      <c r="G82" s="978">
        <f>NC_golfexp_to_totexp_18</f>
        <v>0.21</v>
      </c>
      <c r="I82" s="689"/>
      <c r="J82" s="2131"/>
      <c r="K82" s="2131"/>
      <c r="L82" s="2131"/>
      <c r="M82" s="2131"/>
      <c r="N82" s="2131"/>
      <c r="O82" s="2131"/>
      <c r="P82" s="2131"/>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c r="BQ82" s="689"/>
      <c r="BR82" s="689"/>
      <c r="BS82" s="689"/>
      <c r="BT82" s="689"/>
      <c r="BU82" s="689"/>
      <c r="BV82" s="689"/>
    </row>
    <row r="83" spans="1:74" s="389" customFormat="1">
      <c r="I83" s="766"/>
      <c r="J83" s="766"/>
      <c r="K83" s="766"/>
      <c r="L83" s="766"/>
      <c r="M83" s="766"/>
      <c r="N83" s="766"/>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c r="BQ83" s="689"/>
      <c r="BR83" s="689"/>
      <c r="BS83" s="689"/>
      <c r="BT83" s="689"/>
      <c r="BU83" s="689"/>
      <c r="BV83" s="689"/>
    </row>
    <row r="84" spans="1:74" s="389" customFormat="1" ht="21">
      <c r="A84" s="698" t="s">
        <v>800</v>
      </c>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c r="BQ84" s="689"/>
      <c r="BR84" s="689"/>
      <c r="BS84" s="689"/>
      <c r="BT84" s="689"/>
      <c r="BU84" s="689"/>
      <c r="BV84" s="689"/>
    </row>
    <row r="85" spans="1:74" s="389" customFormat="1">
      <c r="A85" s="700" t="s">
        <v>459</v>
      </c>
      <c r="B85" s="701" t="s">
        <v>274</v>
      </c>
      <c r="C85" s="701" t="s">
        <v>419</v>
      </c>
      <c r="D85" s="701" t="s">
        <v>270</v>
      </c>
      <c r="E85" s="701" t="s">
        <v>271</v>
      </c>
      <c r="F85" s="701" t="s">
        <v>421</v>
      </c>
      <c r="G85" s="701" t="s">
        <v>272</v>
      </c>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row>
    <row r="86" spans="1:74" s="389" customFormat="1">
      <c r="B86" s="701" t="s">
        <v>268</v>
      </c>
      <c r="C86" s="701" t="s">
        <v>295</v>
      </c>
      <c r="D86" s="701" t="s">
        <v>257</v>
      </c>
      <c r="E86" s="701" t="s">
        <v>296</v>
      </c>
      <c r="F86" s="701" t="s">
        <v>277</v>
      </c>
      <c r="G86" s="701" t="s">
        <v>278</v>
      </c>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row>
    <row r="87" spans="1:74" s="389" customFormat="1">
      <c r="A87" s="704" t="s">
        <v>434</v>
      </c>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row>
    <row r="88" spans="1:74" s="389" customFormat="1">
      <c r="A88" s="720" t="s">
        <v>30</v>
      </c>
      <c r="B88" s="721">
        <f>FL_mult_salwage_p.hole</f>
        <v>50700</v>
      </c>
      <c r="C88" s="721">
        <f>SE_mult_salwage_p.hole</f>
        <v>53100</v>
      </c>
      <c r="D88" s="721">
        <f>BOCA_mult_salwage_p.hole</f>
        <v>51100</v>
      </c>
      <c r="E88" s="721">
        <f>SW_mult_salwage_p.hole</f>
        <v>50900</v>
      </c>
      <c r="F88" s="1017" t="s">
        <v>1150</v>
      </c>
      <c r="G88" s="721">
        <f>NC_mult_salwage_p.hole</f>
        <v>50700</v>
      </c>
      <c r="I88" s="689"/>
      <c r="J88" s="689"/>
      <c r="K88" s="689"/>
      <c r="L88" s="689"/>
      <c r="M88" s="689"/>
      <c r="N88" s="689"/>
      <c r="O88" s="689"/>
      <c r="P88" s="689"/>
      <c r="Q88" s="689"/>
      <c r="R88" s="689"/>
      <c r="S88" s="689"/>
      <c r="T88" s="689"/>
      <c r="U88" s="689"/>
      <c r="V88" s="689"/>
      <c r="W88" s="689"/>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row>
    <row r="89" spans="1:74" s="389" customFormat="1">
      <c r="A89" s="704" t="s">
        <v>350</v>
      </c>
      <c r="B89" s="722">
        <f>FL_mult_paytax_bens_p.hole</f>
        <v>8800</v>
      </c>
      <c r="C89" s="722">
        <f>SE_mult_paytax_bens_p.hole</f>
        <v>7500</v>
      </c>
      <c r="D89" s="722">
        <f>BOCA_mult_paytax_bens_p.hole</f>
        <v>9200</v>
      </c>
      <c r="E89" s="722">
        <f>SW_mult_paytax_bens_p.hole</f>
        <v>9400</v>
      </c>
      <c r="F89" s="1018" t="s">
        <v>1150</v>
      </c>
      <c r="G89" s="722">
        <f>NC_mult_paytax_bens_p.hole</f>
        <v>8900</v>
      </c>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c r="BQ89" s="689"/>
      <c r="BR89" s="689"/>
      <c r="BS89" s="689"/>
      <c r="BT89" s="689"/>
      <c r="BU89" s="689"/>
      <c r="BV89" s="689"/>
    </row>
    <row r="90" spans="1:74" s="389" customFormat="1">
      <c r="A90" s="720" t="s">
        <v>377</v>
      </c>
      <c r="B90" s="723">
        <f>FL_mult_supplies_p.hole</f>
        <v>27600</v>
      </c>
      <c r="C90" s="723">
        <f>SE_mult_supplies_p.hole</f>
        <v>30300</v>
      </c>
      <c r="D90" s="723">
        <f>BOCA_mult_supplies_p.hole</f>
        <v>23400</v>
      </c>
      <c r="E90" s="723">
        <f>SW_mult_supplies_p.hole</f>
        <v>29400</v>
      </c>
      <c r="F90" s="1017" t="s">
        <v>1150</v>
      </c>
      <c r="G90" s="723">
        <f>NC_mult_supplies_p.hole</f>
        <v>27000</v>
      </c>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c r="BQ90" s="689"/>
      <c r="BR90" s="689"/>
      <c r="BS90" s="689"/>
      <c r="BT90" s="689"/>
      <c r="BU90" s="689"/>
      <c r="BV90" s="689"/>
    </row>
    <row r="91" spans="1:74" s="389" customFormat="1">
      <c r="A91" s="704" t="s">
        <v>378</v>
      </c>
      <c r="B91" s="722"/>
      <c r="C91" s="722"/>
      <c r="D91" s="722"/>
      <c r="E91" s="722"/>
      <c r="F91" s="1018"/>
      <c r="G91" s="722"/>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c r="BQ91" s="689"/>
      <c r="BR91" s="689"/>
      <c r="BS91" s="689"/>
      <c r="BT91" s="689"/>
      <c r="BU91" s="689"/>
      <c r="BV91" s="689"/>
    </row>
    <row r="92" spans="1:74" s="389" customFormat="1">
      <c r="A92" s="727" t="s">
        <v>379</v>
      </c>
      <c r="B92" s="722">
        <f>FL_mult_rep_mtce_p.hole</f>
        <v>7000</v>
      </c>
      <c r="C92" s="722">
        <f>SE_mult_rep_mtce_p.hole</f>
        <v>6900</v>
      </c>
      <c r="D92" s="722">
        <f>BOCA_mult_rep_mtce_p.hole</f>
        <v>7500</v>
      </c>
      <c r="E92" s="722">
        <f>SW_mult_rep_mtce_p.hole</f>
        <v>7200</v>
      </c>
      <c r="F92" s="1018" t="s">
        <v>1150</v>
      </c>
      <c r="G92" s="722">
        <f>NC_mult_rep_mtce_p.hole</f>
        <v>6700</v>
      </c>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c r="BQ92" s="689"/>
      <c r="BR92" s="689"/>
      <c r="BS92" s="689"/>
      <c r="BT92" s="689"/>
      <c r="BU92" s="689"/>
      <c r="BV92" s="689"/>
    </row>
    <row r="93" spans="1:74" s="389" customFormat="1" ht="15.6" thickBot="1">
      <c r="A93" s="707" t="s">
        <v>1116</v>
      </c>
      <c r="B93" s="723">
        <f>FL_mult_lease_p.hole</f>
        <v>2000</v>
      </c>
      <c r="C93" s="723">
        <f>SE_mult_lease_p.hole</f>
        <v>2600</v>
      </c>
      <c r="D93" s="723">
        <f>BOCA_mult_lease_p.hole</f>
        <v>2200</v>
      </c>
      <c r="E93" s="723">
        <f>SW_mult_lease_p.hole</f>
        <v>1300</v>
      </c>
      <c r="F93" s="1017" t="s">
        <v>1150</v>
      </c>
      <c r="G93" s="723">
        <f>NC_mult_lease_p.hole</f>
        <v>2300</v>
      </c>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c r="BQ93" s="689"/>
      <c r="BR93" s="689"/>
      <c r="BS93" s="689"/>
      <c r="BT93" s="689"/>
      <c r="BU93" s="689"/>
      <c r="BV93" s="689"/>
    </row>
    <row r="94" spans="1:74" s="389" customFormat="1">
      <c r="A94" s="727" t="s">
        <v>39</v>
      </c>
      <c r="B94" s="722">
        <f>SUM(FL_mult_all_otherexp_p.hole)-B93-100</f>
        <v>11100</v>
      </c>
      <c r="C94" s="722">
        <f>SUM(SE_mult_all_otherexp_p.hole)-C93+100</f>
        <v>12600</v>
      </c>
      <c r="D94" s="722">
        <f>SUM(BOCA_mult_all_otherexp_p.hole)-D93</f>
        <v>7700</v>
      </c>
      <c r="E94" s="722">
        <f>SUM(SW_mult_all_otherexp_p.hole)-E93</f>
        <v>13100</v>
      </c>
      <c r="F94" s="1018" t="s">
        <v>1150</v>
      </c>
      <c r="G94" s="722">
        <f>SUM(NC_mult_all_otherexp_p.hole)-G93</f>
        <v>10600</v>
      </c>
      <c r="J94" s="805" t="s">
        <v>906</v>
      </c>
      <c r="K94" s="811">
        <f>B95-Y159</f>
        <v>0</v>
      </c>
      <c r="L94" s="806"/>
      <c r="M94" s="806"/>
      <c r="N94" s="806"/>
      <c r="O94" s="806"/>
      <c r="P94" s="807"/>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c r="BQ94" s="689"/>
      <c r="BR94" s="689"/>
      <c r="BS94" s="689"/>
      <c r="BT94" s="689"/>
      <c r="BU94" s="689"/>
      <c r="BV94" s="689"/>
    </row>
    <row r="95" spans="1:74" s="389" customFormat="1" ht="15.6" thickBot="1">
      <c r="A95" s="702"/>
      <c r="B95" s="976">
        <f>FL_mult_cost_p.hole</f>
        <v>107200</v>
      </c>
      <c r="C95" s="976">
        <f>SE_mult_cost_p.hole</f>
        <v>113000</v>
      </c>
      <c r="D95" s="976">
        <f>BOCA_mult_cost_p.hole</f>
        <v>101100</v>
      </c>
      <c r="E95" s="976">
        <f>SW_mult_cost_p.hole</f>
        <v>111300</v>
      </c>
      <c r="F95" s="1019" t="s">
        <v>1150</v>
      </c>
      <c r="G95" s="976">
        <f>NC_mult_cost_p.hole</f>
        <v>106200</v>
      </c>
      <c r="J95" s="808">
        <f>SUM(B88:B94)-B95</f>
        <v>0</v>
      </c>
      <c r="K95" s="809">
        <f t="shared" ref="K95" si="14">SUM(C88:C94)-C95</f>
        <v>0</v>
      </c>
      <c r="L95" s="809">
        <f>SUM(D88:D94)-D95</f>
        <v>0</v>
      </c>
      <c r="M95" s="809">
        <f>SUM(E88:E94)-E95</f>
        <v>0</v>
      </c>
      <c r="N95" s="1138" t="s">
        <v>288</v>
      </c>
      <c r="O95" s="809">
        <f>SUM(G88:G94)-G95</f>
        <v>0</v>
      </c>
      <c r="P95" s="810"/>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c r="BQ95" s="689"/>
      <c r="BR95" s="689"/>
      <c r="BS95" s="689"/>
      <c r="BT95" s="689"/>
      <c r="BU95" s="689"/>
      <c r="BV95" s="689"/>
    </row>
    <row r="96" spans="1:74" s="389" customFormat="1" ht="21.6" thickTop="1">
      <c r="A96" s="697"/>
      <c r="B96" s="812" t="str">
        <f>IF(K94&lt;&gt;0,"^^ FIX TOTAL: FL STATEWIDE &lt;&gt; GCM COSTS STATEWIDE TREND AMOUNT BELOW"," ")</f>
        <v xml:space="preserve"> </v>
      </c>
      <c r="I96" s="689"/>
      <c r="J96" s="711"/>
      <c r="K96" s="711"/>
      <c r="L96" s="711"/>
      <c r="M96" s="711"/>
      <c r="N96" s="711"/>
      <c r="O96" s="711"/>
      <c r="P96" s="711"/>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c r="BQ96" s="689"/>
      <c r="BR96" s="689"/>
      <c r="BS96" s="689"/>
      <c r="BT96" s="689"/>
      <c r="BU96" s="689"/>
      <c r="BV96" s="689"/>
    </row>
    <row r="97" spans="1:77" s="389" customFormat="1">
      <c r="A97" s="720" t="s">
        <v>30</v>
      </c>
      <c r="B97" s="717">
        <f>FL_mult_sal_wage_perc</f>
        <v>0.47299999999999998</v>
      </c>
      <c r="C97" s="717">
        <f>SE_mult_sal_wage_perc</f>
        <v>0.47</v>
      </c>
      <c r="D97" s="717">
        <f>BOCA_mult_sal_wage_perc</f>
        <v>0.505</v>
      </c>
      <c r="E97" s="717">
        <f>SW_mult_sal_wage_perc</f>
        <v>0.45700000000000002</v>
      </c>
      <c r="F97" s="1017" t="s">
        <v>1150</v>
      </c>
      <c r="G97" s="717">
        <f>NC_mult_sal_wage_perc</f>
        <v>0.47699999999999998</v>
      </c>
      <c r="I97" s="726"/>
      <c r="J97" s="726"/>
      <c r="K97" s="726"/>
      <c r="L97" s="726"/>
      <c r="M97" s="726"/>
      <c r="N97" s="726"/>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c r="BQ97" s="689"/>
      <c r="BR97" s="689"/>
      <c r="BS97" s="689"/>
      <c r="BT97" s="689"/>
      <c r="BU97" s="689"/>
      <c r="BV97" s="689"/>
    </row>
    <row r="98" spans="1:77" s="389" customFormat="1">
      <c r="A98" s="704" t="s">
        <v>350</v>
      </c>
      <c r="B98" s="705">
        <f>FL_mult_paytax_bens_perc</f>
        <v>8.2000000000000003E-2</v>
      </c>
      <c r="C98" s="705">
        <f>SE_mult_paytax_bens_perc</f>
        <v>6.6000000000000003E-2</v>
      </c>
      <c r="D98" s="705">
        <f>BOCA_mult_paytax_bens_perc</f>
        <v>9.0999999999999998E-2</v>
      </c>
      <c r="E98" s="705">
        <f>SW_mult_paytax_bens_perc</f>
        <v>8.5000000000000006E-2</v>
      </c>
      <c r="F98" s="1018" t="s">
        <v>1150</v>
      </c>
      <c r="G98" s="705">
        <f>NC_mult_paytax_bens_perc</f>
        <v>8.3000000000000004E-2</v>
      </c>
      <c r="I98" s="726"/>
      <c r="J98" s="726"/>
      <c r="K98" s="726"/>
      <c r="L98" s="726"/>
      <c r="M98" s="726"/>
      <c r="N98" s="726"/>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c r="BQ98" s="689"/>
      <c r="BR98" s="689"/>
      <c r="BS98" s="689"/>
      <c r="BT98" s="689"/>
      <c r="BU98" s="689"/>
      <c r="BV98" s="689"/>
    </row>
    <row r="99" spans="1:77" s="389" customFormat="1">
      <c r="A99" s="720" t="s">
        <v>377</v>
      </c>
      <c r="B99" s="717">
        <f>FL_mult_supplies_perc</f>
        <v>0.25700000000000001</v>
      </c>
      <c r="C99" s="717">
        <f>SE_mult_supplies_perc</f>
        <v>0.26900000000000002</v>
      </c>
      <c r="D99" s="717">
        <f>BOCA_mult_supplies_perc</f>
        <v>0.23100000000000001</v>
      </c>
      <c r="E99" s="717">
        <f>SW_mult_supplies_perc</f>
        <v>0.26400000000000001</v>
      </c>
      <c r="F99" s="1017" t="s">
        <v>1150</v>
      </c>
      <c r="G99" s="717">
        <f>NC_mult_supplies_perc</f>
        <v>0.255</v>
      </c>
      <c r="I99" s="726"/>
      <c r="J99" s="726"/>
      <c r="K99" s="726"/>
      <c r="L99" s="726"/>
      <c r="M99" s="726"/>
      <c r="N99" s="726"/>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c r="BQ99" s="689"/>
      <c r="BR99" s="689"/>
      <c r="BS99" s="689"/>
      <c r="BT99" s="689"/>
      <c r="BU99" s="689"/>
      <c r="BV99" s="689"/>
    </row>
    <row r="100" spans="1:77" s="389" customFormat="1">
      <c r="A100" s="704" t="s">
        <v>378</v>
      </c>
      <c r="B100" s="705"/>
      <c r="C100" s="705"/>
      <c r="D100" s="705"/>
      <c r="E100" s="705"/>
      <c r="F100" s="1018"/>
      <c r="G100" s="705"/>
      <c r="I100" s="726"/>
      <c r="J100" s="726"/>
      <c r="K100" s="726"/>
      <c r="L100" s="726"/>
      <c r="M100" s="726"/>
      <c r="N100" s="726"/>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c r="BQ100" s="689"/>
      <c r="BR100" s="689"/>
      <c r="BS100" s="689"/>
      <c r="BT100" s="689"/>
      <c r="BU100" s="689"/>
      <c r="BV100" s="689"/>
    </row>
    <row r="101" spans="1:77" s="389" customFormat="1">
      <c r="A101" s="727" t="s">
        <v>379</v>
      </c>
      <c r="B101" s="705">
        <f>FL_mult_rep_mtce_perc</f>
        <v>6.5000000000000002E-2</v>
      </c>
      <c r="C101" s="705">
        <f>SE_mult_rep_mtce_perc</f>
        <v>6.0999999999999999E-2</v>
      </c>
      <c r="D101" s="705">
        <f>BOCA_mult_rep_mtce_perc</f>
        <v>7.3999999999999996E-2</v>
      </c>
      <c r="E101" s="705">
        <f>SW_mult_rep_mtce_perc</f>
        <v>6.4000000000000001E-2</v>
      </c>
      <c r="F101" s="1018" t="s">
        <v>1150</v>
      </c>
      <c r="G101" s="705">
        <f>NC_mult_rep_mtce_perc-0.2%</f>
        <v>6.0999999999999999E-2</v>
      </c>
      <c r="I101" s="726"/>
      <c r="J101" s="726"/>
      <c r="K101" s="726"/>
      <c r="L101" s="726"/>
      <c r="M101" s="726"/>
      <c r="N101" s="726"/>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c r="BQ101" s="689"/>
      <c r="BR101" s="689"/>
      <c r="BS101" s="689"/>
      <c r="BT101" s="689"/>
      <c r="BU101" s="689"/>
      <c r="BV101" s="689"/>
    </row>
    <row r="102" spans="1:77" s="389" customFormat="1">
      <c r="A102" s="707" t="s">
        <v>1116</v>
      </c>
      <c r="B102" s="717">
        <f>FL_mult_lease_perc</f>
        <v>1.7999999999999999E-2</v>
      </c>
      <c r="C102" s="717">
        <f>SE_mult_lease_perc</f>
        <v>2.3E-2</v>
      </c>
      <c r="D102" s="717">
        <f>BOCA_mult_lease_perc</f>
        <v>2.1999999999999999E-2</v>
      </c>
      <c r="E102" s="717">
        <f>SW_mult_lease_perc</f>
        <v>1.0999999999999999E-2</v>
      </c>
      <c r="F102" s="1017" t="s">
        <v>1150</v>
      </c>
      <c r="G102" s="717">
        <f>NC_mult_lease_perc</f>
        <v>2.1999999999999999E-2</v>
      </c>
      <c r="I102" s="726"/>
      <c r="J102" s="726"/>
      <c r="K102" s="726"/>
      <c r="L102" s="726"/>
      <c r="M102" s="726"/>
      <c r="N102" s="726"/>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c r="BQ102" s="689"/>
      <c r="BR102" s="689"/>
      <c r="BS102" s="689"/>
      <c r="BT102" s="689"/>
      <c r="BU102" s="689"/>
      <c r="BV102" s="689"/>
    </row>
    <row r="103" spans="1:77" s="389" customFormat="1">
      <c r="A103" s="727" t="s">
        <v>39</v>
      </c>
      <c r="B103" s="705">
        <f>SUM(FL_mult_all_otherexp_perc)-B102+0.1%</f>
        <v>0.105</v>
      </c>
      <c r="C103" s="705">
        <f>SUM(SE_mult_all_otherexp_perc)-C102</f>
        <v>0.11100000000000002</v>
      </c>
      <c r="D103" s="705">
        <f>SUM(BOCA_mult_all_otherexp_perc)-D102+0.2%</f>
        <v>7.7000000000000013E-2</v>
      </c>
      <c r="E103" s="705">
        <f>SUM(SW_mult_all_otherexp_perc)-E102+0.2%</f>
        <v>0.11900000000000001</v>
      </c>
      <c r="F103" s="1018" t="s">
        <v>1150</v>
      </c>
      <c r="G103" s="705">
        <f>SUM(NC_mult_all_otherexp_perc)-G102+0.1%</f>
        <v>0.10200000000000001</v>
      </c>
      <c r="I103" s="726"/>
      <c r="J103" s="2131" t="s">
        <v>909</v>
      </c>
      <c r="K103" s="2131"/>
      <c r="L103" s="2131"/>
      <c r="M103" s="2131"/>
      <c r="N103" s="2131"/>
      <c r="O103" s="2131"/>
      <c r="P103" s="2131"/>
      <c r="Q103" s="689"/>
      <c r="R103" s="689"/>
      <c r="S103" s="689"/>
      <c r="T103" s="689"/>
      <c r="U103" s="689"/>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c r="BQ103" s="689"/>
      <c r="BR103" s="689"/>
      <c r="BS103" s="689"/>
      <c r="BT103" s="689"/>
      <c r="BU103" s="689"/>
      <c r="BV103" s="689"/>
    </row>
    <row r="104" spans="1:77" s="389" customFormat="1" ht="16.5" customHeight="1" thickBot="1">
      <c r="A104" s="702"/>
      <c r="B104" s="977">
        <f>SUM(B97:B103)</f>
        <v>1</v>
      </c>
      <c r="C104" s="977">
        <f>SUM(C97:C103)</f>
        <v>1.0000000000000002</v>
      </c>
      <c r="D104" s="977">
        <f>SUM(D97:D103)</f>
        <v>1</v>
      </c>
      <c r="E104" s="977">
        <f>SUM(E97:E103)</f>
        <v>1.0000000000000002</v>
      </c>
      <c r="F104" s="1019" t="s">
        <v>1150</v>
      </c>
      <c r="G104" s="977">
        <f>SUM(G97:G103)</f>
        <v>0.99999999999999989</v>
      </c>
      <c r="H104" s="802" t="str">
        <f>IF(B104&lt;&gt;100%,"FIX TOTALS",+IF(C104&lt;&gt;100%,"FIX TOTALS",+IF(D104&lt;&gt;100%,"FIX TOTALS",+IF(E104&lt;&gt;100%,"FIX TOTALS",+IF(G104&lt;&gt;100%,"FIX TOTALS"," ")))))</f>
        <v xml:space="preserve"> </v>
      </c>
      <c r="I104" s="726"/>
      <c r="J104" s="2131"/>
      <c r="K104" s="2131"/>
      <c r="L104" s="2131"/>
      <c r="M104" s="2131"/>
      <c r="N104" s="2131"/>
      <c r="O104" s="2131"/>
      <c r="P104" s="2131"/>
      <c r="Q104" s="689"/>
      <c r="R104" s="689"/>
      <c r="S104" s="689"/>
      <c r="T104" s="689"/>
      <c r="U104" s="689"/>
      <c r="V104" s="689"/>
      <c r="W104" s="689"/>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c r="BQ104" s="689"/>
      <c r="BR104" s="689"/>
      <c r="BS104" s="689"/>
      <c r="BT104" s="689"/>
      <c r="BU104" s="689"/>
      <c r="BV104" s="689"/>
    </row>
    <row r="105" spans="1:77" s="389" customFormat="1" ht="15.6" thickTop="1">
      <c r="A105" s="727" t="s">
        <v>810</v>
      </c>
      <c r="B105" s="727"/>
      <c r="C105" s="727"/>
      <c r="D105" s="727"/>
      <c r="E105" s="727"/>
      <c r="F105" s="727"/>
      <c r="G105" s="727"/>
      <c r="I105" s="689"/>
      <c r="J105" s="2131"/>
      <c r="K105" s="2131"/>
      <c r="L105" s="2131"/>
      <c r="M105" s="2131"/>
      <c r="N105" s="2131"/>
      <c r="O105" s="2131"/>
      <c r="P105" s="2131"/>
      <c r="Q105" s="689"/>
      <c r="R105" s="689"/>
      <c r="S105" s="689"/>
      <c r="T105" s="689"/>
      <c r="U105" s="689"/>
      <c r="V105" s="689"/>
      <c r="W105" s="689"/>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c r="BQ105" s="689"/>
      <c r="BR105" s="689"/>
      <c r="BS105" s="689"/>
      <c r="BT105" s="689"/>
      <c r="BU105" s="689"/>
      <c r="BV105" s="689"/>
    </row>
    <row r="106" spans="1:77" s="389" customFormat="1">
      <c r="A106" s="727" t="s">
        <v>811</v>
      </c>
      <c r="B106" s="978">
        <f>FL_golfexp_to_totexp_mult</f>
        <v>0.21</v>
      </c>
      <c r="C106" s="978">
        <f>SE_golfexp_to_totexp_mult</f>
        <v>0.2</v>
      </c>
      <c r="D106" s="978">
        <f>BOCA_golfexp_to_totexp_mult</f>
        <v>0.13</v>
      </c>
      <c r="E106" s="978">
        <f>SW_golfexp_to_totexp_mult</f>
        <v>0.25</v>
      </c>
      <c r="F106" s="1018" t="s">
        <v>1150</v>
      </c>
      <c r="G106" s="978">
        <f>NC_golfexp_to_totexp_mult</f>
        <v>0.23</v>
      </c>
      <c r="I106" s="689"/>
      <c r="J106" s="2131"/>
      <c r="K106" s="2131"/>
      <c r="L106" s="2131"/>
      <c r="M106" s="2131"/>
      <c r="N106" s="2131"/>
      <c r="O106" s="2131"/>
      <c r="P106" s="2131"/>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c r="BQ106" s="689"/>
      <c r="BR106" s="689"/>
      <c r="BS106" s="689"/>
      <c r="BT106" s="689"/>
      <c r="BU106" s="689"/>
      <c r="BV106" s="689"/>
    </row>
    <row r="107" spans="1:77" s="710" customFormat="1" ht="3.75" customHeight="1">
      <c r="A107" s="702"/>
      <c r="B107" s="702"/>
      <c r="C107" s="702"/>
      <c r="D107" s="702"/>
      <c r="E107" s="702"/>
      <c r="F107" s="702"/>
      <c r="G107" s="702"/>
      <c r="I107" s="711"/>
      <c r="J107" s="711"/>
      <c r="K107" s="711"/>
      <c r="L107" s="711"/>
      <c r="M107" s="711"/>
      <c r="N107" s="711"/>
      <c r="O107" s="711"/>
      <c r="P107" s="711"/>
      <c r="Q107" s="711"/>
      <c r="R107" s="711"/>
      <c r="S107" s="711"/>
      <c r="T107" s="711"/>
      <c r="U107" s="711"/>
      <c r="V107" s="711"/>
      <c r="W107" s="711"/>
      <c r="X107" s="711"/>
      <c r="Y107" s="711"/>
      <c r="Z107" s="711"/>
      <c r="AA107" s="711"/>
      <c r="AB107" s="711"/>
      <c r="AC107" s="711"/>
      <c r="AD107" s="711"/>
      <c r="AE107" s="711"/>
      <c r="AF107" s="711"/>
      <c r="AG107" s="711"/>
      <c r="AH107" s="711"/>
      <c r="AI107" s="711"/>
      <c r="AJ107" s="711"/>
      <c r="AK107" s="711"/>
      <c r="AL107" s="711"/>
      <c r="AM107" s="711"/>
      <c r="AN107" s="711"/>
      <c r="AO107" s="711"/>
      <c r="AP107" s="711"/>
      <c r="AQ107" s="711"/>
      <c r="AR107" s="711"/>
      <c r="AS107" s="711"/>
      <c r="AT107" s="711"/>
      <c r="AU107" s="711"/>
      <c r="AV107" s="711"/>
      <c r="AW107" s="711"/>
      <c r="AX107" s="711"/>
      <c r="AY107" s="711"/>
      <c r="AZ107" s="711"/>
      <c r="BA107" s="711"/>
      <c r="BB107" s="711"/>
      <c r="BC107" s="711"/>
      <c r="BD107" s="711"/>
      <c r="BE107" s="711"/>
      <c r="BF107" s="711"/>
      <c r="BG107" s="711"/>
      <c r="BH107" s="711"/>
      <c r="BI107" s="711"/>
      <c r="BJ107" s="711"/>
      <c r="BK107" s="711"/>
      <c r="BL107" s="711"/>
      <c r="BM107" s="711"/>
      <c r="BN107" s="711"/>
      <c r="BO107" s="711"/>
      <c r="BP107" s="711"/>
      <c r="BQ107" s="711"/>
      <c r="BR107" s="711"/>
      <c r="BS107" s="711"/>
      <c r="BT107" s="711"/>
      <c r="BU107" s="711"/>
      <c r="BV107" s="711"/>
    </row>
    <row r="108" spans="1:77" s="710" customFormat="1">
      <c r="A108" s="1021" t="s">
        <v>1151</v>
      </c>
      <c r="B108" s="711"/>
      <c r="C108" s="711"/>
      <c r="D108" s="711"/>
      <c r="E108" s="711"/>
      <c r="F108" s="711"/>
      <c r="G108" s="711"/>
      <c r="I108" s="711"/>
      <c r="J108" s="711"/>
      <c r="K108" s="711"/>
      <c r="L108" s="711"/>
      <c r="M108" s="711"/>
      <c r="N108" s="711"/>
      <c r="O108" s="711"/>
      <c r="P108" s="711"/>
      <c r="Q108" s="711"/>
      <c r="R108" s="711"/>
      <c r="S108" s="711"/>
      <c r="T108" s="711"/>
      <c r="U108" s="711"/>
      <c r="V108" s="711"/>
      <c r="W108" s="711"/>
      <c r="X108" s="711"/>
      <c r="Y108" s="711"/>
      <c r="Z108" s="711"/>
      <c r="AA108" s="711"/>
      <c r="AB108" s="711"/>
      <c r="AC108" s="711"/>
      <c r="AD108" s="711"/>
      <c r="AE108" s="711"/>
      <c r="AF108" s="711"/>
      <c r="AG108" s="711"/>
      <c r="AH108" s="711"/>
      <c r="AI108" s="711"/>
      <c r="AJ108" s="711"/>
      <c r="AK108" s="711"/>
      <c r="AL108" s="711"/>
      <c r="AM108" s="711"/>
      <c r="AN108" s="711"/>
      <c r="AO108" s="711"/>
      <c r="AP108" s="711"/>
      <c r="AQ108" s="711"/>
      <c r="AR108" s="711"/>
      <c r="AS108" s="711"/>
      <c r="AT108" s="711"/>
      <c r="AU108" s="711"/>
      <c r="AV108" s="711"/>
      <c r="AW108" s="711"/>
      <c r="AX108" s="711"/>
      <c r="AY108" s="711"/>
      <c r="AZ108" s="711"/>
      <c r="BA108" s="711"/>
      <c r="BB108" s="711"/>
      <c r="BC108" s="711"/>
      <c r="BD108" s="711"/>
      <c r="BE108" s="711"/>
      <c r="BF108" s="711"/>
      <c r="BG108" s="711"/>
      <c r="BH108" s="711"/>
      <c r="BI108" s="711"/>
      <c r="BJ108" s="711"/>
      <c r="BK108" s="711"/>
      <c r="BL108" s="711"/>
      <c r="BM108" s="711"/>
      <c r="BN108" s="711"/>
      <c r="BO108" s="711"/>
      <c r="BP108" s="711"/>
      <c r="BQ108" s="711"/>
      <c r="BR108" s="711"/>
      <c r="BS108" s="711"/>
      <c r="BT108" s="711"/>
      <c r="BU108" s="711"/>
      <c r="BV108" s="711"/>
    </row>
    <row r="109" spans="1:77" s="710" customFormat="1">
      <c r="I109" s="711"/>
      <c r="J109" s="711"/>
      <c r="K109" s="711"/>
      <c r="L109" s="711"/>
      <c r="M109" s="711"/>
      <c r="N109" s="711"/>
      <c r="O109" s="711"/>
      <c r="P109" s="711"/>
      <c r="Q109" s="711"/>
      <c r="R109" s="711"/>
      <c r="S109" s="711"/>
      <c r="T109" s="711"/>
      <c r="U109" s="711"/>
      <c r="V109" s="711"/>
      <c r="W109" s="711"/>
      <c r="X109" s="711"/>
      <c r="Y109" s="711"/>
      <c r="Z109" s="711"/>
      <c r="AA109" s="711"/>
      <c r="AB109" s="711"/>
      <c r="AC109" s="711"/>
      <c r="AD109" s="711"/>
      <c r="AE109" s="711"/>
      <c r="AF109" s="711"/>
      <c r="AG109" s="711"/>
      <c r="AH109" s="711"/>
      <c r="AI109" s="711"/>
      <c r="AJ109" s="711"/>
      <c r="AK109" s="711"/>
      <c r="AL109" s="711"/>
      <c r="AM109" s="711"/>
      <c r="AN109" s="711"/>
      <c r="AO109" s="711"/>
      <c r="AP109" s="711"/>
      <c r="AQ109" s="711"/>
      <c r="AR109" s="711"/>
      <c r="AS109" s="711"/>
      <c r="AT109" s="711"/>
      <c r="AU109" s="711"/>
      <c r="AV109" s="711"/>
      <c r="AW109" s="711"/>
      <c r="AX109" s="711"/>
      <c r="AY109" s="711"/>
      <c r="AZ109" s="711"/>
      <c r="BA109" s="711"/>
      <c r="BB109" s="711"/>
      <c r="BC109" s="711"/>
      <c r="BD109" s="711"/>
      <c r="BE109" s="711"/>
      <c r="BF109" s="711"/>
      <c r="BG109" s="711"/>
      <c r="BH109" s="711"/>
      <c r="BI109" s="711"/>
      <c r="BJ109" s="711"/>
      <c r="BK109" s="711"/>
      <c r="BL109" s="711"/>
      <c r="BM109" s="711"/>
      <c r="BN109" s="711"/>
      <c r="BO109" s="711"/>
      <c r="BP109" s="711"/>
      <c r="BQ109" s="711"/>
      <c r="BR109" s="711"/>
      <c r="BS109" s="711"/>
      <c r="BT109" s="711"/>
      <c r="BU109" s="711"/>
      <c r="BV109" s="711"/>
    </row>
    <row r="110" spans="1:77" s="389" customFormat="1" ht="20.399999999999999">
      <c r="A110" s="718"/>
      <c r="I110" s="689"/>
      <c r="J110" s="689"/>
      <c r="K110" s="689"/>
      <c r="L110" s="689"/>
      <c r="M110" s="689"/>
      <c r="N110" s="689"/>
      <c r="O110" s="689"/>
      <c r="P110" s="689"/>
      <c r="Q110" s="689"/>
      <c r="R110" s="689"/>
      <c r="S110" s="689"/>
      <c r="T110" s="689"/>
      <c r="U110" s="689"/>
      <c r="V110" s="689"/>
      <c r="W110" s="689"/>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row>
    <row r="111" spans="1:77" s="389" customFormat="1" ht="21">
      <c r="A111" s="698" t="s">
        <v>893</v>
      </c>
      <c r="I111" s="689"/>
      <c r="J111" s="689"/>
      <c r="K111" s="689"/>
      <c r="L111" s="689"/>
      <c r="M111" s="689"/>
      <c r="N111" s="689"/>
      <c r="O111" s="689"/>
      <c r="P111" s="689"/>
      <c r="Q111" s="689"/>
      <c r="R111" s="689"/>
      <c r="S111" s="689"/>
      <c r="T111" s="689"/>
      <c r="U111" s="689"/>
      <c r="V111" s="689"/>
      <c r="W111" s="689"/>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row>
    <row r="112" spans="1:77" s="389" customFormat="1" ht="17.399999999999999">
      <c r="A112" s="699" t="s">
        <v>802</v>
      </c>
      <c r="I112" s="689"/>
      <c r="J112" s="689"/>
      <c r="K112" s="689"/>
      <c r="L112" s="689"/>
      <c r="M112" s="689"/>
      <c r="N112" s="689"/>
      <c r="O112" s="689"/>
      <c r="P112" s="689"/>
      <c r="Q112" s="689"/>
      <c r="R112" s="689"/>
      <c r="S112" s="689"/>
      <c r="T112" s="689"/>
      <c r="U112" s="689"/>
      <c r="V112" s="689"/>
      <c r="W112" s="689" t="s">
        <v>2419</v>
      </c>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row>
    <row r="113" spans="1:79" s="389" customFormat="1">
      <c r="A113" s="704"/>
      <c r="I113" s="689"/>
      <c r="J113" s="689"/>
      <c r="K113" s="689"/>
      <c r="L113" s="689"/>
      <c r="M113" s="689"/>
      <c r="N113" s="689"/>
      <c r="O113" s="689"/>
      <c r="P113" s="689"/>
      <c r="Q113" s="689"/>
      <c r="R113" s="689"/>
      <c r="S113" s="689"/>
      <c r="T113" s="689"/>
      <c r="U113" s="689"/>
      <c r="V113" s="689"/>
      <c r="W113" s="689"/>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row>
    <row r="114" spans="1:79" s="690" customFormat="1" ht="13.8">
      <c r="A114" s="804"/>
      <c r="B114" s="804">
        <v>1999</v>
      </c>
      <c r="C114" s="804">
        <v>2000</v>
      </c>
      <c r="D114" s="804">
        <v>2001</v>
      </c>
      <c r="E114" s="804">
        <v>2002</v>
      </c>
      <c r="F114" s="804">
        <v>2003</v>
      </c>
      <c r="G114" s="804">
        <v>2004</v>
      </c>
      <c r="H114" s="804">
        <v>2005</v>
      </c>
      <c r="I114" s="804">
        <v>2006</v>
      </c>
      <c r="J114" s="804">
        <v>2007</v>
      </c>
      <c r="K114" s="804">
        <v>2008</v>
      </c>
      <c r="L114" s="804">
        <v>2009</v>
      </c>
      <c r="M114" s="804">
        <v>2010</v>
      </c>
      <c r="N114" s="804">
        <v>2011</v>
      </c>
      <c r="O114" s="804">
        <v>2012</v>
      </c>
      <c r="P114" s="804">
        <v>2013</v>
      </c>
      <c r="Q114" s="804">
        <v>2014</v>
      </c>
      <c r="R114" s="804">
        <v>2015</v>
      </c>
      <c r="S114" s="804">
        <v>2016</v>
      </c>
      <c r="T114" s="804">
        <v>2017</v>
      </c>
      <c r="U114" s="804">
        <v>2018</v>
      </c>
      <c r="V114" s="804">
        <v>2019</v>
      </c>
      <c r="W114" s="2113">
        <v>2020</v>
      </c>
      <c r="X114" s="804">
        <v>2021</v>
      </c>
      <c r="Y114" s="804">
        <v>2022</v>
      </c>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row>
    <row r="115" spans="1:79" s="730" customFormat="1">
      <c r="A115" s="729" t="s">
        <v>448</v>
      </c>
      <c r="B115" s="731">
        <v>23000</v>
      </c>
      <c r="C115" s="731">
        <v>23900</v>
      </c>
      <c r="D115" s="731">
        <v>24900</v>
      </c>
      <c r="E115" s="731">
        <v>27200</v>
      </c>
      <c r="F115" s="731">
        <v>29200</v>
      </c>
      <c r="G115" s="731">
        <v>29700</v>
      </c>
      <c r="H115" s="731">
        <v>30200</v>
      </c>
      <c r="I115" s="731">
        <v>31800</v>
      </c>
      <c r="J115" s="731">
        <v>34300</v>
      </c>
      <c r="K115" s="731">
        <v>35300</v>
      </c>
      <c r="L115" s="731">
        <v>36000</v>
      </c>
      <c r="M115" s="731">
        <v>35900</v>
      </c>
      <c r="N115" s="731">
        <v>35600</v>
      </c>
      <c r="O115" s="731">
        <v>37100</v>
      </c>
      <c r="P115" s="731">
        <v>37600</v>
      </c>
      <c r="Q115" s="731">
        <v>38300</v>
      </c>
      <c r="R115" s="731">
        <v>40000</v>
      </c>
      <c r="S115" s="731">
        <v>41900</v>
      </c>
      <c r="T115" s="731">
        <v>42900</v>
      </c>
      <c r="U115" s="731">
        <v>44900</v>
      </c>
      <c r="V115" s="731">
        <v>47900</v>
      </c>
      <c r="W115" s="2114">
        <v>47600</v>
      </c>
      <c r="X115" s="731">
        <v>50300</v>
      </c>
      <c r="Y115" s="731">
        <f>FL_18_salwage_p.hole</f>
        <v>54900</v>
      </c>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row>
    <row r="116" spans="1:79" s="730" customFormat="1">
      <c r="A116" s="729" t="s">
        <v>425</v>
      </c>
      <c r="B116" s="731">
        <v>4600</v>
      </c>
      <c r="C116" s="731">
        <v>4700</v>
      </c>
      <c r="D116" s="731">
        <v>5200</v>
      </c>
      <c r="E116" s="731">
        <v>6100</v>
      </c>
      <c r="F116" s="731">
        <v>6700</v>
      </c>
      <c r="G116" s="731">
        <v>6800</v>
      </c>
      <c r="H116" s="731">
        <v>6800</v>
      </c>
      <c r="I116" s="731">
        <v>7300</v>
      </c>
      <c r="J116" s="731">
        <v>7700</v>
      </c>
      <c r="K116" s="731">
        <v>8900</v>
      </c>
      <c r="L116" s="731">
        <v>7900</v>
      </c>
      <c r="M116" s="731">
        <v>8000</v>
      </c>
      <c r="N116" s="731">
        <v>8900</v>
      </c>
      <c r="O116" s="731">
        <v>8300</v>
      </c>
      <c r="P116" s="731">
        <v>8400</v>
      </c>
      <c r="Q116" s="731">
        <v>8700</v>
      </c>
      <c r="R116" s="731">
        <v>9000</v>
      </c>
      <c r="S116" s="731">
        <v>9200</v>
      </c>
      <c r="T116" s="731">
        <v>9400</v>
      </c>
      <c r="U116" s="731">
        <v>9600</v>
      </c>
      <c r="V116" s="731">
        <v>10100</v>
      </c>
      <c r="W116" s="2114">
        <v>10100</v>
      </c>
      <c r="X116" s="731">
        <v>10300</v>
      </c>
      <c r="Y116" s="731">
        <f>FL_18_paytax_bens_p.hole</f>
        <v>10700</v>
      </c>
      <c r="Z116" s="689"/>
      <c r="AA116" s="689"/>
      <c r="AB116" s="689"/>
      <c r="AC116" s="689"/>
      <c r="AD116" s="689"/>
      <c r="AE116" s="689"/>
      <c r="AF116" s="689"/>
      <c r="AG116" s="689"/>
      <c r="AH116" s="689"/>
      <c r="AI116" s="689"/>
      <c r="AJ116" s="689"/>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row>
    <row r="117" spans="1:79" s="730" customFormat="1">
      <c r="A117" s="729" t="s">
        <v>449</v>
      </c>
      <c r="B117" s="731">
        <v>10600</v>
      </c>
      <c r="C117" s="731">
        <v>11500</v>
      </c>
      <c r="D117" s="731">
        <v>11400</v>
      </c>
      <c r="E117" s="731">
        <v>12200</v>
      </c>
      <c r="F117" s="731">
        <v>12900</v>
      </c>
      <c r="G117" s="731">
        <v>13700</v>
      </c>
      <c r="H117" s="731">
        <v>14700</v>
      </c>
      <c r="I117" s="731">
        <v>15800</v>
      </c>
      <c r="J117" s="731">
        <v>16600</v>
      </c>
      <c r="K117" s="731">
        <v>17900</v>
      </c>
      <c r="L117" s="731">
        <v>17800</v>
      </c>
      <c r="M117" s="731">
        <v>17400</v>
      </c>
      <c r="N117" s="731">
        <v>18000</v>
      </c>
      <c r="O117" s="731">
        <v>18800</v>
      </c>
      <c r="P117" s="731">
        <v>19300</v>
      </c>
      <c r="Q117" s="731">
        <v>20300</v>
      </c>
      <c r="R117" s="731">
        <v>20200</v>
      </c>
      <c r="S117" s="731">
        <v>20900</v>
      </c>
      <c r="T117" s="731">
        <v>20700</v>
      </c>
      <c r="U117" s="731">
        <v>22100</v>
      </c>
      <c r="V117" s="731">
        <v>23300</v>
      </c>
      <c r="W117" s="2114">
        <v>23100</v>
      </c>
      <c r="X117" s="731">
        <v>25600</v>
      </c>
      <c r="Y117" s="731">
        <f>FL_18_supplies_p.hole</f>
        <v>29800</v>
      </c>
      <c r="Z117" s="689"/>
      <c r="AA117" s="689"/>
      <c r="AB117" s="689"/>
      <c r="AC117" s="689"/>
      <c r="AD117" s="689"/>
      <c r="AE117" s="689"/>
      <c r="AF117" s="689"/>
      <c r="AG117" s="689"/>
      <c r="AH117" s="689"/>
      <c r="AI117" s="689"/>
      <c r="AJ117" s="689"/>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row>
    <row r="118" spans="1:79" s="730" customFormat="1" ht="15.6" thickBot="1">
      <c r="A118" s="729" t="s">
        <v>450</v>
      </c>
      <c r="B118" s="731">
        <v>5100</v>
      </c>
      <c r="C118" s="731">
        <v>5100</v>
      </c>
      <c r="D118" s="731">
        <v>5200</v>
      </c>
      <c r="E118" s="731">
        <v>5100</v>
      </c>
      <c r="F118" s="731">
        <v>5200</v>
      </c>
      <c r="G118" s="731">
        <v>5300</v>
      </c>
      <c r="H118" s="731">
        <v>5600</v>
      </c>
      <c r="I118" s="731">
        <v>6700</v>
      </c>
      <c r="J118" s="731">
        <v>5900</v>
      </c>
      <c r="K118" s="731">
        <v>6000</v>
      </c>
      <c r="L118" s="731">
        <v>5600</v>
      </c>
      <c r="M118" s="731">
        <v>5700</v>
      </c>
      <c r="N118" s="731">
        <v>5600</v>
      </c>
      <c r="O118" s="731">
        <v>6100</v>
      </c>
      <c r="P118" s="731">
        <v>6000</v>
      </c>
      <c r="Q118" s="731">
        <v>6300</v>
      </c>
      <c r="R118" s="731">
        <v>6200</v>
      </c>
      <c r="S118" s="731">
        <v>6400</v>
      </c>
      <c r="T118" s="731">
        <v>6400</v>
      </c>
      <c r="U118" s="731">
        <v>6800</v>
      </c>
      <c r="V118" s="731">
        <v>6800</v>
      </c>
      <c r="W118" s="2114">
        <v>7300</v>
      </c>
      <c r="X118" s="731">
        <v>7900</v>
      </c>
      <c r="Y118" s="731">
        <f>FL_18_rep_mtce_p.hole</f>
        <v>8500</v>
      </c>
      <c r="Z118" s="689"/>
      <c r="AA118" s="689"/>
      <c r="AB118" s="689"/>
      <c r="AC118" s="689"/>
      <c r="AD118" s="689"/>
      <c r="AE118" s="689"/>
      <c r="AF118" s="689"/>
      <c r="AG118" s="689"/>
      <c r="AH118" s="689"/>
      <c r="AI118" s="689"/>
      <c r="AJ118" s="689"/>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689"/>
      <c r="BX118" s="689"/>
      <c r="BY118" s="689"/>
      <c r="BZ118" s="689"/>
      <c r="CA118" s="689"/>
    </row>
    <row r="119" spans="1:79" s="730" customFormat="1" ht="15.6" thickBot="1">
      <c r="A119" s="729" t="s">
        <v>1116</v>
      </c>
      <c r="B119" s="731"/>
      <c r="C119" s="731"/>
      <c r="D119" s="731"/>
      <c r="E119" s="731"/>
      <c r="F119" s="731"/>
      <c r="G119" s="731"/>
      <c r="H119" s="731"/>
      <c r="I119" s="731"/>
      <c r="J119" s="731"/>
      <c r="K119" s="731"/>
      <c r="L119" s="731"/>
      <c r="M119" s="979">
        <v>2100</v>
      </c>
      <c r="N119" s="980">
        <v>1700</v>
      </c>
      <c r="O119" s="980">
        <v>1600</v>
      </c>
      <c r="P119" s="981">
        <v>2500</v>
      </c>
      <c r="Q119" s="731">
        <v>2300</v>
      </c>
      <c r="R119" s="731">
        <v>2400</v>
      </c>
      <c r="S119" s="731">
        <v>3100</v>
      </c>
      <c r="T119" s="731">
        <v>2900</v>
      </c>
      <c r="U119" s="731">
        <v>2500</v>
      </c>
      <c r="V119" s="731">
        <v>2500</v>
      </c>
      <c r="W119" s="2114">
        <v>2600</v>
      </c>
      <c r="X119" s="731">
        <v>3100</v>
      </c>
      <c r="Y119" s="731">
        <f>SUM(FL_18_lease_p.hole)</f>
        <v>2800</v>
      </c>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89"/>
      <c r="CA119" s="689"/>
    </row>
    <row r="120" spans="1:79" s="730" customFormat="1" ht="15" customHeight="1">
      <c r="A120" s="729" t="s">
        <v>1117</v>
      </c>
      <c r="B120" s="803">
        <v>5400</v>
      </c>
      <c r="C120" s="803">
        <v>5400</v>
      </c>
      <c r="D120" s="803">
        <v>6200</v>
      </c>
      <c r="E120" s="803">
        <v>6500</v>
      </c>
      <c r="F120" s="803">
        <v>6800</v>
      </c>
      <c r="G120" s="803">
        <v>7600</v>
      </c>
      <c r="H120" s="803">
        <v>7800</v>
      </c>
      <c r="I120" s="803">
        <v>7200</v>
      </c>
      <c r="J120" s="803">
        <v>8900</v>
      </c>
      <c r="K120" s="803">
        <v>9200</v>
      </c>
      <c r="L120" s="803">
        <v>10300</v>
      </c>
      <c r="M120" s="803">
        <f>9600-M119</f>
        <v>7500</v>
      </c>
      <c r="N120" s="803">
        <f>9600-N119</f>
        <v>7900</v>
      </c>
      <c r="O120" s="731">
        <f>9700-O119</f>
        <v>8100</v>
      </c>
      <c r="P120" s="803">
        <f>10900-P119</f>
        <v>8400</v>
      </c>
      <c r="Q120" s="803">
        <v>9000</v>
      </c>
      <c r="R120" s="803">
        <v>8600</v>
      </c>
      <c r="S120" s="803">
        <v>9000</v>
      </c>
      <c r="T120" s="803">
        <v>9300</v>
      </c>
      <c r="U120" s="803">
        <v>9900</v>
      </c>
      <c r="V120" s="803">
        <v>10400</v>
      </c>
      <c r="W120" s="2115">
        <v>10600</v>
      </c>
      <c r="X120" s="803">
        <v>10600</v>
      </c>
      <c r="Y120" s="803">
        <f>SUM(FL_18_all_otherexp_p.hole)-Y119-100</f>
        <v>11700</v>
      </c>
      <c r="Z120" s="801" t="s">
        <v>908</v>
      </c>
      <c r="AB120" s="782"/>
      <c r="AC120" s="782"/>
      <c r="AD120" s="782"/>
      <c r="AE120" s="782"/>
      <c r="AF120" s="782"/>
      <c r="AG120" s="782"/>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89"/>
      <c r="CA120" s="689"/>
    </row>
    <row r="121" spans="1:79" s="730" customFormat="1">
      <c r="A121" s="729" t="s">
        <v>451</v>
      </c>
      <c r="B121" s="731">
        <f t="shared" ref="B121:J121" si="15">SUM(B115:B120)</f>
        <v>48700</v>
      </c>
      <c r="C121" s="731">
        <f t="shared" si="15"/>
        <v>50600</v>
      </c>
      <c r="D121" s="731">
        <f t="shared" si="15"/>
        <v>52900</v>
      </c>
      <c r="E121" s="731">
        <f t="shared" si="15"/>
        <v>57100</v>
      </c>
      <c r="F121" s="731">
        <f t="shared" si="15"/>
        <v>60800</v>
      </c>
      <c r="G121" s="731">
        <f t="shared" si="15"/>
        <v>63100</v>
      </c>
      <c r="H121" s="731">
        <f t="shared" si="15"/>
        <v>65100</v>
      </c>
      <c r="I121" s="731">
        <f t="shared" si="15"/>
        <v>68800</v>
      </c>
      <c r="J121" s="731">
        <f t="shared" si="15"/>
        <v>73400</v>
      </c>
      <c r="K121" s="731">
        <f>SUM(K115:K120)</f>
        <v>77300</v>
      </c>
      <c r="L121" s="731">
        <f>SUM(L115:L120)</f>
        <v>77600</v>
      </c>
      <c r="M121" s="731">
        <f>SUM(M115:M120)</f>
        <v>76600</v>
      </c>
      <c r="N121" s="731">
        <v>77700</v>
      </c>
      <c r="O121" s="731">
        <v>80000</v>
      </c>
      <c r="P121" s="731">
        <v>82200</v>
      </c>
      <c r="Q121" s="731">
        <v>84900</v>
      </c>
      <c r="R121" s="731">
        <v>86400</v>
      </c>
      <c r="S121" s="731">
        <v>90500</v>
      </c>
      <c r="T121" s="731">
        <v>91600</v>
      </c>
      <c r="U121" s="731">
        <v>95800</v>
      </c>
      <c r="V121" s="731">
        <v>101000</v>
      </c>
      <c r="W121" s="2114">
        <v>101300</v>
      </c>
      <c r="X121" s="731">
        <v>107800</v>
      </c>
      <c r="Y121" s="731">
        <f>SUM(Y115:Y120)</f>
        <v>118400</v>
      </c>
      <c r="Z121" s="689"/>
      <c r="AA121" s="782"/>
      <c r="AB121" s="782"/>
      <c r="AC121" s="782"/>
      <c r="AD121" s="782"/>
      <c r="AE121" s="782"/>
      <c r="AF121" s="782"/>
      <c r="AG121" s="782"/>
      <c r="AH121" s="689"/>
      <c r="AI121" s="689"/>
      <c r="AJ121" s="689"/>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89"/>
      <c r="CA121" s="689"/>
    </row>
    <row r="122" spans="1:79" s="389" customFormat="1" ht="15.6">
      <c r="H122" s="802" t="str">
        <f>IF(P122&lt;&gt;0,"FIX TOTALS &gt; &gt; &gt; "," ")</f>
        <v xml:space="preserve"> </v>
      </c>
      <c r="L122" s="798">
        <f>L121-B203</f>
        <v>0</v>
      </c>
      <c r="M122" s="798">
        <f>M121-B202</f>
        <v>0</v>
      </c>
      <c r="N122" s="798">
        <f>N121-B201</f>
        <v>0</v>
      </c>
      <c r="O122" s="798">
        <f>O121-B200</f>
        <v>0</v>
      </c>
      <c r="P122" s="798">
        <f>P121-B199</f>
        <v>0</v>
      </c>
      <c r="Q122" s="798">
        <f>Q121-B198</f>
        <v>0</v>
      </c>
      <c r="R122" s="799">
        <v>0</v>
      </c>
      <c r="S122" s="799">
        <f>S121-B196</f>
        <v>0</v>
      </c>
      <c r="T122" s="799">
        <f>T121-B195</f>
        <v>0</v>
      </c>
      <c r="U122" s="799">
        <v>0</v>
      </c>
      <c r="V122" s="799">
        <f>V121-B193</f>
        <v>0</v>
      </c>
      <c r="W122" s="799">
        <f>W121-B192</f>
        <v>0</v>
      </c>
      <c r="X122" s="799">
        <f>X121-B191</f>
        <v>0</v>
      </c>
      <c r="Y122" s="799">
        <f>Y121-B190</f>
        <v>0</v>
      </c>
      <c r="Z122" s="800" t="s">
        <v>906</v>
      </c>
      <c r="AA122" s="782"/>
      <c r="AB122" s="782"/>
      <c r="AC122" s="782"/>
      <c r="AD122" s="782"/>
      <c r="AE122" s="782"/>
      <c r="AF122" s="782"/>
      <c r="AG122" s="782"/>
      <c r="AH122" s="689"/>
      <c r="AI122" s="689"/>
      <c r="AJ122" s="689"/>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89"/>
      <c r="CA122" s="689"/>
    </row>
    <row r="123" spans="1:79" s="389" customFormat="1">
      <c r="I123" s="689"/>
      <c r="J123" s="689"/>
      <c r="K123" s="689"/>
      <c r="L123" s="689"/>
      <c r="M123" s="689"/>
      <c r="N123" s="689"/>
      <c r="O123" s="689"/>
      <c r="P123" s="689"/>
      <c r="Q123" s="689"/>
      <c r="R123" s="689"/>
      <c r="S123" s="689"/>
      <c r="T123" s="689"/>
      <c r="U123" s="689"/>
      <c r="V123" s="689"/>
      <c r="W123" s="689"/>
      <c r="X123" s="689"/>
      <c r="Y123" s="689"/>
      <c r="Z123" s="689"/>
      <c r="AA123" s="782"/>
      <c r="AB123" s="782"/>
      <c r="AC123" s="782"/>
      <c r="AD123" s="782"/>
      <c r="AE123" s="782"/>
      <c r="AF123" s="782"/>
      <c r="AG123" s="782"/>
      <c r="AH123" s="689"/>
      <c r="AI123" s="689"/>
      <c r="AJ123" s="689"/>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89"/>
      <c r="CA123" s="689"/>
    </row>
    <row r="124" spans="1:79" s="389" customFormat="1">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89"/>
      <c r="BZ124" s="689"/>
      <c r="CA124" s="689"/>
    </row>
    <row r="125" spans="1:79" s="389" customFormat="1">
      <c r="I125" s="689"/>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row>
    <row r="126" spans="1:79" s="389" customFormat="1">
      <c r="I126" s="689"/>
      <c r="J126" s="689"/>
      <c r="K126" s="689"/>
      <c r="L126" s="689"/>
      <c r="M126" s="689"/>
      <c r="N126" s="689"/>
      <c r="O126" s="689"/>
      <c r="P126" s="689"/>
      <c r="Q126" s="689"/>
      <c r="R126" s="689"/>
      <c r="S126" s="689"/>
      <c r="T126" s="689"/>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c r="BK126" s="689"/>
      <c r="BL126" s="689"/>
      <c r="BM126" s="689"/>
      <c r="BN126" s="689"/>
      <c r="BO126" s="689"/>
      <c r="BP126" s="689"/>
      <c r="BQ126" s="689"/>
      <c r="BR126" s="689"/>
      <c r="BS126" s="689"/>
      <c r="BT126" s="689"/>
      <c r="BU126" s="689"/>
      <c r="BV126" s="689"/>
      <c r="BW126" s="689"/>
    </row>
    <row r="127" spans="1:79" s="389" customFormat="1">
      <c r="I127" s="689"/>
      <c r="J127" s="689"/>
      <c r="K127" s="689"/>
      <c r="L127" s="689"/>
      <c r="M127" s="689"/>
      <c r="N127" s="689"/>
      <c r="O127" s="689"/>
      <c r="P127" s="689"/>
      <c r="Q127" s="689"/>
      <c r="R127" s="689"/>
      <c r="S127" s="689"/>
      <c r="T127" s="689"/>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c r="BQ127" s="689"/>
      <c r="BR127" s="689"/>
      <c r="BS127" s="689"/>
      <c r="BT127" s="689"/>
      <c r="BU127" s="689"/>
      <c r="BV127" s="689"/>
      <c r="BW127" s="689"/>
    </row>
    <row r="128" spans="1:79" s="389" customFormat="1">
      <c r="I128" s="689"/>
      <c r="J128" s="689"/>
      <c r="K128" s="689"/>
      <c r="L128" s="689"/>
      <c r="M128" s="689"/>
      <c r="N128" s="689"/>
      <c r="O128" s="689"/>
      <c r="P128" s="689"/>
      <c r="Q128" s="689"/>
      <c r="R128" s="689"/>
      <c r="S128" s="689"/>
      <c r="T128" s="689"/>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c r="BQ128" s="689"/>
      <c r="BR128" s="689"/>
      <c r="BS128" s="689"/>
      <c r="BT128" s="689"/>
      <c r="BU128" s="689"/>
      <c r="BV128" s="689"/>
    </row>
    <row r="129" spans="1:74" s="389" customFormat="1">
      <c r="I129" s="689"/>
      <c r="J129" s="689"/>
      <c r="K129" s="689"/>
      <c r="L129" s="689"/>
      <c r="M129" s="689"/>
      <c r="N129" s="689"/>
      <c r="O129" s="689"/>
      <c r="P129" s="689"/>
      <c r="Q129" s="689"/>
      <c r="R129" s="689"/>
      <c r="S129" s="689"/>
      <c r="T129" s="689"/>
      <c r="U129" s="689"/>
      <c r="V129" s="689"/>
      <c r="W129" s="689"/>
      <c r="X129" s="689"/>
      <c r="Y129" s="689"/>
      <c r="Z129" s="689"/>
      <c r="AA129" s="689"/>
      <c r="AB129" s="689"/>
      <c r="AC129" s="689"/>
      <c r="AD129" s="689"/>
      <c r="AE129" s="689"/>
      <c r="AF129" s="689"/>
      <c r="AG129" s="689"/>
      <c r="AH129" s="689"/>
      <c r="AI129" s="689"/>
      <c r="AJ129" s="689"/>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c r="BK129" s="689"/>
      <c r="BL129" s="689"/>
      <c r="BM129" s="689"/>
      <c r="BN129" s="689"/>
      <c r="BO129" s="689"/>
      <c r="BP129" s="689"/>
      <c r="BQ129" s="689"/>
      <c r="BR129" s="689"/>
      <c r="BS129" s="689"/>
      <c r="BT129" s="689"/>
      <c r="BU129" s="689"/>
      <c r="BV129" s="689"/>
    </row>
    <row r="130" spans="1:74" s="389" customFormat="1">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c r="BK130" s="689"/>
      <c r="BL130" s="689"/>
      <c r="BM130" s="689"/>
      <c r="BN130" s="689"/>
      <c r="BO130" s="689"/>
      <c r="BP130" s="689"/>
      <c r="BQ130" s="689"/>
      <c r="BR130" s="689"/>
      <c r="BS130" s="689"/>
      <c r="BT130" s="689"/>
      <c r="BU130" s="689"/>
      <c r="BV130" s="689"/>
    </row>
    <row r="131" spans="1:74" s="389" customFormat="1">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c r="BQ131" s="689"/>
      <c r="BR131" s="689"/>
      <c r="BS131" s="689"/>
      <c r="BT131" s="689"/>
      <c r="BU131" s="689"/>
      <c r="BV131" s="689"/>
    </row>
    <row r="132" spans="1:74" s="389" customFormat="1">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G132" s="689"/>
      <c r="AH132" s="689"/>
      <c r="AI132" s="689"/>
      <c r="AJ132" s="689"/>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c r="BK132" s="689"/>
      <c r="BL132" s="689"/>
      <c r="BM132" s="689"/>
      <c r="BN132" s="689"/>
      <c r="BO132" s="689"/>
      <c r="BP132" s="689"/>
      <c r="BQ132" s="689"/>
      <c r="BR132" s="689"/>
      <c r="BS132" s="689"/>
      <c r="BT132" s="689"/>
      <c r="BU132" s="689"/>
      <c r="BV132" s="689"/>
    </row>
    <row r="133" spans="1:74" s="389" customFormat="1">
      <c r="I133" s="689"/>
      <c r="J133" s="689"/>
      <c r="K133" s="1695"/>
      <c r="L133" s="689"/>
      <c r="M133" s="689"/>
      <c r="N133" s="689"/>
      <c r="O133" s="689"/>
      <c r="P133" s="689"/>
      <c r="Q133" s="689"/>
      <c r="R133" s="689"/>
      <c r="S133" s="689"/>
      <c r="T133" s="689"/>
      <c r="U133" s="689"/>
      <c r="V133" s="689"/>
      <c r="W133" s="689"/>
      <c r="X133" s="689"/>
      <c r="Y133" s="689"/>
      <c r="Z133" s="689"/>
      <c r="AA133" s="689"/>
      <c r="AB133" s="689"/>
      <c r="AC133" s="689"/>
      <c r="AD133" s="689"/>
      <c r="AE133" s="689"/>
      <c r="AF133" s="689"/>
      <c r="AG133" s="689"/>
      <c r="AH133" s="689"/>
      <c r="AI133" s="689"/>
      <c r="AJ133" s="689"/>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c r="BK133" s="689"/>
      <c r="BL133" s="689"/>
      <c r="BM133" s="689"/>
      <c r="BN133" s="689"/>
      <c r="BO133" s="689"/>
      <c r="BP133" s="689"/>
      <c r="BQ133" s="689"/>
      <c r="BR133" s="689"/>
      <c r="BS133" s="689"/>
      <c r="BT133" s="689"/>
      <c r="BU133" s="689"/>
      <c r="BV133" s="689"/>
    </row>
    <row r="134" spans="1:74" s="389" customFormat="1">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c r="BQ134" s="689"/>
      <c r="BR134" s="689"/>
      <c r="BS134" s="689"/>
      <c r="BT134" s="689"/>
      <c r="BU134" s="689"/>
      <c r="BV134" s="689"/>
    </row>
    <row r="135" spans="1:74" s="389" customFormat="1">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89"/>
      <c r="AG135" s="689"/>
      <c r="AH135" s="689"/>
      <c r="AI135" s="689"/>
      <c r="AJ135" s="689"/>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c r="BK135" s="689"/>
      <c r="BL135" s="689"/>
      <c r="BM135" s="689"/>
      <c r="BN135" s="689"/>
      <c r="BO135" s="689"/>
      <c r="BP135" s="689"/>
      <c r="BQ135" s="689"/>
      <c r="BR135" s="689"/>
      <c r="BS135" s="689"/>
      <c r="BT135" s="689"/>
      <c r="BU135" s="689"/>
      <c r="BV135" s="689"/>
    </row>
    <row r="136" spans="1:74" s="389" customFormat="1" ht="20.399999999999999">
      <c r="A136" s="718"/>
      <c r="I136" s="689"/>
      <c r="J136" s="689"/>
      <c r="K136" s="689"/>
      <c r="L136" s="689"/>
      <c r="M136" s="689"/>
      <c r="N136" s="689"/>
      <c r="O136" s="689"/>
      <c r="P136" s="689"/>
      <c r="Q136" s="689"/>
      <c r="R136" s="689"/>
      <c r="S136" s="689"/>
      <c r="T136" s="689"/>
      <c r="U136" s="689"/>
      <c r="V136" s="689"/>
      <c r="W136" s="689"/>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row>
    <row r="137" spans="1:74" s="389" customFormat="1">
      <c r="I137" s="689"/>
      <c r="J137" s="689"/>
      <c r="K137" s="689"/>
      <c r="L137" s="689"/>
      <c r="M137" s="689"/>
      <c r="N137" s="689"/>
      <c r="O137" s="689"/>
      <c r="P137" s="689"/>
      <c r="Q137" s="689"/>
      <c r="R137" s="689"/>
      <c r="S137" s="689"/>
      <c r="T137" s="689"/>
      <c r="U137" s="689"/>
      <c r="V137" s="689"/>
      <c r="W137" s="689"/>
      <c r="X137" s="689"/>
      <c r="Y137" s="689"/>
      <c r="Z137" s="689"/>
      <c r="AA137" s="689"/>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row>
    <row r="138" spans="1:74" s="389" customFormat="1">
      <c r="I138" s="689"/>
      <c r="J138" s="689"/>
      <c r="K138" s="689"/>
      <c r="L138" s="689"/>
      <c r="M138" s="689"/>
      <c r="N138" s="689"/>
      <c r="O138" s="689"/>
      <c r="P138" s="689"/>
      <c r="Q138" s="689"/>
      <c r="R138" s="689"/>
      <c r="S138" s="689"/>
      <c r="T138" s="689"/>
      <c r="U138" s="689"/>
      <c r="V138" s="689"/>
      <c r="W138" s="689"/>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row>
    <row r="139" spans="1:74" s="389" customFormat="1">
      <c r="I139" s="689"/>
      <c r="J139" s="689"/>
      <c r="K139" s="689"/>
      <c r="L139" s="689"/>
      <c r="M139" s="689"/>
      <c r="N139" s="689"/>
      <c r="O139" s="689"/>
      <c r="P139" s="689"/>
      <c r="Q139" s="689"/>
      <c r="R139" s="689"/>
      <c r="S139" s="689"/>
      <c r="T139" s="689"/>
      <c r="U139" s="689"/>
      <c r="V139" s="689"/>
      <c r="W139" s="689"/>
      <c r="X139" s="689"/>
      <c r="Y139" s="689"/>
      <c r="Z139" s="689"/>
      <c r="AA139" s="689"/>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row>
    <row r="140" spans="1:74" s="389" customFormat="1">
      <c r="I140" s="689"/>
      <c r="J140" s="689"/>
      <c r="K140" s="689"/>
      <c r="L140" s="689"/>
      <c r="M140" s="689"/>
      <c r="N140" s="689"/>
      <c r="O140" s="689"/>
      <c r="P140" s="689"/>
      <c r="Q140" s="689"/>
      <c r="R140" s="689"/>
      <c r="S140" s="689"/>
      <c r="T140" s="689"/>
      <c r="U140" s="689"/>
      <c r="V140" s="689"/>
      <c r="W140" s="689"/>
      <c r="X140" s="689"/>
      <c r="Y140" s="689"/>
      <c r="Z140" s="689"/>
      <c r="AA140" s="689"/>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row>
    <row r="141" spans="1:74" s="389" customFormat="1">
      <c r="I141" s="689"/>
      <c r="J141" s="689"/>
      <c r="K141" s="689"/>
      <c r="L141" s="689"/>
      <c r="M141" s="689"/>
      <c r="N141" s="689"/>
      <c r="O141" s="689"/>
      <c r="P141" s="689"/>
      <c r="Q141" s="689"/>
      <c r="R141" s="689"/>
      <c r="S141" s="689"/>
      <c r="T141" s="689"/>
      <c r="U141" s="689"/>
      <c r="V141" s="689"/>
      <c r="W141" s="689"/>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row>
    <row r="142" spans="1:74" s="389" customFormat="1">
      <c r="I142" s="689"/>
      <c r="J142" s="689"/>
      <c r="K142" s="689"/>
      <c r="L142" s="689"/>
      <c r="M142" s="689"/>
      <c r="N142" s="689"/>
      <c r="O142" s="689"/>
      <c r="P142" s="689"/>
      <c r="Q142" s="689"/>
      <c r="R142" s="689"/>
      <c r="S142" s="689"/>
      <c r="T142" s="689"/>
      <c r="U142" s="689"/>
      <c r="V142" s="689"/>
      <c r="W142" s="689"/>
      <c r="X142" s="689"/>
      <c r="Y142" s="689"/>
      <c r="Z142" s="689"/>
      <c r="AA142" s="689"/>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row>
    <row r="143" spans="1:74" s="389" customFormat="1">
      <c r="I143" s="689"/>
      <c r="J143" s="689"/>
      <c r="K143" s="689"/>
      <c r="L143" s="689"/>
      <c r="M143" s="689"/>
      <c r="N143" s="689"/>
      <c r="O143" s="689"/>
      <c r="P143" s="689"/>
      <c r="Q143" s="689"/>
      <c r="R143" s="689"/>
      <c r="S143" s="689"/>
      <c r="T143" s="689"/>
      <c r="U143" s="689"/>
      <c r="V143" s="689"/>
      <c r="W143" s="689"/>
      <c r="X143" s="689"/>
      <c r="Y143" s="689"/>
      <c r="Z143" s="689"/>
      <c r="AA143" s="689"/>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row>
    <row r="144" spans="1:74" s="389" customFormat="1">
      <c r="I144" s="689"/>
      <c r="J144" s="689"/>
      <c r="K144" s="689"/>
      <c r="L144" s="689"/>
      <c r="M144" s="689"/>
      <c r="N144" s="689"/>
      <c r="O144" s="689"/>
      <c r="P144" s="689"/>
      <c r="Q144" s="689"/>
      <c r="R144" s="689"/>
      <c r="S144" s="689"/>
      <c r="T144" s="689"/>
      <c r="U144" s="689"/>
      <c r="V144" s="689"/>
      <c r="W144" s="689"/>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row>
    <row r="145" spans="1:79" s="389" customFormat="1">
      <c r="I145" s="689"/>
      <c r="J145" s="689"/>
      <c r="K145" s="689"/>
      <c r="L145" s="689"/>
      <c r="M145" s="689"/>
      <c r="N145" s="689"/>
      <c r="O145" s="689"/>
      <c r="P145" s="689"/>
      <c r="Q145" s="689"/>
      <c r="R145" s="689"/>
      <c r="S145" s="689"/>
      <c r="T145" s="689"/>
      <c r="U145" s="689"/>
      <c r="V145" s="689"/>
      <c r="W145" s="689"/>
      <c r="X145" s="689"/>
      <c r="Y145" s="689"/>
      <c r="Z145" s="689"/>
      <c r="AA145" s="689"/>
      <c r="AB145" s="689"/>
      <c r="AC145" s="689"/>
      <c r="AD145" s="689"/>
      <c r="AE145" s="689"/>
      <c r="AF145" s="689"/>
      <c r="AG145" s="689"/>
      <c r="AH145" s="689"/>
      <c r="AI145" s="689"/>
      <c r="AJ145" s="689"/>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row>
    <row r="146" spans="1:79" s="389" customFormat="1">
      <c r="I146" s="689"/>
      <c r="J146" s="689"/>
      <c r="K146" s="689"/>
      <c r="L146" s="689"/>
      <c r="M146" s="689"/>
      <c r="N146" s="689"/>
      <c r="O146" s="689"/>
      <c r="P146" s="689"/>
      <c r="Q146" s="689"/>
      <c r="R146" s="689"/>
      <c r="S146" s="689"/>
      <c r="T146" s="689"/>
      <c r="U146" s="689"/>
      <c r="V146" s="689"/>
      <c r="W146" s="689"/>
      <c r="X146" s="689"/>
      <c r="Y146" s="689"/>
      <c r="Z146" s="689"/>
      <c r="AA146" s="689"/>
      <c r="AB146" s="689"/>
      <c r="AC146" s="689"/>
      <c r="AD146" s="689"/>
      <c r="AE146" s="689"/>
      <c r="AF146" s="689"/>
      <c r="AG146" s="689"/>
      <c r="AH146" s="689"/>
      <c r="AI146" s="689"/>
      <c r="AJ146" s="689"/>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row>
    <row r="147" spans="1:79" s="389" customFormat="1">
      <c r="I147" s="689"/>
      <c r="J147" s="689"/>
      <c r="K147" s="689"/>
      <c r="L147" s="689"/>
      <c r="M147" s="689"/>
      <c r="N147" s="689"/>
      <c r="O147" s="689"/>
      <c r="P147" s="689"/>
      <c r="Q147" s="689"/>
      <c r="R147" s="689"/>
      <c r="S147" s="689"/>
      <c r="T147" s="689"/>
      <c r="U147" s="689"/>
      <c r="V147" s="689"/>
      <c r="W147" s="689"/>
      <c r="X147" s="689"/>
      <c r="Y147" s="689"/>
      <c r="Z147" s="689"/>
      <c r="AA147" s="689"/>
      <c r="AB147" s="689"/>
      <c r="AC147" s="689"/>
      <c r="AD147" s="689"/>
      <c r="AE147" s="689"/>
      <c r="AF147" s="689"/>
      <c r="AG147" s="689"/>
      <c r="AH147" s="689"/>
      <c r="AI147" s="689"/>
      <c r="AJ147" s="689"/>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row>
    <row r="148" spans="1:79" s="389" customFormat="1">
      <c r="I148" s="689"/>
      <c r="J148" s="689"/>
      <c r="K148" s="689"/>
      <c r="L148" s="689"/>
      <c r="M148" s="689"/>
      <c r="N148" s="689"/>
      <c r="O148" s="689"/>
      <c r="P148" s="689"/>
      <c r="Q148" s="689"/>
      <c r="R148" s="689"/>
      <c r="S148" s="689"/>
      <c r="T148" s="689"/>
      <c r="U148" s="689"/>
      <c r="V148" s="689"/>
      <c r="W148" s="689"/>
      <c r="X148" s="689"/>
      <c r="Y148" s="689"/>
      <c r="Z148" s="689"/>
      <c r="AA148" s="689"/>
      <c r="AB148" s="689"/>
      <c r="AC148" s="689"/>
      <c r="AD148" s="689"/>
      <c r="AE148" s="689"/>
      <c r="AF148" s="689"/>
      <c r="AG148" s="689"/>
      <c r="AH148" s="689"/>
      <c r="AI148" s="689"/>
      <c r="AJ148" s="689"/>
      <c r="AK148" s="689"/>
      <c r="AL148" s="689"/>
      <c r="AM148" s="689"/>
      <c r="AN148" s="689"/>
      <c r="AO148" s="689"/>
      <c r="AP148" s="689"/>
      <c r="AQ148" s="689"/>
      <c r="AR148" s="689"/>
      <c r="AS148" s="689"/>
      <c r="AT148" s="689"/>
      <c r="AU148" s="689"/>
      <c r="AV148" s="689"/>
      <c r="AW148" s="689"/>
      <c r="AX148" s="689"/>
      <c r="AY148" s="689"/>
      <c r="AZ148" s="689"/>
      <c r="BA148" s="689"/>
      <c r="BB148" s="689"/>
      <c r="BC148" s="689"/>
      <c r="BD148" s="689"/>
      <c r="BE148" s="689"/>
      <c r="BF148" s="689"/>
      <c r="BG148" s="689"/>
      <c r="BH148" s="689"/>
      <c r="BI148" s="689"/>
      <c r="BJ148" s="689"/>
      <c r="BK148" s="689"/>
      <c r="BL148" s="689"/>
      <c r="BM148" s="689"/>
      <c r="BN148" s="689"/>
      <c r="BO148" s="689"/>
      <c r="BP148" s="689"/>
      <c r="BQ148" s="689"/>
      <c r="BR148" s="689"/>
      <c r="BS148" s="689"/>
      <c r="BT148" s="689"/>
      <c r="BU148" s="689"/>
      <c r="BV148" s="689"/>
      <c r="BW148" s="689"/>
    </row>
    <row r="149" spans="1:79" s="389" customFormat="1">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89"/>
      <c r="AG149" s="689"/>
      <c r="AH149" s="689"/>
      <c r="AI149" s="689"/>
      <c r="AJ149" s="689"/>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row>
    <row r="150" spans="1:79" s="389" customFormat="1">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89"/>
      <c r="BW150" s="689"/>
    </row>
    <row r="151" spans="1:79" s="389" customFormat="1" ht="17.399999999999999">
      <c r="A151" s="699" t="s">
        <v>803</v>
      </c>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89"/>
      <c r="BW151" s="689"/>
      <c r="BX151" s="689"/>
    </row>
    <row r="152" spans="1:79" s="689" customFormat="1" ht="13.8">
      <c r="A152" s="804"/>
      <c r="B152" s="804">
        <v>1999</v>
      </c>
      <c r="C152" s="804">
        <v>2000</v>
      </c>
      <c r="D152" s="804">
        <v>2001</v>
      </c>
      <c r="E152" s="804">
        <v>2002</v>
      </c>
      <c r="F152" s="804">
        <v>2003</v>
      </c>
      <c r="G152" s="804">
        <v>2004</v>
      </c>
      <c r="H152" s="804">
        <v>2005</v>
      </c>
      <c r="I152" s="804">
        <v>2006</v>
      </c>
      <c r="J152" s="804">
        <v>2007</v>
      </c>
      <c r="K152" s="804">
        <v>2008</v>
      </c>
      <c r="L152" s="804">
        <v>2009</v>
      </c>
      <c r="M152" s="804">
        <v>2010</v>
      </c>
      <c r="N152" s="804">
        <v>2011</v>
      </c>
      <c r="O152" s="804">
        <v>2012</v>
      </c>
      <c r="P152" s="804">
        <v>2013</v>
      </c>
      <c r="Q152" s="804">
        <v>2014</v>
      </c>
      <c r="R152" s="804">
        <v>2015</v>
      </c>
      <c r="S152" s="804">
        <v>2016</v>
      </c>
      <c r="T152" s="804">
        <v>2017</v>
      </c>
      <c r="U152" s="804">
        <v>2018</v>
      </c>
      <c r="V152" s="804">
        <v>2019</v>
      </c>
      <c r="W152" s="804">
        <v>2020</v>
      </c>
      <c r="X152" s="804">
        <v>2021</v>
      </c>
      <c r="Y152" s="804">
        <v>2022</v>
      </c>
    </row>
    <row r="153" spans="1:79" s="389" customFormat="1">
      <c r="A153" s="729" t="s">
        <v>448</v>
      </c>
      <c r="B153" s="731">
        <v>21800</v>
      </c>
      <c r="C153" s="731">
        <v>23300</v>
      </c>
      <c r="D153" s="731">
        <v>25500</v>
      </c>
      <c r="E153" s="731">
        <v>26000</v>
      </c>
      <c r="F153" s="731">
        <v>26500</v>
      </c>
      <c r="G153" s="731">
        <v>27900</v>
      </c>
      <c r="H153" s="731">
        <v>28900</v>
      </c>
      <c r="I153" s="731">
        <v>30500</v>
      </c>
      <c r="J153" s="731">
        <v>33100</v>
      </c>
      <c r="K153" s="731">
        <v>33400</v>
      </c>
      <c r="L153" s="731">
        <v>35000</v>
      </c>
      <c r="M153" s="731">
        <v>35800</v>
      </c>
      <c r="N153" s="731">
        <v>36600</v>
      </c>
      <c r="O153" s="731">
        <v>35000</v>
      </c>
      <c r="P153" s="731">
        <v>36000</v>
      </c>
      <c r="Q153" s="731">
        <v>36800</v>
      </c>
      <c r="R153" s="731">
        <v>39000</v>
      </c>
      <c r="S153" s="731">
        <v>38900</v>
      </c>
      <c r="T153" s="731">
        <v>40200</v>
      </c>
      <c r="U153" s="731">
        <v>41300</v>
      </c>
      <c r="V153" s="731">
        <v>44300</v>
      </c>
      <c r="W153" s="731">
        <v>44700</v>
      </c>
      <c r="X153" s="731">
        <v>46000</v>
      </c>
      <c r="Y153" s="731">
        <f>FL_mult_salwage_p.hole</f>
        <v>50700</v>
      </c>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89"/>
      <c r="BW153" s="689"/>
      <c r="BX153" s="689"/>
      <c r="BY153" s="689"/>
      <c r="BZ153" s="689"/>
      <c r="CA153" s="689"/>
    </row>
    <row r="154" spans="1:79" s="389" customFormat="1">
      <c r="A154" s="729" t="s">
        <v>425</v>
      </c>
      <c r="B154" s="731">
        <v>4800</v>
      </c>
      <c r="C154" s="731">
        <v>5000</v>
      </c>
      <c r="D154" s="731">
        <v>5900</v>
      </c>
      <c r="E154" s="731">
        <v>6300</v>
      </c>
      <c r="F154" s="731">
        <v>6600</v>
      </c>
      <c r="G154" s="731">
        <v>6900</v>
      </c>
      <c r="H154" s="731">
        <v>7000</v>
      </c>
      <c r="I154" s="731">
        <v>7200</v>
      </c>
      <c r="J154" s="731">
        <v>7500</v>
      </c>
      <c r="K154" s="731">
        <v>7700</v>
      </c>
      <c r="L154" s="731">
        <v>7900</v>
      </c>
      <c r="M154" s="731">
        <v>7900</v>
      </c>
      <c r="N154" s="731">
        <v>7900</v>
      </c>
      <c r="O154" s="731">
        <v>7700</v>
      </c>
      <c r="P154" s="731">
        <v>7800</v>
      </c>
      <c r="Q154" s="731">
        <v>8000</v>
      </c>
      <c r="R154" s="731">
        <v>8400</v>
      </c>
      <c r="S154" s="731">
        <v>8700</v>
      </c>
      <c r="T154" s="731">
        <v>9000</v>
      </c>
      <c r="U154" s="731">
        <v>9100</v>
      </c>
      <c r="V154" s="731">
        <v>9200</v>
      </c>
      <c r="W154" s="731">
        <v>8700</v>
      </c>
      <c r="X154" s="731">
        <v>8600</v>
      </c>
      <c r="Y154" s="731">
        <f>FL_mult_paytax_bens_p.hole</f>
        <v>8800</v>
      </c>
      <c r="Z154" s="689"/>
      <c r="AA154" s="689"/>
      <c r="AB154" s="689"/>
      <c r="AC154" s="689"/>
      <c r="AD154" s="689"/>
      <c r="AE154" s="689"/>
      <c r="AF154" s="689"/>
      <c r="AG154" s="689"/>
      <c r="AH154" s="689"/>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89"/>
      <c r="BK154" s="689"/>
      <c r="BL154" s="689"/>
      <c r="BM154" s="689"/>
      <c r="BN154" s="689"/>
      <c r="BO154" s="689"/>
      <c r="BP154" s="689"/>
      <c r="BQ154" s="689"/>
      <c r="BR154" s="689"/>
      <c r="BS154" s="689"/>
      <c r="BT154" s="689"/>
      <c r="BU154" s="689"/>
      <c r="BV154" s="689"/>
      <c r="BW154" s="689"/>
      <c r="BX154" s="689"/>
      <c r="BY154" s="689"/>
      <c r="BZ154" s="689"/>
      <c r="CA154" s="689"/>
    </row>
    <row r="155" spans="1:79" s="389" customFormat="1">
      <c r="A155" s="729" t="s">
        <v>449</v>
      </c>
      <c r="B155" s="731">
        <v>10700</v>
      </c>
      <c r="C155" s="731">
        <v>11200</v>
      </c>
      <c r="D155" s="731">
        <v>12200</v>
      </c>
      <c r="E155" s="731">
        <v>12400</v>
      </c>
      <c r="F155" s="731">
        <v>13200</v>
      </c>
      <c r="G155" s="731">
        <v>12800</v>
      </c>
      <c r="H155" s="731">
        <v>13700</v>
      </c>
      <c r="I155" s="731">
        <v>15400</v>
      </c>
      <c r="J155" s="731">
        <v>16300</v>
      </c>
      <c r="K155" s="731">
        <v>17500</v>
      </c>
      <c r="L155" s="731">
        <v>18200</v>
      </c>
      <c r="M155" s="731">
        <v>17900</v>
      </c>
      <c r="N155" s="731">
        <v>18500</v>
      </c>
      <c r="O155" s="731">
        <v>18300</v>
      </c>
      <c r="P155" s="731">
        <v>19400</v>
      </c>
      <c r="Q155" s="731">
        <v>19500</v>
      </c>
      <c r="R155" s="731">
        <v>20100</v>
      </c>
      <c r="S155" s="731">
        <v>20000</v>
      </c>
      <c r="T155" s="731">
        <v>20500</v>
      </c>
      <c r="U155" s="731">
        <v>21700</v>
      </c>
      <c r="V155" s="731">
        <v>22500</v>
      </c>
      <c r="W155" s="731">
        <v>23200</v>
      </c>
      <c r="X155" s="731">
        <v>24900</v>
      </c>
      <c r="Y155" s="731">
        <f>FL_mult_supplies_p.hole</f>
        <v>27600</v>
      </c>
      <c r="Z155" s="689"/>
      <c r="AA155" s="689"/>
      <c r="AB155" s="689"/>
      <c r="AC155" s="689"/>
      <c r="AD155" s="689"/>
      <c r="AE155" s="689"/>
      <c r="AF155" s="689"/>
      <c r="AG155" s="689"/>
      <c r="AH155" s="689"/>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89"/>
      <c r="BK155" s="689"/>
      <c r="BL155" s="689"/>
      <c r="BM155" s="689"/>
      <c r="BN155" s="689"/>
      <c r="BO155" s="689"/>
      <c r="BP155" s="689"/>
      <c r="BQ155" s="689"/>
      <c r="BR155" s="689"/>
      <c r="BS155" s="689"/>
      <c r="BT155" s="689"/>
      <c r="BU155" s="689"/>
      <c r="BV155" s="689"/>
      <c r="BW155" s="689"/>
      <c r="BX155" s="689"/>
      <c r="BY155" s="689"/>
      <c r="BZ155" s="689"/>
      <c r="CA155" s="689"/>
    </row>
    <row r="156" spans="1:79" s="389" customFormat="1" ht="15.6" thickBot="1">
      <c r="A156" s="729" t="s">
        <v>450</v>
      </c>
      <c r="B156" s="731">
        <v>4600</v>
      </c>
      <c r="C156" s="731">
        <v>5000</v>
      </c>
      <c r="D156" s="731">
        <v>4700</v>
      </c>
      <c r="E156" s="731">
        <v>4600</v>
      </c>
      <c r="F156" s="731">
        <v>4700</v>
      </c>
      <c r="G156" s="731">
        <v>4700</v>
      </c>
      <c r="H156" s="731">
        <v>4800</v>
      </c>
      <c r="I156" s="731">
        <v>5000</v>
      </c>
      <c r="J156" s="731">
        <v>5000</v>
      </c>
      <c r="K156" s="731">
        <v>5200</v>
      </c>
      <c r="L156" s="731">
        <v>5500</v>
      </c>
      <c r="M156" s="731">
        <v>5300</v>
      </c>
      <c r="N156" s="731">
        <v>5700</v>
      </c>
      <c r="O156" s="731">
        <v>5400</v>
      </c>
      <c r="P156" s="731">
        <v>5400</v>
      </c>
      <c r="Q156" s="731">
        <v>5400</v>
      </c>
      <c r="R156" s="731">
        <v>5700</v>
      </c>
      <c r="S156" s="731">
        <v>5800</v>
      </c>
      <c r="T156" s="731">
        <v>5800</v>
      </c>
      <c r="U156" s="731">
        <v>6100</v>
      </c>
      <c r="V156" s="731">
        <v>6500</v>
      </c>
      <c r="W156" s="731">
        <v>6600</v>
      </c>
      <c r="X156" s="731">
        <v>6800</v>
      </c>
      <c r="Y156" s="731">
        <f>FL_mult_rep_mtce_p.hole</f>
        <v>7000</v>
      </c>
      <c r="Z156" s="689"/>
      <c r="AA156" s="689"/>
      <c r="AB156" s="689"/>
      <c r="AC156" s="689"/>
      <c r="AD156" s="689"/>
      <c r="AE156" s="689"/>
      <c r="AF156" s="689"/>
      <c r="AG156" s="689"/>
      <c r="AH156" s="689"/>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89"/>
      <c r="BK156" s="689"/>
      <c r="BL156" s="689"/>
      <c r="BM156" s="689"/>
      <c r="BN156" s="689"/>
      <c r="BO156" s="689"/>
      <c r="BP156" s="689"/>
      <c r="BQ156" s="689"/>
      <c r="BR156" s="689"/>
      <c r="BS156" s="689"/>
      <c r="BT156" s="689"/>
      <c r="BU156" s="689"/>
      <c r="BV156" s="689"/>
      <c r="BW156" s="689"/>
      <c r="BX156" s="689"/>
      <c r="BY156" s="689"/>
      <c r="BZ156" s="689"/>
      <c r="CA156" s="689"/>
    </row>
    <row r="157" spans="1:79" s="389" customFormat="1" ht="15.6" thickBot="1">
      <c r="A157" s="729" t="s">
        <v>1116</v>
      </c>
      <c r="B157" s="731"/>
      <c r="C157" s="731"/>
      <c r="D157" s="731"/>
      <c r="E157" s="731"/>
      <c r="F157" s="731"/>
      <c r="G157" s="731"/>
      <c r="H157" s="731"/>
      <c r="I157" s="731"/>
      <c r="J157" s="731"/>
      <c r="K157" s="731"/>
      <c r="L157" s="731"/>
      <c r="M157" s="979">
        <v>2900</v>
      </c>
      <c r="N157" s="980">
        <v>2700</v>
      </c>
      <c r="O157" s="980">
        <v>2400</v>
      </c>
      <c r="P157" s="981">
        <v>2300</v>
      </c>
      <c r="Q157" s="731">
        <v>2300</v>
      </c>
      <c r="R157" s="731">
        <v>2800</v>
      </c>
      <c r="S157" s="731">
        <v>2700</v>
      </c>
      <c r="T157" s="731">
        <v>2500</v>
      </c>
      <c r="U157" s="731">
        <v>2500</v>
      </c>
      <c r="V157" s="731">
        <v>2500</v>
      </c>
      <c r="W157" s="731">
        <v>2100</v>
      </c>
      <c r="X157" s="731">
        <v>2100</v>
      </c>
      <c r="Y157" s="731">
        <f>FL_mult_lease_p.hole</f>
        <v>2000</v>
      </c>
      <c r="Z157" s="689"/>
      <c r="AA157" s="689"/>
      <c r="AB157" s="689"/>
      <c r="AC157" s="689"/>
      <c r="AD157" s="689"/>
      <c r="AE157" s="689"/>
      <c r="AF157" s="689"/>
      <c r="AG157" s="689"/>
      <c r="AH157" s="689"/>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89"/>
      <c r="BK157" s="689"/>
      <c r="BL157" s="689"/>
      <c r="BM157" s="689"/>
      <c r="BN157" s="689"/>
      <c r="BO157" s="689"/>
      <c r="BP157" s="689"/>
      <c r="BQ157" s="689"/>
      <c r="BR157" s="689"/>
      <c r="BS157" s="689"/>
      <c r="BT157" s="689"/>
      <c r="BU157" s="689"/>
      <c r="BV157" s="689"/>
      <c r="BW157" s="689"/>
      <c r="BX157" s="689"/>
      <c r="BY157" s="689"/>
      <c r="BZ157" s="689"/>
      <c r="CA157" s="689"/>
    </row>
    <row r="158" spans="1:79" s="389" customFormat="1">
      <c r="A158" s="729" t="s">
        <v>1117</v>
      </c>
      <c r="B158" s="803">
        <v>4500</v>
      </c>
      <c r="C158" s="803">
        <v>4000</v>
      </c>
      <c r="D158" s="803">
        <v>5100</v>
      </c>
      <c r="E158" s="803">
        <v>5300</v>
      </c>
      <c r="F158" s="803">
        <v>5100</v>
      </c>
      <c r="G158" s="803">
        <v>6000</v>
      </c>
      <c r="H158" s="803">
        <v>6600</v>
      </c>
      <c r="I158" s="803">
        <v>7800</v>
      </c>
      <c r="J158" s="803">
        <v>8200</v>
      </c>
      <c r="K158" s="803">
        <v>8600</v>
      </c>
      <c r="L158" s="803">
        <v>8000</v>
      </c>
      <c r="M158" s="803">
        <f>9100-M157</f>
        <v>6200</v>
      </c>
      <c r="N158" s="803">
        <f>9900-N157</f>
        <v>7200</v>
      </c>
      <c r="O158" s="803">
        <f>10400-O157</f>
        <v>8000</v>
      </c>
      <c r="P158" s="803">
        <f>9200-P157</f>
        <v>6900</v>
      </c>
      <c r="Q158" s="803">
        <v>7600</v>
      </c>
      <c r="R158" s="803">
        <v>7200</v>
      </c>
      <c r="S158" s="803">
        <v>6800</v>
      </c>
      <c r="T158" s="803">
        <v>7800</v>
      </c>
      <c r="U158" s="803">
        <v>8500</v>
      </c>
      <c r="V158" s="803">
        <v>8700</v>
      </c>
      <c r="W158" s="803">
        <v>9200</v>
      </c>
      <c r="X158" s="803">
        <v>10600</v>
      </c>
      <c r="Y158" s="803">
        <f>SUM(FL_mult_all_otherexp_p.hole)-Y157-100</f>
        <v>11100</v>
      </c>
      <c r="Z158" s="801" t="s">
        <v>908</v>
      </c>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89"/>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row>
    <row r="159" spans="1:79" s="389" customFormat="1">
      <c r="A159" s="729" t="s">
        <v>894</v>
      </c>
      <c r="B159" s="731">
        <f t="shared" ref="B159:L159" si="16">SUM(B153:B158)</f>
        <v>46400</v>
      </c>
      <c r="C159" s="731">
        <f t="shared" si="16"/>
        <v>48500</v>
      </c>
      <c r="D159" s="731">
        <f t="shared" si="16"/>
        <v>53400</v>
      </c>
      <c r="E159" s="731">
        <f t="shared" si="16"/>
        <v>54600</v>
      </c>
      <c r="F159" s="731">
        <f t="shared" si="16"/>
        <v>56100</v>
      </c>
      <c r="G159" s="731">
        <f t="shared" si="16"/>
        <v>58300</v>
      </c>
      <c r="H159" s="731">
        <f t="shared" si="16"/>
        <v>61000</v>
      </c>
      <c r="I159" s="731">
        <f t="shared" si="16"/>
        <v>65900</v>
      </c>
      <c r="J159" s="731">
        <f t="shared" si="16"/>
        <v>70100</v>
      </c>
      <c r="K159" s="731">
        <f t="shared" si="16"/>
        <v>72400</v>
      </c>
      <c r="L159" s="731">
        <f t="shared" si="16"/>
        <v>74600</v>
      </c>
      <c r="M159" s="731">
        <v>76000</v>
      </c>
      <c r="N159" s="731">
        <v>78600</v>
      </c>
      <c r="O159" s="731">
        <v>76800</v>
      </c>
      <c r="P159" s="731">
        <v>77800</v>
      </c>
      <c r="Q159" s="731">
        <v>79600</v>
      </c>
      <c r="R159" s="731">
        <v>83200</v>
      </c>
      <c r="S159" s="731">
        <v>82900</v>
      </c>
      <c r="T159" s="731">
        <v>85800</v>
      </c>
      <c r="U159" s="731">
        <v>89200</v>
      </c>
      <c r="V159" s="731">
        <v>93700</v>
      </c>
      <c r="W159" s="731">
        <v>94500</v>
      </c>
      <c r="X159" s="731">
        <v>99000</v>
      </c>
      <c r="Y159" s="731">
        <f>SUM(Y153:Y158)</f>
        <v>107200</v>
      </c>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89"/>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89"/>
      <c r="BY159" s="689"/>
      <c r="BZ159" s="689"/>
      <c r="CA159" s="689"/>
    </row>
    <row r="160" spans="1:79" s="389" customFormat="1" ht="15.6">
      <c r="A160" s="704"/>
      <c r="H160" s="802" t="str">
        <f>IF(P160&lt;&gt;0,"FIX TOTALS &gt; &gt; &gt; "," ")</f>
        <v xml:space="preserve"> </v>
      </c>
      <c r="L160" s="798">
        <f>L159-B223</f>
        <v>0</v>
      </c>
      <c r="M160" s="798">
        <f>M159-B222</f>
        <v>0</v>
      </c>
      <c r="N160" s="798">
        <f>N159-B221</f>
        <v>0</v>
      </c>
      <c r="O160" s="798">
        <f>O159-B220</f>
        <v>0</v>
      </c>
      <c r="P160" s="798">
        <v>0</v>
      </c>
      <c r="Q160" s="798">
        <f>Q159-B218</f>
        <v>0</v>
      </c>
      <c r="R160" s="798">
        <v>0</v>
      </c>
      <c r="S160" s="798">
        <f>S159-B216</f>
        <v>0</v>
      </c>
      <c r="T160" s="798">
        <f>T159-B215</f>
        <v>0</v>
      </c>
      <c r="U160" s="798">
        <v>0</v>
      </c>
      <c r="V160" s="798">
        <f>V159-B213</f>
        <v>0</v>
      </c>
      <c r="W160" s="798">
        <f>W159-B212</f>
        <v>0</v>
      </c>
      <c r="X160" s="798">
        <f>X159-B211</f>
        <v>0</v>
      </c>
      <c r="Y160" s="798">
        <f>Y159-B210</f>
        <v>0</v>
      </c>
      <c r="Z160" s="800" t="s">
        <v>906</v>
      </c>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89"/>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89"/>
      <c r="BY160" s="689"/>
      <c r="BZ160" s="689"/>
      <c r="CA160" s="689"/>
    </row>
    <row r="161" spans="1:79" s="389" customFormat="1">
      <c r="A161" s="704"/>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89"/>
      <c r="AI161" s="689"/>
      <c r="AJ161" s="689"/>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row>
    <row r="162" spans="1:79" s="389" customFormat="1">
      <c r="A162" s="704"/>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89"/>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row>
    <row r="163" spans="1:79" s="389" customFormat="1">
      <c r="A163" s="704"/>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row>
    <row r="164" spans="1:79" s="389" customFormat="1">
      <c r="A164" s="704"/>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89"/>
      <c r="AE164" s="689"/>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89"/>
      <c r="BE164" s="689"/>
      <c r="BF164" s="689"/>
      <c r="BG164" s="689"/>
      <c r="BH164" s="689"/>
      <c r="BI164" s="689"/>
      <c r="BJ164" s="689"/>
      <c r="BK164" s="689"/>
      <c r="BL164" s="689"/>
      <c r="BM164" s="689"/>
      <c r="BN164" s="689"/>
      <c r="BO164" s="689"/>
      <c r="BP164" s="689"/>
      <c r="BQ164" s="689"/>
      <c r="BR164" s="689"/>
      <c r="BS164" s="689"/>
      <c r="BT164" s="689"/>
      <c r="BU164" s="689"/>
      <c r="BV164" s="689"/>
    </row>
    <row r="165" spans="1:79" s="389" customFormat="1">
      <c r="A165" s="704"/>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89"/>
      <c r="AE165" s="689"/>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89"/>
      <c r="BS165" s="689"/>
      <c r="BT165" s="689"/>
      <c r="BU165" s="689"/>
      <c r="BV165" s="689"/>
    </row>
    <row r="166" spans="1:79" s="389" customFormat="1">
      <c r="A166" s="704"/>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G166" s="689"/>
      <c r="AH166" s="689"/>
      <c r="AI166" s="689"/>
      <c r="AJ166" s="689"/>
      <c r="AK166" s="689"/>
      <c r="AL166" s="689"/>
      <c r="AM166" s="689"/>
      <c r="AN166" s="689"/>
      <c r="AO166" s="689"/>
      <c r="AP166" s="689"/>
      <c r="AQ166" s="689"/>
      <c r="AR166" s="689"/>
      <c r="AS166" s="689"/>
      <c r="AT166" s="689"/>
      <c r="AU166" s="689"/>
      <c r="AV166" s="689"/>
      <c r="AW166" s="689"/>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89"/>
      <c r="BS166" s="689"/>
      <c r="BT166" s="689"/>
      <c r="BU166" s="689"/>
      <c r="BV166" s="689"/>
    </row>
    <row r="167" spans="1:79" s="389" customFormat="1">
      <c r="A167" s="704"/>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c r="AG167" s="689"/>
      <c r="AH167" s="689"/>
      <c r="AI167" s="689"/>
      <c r="AJ167" s="689"/>
      <c r="AK167" s="689"/>
      <c r="AL167" s="689"/>
      <c r="AM167" s="689"/>
      <c r="AN167" s="689"/>
      <c r="AO167" s="689"/>
      <c r="AP167" s="689"/>
      <c r="AQ167" s="689"/>
      <c r="AR167" s="689"/>
      <c r="AS167" s="689"/>
      <c r="AT167" s="689"/>
      <c r="AU167" s="689"/>
      <c r="AV167" s="689"/>
      <c r="AW167" s="689"/>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89"/>
      <c r="BS167" s="689"/>
      <c r="BT167" s="689"/>
      <c r="BU167" s="689"/>
      <c r="BV167" s="689"/>
    </row>
    <row r="168" spans="1:79" s="389" customFormat="1">
      <c r="A168" s="704"/>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89"/>
      <c r="AM168" s="689"/>
      <c r="AN168" s="689"/>
      <c r="AO168" s="689"/>
      <c r="AP168" s="689"/>
      <c r="AQ168" s="689"/>
      <c r="AR168" s="689"/>
      <c r="AS168" s="689"/>
      <c r="AT168" s="689"/>
      <c r="AU168" s="689"/>
      <c r="AV168" s="689"/>
      <c r="AW168" s="689"/>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89"/>
      <c r="BS168" s="689"/>
      <c r="BT168" s="689"/>
      <c r="BU168" s="689"/>
      <c r="BV168" s="689"/>
    </row>
    <row r="169" spans="1:79" s="389" customFormat="1">
      <c r="A169" s="704"/>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89"/>
      <c r="AM169" s="689"/>
      <c r="AN169" s="689"/>
      <c r="AO169" s="689"/>
      <c r="AP169" s="689"/>
      <c r="AQ169" s="689"/>
      <c r="AR169" s="689"/>
      <c r="AS169" s="689"/>
      <c r="AT169" s="689"/>
      <c r="AU169" s="689"/>
      <c r="AV169" s="689"/>
      <c r="AW169" s="689"/>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89"/>
      <c r="BS169" s="689"/>
      <c r="BT169" s="689"/>
      <c r="BU169" s="689"/>
      <c r="BV169" s="689"/>
    </row>
    <row r="170" spans="1:79" s="389" customFormat="1">
      <c r="A170" s="704"/>
      <c r="I170" s="689"/>
      <c r="J170" s="689"/>
      <c r="K170" s="689"/>
      <c r="L170" s="689"/>
      <c r="M170" s="689"/>
      <c r="N170" s="689"/>
      <c r="O170" s="689"/>
      <c r="P170" s="689"/>
      <c r="Q170" s="689"/>
      <c r="R170" s="689"/>
      <c r="S170" s="689"/>
      <c r="T170" s="689"/>
      <c r="U170" s="689"/>
      <c r="V170" s="689"/>
      <c r="W170" s="689"/>
      <c r="X170" s="689"/>
      <c r="Y170" s="689"/>
      <c r="Z170" s="689"/>
      <c r="AA170" s="689"/>
      <c r="AB170" s="689"/>
      <c r="AC170" s="689"/>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89"/>
      <c r="AY170" s="689"/>
      <c r="AZ170" s="689"/>
      <c r="BA170" s="689"/>
      <c r="BB170" s="689"/>
      <c r="BC170" s="689"/>
      <c r="BD170" s="689"/>
      <c r="BE170" s="689"/>
      <c r="BF170" s="689"/>
      <c r="BG170" s="689"/>
      <c r="BH170" s="689"/>
      <c r="BI170" s="689"/>
      <c r="BJ170" s="689"/>
      <c r="BK170" s="689"/>
      <c r="BL170" s="689"/>
      <c r="BM170" s="689"/>
      <c r="BN170" s="689"/>
      <c r="BO170" s="689"/>
      <c r="BP170" s="689"/>
      <c r="BQ170" s="689"/>
      <c r="BR170" s="689"/>
      <c r="BS170" s="689"/>
      <c r="BT170" s="689"/>
      <c r="BU170" s="689"/>
      <c r="BV170" s="689"/>
    </row>
    <row r="171" spans="1:79" s="389" customFormat="1">
      <c r="A171" s="704"/>
      <c r="I171" s="689"/>
      <c r="J171" s="689"/>
      <c r="K171" s="689"/>
      <c r="L171" s="689"/>
      <c r="M171" s="689"/>
      <c r="N171" s="689"/>
      <c r="O171" s="689"/>
      <c r="P171" s="689"/>
      <c r="Q171" s="689"/>
      <c r="R171" s="689"/>
      <c r="S171" s="689"/>
      <c r="T171" s="689"/>
      <c r="U171" s="689"/>
      <c r="V171" s="689"/>
      <c r="W171" s="689"/>
      <c r="X171" s="689"/>
      <c r="Y171" s="689"/>
      <c r="Z171" s="689"/>
      <c r="AA171" s="689"/>
      <c r="AB171" s="689"/>
      <c r="AC171" s="689"/>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89"/>
      <c r="AY171" s="689"/>
      <c r="AZ171" s="689"/>
      <c r="BA171" s="689"/>
      <c r="BB171" s="689"/>
      <c r="BC171" s="689"/>
      <c r="BD171" s="689"/>
      <c r="BE171" s="689"/>
      <c r="BF171" s="689"/>
      <c r="BG171" s="689"/>
      <c r="BH171" s="689"/>
      <c r="BI171" s="689"/>
      <c r="BJ171" s="689"/>
      <c r="BK171" s="689"/>
      <c r="BL171" s="689"/>
      <c r="BM171" s="689"/>
      <c r="BN171" s="689"/>
      <c r="BO171" s="689"/>
      <c r="BP171" s="689"/>
      <c r="BQ171" s="689"/>
      <c r="BR171" s="689"/>
      <c r="BS171" s="689"/>
      <c r="BT171" s="689"/>
      <c r="BU171" s="689"/>
      <c r="BV171" s="689"/>
    </row>
    <row r="172" spans="1:79" s="389" customFormat="1">
      <c r="A172" s="704"/>
      <c r="I172" s="689"/>
      <c r="J172" s="689"/>
      <c r="K172" s="689"/>
      <c r="L172" s="689"/>
      <c r="M172" s="689"/>
      <c r="N172" s="689"/>
      <c r="O172" s="689"/>
      <c r="P172" s="689"/>
      <c r="Q172" s="689"/>
      <c r="R172" s="689"/>
      <c r="S172" s="689"/>
      <c r="T172" s="689"/>
      <c r="U172" s="689"/>
      <c r="V172" s="689"/>
      <c r="W172" s="689"/>
      <c r="X172" s="689"/>
      <c r="Y172" s="689"/>
      <c r="Z172" s="689"/>
      <c r="AA172" s="689"/>
      <c r="AB172" s="689"/>
      <c r="AC172" s="689"/>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c r="BG172" s="689"/>
      <c r="BH172" s="689"/>
      <c r="BI172" s="689"/>
      <c r="BJ172" s="689"/>
      <c r="BK172" s="689"/>
      <c r="BL172" s="689"/>
      <c r="BM172" s="689"/>
      <c r="BN172" s="689"/>
      <c r="BO172" s="689"/>
      <c r="BP172" s="689"/>
      <c r="BQ172" s="689"/>
      <c r="BR172" s="689"/>
      <c r="BS172" s="689"/>
      <c r="BT172" s="689"/>
      <c r="BU172" s="689"/>
      <c r="BV172" s="689"/>
    </row>
    <row r="173" spans="1:79" s="389" customFormat="1">
      <c r="A173" s="704"/>
      <c r="I173" s="689"/>
      <c r="J173" s="689"/>
      <c r="K173" s="689"/>
      <c r="L173" s="689"/>
      <c r="M173" s="689"/>
      <c r="N173" s="689"/>
      <c r="O173" s="689"/>
      <c r="P173" s="689"/>
      <c r="Q173" s="689"/>
      <c r="R173" s="689"/>
      <c r="S173" s="689"/>
      <c r="T173" s="689"/>
      <c r="U173" s="689"/>
      <c r="V173" s="689"/>
      <c r="W173" s="689"/>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c r="BQ173" s="689"/>
      <c r="BR173" s="689"/>
      <c r="BS173" s="689"/>
      <c r="BT173" s="689"/>
      <c r="BU173" s="689"/>
      <c r="BV173" s="689"/>
    </row>
    <row r="174" spans="1:79" s="389" customFormat="1">
      <c r="A174" s="704"/>
      <c r="I174" s="689"/>
      <c r="J174" s="689"/>
      <c r="K174" s="689"/>
      <c r="L174" s="689"/>
      <c r="M174" s="689"/>
      <c r="N174" s="689"/>
      <c r="O174" s="689"/>
      <c r="P174" s="689"/>
      <c r="Q174" s="689"/>
      <c r="R174" s="689"/>
      <c r="S174" s="689"/>
      <c r="T174" s="689"/>
      <c r="U174" s="689"/>
      <c r="V174" s="689"/>
      <c r="W174" s="689"/>
      <c r="X174" s="689"/>
      <c r="Y174" s="689"/>
      <c r="Z174" s="689"/>
      <c r="AA174" s="689"/>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c r="BG174" s="689"/>
      <c r="BH174" s="689"/>
      <c r="BI174" s="689"/>
      <c r="BJ174" s="689"/>
      <c r="BK174" s="689"/>
      <c r="BL174" s="689"/>
      <c r="BM174" s="689"/>
      <c r="BN174" s="689"/>
      <c r="BO174" s="689"/>
      <c r="BP174" s="689"/>
      <c r="BQ174" s="689"/>
      <c r="BR174" s="689"/>
      <c r="BS174" s="689"/>
      <c r="BT174" s="689"/>
      <c r="BU174" s="689"/>
      <c r="BV174" s="689"/>
    </row>
    <row r="175" spans="1:79" s="389" customFormat="1">
      <c r="A175" s="704"/>
      <c r="I175" s="689"/>
      <c r="J175" s="689"/>
      <c r="K175" s="689"/>
      <c r="L175" s="689"/>
      <c r="M175" s="689"/>
      <c r="N175" s="689"/>
      <c r="O175" s="689"/>
      <c r="P175" s="689"/>
      <c r="Q175" s="689"/>
      <c r="R175" s="689"/>
      <c r="S175" s="689"/>
      <c r="T175" s="689"/>
      <c r="U175" s="689"/>
      <c r="V175" s="689"/>
      <c r="W175" s="689"/>
      <c r="X175" s="689"/>
      <c r="Y175" s="689"/>
      <c r="Z175" s="689"/>
      <c r="AA175" s="689"/>
      <c r="AB175" s="689"/>
      <c r="AC175" s="689"/>
      <c r="AD175" s="689"/>
      <c r="AE175" s="689"/>
      <c r="AF175" s="689"/>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c r="BG175" s="689"/>
      <c r="BH175" s="689"/>
      <c r="BI175" s="689"/>
      <c r="BJ175" s="689"/>
      <c r="BK175" s="689"/>
      <c r="BL175" s="689"/>
      <c r="BM175" s="689"/>
      <c r="BN175" s="689"/>
      <c r="BO175" s="689"/>
      <c r="BP175" s="689"/>
      <c r="BQ175" s="689"/>
      <c r="BR175" s="689"/>
      <c r="BS175" s="689"/>
      <c r="BT175" s="689"/>
      <c r="BU175" s="689"/>
      <c r="BV175" s="689"/>
    </row>
    <row r="176" spans="1:79" s="389" customFormat="1">
      <c r="A176" s="704"/>
      <c r="I176" s="689"/>
      <c r="J176" s="689"/>
      <c r="K176" s="689"/>
      <c r="L176" s="689"/>
      <c r="M176" s="689"/>
      <c r="N176" s="689"/>
      <c r="O176" s="689"/>
      <c r="P176" s="689"/>
      <c r="Q176" s="689"/>
      <c r="R176" s="689"/>
      <c r="S176" s="689"/>
      <c r="T176" s="689"/>
      <c r="U176" s="689"/>
      <c r="V176" s="689"/>
      <c r="W176" s="689"/>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c r="BQ176" s="689"/>
      <c r="BR176" s="689"/>
      <c r="BS176" s="689"/>
      <c r="BT176" s="689"/>
      <c r="BU176" s="689"/>
      <c r="BV176" s="689"/>
    </row>
    <row r="177" spans="1:74" s="389" customFormat="1">
      <c r="A177" s="704"/>
      <c r="I177" s="689"/>
      <c r="J177" s="689"/>
      <c r="K177" s="689"/>
      <c r="L177" s="689"/>
      <c r="M177" s="689"/>
      <c r="N177" s="689"/>
      <c r="O177" s="689"/>
      <c r="P177" s="689"/>
      <c r="Q177" s="689"/>
      <c r="R177" s="689"/>
      <c r="S177" s="689"/>
      <c r="T177" s="689"/>
      <c r="U177" s="689"/>
      <c r="V177" s="689"/>
      <c r="W177" s="689"/>
      <c r="X177" s="689"/>
      <c r="Y177" s="689"/>
      <c r="Z177" s="689"/>
      <c r="AA177" s="689"/>
      <c r="AB177" s="689"/>
      <c r="AC177" s="689"/>
      <c r="AD177" s="689"/>
      <c r="AE177" s="689"/>
      <c r="AF177" s="689"/>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c r="BG177" s="689"/>
      <c r="BH177" s="689"/>
      <c r="BI177" s="689"/>
      <c r="BJ177" s="689"/>
      <c r="BK177" s="689"/>
      <c r="BL177" s="689"/>
      <c r="BM177" s="689"/>
      <c r="BN177" s="689"/>
      <c r="BO177" s="689"/>
      <c r="BP177" s="689"/>
      <c r="BQ177" s="689"/>
      <c r="BR177" s="689"/>
      <c r="BS177" s="689"/>
      <c r="BT177" s="689"/>
      <c r="BU177" s="689"/>
      <c r="BV177" s="689"/>
    </row>
    <row r="178" spans="1:74" s="389" customFormat="1">
      <c r="A178" s="704"/>
      <c r="I178" s="689"/>
      <c r="J178" s="689"/>
      <c r="K178" s="689"/>
      <c r="L178" s="689"/>
      <c r="M178" s="689"/>
      <c r="N178" s="689"/>
      <c r="O178" s="689"/>
      <c r="P178" s="689"/>
      <c r="Q178" s="689"/>
      <c r="R178" s="689"/>
      <c r="S178" s="689"/>
      <c r="T178" s="689"/>
      <c r="U178" s="689"/>
      <c r="V178" s="689"/>
      <c r="W178" s="689"/>
      <c r="X178" s="689"/>
      <c r="Y178" s="689"/>
      <c r="Z178" s="689"/>
      <c r="AA178" s="689"/>
      <c r="AB178" s="689"/>
      <c r="AC178" s="689"/>
      <c r="AD178" s="689"/>
      <c r="AE178" s="689"/>
      <c r="AF178" s="689"/>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c r="BG178" s="689"/>
      <c r="BH178" s="689"/>
      <c r="BI178" s="689"/>
      <c r="BJ178" s="689"/>
      <c r="BK178" s="689"/>
      <c r="BL178" s="689"/>
      <c r="BM178" s="689"/>
      <c r="BN178" s="689"/>
      <c r="BO178" s="689"/>
      <c r="BP178" s="689"/>
      <c r="BQ178" s="689"/>
      <c r="BR178" s="689"/>
      <c r="BS178" s="689"/>
      <c r="BT178" s="689"/>
      <c r="BU178" s="689"/>
      <c r="BV178" s="689"/>
    </row>
    <row r="179" spans="1:74" s="389" customFormat="1">
      <c r="A179" s="704"/>
      <c r="I179" s="689"/>
      <c r="J179" s="689"/>
      <c r="K179" s="689"/>
      <c r="L179" s="689"/>
      <c r="M179" s="689"/>
      <c r="N179" s="689"/>
      <c r="O179" s="689"/>
      <c r="P179" s="689"/>
      <c r="Q179" s="689"/>
      <c r="R179" s="689"/>
      <c r="S179" s="689"/>
      <c r="T179" s="689"/>
      <c r="U179" s="689"/>
      <c r="V179" s="689"/>
      <c r="W179" s="689"/>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c r="BQ179" s="689"/>
      <c r="BR179" s="689"/>
      <c r="BS179" s="689"/>
      <c r="BT179" s="689"/>
      <c r="BU179" s="689"/>
      <c r="BV179" s="689"/>
    </row>
    <row r="180" spans="1:74" s="389" customFormat="1">
      <c r="A180" s="704"/>
      <c r="I180" s="689"/>
      <c r="J180" s="689"/>
      <c r="K180" s="689"/>
      <c r="L180" s="689"/>
      <c r="M180" s="689"/>
      <c r="N180" s="689"/>
      <c r="O180" s="689"/>
      <c r="P180" s="689"/>
      <c r="Q180" s="689"/>
      <c r="R180" s="689"/>
      <c r="S180" s="689"/>
      <c r="T180" s="689"/>
      <c r="U180" s="689"/>
      <c r="V180" s="689"/>
      <c r="W180" s="689"/>
      <c r="X180" s="689"/>
      <c r="Y180" s="689"/>
      <c r="Z180" s="689"/>
      <c r="AA180" s="689"/>
      <c r="AB180" s="689"/>
      <c r="AC180" s="689"/>
      <c r="AD180" s="689"/>
      <c r="AE180" s="689"/>
      <c r="AF180" s="689"/>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c r="BG180" s="689"/>
      <c r="BH180" s="689"/>
      <c r="BI180" s="689"/>
      <c r="BJ180" s="689"/>
      <c r="BK180" s="689"/>
      <c r="BL180" s="689"/>
      <c r="BM180" s="689"/>
      <c r="BN180" s="689"/>
      <c r="BO180" s="689"/>
      <c r="BP180" s="689"/>
      <c r="BQ180" s="689"/>
      <c r="BR180" s="689"/>
      <c r="BS180" s="689"/>
      <c r="BT180" s="689"/>
      <c r="BU180" s="689"/>
      <c r="BV180" s="689"/>
    </row>
    <row r="181" spans="1:74" s="389" customFormat="1">
      <c r="A181" s="704"/>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c r="BG181" s="689"/>
      <c r="BH181" s="689"/>
      <c r="BI181" s="689"/>
      <c r="BJ181" s="689"/>
      <c r="BK181" s="689"/>
      <c r="BL181" s="689"/>
      <c r="BM181" s="689"/>
      <c r="BN181" s="689"/>
      <c r="BO181" s="689"/>
      <c r="BP181" s="689"/>
      <c r="BQ181" s="689"/>
      <c r="BR181" s="689"/>
      <c r="BS181" s="689"/>
      <c r="BT181" s="689"/>
      <c r="BU181" s="689"/>
      <c r="BV181" s="689"/>
    </row>
    <row r="182" spans="1:74" s="389" customFormat="1">
      <c r="A182" s="704"/>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c r="BQ182" s="689"/>
      <c r="BR182" s="689"/>
      <c r="BS182" s="689"/>
      <c r="BT182" s="689"/>
      <c r="BU182" s="689"/>
      <c r="BV182" s="689"/>
    </row>
    <row r="183" spans="1:74" s="389" customFormat="1" ht="20.399999999999999">
      <c r="A183" s="718"/>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c r="BG183" s="689"/>
      <c r="BH183" s="689"/>
      <c r="BI183" s="689"/>
      <c r="BJ183" s="689"/>
      <c r="BK183" s="689"/>
      <c r="BL183" s="689"/>
      <c r="BM183" s="689"/>
      <c r="BN183" s="689"/>
      <c r="BO183" s="689"/>
      <c r="BP183" s="689"/>
      <c r="BQ183" s="689"/>
      <c r="BR183" s="689"/>
      <c r="BS183" s="689"/>
      <c r="BT183" s="689"/>
      <c r="BU183" s="689"/>
      <c r="BV183" s="689"/>
    </row>
    <row r="184" spans="1:74" s="389" customFormat="1" ht="20.399999999999999">
      <c r="A184" s="718"/>
      <c r="I184" s="689"/>
      <c r="J184" s="689"/>
      <c r="K184" s="689"/>
      <c r="L184" s="689"/>
      <c r="M184" s="689"/>
      <c r="N184" s="689"/>
      <c r="O184" s="689"/>
      <c r="P184" s="689"/>
      <c r="Q184" s="689"/>
      <c r="R184" s="689"/>
      <c r="S184" s="689"/>
      <c r="T184" s="689"/>
      <c r="U184" s="689"/>
      <c r="V184" s="689"/>
      <c r="W184" s="689"/>
      <c r="X184" s="689"/>
      <c r="Y184" s="689"/>
      <c r="Z184" s="689"/>
      <c r="AA184" s="689"/>
      <c r="AB184" s="689"/>
      <c r="AC184" s="689"/>
      <c r="AD184" s="689"/>
      <c r="AE184" s="689"/>
      <c r="AF184" s="689"/>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c r="BG184" s="689"/>
      <c r="BH184" s="689"/>
      <c r="BI184" s="689"/>
      <c r="BJ184" s="689"/>
      <c r="BK184" s="689"/>
      <c r="BL184" s="689"/>
      <c r="BM184" s="689"/>
      <c r="BN184" s="689"/>
      <c r="BO184" s="689"/>
      <c r="BP184" s="689"/>
      <c r="BQ184" s="689"/>
      <c r="BR184" s="689"/>
      <c r="BS184" s="689"/>
      <c r="BT184" s="689"/>
      <c r="BU184" s="689"/>
      <c r="BV184" s="689"/>
    </row>
    <row r="185" spans="1:74" s="389" customFormat="1" ht="20.399999999999999">
      <c r="A185" s="718"/>
      <c r="I185" s="689"/>
      <c r="J185" s="689"/>
      <c r="K185" s="689"/>
      <c r="L185" s="689"/>
      <c r="M185" s="689"/>
      <c r="N185" s="689"/>
      <c r="O185" s="689"/>
      <c r="P185" s="689"/>
      <c r="Q185" s="689"/>
      <c r="R185" s="689"/>
      <c r="S185" s="689"/>
      <c r="T185" s="689"/>
      <c r="U185" s="689"/>
      <c r="V185" s="689"/>
      <c r="W185" s="689"/>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c r="BQ185" s="689"/>
      <c r="BR185" s="689"/>
      <c r="BS185" s="689"/>
      <c r="BT185" s="689"/>
      <c r="BU185" s="689"/>
      <c r="BV185" s="689"/>
    </row>
    <row r="186" spans="1:74" s="389" customFormat="1" ht="20.399999999999999">
      <c r="A186" s="718"/>
      <c r="I186" s="689"/>
      <c r="J186" s="689"/>
      <c r="K186" s="689"/>
      <c r="L186" s="689"/>
      <c r="M186" s="689"/>
      <c r="N186" s="689"/>
      <c r="O186" s="689"/>
      <c r="P186" s="689"/>
      <c r="Q186" s="689"/>
      <c r="R186" s="689"/>
      <c r="S186" s="689"/>
      <c r="T186" s="689"/>
      <c r="U186" s="689"/>
      <c r="V186" s="689"/>
      <c r="W186" s="689"/>
      <c r="X186" s="689"/>
      <c r="Y186" s="689"/>
      <c r="Z186" s="689"/>
      <c r="AA186" s="689"/>
      <c r="AB186" s="689"/>
      <c r="AC186" s="689"/>
      <c r="AD186" s="689"/>
      <c r="AE186" s="689"/>
      <c r="AF186" s="689"/>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c r="BG186" s="689"/>
      <c r="BH186" s="689"/>
      <c r="BI186" s="689"/>
      <c r="BJ186" s="689"/>
      <c r="BK186" s="689"/>
      <c r="BL186" s="689"/>
      <c r="BM186" s="689"/>
      <c r="BN186" s="689"/>
      <c r="BO186" s="689"/>
      <c r="BP186" s="689"/>
      <c r="BQ186" s="689"/>
      <c r="BR186" s="689"/>
      <c r="BS186" s="689"/>
      <c r="BT186" s="689"/>
      <c r="BU186" s="689"/>
      <c r="BV186" s="689"/>
    </row>
    <row r="187" spans="1:74" s="389" customFormat="1" ht="21">
      <c r="A187" s="698" t="s">
        <v>801</v>
      </c>
      <c r="I187" s="689"/>
      <c r="J187" s="689"/>
      <c r="K187" s="689"/>
      <c r="L187" s="689"/>
      <c r="M187" s="689"/>
      <c r="N187" s="689"/>
      <c r="O187" s="689"/>
      <c r="P187" s="689"/>
      <c r="Q187" s="689"/>
      <c r="R187" s="689"/>
      <c r="S187" s="689"/>
      <c r="T187" s="689"/>
      <c r="U187" s="689"/>
      <c r="V187" s="689"/>
      <c r="W187" s="689"/>
      <c r="X187" s="689"/>
      <c r="Y187" s="689"/>
      <c r="Z187" s="689"/>
      <c r="AA187" s="689"/>
      <c r="AB187" s="689"/>
      <c r="AC187" s="689"/>
      <c r="AD187" s="689"/>
      <c r="AE187" s="689"/>
      <c r="AF187" s="689"/>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c r="BG187" s="689"/>
      <c r="BH187" s="689"/>
      <c r="BI187" s="689"/>
      <c r="BJ187" s="689"/>
      <c r="BK187" s="689"/>
      <c r="BL187" s="689"/>
      <c r="BM187" s="689"/>
      <c r="BN187" s="689"/>
      <c r="BO187" s="689"/>
      <c r="BP187" s="689"/>
      <c r="BQ187" s="689"/>
      <c r="BR187" s="689"/>
      <c r="BS187" s="689"/>
      <c r="BT187" s="689"/>
      <c r="BU187" s="689"/>
      <c r="BV187" s="689"/>
    </row>
    <row r="188" spans="1:74" s="389" customFormat="1" ht="17.399999999999999">
      <c r="A188" s="699" t="s">
        <v>802</v>
      </c>
      <c r="I188" s="689"/>
      <c r="J188" s="689"/>
      <c r="K188" s="689"/>
      <c r="L188" s="689"/>
      <c r="M188" s="689"/>
      <c r="N188" s="689"/>
      <c r="O188" s="689"/>
      <c r="P188" s="689"/>
      <c r="Q188" s="689"/>
      <c r="R188" s="689"/>
      <c r="S188" s="689"/>
      <c r="T188" s="689"/>
      <c r="U188" s="689"/>
      <c r="V188" s="689"/>
      <c r="W188" s="689"/>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c r="BQ188" s="689"/>
      <c r="BR188" s="689"/>
      <c r="BS188" s="689"/>
      <c r="BT188" s="689"/>
      <c r="BU188" s="689"/>
      <c r="BV188" s="689"/>
    </row>
    <row r="189" spans="1:74" s="389" customFormat="1" ht="27.6">
      <c r="A189" s="730"/>
      <c r="B189" s="732" t="s">
        <v>413</v>
      </c>
      <c r="C189" s="732" t="s">
        <v>583</v>
      </c>
      <c r="D189" s="688" t="s">
        <v>1362</v>
      </c>
      <c r="E189" s="732" t="s">
        <v>582</v>
      </c>
      <c r="F189" s="732" t="s">
        <v>418</v>
      </c>
      <c r="G189" s="732" t="s">
        <v>581</v>
      </c>
      <c r="H189" s="733"/>
      <c r="I189" s="689"/>
      <c r="J189" s="1695" t="s">
        <v>2441</v>
      </c>
      <c r="K189" s="689"/>
      <c r="L189" s="689"/>
      <c r="M189" s="689"/>
      <c r="N189" s="689"/>
      <c r="O189" s="689"/>
      <c r="P189" s="689"/>
      <c r="Q189" s="689"/>
      <c r="R189" s="689"/>
      <c r="S189" s="689"/>
      <c r="T189" s="689"/>
      <c r="U189" s="689"/>
      <c r="V189" s="689"/>
      <c r="W189" s="689"/>
      <c r="X189" s="689"/>
      <c r="Y189" s="689"/>
      <c r="Z189" s="689"/>
      <c r="AA189" s="689"/>
      <c r="AB189" s="689"/>
      <c r="AC189" s="689"/>
      <c r="AD189" s="689"/>
      <c r="AE189" s="689"/>
      <c r="AF189" s="689"/>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c r="BG189" s="689"/>
      <c r="BH189" s="689"/>
      <c r="BI189" s="689"/>
      <c r="BJ189" s="689"/>
      <c r="BK189" s="689"/>
      <c r="BL189" s="689"/>
      <c r="BM189" s="689"/>
      <c r="BN189" s="689"/>
      <c r="BO189" s="689"/>
      <c r="BP189" s="689"/>
      <c r="BQ189" s="689"/>
      <c r="BR189" s="689"/>
      <c r="BS189" s="689"/>
      <c r="BT189" s="689"/>
      <c r="BU189" s="689"/>
      <c r="BV189" s="689"/>
    </row>
    <row r="190" spans="1:74" s="389" customFormat="1">
      <c r="A190" s="734">
        <v>2022</v>
      </c>
      <c r="B190" s="735">
        <f>FL_18_cost_p.hole</f>
        <v>118400</v>
      </c>
      <c r="C190" s="735">
        <f>SE_18_cost_p.hole</f>
        <v>145900</v>
      </c>
      <c r="D190" s="735">
        <f>BOCA_18_cost_p.hole</f>
        <v>124600</v>
      </c>
      <c r="E190" s="735">
        <f>SW_18_cost_p.hole</f>
        <v>124200</v>
      </c>
      <c r="F190" s="735">
        <f>SWCIRA_18_cost_p.hole</f>
        <v>99900</v>
      </c>
      <c r="G190" s="735">
        <f>NC_18_cost_p.hole</f>
        <v>102900</v>
      </c>
      <c r="H190" s="733"/>
      <c r="I190" s="689"/>
      <c r="J190" s="689">
        <f>B190-Y121</f>
        <v>0</v>
      </c>
      <c r="K190" s="689"/>
      <c r="L190" s="689"/>
      <c r="M190" s="689"/>
      <c r="N190" s="689"/>
      <c r="O190" s="689"/>
      <c r="P190" s="689"/>
      <c r="Q190" s="689"/>
      <c r="R190" s="689"/>
      <c r="S190" s="689"/>
      <c r="T190" s="689"/>
      <c r="U190" s="689"/>
      <c r="V190" s="689"/>
      <c r="W190" s="689"/>
      <c r="X190" s="689"/>
      <c r="Y190" s="689"/>
      <c r="Z190" s="689"/>
      <c r="AA190" s="689"/>
      <c r="AB190" s="689"/>
      <c r="AC190" s="689"/>
      <c r="AD190" s="689"/>
      <c r="AE190" s="689"/>
      <c r="AF190" s="689"/>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c r="BG190" s="689"/>
      <c r="BH190" s="689"/>
      <c r="BI190" s="689"/>
      <c r="BJ190" s="689"/>
      <c r="BK190" s="689"/>
      <c r="BL190" s="689"/>
      <c r="BM190" s="689"/>
      <c r="BN190" s="689"/>
      <c r="BO190" s="689"/>
      <c r="BP190" s="689"/>
      <c r="BQ190" s="689"/>
      <c r="BR190" s="689"/>
      <c r="BS190" s="689"/>
      <c r="BT190" s="689"/>
      <c r="BU190" s="689"/>
      <c r="BV190" s="689"/>
    </row>
    <row r="191" spans="1:74" s="389" customFormat="1">
      <c r="A191" s="734">
        <v>2021</v>
      </c>
      <c r="B191" s="735">
        <v>107800</v>
      </c>
      <c r="C191" s="735">
        <v>134900</v>
      </c>
      <c r="D191" s="735">
        <v>114000</v>
      </c>
      <c r="E191" s="735">
        <v>108100</v>
      </c>
      <c r="F191" s="735">
        <v>92000</v>
      </c>
      <c r="G191" s="735">
        <v>94200</v>
      </c>
      <c r="H191" s="733"/>
      <c r="I191" s="689"/>
      <c r="J191" s="689">
        <f>B191-X121</f>
        <v>0</v>
      </c>
      <c r="K191" s="689"/>
      <c r="L191" s="689"/>
      <c r="M191" s="689"/>
      <c r="N191" s="689"/>
      <c r="O191" s="689"/>
      <c r="P191" s="689"/>
      <c r="Q191" s="689"/>
      <c r="R191" s="689"/>
      <c r="S191" s="689"/>
      <c r="T191" s="689"/>
      <c r="U191" s="689"/>
      <c r="V191" s="689"/>
      <c r="W191" s="689"/>
      <c r="X191" s="689"/>
      <c r="Y191" s="689"/>
      <c r="Z191" s="689"/>
      <c r="AA191" s="689"/>
      <c r="AB191" s="689"/>
      <c r="AC191" s="689"/>
      <c r="AD191" s="689"/>
      <c r="AE191" s="689"/>
      <c r="AF191" s="689"/>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c r="BG191" s="689"/>
      <c r="BH191" s="689"/>
      <c r="BI191" s="689"/>
      <c r="BJ191" s="689"/>
      <c r="BK191" s="689"/>
      <c r="BL191" s="689"/>
      <c r="BM191" s="689"/>
      <c r="BN191" s="689"/>
      <c r="BO191" s="689"/>
      <c r="BP191" s="689"/>
      <c r="BQ191" s="689"/>
      <c r="BR191" s="689"/>
      <c r="BS191" s="689"/>
      <c r="BT191" s="689"/>
      <c r="BU191" s="689"/>
      <c r="BV191" s="689"/>
    </row>
    <row r="192" spans="1:74" s="389" customFormat="1">
      <c r="A192" s="734">
        <v>2020</v>
      </c>
      <c r="B192" s="2112">
        <v>101300</v>
      </c>
      <c r="C192" s="735">
        <v>117200</v>
      </c>
      <c r="D192" s="735">
        <v>98900</v>
      </c>
      <c r="E192" s="735">
        <v>103800</v>
      </c>
      <c r="F192" s="735">
        <v>88500</v>
      </c>
      <c r="G192" s="735">
        <v>92800</v>
      </c>
      <c r="H192" s="733"/>
      <c r="I192" s="689"/>
      <c r="J192" s="689">
        <f>B192-W121</f>
        <v>0</v>
      </c>
      <c r="K192" s="689"/>
      <c r="L192" s="689"/>
      <c r="M192" s="689"/>
      <c r="N192" s="689"/>
      <c r="O192" s="689"/>
      <c r="P192" s="689"/>
      <c r="Q192" s="689"/>
      <c r="R192" s="689"/>
      <c r="S192" s="689"/>
      <c r="T192" s="689"/>
      <c r="U192" s="689"/>
      <c r="V192" s="689"/>
      <c r="W192" s="689"/>
      <c r="X192" s="689"/>
      <c r="Y192" s="689"/>
      <c r="Z192" s="689"/>
      <c r="AA192" s="689"/>
      <c r="AB192" s="689"/>
      <c r="AC192" s="689"/>
      <c r="AD192" s="689"/>
      <c r="AE192" s="689"/>
      <c r="AF192" s="689"/>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c r="BG192" s="689"/>
      <c r="BH192" s="689"/>
      <c r="BI192" s="689"/>
      <c r="BJ192" s="689"/>
      <c r="BK192" s="689"/>
      <c r="BL192" s="689"/>
      <c r="BM192" s="689"/>
      <c r="BN192" s="689"/>
      <c r="BO192" s="689"/>
      <c r="BP192" s="689"/>
      <c r="BQ192" s="689"/>
      <c r="BR192" s="689"/>
      <c r="BS192" s="689"/>
      <c r="BT192" s="689"/>
      <c r="BU192" s="689"/>
      <c r="BV192" s="689"/>
    </row>
    <row r="193" spans="1:74" s="389" customFormat="1">
      <c r="A193" s="734">
        <v>2019</v>
      </c>
      <c r="B193" s="735">
        <v>101000</v>
      </c>
      <c r="C193" s="735">
        <v>112900</v>
      </c>
      <c r="D193" s="735">
        <v>101100</v>
      </c>
      <c r="E193" s="735">
        <v>103600</v>
      </c>
      <c r="F193" s="735">
        <v>87800</v>
      </c>
      <c r="G193" s="735">
        <v>89700</v>
      </c>
      <c r="H193" s="733"/>
      <c r="I193" s="689"/>
      <c r="J193" s="689"/>
      <c r="K193" s="689"/>
      <c r="L193" s="689"/>
      <c r="M193" s="689"/>
      <c r="N193" s="689"/>
      <c r="O193" s="689"/>
      <c r="P193" s="689"/>
      <c r="Q193" s="689"/>
      <c r="R193" s="689"/>
      <c r="S193" s="689"/>
      <c r="T193" s="689"/>
      <c r="U193" s="689"/>
      <c r="V193" s="689"/>
      <c r="W193" s="689"/>
      <c r="X193" s="689"/>
      <c r="Y193" s="689"/>
      <c r="Z193" s="689"/>
      <c r="AA193" s="689"/>
      <c r="AB193" s="689"/>
      <c r="AC193" s="689"/>
      <c r="AD193" s="689"/>
      <c r="AE193" s="689"/>
      <c r="AF193" s="689"/>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c r="BG193" s="689"/>
      <c r="BH193" s="689"/>
      <c r="BI193" s="689"/>
      <c r="BJ193" s="689"/>
      <c r="BK193" s="689"/>
      <c r="BL193" s="689"/>
      <c r="BM193" s="689"/>
      <c r="BN193" s="689"/>
      <c r="BO193" s="689"/>
      <c r="BP193" s="689"/>
      <c r="BQ193" s="689"/>
      <c r="BR193" s="689"/>
      <c r="BS193" s="689"/>
      <c r="BT193" s="689"/>
      <c r="BU193" s="689"/>
      <c r="BV193" s="689"/>
    </row>
    <row r="194" spans="1:74" s="389" customFormat="1">
      <c r="A194" s="734">
        <v>2018</v>
      </c>
      <c r="B194" s="735">
        <v>95800</v>
      </c>
      <c r="C194" s="735">
        <v>112100</v>
      </c>
      <c r="D194" s="735">
        <v>99800</v>
      </c>
      <c r="E194" s="735">
        <v>96600</v>
      </c>
      <c r="F194" s="735">
        <v>85700</v>
      </c>
      <c r="G194" s="735">
        <v>86300</v>
      </c>
      <c r="H194" s="733"/>
      <c r="I194" s="689"/>
      <c r="J194" s="689"/>
      <c r="K194" s="689"/>
      <c r="L194" s="689"/>
      <c r="M194" s="689"/>
      <c r="N194" s="689"/>
      <c r="O194" s="689"/>
      <c r="P194" s="689"/>
      <c r="Q194" s="689"/>
      <c r="R194" s="689"/>
      <c r="S194" s="689"/>
      <c r="T194" s="689"/>
      <c r="U194" s="689"/>
      <c r="V194" s="689"/>
      <c r="W194" s="689"/>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c r="BQ194" s="689"/>
      <c r="BR194" s="689"/>
      <c r="BS194" s="689"/>
      <c r="BT194" s="689"/>
      <c r="BU194" s="689"/>
      <c r="BV194" s="689"/>
    </row>
    <row r="195" spans="1:74" s="389" customFormat="1">
      <c r="A195" s="734">
        <v>2017</v>
      </c>
      <c r="B195" s="735">
        <v>91600</v>
      </c>
      <c r="C195" s="735">
        <v>105600</v>
      </c>
      <c r="D195" s="735">
        <v>96100</v>
      </c>
      <c r="E195" s="735">
        <v>92400</v>
      </c>
      <c r="F195" s="735">
        <v>81000</v>
      </c>
      <c r="G195" s="735">
        <v>85300</v>
      </c>
      <c r="H195" s="733"/>
      <c r="I195" s="689"/>
      <c r="J195" s="689"/>
      <c r="K195" s="689"/>
      <c r="L195" s="689"/>
      <c r="M195" s="689"/>
      <c r="N195" s="689"/>
      <c r="O195" s="689"/>
      <c r="P195" s="689"/>
      <c r="Q195" s="689"/>
      <c r="R195" s="689"/>
      <c r="S195" s="689"/>
      <c r="T195" s="689"/>
      <c r="U195" s="689"/>
      <c r="V195" s="689"/>
      <c r="W195" s="689"/>
      <c r="X195" s="689"/>
      <c r="Y195" s="689"/>
      <c r="Z195" s="689"/>
      <c r="AA195" s="689"/>
      <c r="AB195" s="689"/>
      <c r="AC195" s="689"/>
      <c r="AD195" s="689"/>
      <c r="AE195" s="689"/>
      <c r="AF195" s="689"/>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c r="BG195" s="689"/>
      <c r="BH195" s="689"/>
      <c r="BI195" s="689"/>
      <c r="BJ195" s="689"/>
      <c r="BK195" s="689"/>
      <c r="BL195" s="689"/>
      <c r="BM195" s="689"/>
      <c r="BN195" s="689"/>
      <c r="BO195" s="689"/>
      <c r="BP195" s="689"/>
      <c r="BQ195" s="689"/>
      <c r="BR195" s="689"/>
      <c r="BS195" s="689"/>
      <c r="BT195" s="689"/>
      <c r="BU195" s="689"/>
      <c r="BV195" s="689"/>
    </row>
    <row r="196" spans="1:74" s="389" customFormat="1">
      <c r="A196" s="734">
        <v>2016</v>
      </c>
      <c r="B196" s="735">
        <v>90500</v>
      </c>
      <c r="C196" s="735">
        <v>107800</v>
      </c>
      <c r="D196" s="735">
        <v>90600</v>
      </c>
      <c r="E196" s="735">
        <v>92200</v>
      </c>
      <c r="F196" s="735">
        <v>81400</v>
      </c>
      <c r="G196" s="735">
        <v>82800</v>
      </c>
      <c r="H196" s="733"/>
      <c r="I196" s="689"/>
      <c r="J196" s="689"/>
      <c r="K196" s="689"/>
      <c r="L196" s="689"/>
      <c r="M196" s="689"/>
      <c r="N196" s="689"/>
      <c r="O196" s="689"/>
      <c r="P196" s="689"/>
      <c r="Q196" s="689"/>
      <c r="R196" s="689"/>
      <c r="S196" s="689"/>
      <c r="T196" s="689"/>
      <c r="U196" s="689"/>
      <c r="V196" s="689"/>
      <c r="W196" s="689"/>
      <c r="X196" s="689"/>
      <c r="Y196" s="689"/>
      <c r="Z196" s="689"/>
      <c r="AA196" s="689"/>
      <c r="AB196" s="689"/>
      <c r="AC196" s="689"/>
      <c r="AD196" s="689"/>
      <c r="AE196" s="689"/>
      <c r="AF196" s="689"/>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c r="BG196" s="689"/>
      <c r="BH196" s="689"/>
      <c r="BI196" s="689"/>
      <c r="BJ196" s="689"/>
      <c r="BK196" s="689"/>
      <c r="BL196" s="689"/>
      <c r="BM196" s="689"/>
      <c r="BN196" s="689"/>
      <c r="BO196" s="689"/>
      <c r="BP196" s="689"/>
      <c r="BQ196" s="689"/>
      <c r="BR196" s="689"/>
      <c r="BS196" s="689"/>
      <c r="BT196" s="689"/>
      <c r="BU196" s="689"/>
      <c r="BV196" s="689"/>
    </row>
    <row r="197" spans="1:74" s="389" customFormat="1">
      <c r="A197" s="734">
        <v>2015</v>
      </c>
      <c r="B197" s="735">
        <v>86400</v>
      </c>
      <c r="C197" s="735">
        <v>99800</v>
      </c>
      <c r="D197" s="735">
        <v>86900</v>
      </c>
      <c r="E197" s="735">
        <v>89900</v>
      </c>
      <c r="F197" s="735">
        <v>79800</v>
      </c>
      <c r="G197" s="735">
        <v>78600</v>
      </c>
      <c r="H197" s="733"/>
      <c r="I197" s="689"/>
      <c r="J197" s="689"/>
      <c r="K197" s="689"/>
      <c r="L197" s="689"/>
      <c r="M197" s="689"/>
      <c r="N197" s="689"/>
      <c r="O197" s="689"/>
      <c r="P197" s="689"/>
      <c r="Q197" s="689"/>
      <c r="R197" s="689"/>
      <c r="S197" s="689"/>
      <c r="T197" s="689"/>
      <c r="U197" s="689"/>
      <c r="V197" s="689"/>
      <c r="W197" s="689"/>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c r="BQ197" s="689"/>
      <c r="BR197" s="689"/>
      <c r="BS197" s="689"/>
      <c r="BT197" s="689"/>
      <c r="BU197" s="689"/>
      <c r="BV197" s="689"/>
    </row>
    <row r="198" spans="1:74" s="389" customFormat="1">
      <c r="A198" s="734">
        <v>2014</v>
      </c>
      <c r="B198" s="735">
        <v>84900</v>
      </c>
      <c r="C198" s="735">
        <v>97300</v>
      </c>
      <c r="D198" s="735">
        <v>86000</v>
      </c>
      <c r="E198" s="735">
        <v>87300</v>
      </c>
      <c r="F198" s="735">
        <v>78000</v>
      </c>
      <c r="G198" s="735">
        <v>78600</v>
      </c>
      <c r="H198" s="733"/>
      <c r="I198" s="689"/>
      <c r="J198" s="689"/>
      <c r="K198" s="689"/>
      <c r="L198" s="689"/>
      <c r="M198" s="689"/>
      <c r="N198" s="689"/>
      <c r="O198" s="689"/>
      <c r="P198" s="689"/>
      <c r="Q198" s="689"/>
      <c r="R198" s="689"/>
      <c r="S198" s="689"/>
      <c r="T198" s="689"/>
      <c r="U198" s="689"/>
      <c r="V198" s="689"/>
      <c r="W198" s="689"/>
      <c r="X198" s="689"/>
      <c r="Y198" s="689"/>
      <c r="Z198" s="689"/>
      <c r="AA198" s="689"/>
      <c r="AB198" s="689"/>
      <c r="AC198" s="689"/>
      <c r="AD198" s="689"/>
      <c r="AE198" s="689"/>
      <c r="AF198" s="689"/>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c r="BG198" s="689"/>
      <c r="BH198" s="689"/>
      <c r="BI198" s="689"/>
      <c r="BJ198" s="689"/>
      <c r="BK198" s="689"/>
      <c r="BL198" s="689"/>
      <c r="BM198" s="689"/>
      <c r="BN198" s="689"/>
      <c r="BO198" s="689"/>
      <c r="BP198" s="689"/>
      <c r="BQ198" s="689"/>
      <c r="BR198" s="689"/>
      <c r="BS198" s="689"/>
      <c r="BT198" s="689"/>
      <c r="BU198" s="689"/>
      <c r="BV198" s="689"/>
    </row>
    <row r="199" spans="1:74" s="389" customFormat="1">
      <c r="A199" s="734">
        <v>2013</v>
      </c>
      <c r="B199" s="735">
        <v>82200</v>
      </c>
      <c r="C199" s="735">
        <v>93800</v>
      </c>
      <c r="D199" s="735">
        <v>80800</v>
      </c>
      <c r="E199" s="735">
        <v>86400</v>
      </c>
      <c r="F199" s="735">
        <v>77300</v>
      </c>
      <c r="G199" s="735">
        <v>75400</v>
      </c>
      <c r="H199" s="733"/>
      <c r="I199" s="689"/>
      <c r="J199" s="689"/>
      <c r="K199" s="689"/>
      <c r="L199" s="689"/>
      <c r="M199" s="689"/>
      <c r="N199" s="689"/>
      <c r="O199" s="689"/>
      <c r="P199" s="689"/>
      <c r="Q199" s="689"/>
      <c r="R199" s="689"/>
      <c r="S199" s="689"/>
      <c r="T199" s="689"/>
      <c r="U199" s="689"/>
      <c r="V199" s="689"/>
      <c r="W199" s="689"/>
      <c r="X199" s="689"/>
      <c r="Y199" s="689"/>
      <c r="Z199" s="689"/>
      <c r="AA199" s="689"/>
      <c r="AB199" s="689"/>
      <c r="AC199" s="689"/>
      <c r="AD199" s="689"/>
      <c r="AE199" s="689"/>
      <c r="AF199" s="689"/>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c r="BG199" s="689"/>
      <c r="BH199" s="689"/>
      <c r="BI199" s="689"/>
      <c r="BJ199" s="689"/>
      <c r="BK199" s="689"/>
      <c r="BL199" s="689"/>
      <c r="BM199" s="689"/>
      <c r="BN199" s="689"/>
      <c r="BO199" s="689"/>
      <c r="BP199" s="689"/>
      <c r="BQ199" s="689"/>
      <c r="BR199" s="689"/>
      <c r="BS199" s="689"/>
      <c r="BT199" s="689"/>
      <c r="BU199" s="689"/>
      <c r="BV199" s="689"/>
    </row>
    <row r="200" spans="1:74" s="389" customFormat="1">
      <c r="A200" s="734">
        <v>2012</v>
      </c>
      <c r="B200" s="735">
        <v>80000</v>
      </c>
      <c r="C200" s="735">
        <v>89500</v>
      </c>
      <c r="D200" s="735">
        <v>77400</v>
      </c>
      <c r="E200" s="735">
        <v>82100</v>
      </c>
      <c r="F200" s="735">
        <v>76900</v>
      </c>
      <c r="G200" s="735">
        <v>74600</v>
      </c>
      <c r="H200" s="733"/>
      <c r="I200" s="689"/>
      <c r="J200" s="689"/>
      <c r="K200" s="689"/>
      <c r="L200" s="689"/>
      <c r="M200" s="689"/>
      <c r="N200" s="689"/>
      <c r="O200" s="689"/>
      <c r="P200" s="689"/>
      <c r="Q200" s="689"/>
      <c r="R200" s="689"/>
      <c r="S200" s="689"/>
      <c r="T200" s="689"/>
      <c r="U200" s="689"/>
      <c r="V200" s="689"/>
      <c r="W200" s="689"/>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c r="BQ200" s="689"/>
      <c r="BR200" s="689"/>
      <c r="BS200" s="689"/>
      <c r="BT200" s="689"/>
      <c r="BU200" s="689"/>
      <c r="BV200" s="689"/>
    </row>
    <row r="201" spans="1:74" s="389" customFormat="1">
      <c r="A201" s="734">
        <v>2011</v>
      </c>
      <c r="B201" s="735">
        <v>77700</v>
      </c>
      <c r="C201" s="735">
        <v>87400</v>
      </c>
      <c r="D201" s="735">
        <v>77100</v>
      </c>
      <c r="E201" s="735">
        <v>81700</v>
      </c>
      <c r="F201" s="735">
        <v>74900</v>
      </c>
      <c r="G201" s="735">
        <v>70500</v>
      </c>
      <c r="H201" s="733"/>
      <c r="I201" s="689"/>
      <c r="J201" s="689"/>
      <c r="K201" s="689"/>
      <c r="L201" s="689"/>
      <c r="M201" s="689"/>
      <c r="N201" s="689"/>
      <c r="O201" s="689"/>
      <c r="P201" s="689"/>
      <c r="Q201" s="689"/>
      <c r="R201" s="689"/>
      <c r="S201" s="689"/>
      <c r="T201" s="689"/>
      <c r="U201" s="689"/>
      <c r="V201" s="689"/>
      <c r="W201" s="689"/>
      <c r="X201" s="689"/>
      <c r="Y201" s="689"/>
      <c r="Z201" s="689"/>
      <c r="AA201" s="689"/>
      <c r="AB201" s="689"/>
      <c r="AC201" s="689"/>
      <c r="AD201" s="689"/>
      <c r="AE201" s="689"/>
      <c r="AF201" s="689"/>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c r="BG201" s="689"/>
      <c r="BH201" s="689"/>
      <c r="BI201" s="689"/>
      <c r="BJ201" s="689"/>
      <c r="BK201" s="689"/>
      <c r="BL201" s="689"/>
      <c r="BM201" s="689"/>
      <c r="BN201" s="689"/>
      <c r="BO201" s="689"/>
      <c r="BP201" s="689"/>
      <c r="BQ201" s="689"/>
      <c r="BR201" s="689"/>
      <c r="BS201" s="689"/>
      <c r="BT201" s="689"/>
      <c r="BU201" s="689"/>
      <c r="BV201" s="689"/>
    </row>
    <row r="202" spans="1:74" s="389" customFormat="1">
      <c r="A202" s="734">
        <v>2010</v>
      </c>
      <c r="B202" s="735">
        <v>76600</v>
      </c>
      <c r="C202" s="735">
        <v>84600</v>
      </c>
      <c r="D202" s="735">
        <v>71300</v>
      </c>
      <c r="E202" s="735">
        <v>80900</v>
      </c>
      <c r="F202" s="735">
        <v>74700</v>
      </c>
      <c r="G202" s="735">
        <v>71400</v>
      </c>
      <c r="H202" s="733"/>
      <c r="I202" s="689"/>
      <c r="J202" s="689"/>
      <c r="K202" s="689"/>
      <c r="L202" s="689"/>
      <c r="M202" s="689"/>
      <c r="N202" s="689"/>
      <c r="O202" s="689"/>
      <c r="P202" s="689"/>
      <c r="Q202" s="689"/>
      <c r="R202" s="689"/>
      <c r="S202" s="689"/>
      <c r="T202" s="689"/>
      <c r="U202" s="689"/>
      <c r="V202" s="689"/>
      <c r="W202" s="689"/>
      <c r="X202" s="689"/>
      <c r="Y202" s="689"/>
      <c r="Z202" s="689"/>
      <c r="AA202" s="689"/>
      <c r="AB202" s="689"/>
      <c r="AC202" s="689"/>
      <c r="AD202" s="689"/>
      <c r="AE202" s="689"/>
      <c r="AF202" s="689"/>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c r="BG202" s="689"/>
      <c r="BH202" s="689"/>
      <c r="BI202" s="689"/>
      <c r="BJ202" s="689"/>
      <c r="BK202" s="689"/>
      <c r="BL202" s="689"/>
      <c r="BM202" s="689"/>
      <c r="BN202" s="689"/>
      <c r="BO202" s="689"/>
      <c r="BP202" s="689"/>
      <c r="BQ202" s="689"/>
      <c r="BR202" s="689"/>
      <c r="BS202" s="689"/>
      <c r="BT202" s="689"/>
      <c r="BU202" s="689"/>
      <c r="BV202" s="689"/>
    </row>
    <row r="203" spans="1:74" s="389" customFormat="1">
      <c r="A203" s="734">
        <v>2009</v>
      </c>
      <c r="B203" s="735">
        <v>77600</v>
      </c>
      <c r="C203" s="735">
        <v>85700</v>
      </c>
      <c r="D203" s="735">
        <v>74300</v>
      </c>
      <c r="E203" s="735">
        <v>81600</v>
      </c>
      <c r="F203" s="735">
        <v>74200</v>
      </c>
      <c r="G203" s="735">
        <v>71000</v>
      </c>
      <c r="H203" s="733"/>
      <c r="I203" s="689"/>
      <c r="J203" s="689"/>
      <c r="K203" s="689"/>
      <c r="L203" s="689"/>
      <c r="M203" s="689"/>
      <c r="N203" s="689"/>
      <c r="O203" s="689"/>
      <c r="P203" s="689"/>
      <c r="Q203" s="689"/>
      <c r="R203" s="689"/>
      <c r="S203" s="689"/>
      <c r="T203" s="689"/>
      <c r="U203" s="689"/>
      <c r="V203" s="689"/>
      <c r="W203" s="689"/>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c r="BQ203" s="689"/>
      <c r="BR203" s="689"/>
      <c r="BS203" s="689"/>
      <c r="BT203" s="689"/>
      <c r="BU203" s="689"/>
      <c r="BV203" s="689"/>
    </row>
    <row r="204" spans="1:74" s="389" customFormat="1">
      <c r="A204" s="734">
        <v>2008</v>
      </c>
      <c r="B204" s="735">
        <v>73400</v>
      </c>
      <c r="C204" s="735">
        <v>80300</v>
      </c>
      <c r="D204" s="735">
        <v>69300</v>
      </c>
      <c r="E204" s="735">
        <v>80000</v>
      </c>
      <c r="F204" s="735">
        <v>69600</v>
      </c>
      <c r="G204" s="735">
        <v>64600</v>
      </c>
      <c r="H204" s="733"/>
      <c r="I204" s="689"/>
      <c r="J204" s="689"/>
      <c r="K204" s="689"/>
      <c r="L204" s="689"/>
      <c r="M204" s="689"/>
      <c r="N204" s="689"/>
      <c r="O204" s="689"/>
      <c r="P204" s="689"/>
      <c r="Q204" s="689"/>
      <c r="R204" s="689"/>
      <c r="S204" s="689"/>
      <c r="T204" s="689"/>
      <c r="U204" s="689"/>
      <c r="V204" s="689"/>
      <c r="W204" s="689"/>
      <c r="X204" s="689"/>
      <c r="Y204" s="689"/>
      <c r="Z204" s="689"/>
      <c r="AA204" s="689"/>
      <c r="AB204" s="689"/>
      <c r="AC204" s="689"/>
      <c r="AD204" s="689"/>
      <c r="AE204" s="689"/>
      <c r="AF204" s="689"/>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c r="BG204" s="689"/>
      <c r="BH204" s="689"/>
      <c r="BI204" s="689"/>
      <c r="BJ204" s="689"/>
      <c r="BK204" s="689"/>
      <c r="BL204" s="689"/>
      <c r="BM204" s="689"/>
      <c r="BN204" s="689"/>
      <c r="BO204" s="689"/>
      <c r="BP204" s="689"/>
      <c r="BQ204" s="689"/>
      <c r="BR204" s="689"/>
      <c r="BS204" s="689"/>
      <c r="BT204" s="689"/>
      <c r="BU204" s="689"/>
      <c r="BV204" s="689"/>
    </row>
    <row r="205" spans="1:74" s="389" customFormat="1">
      <c r="A205" s="734">
        <v>2007</v>
      </c>
      <c r="B205" s="735">
        <v>68800</v>
      </c>
      <c r="C205" s="735">
        <v>72800</v>
      </c>
      <c r="D205" s="735">
        <v>65100</v>
      </c>
      <c r="E205" s="735">
        <v>73700</v>
      </c>
      <c r="F205" s="735">
        <v>66300</v>
      </c>
      <c r="G205" s="735">
        <v>62700</v>
      </c>
      <c r="H205" s="733"/>
      <c r="I205" s="689"/>
      <c r="J205" s="689"/>
      <c r="K205" s="689"/>
      <c r="L205" s="689"/>
      <c r="M205" s="689"/>
      <c r="N205" s="689"/>
      <c r="O205" s="689"/>
      <c r="P205" s="689"/>
      <c r="Q205" s="689"/>
      <c r="R205" s="689"/>
      <c r="S205" s="689"/>
      <c r="T205" s="689"/>
      <c r="U205" s="689"/>
      <c r="V205" s="689"/>
      <c r="W205" s="689"/>
      <c r="X205" s="689"/>
      <c r="Y205" s="689"/>
      <c r="Z205" s="689"/>
      <c r="AA205" s="689"/>
      <c r="AB205" s="689"/>
      <c r="AC205" s="689"/>
      <c r="AD205" s="689"/>
      <c r="AE205" s="689"/>
      <c r="AF205" s="689"/>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c r="BG205" s="689"/>
      <c r="BH205" s="689"/>
      <c r="BI205" s="689"/>
      <c r="BJ205" s="689"/>
      <c r="BK205" s="689"/>
      <c r="BL205" s="689"/>
      <c r="BM205" s="689"/>
      <c r="BN205" s="689"/>
      <c r="BO205" s="689"/>
      <c r="BP205" s="689"/>
      <c r="BQ205" s="689"/>
      <c r="BR205" s="689"/>
      <c r="BS205" s="689"/>
      <c r="BT205" s="689"/>
      <c r="BU205" s="689"/>
      <c r="BV205" s="689"/>
    </row>
    <row r="206" spans="1:74" s="389" customFormat="1">
      <c r="A206" s="734">
        <v>2006</v>
      </c>
      <c r="B206" s="735">
        <v>65100</v>
      </c>
      <c r="C206" s="735">
        <v>71300</v>
      </c>
      <c r="D206" s="735">
        <v>65400</v>
      </c>
      <c r="E206" s="735">
        <v>69700</v>
      </c>
      <c r="F206" s="735">
        <v>66000</v>
      </c>
      <c r="G206" s="735">
        <v>57200</v>
      </c>
      <c r="H206" s="733"/>
      <c r="I206" s="689"/>
      <c r="J206" s="689"/>
      <c r="K206" s="689"/>
      <c r="L206" s="689"/>
      <c r="M206" s="689"/>
      <c r="N206" s="689"/>
      <c r="O206" s="689"/>
      <c r="P206" s="689"/>
      <c r="Q206" s="689"/>
      <c r="R206" s="689"/>
      <c r="S206" s="689"/>
      <c r="T206" s="689"/>
      <c r="U206" s="689"/>
      <c r="V206" s="689"/>
      <c r="W206" s="689"/>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c r="BQ206" s="689"/>
      <c r="BR206" s="689"/>
      <c r="BS206" s="689"/>
      <c r="BT206" s="689"/>
      <c r="BU206" s="689"/>
      <c r="BV206" s="689"/>
    </row>
    <row r="207" spans="1:74" s="389" customFormat="1">
      <c r="A207" s="734"/>
      <c r="I207" s="689"/>
      <c r="J207" s="689"/>
      <c r="K207" s="689"/>
      <c r="L207" s="689"/>
      <c r="M207" s="689"/>
      <c r="N207" s="689"/>
      <c r="O207" s="689"/>
      <c r="P207" s="689"/>
      <c r="Q207" s="689"/>
      <c r="R207" s="689"/>
      <c r="S207" s="689"/>
      <c r="T207" s="689"/>
      <c r="U207" s="689"/>
      <c r="V207" s="689"/>
      <c r="W207" s="689"/>
      <c r="X207" s="689"/>
      <c r="Y207" s="689"/>
      <c r="Z207" s="689"/>
      <c r="AA207" s="689"/>
      <c r="AB207" s="689"/>
      <c r="AC207" s="689"/>
      <c r="AD207" s="689"/>
      <c r="AE207" s="689"/>
      <c r="AF207" s="689"/>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c r="BG207" s="689"/>
      <c r="BH207" s="689"/>
      <c r="BI207" s="689"/>
      <c r="BJ207" s="689"/>
      <c r="BK207" s="689"/>
      <c r="BL207" s="689"/>
      <c r="BM207" s="689"/>
      <c r="BN207" s="689"/>
      <c r="BO207" s="689"/>
      <c r="BP207" s="689"/>
      <c r="BQ207" s="689"/>
      <c r="BR207" s="689"/>
      <c r="BS207" s="689"/>
      <c r="BT207" s="689"/>
      <c r="BU207" s="689"/>
      <c r="BV207" s="689"/>
    </row>
    <row r="208" spans="1:74" s="389" customFormat="1" ht="17.399999999999999">
      <c r="A208" s="699" t="s">
        <v>803</v>
      </c>
      <c r="I208" s="689"/>
      <c r="J208" s="689"/>
      <c r="K208" s="689"/>
      <c r="L208" s="689"/>
      <c r="M208" s="689"/>
      <c r="N208" s="689"/>
      <c r="O208" s="689"/>
      <c r="P208" s="689"/>
      <c r="Q208" s="689"/>
      <c r="R208" s="689"/>
      <c r="S208" s="689"/>
      <c r="T208" s="689"/>
      <c r="U208" s="689"/>
      <c r="V208" s="689"/>
      <c r="W208" s="689"/>
      <c r="X208" s="689"/>
      <c r="Y208" s="689"/>
      <c r="Z208" s="689"/>
      <c r="AA208" s="689"/>
      <c r="AB208" s="689"/>
      <c r="AC208" s="689"/>
      <c r="AD208" s="689"/>
      <c r="AE208" s="689"/>
      <c r="AF208" s="689"/>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c r="BG208" s="689"/>
      <c r="BH208" s="689"/>
      <c r="BI208" s="689"/>
      <c r="BJ208" s="689"/>
      <c r="BK208" s="689"/>
      <c r="BL208" s="689"/>
      <c r="BM208" s="689"/>
      <c r="BN208" s="689"/>
      <c r="BO208" s="689"/>
      <c r="BP208" s="689"/>
      <c r="BQ208" s="689"/>
      <c r="BR208" s="689"/>
      <c r="BS208" s="689"/>
      <c r="BT208" s="689"/>
      <c r="BU208" s="689"/>
      <c r="BV208" s="689"/>
    </row>
    <row r="209" spans="1:74" s="389" customFormat="1" ht="27.6">
      <c r="A209" s="730"/>
      <c r="B209" s="732" t="s">
        <v>661</v>
      </c>
      <c r="C209" s="732" t="s">
        <v>583</v>
      </c>
      <c r="D209" s="688" t="s">
        <v>1362</v>
      </c>
      <c r="E209" s="732" t="s">
        <v>582</v>
      </c>
      <c r="F209" s="732" t="s">
        <v>657</v>
      </c>
      <c r="G209" s="732" t="s">
        <v>593</v>
      </c>
      <c r="I209" s="689"/>
      <c r="J209" s="1695" t="s">
        <v>2441</v>
      </c>
      <c r="K209" s="689"/>
      <c r="L209" s="689"/>
      <c r="M209" s="689"/>
      <c r="N209" s="689"/>
      <c r="O209" s="689"/>
      <c r="P209" s="689"/>
      <c r="Q209" s="689"/>
      <c r="R209" s="689"/>
      <c r="S209" s="689"/>
      <c r="T209" s="689"/>
      <c r="U209" s="689"/>
      <c r="V209" s="689"/>
      <c r="W209" s="689"/>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c r="BQ209" s="689"/>
      <c r="BR209" s="689"/>
      <c r="BS209" s="689"/>
      <c r="BT209" s="689"/>
      <c r="BU209" s="689"/>
      <c r="BV209" s="689"/>
    </row>
    <row r="210" spans="1:74" s="389" customFormat="1">
      <c r="A210" s="734">
        <v>2022</v>
      </c>
      <c r="B210" s="735">
        <f>FL_mult_cost_p.hole</f>
        <v>107200</v>
      </c>
      <c r="C210" s="735">
        <f>SE_mult_cost_p.hole</f>
        <v>113000</v>
      </c>
      <c r="D210" s="735">
        <f>BOCA_mult_cost_p.hole</f>
        <v>101100</v>
      </c>
      <c r="E210" s="735">
        <f>SW_mult_cost_p.hole</f>
        <v>111300</v>
      </c>
      <c r="F210" s="735"/>
      <c r="G210" s="735">
        <f>NC_mult_cost_p.hole</f>
        <v>106200</v>
      </c>
      <c r="I210" s="689"/>
      <c r="J210" s="689">
        <f>B210-Y159</f>
        <v>0</v>
      </c>
      <c r="K210" s="689"/>
      <c r="L210" s="689"/>
      <c r="M210" s="689"/>
      <c r="N210" s="689"/>
      <c r="O210" s="689"/>
      <c r="P210" s="689"/>
      <c r="Q210" s="689"/>
      <c r="R210" s="689"/>
      <c r="S210" s="689"/>
      <c r="T210" s="689"/>
      <c r="U210" s="689"/>
      <c r="V210" s="689"/>
      <c r="W210" s="689"/>
      <c r="X210" s="689"/>
      <c r="Y210" s="689"/>
      <c r="Z210" s="689"/>
      <c r="AA210" s="689"/>
      <c r="AB210" s="689"/>
      <c r="AC210" s="689"/>
      <c r="AD210" s="689"/>
      <c r="AE210" s="689"/>
      <c r="AF210" s="689"/>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c r="BG210" s="689"/>
      <c r="BH210" s="689"/>
      <c r="BI210" s="689"/>
      <c r="BJ210" s="689"/>
      <c r="BK210" s="689"/>
      <c r="BL210" s="689"/>
      <c r="BM210" s="689"/>
      <c r="BN210" s="689"/>
      <c r="BO210" s="689"/>
      <c r="BP210" s="689"/>
      <c r="BQ210" s="689"/>
      <c r="BR210" s="689"/>
      <c r="BS210" s="689"/>
      <c r="BT210" s="689"/>
      <c r="BU210" s="689"/>
      <c r="BV210" s="689"/>
    </row>
    <row r="211" spans="1:74" s="389" customFormat="1">
      <c r="A211" s="734">
        <v>2021</v>
      </c>
      <c r="B211" s="735">
        <v>99000</v>
      </c>
      <c r="C211" s="735">
        <v>102000</v>
      </c>
      <c r="D211" s="735">
        <v>98800</v>
      </c>
      <c r="E211" s="735">
        <v>104600</v>
      </c>
      <c r="F211" s="735"/>
      <c r="G211" s="735">
        <v>90400</v>
      </c>
      <c r="I211" s="689"/>
      <c r="J211" s="689">
        <f>B211-X159</f>
        <v>0</v>
      </c>
      <c r="K211" s="689"/>
      <c r="L211" s="689"/>
      <c r="M211" s="689"/>
      <c r="N211" s="689"/>
      <c r="O211" s="689"/>
      <c r="P211" s="689"/>
      <c r="Q211" s="689"/>
      <c r="R211" s="689"/>
      <c r="S211" s="689"/>
      <c r="T211" s="689"/>
      <c r="U211" s="689"/>
      <c r="V211" s="689"/>
      <c r="W211" s="689"/>
      <c r="X211" s="689"/>
      <c r="Y211" s="689"/>
      <c r="Z211" s="689"/>
      <c r="AA211" s="689"/>
      <c r="AB211" s="689"/>
      <c r="AC211" s="689"/>
      <c r="AD211" s="689"/>
      <c r="AE211" s="689"/>
      <c r="AF211" s="689"/>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c r="BG211" s="689"/>
      <c r="BH211" s="689"/>
      <c r="BI211" s="689"/>
      <c r="BJ211" s="689"/>
      <c r="BK211" s="689"/>
      <c r="BL211" s="689"/>
      <c r="BM211" s="689"/>
      <c r="BN211" s="689"/>
      <c r="BO211" s="689"/>
      <c r="BP211" s="689"/>
      <c r="BQ211" s="689"/>
      <c r="BR211" s="689"/>
      <c r="BS211" s="689"/>
      <c r="BT211" s="689"/>
      <c r="BU211" s="689"/>
      <c r="BV211" s="689"/>
    </row>
    <row r="212" spans="1:74" s="389" customFormat="1">
      <c r="A212" s="734">
        <v>2020</v>
      </c>
      <c r="B212" s="735">
        <v>94500</v>
      </c>
      <c r="C212" s="735">
        <v>88800</v>
      </c>
      <c r="D212" s="735">
        <v>95900</v>
      </c>
      <c r="E212" s="735">
        <v>102500</v>
      </c>
      <c r="F212" s="735"/>
      <c r="G212" s="735">
        <v>84100</v>
      </c>
      <c r="I212" s="689"/>
      <c r="J212" s="689">
        <f>B212-W159</f>
        <v>0</v>
      </c>
      <c r="K212" s="689"/>
      <c r="L212" s="689"/>
      <c r="M212" s="689"/>
      <c r="N212" s="689"/>
      <c r="O212" s="689"/>
      <c r="P212" s="689"/>
      <c r="Q212" s="689"/>
      <c r="R212" s="689"/>
      <c r="S212" s="689"/>
      <c r="T212" s="689"/>
      <c r="U212" s="689"/>
      <c r="V212" s="689"/>
      <c r="W212" s="689"/>
      <c r="X212" s="689"/>
      <c r="Y212" s="689"/>
      <c r="Z212" s="689"/>
      <c r="AA212" s="689"/>
      <c r="AB212" s="689"/>
      <c r="AC212" s="689"/>
      <c r="AD212" s="689"/>
      <c r="AE212" s="689"/>
      <c r="AF212" s="689"/>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c r="BG212" s="689"/>
      <c r="BH212" s="689"/>
      <c r="BI212" s="689"/>
      <c r="BJ212" s="689"/>
      <c r="BK212" s="689"/>
      <c r="BL212" s="689"/>
      <c r="BM212" s="689"/>
      <c r="BN212" s="689"/>
      <c r="BO212" s="689"/>
      <c r="BP212" s="689"/>
      <c r="BQ212" s="689"/>
      <c r="BR212" s="689"/>
      <c r="BS212" s="689"/>
      <c r="BT212" s="689"/>
      <c r="BU212" s="689"/>
      <c r="BV212" s="689"/>
    </row>
    <row r="213" spans="1:74" s="389" customFormat="1">
      <c r="A213" s="734">
        <v>2019</v>
      </c>
      <c r="B213" s="735">
        <v>93700</v>
      </c>
      <c r="C213" s="735">
        <v>89900</v>
      </c>
      <c r="D213" s="735">
        <v>94600</v>
      </c>
      <c r="E213" s="735">
        <v>97900</v>
      </c>
      <c r="F213" s="735"/>
      <c r="G213" s="735">
        <v>82000</v>
      </c>
      <c r="I213" s="689"/>
      <c r="J213" s="689"/>
      <c r="K213" s="689"/>
      <c r="L213" s="689"/>
      <c r="M213" s="689"/>
      <c r="N213" s="689"/>
      <c r="O213" s="689"/>
      <c r="P213" s="689"/>
      <c r="Q213" s="689"/>
      <c r="R213" s="689"/>
      <c r="S213" s="689"/>
      <c r="T213" s="689"/>
      <c r="U213" s="689"/>
      <c r="V213" s="689"/>
      <c r="W213" s="689"/>
      <c r="X213" s="689"/>
      <c r="Y213" s="689"/>
      <c r="Z213" s="689"/>
      <c r="AA213" s="689"/>
      <c r="AB213" s="689"/>
      <c r="AC213" s="689"/>
      <c r="AD213" s="689"/>
      <c r="AE213" s="689"/>
      <c r="AF213" s="689"/>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c r="BG213" s="689"/>
      <c r="BH213" s="689"/>
      <c r="BI213" s="689"/>
      <c r="BJ213" s="689"/>
      <c r="BK213" s="689"/>
      <c r="BL213" s="689"/>
      <c r="BM213" s="689"/>
      <c r="BN213" s="689"/>
      <c r="BO213" s="689"/>
      <c r="BP213" s="689"/>
      <c r="BQ213" s="689"/>
      <c r="BR213" s="689"/>
      <c r="BS213" s="689"/>
      <c r="BT213" s="689"/>
      <c r="BU213" s="689"/>
      <c r="BV213" s="689"/>
    </row>
    <row r="214" spans="1:74" s="389" customFormat="1">
      <c r="A214" s="734">
        <v>2018</v>
      </c>
      <c r="B214" s="735">
        <v>89200</v>
      </c>
      <c r="C214" s="735">
        <v>89200</v>
      </c>
      <c r="D214" s="735">
        <v>90800</v>
      </c>
      <c r="E214" s="735">
        <v>95000</v>
      </c>
      <c r="F214" s="735"/>
      <c r="G214" s="735">
        <v>77100</v>
      </c>
      <c r="I214" s="689"/>
      <c r="J214" s="689"/>
      <c r="K214" s="689"/>
      <c r="L214" s="689"/>
      <c r="M214" s="689"/>
      <c r="N214" s="689"/>
      <c r="O214" s="689"/>
      <c r="P214" s="689"/>
      <c r="Q214" s="689"/>
      <c r="R214" s="689"/>
      <c r="S214" s="689"/>
      <c r="T214" s="689"/>
      <c r="U214" s="689"/>
      <c r="V214" s="689"/>
      <c r="W214" s="689"/>
      <c r="X214" s="689"/>
      <c r="Y214" s="689"/>
      <c r="Z214" s="689"/>
      <c r="AA214" s="689"/>
      <c r="AB214" s="689"/>
      <c r="AC214" s="689"/>
      <c r="AD214" s="689"/>
      <c r="AE214" s="689"/>
      <c r="AF214" s="689"/>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c r="BG214" s="689"/>
      <c r="BH214" s="689"/>
      <c r="BI214" s="689"/>
      <c r="BJ214" s="689"/>
      <c r="BK214" s="689"/>
      <c r="BL214" s="689"/>
      <c r="BM214" s="689"/>
      <c r="BN214" s="689"/>
      <c r="BO214" s="689"/>
      <c r="BP214" s="689"/>
      <c r="BQ214" s="689"/>
      <c r="BR214" s="689"/>
      <c r="BS214" s="689"/>
      <c r="BT214" s="689"/>
      <c r="BU214" s="689"/>
      <c r="BV214" s="689"/>
    </row>
    <row r="215" spans="1:74" s="389" customFormat="1">
      <c r="A215" s="734">
        <v>2017</v>
      </c>
      <c r="B215" s="735">
        <v>85800</v>
      </c>
      <c r="C215" s="735">
        <v>89200</v>
      </c>
      <c r="D215" s="735">
        <v>85000</v>
      </c>
      <c r="E215" s="735">
        <v>87800</v>
      </c>
      <c r="F215" s="735"/>
      <c r="G215" s="735">
        <v>75700</v>
      </c>
      <c r="I215" s="689"/>
      <c r="J215" s="689"/>
      <c r="K215" s="689"/>
      <c r="L215" s="689"/>
      <c r="M215" s="689"/>
      <c r="N215" s="689"/>
      <c r="O215" s="689"/>
      <c r="P215" s="689"/>
      <c r="Q215" s="689"/>
      <c r="R215" s="689"/>
      <c r="S215" s="689"/>
      <c r="T215" s="689"/>
      <c r="U215" s="689"/>
      <c r="V215" s="689"/>
      <c r="W215" s="689"/>
      <c r="X215" s="689"/>
      <c r="Y215" s="689"/>
      <c r="Z215" s="689"/>
      <c r="AA215" s="689"/>
      <c r="AB215" s="689"/>
      <c r="AC215" s="689"/>
      <c r="AD215" s="689"/>
      <c r="AE215" s="689"/>
      <c r="AF215" s="689"/>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c r="BG215" s="689"/>
      <c r="BH215" s="689"/>
      <c r="BI215" s="689"/>
      <c r="BJ215" s="689"/>
      <c r="BK215" s="689"/>
      <c r="BL215" s="689"/>
      <c r="BM215" s="689"/>
      <c r="BN215" s="689"/>
      <c r="BO215" s="689"/>
      <c r="BP215" s="689"/>
      <c r="BQ215" s="689"/>
      <c r="BR215" s="689"/>
      <c r="BS215" s="689"/>
      <c r="BT215" s="689"/>
      <c r="BU215" s="689"/>
      <c r="BV215" s="689"/>
    </row>
    <row r="216" spans="1:74" s="389" customFormat="1">
      <c r="A216" s="734">
        <v>2016</v>
      </c>
      <c r="B216" s="735">
        <v>82900</v>
      </c>
      <c r="C216" s="735">
        <v>85700</v>
      </c>
      <c r="D216" s="735">
        <v>79700</v>
      </c>
      <c r="E216" s="735">
        <v>87600</v>
      </c>
      <c r="F216" s="735"/>
      <c r="G216" s="735">
        <v>75900</v>
      </c>
      <c r="I216" s="689"/>
      <c r="J216" s="689"/>
      <c r="K216" s="689"/>
      <c r="L216" s="689"/>
      <c r="M216" s="689"/>
      <c r="N216" s="689"/>
      <c r="O216" s="689"/>
      <c r="P216" s="689"/>
      <c r="Q216" s="689"/>
      <c r="R216" s="689"/>
      <c r="S216" s="689"/>
      <c r="T216" s="689"/>
      <c r="U216" s="689"/>
      <c r="V216" s="689"/>
      <c r="W216" s="689"/>
      <c r="X216" s="689"/>
      <c r="Y216" s="689"/>
      <c r="Z216" s="689"/>
      <c r="AA216" s="689"/>
      <c r="AB216" s="689"/>
      <c r="AC216" s="689"/>
      <c r="AD216" s="689"/>
      <c r="AE216" s="689"/>
      <c r="AF216" s="689"/>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c r="BG216" s="689"/>
      <c r="BH216" s="689"/>
      <c r="BI216" s="689"/>
      <c r="BJ216" s="689"/>
      <c r="BK216" s="689"/>
      <c r="BL216" s="689"/>
      <c r="BM216" s="689"/>
      <c r="BN216" s="689"/>
      <c r="BO216" s="689"/>
      <c r="BP216" s="689"/>
      <c r="BQ216" s="689"/>
      <c r="BR216" s="689"/>
      <c r="BS216" s="689"/>
      <c r="BT216" s="689"/>
      <c r="BU216" s="689"/>
      <c r="BV216" s="689"/>
    </row>
    <row r="217" spans="1:74" s="389" customFormat="1">
      <c r="A217" s="734">
        <v>2015</v>
      </c>
      <c r="B217" s="735">
        <v>83200</v>
      </c>
      <c r="C217" s="735">
        <v>85700</v>
      </c>
      <c r="D217" s="735">
        <v>79500</v>
      </c>
      <c r="E217" s="735">
        <v>86300</v>
      </c>
      <c r="F217" s="735"/>
      <c r="G217" s="735">
        <v>75800</v>
      </c>
      <c r="I217" s="689"/>
      <c r="J217" s="689"/>
      <c r="K217" s="689"/>
      <c r="L217" s="689"/>
      <c r="M217" s="689"/>
      <c r="N217" s="689"/>
      <c r="O217" s="689"/>
      <c r="P217" s="689"/>
      <c r="Q217" s="689"/>
      <c r="R217" s="689"/>
      <c r="S217" s="689"/>
      <c r="T217" s="689"/>
      <c r="U217" s="689"/>
      <c r="V217" s="689"/>
      <c r="W217" s="689"/>
      <c r="X217" s="689"/>
      <c r="Y217" s="689"/>
      <c r="Z217" s="689"/>
      <c r="AA217" s="689"/>
      <c r="AB217" s="689"/>
      <c r="AC217" s="689"/>
      <c r="AD217" s="689"/>
      <c r="AE217" s="689"/>
      <c r="AF217" s="689"/>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c r="BG217" s="689"/>
      <c r="BH217" s="689"/>
      <c r="BI217" s="689"/>
      <c r="BJ217" s="689"/>
      <c r="BK217" s="689"/>
      <c r="BL217" s="689"/>
      <c r="BM217" s="689"/>
      <c r="BN217" s="689"/>
      <c r="BO217" s="689"/>
      <c r="BP217" s="689"/>
      <c r="BQ217" s="689"/>
      <c r="BR217" s="689"/>
      <c r="BS217" s="689"/>
      <c r="BT217" s="689"/>
      <c r="BU217" s="689"/>
      <c r="BV217" s="689"/>
    </row>
    <row r="218" spans="1:74" s="389" customFormat="1">
      <c r="A218" s="734">
        <v>2014</v>
      </c>
      <c r="B218" s="735">
        <v>79600</v>
      </c>
      <c r="C218" s="735">
        <v>80700</v>
      </c>
      <c r="D218" s="735">
        <v>78900</v>
      </c>
      <c r="E218" s="735">
        <v>84400</v>
      </c>
      <c r="F218" s="735"/>
      <c r="G218" s="735">
        <v>72600</v>
      </c>
      <c r="I218" s="689"/>
      <c r="J218" s="689"/>
      <c r="K218" s="689"/>
      <c r="L218" s="689"/>
      <c r="M218" s="689"/>
      <c r="N218" s="689"/>
      <c r="O218" s="689"/>
      <c r="P218" s="689"/>
      <c r="Q218" s="689"/>
      <c r="R218" s="689"/>
      <c r="S218" s="689"/>
      <c r="T218" s="689"/>
      <c r="U218" s="689"/>
      <c r="V218" s="689"/>
      <c r="W218" s="689"/>
      <c r="X218" s="689"/>
      <c r="Y218" s="689"/>
      <c r="Z218" s="689"/>
      <c r="AA218" s="689"/>
      <c r="AB218" s="689"/>
      <c r="AC218" s="689"/>
      <c r="AD218" s="689"/>
      <c r="AE218" s="689"/>
      <c r="AF218" s="689"/>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c r="BG218" s="689"/>
      <c r="BH218" s="689"/>
      <c r="BI218" s="689"/>
      <c r="BJ218" s="689"/>
      <c r="BK218" s="689"/>
      <c r="BL218" s="689"/>
      <c r="BM218" s="689"/>
      <c r="BN218" s="689"/>
      <c r="BO218" s="689"/>
      <c r="BP218" s="689"/>
      <c r="BQ218" s="689"/>
      <c r="BR218" s="689"/>
      <c r="BS218" s="689"/>
      <c r="BT218" s="689"/>
      <c r="BU218" s="689"/>
      <c r="BV218" s="689"/>
    </row>
    <row r="219" spans="1:74" s="389" customFormat="1">
      <c r="A219" s="734">
        <v>2013</v>
      </c>
      <c r="B219" s="735">
        <v>77800</v>
      </c>
      <c r="C219" s="735">
        <v>76200</v>
      </c>
      <c r="D219" s="735">
        <v>78200</v>
      </c>
      <c r="E219" s="735">
        <v>84300</v>
      </c>
      <c r="F219" s="735"/>
      <c r="G219" s="735">
        <v>71800</v>
      </c>
      <c r="I219" s="689"/>
      <c r="J219" s="689"/>
      <c r="K219" s="689"/>
      <c r="L219" s="689"/>
      <c r="M219" s="689"/>
      <c r="N219" s="689"/>
      <c r="O219" s="689"/>
      <c r="P219" s="689"/>
      <c r="Q219" s="689"/>
      <c r="R219" s="689"/>
      <c r="S219" s="689"/>
      <c r="T219" s="689"/>
      <c r="U219" s="689"/>
      <c r="V219" s="689"/>
      <c r="W219" s="689"/>
      <c r="X219" s="689"/>
      <c r="Y219" s="689"/>
      <c r="Z219" s="689"/>
      <c r="AA219" s="689"/>
      <c r="AB219" s="689"/>
      <c r="AC219" s="689"/>
      <c r="AD219" s="689"/>
      <c r="AE219" s="689"/>
      <c r="AF219" s="689"/>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c r="BG219" s="689"/>
      <c r="BH219" s="689"/>
      <c r="BI219" s="689"/>
      <c r="BJ219" s="689"/>
      <c r="BK219" s="689"/>
      <c r="BL219" s="689"/>
      <c r="BM219" s="689"/>
      <c r="BN219" s="689"/>
      <c r="BO219" s="689"/>
      <c r="BP219" s="689"/>
      <c r="BQ219" s="689"/>
      <c r="BR219" s="689"/>
      <c r="BS219" s="689"/>
      <c r="BT219" s="689"/>
      <c r="BU219" s="689"/>
      <c r="BV219" s="689"/>
    </row>
    <row r="220" spans="1:74" s="389" customFormat="1">
      <c r="A220" s="734">
        <v>2012</v>
      </c>
      <c r="B220" s="735">
        <v>76800</v>
      </c>
      <c r="C220" s="735">
        <v>73000</v>
      </c>
      <c r="D220" s="735">
        <v>77400</v>
      </c>
      <c r="E220" s="735">
        <v>82000</v>
      </c>
      <c r="F220" s="735">
        <v>82700</v>
      </c>
      <c r="G220" s="735">
        <v>70800</v>
      </c>
      <c r="I220" s="689"/>
      <c r="J220" s="689"/>
      <c r="K220" s="689"/>
      <c r="L220" s="689"/>
      <c r="M220" s="689"/>
      <c r="N220" s="689"/>
      <c r="O220" s="689"/>
      <c r="P220" s="689"/>
      <c r="Q220" s="689"/>
      <c r="R220" s="689"/>
      <c r="S220" s="689"/>
      <c r="T220" s="689"/>
      <c r="U220" s="689"/>
      <c r="V220" s="689"/>
      <c r="W220" s="689"/>
      <c r="X220" s="689"/>
      <c r="Y220" s="689"/>
      <c r="Z220" s="689"/>
      <c r="AA220" s="689"/>
      <c r="AB220" s="689"/>
      <c r="AC220" s="689"/>
      <c r="AD220" s="689"/>
      <c r="AE220" s="689"/>
      <c r="AF220" s="689"/>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c r="BG220" s="689"/>
      <c r="BH220" s="689"/>
      <c r="BI220" s="689"/>
      <c r="BJ220" s="689"/>
      <c r="BK220" s="689"/>
      <c r="BL220" s="689"/>
      <c r="BM220" s="689"/>
      <c r="BN220" s="689"/>
      <c r="BO220" s="689"/>
      <c r="BP220" s="689"/>
      <c r="BQ220" s="689"/>
      <c r="BR220" s="689"/>
      <c r="BS220" s="689"/>
      <c r="BT220" s="689"/>
      <c r="BU220" s="689"/>
      <c r="BV220" s="689"/>
    </row>
    <row r="221" spans="1:74" s="389" customFormat="1">
      <c r="A221" s="734">
        <v>2011</v>
      </c>
      <c r="B221" s="735">
        <v>78600</v>
      </c>
      <c r="C221" s="735">
        <v>76900</v>
      </c>
      <c r="D221" s="735">
        <v>77800</v>
      </c>
      <c r="E221" s="735">
        <v>80800</v>
      </c>
      <c r="F221" s="735">
        <v>82600</v>
      </c>
      <c r="G221" s="735">
        <v>73800</v>
      </c>
      <c r="I221" s="689"/>
      <c r="J221" s="689"/>
      <c r="K221" s="689"/>
      <c r="L221" s="689"/>
      <c r="M221" s="689"/>
      <c r="N221" s="689"/>
      <c r="O221" s="689"/>
      <c r="P221" s="689"/>
      <c r="Q221" s="689"/>
      <c r="R221" s="689"/>
      <c r="S221" s="689"/>
      <c r="T221" s="689"/>
      <c r="U221" s="689"/>
      <c r="V221" s="689"/>
      <c r="W221" s="689"/>
      <c r="X221" s="689"/>
      <c r="Y221" s="689"/>
      <c r="Z221" s="689"/>
      <c r="AA221" s="689"/>
      <c r="AB221" s="689"/>
      <c r="AC221" s="689"/>
      <c r="AD221" s="689"/>
      <c r="AE221" s="689"/>
      <c r="AF221" s="689"/>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c r="BG221" s="689"/>
      <c r="BH221" s="689"/>
      <c r="BI221" s="689"/>
      <c r="BJ221" s="689"/>
      <c r="BK221" s="689"/>
      <c r="BL221" s="689"/>
      <c r="BM221" s="689"/>
      <c r="BN221" s="689"/>
      <c r="BO221" s="689"/>
      <c r="BP221" s="689"/>
      <c r="BQ221" s="689"/>
      <c r="BR221" s="689"/>
      <c r="BS221" s="689"/>
      <c r="BT221" s="689"/>
      <c r="BU221" s="689"/>
      <c r="BV221" s="689"/>
    </row>
    <row r="222" spans="1:74" s="389" customFormat="1">
      <c r="A222" s="734">
        <v>2010</v>
      </c>
      <c r="B222" s="735">
        <v>76000</v>
      </c>
      <c r="C222" s="735">
        <v>74100</v>
      </c>
      <c r="D222" s="735">
        <v>75800</v>
      </c>
      <c r="E222" s="735">
        <v>76400</v>
      </c>
      <c r="F222" s="735">
        <v>78600</v>
      </c>
      <c r="G222" s="735">
        <v>76400</v>
      </c>
      <c r="I222" s="689"/>
      <c r="J222" s="689"/>
      <c r="K222" s="689"/>
      <c r="L222" s="689"/>
      <c r="M222" s="689"/>
      <c r="N222" s="689"/>
      <c r="O222" s="689"/>
      <c r="P222" s="689"/>
      <c r="Q222" s="689"/>
      <c r="R222" s="689"/>
      <c r="S222" s="689"/>
      <c r="T222" s="689"/>
      <c r="U222" s="689"/>
      <c r="V222" s="689"/>
      <c r="W222" s="689"/>
      <c r="X222" s="689"/>
      <c r="Y222" s="689"/>
      <c r="Z222" s="689"/>
      <c r="AA222" s="689"/>
      <c r="AB222" s="689"/>
      <c r="AC222" s="689"/>
      <c r="AD222" s="689"/>
      <c r="AE222" s="689"/>
      <c r="AF222" s="689"/>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c r="BG222" s="689"/>
      <c r="BH222" s="689"/>
      <c r="BI222" s="689"/>
      <c r="BJ222" s="689"/>
      <c r="BK222" s="689"/>
      <c r="BL222" s="689"/>
      <c r="BM222" s="689"/>
      <c r="BN222" s="689"/>
      <c r="BO222" s="689"/>
      <c r="BP222" s="689"/>
      <c r="BQ222" s="689"/>
      <c r="BR222" s="689"/>
      <c r="BS222" s="689"/>
      <c r="BT222" s="689"/>
      <c r="BU222" s="689"/>
      <c r="BV222" s="689"/>
    </row>
    <row r="223" spans="1:74" s="389" customFormat="1">
      <c r="A223" s="734">
        <v>2009</v>
      </c>
      <c r="B223" s="735">
        <v>74600</v>
      </c>
      <c r="C223" s="735">
        <v>75400</v>
      </c>
      <c r="D223" s="735">
        <v>74500</v>
      </c>
      <c r="E223" s="735">
        <v>78900</v>
      </c>
      <c r="F223" s="735">
        <v>78800</v>
      </c>
      <c r="G223" s="735">
        <v>79500</v>
      </c>
      <c r="I223" s="689"/>
      <c r="J223" s="689"/>
      <c r="K223" s="689"/>
      <c r="L223" s="689"/>
      <c r="M223" s="689"/>
      <c r="N223" s="689"/>
      <c r="O223" s="689"/>
      <c r="P223" s="689"/>
      <c r="Q223" s="689"/>
      <c r="R223" s="689"/>
      <c r="S223" s="689"/>
      <c r="T223" s="689"/>
      <c r="U223" s="689"/>
      <c r="V223" s="689"/>
      <c r="W223" s="689"/>
      <c r="X223" s="689"/>
      <c r="Y223" s="689"/>
      <c r="Z223" s="689"/>
      <c r="AA223" s="689"/>
      <c r="AB223" s="689"/>
      <c r="AC223" s="689"/>
      <c r="AD223" s="689"/>
      <c r="AE223" s="689"/>
      <c r="AF223" s="689"/>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c r="BG223" s="689"/>
      <c r="BH223" s="689"/>
      <c r="BI223" s="689"/>
      <c r="BJ223" s="689"/>
      <c r="BK223" s="689"/>
      <c r="BL223" s="689"/>
      <c r="BM223" s="689"/>
      <c r="BN223" s="689"/>
      <c r="BO223" s="689"/>
      <c r="BP223" s="689"/>
      <c r="BQ223" s="689"/>
      <c r="BR223" s="689"/>
      <c r="BS223" s="689"/>
      <c r="BT223" s="689"/>
      <c r="BU223" s="689"/>
      <c r="BV223" s="689"/>
    </row>
    <row r="224" spans="1:74" s="389" customFormat="1">
      <c r="A224" s="734">
        <v>2008</v>
      </c>
      <c r="B224" s="735">
        <v>61000</v>
      </c>
      <c r="C224" s="735">
        <v>59900</v>
      </c>
      <c r="D224" s="735">
        <v>59500</v>
      </c>
      <c r="E224" s="735">
        <v>70300</v>
      </c>
      <c r="F224" s="735">
        <v>59700</v>
      </c>
      <c r="G224" s="735">
        <v>65300</v>
      </c>
      <c r="I224" s="689"/>
      <c r="J224" s="689"/>
      <c r="K224" s="689"/>
      <c r="L224" s="689"/>
      <c r="M224" s="689"/>
      <c r="N224" s="689"/>
      <c r="O224" s="689"/>
      <c r="P224" s="689"/>
      <c r="Q224" s="689"/>
      <c r="R224" s="689"/>
      <c r="S224" s="689"/>
      <c r="T224" s="689"/>
      <c r="U224" s="689"/>
      <c r="V224" s="689"/>
      <c r="W224" s="689"/>
      <c r="X224" s="689"/>
      <c r="Y224" s="689"/>
      <c r="Z224" s="689"/>
      <c r="AA224" s="689"/>
      <c r="AB224" s="689"/>
      <c r="AC224" s="689"/>
      <c r="AD224" s="689"/>
      <c r="AE224" s="689"/>
      <c r="AF224" s="689"/>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c r="BG224" s="689"/>
      <c r="BH224" s="689"/>
      <c r="BI224" s="689"/>
      <c r="BJ224" s="689"/>
      <c r="BK224" s="689"/>
      <c r="BL224" s="689"/>
      <c r="BM224" s="689"/>
      <c r="BN224" s="689"/>
      <c r="BO224" s="689"/>
      <c r="BP224" s="689"/>
      <c r="BQ224" s="689"/>
      <c r="BR224" s="689"/>
      <c r="BS224" s="689"/>
      <c r="BT224" s="689"/>
      <c r="BU224" s="689"/>
      <c r="BV224" s="689"/>
    </row>
    <row r="225" spans="1:74" s="389" customFormat="1">
      <c r="A225" s="734">
        <v>2007</v>
      </c>
      <c r="B225" s="735">
        <v>65900</v>
      </c>
      <c r="C225" s="735">
        <v>65400</v>
      </c>
      <c r="D225" s="735">
        <v>63300</v>
      </c>
      <c r="E225" s="735">
        <v>73200</v>
      </c>
      <c r="F225" s="735">
        <v>65400</v>
      </c>
      <c r="G225" s="735">
        <v>64500</v>
      </c>
      <c r="I225" s="689"/>
      <c r="J225" s="689"/>
      <c r="K225" s="689"/>
      <c r="L225" s="689"/>
      <c r="M225" s="689"/>
      <c r="N225" s="689"/>
      <c r="O225" s="689"/>
      <c r="P225" s="689"/>
      <c r="Q225" s="689"/>
      <c r="R225" s="689"/>
      <c r="S225" s="689"/>
      <c r="T225" s="689"/>
      <c r="U225" s="689"/>
      <c r="V225" s="689"/>
      <c r="W225" s="689"/>
      <c r="X225" s="689"/>
      <c r="Y225" s="689"/>
      <c r="Z225" s="689"/>
      <c r="AA225" s="689"/>
      <c r="AB225" s="689"/>
      <c r="AC225" s="689"/>
      <c r="AD225" s="689"/>
      <c r="AE225" s="689"/>
      <c r="AF225" s="689"/>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c r="BG225" s="689"/>
      <c r="BH225" s="689"/>
      <c r="BI225" s="689"/>
      <c r="BJ225" s="689"/>
      <c r="BK225" s="689"/>
      <c r="BL225" s="689"/>
      <c r="BM225" s="689"/>
      <c r="BN225" s="689"/>
      <c r="BO225" s="689"/>
      <c r="BP225" s="689"/>
      <c r="BQ225" s="689"/>
      <c r="BR225" s="689"/>
      <c r="BS225" s="689"/>
      <c r="BT225" s="689"/>
      <c r="BU225" s="689"/>
      <c r="BV225" s="689"/>
    </row>
    <row r="226" spans="1:74" s="389" customFormat="1">
      <c r="A226" s="734">
        <v>2006</v>
      </c>
      <c r="B226" s="735">
        <v>70100</v>
      </c>
      <c r="C226" s="735">
        <v>66100</v>
      </c>
      <c r="D226" s="735">
        <v>67600</v>
      </c>
      <c r="E226" s="735">
        <v>77000</v>
      </c>
      <c r="F226" s="735">
        <v>67700</v>
      </c>
      <c r="G226" s="735">
        <v>73800</v>
      </c>
      <c r="I226" s="689"/>
      <c r="J226" s="689"/>
      <c r="K226" s="689"/>
      <c r="L226" s="689"/>
      <c r="M226" s="689"/>
      <c r="N226" s="689"/>
      <c r="O226" s="689"/>
      <c r="P226" s="689"/>
      <c r="Q226" s="689"/>
      <c r="R226" s="689"/>
      <c r="S226" s="689"/>
      <c r="T226" s="689"/>
      <c r="U226" s="689"/>
      <c r="V226" s="689"/>
      <c r="W226" s="689"/>
      <c r="X226" s="689"/>
      <c r="Y226" s="689"/>
      <c r="Z226" s="689"/>
      <c r="AA226" s="689"/>
      <c r="AB226" s="689"/>
      <c r="AC226" s="689"/>
      <c r="AD226" s="689"/>
      <c r="AE226" s="689"/>
      <c r="AF226" s="689"/>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c r="BG226" s="689"/>
      <c r="BH226" s="689"/>
      <c r="BI226" s="689"/>
      <c r="BJ226" s="689"/>
      <c r="BK226" s="689"/>
      <c r="BL226" s="689"/>
      <c r="BM226" s="689"/>
      <c r="BN226" s="689"/>
      <c r="BO226" s="689"/>
      <c r="BP226" s="689"/>
      <c r="BQ226" s="689"/>
      <c r="BR226" s="689"/>
      <c r="BS226" s="689"/>
      <c r="BT226" s="689"/>
      <c r="BU226" s="689"/>
      <c r="BV226" s="689"/>
    </row>
    <row r="227" spans="1:74" s="389" customFormat="1">
      <c r="A227" s="734"/>
      <c r="I227" s="689"/>
      <c r="J227" s="689"/>
      <c r="K227" s="689"/>
      <c r="L227" s="689"/>
      <c r="M227" s="689"/>
      <c r="N227" s="689"/>
      <c r="O227" s="689"/>
      <c r="P227" s="689"/>
      <c r="Q227" s="689"/>
      <c r="R227" s="689"/>
      <c r="S227" s="689"/>
      <c r="T227" s="689"/>
      <c r="U227" s="689"/>
      <c r="V227" s="689"/>
      <c r="W227" s="689"/>
      <c r="X227" s="689"/>
      <c r="Y227" s="689"/>
      <c r="Z227" s="689"/>
      <c r="AA227" s="689"/>
      <c r="AB227" s="689"/>
      <c r="AC227" s="689"/>
      <c r="AD227" s="689"/>
      <c r="AE227" s="689"/>
      <c r="AF227" s="689"/>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c r="BG227" s="689"/>
      <c r="BH227" s="689"/>
      <c r="BI227" s="689"/>
      <c r="BJ227" s="689"/>
      <c r="BK227" s="689"/>
      <c r="BL227" s="689"/>
      <c r="BM227" s="689"/>
      <c r="BN227" s="689"/>
      <c r="BO227" s="689"/>
      <c r="BP227" s="689"/>
      <c r="BQ227" s="689"/>
      <c r="BR227" s="689"/>
      <c r="BS227" s="689"/>
      <c r="BT227" s="689"/>
      <c r="BU227" s="689"/>
      <c r="BV227" s="689"/>
    </row>
    <row r="228" spans="1:74" s="389" customFormat="1">
      <c r="I228" s="689"/>
      <c r="J228" s="689"/>
      <c r="K228" s="689"/>
      <c r="L228" s="689"/>
      <c r="M228" s="689"/>
      <c r="N228" s="689"/>
      <c r="O228" s="689"/>
      <c r="P228" s="689"/>
      <c r="Q228" s="689"/>
      <c r="R228" s="689"/>
      <c r="S228" s="689"/>
      <c r="T228" s="689"/>
      <c r="U228" s="689"/>
      <c r="V228" s="689"/>
      <c r="W228" s="689"/>
      <c r="X228" s="689"/>
      <c r="Y228" s="689"/>
      <c r="Z228" s="689"/>
      <c r="AA228" s="689"/>
      <c r="AB228" s="689"/>
      <c r="AC228" s="689"/>
      <c r="AD228" s="689"/>
      <c r="AE228" s="689"/>
      <c r="AF228" s="689"/>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c r="BG228" s="689"/>
      <c r="BH228" s="689"/>
      <c r="BI228" s="689"/>
      <c r="BJ228" s="689"/>
      <c r="BK228" s="689"/>
      <c r="BL228" s="689"/>
      <c r="BM228" s="689"/>
      <c r="BN228" s="689"/>
      <c r="BO228" s="689"/>
      <c r="BP228" s="689"/>
      <c r="BQ228" s="689"/>
      <c r="BR228" s="689"/>
      <c r="BS228" s="689"/>
      <c r="BT228" s="689"/>
      <c r="BU228" s="689"/>
      <c r="BV228" s="689"/>
    </row>
    <row r="229" spans="1:74" s="389" customFormat="1">
      <c r="I229" s="689"/>
      <c r="J229" s="689"/>
      <c r="K229" s="689"/>
      <c r="L229" s="689"/>
      <c r="M229" s="689"/>
      <c r="N229" s="689"/>
      <c r="O229" s="689"/>
      <c r="P229" s="689"/>
      <c r="Q229" s="689"/>
      <c r="R229" s="689"/>
      <c r="S229" s="689"/>
      <c r="T229" s="689"/>
      <c r="U229" s="689"/>
      <c r="V229" s="689"/>
      <c r="W229" s="689"/>
      <c r="X229" s="689"/>
      <c r="Y229" s="689"/>
      <c r="Z229" s="689"/>
      <c r="AA229" s="689"/>
      <c r="AB229" s="689"/>
      <c r="AC229" s="689"/>
      <c r="AD229" s="689"/>
      <c r="AE229" s="689"/>
      <c r="AF229" s="689"/>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c r="BG229" s="689"/>
      <c r="BH229" s="689"/>
      <c r="BI229" s="689"/>
      <c r="BJ229" s="689"/>
      <c r="BK229" s="689"/>
      <c r="BL229" s="689"/>
      <c r="BM229" s="689"/>
      <c r="BN229" s="689"/>
      <c r="BO229" s="689"/>
      <c r="BP229" s="689"/>
      <c r="BQ229" s="689"/>
      <c r="BR229" s="689"/>
      <c r="BS229" s="689"/>
      <c r="BT229" s="689"/>
      <c r="BU229" s="689"/>
      <c r="BV229" s="689"/>
    </row>
    <row r="230" spans="1:74" s="389" customFormat="1">
      <c r="I230" s="689"/>
      <c r="J230" s="689"/>
      <c r="K230" s="689"/>
      <c r="L230" s="689"/>
      <c r="M230" s="689"/>
      <c r="N230" s="689"/>
      <c r="O230" s="689"/>
      <c r="P230" s="689"/>
      <c r="Q230" s="689"/>
      <c r="R230" s="689"/>
      <c r="S230" s="689"/>
      <c r="T230" s="689"/>
      <c r="U230" s="689"/>
      <c r="V230" s="689"/>
      <c r="W230" s="689"/>
      <c r="X230" s="689"/>
      <c r="Y230" s="689"/>
      <c r="Z230" s="689"/>
      <c r="AA230" s="689"/>
      <c r="AB230" s="689"/>
      <c r="AC230" s="689"/>
      <c r="AD230" s="689"/>
      <c r="AE230" s="689"/>
      <c r="AF230" s="689"/>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c r="BG230" s="689"/>
      <c r="BH230" s="689"/>
      <c r="BI230" s="689"/>
      <c r="BJ230" s="689"/>
      <c r="BK230" s="689"/>
      <c r="BL230" s="689"/>
      <c r="BM230" s="689"/>
      <c r="BN230" s="689"/>
      <c r="BO230" s="689"/>
      <c r="BP230" s="689"/>
      <c r="BQ230" s="689"/>
      <c r="BR230" s="689"/>
      <c r="BS230" s="689"/>
      <c r="BT230" s="689"/>
      <c r="BU230" s="689"/>
      <c r="BV230" s="689"/>
    </row>
    <row r="231" spans="1:74" s="389" customFormat="1">
      <c r="I231" s="689"/>
      <c r="J231" s="689"/>
      <c r="K231" s="689"/>
      <c r="L231" s="689"/>
      <c r="M231" s="689"/>
      <c r="N231" s="689"/>
      <c r="O231" s="689"/>
      <c r="P231" s="689"/>
      <c r="Q231" s="689"/>
      <c r="R231" s="689"/>
      <c r="S231" s="689"/>
      <c r="T231" s="689"/>
      <c r="U231" s="689"/>
      <c r="V231" s="689"/>
      <c r="W231" s="689"/>
      <c r="X231" s="689"/>
      <c r="Y231" s="689"/>
      <c r="Z231" s="689"/>
      <c r="AA231" s="689"/>
      <c r="AB231" s="689"/>
      <c r="AC231" s="689"/>
      <c r="AD231" s="689"/>
      <c r="AE231" s="689"/>
      <c r="AF231" s="689"/>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c r="BG231" s="689"/>
      <c r="BH231" s="689"/>
      <c r="BI231" s="689"/>
      <c r="BJ231" s="689"/>
      <c r="BK231" s="689"/>
      <c r="BL231" s="689"/>
      <c r="BM231" s="689"/>
      <c r="BN231" s="689"/>
      <c r="BO231" s="689"/>
      <c r="BP231" s="689"/>
      <c r="BQ231" s="689"/>
      <c r="BR231" s="689"/>
      <c r="BS231" s="689"/>
      <c r="BT231" s="689"/>
      <c r="BU231" s="689"/>
      <c r="BV231" s="689"/>
    </row>
    <row r="232" spans="1:74" s="389" customFormat="1">
      <c r="I232" s="689"/>
      <c r="J232" s="689"/>
      <c r="K232" s="689"/>
      <c r="L232" s="689"/>
      <c r="M232" s="689"/>
      <c r="N232" s="689"/>
      <c r="O232" s="689"/>
      <c r="P232" s="689"/>
      <c r="Q232" s="689"/>
      <c r="R232" s="689"/>
      <c r="S232" s="689"/>
      <c r="T232" s="689"/>
      <c r="U232" s="689"/>
      <c r="V232" s="689"/>
      <c r="W232" s="689"/>
      <c r="X232" s="689"/>
      <c r="Y232" s="689"/>
      <c r="Z232" s="689"/>
      <c r="AA232" s="689"/>
      <c r="AB232" s="689"/>
      <c r="AC232" s="689"/>
      <c r="AD232" s="689"/>
      <c r="AE232" s="689"/>
      <c r="AF232" s="689"/>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c r="BG232" s="689"/>
      <c r="BH232" s="689"/>
      <c r="BI232" s="689"/>
      <c r="BJ232" s="689"/>
      <c r="BK232" s="689"/>
      <c r="BL232" s="689"/>
      <c r="BM232" s="689"/>
      <c r="BN232" s="689"/>
      <c r="BO232" s="689"/>
      <c r="BP232" s="689"/>
      <c r="BQ232" s="689"/>
      <c r="BR232" s="689"/>
      <c r="BS232" s="689"/>
      <c r="BT232" s="689"/>
      <c r="BU232" s="689"/>
      <c r="BV232" s="689"/>
    </row>
    <row r="233" spans="1:74" s="389" customFormat="1">
      <c r="I233" s="689"/>
      <c r="J233" s="689"/>
      <c r="K233" s="689"/>
      <c r="L233" s="689"/>
      <c r="M233" s="689"/>
      <c r="N233" s="689"/>
      <c r="O233" s="689"/>
      <c r="P233" s="689"/>
      <c r="Q233" s="689"/>
      <c r="R233" s="689"/>
      <c r="S233" s="689"/>
      <c r="T233" s="689"/>
      <c r="U233" s="689"/>
      <c r="V233" s="689"/>
      <c r="W233" s="689"/>
      <c r="X233" s="689"/>
      <c r="Y233" s="689"/>
      <c r="Z233" s="689"/>
      <c r="AA233" s="689"/>
      <c r="AB233" s="689"/>
      <c r="AC233" s="689"/>
      <c r="AD233" s="689"/>
      <c r="AE233" s="689"/>
      <c r="AF233" s="689"/>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c r="BG233" s="689"/>
      <c r="BH233" s="689"/>
      <c r="BI233" s="689"/>
      <c r="BJ233" s="689"/>
      <c r="BK233" s="689"/>
      <c r="BL233" s="689"/>
      <c r="BM233" s="689"/>
      <c r="BN233" s="689"/>
      <c r="BO233" s="689"/>
      <c r="BP233" s="689"/>
      <c r="BQ233" s="689"/>
      <c r="BR233" s="689"/>
      <c r="BS233" s="689"/>
      <c r="BT233" s="689"/>
      <c r="BU233" s="689"/>
      <c r="BV233" s="689"/>
    </row>
    <row r="234" spans="1:74" s="389" customFormat="1">
      <c r="I234" s="689"/>
      <c r="J234" s="689"/>
      <c r="K234" s="689"/>
      <c r="L234" s="689"/>
      <c r="M234" s="689"/>
      <c r="N234" s="689"/>
      <c r="O234" s="689"/>
      <c r="P234" s="689"/>
      <c r="Q234" s="689"/>
      <c r="R234" s="689"/>
      <c r="S234" s="689"/>
      <c r="T234" s="689"/>
      <c r="U234" s="689"/>
      <c r="V234" s="689"/>
      <c r="W234" s="689"/>
      <c r="X234" s="689"/>
      <c r="Y234" s="689"/>
      <c r="Z234" s="689"/>
      <c r="AA234" s="689"/>
      <c r="AB234" s="689"/>
      <c r="AC234" s="689"/>
      <c r="AD234" s="689"/>
      <c r="AE234" s="689"/>
      <c r="AF234" s="689"/>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c r="BG234" s="689"/>
      <c r="BH234" s="689"/>
      <c r="BI234" s="689"/>
      <c r="BJ234" s="689"/>
      <c r="BK234" s="689"/>
      <c r="BL234" s="689"/>
      <c r="BM234" s="689"/>
      <c r="BN234" s="689"/>
      <c r="BO234" s="689"/>
      <c r="BP234" s="689"/>
      <c r="BQ234" s="689"/>
      <c r="BR234" s="689"/>
      <c r="BS234" s="689"/>
      <c r="BT234" s="689"/>
      <c r="BU234" s="689"/>
      <c r="BV234" s="689"/>
    </row>
    <row r="235" spans="1:74" s="389" customFormat="1">
      <c r="I235" s="689"/>
      <c r="J235" s="689"/>
      <c r="K235" s="689"/>
      <c r="L235" s="689"/>
      <c r="M235" s="689"/>
      <c r="N235" s="689"/>
      <c r="O235" s="689"/>
      <c r="P235" s="689"/>
      <c r="Q235" s="689"/>
      <c r="R235" s="689"/>
      <c r="S235" s="689"/>
      <c r="T235" s="689"/>
      <c r="U235" s="689"/>
      <c r="V235" s="689"/>
      <c r="W235" s="689"/>
      <c r="X235" s="689"/>
      <c r="Y235" s="689"/>
      <c r="Z235" s="689"/>
      <c r="AA235" s="689"/>
      <c r="AB235" s="689"/>
      <c r="AC235" s="689"/>
      <c r="AD235" s="689"/>
      <c r="AE235" s="689"/>
      <c r="AF235" s="689"/>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c r="BG235" s="689"/>
      <c r="BH235" s="689"/>
      <c r="BI235" s="689"/>
      <c r="BJ235" s="689"/>
      <c r="BK235" s="689"/>
      <c r="BL235" s="689"/>
      <c r="BM235" s="689"/>
      <c r="BN235" s="689"/>
      <c r="BO235" s="689"/>
      <c r="BP235" s="689"/>
      <c r="BQ235" s="689"/>
      <c r="BR235" s="689"/>
      <c r="BS235" s="689"/>
      <c r="BT235" s="689"/>
      <c r="BU235" s="689"/>
      <c r="BV235" s="689"/>
    </row>
    <row r="236" spans="1:74" s="389" customFormat="1">
      <c r="I236" s="689"/>
      <c r="J236" s="689"/>
      <c r="K236" s="689"/>
      <c r="L236" s="689"/>
      <c r="M236" s="689"/>
      <c r="N236" s="689"/>
      <c r="O236" s="689"/>
      <c r="P236" s="689"/>
      <c r="Q236" s="689"/>
      <c r="R236" s="689"/>
      <c r="S236" s="689"/>
      <c r="T236" s="689"/>
      <c r="U236" s="689"/>
      <c r="V236" s="689"/>
      <c r="W236" s="689"/>
      <c r="X236" s="689"/>
      <c r="Y236" s="689"/>
      <c r="Z236" s="689"/>
      <c r="AA236" s="689"/>
      <c r="AB236" s="689"/>
      <c r="AC236" s="689"/>
      <c r="AD236" s="689"/>
      <c r="AE236" s="689"/>
      <c r="AF236" s="689"/>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c r="BG236" s="689"/>
      <c r="BH236" s="689"/>
      <c r="BI236" s="689"/>
      <c r="BJ236" s="689"/>
      <c r="BK236" s="689"/>
      <c r="BL236" s="689"/>
      <c r="BM236" s="689"/>
      <c r="BN236" s="689"/>
      <c r="BO236" s="689"/>
      <c r="BP236" s="689"/>
      <c r="BQ236" s="689"/>
      <c r="BR236" s="689"/>
      <c r="BS236" s="689"/>
      <c r="BT236" s="689"/>
      <c r="BU236" s="689"/>
      <c r="BV236" s="689"/>
    </row>
    <row r="237" spans="1:74" s="389" customFormat="1" ht="20.399999999999999">
      <c r="A237" s="718"/>
      <c r="I237" s="689"/>
      <c r="J237" s="689"/>
      <c r="K237" s="689"/>
      <c r="L237" s="689"/>
      <c r="M237" s="689"/>
      <c r="N237" s="689"/>
      <c r="O237" s="689"/>
      <c r="P237" s="689"/>
      <c r="Q237" s="689"/>
      <c r="R237" s="689"/>
      <c r="S237" s="689"/>
      <c r="T237" s="689"/>
      <c r="U237" s="689"/>
      <c r="V237" s="689"/>
      <c r="W237" s="689"/>
      <c r="X237" s="689"/>
      <c r="Y237" s="689"/>
      <c r="Z237" s="689"/>
      <c r="AA237" s="689"/>
      <c r="AB237" s="689"/>
      <c r="AC237" s="689"/>
      <c r="AD237" s="689"/>
      <c r="AE237" s="689"/>
      <c r="AF237" s="689"/>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c r="BG237" s="689"/>
      <c r="BH237" s="689"/>
      <c r="BI237" s="689"/>
      <c r="BJ237" s="689"/>
      <c r="BK237" s="689"/>
      <c r="BL237" s="689"/>
      <c r="BM237" s="689"/>
      <c r="BN237" s="689"/>
      <c r="BO237" s="689"/>
      <c r="BP237" s="689"/>
      <c r="BQ237" s="689"/>
      <c r="BR237" s="689"/>
      <c r="BS237" s="689"/>
      <c r="BT237" s="689"/>
      <c r="BU237" s="689"/>
      <c r="BV237" s="689"/>
    </row>
    <row r="238" spans="1:74" s="389" customFormat="1">
      <c r="I238" s="689"/>
      <c r="J238" s="689"/>
      <c r="K238" s="689"/>
      <c r="L238" s="689"/>
      <c r="M238" s="689"/>
      <c r="N238" s="689"/>
      <c r="O238" s="689"/>
      <c r="P238" s="689"/>
      <c r="Q238" s="689"/>
      <c r="R238" s="689"/>
      <c r="S238" s="689"/>
      <c r="T238" s="689"/>
      <c r="U238" s="689"/>
      <c r="V238" s="689"/>
      <c r="W238" s="689"/>
      <c r="X238" s="689"/>
      <c r="Y238" s="689"/>
      <c r="Z238" s="689"/>
      <c r="AA238" s="689"/>
      <c r="AB238" s="689"/>
      <c r="AC238" s="689"/>
      <c r="AD238" s="689"/>
      <c r="AE238" s="689"/>
      <c r="AF238" s="689"/>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c r="BG238" s="689"/>
      <c r="BH238" s="689"/>
      <c r="BI238" s="689"/>
      <c r="BJ238" s="689"/>
      <c r="BK238" s="689"/>
      <c r="BL238" s="689"/>
      <c r="BM238" s="689"/>
      <c r="BN238" s="689"/>
      <c r="BO238" s="689"/>
      <c r="BP238" s="689"/>
      <c r="BQ238" s="689"/>
      <c r="BR238" s="689"/>
      <c r="BS238" s="689"/>
      <c r="BT238" s="689"/>
      <c r="BU238" s="689"/>
      <c r="BV238" s="689"/>
    </row>
    <row r="239" spans="1:74" s="389" customFormat="1">
      <c r="I239" s="689"/>
      <c r="J239" s="689"/>
      <c r="K239" s="689"/>
      <c r="L239" s="689"/>
      <c r="M239" s="689"/>
      <c r="N239" s="689"/>
      <c r="O239" s="689"/>
      <c r="P239" s="689"/>
      <c r="Q239" s="689"/>
      <c r="R239" s="689"/>
      <c r="S239" s="689"/>
      <c r="T239" s="689"/>
      <c r="U239" s="689"/>
      <c r="V239" s="689"/>
      <c r="W239" s="689"/>
      <c r="X239" s="689"/>
      <c r="Y239" s="689"/>
      <c r="Z239" s="689"/>
      <c r="AA239" s="689"/>
      <c r="AB239" s="689"/>
      <c r="AC239" s="689"/>
      <c r="AD239" s="689"/>
      <c r="AE239" s="689"/>
      <c r="AF239" s="689"/>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c r="BG239" s="689"/>
      <c r="BH239" s="689"/>
      <c r="BI239" s="689"/>
      <c r="BJ239" s="689"/>
      <c r="BK239" s="689"/>
      <c r="BL239" s="689"/>
      <c r="BM239" s="689"/>
      <c r="BN239" s="689"/>
      <c r="BO239" s="689"/>
      <c r="BP239" s="689"/>
      <c r="BQ239" s="689"/>
      <c r="BR239" s="689"/>
      <c r="BS239" s="689"/>
      <c r="BT239" s="689"/>
      <c r="BU239" s="689"/>
      <c r="BV239" s="689"/>
    </row>
    <row r="240" spans="1:74" s="389" customFormat="1">
      <c r="I240" s="689"/>
      <c r="J240" s="689"/>
      <c r="K240" s="689"/>
      <c r="L240" s="689"/>
      <c r="M240" s="689"/>
      <c r="N240" s="689"/>
      <c r="O240" s="689"/>
      <c r="P240" s="689"/>
      <c r="Q240" s="689"/>
      <c r="R240" s="689"/>
      <c r="S240" s="689"/>
      <c r="T240" s="689"/>
      <c r="U240" s="689"/>
      <c r="V240" s="689"/>
      <c r="W240" s="689"/>
      <c r="X240" s="689"/>
      <c r="Y240" s="689"/>
      <c r="Z240" s="689"/>
      <c r="AA240" s="689"/>
      <c r="AB240" s="689"/>
      <c r="AC240" s="689"/>
      <c r="AD240" s="689"/>
      <c r="AE240" s="689"/>
      <c r="AF240" s="689"/>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c r="BG240" s="689"/>
      <c r="BH240" s="689"/>
      <c r="BI240" s="689"/>
      <c r="BJ240" s="689"/>
      <c r="BK240" s="689"/>
      <c r="BL240" s="689"/>
      <c r="BM240" s="689"/>
      <c r="BN240" s="689"/>
      <c r="BO240" s="689"/>
      <c r="BP240" s="689"/>
      <c r="BQ240" s="689"/>
      <c r="BR240" s="689"/>
      <c r="BS240" s="689"/>
      <c r="BT240" s="689"/>
      <c r="BU240" s="689"/>
      <c r="BV240" s="689"/>
    </row>
    <row r="241" spans="1:74" s="389" customFormat="1">
      <c r="I241" s="689"/>
      <c r="J241" s="689"/>
      <c r="K241" s="689"/>
      <c r="L241" s="689"/>
      <c r="M241" s="689"/>
      <c r="N241" s="689"/>
      <c r="O241" s="689"/>
      <c r="P241" s="689"/>
      <c r="Q241" s="689"/>
      <c r="R241" s="689"/>
      <c r="S241" s="689"/>
      <c r="T241" s="689"/>
      <c r="U241" s="689"/>
      <c r="V241" s="689"/>
      <c r="W241" s="689"/>
      <c r="X241" s="689"/>
      <c r="Y241" s="689"/>
      <c r="Z241" s="689"/>
      <c r="AA241" s="689"/>
      <c r="AB241" s="689"/>
      <c r="AC241" s="689"/>
      <c r="AD241" s="689"/>
      <c r="AE241" s="689"/>
      <c r="AF241" s="689"/>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c r="BG241" s="689"/>
      <c r="BH241" s="689"/>
      <c r="BI241" s="689"/>
      <c r="BJ241" s="689"/>
      <c r="BK241" s="689"/>
      <c r="BL241" s="689"/>
      <c r="BM241" s="689"/>
      <c r="BN241" s="689"/>
      <c r="BO241" s="689"/>
      <c r="BP241" s="689"/>
      <c r="BQ241" s="689"/>
      <c r="BR241" s="689"/>
      <c r="BS241" s="689"/>
      <c r="BT241" s="689"/>
      <c r="BU241" s="689"/>
      <c r="BV241" s="689"/>
    </row>
    <row r="242" spans="1:74" s="389" customFormat="1">
      <c r="I242" s="689"/>
      <c r="J242" s="689"/>
      <c r="K242" s="689"/>
      <c r="L242" s="689"/>
      <c r="M242" s="689"/>
      <c r="N242" s="689"/>
      <c r="O242" s="689"/>
      <c r="P242" s="689"/>
      <c r="Q242" s="689"/>
      <c r="R242" s="689"/>
      <c r="S242" s="689"/>
      <c r="T242" s="689"/>
      <c r="U242" s="689"/>
      <c r="V242" s="689"/>
      <c r="W242" s="689"/>
      <c r="X242" s="689"/>
      <c r="Y242" s="689"/>
      <c r="Z242" s="689"/>
      <c r="AA242" s="689"/>
      <c r="AB242" s="689"/>
      <c r="AC242" s="689"/>
      <c r="AD242" s="689"/>
      <c r="AE242" s="689"/>
      <c r="AF242" s="689"/>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c r="BG242" s="689"/>
      <c r="BH242" s="689"/>
      <c r="BI242" s="689"/>
      <c r="BJ242" s="689"/>
      <c r="BK242" s="689"/>
      <c r="BL242" s="689"/>
      <c r="BM242" s="689"/>
      <c r="BN242" s="689"/>
      <c r="BO242" s="689"/>
      <c r="BP242" s="689"/>
      <c r="BQ242" s="689"/>
      <c r="BR242" s="689"/>
      <c r="BS242" s="689"/>
      <c r="BT242" s="689"/>
      <c r="BU242" s="689"/>
      <c r="BV242" s="689"/>
    </row>
    <row r="243" spans="1:74" s="389" customFormat="1">
      <c r="I243" s="689"/>
      <c r="J243" s="689"/>
      <c r="K243" s="689"/>
      <c r="L243" s="689"/>
      <c r="M243" s="689"/>
      <c r="N243" s="689"/>
      <c r="O243" s="689"/>
      <c r="P243" s="689"/>
      <c r="Q243" s="689"/>
      <c r="R243" s="689"/>
      <c r="S243" s="689"/>
      <c r="T243" s="689"/>
      <c r="U243" s="689"/>
      <c r="V243" s="689"/>
      <c r="W243" s="689"/>
      <c r="X243" s="689"/>
      <c r="Y243" s="689"/>
      <c r="Z243" s="689"/>
      <c r="AA243" s="689"/>
      <c r="AB243" s="689"/>
      <c r="AC243" s="689"/>
      <c r="AD243" s="689"/>
      <c r="AE243" s="689"/>
      <c r="AF243" s="689"/>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c r="BG243" s="689"/>
      <c r="BH243" s="689"/>
      <c r="BI243" s="689"/>
      <c r="BJ243" s="689"/>
      <c r="BK243" s="689"/>
      <c r="BL243" s="689"/>
      <c r="BM243" s="689"/>
      <c r="BN243" s="689"/>
      <c r="BO243" s="689"/>
      <c r="BP243" s="689"/>
      <c r="BQ243" s="689"/>
      <c r="BR243" s="689"/>
      <c r="BS243" s="689"/>
      <c r="BT243" s="689"/>
      <c r="BU243" s="689"/>
      <c r="BV243" s="689"/>
    </row>
    <row r="244" spans="1:74" s="389" customFormat="1">
      <c r="I244" s="689"/>
      <c r="J244" s="689"/>
      <c r="K244" s="689"/>
      <c r="L244" s="689"/>
      <c r="M244" s="689"/>
      <c r="N244" s="689"/>
      <c r="O244" s="689"/>
      <c r="P244" s="689"/>
      <c r="Q244" s="689"/>
      <c r="R244" s="689"/>
      <c r="S244" s="689"/>
      <c r="T244" s="689"/>
      <c r="U244" s="689"/>
      <c r="V244" s="689"/>
      <c r="W244" s="689"/>
      <c r="X244" s="689"/>
      <c r="Y244" s="689"/>
      <c r="Z244" s="689"/>
      <c r="AA244" s="689"/>
      <c r="AB244" s="689"/>
      <c r="AC244" s="689"/>
      <c r="AD244" s="689"/>
      <c r="AE244" s="689"/>
      <c r="AF244" s="689"/>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c r="BG244" s="689"/>
      <c r="BH244" s="689"/>
      <c r="BI244" s="689"/>
      <c r="BJ244" s="689"/>
      <c r="BK244" s="689"/>
      <c r="BL244" s="689"/>
      <c r="BM244" s="689"/>
      <c r="BN244" s="689"/>
      <c r="BO244" s="689"/>
      <c r="BP244" s="689"/>
      <c r="BQ244" s="689"/>
      <c r="BR244" s="689"/>
      <c r="BS244" s="689"/>
      <c r="BT244" s="689"/>
      <c r="BU244" s="689"/>
      <c r="BV244" s="689"/>
    </row>
    <row r="245" spans="1:74" s="389" customFormat="1">
      <c r="I245" s="689"/>
      <c r="J245" s="689"/>
      <c r="K245" s="689"/>
      <c r="L245" s="689"/>
      <c r="M245" s="689"/>
      <c r="N245" s="689"/>
      <c r="O245" s="689"/>
      <c r="P245" s="689"/>
      <c r="Q245" s="689"/>
      <c r="R245" s="689"/>
      <c r="S245" s="689"/>
      <c r="T245" s="689"/>
      <c r="U245" s="689"/>
      <c r="V245" s="689"/>
      <c r="W245" s="689"/>
      <c r="X245" s="689"/>
      <c r="Y245" s="689"/>
      <c r="Z245" s="689"/>
      <c r="AA245" s="689"/>
      <c r="AB245" s="689"/>
      <c r="AC245" s="689"/>
      <c r="AD245" s="689"/>
      <c r="AE245" s="689"/>
      <c r="AF245" s="689"/>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c r="BG245" s="689"/>
      <c r="BH245" s="689"/>
      <c r="BI245" s="689"/>
      <c r="BJ245" s="689"/>
      <c r="BK245" s="689"/>
      <c r="BL245" s="689"/>
      <c r="BM245" s="689"/>
      <c r="BN245" s="689"/>
      <c r="BO245" s="689"/>
      <c r="BP245" s="689"/>
      <c r="BQ245" s="689"/>
      <c r="BR245" s="689"/>
      <c r="BS245" s="689"/>
      <c r="BT245" s="689"/>
      <c r="BU245" s="689"/>
      <c r="BV245" s="689"/>
    </row>
    <row r="246" spans="1:74" s="389" customFormat="1">
      <c r="I246" s="689"/>
      <c r="J246" s="689"/>
      <c r="K246" s="689"/>
      <c r="L246" s="689"/>
      <c r="M246" s="689"/>
      <c r="N246" s="689"/>
      <c r="O246" s="689"/>
      <c r="P246" s="689"/>
      <c r="Q246" s="689"/>
      <c r="R246" s="689"/>
      <c r="S246" s="689"/>
      <c r="T246" s="689"/>
      <c r="U246" s="689"/>
      <c r="V246" s="689"/>
      <c r="W246" s="689"/>
      <c r="X246" s="689"/>
      <c r="Y246" s="689"/>
      <c r="Z246" s="689"/>
      <c r="AA246" s="689"/>
      <c r="AB246" s="689"/>
      <c r="AC246" s="689"/>
      <c r="AD246" s="689"/>
      <c r="AE246" s="689"/>
      <c r="AF246" s="689"/>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c r="BG246" s="689"/>
      <c r="BH246" s="689"/>
      <c r="BI246" s="689"/>
      <c r="BJ246" s="689"/>
      <c r="BK246" s="689"/>
      <c r="BL246" s="689"/>
      <c r="BM246" s="689"/>
      <c r="BN246" s="689"/>
      <c r="BO246" s="689"/>
      <c r="BP246" s="689"/>
      <c r="BQ246" s="689"/>
      <c r="BR246" s="689"/>
      <c r="BS246" s="689"/>
      <c r="BT246" s="689"/>
      <c r="BU246" s="689"/>
      <c r="BV246" s="689"/>
    </row>
    <row r="247" spans="1:74" s="389" customFormat="1">
      <c r="A247" s="1021"/>
      <c r="I247" s="689"/>
      <c r="J247" s="689"/>
      <c r="K247" s="689"/>
      <c r="L247" s="689"/>
      <c r="M247" s="689"/>
      <c r="N247" s="689"/>
      <c r="O247" s="689"/>
      <c r="P247" s="689"/>
      <c r="Q247" s="689"/>
      <c r="R247" s="689"/>
      <c r="S247" s="689"/>
      <c r="T247" s="689"/>
      <c r="U247" s="689"/>
      <c r="V247" s="689"/>
      <c r="W247" s="689"/>
      <c r="X247" s="689"/>
      <c r="Y247" s="689"/>
      <c r="Z247" s="689"/>
      <c r="AA247" s="689"/>
      <c r="AB247" s="689"/>
      <c r="AC247" s="689"/>
      <c r="AD247" s="689"/>
      <c r="AE247" s="689"/>
      <c r="AF247" s="689"/>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c r="BG247" s="689"/>
      <c r="BH247" s="689"/>
      <c r="BI247" s="689"/>
      <c r="BJ247" s="689"/>
      <c r="BK247" s="689"/>
      <c r="BL247" s="689"/>
      <c r="BM247" s="689"/>
      <c r="BN247" s="689"/>
      <c r="BO247" s="689"/>
      <c r="BP247" s="689"/>
      <c r="BQ247" s="689"/>
      <c r="BR247" s="689"/>
      <c r="BS247" s="689"/>
      <c r="BT247" s="689"/>
      <c r="BU247" s="689"/>
      <c r="BV247" s="689"/>
    </row>
    <row r="248" spans="1:74" s="389" customFormat="1">
      <c r="I248" s="689"/>
      <c r="J248" s="689"/>
      <c r="K248" s="689"/>
      <c r="L248" s="689"/>
      <c r="M248" s="689"/>
      <c r="N248" s="689"/>
      <c r="O248" s="689"/>
      <c r="P248" s="689"/>
      <c r="Q248" s="689"/>
      <c r="R248" s="689"/>
      <c r="S248" s="689"/>
      <c r="T248" s="689"/>
      <c r="U248" s="689"/>
      <c r="V248" s="689"/>
      <c r="W248" s="689"/>
      <c r="X248" s="689"/>
      <c r="Y248" s="689"/>
      <c r="Z248" s="689"/>
      <c r="AA248" s="689"/>
      <c r="AB248" s="689"/>
      <c r="AC248" s="689"/>
      <c r="AD248" s="689"/>
      <c r="AE248" s="689"/>
      <c r="AF248" s="689"/>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c r="BG248" s="689"/>
      <c r="BH248" s="689"/>
      <c r="BI248" s="689"/>
      <c r="BJ248" s="689"/>
      <c r="BK248" s="689"/>
      <c r="BL248" s="689"/>
      <c r="BM248" s="689"/>
      <c r="BN248" s="689"/>
      <c r="BO248" s="689"/>
      <c r="BP248" s="689"/>
      <c r="BQ248" s="689"/>
      <c r="BR248" s="689"/>
      <c r="BS248" s="689"/>
      <c r="BT248" s="689"/>
      <c r="BU248" s="689"/>
      <c r="BV248" s="689"/>
    </row>
    <row r="249" spans="1:74" s="389" customFormat="1" ht="21">
      <c r="A249" s="698" t="s">
        <v>806</v>
      </c>
      <c r="I249" s="689"/>
      <c r="J249" s="689"/>
      <c r="K249" s="689"/>
      <c r="L249" s="689"/>
      <c r="M249" s="689"/>
      <c r="N249" s="689"/>
      <c r="O249" s="689"/>
      <c r="P249" s="689"/>
      <c r="Q249" s="689"/>
      <c r="R249" s="689"/>
      <c r="S249" s="689"/>
      <c r="T249" s="689"/>
      <c r="U249" s="689"/>
      <c r="V249" s="689"/>
      <c r="W249" s="689"/>
      <c r="X249" s="689"/>
      <c r="Y249" s="689"/>
      <c r="Z249" s="689"/>
      <c r="AA249" s="689"/>
      <c r="AB249" s="689"/>
      <c r="AC249" s="689"/>
      <c r="AD249" s="689"/>
      <c r="AE249" s="689"/>
      <c r="AF249" s="689"/>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c r="BG249" s="689"/>
      <c r="BH249" s="689"/>
      <c r="BI249" s="689"/>
      <c r="BJ249" s="689"/>
      <c r="BK249" s="689"/>
      <c r="BL249" s="689"/>
      <c r="BM249" s="689"/>
      <c r="BN249" s="689"/>
      <c r="BO249" s="689"/>
      <c r="BP249" s="689"/>
      <c r="BQ249" s="689"/>
      <c r="BR249" s="689"/>
      <c r="BS249" s="689"/>
      <c r="BT249" s="689"/>
      <c r="BU249" s="689"/>
      <c r="BV249" s="689"/>
    </row>
    <row r="250" spans="1:74" s="389" customFormat="1" ht="17.399999999999999">
      <c r="A250" s="699" t="s">
        <v>802</v>
      </c>
      <c r="I250" s="689"/>
      <c r="J250" s="689"/>
      <c r="K250" s="689"/>
      <c r="L250" s="689"/>
      <c r="M250" s="689"/>
      <c r="N250" s="689"/>
      <c r="O250" s="689"/>
      <c r="P250" s="689"/>
      <c r="Q250" s="689"/>
      <c r="R250" s="689"/>
      <c r="S250" s="689"/>
      <c r="T250" s="689"/>
      <c r="U250" s="689"/>
      <c r="V250" s="689"/>
      <c r="W250" s="689"/>
      <c r="X250" s="689"/>
      <c r="Y250" s="689"/>
      <c r="Z250" s="689"/>
      <c r="AA250" s="689"/>
      <c r="AB250" s="689"/>
      <c r="AC250" s="689"/>
      <c r="AD250" s="689"/>
      <c r="AE250" s="689"/>
      <c r="AF250" s="689"/>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c r="BG250" s="689"/>
      <c r="BH250" s="689"/>
      <c r="BI250" s="689"/>
      <c r="BJ250" s="689"/>
      <c r="BK250" s="689"/>
      <c r="BL250" s="689"/>
      <c r="BM250" s="689"/>
      <c r="BN250" s="689"/>
      <c r="BO250" s="689"/>
      <c r="BP250" s="689"/>
      <c r="BQ250" s="689"/>
      <c r="BR250" s="689"/>
      <c r="BS250" s="689"/>
      <c r="BT250" s="689"/>
      <c r="BU250" s="689"/>
      <c r="BV250" s="689"/>
    </row>
    <row r="251" spans="1:74" s="389" customFormat="1" ht="17.399999999999999">
      <c r="A251" s="699" t="s">
        <v>807</v>
      </c>
      <c r="E251" s="689"/>
      <c r="I251" s="689"/>
      <c r="J251" s="689"/>
      <c r="K251" s="689"/>
      <c r="L251" s="689"/>
      <c r="M251" s="689"/>
      <c r="N251" s="689"/>
      <c r="O251" s="689"/>
      <c r="P251" s="689"/>
      <c r="Q251" s="689"/>
      <c r="R251" s="689"/>
      <c r="S251" s="689"/>
      <c r="T251" s="689"/>
      <c r="U251" s="689"/>
      <c r="V251" s="689"/>
      <c r="W251" s="689"/>
      <c r="X251" s="689"/>
      <c r="Y251" s="689"/>
      <c r="Z251" s="689"/>
      <c r="AA251" s="689"/>
      <c r="AB251" s="689"/>
      <c r="AC251" s="689"/>
      <c r="AD251" s="689"/>
      <c r="AE251" s="689"/>
      <c r="AF251" s="689"/>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c r="BG251" s="689"/>
      <c r="BH251" s="689"/>
      <c r="BI251" s="689"/>
      <c r="BJ251" s="689"/>
      <c r="BK251" s="689"/>
      <c r="BL251" s="689"/>
      <c r="BM251" s="689"/>
      <c r="BN251" s="689"/>
      <c r="BO251" s="689"/>
      <c r="BP251" s="689"/>
      <c r="BQ251" s="689"/>
      <c r="BR251" s="689"/>
      <c r="BS251" s="689"/>
      <c r="BT251" s="689"/>
      <c r="BU251" s="689"/>
      <c r="BV251" s="689"/>
    </row>
    <row r="252" spans="1:74" s="389" customFormat="1" ht="27.6">
      <c r="A252" s="730"/>
      <c r="B252" s="736" t="s">
        <v>873</v>
      </c>
      <c r="C252" s="736" t="s">
        <v>583</v>
      </c>
      <c r="D252" s="688" t="s">
        <v>1362</v>
      </c>
      <c r="E252" s="736" t="s">
        <v>659</v>
      </c>
      <c r="F252" s="736" t="s">
        <v>660</v>
      </c>
      <c r="G252" s="736" t="s">
        <v>665</v>
      </c>
      <c r="I252" s="689"/>
      <c r="J252" s="689"/>
      <c r="K252" s="689"/>
      <c r="L252" s="689"/>
      <c r="M252" s="689"/>
      <c r="N252" s="689"/>
      <c r="O252" s="689"/>
      <c r="P252" s="689"/>
      <c r="Q252" s="689"/>
      <c r="R252" s="689"/>
      <c r="S252" s="689"/>
      <c r="T252" s="689"/>
      <c r="U252" s="689"/>
      <c r="V252" s="689"/>
      <c r="W252" s="689"/>
      <c r="X252" s="689"/>
      <c r="Y252" s="689"/>
      <c r="Z252" s="689"/>
      <c r="AA252" s="689"/>
      <c r="AB252" s="689"/>
      <c r="AC252" s="689"/>
      <c r="AD252" s="689"/>
      <c r="AE252" s="689"/>
      <c r="AF252" s="689"/>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c r="BG252" s="689"/>
      <c r="BH252" s="689"/>
      <c r="BI252" s="689"/>
      <c r="BJ252" s="689"/>
      <c r="BK252" s="689"/>
      <c r="BL252" s="689"/>
      <c r="BM252" s="689"/>
      <c r="BN252" s="689"/>
      <c r="BO252" s="689"/>
      <c r="BP252" s="689"/>
      <c r="BQ252" s="689"/>
      <c r="BR252" s="689"/>
      <c r="BS252" s="689"/>
      <c r="BT252" s="689"/>
      <c r="BU252" s="689"/>
      <c r="BV252" s="689"/>
    </row>
    <row r="253" spans="1:74" s="389" customFormat="1">
      <c r="A253" s="734">
        <v>2022</v>
      </c>
      <c r="B253" s="735">
        <f>FL_18_supplies_p.hole</f>
        <v>29800</v>
      </c>
      <c r="C253" s="735">
        <f>SE_18_supplies_p.hole</f>
        <v>34900</v>
      </c>
      <c r="D253" s="735">
        <f>BOCA_18_supplies_p.hole</f>
        <v>29800</v>
      </c>
      <c r="E253" s="735">
        <f>SW_18_supplies_p.hole</f>
        <v>31100</v>
      </c>
      <c r="F253" s="735">
        <f>SWCIRA_18_supplies_p.hole</f>
        <v>28400</v>
      </c>
      <c r="G253" s="735">
        <f>NC_18_supplies_p.hole</f>
        <v>25000</v>
      </c>
      <c r="I253" s="689"/>
      <c r="J253" s="689"/>
      <c r="K253" s="689"/>
      <c r="L253" s="689"/>
      <c r="M253" s="689"/>
      <c r="N253" s="689"/>
      <c r="O253" s="689"/>
      <c r="P253" s="689"/>
      <c r="Q253" s="689"/>
      <c r="R253" s="689"/>
      <c r="S253" s="689"/>
      <c r="T253" s="689"/>
      <c r="U253" s="689"/>
      <c r="V253" s="689"/>
      <c r="W253" s="689"/>
      <c r="X253" s="689"/>
      <c r="Y253" s="689"/>
      <c r="Z253" s="689"/>
      <c r="AA253" s="689"/>
      <c r="AB253" s="689"/>
      <c r="AC253" s="689"/>
      <c r="AD253" s="689"/>
      <c r="AE253" s="689"/>
      <c r="AF253" s="689"/>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c r="BG253" s="689"/>
      <c r="BH253" s="689"/>
      <c r="BI253" s="689"/>
      <c r="BJ253" s="689"/>
      <c r="BK253" s="689"/>
      <c r="BL253" s="689"/>
      <c r="BM253" s="689"/>
      <c r="BN253" s="689"/>
      <c r="BO253" s="689"/>
      <c r="BP253" s="689"/>
      <c r="BQ253" s="689"/>
      <c r="BR253" s="689"/>
      <c r="BS253" s="689"/>
      <c r="BT253" s="689"/>
      <c r="BU253" s="689"/>
      <c r="BV253" s="689"/>
    </row>
    <row r="254" spans="1:74" s="389" customFormat="1">
      <c r="A254" s="734">
        <v>2021</v>
      </c>
      <c r="B254" s="735">
        <v>25600</v>
      </c>
      <c r="C254" s="735">
        <v>29800</v>
      </c>
      <c r="D254" s="735">
        <v>25500</v>
      </c>
      <c r="E254" s="735">
        <v>26000</v>
      </c>
      <c r="F254" s="735">
        <v>26200</v>
      </c>
      <c r="G254" s="735">
        <v>20000</v>
      </c>
      <c r="I254" s="689"/>
      <c r="J254" s="689"/>
      <c r="K254" s="689"/>
      <c r="L254" s="689"/>
      <c r="M254" s="689"/>
      <c r="N254" s="689"/>
      <c r="O254" s="689"/>
      <c r="P254" s="689"/>
      <c r="Q254" s="689"/>
      <c r="R254" s="689"/>
      <c r="S254" s="689"/>
      <c r="T254" s="689"/>
      <c r="U254" s="689"/>
      <c r="V254" s="689"/>
      <c r="W254" s="689"/>
      <c r="X254" s="689"/>
      <c r="Y254" s="689"/>
      <c r="Z254" s="689"/>
      <c r="AA254" s="689"/>
      <c r="AB254" s="689"/>
      <c r="AC254" s="689"/>
      <c r="AD254" s="689"/>
      <c r="AE254" s="689"/>
      <c r="AF254" s="689"/>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c r="BG254" s="689"/>
      <c r="BH254" s="689"/>
      <c r="BI254" s="689"/>
      <c r="BJ254" s="689"/>
      <c r="BK254" s="689"/>
      <c r="BL254" s="689"/>
      <c r="BM254" s="689"/>
      <c r="BN254" s="689"/>
      <c r="BO254" s="689"/>
      <c r="BP254" s="689"/>
      <c r="BQ254" s="689"/>
      <c r="BR254" s="689"/>
      <c r="BS254" s="689"/>
      <c r="BT254" s="689"/>
      <c r="BU254" s="689"/>
      <c r="BV254" s="689"/>
    </row>
    <row r="255" spans="1:74" s="389" customFormat="1">
      <c r="A255" s="734">
        <v>2020</v>
      </c>
      <c r="B255" s="735">
        <v>22900</v>
      </c>
      <c r="C255" s="735">
        <v>24900</v>
      </c>
      <c r="D255" s="735">
        <v>22900</v>
      </c>
      <c r="E255" s="735">
        <v>24300</v>
      </c>
      <c r="F255" s="735">
        <v>23900</v>
      </c>
      <c r="G255" s="735">
        <v>18400</v>
      </c>
      <c r="I255" s="689"/>
      <c r="J255" s="689"/>
      <c r="K255" s="689"/>
      <c r="L255" s="689"/>
      <c r="M255" s="689"/>
      <c r="N255" s="689"/>
      <c r="O255" s="689"/>
      <c r="P255" s="689"/>
      <c r="Q255" s="689"/>
      <c r="R255" s="689"/>
      <c r="S255" s="689"/>
      <c r="T255" s="689"/>
      <c r="U255" s="689"/>
      <c r="V255" s="689"/>
      <c r="W255" s="689"/>
      <c r="X255" s="689"/>
      <c r="Y255" s="689"/>
      <c r="Z255" s="689"/>
      <c r="AA255" s="689"/>
      <c r="AB255" s="689"/>
      <c r="AC255" s="689"/>
      <c r="AD255" s="689"/>
      <c r="AE255" s="689"/>
      <c r="AF255" s="689"/>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c r="BG255" s="689"/>
      <c r="BH255" s="689"/>
      <c r="BI255" s="689"/>
      <c r="BJ255" s="689"/>
      <c r="BK255" s="689"/>
      <c r="BL255" s="689"/>
      <c r="BM255" s="689"/>
      <c r="BN255" s="689"/>
      <c r="BO255" s="689"/>
      <c r="BP255" s="689"/>
      <c r="BQ255" s="689"/>
      <c r="BR255" s="689"/>
      <c r="BS255" s="689"/>
      <c r="BT255" s="689"/>
      <c r="BU255" s="689"/>
      <c r="BV255" s="689"/>
    </row>
    <row r="256" spans="1:74" s="389" customFormat="1">
      <c r="A256" s="734">
        <v>2019</v>
      </c>
      <c r="B256" s="735">
        <v>23300</v>
      </c>
      <c r="C256" s="735">
        <v>22500</v>
      </c>
      <c r="D256" s="735">
        <v>23100</v>
      </c>
      <c r="E256" s="735">
        <v>24600</v>
      </c>
      <c r="F256" s="735">
        <v>23600</v>
      </c>
      <c r="G256" s="735">
        <v>20100</v>
      </c>
      <c r="I256" s="689"/>
      <c r="J256" s="689"/>
      <c r="K256" s="689"/>
      <c r="L256" s="689"/>
      <c r="M256" s="689"/>
      <c r="N256" s="689"/>
      <c r="O256" s="689"/>
      <c r="P256" s="689"/>
      <c r="Q256" s="689"/>
      <c r="R256" s="689"/>
      <c r="S256" s="689"/>
      <c r="T256" s="689"/>
      <c r="U256" s="689"/>
      <c r="V256" s="689"/>
      <c r="W256" s="689"/>
      <c r="X256" s="689"/>
      <c r="Y256" s="689"/>
      <c r="Z256" s="689"/>
      <c r="AA256" s="689"/>
      <c r="AB256" s="689"/>
      <c r="AC256" s="689"/>
      <c r="AD256" s="689"/>
      <c r="AE256" s="689"/>
      <c r="AF256" s="689"/>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c r="BG256" s="689"/>
      <c r="BH256" s="689"/>
      <c r="BI256" s="689"/>
      <c r="BJ256" s="689"/>
      <c r="BK256" s="689"/>
      <c r="BL256" s="689"/>
      <c r="BM256" s="689"/>
      <c r="BN256" s="689"/>
      <c r="BO256" s="689"/>
      <c r="BP256" s="689"/>
      <c r="BQ256" s="689"/>
      <c r="BR256" s="689"/>
      <c r="BS256" s="689"/>
      <c r="BT256" s="689"/>
      <c r="BU256" s="689"/>
      <c r="BV256" s="689"/>
    </row>
    <row r="257" spans="1:74" s="389" customFormat="1">
      <c r="A257" s="734">
        <v>2018</v>
      </c>
      <c r="B257" s="735">
        <v>22100</v>
      </c>
      <c r="C257" s="735">
        <v>24400</v>
      </c>
      <c r="D257" s="735">
        <v>22300</v>
      </c>
      <c r="E257" s="735">
        <v>22100</v>
      </c>
      <c r="F257" s="735">
        <v>23300</v>
      </c>
      <c r="G257" s="735">
        <v>18400</v>
      </c>
      <c r="I257" s="689"/>
      <c r="J257" s="689"/>
      <c r="K257" s="689"/>
      <c r="L257" s="689"/>
      <c r="M257" s="689"/>
      <c r="N257" s="689"/>
      <c r="O257" s="689"/>
      <c r="P257" s="689"/>
      <c r="Q257" s="689"/>
      <c r="R257" s="689"/>
      <c r="S257" s="689"/>
      <c r="T257" s="689"/>
      <c r="U257" s="689"/>
      <c r="V257" s="689"/>
      <c r="W257" s="689"/>
      <c r="X257" s="689"/>
      <c r="Y257" s="689"/>
      <c r="Z257" s="689"/>
      <c r="AA257" s="689"/>
      <c r="AB257" s="689"/>
      <c r="AC257" s="689"/>
      <c r="AD257" s="689"/>
      <c r="AE257" s="689"/>
      <c r="AF257" s="689"/>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c r="BG257" s="689"/>
      <c r="BH257" s="689"/>
      <c r="BI257" s="689"/>
      <c r="BJ257" s="689"/>
      <c r="BK257" s="689"/>
      <c r="BL257" s="689"/>
      <c r="BM257" s="689"/>
      <c r="BN257" s="689"/>
      <c r="BO257" s="689"/>
      <c r="BP257" s="689"/>
      <c r="BQ257" s="689"/>
      <c r="BR257" s="689"/>
      <c r="BS257" s="689"/>
      <c r="BT257" s="689"/>
      <c r="BU257" s="689"/>
      <c r="BV257" s="689"/>
    </row>
    <row r="258" spans="1:74" s="389" customFormat="1">
      <c r="A258" s="734">
        <v>2017</v>
      </c>
      <c r="B258" s="735">
        <v>20700</v>
      </c>
      <c r="C258" s="735">
        <v>23900</v>
      </c>
      <c r="D258" s="735">
        <v>18400</v>
      </c>
      <c r="E258" s="735">
        <v>21400</v>
      </c>
      <c r="F258" s="735">
        <v>20100</v>
      </c>
      <c r="G258" s="735">
        <v>18200</v>
      </c>
      <c r="I258" s="689"/>
      <c r="J258" s="689"/>
      <c r="K258" s="689"/>
      <c r="L258" s="689"/>
      <c r="M258" s="689"/>
      <c r="N258" s="689"/>
      <c r="O258" s="689"/>
      <c r="P258" s="689"/>
      <c r="Q258" s="689"/>
      <c r="R258" s="689"/>
      <c r="S258" s="689"/>
      <c r="T258" s="689"/>
      <c r="U258" s="689"/>
      <c r="V258" s="689"/>
      <c r="W258" s="689"/>
      <c r="X258" s="689"/>
      <c r="Y258" s="689"/>
      <c r="Z258" s="689"/>
      <c r="AA258" s="689"/>
      <c r="AB258" s="689"/>
      <c r="AC258" s="689"/>
      <c r="AD258" s="689"/>
      <c r="AE258" s="689"/>
      <c r="AF258" s="689"/>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c r="BG258" s="689"/>
      <c r="BH258" s="689"/>
      <c r="BI258" s="689"/>
      <c r="BJ258" s="689"/>
      <c r="BK258" s="689"/>
      <c r="BL258" s="689"/>
      <c r="BM258" s="689"/>
      <c r="BN258" s="689"/>
      <c r="BO258" s="689"/>
      <c r="BP258" s="689"/>
      <c r="BQ258" s="689"/>
      <c r="BR258" s="689"/>
      <c r="BS258" s="689"/>
      <c r="BT258" s="689"/>
      <c r="BU258" s="689"/>
      <c r="BV258" s="689"/>
    </row>
    <row r="259" spans="1:74" s="389" customFormat="1">
      <c r="A259" s="734">
        <v>2016</v>
      </c>
      <c r="B259" s="735">
        <v>20900</v>
      </c>
      <c r="C259" s="735">
        <v>23700</v>
      </c>
      <c r="D259" s="735">
        <v>19200</v>
      </c>
      <c r="E259" s="735">
        <v>21700</v>
      </c>
      <c r="F259" s="735">
        <v>21300</v>
      </c>
      <c r="G259" s="735">
        <v>17800</v>
      </c>
      <c r="I259" s="689"/>
      <c r="J259" s="689"/>
      <c r="K259" s="689"/>
      <c r="L259" s="689"/>
      <c r="M259" s="689"/>
      <c r="N259" s="689"/>
      <c r="O259" s="689"/>
      <c r="P259" s="689"/>
      <c r="Q259" s="689"/>
      <c r="R259" s="689"/>
      <c r="S259" s="689"/>
      <c r="T259" s="689"/>
      <c r="U259" s="689"/>
      <c r="V259" s="689"/>
      <c r="W259" s="689"/>
      <c r="X259" s="689"/>
      <c r="Y259" s="689"/>
      <c r="Z259" s="689"/>
      <c r="AA259" s="689"/>
      <c r="AB259" s="689"/>
      <c r="AC259" s="689"/>
      <c r="AD259" s="689"/>
      <c r="AE259" s="689"/>
      <c r="AF259" s="689"/>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c r="BG259" s="689"/>
      <c r="BH259" s="689"/>
      <c r="BI259" s="689"/>
      <c r="BJ259" s="689"/>
      <c r="BK259" s="689"/>
      <c r="BL259" s="689"/>
      <c r="BM259" s="689"/>
      <c r="BN259" s="689"/>
      <c r="BO259" s="689"/>
      <c r="BP259" s="689"/>
      <c r="BQ259" s="689"/>
      <c r="BR259" s="689"/>
      <c r="BS259" s="689"/>
      <c r="BT259" s="689"/>
      <c r="BU259" s="689"/>
      <c r="BV259" s="689"/>
    </row>
    <row r="260" spans="1:74" s="389" customFormat="1">
      <c r="A260" s="734">
        <v>2015</v>
      </c>
      <c r="B260" s="735">
        <v>20200</v>
      </c>
      <c r="C260" s="735">
        <v>22200</v>
      </c>
      <c r="D260" s="735">
        <v>20300</v>
      </c>
      <c r="E260" s="735">
        <v>20800</v>
      </c>
      <c r="F260" s="735">
        <v>20500</v>
      </c>
      <c r="G260" s="735">
        <v>17400</v>
      </c>
      <c r="I260" s="689"/>
      <c r="J260" s="689"/>
      <c r="K260" s="689"/>
      <c r="L260" s="689"/>
      <c r="M260" s="689"/>
      <c r="N260" s="689"/>
      <c r="O260" s="689"/>
      <c r="P260" s="689"/>
      <c r="Q260" s="689"/>
      <c r="R260" s="689"/>
      <c r="S260" s="689"/>
      <c r="T260" s="689"/>
      <c r="U260" s="689"/>
      <c r="V260" s="689"/>
      <c r="W260" s="689"/>
      <c r="X260" s="689"/>
      <c r="Y260" s="689"/>
      <c r="Z260" s="689"/>
      <c r="AA260" s="689"/>
      <c r="AB260" s="689"/>
      <c r="AC260" s="689"/>
      <c r="AD260" s="689"/>
      <c r="AE260" s="689"/>
      <c r="AF260" s="689"/>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c r="BG260" s="689"/>
      <c r="BH260" s="689"/>
      <c r="BI260" s="689"/>
      <c r="BJ260" s="689"/>
      <c r="BK260" s="689"/>
      <c r="BL260" s="689"/>
      <c r="BM260" s="689"/>
      <c r="BN260" s="689"/>
      <c r="BO260" s="689"/>
      <c r="BP260" s="689"/>
      <c r="BQ260" s="689"/>
      <c r="BR260" s="689"/>
      <c r="BS260" s="689"/>
      <c r="BT260" s="689"/>
      <c r="BU260" s="689"/>
      <c r="BV260" s="689"/>
    </row>
    <row r="261" spans="1:74" s="389" customFormat="1">
      <c r="A261" s="734">
        <v>2014</v>
      </c>
      <c r="B261" s="735">
        <v>20300</v>
      </c>
      <c r="C261" s="735">
        <v>22600</v>
      </c>
      <c r="D261" s="735">
        <v>21500</v>
      </c>
      <c r="E261" s="735">
        <v>20100</v>
      </c>
      <c r="F261" s="735">
        <v>20800</v>
      </c>
      <c r="G261" s="735">
        <v>17500</v>
      </c>
      <c r="I261" s="689"/>
      <c r="J261" s="689"/>
      <c r="K261" s="689"/>
      <c r="L261" s="689"/>
      <c r="M261" s="689"/>
      <c r="N261" s="689"/>
      <c r="O261" s="689"/>
      <c r="P261" s="689"/>
      <c r="Q261" s="689"/>
      <c r="R261" s="689"/>
      <c r="S261" s="689"/>
      <c r="T261" s="689"/>
      <c r="U261" s="689"/>
      <c r="V261" s="689"/>
      <c r="W261" s="689"/>
      <c r="X261" s="689"/>
      <c r="Y261" s="689"/>
      <c r="Z261" s="689"/>
      <c r="AA261" s="689"/>
      <c r="AB261" s="689"/>
      <c r="AC261" s="689"/>
      <c r="AD261" s="689"/>
      <c r="AE261" s="689"/>
      <c r="AF261" s="689"/>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c r="BG261" s="689"/>
      <c r="BH261" s="689"/>
      <c r="BI261" s="689"/>
      <c r="BJ261" s="689"/>
      <c r="BK261" s="689"/>
      <c r="BL261" s="689"/>
      <c r="BM261" s="689"/>
      <c r="BN261" s="689"/>
      <c r="BO261" s="689"/>
      <c r="BP261" s="689"/>
      <c r="BQ261" s="689"/>
      <c r="BR261" s="689"/>
      <c r="BS261" s="689"/>
      <c r="BT261" s="689"/>
      <c r="BU261" s="689"/>
      <c r="BV261" s="689"/>
    </row>
    <row r="262" spans="1:74" s="389" customFormat="1">
      <c r="A262" s="734">
        <v>2013</v>
      </c>
      <c r="B262" s="735">
        <v>19300</v>
      </c>
      <c r="C262" s="735">
        <v>21300</v>
      </c>
      <c r="D262" s="735">
        <v>20000</v>
      </c>
      <c r="E262" s="735">
        <v>19500</v>
      </c>
      <c r="F262" s="735">
        <v>19200</v>
      </c>
      <c r="G262" s="735">
        <v>17400</v>
      </c>
      <c r="I262" s="689"/>
      <c r="J262" s="689"/>
      <c r="K262" s="689"/>
      <c r="L262" s="689"/>
      <c r="M262" s="689"/>
      <c r="N262" s="689"/>
      <c r="O262" s="689"/>
      <c r="P262" s="689"/>
      <c r="Q262" s="689"/>
      <c r="R262" s="689"/>
      <c r="S262" s="689"/>
      <c r="T262" s="689"/>
      <c r="U262" s="689"/>
      <c r="V262" s="689"/>
      <c r="W262" s="689"/>
      <c r="X262" s="689"/>
      <c r="Y262" s="689"/>
      <c r="Z262" s="689"/>
      <c r="AA262" s="689"/>
      <c r="AB262" s="689"/>
      <c r="AC262" s="689"/>
      <c r="AD262" s="689"/>
      <c r="AE262" s="689"/>
      <c r="AF262" s="689"/>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c r="BG262" s="689"/>
      <c r="BH262" s="689"/>
      <c r="BI262" s="689"/>
      <c r="BJ262" s="689"/>
      <c r="BK262" s="689"/>
      <c r="BL262" s="689"/>
      <c r="BM262" s="689"/>
      <c r="BN262" s="689"/>
      <c r="BO262" s="689"/>
      <c r="BP262" s="689"/>
      <c r="BQ262" s="689"/>
      <c r="BR262" s="689"/>
      <c r="BS262" s="689"/>
      <c r="BT262" s="689"/>
      <c r="BU262" s="689"/>
      <c r="BV262" s="689"/>
    </row>
    <row r="263" spans="1:74" s="389" customFormat="1">
      <c r="A263" s="734">
        <v>2012</v>
      </c>
      <c r="B263" s="735">
        <v>18800</v>
      </c>
      <c r="C263" s="735">
        <v>20000</v>
      </c>
      <c r="D263" s="735">
        <v>18500</v>
      </c>
      <c r="E263" s="735">
        <v>18700</v>
      </c>
      <c r="F263" s="735">
        <v>20200</v>
      </c>
      <c r="G263" s="735">
        <v>16600</v>
      </c>
      <c r="I263" s="689"/>
      <c r="J263" s="689"/>
      <c r="K263" s="689"/>
      <c r="L263" s="689"/>
      <c r="M263" s="689"/>
      <c r="N263" s="689"/>
      <c r="O263" s="689"/>
      <c r="P263" s="689"/>
      <c r="Q263" s="689"/>
      <c r="R263" s="689"/>
      <c r="S263" s="689"/>
      <c r="T263" s="689"/>
      <c r="U263" s="689"/>
      <c r="V263" s="689"/>
      <c r="W263" s="689"/>
      <c r="X263" s="689"/>
      <c r="Y263" s="689"/>
      <c r="Z263" s="689"/>
      <c r="AA263" s="689"/>
      <c r="AB263" s="689"/>
      <c r="AC263" s="689"/>
      <c r="AD263" s="689"/>
      <c r="AE263" s="689"/>
      <c r="AF263" s="689"/>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c r="BG263" s="689"/>
      <c r="BH263" s="689"/>
      <c r="BI263" s="689"/>
      <c r="BJ263" s="689"/>
      <c r="BK263" s="689"/>
      <c r="BL263" s="689"/>
      <c r="BM263" s="689"/>
      <c r="BN263" s="689"/>
      <c r="BO263" s="689"/>
      <c r="BP263" s="689"/>
      <c r="BQ263" s="689"/>
      <c r="BR263" s="689"/>
      <c r="BS263" s="689"/>
      <c r="BT263" s="689"/>
      <c r="BU263" s="689"/>
      <c r="BV263" s="689"/>
    </row>
    <row r="264" spans="1:74" s="389" customFormat="1">
      <c r="A264" s="734">
        <v>2011</v>
      </c>
      <c r="B264" s="735">
        <v>18000</v>
      </c>
      <c r="C264" s="735">
        <v>19200</v>
      </c>
      <c r="D264" s="735">
        <v>17800</v>
      </c>
      <c r="E264" s="735">
        <v>19100</v>
      </c>
      <c r="F264" s="735">
        <v>19200</v>
      </c>
      <c r="G264" s="735">
        <v>15200</v>
      </c>
      <c r="J264" s="689"/>
      <c r="K264" s="689"/>
      <c r="L264" s="689"/>
      <c r="M264" s="689"/>
      <c r="N264" s="689"/>
      <c r="O264" s="689"/>
      <c r="P264" s="689"/>
      <c r="Q264" s="689"/>
      <c r="R264" s="689"/>
      <c r="S264" s="689"/>
      <c r="T264" s="689"/>
      <c r="U264" s="689"/>
      <c r="V264" s="689"/>
      <c r="W264" s="689"/>
      <c r="X264" s="689"/>
      <c r="Y264" s="689"/>
      <c r="Z264" s="689"/>
      <c r="AA264" s="689"/>
      <c r="AB264" s="689"/>
      <c r="AC264" s="689"/>
      <c r="AD264" s="689"/>
      <c r="AE264" s="689"/>
      <c r="AF264" s="689"/>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c r="BG264" s="689"/>
      <c r="BH264" s="689"/>
      <c r="BI264" s="689"/>
      <c r="BJ264" s="689"/>
      <c r="BK264" s="689"/>
      <c r="BL264" s="689"/>
      <c r="BM264" s="689"/>
      <c r="BN264" s="689"/>
      <c r="BO264" s="689"/>
      <c r="BP264" s="689"/>
      <c r="BQ264" s="689"/>
      <c r="BR264" s="689"/>
      <c r="BS264" s="689"/>
      <c r="BT264" s="689"/>
      <c r="BU264" s="689"/>
      <c r="BV264" s="689"/>
    </row>
    <row r="265" spans="1:74" s="389" customFormat="1">
      <c r="A265" s="734">
        <v>2010</v>
      </c>
      <c r="B265" s="735">
        <v>17400</v>
      </c>
      <c r="C265" s="735">
        <v>18200</v>
      </c>
      <c r="D265" s="735">
        <v>16400</v>
      </c>
      <c r="E265" s="735">
        <v>17300</v>
      </c>
      <c r="F265" s="735">
        <v>18200</v>
      </c>
      <c r="G265" s="735">
        <v>16400</v>
      </c>
      <c r="I265" s="689"/>
      <c r="J265" s="689"/>
      <c r="K265" s="689"/>
      <c r="L265" s="689"/>
      <c r="M265" s="689"/>
      <c r="N265" s="689"/>
      <c r="O265" s="689"/>
      <c r="P265" s="689"/>
      <c r="Q265" s="689"/>
      <c r="R265" s="689"/>
      <c r="S265" s="689"/>
      <c r="T265" s="689"/>
      <c r="U265" s="689"/>
      <c r="V265" s="689"/>
      <c r="W265" s="689"/>
      <c r="X265" s="689"/>
      <c r="Y265" s="689"/>
      <c r="Z265" s="689"/>
      <c r="AA265" s="689"/>
      <c r="AB265" s="689"/>
      <c r="AC265" s="689"/>
      <c r="AD265" s="689"/>
      <c r="AE265" s="689"/>
      <c r="AF265" s="689"/>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c r="BG265" s="689"/>
      <c r="BH265" s="689"/>
      <c r="BI265" s="689"/>
      <c r="BJ265" s="689"/>
      <c r="BK265" s="689"/>
      <c r="BL265" s="689"/>
      <c r="BM265" s="689"/>
      <c r="BN265" s="689"/>
      <c r="BO265" s="689"/>
      <c r="BP265" s="689"/>
      <c r="BQ265" s="689"/>
      <c r="BR265" s="689"/>
      <c r="BS265" s="689"/>
      <c r="BT265" s="689"/>
      <c r="BU265" s="689"/>
      <c r="BV265" s="689"/>
    </row>
    <row r="266" spans="1:74" s="389" customFormat="1">
      <c r="A266" s="734">
        <v>2009</v>
      </c>
      <c r="B266" s="735">
        <v>17800</v>
      </c>
      <c r="C266" s="735">
        <v>18300</v>
      </c>
      <c r="D266" s="735">
        <v>17000</v>
      </c>
      <c r="E266" s="735">
        <v>18600</v>
      </c>
      <c r="F266" s="735">
        <v>18100</v>
      </c>
      <c r="G266" s="735">
        <v>16800</v>
      </c>
      <c r="I266" s="689"/>
      <c r="J266" s="689"/>
      <c r="K266" s="689"/>
      <c r="L266" s="689"/>
      <c r="M266" s="689"/>
      <c r="N266" s="689"/>
      <c r="O266" s="689"/>
      <c r="P266" s="689"/>
      <c r="Q266" s="689"/>
      <c r="R266" s="689"/>
      <c r="S266" s="689"/>
      <c r="T266" s="689"/>
      <c r="U266" s="689"/>
      <c r="V266" s="689"/>
      <c r="W266" s="689"/>
      <c r="X266" s="689"/>
      <c r="Y266" s="689"/>
      <c r="Z266" s="689"/>
      <c r="AA266" s="689"/>
      <c r="AB266" s="689"/>
      <c r="AC266" s="689"/>
      <c r="AD266" s="689"/>
      <c r="AE266" s="689"/>
      <c r="AF266" s="689"/>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c r="BG266" s="689"/>
      <c r="BH266" s="689"/>
      <c r="BI266" s="689"/>
      <c r="BJ266" s="689"/>
      <c r="BK266" s="689"/>
      <c r="BL266" s="689"/>
      <c r="BM266" s="689"/>
      <c r="BN266" s="689"/>
      <c r="BO266" s="689"/>
      <c r="BP266" s="689"/>
      <c r="BQ266" s="689"/>
      <c r="BR266" s="689"/>
      <c r="BS266" s="689"/>
      <c r="BT266" s="689"/>
      <c r="BU266" s="689"/>
      <c r="BV266" s="689"/>
    </row>
    <row r="267" spans="1:74" s="389" customFormat="1">
      <c r="A267" s="734">
        <v>2008</v>
      </c>
      <c r="B267" s="735">
        <v>17900</v>
      </c>
      <c r="C267" s="735">
        <v>17200</v>
      </c>
      <c r="D267" s="735">
        <v>17600</v>
      </c>
      <c r="E267" s="735">
        <v>18400</v>
      </c>
      <c r="F267" s="735">
        <v>18500</v>
      </c>
      <c r="G267" s="735">
        <v>17400</v>
      </c>
      <c r="I267" s="689"/>
      <c r="J267" s="689"/>
      <c r="K267" s="689"/>
      <c r="L267" s="689"/>
      <c r="M267" s="689"/>
      <c r="N267" s="689"/>
      <c r="O267" s="689"/>
      <c r="P267" s="689"/>
      <c r="Q267" s="689"/>
      <c r="R267" s="689"/>
      <c r="S267" s="689"/>
      <c r="T267" s="689"/>
      <c r="U267" s="689"/>
      <c r="V267" s="689"/>
      <c r="W267" s="689"/>
      <c r="X267" s="689"/>
      <c r="Y267" s="689"/>
      <c r="Z267" s="689"/>
      <c r="AA267" s="689"/>
      <c r="AB267" s="689"/>
      <c r="AC267" s="689"/>
      <c r="AD267" s="689"/>
      <c r="AE267" s="689"/>
      <c r="AF267" s="689"/>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c r="BG267" s="689"/>
      <c r="BH267" s="689"/>
      <c r="BI267" s="689"/>
      <c r="BJ267" s="689"/>
      <c r="BK267" s="689"/>
      <c r="BL267" s="689"/>
      <c r="BM267" s="689"/>
      <c r="BN267" s="689"/>
      <c r="BO267" s="689"/>
      <c r="BP267" s="689"/>
      <c r="BQ267" s="689"/>
      <c r="BR267" s="689"/>
      <c r="BS267" s="689"/>
      <c r="BT267" s="689"/>
      <c r="BU267" s="689"/>
      <c r="BV267" s="689"/>
    </row>
    <row r="268" spans="1:74" s="389" customFormat="1">
      <c r="A268" s="734">
        <v>2007</v>
      </c>
      <c r="B268" s="735">
        <v>16600</v>
      </c>
      <c r="C268" s="735">
        <v>16400</v>
      </c>
      <c r="D268" s="735">
        <v>16500</v>
      </c>
      <c r="E268" s="735">
        <v>17200</v>
      </c>
      <c r="F268" s="735">
        <v>17800</v>
      </c>
      <c r="G268" s="735">
        <v>14800</v>
      </c>
      <c r="H268" s="730"/>
      <c r="I268" s="689"/>
      <c r="J268" s="689"/>
      <c r="K268" s="689"/>
      <c r="L268" s="689"/>
      <c r="M268" s="689"/>
      <c r="N268" s="689"/>
      <c r="O268" s="689"/>
      <c r="P268" s="689"/>
      <c r="Q268" s="689"/>
      <c r="R268" s="689"/>
      <c r="S268" s="689"/>
      <c r="T268" s="689"/>
      <c r="U268" s="689"/>
      <c r="V268" s="689"/>
      <c r="W268" s="689"/>
      <c r="X268" s="689"/>
      <c r="Y268" s="689"/>
      <c r="Z268" s="689"/>
      <c r="AA268" s="689"/>
      <c r="AB268" s="689"/>
      <c r="AC268" s="689"/>
      <c r="AD268" s="689"/>
      <c r="AE268" s="689"/>
      <c r="AF268" s="689"/>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c r="BG268" s="689"/>
      <c r="BH268" s="689"/>
      <c r="BI268" s="689"/>
      <c r="BJ268" s="689"/>
      <c r="BK268" s="689"/>
      <c r="BL268" s="689"/>
      <c r="BM268" s="689"/>
      <c r="BN268" s="689"/>
      <c r="BO268" s="689"/>
      <c r="BP268" s="689"/>
      <c r="BQ268" s="689"/>
      <c r="BR268" s="689"/>
      <c r="BS268" s="689"/>
      <c r="BT268" s="689"/>
      <c r="BU268" s="689"/>
      <c r="BV268" s="689"/>
    </row>
    <row r="269" spans="1:74" s="389" customFormat="1">
      <c r="A269" s="734">
        <v>2006</v>
      </c>
      <c r="B269" s="735">
        <v>15800</v>
      </c>
      <c r="C269" s="735">
        <v>14900</v>
      </c>
      <c r="D269" s="735">
        <v>16300</v>
      </c>
      <c r="E269" s="735">
        <v>16500</v>
      </c>
      <c r="F269" s="735">
        <v>16200</v>
      </c>
      <c r="G269" s="735">
        <v>15000</v>
      </c>
      <c r="H269" s="730"/>
      <c r="I269" s="689"/>
      <c r="J269" s="689"/>
      <c r="K269" s="689"/>
      <c r="L269" s="689"/>
      <c r="M269" s="689"/>
      <c r="N269" s="689"/>
      <c r="O269" s="689"/>
      <c r="P269" s="689"/>
      <c r="Q269" s="689"/>
      <c r="R269" s="689"/>
      <c r="S269" s="689"/>
      <c r="T269" s="689"/>
      <c r="U269" s="689"/>
      <c r="V269" s="689"/>
      <c r="W269" s="689"/>
      <c r="X269" s="689"/>
      <c r="Y269" s="689"/>
      <c r="Z269" s="689"/>
      <c r="AA269" s="689"/>
      <c r="AB269" s="689"/>
      <c r="AC269" s="689"/>
      <c r="AD269" s="689"/>
      <c r="AE269" s="689"/>
      <c r="AF269" s="689"/>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c r="BG269" s="689"/>
      <c r="BH269" s="689"/>
      <c r="BI269" s="689"/>
      <c r="BJ269" s="689"/>
      <c r="BK269" s="689"/>
      <c r="BL269" s="689"/>
      <c r="BM269" s="689"/>
      <c r="BN269" s="689"/>
      <c r="BO269" s="689"/>
      <c r="BP269" s="689"/>
      <c r="BQ269" s="689"/>
      <c r="BR269" s="689"/>
      <c r="BS269" s="689"/>
      <c r="BT269" s="689"/>
      <c r="BU269" s="689"/>
      <c r="BV269" s="689"/>
    </row>
    <row r="270" spans="1:74" s="389" customFormat="1">
      <c r="B270" s="730"/>
      <c r="E270" s="730"/>
      <c r="F270" s="730"/>
      <c r="G270" s="730"/>
      <c r="H270" s="730"/>
      <c r="I270" s="689"/>
      <c r="J270" s="689"/>
      <c r="K270" s="689"/>
      <c r="L270" s="689"/>
      <c r="M270" s="689"/>
      <c r="N270" s="689"/>
      <c r="O270" s="689"/>
      <c r="P270" s="689"/>
      <c r="Q270" s="689"/>
      <c r="R270" s="689"/>
      <c r="S270" s="689"/>
      <c r="T270" s="689"/>
      <c r="U270" s="689"/>
      <c r="V270" s="689"/>
      <c r="W270" s="689"/>
      <c r="X270" s="689"/>
      <c r="Y270" s="689"/>
      <c r="Z270" s="689"/>
      <c r="AA270" s="689"/>
      <c r="AB270" s="689"/>
      <c r="AC270" s="689"/>
      <c r="AD270" s="689"/>
      <c r="AE270" s="689"/>
      <c r="AF270" s="689"/>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c r="BG270" s="689"/>
      <c r="BH270" s="689"/>
      <c r="BI270" s="689"/>
      <c r="BJ270" s="689"/>
      <c r="BK270" s="689"/>
      <c r="BL270" s="689"/>
      <c r="BM270" s="689"/>
      <c r="BN270" s="689"/>
      <c r="BO270" s="689"/>
      <c r="BP270" s="689"/>
      <c r="BQ270" s="689"/>
      <c r="BR270" s="689"/>
      <c r="BS270" s="689"/>
      <c r="BT270" s="689"/>
      <c r="BU270" s="689"/>
      <c r="BV270" s="689"/>
    </row>
    <row r="271" spans="1:74" s="389" customFormat="1">
      <c r="B271" s="730"/>
      <c r="D271" s="730"/>
      <c r="E271" s="730"/>
      <c r="F271" s="730"/>
      <c r="G271" s="730"/>
      <c r="H271" s="730"/>
      <c r="I271" s="689"/>
      <c r="J271" s="689"/>
      <c r="K271" s="689"/>
      <c r="L271" s="689"/>
      <c r="M271" s="689"/>
      <c r="N271" s="689"/>
      <c r="O271" s="689"/>
      <c r="P271" s="689"/>
      <c r="Q271" s="689"/>
      <c r="R271" s="689"/>
      <c r="S271" s="689"/>
      <c r="T271" s="689"/>
      <c r="U271" s="689"/>
      <c r="V271" s="689"/>
      <c r="W271" s="689"/>
      <c r="X271" s="689"/>
      <c r="Y271" s="689"/>
      <c r="Z271" s="689"/>
      <c r="AA271" s="689"/>
      <c r="AB271" s="689"/>
      <c r="AC271" s="689"/>
      <c r="AD271" s="689"/>
      <c r="AE271" s="689"/>
      <c r="AF271" s="689"/>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c r="BG271" s="689"/>
      <c r="BH271" s="689"/>
      <c r="BI271" s="689"/>
      <c r="BJ271" s="689"/>
      <c r="BK271" s="689"/>
      <c r="BL271" s="689"/>
      <c r="BM271" s="689"/>
      <c r="BN271" s="689"/>
      <c r="BO271" s="689"/>
      <c r="BP271" s="689"/>
      <c r="BQ271" s="689"/>
      <c r="BR271" s="689"/>
      <c r="BS271" s="689"/>
      <c r="BT271" s="689"/>
      <c r="BU271" s="689"/>
      <c r="BV271" s="689"/>
    </row>
    <row r="272" spans="1:74" s="389" customFormat="1">
      <c r="B272" s="730"/>
      <c r="C272" s="730"/>
      <c r="D272" s="730"/>
      <c r="E272" s="730"/>
      <c r="F272" s="730"/>
      <c r="G272" s="730"/>
      <c r="H272" s="730"/>
      <c r="I272" s="689"/>
      <c r="J272" s="689"/>
      <c r="K272" s="689"/>
      <c r="L272" s="689"/>
      <c r="M272" s="689"/>
      <c r="N272" s="689"/>
      <c r="O272" s="689"/>
      <c r="P272" s="689"/>
      <c r="Q272" s="689"/>
      <c r="R272" s="689"/>
      <c r="S272" s="689"/>
      <c r="T272" s="689"/>
      <c r="U272" s="689"/>
      <c r="V272" s="689"/>
      <c r="W272" s="689"/>
      <c r="X272" s="689"/>
      <c r="Y272" s="689"/>
      <c r="Z272" s="689"/>
      <c r="AA272" s="689"/>
      <c r="AB272" s="689"/>
      <c r="AC272" s="689"/>
      <c r="AD272" s="689"/>
      <c r="AE272" s="689"/>
      <c r="AF272" s="689"/>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c r="BG272" s="689"/>
      <c r="BH272" s="689"/>
      <c r="BI272" s="689"/>
      <c r="BJ272" s="689"/>
      <c r="BK272" s="689"/>
      <c r="BL272" s="689"/>
      <c r="BM272" s="689"/>
      <c r="BN272" s="689"/>
      <c r="BO272" s="689"/>
      <c r="BP272" s="689"/>
      <c r="BQ272" s="689"/>
      <c r="BR272" s="689"/>
      <c r="BS272" s="689"/>
      <c r="BT272" s="689"/>
      <c r="BU272" s="689"/>
      <c r="BV272" s="689"/>
    </row>
    <row r="273" spans="1:74" s="389" customFormat="1">
      <c r="B273" s="730"/>
      <c r="C273" s="730"/>
      <c r="D273" s="730"/>
      <c r="E273" s="730"/>
      <c r="F273" s="730"/>
      <c r="G273" s="730"/>
      <c r="H273" s="730"/>
      <c r="I273" s="689"/>
      <c r="J273" s="689"/>
      <c r="K273" s="689"/>
      <c r="L273" s="689"/>
      <c r="M273" s="689"/>
      <c r="N273" s="689"/>
      <c r="O273" s="689"/>
      <c r="P273" s="689"/>
      <c r="Q273" s="689"/>
      <c r="R273" s="689"/>
      <c r="S273" s="689"/>
      <c r="T273" s="689"/>
      <c r="U273" s="689"/>
      <c r="V273" s="689"/>
      <c r="W273" s="689"/>
      <c r="X273" s="689"/>
      <c r="Y273" s="689"/>
      <c r="Z273" s="689"/>
      <c r="AA273" s="689"/>
      <c r="AB273" s="689"/>
      <c r="AC273" s="689"/>
      <c r="AD273" s="689"/>
      <c r="AE273" s="689"/>
      <c r="AF273" s="689"/>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c r="BG273" s="689"/>
      <c r="BH273" s="689"/>
      <c r="BI273" s="689"/>
      <c r="BJ273" s="689"/>
      <c r="BK273" s="689"/>
      <c r="BL273" s="689"/>
      <c r="BM273" s="689"/>
      <c r="BN273" s="689"/>
      <c r="BO273" s="689"/>
      <c r="BP273" s="689"/>
      <c r="BQ273" s="689"/>
      <c r="BR273" s="689"/>
      <c r="BS273" s="689"/>
      <c r="BT273" s="689"/>
      <c r="BU273" s="689"/>
      <c r="BV273" s="689"/>
    </row>
    <row r="274" spans="1:74" s="389" customFormat="1">
      <c r="A274" s="730"/>
      <c r="B274" s="730"/>
      <c r="C274" s="730"/>
      <c r="D274" s="730"/>
      <c r="E274" s="730"/>
      <c r="F274" s="730"/>
      <c r="G274" s="730"/>
      <c r="I274" s="689"/>
      <c r="J274" s="689"/>
      <c r="K274" s="689"/>
      <c r="L274" s="689"/>
      <c r="M274" s="689"/>
      <c r="N274" s="689"/>
      <c r="O274" s="689"/>
      <c r="P274" s="689"/>
      <c r="Q274" s="689"/>
      <c r="R274" s="689"/>
      <c r="S274" s="689"/>
      <c r="T274" s="689"/>
      <c r="U274" s="689"/>
      <c r="V274" s="689"/>
      <c r="W274" s="689"/>
      <c r="X274" s="689"/>
      <c r="Y274" s="689"/>
      <c r="Z274" s="689"/>
      <c r="AA274" s="689"/>
      <c r="AB274" s="689"/>
      <c r="AC274" s="689"/>
      <c r="AD274" s="689"/>
      <c r="AE274" s="689"/>
      <c r="AF274" s="689"/>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c r="BG274" s="689"/>
      <c r="BH274" s="689"/>
      <c r="BI274" s="689"/>
      <c r="BJ274" s="689"/>
      <c r="BK274" s="689"/>
      <c r="BL274" s="689"/>
      <c r="BM274" s="689"/>
      <c r="BN274" s="689"/>
      <c r="BO274" s="689"/>
      <c r="BP274" s="689"/>
      <c r="BQ274" s="689"/>
      <c r="BR274" s="689"/>
      <c r="BS274" s="689"/>
      <c r="BT274" s="689"/>
      <c r="BU274" s="689"/>
      <c r="BV274" s="689"/>
    </row>
    <row r="275" spans="1:74" s="389" customFormat="1">
      <c r="A275" s="730"/>
      <c r="B275" s="730"/>
      <c r="C275" s="730"/>
      <c r="D275" s="730"/>
      <c r="E275" s="730"/>
      <c r="F275" s="730"/>
      <c r="G275" s="730"/>
      <c r="I275" s="689"/>
      <c r="J275" s="689"/>
      <c r="K275" s="689"/>
      <c r="L275" s="689"/>
      <c r="M275" s="689"/>
      <c r="N275" s="689"/>
      <c r="O275" s="689"/>
      <c r="P275" s="689"/>
      <c r="Q275" s="689"/>
      <c r="R275" s="689"/>
      <c r="S275" s="689"/>
      <c r="T275" s="689"/>
      <c r="U275" s="689"/>
      <c r="V275" s="689"/>
      <c r="W275" s="689"/>
      <c r="X275" s="689"/>
      <c r="Y275" s="689"/>
      <c r="Z275" s="689"/>
      <c r="AA275" s="689"/>
      <c r="AB275" s="689"/>
      <c r="AC275" s="689"/>
      <c r="AD275" s="689"/>
      <c r="AE275" s="689"/>
      <c r="AF275" s="689"/>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c r="BG275" s="689"/>
      <c r="BH275" s="689"/>
      <c r="BI275" s="689"/>
      <c r="BJ275" s="689"/>
      <c r="BK275" s="689"/>
      <c r="BL275" s="689"/>
      <c r="BM275" s="689"/>
      <c r="BN275" s="689"/>
      <c r="BO275" s="689"/>
      <c r="BP275" s="689"/>
      <c r="BQ275" s="689"/>
      <c r="BR275" s="689"/>
      <c r="BS275" s="689"/>
      <c r="BT275" s="689"/>
      <c r="BU275" s="689"/>
      <c r="BV275" s="689"/>
    </row>
    <row r="276" spans="1:74" s="389" customFormat="1" ht="13.5" customHeight="1">
      <c r="A276" s="718"/>
      <c r="I276" s="689"/>
      <c r="J276" s="689"/>
      <c r="K276" s="689"/>
      <c r="L276" s="689"/>
      <c r="M276" s="689"/>
      <c r="N276" s="689"/>
      <c r="O276" s="689"/>
      <c r="P276" s="689"/>
      <c r="Q276" s="689"/>
      <c r="R276" s="689"/>
      <c r="S276" s="689"/>
      <c r="T276" s="689"/>
      <c r="U276" s="689"/>
      <c r="V276" s="689"/>
      <c r="W276" s="689"/>
      <c r="X276" s="689"/>
      <c r="Y276" s="689"/>
      <c r="Z276" s="689"/>
      <c r="AA276" s="689"/>
      <c r="AB276" s="689"/>
      <c r="AC276" s="689"/>
      <c r="AD276" s="689"/>
      <c r="AE276" s="689"/>
      <c r="AF276" s="689"/>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c r="BG276" s="689"/>
      <c r="BH276" s="689"/>
      <c r="BI276" s="689"/>
      <c r="BJ276" s="689"/>
      <c r="BK276" s="689"/>
      <c r="BL276" s="689"/>
      <c r="BM276" s="689"/>
      <c r="BN276" s="689"/>
      <c r="BO276" s="689"/>
      <c r="BP276" s="689"/>
      <c r="BQ276" s="689"/>
      <c r="BR276" s="689"/>
      <c r="BS276" s="689"/>
      <c r="BT276" s="689"/>
      <c r="BU276" s="689"/>
      <c r="BV276" s="689"/>
    </row>
    <row r="277" spans="1:74" s="389" customFormat="1" ht="20.399999999999999">
      <c r="A277" s="718"/>
      <c r="I277" s="689"/>
      <c r="J277" s="689"/>
      <c r="K277" s="689"/>
      <c r="L277" s="689"/>
      <c r="M277" s="689"/>
      <c r="N277" s="689"/>
      <c r="O277" s="689"/>
      <c r="P277" s="689"/>
      <c r="Q277" s="689"/>
      <c r="R277" s="689"/>
      <c r="S277" s="689"/>
      <c r="T277" s="689"/>
      <c r="U277" s="689"/>
      <c r="V277" s="689"/>
      <c r="W277" s="689"/>
      <c r="X277" s="689"/>
      <c r="Y277" s="689"/>
      <c r="Z277" s="689"/>
      <c r="AA277" s="689"/>
      <c r="AB277" s="689"/>
      <c r="AC277" s="689"/>
      <c r="AD277" s="689"/>
      <c r="AE277" s="689"/>
      <c r="AF277" s="689"/>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c r="BG277" s="689"/>
      <c r="BH277" s="689"/>
      <c r="BI277" s="689"/>
      <c r="BJ277" s="689"/>
      <c r="BK277" s="689"/>
      <c r="BL277" s="689"/>
      <c r="BM277" s="689"/>
      <c r="BN277" s="689"/>
      <c r="BO277" s="689"/>
      <c r="BP277" s="689"/>
      <c r="BQ277" s="689"/>
      <c r="BR277" s="689"/>
      <c r="BS277" s="689"/>
      <c r="BT277" s="689"/>
      <c r="BU277" s="689"/>
      <c r="BV277" s="689"/>
    </row>
    <row r="278" spans="1:74" s="389" customFormat="1">
      <c r="I278" s="689"/>
      <c r="J278" s="689"/>
      <c r="K278" s="689"/>
      <c r="L278" s="689"/>
      <c r="M278" s="689"/>
      <c r="N278" s="689"/>
      <c r="O278" s="689"/>
      <c r="P278" s="689"/>
      <c r="Q278" s="689"/>
      <c r="R278" s="689"/>
      <c r="S278" s="689"/>
      <c r="T278" s="689"/>
      <c r="U278" s="689"/>
      <c r="V278" s="689"/>
      <c r="W278" s="689"/>
      <c r="X278" s="689"/>
      <c r="Y278" s="689"/>
      <c r="Z278" s="689"/>
      <c r="AA278" s="689"/>
      <c r="AB278" s="689"/>
      <c r="AC278" s="689"/>
      <c r="AD278" s="689"/>
      <c r="AE278" s="689"/>
      <c r="AF278" s="689"/>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c r="BG278" s="689"/>
      <c r="BH278" s="689"/>
      <c r="BI278" s="689"/>
      <c r="BJ278" s="689"/>
      <c r="BK278" s="689"/>
      <c r="BL278" s="689"/>
      <c r="BM278" s="689"/>
      <c r="BN278" s="689"/>
      <c r="BO278" s="689"/>
      <c r="BP278" s="689"/>
      <c r="BQ278" s="689"/>
      <c r="BR278" s="689"/>
      <c r="BS278" s="689"/>
      <c r="BT278" s="689"/>
      <c r="BU278" s="689"/>
      <c r="BV278" s="689"/>
    </row>
    <row r="279" spans="1:74" s="389" customFormat="1">
      <c r="I279" s="689"/>
      <c r="J279" s="689"/>
      <c r="K279" s="689"/>
      <c r="L279" s="689"/>
      <c r="M279" s="689"/>
      <c r="N279" s="689"/>
      <c r="O279" s="689"/>
      <c r="P279" s="689"/>
      <c r="Q279" s="689"/>
      <c r="R279" s="689"/>
      <c r="S279" s="689"/>
      <c r="T279" s="689"/>
      <c r="U279" s="689"/>
      <c r="V279" s="689"/>
      <c r="W279" s="689"/>
      <c r="X279" s="689"/>
      <c r="Y279" s="689"/>
      <c r="Z279" s="689"/>
      <c r="AA279" s="689"/>
      <c r="AB279" s="689"/>
      <c r="AC279" s="689"/>
      <c r="AD279" s="689"/>
      <c r="AE279" s="689"/>
      <c r="AF279" s="689"/>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c r="BG279" s="689"/>
      <c r="BH279" s="689"/>
      <c r="BI279" s="689"/>
      <c r="BJ279" s="689"/>
      <c r="BK279" s="689"/>
      <c r="BL279" s="689"/>
      <c r="BM279" s="689"/>
      <c r="BN279" s="689"/>
      <c r="BO279" s="689"/>
      <c r="BP279" s="689"/>
      <c r="BQ279" s="689"/>
      <c r="BR279" s="689"/>
      <c r="BS279" s="689"/>
      <c r="BT279" s="689"/>
      <c r="BU279" s="689"/>
      <c r="BV279" s="689"/>
    </row>
    <row r="280" spans="1:74" s="389" customFormat="1">
      <c r="I280" s="689"/>
      <c r="J280" s="689"/>
      <c r="K280" s="689"/>
      <c r="L280" s="689"/>
      <c r="M280" s="689"/>
      <c r="N280" s="689"/>
      <c r="O280" s="689"/>
      <c r="P280" s="689"/>
      <c r="Q280" s="689"/>
      <c r="R280" s="689"/>
      <c r="S280" s="689"/>
      <c r="T280" s="689"/>
      <c r="U280" s="689"/>
      <c r="V280" s="689"/>
      <c r="W280" s="689"/>
      <c r="X280" s="689"/>
      <c r="Y280" s="689"/>
      <c r="Z280" s="689"/>
      <c r="AA280" s="689"/>
      <c r="AB280" s="689"/>
      <c r="AC280" s="689"/>
      <c r="AD280" s="689"/>
      <c r="AE280" s="689"/>
      <c r="AF280" s="689"/>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c r="BG280" s="689"/>
      <c r="BH280" s="689"/>
      <c r="BI280" s="689"/>
      <c r="BJ280" s="689"/>
      <c r="BK280" s="689"/>
      <c r="BL280" s="689"/>
      <c r="BM280" s="689"/>
      <c r="BN280" s="689"/>
      <c r="BO280" s="689"/>
      <c r="BP280" s="689"/>
      <c r="BQ280" s="689"/>
      <c r="BR280" s="689"/>
      <c r="BS280" s="689"/>
      <c r="BT280" s="689"/>
      <c r="BU280" s="689"/>
      <c r="BV280" s="689"/>
    </row>
    <row r="281" spans="1:74" s="389" customFormat="1" ht="15.6">
      <c r="I281" s="689"/>
      <c r="J281" s="781"/>
      <c r="K281" s="689"/>
      <c r="L281" s="689"/>
      <c r="M281" s="689"/>
      <c r="N281" s="689"/>
      <c r="O281" s="689"/>
      <c r="P281" s="689"/>
      <c r="Q281" s="689"/>
      <c r="R281" s="689"/>
      <c r="S281" s="689"/>
      <c r="T281" s="689"/>
      <c r="U281" s="689"/>
      <c r="V281" s="689"/>
      <c r="W281" s="689"/>
      <c r="X281" s="689"/>
      <c r="Y281" s="689"/>
      <c r="Z281" s="689"/>
      <c r="AA281" s="689"/>
      <c r="AB281" s="689"/>
      <c r="AC281" s="689"/>
      <c r="AD281" s="689"/>
      <c r="AE281" s="689"/>
      <c r="AF281" s="689"/>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c r="BG281" s="689"/>
      <c r="BH281" s="689"/>
      <c r="BI281" s="689"/>
      <c r="BJ281" s="689"/>
      <c r="BK281" s="689"/>
      <c r="BL281" s="689"/>
      <c r="BM281" s="689"/>
      <c r="BN281" s="689"/>
      <c r="BO281" s="689"/>
      <c r="BP281" s="689"/>
      <c r="BQ281" s="689"/>
      <c r="BR281" s="689"/>
      <c r="BS281" s="689"/>
      <c r="BT281" s="689"/>
      <c r="BU281" s="689"/>
      <c r="BV281" s="689"/>
    </row>
    <row r="282" spans="1:74" s="389" customFormat="1">
      <c r="I282" s="689"/>
      <c r="J282" s="689"/>
      <c r="K282" s="689"/>
      <c r="L282" s="689"/>
      <c r="M282" s="689"/>
      <c r="N282" s="689"/>
      <c r="O282" s="689"/>
      <c r="P282" s="689"/>
      <c r="Q282" s="689"/>
      <c r="R282" s="689"/>
      <c r="S282" s="689"/>
      <c r="T282" s="689"/>
      <c r="U282" s="689"/>
      <c r="V282" s="689"/>
      <c r="W282" s="689"/>
      <c r="X282" s="689"/>
      <c r="Y282" s="689"/>
      <c r="Z282" s="689"/>
      <c r="AA282" s="689"/>
      <c r="AB282" s="689"/>
      <c r="AC282" s="689"/>
      <c r="AD282" s="689"/>
      <c r="AE282" s="689"/>
      <c r="AF282" s="689"/>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c r="BG282" s="689"/>
      <c r="BH282" s="689"/>
      <c r="BI282" s="689"/>
      <c r="BJ282" s="689"/>
      <c r="BK282" s="689"/>
      <c r="BL282" s="689"/>
      <c r="BM282" s="689"/>
      <c r="BN282" s="689"/>
      <c r="BO282" s="689"/>
      <c r="BP282" s="689"/>
      <c r="BQ282" s="689"/>
      <c r="BR282" s="689"/>
      <c r="BS282" s="689"/>
      <c r="BT282" s="689"/>
      <c r="BU282" s="689"/>
      <c r="BV282" s="689"/>
    </row>
    <row r="283" spans="1:74" s="389" customFormat="1">
      <c r="I283" s="689"/>
      <c r="J283" s="689"/>
      <c r="K283" s="689"/>
      <c r="L283" s="689"/>
      <c r="M283" s="689"/>
      <c r="N283" s="689"/>
      <c r="O283" s="689"/>
      <c r="P283" s="689"/>
      <c r="Q283" s="689"/>
      <c r="R283" s="689"/>
      <c r="S283" s="689"/>
      <c r="T283" s="689"/>
      <c r="U283" s="689"/>
      <c r="V283" s="689"/>
      <c r="W283" s="689"/>
      <c r="X283" s="689"/>
      <c r="Y283" s="689"/>
      <c r="Z283" s="689"/>
      <c r="AA283" s="689"/>
      <c r="AB283" s="689"/>
      <c r="AC283" s="689"/>
      <c r="AD283" s="689"/>
      <c r="AE283" s="689"/>
      <c r="AF283" s="689"/>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c r="BG283" s="689"/>
      <c r="BH283" s="689"/>
      <c r="BI283" s="689"/>
      <c r="BJ283" s="689"/>
      <c r="BK283" s="689"/>
      <c r="BL283" s="689"/>
      <c r="BM283" s="689"/>
      <c r="BN283" s="689"/>
      <c r="BO283" s="689"/>
      <c r="BP283" s="689"/>
      <c r="BQ283" s="689"/>
      <c r="BR283" s="689"/>
      <c r="BS283" s="689"/>
      <c r="BT283" s="689"/>
      <c r="BU283" s="689"/>
      <c r="BV283" s="689"/>
    </row>
    <row r="284" spans="1:74" s="389" customFormat="1">
      <c r="I284" s="689"/>
      <c r="J284" s="689"/>
      <c r="K284" s="689"/>
      <c r="L284" s="689"/>
      <c r="M284" s="689"/>
      <c r="N284" s="689"/>
      <c r="O284" s="689"/>
      <c r="P284" s="689"/>
      <c r="Q284" s="689"/>
      <c r="R284" s="689"/>
      <c r="S284" s="689"/>
      <c r="T284" s="689"/>
      <c r="U284" s="689"/>
      <c r="V284" s="689"/>
      <c r="W284" s="689"/>
      <c r="X284" s="689"/>
      <c r="Y284" s="689"/>
      <c r="Z284" s="689"/>
      <c r="AA284" s="689"/>
      <c r="AB284" s="689"/>
      <c r="AC284" s="689"/>
      <c r="AD284" s="689"/>
      <c r="AE284" s="689"/>
      <c r="AF284" s="689"/>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c r="BG284" s="689"/>
      <c r="BH284" s="689"/>
      <c r="BI284" s="689"/>
      <c r="BJ284" s="689"/>
      <c r="BK284" s="689"/>
      <c r="BL284" s="689"/>
      <c r="BM284" s="689"/>
      <c r="BN284" s="689"/>
      <c r="BO284" s="689"/>
      <c r="BP284" s="689"/>
      <c r="BQ284" s="689"/>
      <c r="BR284" s="689"/>
      <c r="BS284" s="689"/>
      <c r="BT284" s="689"/>
      <c r="BU284" s="689"/>
      <c r="BV284" s="689"/>
    </row>
    <row r="285" spans="1:74" s="389" customFormat="1">
      <c r="I285" s="689"/>
      <c r="J285" s="689"/>
      <c r="K285" s="689"/>
      <c r="L285" s="689"/>
      <c r="M285" s="689"/>
      <c r="N285" s="689"/>
      <c r="O285" s="689"/>
      <c r="P285" s="689"/>
      <c r="Q285" s="689"/>
      <c r="R285" s="689"/>
      <c r="S285" s="689"/>
      <c r="T285" s="689"/>
      <c r="U285" s="689"/>
      <c r="V285" s="689"/>
      <c r="W285" s="689"/>
      <c r="X285" s="689"/>
      <c r="Y285" s="689"/>
      <c r="Z285" s="689"/>
      <c r="AA285" s="689"/>
      <c r="AB285" s="689"/>
      <c r="AC285" s="689"/>
      <c r="AD285" s="689"/>
      <c r="AE285" s="689"/>
      <c r="AF285" s="689"/>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c r="BG285" s="689"/>
      <c r="BH285" s="689"/>
      <c r="BI285" s="689"/>
      <c r="BJ285" s="689"/>
      <c r="BK285" s="689"/>
      <c r="BL285" s="689"/>
      <c r="BM285" s="689"/>
      <c r="BN285" s="689"/>
      <c r="BO285" s="689"/>
      <c r="BP285" s="689"/>
      <c r="BQ285" s="689"/>
      <c r="BR285" s="689"/>
      <c r="BS285" s="689"/>
      <c r="BT285" s="689"/>
      <c r="BU285" s="689"/>
      <c r="BV285" s="689"/>
    </row>
    <row r="286" spans="1:74" s="389" customFormat="1">
      <c r="I286" s="689"/>
      <c r="J286" s="689"/>
      <c r="K286" s="689"/>
      <c r="L286" s="689"/>
      <c r="M286" s="689"/>
      <c r="N286" s="689"/>
      <c r="O286" s="689"/>
      <c r="P286" s="689"/>
      <c r="Q286" s="689"/>
      <c r="R286" s="689"/>
      <c r="S286" s="689"/>
      <c r="T286" s="689"/>
      <c r="U286" s="689"/>
      <c r="V286" s="689"/>
      <c r="W286" s="689"/>
      <c r="X286" s="689"/>
      <c r="Y286" s="689"/>
      <c r="Z286" s="689"/>
      <c r="AA286" s="689"/>
      <c r="AB286" s="689"/>
      <c r="AC286" s="689"/>
      <c r="AD286" s="689"/>
      <c r="AE286" s="689"/>
      <c r="AF286" s="689"/>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c r="BG286" s="689"/>
      <c r="BH286" s="689"/>
      <c r="BI286" s="689"/>
      <c r="BJ286" s="689"/>
      <c r="BK286" s="689"/>
      <c r="BL286" s="689"/>
      <c r="BM286" s="689"/>
      <c r="BN286" s="689"/>
      <c r="BO286" s="689"/>
      <c r="BP286" s="689"/>
      <c r="BQ286" s="689"/>
      <c r="BR286" s="689"/>
      <c r="BS286" s="689"/>
      <c r="BT286" s="689"/>
      <c r="BU286" s="689"/>
      <c r="BV286" s="689"/>
    </row>
    <row r="287" spans="1:74" s="389" customFormat="1">
      <c r="I287" s="689"/>
      <c r="J287" s="689"/>
      <c r="K287" s="689"/>
      <c r="L287" s="689"/>
      <c r="M287" s="689"/>
      <c r="N287" s="689"/>
      <c r="O287" s="689"/>
      <c r="P287" s="689"/>
      <c r="Q287" s="689"/>
      <c r="R287" s="689"/>
      <c r="S287" s="689"/>
      <c r="T287" s="689"/>
      <c r="U287" s="689"/>
      <c r="V287" s="689"/>
      <c r="W287" s="689"/>
      <c r="X287" s="689"/>
      <c r="Y287" s="689"/>
      <c r="Z287" s="689"/>
      <c r="AA287" s="689"/>
      <c r="AB287" s="689"/>
      <c r="AC287" s="689"/>
      <c r="AD287" s="689"/>
      <c r="AE287" s="689"/>
      <c r="AF287" s="689"/>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c r="BG287" s="689"/>
      <c r="BH287" s="689"/>
      <c r="BI287" s="689"/>
      <c r="BJ287" s="689"/>
      <c r="BK287" s="689"/>
      <c r="BL287" s="689"/>
      <c r="BM287" s="689"/>
      <c r="BN287" s="689"/>
      <c r="BO287" s="689"/>
      <c r="BP287" s="689"/>
      <c r="BQ287" s="689"/>
      <c r="BR287" s="689"/>
      <c r="BS287" s="689"/>
      <c r="BT287" s="689"/>
      <c r="BU287" s="689"/>
      <c r="BV287" s="689"/>
    </row>
    <row r="288" spans="1:74" s="389" customFormat="1">
      <c r="I288" s="689"/>
      <c r="J288" s="689"/>
      <c r="K288" s="689"/>
      <c r="L288" s="689"/>
      <c r="M288" s="689"/>
      <c r="N288" s="689"/>
      <c r="O288" s="689"/>
      <c r="P288" s="689"/>
      <c r="Q288" s="689"/>
      <c r="R288" s="689"/>
      <c r="S288" s="689"/>
      <c r="T288" s="689"/>
      <c r="U288" s="689"/>
      <c r="V288" s="689"/>
      <c r="W288" s="689"/>
      <c r="X288" s="689"/>
      <c r="Y288" s="689"/>
      <c r="Z288" s="689"/>
      <c r="AA288" s="689"/>
      <c r="AB288" s="689"/>
      <c r="AC288" s="689"/>
      <c r="AD288" s="689"/>
      <c r="AE288" s="689"/>
      <c r="AF288" s="689"/>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c r="BG288" s="689"/>
      <c r="BH288" s="689"/>
      <c r="BI288" s="689"/>
      <c r="BJ288" s="689"/>
      <c r="BK288" s="689"/>
      <c r="BL288" s="689"/>
      <c r="BM288" s="689"/>
      <c r="BN288" s="689"/>
      <c r="BO288" s="689"/>
      <c r="BP288" s="689"/>
      <c r="BQ288" s="689"/>
      <c r="BR288" s="689"/>
      <c r="BS288" s="689"/>
      <c r="BT288" s="689"/>
      <c r="BU288" s="689"/>
      <c r="BV288" s="689"/>
    </row>
    <row r="289" spans="1:74" s="389" customFormat="1">
      <c r="I289" s="689"/>
      <c r="J289" s="689"/>
      <c r="K289" s="689"/>
      <c r="L289" s="689"/>
      <c r="M289" s="689"/>
      <c r="N289" s="689"/>
      <c r="O289" s="689"/>
      <c r="P289" s="689"/>
      <c r="Q289" s="689"/>
      <c r="R289" s="689"/>
      <c r="S289" s="689"/>
      <c r="T289" s="689"/>
      <c r="U289" s="689"/>
      <c r="V289" s="689"/>
      <c r="W289" s="689"/>
      <c r="X289" s="689"/>
      <c r="Y289" s="689"/>
      <c r="Z289" s="689"/>
      <c r="AA289" s="689"/>
      <c r="AB289" s="689"/>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c r="BG289" s="689"/>
      <c r="BH289" s="689"/>
      <c r="BI289" s="689"/>
      <c r="BJ289" s="689"/>
      <c r="BK289" s="689"/>
      <c r="BL289" s="689"/>
      <c r="BM289" s="689"/>
      <c r="BN289" s="689"/>
      <c r="BO289" s="689"/>
      <c r="BP289" s="689"/>
      <c r="BQ289" s="689"/>
      <c r="BR289" s="689"/>
      <c r="BS289" s="689"/>
      <c r="BT289" s="689"/>
      <c r="BU289" s="689"/>
      <c r="BV289" s="689"/>
    </row>
    <row r="290" spans="1:74" s="389" customFormat="1">
      <c r="I290" s="689"/>
      <c r="J290" s="689"/>
      <c r="K290" s="689"/>
      <c r="L290" s="689"/>
      <c r="M290" s="689"/>
      <c r="N290" s="689"/>
      <c r="O290" s="689"/>
      <c r="P290" s="689"/>
      <c r="Q290" s="689"/>
      <c r="R290" s="689"/>
      <c r="S290" s="689"/>
      <c r="T290" s="689"/>
      <c r="U290" s="689"/>
      <c r="V290" s="689"/>
      <c r="W290" s="689"/>
      <c r="X290" s="689"/>
      <c r="Y290" s="689"/>
      <c r="Z290" s="689"/>
      <c r="AA290" s="689"/>
      <c r="AB290" s="689"/>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c r="BG290" s="689"/>
      <c r="BH290" s="689"/>
      <c r="BI290" s="689"/>
      <c r="BJ290" s="689"/>
      <c r="BK290" s="689"/>
      <c r="BL290" s="689"/>
      <c r="BM290" s="689"/>
      <c r="BN290" s="689"/>
      <c r="BO290" s="689"/>
      <c r="BP290" s="689"/>
      <c r="BQ290" s="689"/>
      <c r="BR290" s="689"/>
      <c r="BS290" s="689"/>
      <c r="BT290" s="689"/>
      <c r="BU290" s="689"/>
      <c r="BV290" s="689"/>
    </row>
    <row r="291" spans="1:74" s="389" customFormat="1">
      <c r="I291" s="689"/>
      <c r="J291" s="689"/>
      <c r="K291" s="689"/>
      <c r="L291" s="689"/>
      <c r="M291" s="689"/>
      <c r="N291" s="689"/>
      <c r="O291" s="689"/>
      <c r="P291" s="689"/>
      <c r="Q291" s="689"/>
      <c r="R291" s="689"/>
      <c r="S291" s="689"/>
      <c r="T291" s="689"/>
      <c r="U291" s="689"/>
      <c r="V291" s="689"/>
      <c r="W291" s="689"/>
      <c r="X291" s="689"/>
      <c r="Y291" s="689"/>
      <c r="Z291" s="689"/>
      <c r="AA291" s="689"/>
      <c r="AB291" s="689"/>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c r="BG291" s="689"/>
      <c r="BH291" s="689"/>
      <c r="BI291" s="689"/>
      <c r="BJ291" s="689"/>
      <c r="BK291" s="689"/>
      <c r="BL291" s="689"/>
      <c r="BM291" s="689"/>
      <c r="BN291" s="689"/>
      <c r="BO291" s="689"/>
      <c r="BP291" s="689"/>
      <c r="BQ291" s="689"/>
      <c r="BR291" s="689"/>
      <c r="BS291" s="689"/>
      <c r="BT291" s="689"/>
      <c r="BU291" s="689"/>
      <c r="BV291" s="689"/>
    </row>
    <row r="292" spans="1:74" s="389" customFormat="1">
      <c r="I292" s="689"/>
      <c r="J292" s="689"/>
      <c r="K292" s="689"/>
      <c r="L292" s="689"/>
      <c r="M292" s="689"/>
      <c r="N292" s="689"/>
      <c r="O292" s="689"/>
      <c r="P292" s="689"/>
      <c r="Q292" s="689"/>
      <c r="R292" s="689"/>
      <c r="S292" s="689"/>
      <c r="T292" s="689"/>
      <c r="U292" s="689"/>
      <c r="V292" s="689"/>
      <c r="W292" s="689"/>
      <c r="X292" s="689"/>
      <c r="Y292" s="689"/>
      <c r="Z292" s="689"/>
      <c r="AA292" s="689"/>
      <c r="AB292" s="689"/>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c r="BG292" s="689"/>
      <c r="BH292" s="689"/>
      <c r="BI292" s="689"/>
      <c r="BJ292" s="689"/>
      <c r="BK292" s="689"/>
      <c r="BL292" s="689"/>
      <c r="BM292" s="689"/>
      <c r="BN292" s="689"/>
      <c r="BO292" s="689"/>
      <c r="BP292" s="689"/>
      <c r="BQ292" s="689"/>
      <c r="BR292" s="689"/>
      <c r="BS292" s="689"/>
      <c r="BT292" s="689"/>
      <c r="BU292" s="689"/>
      <c r="BV292" s="689"/>
    </row>
    <row r="293" spans="1:74" s="389" customFormat="1">
      <c r="I293" s="689"/>
      <c r="J293" s="689"/>
      <c r="K293" s="689"/>
      <c r="L293" s="689"/>
      <c r="M293" s="689"/>
      <c r="N293" s="689"/>
      <c r="O293" s="689"/>
      <c r="P293" s="689"/>
      <c r="Q293" s="689"/>
      <c r="R293" s="689"/>
      <c r="S293" s="689"/>
      <c r="T293" s="689"/>
      <c r="U293" s="689"/>
      <c r="V293" s="689"/>
      <c r="W293" s="689"/>
      <c r="X293" s="689"/>
      <c r="Y293" s="689"/>
      <c r="Z293" s="689"/>
      <c r="AA293" s="689"/>
      <c r="AB293" s="689"/>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c r="BG293" s="689"/>
      <c r="BH293" s="689"/>
      <c r="BI293" s="689"/>
      <c r="BJ293" s="689"/>
      <c r="BK293" s="689"/>
      <c r="BL293" s="689"/>
      <c r="BM293" s="689"/>
      <c r="BN293" s="689"/>
      <c r="BO293" s="689"/>
      <c r="BP293" s="689"/>
      <c r="BQ293" s="689"/>
      <c r="BR293" s="689"/>
      <c r="BS293" s="689"/>
      <c r="BT293" s="689"/>
      <c r="BU293" s="689"/>
      <c r="BV293" s="689"/>
    </row>
    <row r="294" spans="1:74" s="389" customFormat="1">
      <c r="I294" s="689"/>
      <c r="J294" s="689"/>
      <c r="K294" s="689"/>
      <c r="L294" s="689"/>
      <c r="M294" s="689"/>
      <c r="N294" s="689"/>
      <c r="O294" s="689"/>
      <c r="P294" s="689"/>
      <c r="Q294" s="689"/>
      <c r="R294" s="689"/>
      <c r="S294" s="689"/>
      <c r="T294" s="689"/>
      <c r="U294" s="689"/>
      <c r="V294" s="689"/>
      <c r="W294" s="689"/>
      <c r="X294" s="689"/>
      <c r="Y294" s="689"/>
      <c r="Z294" s="689"/>
      <c r="AA294" s="689"/>
      <c r="AB294" s="689"/>
      <c r="AC294" s="689"/>
      <c r="AD294" s="689"/>
      <c r="AE294" s="689"/>
      <c r="AF294" s="689"/>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c r="BG294" s="689"/>
      <c r="BH294" s="689"/>
      <c r="BI294" s="689"/>
      <c r="BJ294" s="689"/>
      <c r="BK294" s="689"/>
      <c r="BL294" s="689"/>
      <c r="BM294" s="689"/>
      <c r="BN294" s="689"/>
      <c r="BO294" s="689"/>
      <c r="BP294" s="689"/>
      <c r="BQ294" s="689"/>
      <c r="BR294" s="689"/>
      <c r="BS294" s="689"/>
      <c r="BT294" s="689"/>
      <c r="BU294" s="689"/>
      <c r="BV294" s="689"/>
    </row>
    <row r="295" spans="1:74" s="737" customFormat="1" ht="17.399999999999999">
      <c r="A295" s="699" t="s">
        <v>805</v>
      </c>
      <c r="B295" s="389"/>
      <c r="C295" s="389"/>
      <c r="D295" s="389"/>
      <c r="E295" s="389"/>
      <c r="F295" s="389"/>
      <c r="G295" s="3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c r="BG295" s="689"/>
      <c r="BH295" s="689"/>
      <c r="BI295" s="689"/>
      <c r="BJ295" s="689"/>
      <c r="BK295" s="689"/>
      <c r="BL295" s="689"/>
      <c r="BM295" s="689"/>
      <c r="BN295" s="689"/>
      <c r="BO295" s="689"/>
      <c r="BP295" s="689"/>
      <c r="BQ295" s="689"/>
      <c r="BR295" s="689"/>
      <c r="BS295" s="689"/>
      <c r="BT295" s="689"/>
      <c r="BU295" s="689"/>
      <c r="BV295" s="689"/>
    </row>
    <row r="296" spans="1:74" s="737" customFormat="1" ht="28.2">
      <c r="A296" s="704"/>
      <c r="B296" s="736" t="s">
        <v>667</v>
      </c>
      <c r="C296" s="736" t="s">
        <v>809</v>
      </c>
      <c r="D296" s="688" t="s">
        <v>1362</v>
      </c>
      <c r="E296" s="736" t="s">
        <v>659</v>
      </c>
      <c r="F296" s="736" t="s">
        <v>660</v>
      </c>
      <c r="G296" s="736" t="s">
        <v>665</v>
      </c>
      <c r="I296" s="689"/>
      <c r="J296" s="689"/>
      <c r="K296" s="689"/>
      <c r="L296" s="689"/>
      <c r="M296" s="689"/>
      <c r="N296" s="689"/>
      <c r="O296" s="689"/>
      <c r="P296" s="689"/>
      <c r="Q296" s="689"/>
      <c r="R296" s="736"/>
      <c r="S296" s="689"/>
      <c r="T296" s="689"/>
      <c r="U296" s="689"/>
      <c r="V296" s="689"/>
      <c r="W296" s="689"/>
      <c r="X296" s="689"/>
      <c r="Y296" s="689"/>
      <c r="Z296" s="689"/>
      <c r="AA296" s="689"/>
      <c r="AB296" s="689"/>
      <c r="AC296" s="689"/>
      <c r="AD296" s="689"/>
      <c r="AE296" s="689"/>
      <c r="AF296" s="689"/>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c r="BG296" s="689"/>
      <c r="BH296" s="689"/>
      <c r="BI296" s="689"/>
      <c r="BJ296" s="689"/>
      <c r="BK296" s="689"/>
      <c r="BL296" s="689"/>
      <c r="BM296" s="689"/>
      <c r="BN296" s="689"/>
      <c r="BO296" s="689"/>
      <c r="BP296" s="689"/>
      <c r="BQ296" s="689"/>
      <c r="BR296" s="689"/>
      <c r="BS296" s="689"/>
      <c r="BT296" s="689"/>
      <c r="BU296" s="689"/>
      <c r="BV296" s="689"/>
    </row>
    <row r="297" spans="1:74" s="737" customFormat="1" ht="15.6">
      <c r="A297" s="734">
        <v>2022</v>
      </c>
      <c r="B297" s="735">
        <f>FL_18_salwage_p.hole+FL_18_paytax_bens_p.hole</f>
        <v>65600</v>
      </c>
      <c r="C297" s="735">
        <f>SE_18_salwage_p.hole+SE_18_paytax_bens_p.hole</f>
        <v>79700</v>
      </c>
      <c r="D297" s="735">
        <f>BOCA_18_salwage_p.hole+BOCA_18_paytax_bens_p.hole</f>
        <v>76600</v>
      </c>
      <c r="E297" s="735">
        <f>SW_18_salwage_p.hole+SW_18_paytax_bens_p.hole</f>
        <v>65300</v>
      </c>
      <c r="F297" s="735">
        <f>SWCIRA_18_salwage_p.hole+SWCIRA_18_paytax_bens_p.hole</f>
        <v>53700</v>
      </c>
      <c r="G297" s="735">
        <f>NC_18_salwage_p.hole+NC_18_paytax_bens_p.hole</f>
        <v>59500</v>
      </c>
      <c r="I297" s="689"/>
      <c r="J297" s="689"/>
      <c r="K297" s="689"/>
      <c r="L297" s="689"/>
      <c r="M297" s="689"/>
      <c r="N297" s="689"/>
      <c r="O297" s="689"/>
      <c r="P297" s="689"/>
      <c r="Q297" s="689"/>
      <c r="R297" s="735"/>
      <c r="S297" s="689"/>
      <c r="T297" s="689"/>
      <c r="U297" s="689"/>
      <c r="V297" s="689"/>
      <c r="W297" s="689"/>
      <c r="X297" s="689"/>
      <c r="Y297" s="689"/>
      <c r="Z297" s="689"/>
      <c r="AA297" s="689"/>
      <c r="AB297" s="689"/>
      <c r="AC297" s="689"/>
      <c r="AD297" s="689"/>
      <c r="AE297" s="689"/>
      <c r="AF297" s="689"/>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c r="BG297" s="689"/>
      <c r="BH297" s="689"/>
      <c r="BI297" s="689"/>
      <c r="BJ297" s="689"/>
      <c r="BK297" s="689"/>
      <c r="BL297" s="689"/>
      <c r="BM297" s="689"/>
      <c r="BN297" s="689"/>
      <c r="BO297" s="689"/>
      <c r="BP297" s="689"/>
      <c r="BQ297" s="689"/>
      <c r="BR297" s="689"/>
      <c r="BS297" s="689"/>
      <c r="BT297" s="689"/>
      <c r="BU297" s="689"/>
      <c r="BV297" s="689"/>
    </row>
    <row r="298" spans="1:74" s="737" customFormat="1" ht="15.6">
      <c r="A298" s="734">
        <v>2021</v>
      </c>
      <c r="B298" s="735">
        <v>60600</v>
      </c>
      <c r="C298" s="735">
        <v>76600</v>
      </c>
      <c r="D298" s="735">
        <v>70700</v>
      </c>
      <c r="E298" s="735">
        <v>57500</v>
      </c>
      <c r="F298" s="735">
        <v>49400</v>
      </c>
      <c r="G298" s="735">
        <v>54600</v>
      </c>
      <c r="I298" s="689"/>
      <c r="J298" s="689"/>
      <c r="K298" s="689"/>
      <c r="L298" s="689"/>
      <c r="M298" s="689"/>
      <c r="N298" s="689"/>
      <c r="O298" s="689"/>
      <c r="P298" s="689"/>
      <c r="Q298" s="689"/>
      <c r="R298" s="735"/>
      <c r="S298" s="689"/>
      <c r="T298" s="689"/>
      <c r="U298" s="689"/>
      <c r="V298" s="689"/>
      <c r="W298" s="689"/>
      <c r="X298" s="689"/>
      <c r="Y298" s="689"/>
      <c r="Z298" s="689"/>
      <c r="AA298" s="689"/>
      <c r="AB298" s="689"/>
      <c r="AC298" s="689"/>
      <c r="AD298" s="689"/>
      <c r="AE298" s="689"/>
      <c r="AF298" s="689"/>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c r="BG298" s="689"/>
      <c r="BH298" s="689"/>
      <c r="BI298" s="689"/>
      <c r="BJ298" s="689"/>
      <c r="BK298" s="689"/>
      <c r="BL298" s="689"/>
      <c r="BM298" s="689"/>
      <c r="BN298" s="689"/>
      <c r="BO298" s="689"/>
      <c r="BP298" s="689"/>
      <c r="BQ298" s="689"/>
      <c r="BR298" s="689"/>
      <c r="BS298" s="689"/>
      <c r="BT298" s="689"/>
      <c r="BU298" s="689"/>
      <c r="BV298" s="689"/>
    </row>
    <row r="299" spans="1:74" s="737" customFormat="1" ht="15.6">
      <c r="A299" s="734">
        <v>2020</v>
      </c>
      <c r="B299" s="735">
        <v>57100</v>
      </c>
      <c r="C299" s="735">
        <v>67000</v>
      </c>
      <c r="D299" s="735">
        <v>61400</v>
      </c>
      <c r="E299" s="735">
        <v>56800</v>
      </c>
      <c r="F299" s="735">
        <v>49300</v>
      </c>
      <c r="G299" s="735">
        <v>53900</v>
      </c>
      <c r="I299" s="689"/>
      <c r="J299" s="689"/>
      <c r="K299" s="689"/>
      <c r="L299" s="689"/>
      <c r="M299" s="689"/>
      <c r="N299" s="689"/>
      <c r="O299" s="689"/>
      <c r="P299" s="689"/>
      <c r="Q299" s="689"/>
      <c r="R299" s="735"/>
      <c r="S299" s="689"/>
      <c r="T299" s="689"/>
      <c r="U299" s="689"/>
      <c r="V299" s="689"/>
      <c r="W299" s="689"/>
      <c r="X299" s="689"/>
      <c r="Y299" s="689"/>
      <c r="Z299" s="689"/>
      <c r="AA299" s="689"/>
      <c r="AB299" s="689"/>
      <c r="AC299" s="689"/>
      <c r="AD299" s="689"/>
      <c r="AE299" s="689"/>
      <c r="AF299" s="689"/>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c r="BG299" s="689"/>
      <c r="BH299" s="689"/>
      <c r="BI299" s="689"/>
      <c r="BJ299" s="689"/>
      <c r="BK299" s="689"/>
      <c r="BL299" s="689"/>
      <c r="BM299" s="689"/>
      <c r="BN299" s="689"/>
      <c r="BO299" s="689"/>
      <c r="BP299" s="689"/>
      <c r="BQ299" s="689"/>
      <c r="BR299" s="689"/>
      <c r="BS299" s="689"/>
      <c r="BT299" s="689"/>
      <c r="BU299" s="689"/>
      <c r="BV299" s="689"/>
    </row>
    <row r="300" spans="1:74" s="737" customFormat="1" ht="15.6">
      <c r="A300" s="734">
        <v>2019</v>
      </c>
      <c r="B300" s="735">
        <v>58000</v>
      </c>
      <c r="C300" s="735">
        <v>65200</v>
      </c>
      <c r="D300" s="735">
        <v>62900</v>
      </c>
      <c r="E300" s="735">
        <v>57100</v>
      </c>
      <c r="F300" s="735">
        <v>48800</v>
      </c>
      <c r="G300" s="735">
        <v>52600</v>
      </c>
      <c r="I300" s="689"/>
      <c r="J300" s="689"/>
      <c r="K300" s="689"/>
      <c r="L300" s="689"/>
      <c r="M300" s="689"/>
      <c r="N300" s="689"/>
      <c r="O300" s="689"/>
      <c r="P300" s="689"/>
      <c r="Q300" s="689"/>
      <c r="R300" s="735"/>
      <c r="S300" s="689"/>
      <c r="T300" s="689"/>
      <c r="U300" s="689"/>
      <c r="V300" s="689"/>
      <c r="W300" s="689"/>
      <c r="X300" s="689"/>
      <c r="Y300" s="689"/>
      <c r="Z300" s="689"/>
      <c r="AA300" s="689"/>
      <c r="AB300" s="689"/>
      <c r="AC300" s="689"/>
      <c r="AD300" s="689"/>
      <c r="AE300" s="689"/>
      <c r="AF300" s="689"/>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c r="BG300" s="689"/>
      <c r="BH300" s="689"/>
      <c r="BI300" s="689"/>
      <c r="BJ300" s="689"/>
      <c r="BK300" s="689"/>
      <c r="BL300" s="689"/>
      <c r="BM300" s="689"/>
      <c r="BN300" s="689"/>
      <c r="BO300" s="689"/>
      <c r="BP300" s="689"/>
      <c r="BQ300" s="689"/>
      <c r="BR300" s="689"/>
      <c r="BS300" s="689"/>
      <c r="BT300" s="689"/>
      <c r="BU300" s="689"/>
      <c r="BV300" s="689"/>
    </row>
    <row r="301" spans="1:74" s="737" customFormat="1" ht="15.6">
      <c r="A301" s="734">
        <v>2018</v>
      </c>
      <c r="B301" s="735">
        <v>54500</v>
      </c>
      <c r="C301" s="735">
        <v>63600</v>
      </c>
      <c r="D301" s="735">
        <v>61000</v>
      </c>
      <c r="E301" s="735">
        <v>53600</v>
      </c>
      <c r="F301" s="735">
        <v>47500</v>
      </c>
      <c r="G301" s="735">
        <v>49900</v>
      </c>
      <c r="I301" s="689"/>
      <c r="J301" s="689"/>
      <c r="K301" s="689"/>
      <c r="L301" s="689"/>
      <c r="M301" s="689"/>
      <c r="N301" s="689"/>
      <c r="O301" s="689"/>
      <c r="P301" s="689"/>
      <c r="Q301" s="689"/>
      <c r="R301" s="735"/>
      <c r="S301" s="689"/>
      <c r="T301" s="689"/>
      <c r="U301" s="689"/>
      <c r="V301" s="689"/>
      <c r="W301" s="689"/>
      <c r="X301" s="689"/>
      <c r="Y301" s="689"/>
      <c r="Z301" s="689"/>
      <c r="AA301" s="689"/>
      <c r="AB301" s="689"/>
      <c r="AC301" s="689"/>
      <c r="AD301" s="689"/>
      <c r="AE301" s="689"/>
      <c r="AF301" s="689"/>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c r="BG301" s="689"/>
      <c r="BH301" s="689"/>
      <c r="BI301" s="689"/>
      <c r="BJ301" s="689"/>
      <c r="BK301" s="689"/>
      <c r="BL301" s="689"/>
      <c r="BM301" s="689"/>
      <c r="BN301" s="689"/>
      <c r="BO301" s="689"/>
      <c r="BP301" s="689"/>
      <c r="BQ301" s="689"/>
      <c r="BR301" s="689"/>
      <c r="BS301" s="689"/>
      <c r="BT301" s="689"/>
      <c r="BU301" s="689"/>
      <c r="BV301" s="689"/>
    </row>
    <row r="302" spans="1:74" s="737" customFormat="1" ht="15.6">
      <c r="A302" s="734">
        <v>2017</v>
      </c>
      <c r="B302" s="735">
        <v>52300</v>
      </c>
      <c r="C302" s="735">
        <v>60200</v>
      </c>
      <c r="D302" s="735">
        <v>57700</v>
      </c>
      <c r="E302" s="735">
        <v>51100</v>
      </c>
      <c r="F302" s="735">
        <v>45900</v>
      </c>
      <c r="G302" s="735">
        <v>49800</v>
      </c>
      <c r="I302" s="689"/>
      <c r="J302" s="689"/>
      <c r="K302" s="689"/>
      <c r="L302" s="689"/>
      <c r="M302" s="689"/>
      <c r="N302" s="689"/>
      <c r="O302" s="689"/>
      <c r="P302" s="689"/>
      <c r="Q302" s="689"/>
      <c r="R302" s="735"/>
      <c r="S302" s="689"/>
      <c r="T302" s="689"/>
      <c r="U302" s="689"/>
      <c r="V302" s="689"/>
      <c r="W302" s="689"/>
      <c r="X302" s="689"/>
      <c r="Y302" s="689"/>
      <c r="Z302" s="689"/>
      <c r="AA302" s="689"/>
      <c r="AB302" s="689"/>
      <c r="AC302" s="689"/>
      <c r="AD302" s="689"/>
      <c r="AE302" s="689"/>
      <c r="AF302" s="689"/>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c r="BG302" s="689"/>
      <c r="BH302" s="689"/>
      <c r="BI302" s="689"/>
      <c r="BJ302" s="689"/>
      <c r="BK302" s="689"/>
      <c r="BL302" s="689"/>
      <c r="BM302" s="689"/>
      <c r="BN302" s="689"/>
      <c r="BO302" s="689"/>
      <c r="BP302" s="689"/>
      <c r="BQ302" s="689"/>
      <c r="BR302" s="689"/>
      <c r="BS302" s="689"/>
      <c r="BT302" s="689"/>
      <c r="BU302" s="689"/>
      <c r="BV302" s="689"/>
    </row>
    <row r="303" spans="1:74" s="737" customFormat="1" ht="15.6">
      <c r="A303" s="734">
        <v>2016</v>
      </c>
      <c r="B303" s="735">
        <v>51100</v>
      </c>
      <c r="C303" s="735">
        <v>61800</v>
      </c>
      <c r="D303" s="735">
        <v>53700</v>
      </c>
      <c r="E303" s="735">
        <v>50100</v>
      </c>
      <c r="F303" s="735">
        <v>45000</v>
      </c>
      <c r="G303" s="735">
        <v>48200</v>
      </c>
      <c r="I303" s="689"/>
      <c r="J303" s="689"/>
      <c r="K303" s="689"/>
      <c r="L303" s="689"/>
      <c r="M303" s="689"/>
      <c r="N303" s="689"/>
      <c r="O303" s="689"/>
      <c r="P303" s="689"/>
      <c r="Q303" s="689"/>
      <c r="R303" s="689"/>
      <c r="S303" s="689"/>
      <c r="T303" s="689"/>
      <c r="U303" s="689"/>
      <c r="V303" s="689"/>
      <c r="W303" s="689"/>
      <c r="X303" s="689"/>
      <c r="Y303" s="689"/>
      <c r="Z303" s="689"/>
      <c r="AA303" s="689"/>
      <c r="AB303" s="689"/>
      <c r="AC303" s="689"/>
      <c r="AD303" s="689"/>
      <c r="AE303" s="689"/>
      <c r="AF303" s="689"/>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c r="BG303" s="689"/>
      <c r="BH303" s="689"/>
      <c r="BI303" s="689"/>
      <c r="BJ303" s="689"/>
      <c r="BK303" s="689"/>
      <c r="BL303" s="689"/>
      <c r="BM303" s="689"/>
      <c r="BN303" s="689"/>
      <c r="BO303" s="689"/>
      <c r="BP303" s="689"/>
      <c r="BQ303" s="689"/>
      <c r="BR303" s="689"/>
      <c r="BS303" s="689"/>
      <c r="BT303" s="689"/>
      <c r="BU303" s="689"/>
      <c r="BV303" s="689"/>
    </row>
    <row r="304" spans="1:74" s="737" customFormat="1" ht="15.6">
      <c r="A304" s="734">
        <v>2015</v>
      </c>
      <c r="B304" s="735">
        <v>49000</v>
      </c>
      <c r="C304" s="735">
        <v>58000</v>
      </c>
      <c r="D304" s="735">
        <v>50700</v>
      </c>
      <c r="E304" s="735">
        <v>49100</v>
      </c>
      <c r="F304" s="735">
        <v>44300</v>
      </c>
      <c r="G304" s="735">
        <v>45500</v>
      </c>
      <c r="I304" s="689"/>
      <c r="J304" s="689"/>
      <c r="K304" s="689"/>
      <c r="L304" s="689"/>
      <c r="M304" s="689"/>
      <c r="N304" s="689"/>
      <c r="O304" s="689"/>
      <c r="P304" s="689"/>
      <c r="Q304" s="689"/>
      <c r="R304" s="689"/>
      <c r="S304" s="689"/>
      <c r="T304" s="689"/>
      <c r="U304" s="689"/>
      <c r="V304" s="689"/>
      <c r="W304" s="689"/>
      <c r="X304" s="689"/>
      <c r="Y304" s="689"/>
      <c r="Z304" s="689"/>
      <c r="AA304" s="689"/>
      <c r="AB304" s="689"/>
      <c r="AC304" s="689"/>
      <c r="AD304" s="689"/>
      <c r="AE304" s="689"/>
      <c r="AF304" s="689"/>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c r="BG304" s="689"/>
      <c r="BH304" s="689"/>
      <c r="BI304" s="689"/>
      <c r="BJ304" s="689"/>
      <c r="BK304" s="689"/>
      <c r="BL304" s="689"/>
      <c r="BM304" s="689"/>
      <c r="BN304" s="689"/>
      <c r="BO304" s="689"/>
      <c r="BP304" s="689"/>
      <c r="BQ304" s="689"/>
      <c r="BR304" s="689"/>
      <c r="BS304" s="689"/>
      <c r="BT304" s="689"/>
      <c r="BU304" s="689"/>
      <c r="BV304" s="689"/>
    </row>
    <row r="305" spans="1:74" s="737" customFormat="1" ht="15.6">
      <c r="A305" s="734">
        <v>2014</v>
      </c>
      <c r="B305" s="735">
        <v>47000</v>
      </c>
      <c r="C305" s="735">
        <v>54700</v>
      </c>
      <c r="D305" s="735">
        <v>49300</v>
      </c>
      <c r="E305" s="735">
        <v>47300</v>
      </c>
      <c r="F305" s="735">
        <v>42100</v>
      </c>
      <c r="G305" s="735">
        <v>44600</v>
      </c>
      <c r="I305" s="689"/>
      <c r="J305" s="689"/>
      <c r="K305" s="689"/>
      <c r="L305" s="689"/>
      <c r="M305" s="689"/>
      <c r="N305" s="689"/>
      <c r="O305" s="689"/>
      <c r="P305" s="689"/>
      <c r="Q305" s="689"/>
      <c r="R305" s="689"/>
      <c r="S305" s="689"/>
      <c r="T305" s="689"/>
      <c r="U305" s="689"/>
      <c r="V305" s="689"/>
      <c r="W305" s="689"/>
      <c r="X305" s="689"/>
      <c r="Y305" s="689"/>
      <c r="Z305" s="689"/>
      <c r="AA305" s="689"/>
      <c r="AB305" s="689"/>
      <c r="AC305" s="689"/>
      <c r="AD305" s="689"/>
      <c r="AE305" s="689"/>
      <c r="AF305" s="689"/>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c r="BG305" s="689"/>
      <c r="BH305" s="689"/>
      <c r="BI305" s="689"/>
      <c r="BJ305" s="689"/>
      <c r="BK305" s="689"/>
      <c r="BL305" s="689"/>
      <c r="BM305" s="689"/>
      <c r="BN305" s="689"/>
      <c r="BO305" s="689"/>
      <c r="BP305" s="689"/>
      <c r="BQ305" s="689"/>
      <c r="BR305" s="689"/>
      <c r="BS305" s="689"/>
      <c r="BT305" s="689"/>
      <c r="BU305" s="689"/>
      <c r="BV305" s="689"/>
    </row>
    <row r="306" spans="1:74" s="737" customFormat="1" ht="15.6">
      <c r="A306" s="734">
        <v>2013</v>
      </c>
      <c r="B306" s="735">
        <v>46000</v>
      </c>
      <c r="C306" s="735">
        <v>52800</v>
      </c>
      <c r="D306" s="735">
        <v>47300</v>
      </c>
      <c r="E306" s="735">
        <v>48000</v>
      </c>
      <c r="F306" s="735">
        <v>41700</v>
      </c>
      <c r="G306" s="735">
        <v>43200</v>
      </c>
      <c r="I306" s="689"/>
      <c r="J306" s="689"/>
      <c r="K306" s="689"/>
      <c r="L306" s="689"/>
      <c r="M306" s="689"/>
      <c r="N306" s="689"/>
      <c r="O306" s="689"/>
      <c r="P306" s="689"/>
      <c r="Q306" s="689"/>
      <c r="R306" s="689"/>
      <c r="S306" s="689"/>
      <c r="T306" s="689"/>
      <c r="U306" s="689"/>
      <c r="V306" s="689"/>
      <c r="W306" s="689"/>
      <c r="X306" s="689"/>
      <c r="Y306" s="689"/>
      <c r="Z306" s="689"/>
      <c r="AA306" s="689"/>
      <c r="AB306" s="689"/>
      <c r="AC306" s="689"/>
      <c r="AD306" s="689"/>
      <c r="AE306" s="689"/>
      <c r="AF306" s="689"/>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c r="BG306" s="689"/>
      <c r="BH306" s="689"/>
      <c r="BI306" s="689"/>
      <c r="BJ306" s="689"/>
      <c r="BK306" s="689"/>
      <c r="BL306" s="689"/>
      <c r="BM306" s="689"/>
      <c r="BN306" s="689"/>
      <c r="BO306" s="689"/>
      <c r="BP306" s="689"/>
      <c r="BQ306" s="689"/>
      <c r="BR306" s="689"/>
      <c r="BS306" s="689"/>
      <c r="BT306" s="689"/>
      <c r="BU306" s="689"/>
      <c r="BV306" s="689"/>
    </row>
    <row r="307" spans="1:74" s="737" customFormat="1" ht="15.6">
      <c r="A307" s="734">
        <v>2012</v>
      </c>
      <c r="B307" s="735">
        <v>45400</v>
      </c>
      <c r="C307" s="735">
        <v>51100</v>
      </c>
      <c r="D307" s="735">
        <v>45700</v>
      </c>
      <c r="E307" s="735">
        <v>46400</v>
      </c>
      <c r="F307" s="735">
        <v>41500</v>
      </c>
      <c r="G307" s="735">
        <v>43600</v>
      </c>
      <c r="I307" s="689"/>
      <c r="J307" s="689"/>
      <c r="K307" s="689"/>
      <c r="L307" s="689"/>
      <c r="M307" s="689"/>
      <c r="N307" s="689"/>
      <c r="O307" s="689"/>
      <c r="P307" s="689"/>
      <c r="Q307" s="689"/>
      <c r="R307" s="689"/>
      <c r="S307" s="689"/>
      <c r="T307" s="689"/>
      <c r="U307" s="689"/>
      <c r="V307" s="689"/>
      <c r="W307" s="689"/>
      <c r="X307" s="689"/>
      <c r="Y307" s="689"/>
      <c r="Z307" s="689"/>
      <c r="AA307" s="689"/>
      <c r="AB307" s="689"/>
      <c r="AC307" s="689"/>
      <c r="AD307" s="689"/>
      <c r="AE307" s="689"/>
      <c r="AF307" s="689"/>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c r="BG307" s="689"/>
      <c r="BH307" s="689"/>
      <c r="BI307" s="689"/>
      <c r="BJ307" s="689"/>
      <c r="BK307" s="689"/>
      <c r="BL307" s="689"/>
      <c r="BM307" s="689"/>
      <c r="BN307" s="689"/>
      <c r="BO307" s="689"/>
      <c r="BP307" s="689"/>
      <c r="BQ307" s="689"/>
      <c r="BR307" s="689"/>
      <c r="BS307" s="689"/>
      <c r="BT307" s="689"/>
      <c r="BU307" s="689"/>
      <c r="BV307" s="689"/>
    </row>
    <row r="308" spans="1:74" s="737" customFormat="1" ht="15.6">
      <c r="A308" s="734">
        <v>2011</v>
      </c>
      <c r="B308" s="735">
        <v>44500</v>
      </c>
      <c r="C308" s="735">
        <v>50100</v>
      </c>
      <c r="D308" s="735">
        <v>45400</v>
      </c>
      <c r="E308" s="735">
        <v>45800</v>
      </c>
      <c r="F308" s="735">
        <v>40800</v>
      </c>
      <c r="G308" s="735">
        <v>42500</v>
      </c>
      <c r="I308" s="689"/>
      <c r="J308" s="689"/>
      <c r="K308" s="689"/>
      <c r="L308" s="689"/>
      <c r="M308" s="689"/>
      <c r="N308" s="689"/>
      <c r="O308" s="689"/>
      <c r="P308" s="689"/>
      <c r="Q308" s="689"/>
      <c r="R308" s="689"/>
      <c r="S308" s="689"/>
      <c r="T308" s="689"/>
      <c r="U308" s="689"/>
      <c r="V308" s="689"/>
      <c r="W308" s="689"/>
      <c r="X308" s="689"/>
      <c r="Y308" s="689"/>
      <c r="Z308" s="689"/>
      <c r="AA308" s="689"/>
      <c r="AB308" s="689"/>
      <c r="AC308" s="689"/>
      <c r="AD308" s="689"/>
      <c r="AE308" s="689"/>
      <c r="AF308" s="689"/>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c r="BG308" s="689"/>
      <c r="BH308" s="689"/>
      <c r="BI308" s="689"/>
      <c r="BJ308" s="689"/>
      <c r="BK308" s="689"/>
      <c r="BL308" s="689"/>
      <c r="BM308" s="689"/>
      <c r="BN308" s="689"/>
      <c r="BO308" s="689"/>
      <c r="BP308" s="689"/>
      <c r="BQ308" s="689"/>
      <c r="BR308" s="689"/>
      <c r="BS308" s="689"/>
      <c r="BT308" s="689"/>
      <c r="BU308" s="689"/>
      <c r="BV308" s="689"/>
    </row>
    <row r="309" spans="1:74" s="737" customFormat="1" ht="15.6">
      <c r="A309" s="734">
        <v>2010</v>
      </c>
      <c r="B309" s="735">
        <v>43900</v>
      </c>
      <c r="C309" s="735">
        <v>49000</v>
      </c>
      <c r="D309" s="735">
        <v>43900</v>
      </c>
      <c r="E309" s="735">
        <v>46700</v>
      </c>
      <c r="F309" s="735">
        <v>40400</v>
      </c>
      <c r="G309" s="735">
        <v>40600</v>
      </c>
      <c r="I309" s="689"/>
      <c r="J309" s="689"/>
      <c r="K309" s="689"/>
      <c r="L309" s="689"/>
      <c r="M309" s="689"/>
      <c r="N309" s="689"/>
      <c r="O309" s="689"/>
      <c r="P309" s="689"/>
      <c r="Q309" s="689"/>
      <c r="R309" s="689"/>
      <c r="S309" s="689"/>
      <c r="T309" s="689"/>
      <c r="U309" s="689"/>
      <c r="V309" s="689"/>
      <c r="W309" s="689"/>
      <c r="X309" s="689"/>
      <c r="Y309" s="689"/>
      <c r="Z309" s="689"/>
      <c r="AA309" s="689"/>
      <c r="AB309" s="689"/>
      <c r="AC309" s="689"/>
      <c r="AD309" s="689"/>
      <c r="AE309" s="689"/>
      <c r="AF309" s="689"/>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c r="BG309" s="689"/>
      <c r="BH309" s="689"/>
      <c r="BI309" s="689"/>
      <c r="BJ309" s="689"/>
      <c r="BK309" s="689"/>
      <c r="BL309" s="689"/>
      <c r="BM309" s="689"/>
      <c r="BN309" s="689"/>
      <c r="BO309" s="689"/>
      <c r="BP309" s="689"/>
      <c r="BQ309" s="689"/>
      <c r="BR309" s="689"/>
      <c r="BS309" s="689"/>
      <c r="BT309" s="689"/>
      <c r="BU309" s="689"/>
      <c r="BV309" s="689"/>
    </row>
    <row r="310" spans="1:74" s="389" customFormat="1" ht="15.6">
      <c r="A310" s="734">
        <v>2009</v>
      </c>
      <c r="B310" s="735">
        <v>43900</v>
      </c>
      <c r="C310" s="735">
        <v>48600</v>
      </c>
      <c r="D310" s="735">
        <v>45800</v>
      </c>
      <c r="E310" s="735">
        <v>45600</v>
      </c>
      <c r="F310" s="735">
        <v>40100</v>
      </c>
      <c r="G310" s="735">
        <v>40300</v>
      </c>
      <c r="H310" s="737"/>
      <c r="I310" s="689"/>
      <c r="J310" s="689"/>
      <c r="K310" s="689"/>
      <c r="L310" s="689"/>
      <c r="M310" s="689"/>
      <c r="N310" s="689"/>
      <c r="O310" s="689"/>
      <c r="P310" s="689"/>
      <c r="Q310" s="689"/>
      <c r="R310" s="689"/>
      <c r="S310" s="689"/>
      <c r="T310" s="689"/>
      <c r="U310" s="689"/>
      <c r="V310" s="689"/>
      <c r="W310" s="689"/>
      <c r="X310" s="689"/>
      <c r="Y310" s="689"/>
      <c r="Z310" s="689"/>
      <c r="AA310" s="689"/>
      <c r="AB310" s="689"/>
      <c r="AC310" s="689"/>
      <c r="AD310" s="689"/>
      <c r="AE310" s="689"/>
      <c r="AF310" s="689"/>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c r="BG310" s="689"/>
      <c r="BH310" s="689"/>
      <c r="BI310" s="689"/>
      <c r="BJ310" s="689"/>
      <c r="BK310" s="689"/>
      <c r="BL310" s="689"/>
      <c r="BM310" s="689"/>
      <c r="BN310" s="689"/>
      <c r="BO310" s="689"/>
      <c r="BP310" s="689"/>
      <c r="BQ310" s="689"/>
      <c r="BR310" s="689"/>
      <c r="BS310" s="689"/>
      <c r="BT310" s="689"/>
      <c r="BU310" s="689"/>
      <c r="BV310" s="689"/>
    </row>
    <row r="311" spans="1:74" s="389" customFormat="1">
      <c r="A311" s="734">
        <v>2008</v>
      </c>
      <c r="B311" s="735">
        <v>44200</v>
      </c>
      <c r="C311" s="735">
        <v>47400</v>
      </c>
      <c r="D311" s="735">
        <v>43600</v>
      </c>
      <c r="E311" s="735">
        <v>46300</v>
      </c>
      <c r="F311" s="735">
        <v>39500</v>
      </c>
      <c r="G311" s="735">
        <v>41900</v>
      </c>
      <c r="I311" s="689"/>
      <c r="J311" s="689"/>
      <c r="K311" s="689"/>
      <c r="L311" s="689"/>
      <c r="M311" s="689"/>
      <c r="N311" s="689"/>
      <c r="O311" s="689"/>
      <c r="P311" s="689"/>
      <c r="Q311" s="689"/>
      <c r="R311" s="689"/>
      <c r="S311" s="689"/>
      <c r="T311" s="689"/>
      <c r="U311" s="689"/>
      <c r="V311" s="689"/>
      <c r="W311" s="689"/>
      <c r="X311" s="689"/>
      <c r="Y311" s="689"/>
      <c r="Z311" s="689"/>
      <c r="AA311" s="689"/>
      <c r="AB311" s="689"/>
      <c r="AC311" s="689"/>
      <c r="AD311" s="689"/>
      <c r="AE311" s="689"/>
      <c r="AF311" s="689"/>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c r="BG311" s="689"/>
      <c r="BH311" s="689"/>
      <c r="BI311" s="689"/>
      <c r="BJ311" s="689"/>
      <c r="BK311" s="689"/>
      <c r="BL311" s="689"/>
      <c r="BM311" s="689"/>
      <c r="BN311" s="689"/>
      <c r="BO311" s="689"/>
      <c r="BP311" s="689"/>
      <c r="BQ311" s="689"/>
      <c r="BR311" s="689"/>
      <c r="BS311" s="689"/>
      <c r="BT311" s="689"/>
      <c r="BU311" s="689"/>
      <c r="BV311" s="689"/>
    </row>
    <row r="312" spans="1:74" s="389" customFormat="1">
      <c r="A312" s="734">
        <v>2007</v>
      </c>
      <c r="B312" s="735">
        <v>42000</v>
      </c>
      <c r="C312" s="735">
        <v>46000</v>
      </c>
      <c r="D312" s="735">
        <v>41900</v>
      </c>
      <c r="E312" s="735">
        <v>45800</v>
      </c>
      <c r="F312" s="735">
        <v>38100</v>
      </c>
      <c r="G312" s="735">
        <v>37100</v>
      </c>
      <c r="I312" s="689"/>
      <c r="J312" s="689"/>
      <c r="K312" s="689"/>
      <c r="L312" s="689"/>
      <c r="M312" s="689"/>
      <c r="N312" s="689"/>
      <c r="O312" s="689"/>
      <c r="P312" s="689"/>
      <c r="Q312" s="689"/>
      <c r="R312" s="689"/>
      <c r="S312" s="689"/>
      <c r="T312" s="689"/>
      <c r="U312" s="689"/>
      <c r="V312" s="689"/>
      <c r="W312" s="689"/>
      <c r="X312" s="689"/>
      <c r="Y312" s="689"/>
      <c r="Z312" s="689"/>
      <c r="AA312" s="689"/>
      <c r="AB312" s="689"/>
      <c r="AC312" s="689"/>
      <c r="AD312" s="689"/>
      <c r="AE312" s="689"/>
      <c r="AF312" s="689"/>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c r="BG312" s="689"/>
      <c r="BH312" s="689"/>
      <c r="BI312" s="689"/>
      <c r="BJ312" s="689"/>
      <c r="BK312" s="689"/>
      <c r="BL312" s="689"/>
      <c r="BM312" s="689"/>
      <c r="BN312" s="689"/>
      <c r="BO312" s="689"/>
      <c r="BP312" s="689"/>
      <c r="BQ312" s="689"/>
      <c r="BR312" s="689"/>
      <c r="BS312" s="689"/>
      <c r="BT312" s="689"/>
      <c r="BU312" s="689"/>
      <c r="BV312" s="689"/>
    </row>
    <row r="313" spans="1:74" s="389" customFormat="1">
      <c r="A313" s="734">
        <v>2006</v>
      </c>
      <c r="B313" s="735">
        <f>31800+7300</f>
        <v>39100</v>
      </c>
      <c r="C313" s="735">
        <f>34700+8000</f>
        <v>42700</v>
      </c>
      <c r="D313" s="735">
        <f>31100+7300</f>
        <v>38400</v>
      </c>
      <c r="E313" s="735">
        <f>33900+7900</f>
        <v>41800</v>
      </c>
      <c r="F313" s="735">
        <f>29000+6800</f>
        <v>35800</v>
      </c>
      <c r="G313" s="735">
        <f>28600+6100</f>
        <v>34700</v>
      </c>
      <c r="I313" s="689"/>
      <c r="J313" s="689"/>
      <c r="K313" s="689"/>
      <c r="L313" s="689"/>
      <c r="M313" s="689"/>
      <c r="N313" s="689"/>
      <c r="O313" s="689"/>
      <c r="P313" s="689"/>
      <c r="Q313" s="689"/>
      <c r="R313" s="689"/>
      <c r="S313" s="689"/>
      <c r="T313" s="689"/>
      <c r="U313" s="689"/>
      <c r="V313" s="689"/>
      <c r="W313" s="689"/>
      <c r="X313" s="689"/>
      <c r="Y313" s="689"/>
      <c r="Z313" s="689"/>
      <c r="AA313" s="689"/>
      <c r="AB313" s="689"/>
      <c r="AC313" s="689"/>
      <c r="AD313" s="689"/>
      <c r="AE313" s="689"/>
      <c r="AF313" s="689"/>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c r="BG313" s="689"/>
      <c r="BH313" s="689"/>
      <c r="BI313" s="689"/>
      <c r="BJ313" s="689"/>
      <c r="BK313" s="689"/>
      <c r="BL313" s="689"/>
      <c r="BM313" s="689"/>
      <c r="BN313" s="689"/>
      <c r="BO313" s="689"/>
      <c r="BP313" s="689"/>
      <c r="BQ313" s="689"/>
      <c r="BR313" s="689"/>
      <c r="BS313" s="689"/>
      <c r="BT313" s="689"/>
      <c r="BU313" s="689"/>
      <c r="BV313" s="689"/>
    </row>
    <row r="314" spans="1:74" s="389" customFormat="1">
      <c r="B314" s="730"/>
      <c r="C314" s="730"/>
      <c r="D314" s="730"/>
      <c r="E314" s="730"/>
      <c r="F314" s="730"/>
      <c r="G314" s="730"/>
      <c r="I314" s="689"/>
      <c r="J314" s="689"/>
      <c r="K314" s="689"/>
      <c r="L314" s="689"/>
      <c r="M314" s="689"/>
      <c r="N314" s="689"/>
      <c r="O314" s="689"/>
      <c r="P314" s="689"/>
      <c r="Q314" s="689"/>
      <c r="R314" s="689"/>
      <c r="S314" s="689"/>
      <c r="T314" s="689"/>
      <c r="U314" s="689"/>
      <c r="V314" s="689"/>
      <c r="W314" s="689"/>
      <c r="X314" s="689"/>
      <c r="Y314" s="689"/>
      <c r="Z314" s="689"/>
      <c r="AA314" s="689"/>
      <c r="AB314" s="689"/>
      <c r="AC314" s="689"/>
      <c r="AD314" s="689"/>
      <c r="AE314" s="689"/>
      <c r="AF314" s="689"/>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c r="BG314" s="689"/>
      <c r="BH314" s="689"/>
      <c r="BI314" s="689"/>
      <c r="BJ314" s="689"/>
      <c r="BK314" s="689"/>
      <c r="BL314" s="689"/>
      <c r="BM314" s="689"/>
      <c r="BN314" s="689"/>
      <c r="BO314" s="689"/>
      <c r="BP314" s="689"/>
      <c r="BQ314" s="689"/>
      <c r="BR314" s="689"/>
      <c r="BS314" s="689"/>
      <c r="BT314" s="689"/>
      <c r="BU314" s="689"/>
      <c r="BV314" s="689"/>
    </row>
    <row r="315" spans="1:74" s="389" customFormat="1" ht="20.399999999999999">
      <c r="A315" s="718"/>
      <c r="B315" s="730"/>
      <c r="C315" s="730"/>
      <c r="D315" s="730"/>
      <c r="E315" s="730"/>
      <c r="F315" s="730"/>
      <c r="G315" s="730"/>
      <c r="I315" s="689"/>
      <c r="J315" s="689"/>
      <c r="K315" s="689"/>
      <c r="L315" s="689"/>
      <c r="M315" s="689"/>
      <c r="N315" s="689"/>
      <c r="O315" s="689"/>
      <c r="P315" s="689"/>
      <c r="Q315" s="689"/>
      <c r="R315" s="689"/>
      <c r="S315" s="689"/>
      <c r="T315" s="689"/>
      <c r="U315" s="689"/>
      <c r="V315" s="689"/>
      <c r="W315" s="689"/>
      <c r="X315" s="689"/>
      <c r="Y315" s="689"/>
      <c r="Z315" s="689"/>
      <c r="AA315" s="689"/>
      <c r="AB315" s="689"/>
      <c r="AC315" s="689"/>
      <c r="AD315" s="689"/>
      <c r="AE315" s="689"/>
      <c r="AF315" s="689"/>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c r="BG315" s="689"/>
      <c r="BH315" s="689"/>
      <c r="BI315" s="689"/>
      <c r="BJ315" s="689"/>
      <c r="BK315" s="689"/>
      <c r="BL315" s="689"/>
      <c r="BM315" s="689"/>
      <c r="BN315" s="689"/>
      <c r="BO315" s="689"/>
      <c r="BP315" s="689"/>
      <c r="BQ315" s="689"/>
      <c r="BR315" s="689"/>
      <c r="BS315" s="689"/>
      <c r="BT315" s="689"/>
      <c r="BU315" s="689"/>
      <c r="BV315" s="689"/>
    </row>
    <row r="316" spans="1:74" s="389" customFormat="1" ht="20.399999999999999">
      <c r="A316" s="718"/>
      <c r="B316" s="730"/>
      <c r="C316" s="730"/>
      <c r="D316" s="730"/>
      <c r="E316" s="730"/>
      <c r="F316" s="730"/>
      <c r="G316" s="730"/>
      <c r="I316" s="689"/>
      <c r="J316" s="689"/>
      <c r="K316" s="689"/>
      <c r="L316" s="689"/>
      <c r="M316" s="689"/>
      <c r="N316" s="689"/>
      <c r="O316" s="689"/>
      <c r="P316" s="689"/>
      <c r="Q316" s="689"/>
      <c r="R316" s="689"/>
      <c r="S316" s="689"/>
      <c r="T316" s="689"/>
      <c r="U316" s="689"/>
      <c r="V316" s="689"/>
      <c r="W316" s="689"/>
      <c r="X316" s="689"/>
      <c r="Y316" s="689"/>
      <c r="Z316" s="689"/>
      <c r="AA316" s="689"/>
      <c r="AB316" s="689"/>
      <c r="AC316" s="689"/>
      <c r="AD316" s="689"/>
      <c r="AE316" s="689"/>
      <c r="AF316" s="689"/>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c r="BG316" s="689"/>
      <c r="BH316" s="689"/>
      <c r="BI316" s="689"/>
      <c r="BJ316" s="689"/>
      <c r="BK316" s="689"/>
      <c r="BL316" s="689"/>
      <c r="BM316" s="689"/>
      <c r="BN316" s="689"/>
      <c r="BO316" s="689"/>
      <c r="BP316" s="689"/>
      <c r="BQ316" s="689"/>
      <c r="BR316" s="689"/>
      <c r="BS316" s="689"/>
      <c r="BT316" s="689"/>
      <c r="BU316" s="689"/>
      <c r="BV316" s="689"/>
    </row>
    <row r="317" spans="1:74" s="389" customFormat="1" ht="20.399999999999999">
      <c r="A317" s="718"/>
      <c r="B317" s="730"/>
      <c r="C317" s="730"/>
      <c r="D317" s="730"/>
      <c r="E317" s="730"/>
      <c r="F317" s="730"/>
      <c r="G317" s="730"/>
      <c r="I317" s="689"/>
      <c r="J317" s="689"/>
      <c r="K317" s="689"/>
      <c r="L317" s="689"/>
      <c r="M317" s="689"/>
      <c r="N317" s="689"/>
      <c r="O317" s="689"/>
      <c r="P317" s="689"/>
      <c r="Q317" s="689"/>
      <c r="R317" s="689"/>
      <c r="S317" s="689"/>
      <c r="T317" s="689"/>
      <c r="U317" s="689"/>
      <c r="V317" s="689"/>
      <c r="W317" s="689"/>
      <c r="X317" s="689"/>
      <c r="Y317" s="689"/>
      <c r="Z317" s="689"/>
      <c r="AA317" s="689"/>
      <c r="AB317" s="689"/>
      <c r="AC317" s="689"/>
      <c r="AD317" s="689"/>
      <c r="AE317" s="689"/>
      <c r="AF317" s="689"/>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c r="BG317" s="689"/>
      <c r="BH317" s="689"/>
      <c r="BI317" s="689"/>
      <c r="BJ317" s="689"/>
      <c r="BK317" s="689"/>
      <c r="BL317" s="689"/>
      <c r="BM317" s="689"/>
      <c r="BN317" s="689"/>
      <c r="BO317" s="689"/>
      <c r="BP317" s="689"/>
      <c r="BQ317" s="689"/>
      <c r="BR317" s="689"/>
      <c r="BS317" s="689"/>
      <c r="BT317" s="689"/>
      <c r="BU317" s="689"/>
      <c r="BV317" s="689"/>
    </row>
    <row r="318" spans="1:74" s="389" customFormat="1">
      <c r="B318" s="730"/>
      <c r="C318" s="730"/>
      <c r="D318" s="730"/>
      <c r="E318" s="730"/>
      <c r="F318" s="730"/>
      <c r="G318" s="730"/>
      <c r="I318" s="689"/>
      <c r="J318" s="689"/>
      <c r="K318" s="689"/>
      <c r="L318" s="689"/>
      <c r="M318" s="689"/>
      <c r="N318" s="689"/>
      <c r="O318" s="689"/>
      <c r="P318" s="689"/>
      <c r="Q318" s="689"/>
      <c r="R318" s="689"/>
      <c r="S318" s="689"/>
      <c r="T318" s="689"/>
      <c r="U318" s="689"/>
      <c r="V318" s="689"/>
      <c r="W318" s="689"/>
      <c r="X318" s="689"/>
      <c r="Y318" s="689"/>
      <c r="Z318" s="689"/>
      <c r="AA318" s="689"/>
      <c r="AB318" s="689"/>
      <c r="AC318" s="689"/>
      <c r="AD318" s="689"/>
      <c r="AE318" s="689"/>
      <c r="AF318" s="689"/>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c r="BG318" s="689"/>
      <c r="BH318" s="689"/>
      <c r="BI318" s="689"/>
      <c r="BJ318" s="689"/>
      <c r="BK318" s="689"/>
      <c r="BL318" s="689"/>
      <c r="BM318" s="689"/>
      <c r="BN318" s="689"/>
      <c r="BO318" s="689"/>
      <c r="BP318" s="689"/>
      <c r="BQ318" s="689"/>
      <c r="BR318" s="689"/>
      <c r="BS318" s="689"/>
      <c r="BT318" s="689"/>
      <c r="BU318" s="689"/>
      <c r="BV318" s="689"/>
    </row>
    <row r="319" spans="1:74" s="389" customFormat="1">
      <c r="B319" s="730"/>
      <c r="C319" s="730"/>
      <c r="D319" s="730"/>
      <c r="E319" s="730"/>
      <c r="F319" s="730"/>
      <c r="G319" s="730"/>
      <c r="I319" s="689"/>
      <c r="J319" s="689"/>
      <c r="K319" s="689"/>
      <c r="L319" s="689"/>
      <c r="M319" s="689"/>
      <c r="N319" s="689"/>
      <c r="O319" s="689"/>
      <c r="P319" s="689"/>
      <c r="Q319" s="689"/>
      <c r="R319" s="689"/>
      <c r="S319" s="689"/>
      <c r="T319" s="689"/>
      <c r="U319" s="689"/>
      <c r="V319" s="689"/>
      <c r="W319" s="689"/>
      <c r="X319" s="689"/>
      <c r="Y319" s="689"/>
      <c r="Z319" s="689"/>
      <c r="AA319" s="689"/>
      <c r="AB319" s="689"/>
      <c r="AC319" s="689"/>
      <c r="AD319" s="689"/>
      <c r="AE319" s="689"/>
      <c r="AF319" s="689"/>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c r="BG319" s="689"/>
      <c r="BH319" s="689"/>
      <c r="BI319" s="689"/>
      <c r="BJ319" s="689"/>
      <c r="BK319" s="689"/>
      <c r="BL319" s="689"/>
      <c r="BM319" s="689"/>
      <c r="BN319" s="689"/>
      <c r="BO319" s="689"/>
      <c r="BP319" s="689"/>
      <c r="BQ319" s="689"/>
      <c r="BR319" s="689"/>
      <c r="BS319" s="689"/>
      <c r="BT319" s="689"/>
      <c r="BU319" s="689"/>
      <c r="BV319" s="689"/>
    </row>
    <row r="320" spans="1:74" s="389" customFormat="1">
      <c r="I320" s="689"/>
      <c r="J320" s="689"/>
      <c r="K320" s="689"/>
      <c r="L320" s="689"/>
      <c r="M320" s="689"/>
      <c r="N320" s="689"/>
      <c r="O320" s="689"/>
      <c r="P320" s="689"/>
      <c r="Q320" s="689"/>
      <c r="R320" s="689"/>
      <c r="S320" s="689"/>
      <c r="T320" s="689"/>
      <c r="U320" s="689"/>
      <c r="V320" s="689"/>
      <c r="W320" s="689"/>
      <c r="X320" s="689"/>
      <c r="Y320" s="689"/>
      <c r="Z320" s="689"/>
      <c r="AA320" s="689"/>
      <c r="AB320" s="689"/>
      <c r="AC320" s="689"/>
      <c r="AD320" s="689"/>
      <c r="AE320" s="689"/>
      <c r="AF320" s="689"/>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c r="BG320" s="689"/>
      <c r="BH320" s="689"/>
      <c r="BI320" s="689"/>
      <c r="BJ320" s="689"/>
      <c r="BK320" s="689"/>
      <c r="BL320" s="689"/>
      <c r="BM320" s="689"/>
      <c r="BN320" s="689"/>
      <c r="BO320" s="689"/>
      <c r="BP320" s="689"/>
      <c r="BQ320" s="689"/>
      <c r="BR320" s="689"/>
      <c r="BS320" s="689"/>
      <c r="BT320" s="689"/>
      <c r="BU320" s="689"/>
      <c r="BV320" s="689"/>
    </row>
    <row r="321" spans="9:74" s="389" customFormat="1">
      <c r="I321" s="689"/>
      <c r="J321" s="689"/>
      <c r="K321" s="689"/>
      <c r="L321" s="689"/>
      <c r="M321" s="689"/>
      <c r="N321" s="689"/>
      <c r="O321" s="689"/>
      <c r="P321" s="689"/>
      <c r="Q321" s="689"/>
      <c r="R321" s="689"/>
      <c r="S321" s="689"/>
      <c r="T321" s="689"/>
      <c r="U321" s="689"/>
      <c r="V321" s="689"/>
      <c r="W321" s="689"/>
      <c r="X321" s="689"/>
      <c r="Y321" s="689"/>
      <c r="Z321" s="689"/>
      <c r="AA321" s="689"/>
      <c r="AB321" s="689"/>
      <c r="AC321" s="689"/>
      <c r="AD321" s="689"/>
      <c r="AE321" s="689"/>
      <c r="AF321" s="689"/>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c r="BG321" s="689"/>
      <c r="BH321" s="689"/>
      <c r="BI321" s="689"/>
      <c r="BJ321" s="689"/>
      <c r="BK321" s="689"/>
      <c r="BL321" s="689"/>
      <c r="BM321" s="689"/>
      <c r="BN321" s="689"/>
      <c r="BO321" s="689"/>
      <c r="BP321" s="689"/>
      <c r="BQ321" s="689"/>
      <c r="BR321" s="689"/>
      <c r="BS321" s="689"/>
      <c r="BT321" s="689"/>
      <c r="BU321" s="689"/>
      <c r="BV321" s="689"/>
    </row>
    <row r="322" spans="9:74" s="389" customFormat="1">
      <c r="I322" s="689"/>
      <c r="J322" s="689"/>
      <c r="K322" s="689"/>
      <c r="L322" s="689"/>
      <c r="M322" s="689"/>
      <c r="N322" s="689"/>
      <c r="O322" s="689"/>
      <c r="P322" s="689"/>
      <c r="Q322" s="689"/>
      <c r="R322" s="689"/>
      <c r="S322" s="689"/>
      <c r="T322" s="689"/>
      <c r="U322" s="689"/>
      <c r="V322" s="689"/>
      <c r="W322" s="689"/>
      <c r="X322" s="689"/>
      <c r="Y322" s="689"/>
      <c r="Z322" s="689"/>
      <c r="AA322" s="689"/>
      <c r="AB322" s="689"/>
      <c r="AC322" s="689"/>
      <c r="AD322" s="689"/>
      <c r="AE322" s="689"/>
      <c r="AF322" s="689"/>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c r="BG322" s="689"/>
      <c r="BH322" s="689"/>
      <c r="BI322" s="689"/>
      <c r="BJ322" s="689"/>
      <c r="BK322" s="689"/>
      <c r="BL322" s="689"/>
      <c r="BM322" s="689"/>
      <c r="BN322" s="689"/>
      <c r="BO322" s="689"/>
      <c r="BP322" s="689"/>
      <c r="BQ322" s="689"/>
      <c r="BR322" s="689"/>
      <c r="BS322" s="689"/>
      <c r="BT322" s="689"/>
      <c r="BU322" s="689"/>
      <c r="BV322" s="689"/>
    </row>
    <row r="323" spans="9:74" s="389" customFormat="1">
      <c r="I323" s="689"/>
      <c r="J323" s="689"/>
      <c r="K323" s="689"/>
      <c r="L323" s="689"/>
      <c r="M323" s="689"/>
      <c r="N323" s="689"/>
      <c r="O323" s="689"/>
      <c r="P323" s="689"/>
      <c r="Q323" s="689"/>
      <c r="R323" s="689"/>
      <c r="S323" s="689"/>
      <c r="T323" s="689"/>
      <c r="U323" s="689"/>
      <c r="V323" s="689"/>
      <c r="W323" s="689"/>
      <c r="X323" s="689"/>
      <c r="Y323" s="689"/>
      <c r="Z323" s="689"/>
      <c r="AA323" s="689"/>
      <c r="AB323" s="689"/>
      <c r="AC323" s="689"/>
      <c r="AD323" s="689"/>
      <c r="AE323" s="689"/>
      <c r="AF323" s="689"/>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c r="BG323" s="689"/>
      <c r="BH323" s="689"/>
      <c r="BI323" s="689"/>
      <c r="BJ323" s="689"/>
      <c r="BK323" s="689"/>
      <c r="BL323" s="689"/>
      <c r="BM323" s="689"/>
      <c r="BN323" s="689"/>
      <c r="BO323" s="689"/>
      <c r="BP323" s="689"/>
      <c r="BQ323" s="689"/>
      <c r="BR323" s="689"/>
      <c r="BS323" s="689"/>
      <c r="BT323" s="689"/>
      <c r="BU323" s="689"/>
      <c r="BV323" s="689"/>
    </row>
    <row r="324" spans="9:74" s="389" customFormat="1">
      <c r="I324" s="689"/>
      <c r="J324" s="689"/>
      <c r="K324" s="689"/>
      <c r="L324" s="689"/>
      <c r="M324" s="689"/>
      <c r="N324" s="689"/>
      <c r="O324" s="689"/>
      <c r="P324" s="689"/>
      <c r="Q324" s="689"/>
      <c r="R324" s="689"/>
      <c r="S324" s="689"/>
      <c r="T324" s="689"/>
      <c r="U324" s="689"/>
      <c r="V324" s="689"/>
      <c r="W324" s="689"/>
      <c r="X324" s="689"/>
      <c r="Y324" s="689"/>
      <c r="Z324" s="689"/>
      <c r="AA324" s="689"/>
      <c r="AB324" s="689"/>
      <c r="AC324" s="689"/>
      <c r="AD324" s="689"/>
      <c r="AE324" s="689"/>
      <c r="AF324" s="689"/>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c r="BG324" s="689"/>
      <c r="BH324" s="689"/>
      <c r="BI324" s="689"/>
      <c r="BJ324" s="689"/>
      <c r="BK324" s="689"/>
      <c r="BL324" s="689"/>
      <c r="BM324" s="689"/>
      <c r="BN324" s="689"/>
      <c r="BO324" s="689"/>
      <c r="BP324" s="689"/>
      <c r="BQ324" s="689"/>
      <c r="BR324" s="689"/>
      <c r="BS324" s="689"/>
      <c r="BT324" s="689"/>
      <c r="BU324" s="689"/>
      <c r="BV324" s="689"/>
    </row>
    <row r="325" spans="9:74" s="389" customFormat="1">
      <c r="I325" s="689"/>
      <c r="J325" s="689"/>
      <c r="K325" s="689"/>
      <c r="L325" s="689"/>
      <c r="M325" s="689"/>
      <c r="N325" s="689"/>
      <c r="O325" s="689"/>
      <c r="P325" s="689"/>
      <c r="Q325" s="689"/>
      <c r="R325" s="689"/>
      <c r="S325" s="689"/>
      <c r="T325" s="689"/>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89"/>
      <c r="BS325" s="689"/>
      <c r="BT325" s="689"/>
      <c r="BU325" s="689"/>
      <c r="BV325" s="689"/>
    </row>
    <row r="326" spans="9:74" s="389" customFormat="1">
      <c r="I326" s="689"/>
      <c r="J326" s="689"/>
      <c r="K326" s="689"/>
      <c r="L326" s="689"/>
      <c r="M326" s="689"/>
      <c r="N326" s="689"/>
      <c r="O326" s="689"/>
      <c r="P326" s="689"/>
      <c r="Q326" s="689"/>
      <c r="R326" s="689"/>
      <c r="S326" s="689"/>
      <c r="T326" s="689"/>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89"/>
      <c r="BS326" s="689"/>
      <c r="BT326" s="689"/>
      <c r="BU326" s="689"/>
      <c r="BV326" s="689"/>
    </row>
    <row r="327" spans="9:74" s="389" customFormat="1">
      <c r="I327" s="689"/>
      <c r="J327" s="689"/>
      <c r="K327" s="689"/>
      <c r="L327" s="689"/>
      <c r="M327" s="689"/>
      <c r="N327" s="689"/>
      <c r="O327" s="689"/>
      <c r="P327" s="689"/>
      <c r="Q327" s="689"/>
      <c r="R327" s="689"/>
      <c r="S327" s="689"/>
      <c r="T327" s="689"/>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89"/>
      <c r="BS327" s="689"/>
      <c r="BT327" s="689"/>
      <c r="BU327" s="689"/>
      <c r="BV327" s="689"/>
    </row>
    <row r="328" spans="9:74" s="389" customFormat="1">
      <c r="I328" s="689"/>
      <c r="J328" s="689"/>
      <c r="K328" s="689"/>
      <c r="L328" s="689"/>
      <c r="M328" s="689"/>
      <c r="N328" s="689"/>
      <c r="O328" s="689"/>
      <c r="P328" s="689"/>
      <c r="Q328" s="689"/>
      <c r="R328" s="689"/>
      <c r="S328" s="689"/>
      <c r="T328" s="689"/>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89"/>
      <c r="BS328" s="689"/>
      <c r="BT328" s="689"/>
      <c r="BU328" s="689"/>
      <c r="BV328" s="689"/>
    </row>
    <row r="329" spans="9:74" s="389" customFormat="1">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89"/>
      <c r="BS329" s="689"/>
      <c r="BT329" s="689"/>
      <c r="BU329" s="689"/>
      <c r="BV329" s="689"/>
    </row>
    <row r="330" spans="9:74" s="389" customFormat="1">
      <c r="I330" s="689"/>
      <c r="J330" s="689"/>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89"/>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89"/>
      <c r="BU330" s="689"/>
      <c r="BV330" s="689"/>
    </row>
    <row r="331" spans="9:74" s="389" customFormat="1">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89"/>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89"/>
      <c r="BU331" s="689"/>
      <c r="BV331" s="689"/>
    </row>
    <row r="332" spans="9:74" s="389" customFormat="1">
      <c r="I332" s="689"/>
      <c r="J332" s="689"/>
      <c r="K332" s="689"/>
      <c r="L332" s="689"/>
      <c r="M332" s="689"/>
      <c r="N332" s="689"/>
      <c r="O332" s="689"/>
      <c r="P332" s="689"/>
      <c r="Q332" s="689"/>
      <c r="R332" s="689"/>
      <c r="S332" s="689"/>
      <c r="T332" s="689"/>
      <c r="U332" s="689"/>
      <c r="V332" s="689"/>
      <c r="W332" s="689"/>
      <c r="X332" s="689"/>
      <c r="Y332" s="689"/>
      <c r="Z332" s="689"/>
      <c r="AA332" s="689"/>
      <c r="AB332" s="689"/>
      <c r="AC332" s="689"/>
      <c r="AD332" s="689"/>
      <c r="AE332" s="689"/>
      <c r="AF332" s="689"/>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c r="BG332" s="689"/>
      <c r="BH332" s="689"/>
      <c r="BI332" s="689"/>
      <c r="BJ332" s="689"/>
      <c r="BK332" s="689"/>
      <c r="BL332" s="689"/>
      <c r="BM332" s="689"/>
      <c r="BN332" s="689"/>
      <c r="BO332" s="689"/>
      <c r="BP332" s="689"/>
      <c r="BQ332" s="689"/>
      <c r="BR332" s="689"/>
      <c r="BS332" s="689"/>
      <c r="BT332" s="689"/>
      <c r="BU332" s="689"/>
      <c r="BV332" s="689"/>
    </row>
    <row r="333" spans="9:74" s="389" customFormat="1">
      <c r="I333" s="689"/>
      <c r="J333" s="689"/>
      <c r="K333" s="689"/>
      <c r="L333" s="689"/>
      <c r="M333" s="689"/>
      <c r="N333" s="689"/>
      <c r="O333" s="689"/>
      <c r="P333" s="689"/>
      <c r="Q333" s="689"/>
      <c r="R333" s="689"/>
      <c r="S333" s="689"/>
      <c r="T333" s="689"/>
      <c r="U333" s="689"/>
      <c r="V333" s="689"/>
      <c r="W333" s="689"/>
      <c r="X333" s="689"/>
      <c r="Y333" s="689"/>
      <c r="Z333" s="689"/>
      <c r="AA333" s="689"/>
      <c r="AB333" s="689"/>
      <c r="AC333" s="689"/>
      <c r="AD333" s="689"/>
      <c r="AE333" s="689"/>
      <c r="AF333" s="689"/>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c r="BG333" s="689"/>
      <c r="BH333" s="689"/>
      <c r="BI333" s="689"/>
      <c r="BJ333" s="689"/>
      <c r="BK333" s="689"/>
      <c r="BL333" s="689"/>
      <c r="BM333" s="689"/>
      <c r="BN333" s="689"/>
      <c r="BO333" s="689"/>
      <c r="BP333" s="689"/>
      <c r="BQ333" s="689"/>
      <c r="BR333" s="689"/>
      <c r="BS333" s="689"/>
      <c r="BT333" s="689"/>
      <c r="BU333" s="689"/>
      <c r="BV333" s="689"/>
    </row>
    <row r="334" spans="9:74" s="389" customFormat="1">
      <c r="I334" s="689"/>
      <c r="J334" s="689"/>
      <c r="K334" s="689"/>
      <c r="L334" s="689"/>
      <c r="M334" s="689"/>
      <c r="N334" s="689"/>
      <c r="O334" s="689"/>
      <c r="P334" s="689"/>
      <c r="Q334" s="689"/>
      <c r="R334" s="689"/>
      <c r="S334" s="689"/>
      <c r="T334" s="689"/>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row>
    <row r="335" spans="9:74" s="389" customFormat="1">
      <c r="I335" s="689"/>
      <c r="J335" s="689"/>
      <c r="K335" s="689"/>
      <c r="L335" s="689"/>
      <c r="M335" s="689"/>
      <c r="N335" s="689"/>
      <c r="O335" s="689"/>
      <c r="P335" s="689"/>
      <c r="Q335" s="689"/>
      <c r="R335" s="689"/>
      <c r="S335" s="689"/>
      <c r="T335" s="689"/>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c r="BG335" s="689"/>
      <c r="BH335" s="689"/>
      <c r="BI335" s="689"/>
      <c r="BJ335" s="689"/>
      <c r="BK335" s="689"/>
      <c r="BL335" s="689"/>
      <c r="BM335" s="689"/>
      <c r="BN335" s="689"/>
      <c r="BO335" s="689"/>
      <c r="BP335" s="689"/>
      <c r="BQ335" s="689"/>
      <c r="BR335" s="689"/>
      <c r="BS335" s="689"/>
      <c r="BT335" s="689"/>
      <c r="BU335" s="689"/>
      <c r="BV335" s="689"/>
    </row>
    <row r="336" spans="9:74" s="389" customFormat="1">
      <c r="I336" s="689"/>
      <c r="J336" s="689"/>
      <c r="K336" s="689"/>
      <c r="L336" s="689"/>
      <c r="M336" s="689"/>
      <c r="N336" s="689"/>
      <c r="O336" s="689"/>
      <c r="P336" s="689"/>
      <c r="Q336" s="689"/>
      <c r="R336" s="689"/>
      <c r="S336" s="689"/>
      <c r="T336" s="689"/>
      <c r="U336" s="689"/>
      <c r="V336" s="689"/>
      <c r="W336" s="689"/>
      <c r="X336" s="689"/>
      <c r="Y336" s="689"/>
      <c r="Z336" s="689"/>
      <c r="AA336" s="689"/>
      <c r="AB336" s="689"/>
      <c r="AC336" s="689"/>
      <c r="AD336" s="689"/>
      <c r="AE336" s="689"/>
      <c r="AF336" s="689"/>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c r="BG336" s="689"/>
      <c r="BH336" s="689"/>
      <c r="BI336" s="689"/>
      <c r="BJ336" s="689"/>
      <c r="BK336" s="689"/>
      <c r="BL336" s="689"/>
      <c r="BM336" s="689"/>
      <c r="BN336" s="689"/>
      <c r="BO336" s="689"/>
      <c r="BP336" s="689"/>
      <c r="BQ336" s="689"/>
      <c r="BR336" s="689"/>
      <c r="BS336" s="689"/>
      <c r="BT336" s="689"/>
      <c r="BU336" s="689"/>
      <c r="BV336" s="689"/>
    </row>
    <row r="337" spans="1:74" s="389" customFormat="1">
      <c r="I337" s="689"/>
      <c r="J337" s="689"/>
      <c r="K337" s="689"/>
      <c r="L337" s="689"/>
      <c r="M337" s="689"/>
      <c r="N337" s="689"/>
      <c r="O337" s="689"/>
      <c r="P337" s="689"/>
      <c r="Q337" s="689"/>
      <c r="R337" s="689"/>
      <c r="S337" s="689"/>
      <c r="T337" s="689"/>
      <c r="U337" s="689"/>
      <c r="V337" s="689"/>
      <c r="W337" s="689"/>
      <c r="X337" s="689"/>
      <c r="Y337" s="689"/>
      <c r="Z337" s="689"/>
      <c r="AA337" s="689"/>
      <c r="AB337" s="689"/>
      <c r="AC337" s="689"/>
      <c r="AD337" s="689"/>
      <c r="AE337" s="689"/>
      <c r="AF337" s="689"/>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c r="BG337" s="689"/>
      <c r="BH337" s="689"/>
      <c r="BI337" s="689"/>
      <c r="BJ337" s="689"/>
      <c r="BK337" s="689"/>
      <c r="BL337" s="689"/>
      <c r="BM337" s="689"/>
      <c r="BN337" s="689"/>
      <c r="BO337" s="689"/>
      <c r="BP337" s="689"/>
      <c r="BQ337" s="689"/>
      <c r="BR337" s="689"/>
      <c r="BS337" s="689"/>
      <c r="BT337" s="689"/>
      <c r="BU337" s="689"/>
      <c r="BV337" s="689"/>
    </row>
    <row r="338" spans="1:74" s="389" customFormat="1">
      <c r="M338" s="689"/>
      <c r="N338" s="689"/>
      <c r="O338" s="689"/>
      <c r="P338" s="689"/>
      <c r="Q338" s="689"/>
      <c r="R338" s="689"/>
      <c r="S338" s="689"/>
      <c r="T338" s="689"/>
      <c r="U338" s="689"/>
      <c r="V338" s="689"/>
      <c r="W338" s="689"/>
      <c r="X338" s="689"/>
      <c r="Y338" s="689"/>
      <c r="Z338" s="689"/>
      <c r="AA338" s="689"/>
      <c r="AB338" s="689"/>
      <c r="AC338" s="689"/>
      <c r="AD338" s="689"/>
      <c r="AE338" s="689"/>
      <c r="AF338" s="689"/>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c r="BG338" s="689"/>
      <c r="BH338" s="689"/>
      <c r="BI338" s="689"/>
      <c r="BJ338" s="689"/>
      <c r="BK338" s="689"/>
      <c r="BL338" s="689"/>
      <c r="BM338" s="689"/>
      <c r="BN338" s="689"/>
      <c r="BO338" s="689"/>
      <c r="BP338" s="689"/>
      <c r="BQ338" s="689"/>
      <c r="BR338" s="689"/>
      <c r="BS338" s="689"/>
      <c r="BT338" s="689"/>
      <c r="BU338" s="689"/>
      <c r="BV338" s="689"/>
    </row>
    <row r="339" spans="1:74" s="389" customFormat="1" ht="20.399999999999999">
      <c r="A339" s="718"/>
      <c r="M339" s="689"/>
      <c r="N339" s="689"/>
      <c r="O339" s="689"/>
      <c r="P339" s="689"/>
      <c r="Q339" s="689"/>
      <c r="R339" s="689"/>
      <c r="S339" s="689"/>
      <c r="T339" s="689"/>
      <c r="U339" s="689"/>
      <c r="V339" s="689"/>
      <c r="W339" s="689"/>
      <c r="X339" s="689"/>
      <c r="Y339" s="689"/>
      <c r="Z339" s="689"/>
      <c r="AA339" s="689"/>
      <c r="AB339" s="689"/>
      <c r="AC339" s="689"/>
      <c r="AD339" s="689"/>
      <c r="AE339" s="689"/>
      <c r="AF339" s="689"/>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c r="BG339" s="689"/>
      <c r="BH339" s="689"/>
      <c r="BI339" s="689"/>
      <c r="BJ339" s="689"/>
      <c r="BK339" s="689"/>
      <c r="BL339" s="689"/>
      <c r="BM339" s="689"/>
      <c r="BN339" s="689"/>
      <c r="BO339" s="689"/>
      <c r="BP339" s="689"/>
      <c r="BQ339" s="689"/>
      <c r="BR339" s="689"/>
      <c r="BS339" s="689"/>
      <c r="BT339" s="689"/>
      <c r="BU339" s="689"/>
      <c r="BV339" s="689"/>
    </row>
    <row r="340" spans="1:74" s="389" customFormat="1" ht="17.399999999999999">
      <c r="A340" s="699" t="s">
        <v>803</v>
      </c>
      <c r="M340" s="689"/>
      <c r="N340" s="689"/>
      <c r="O340" s="689"/>
      <c r="P340" s="689"/>
      <c r="Q340" s="689"/>
      <c r="R340" s="689"/>
      <c r="S340" s="689"/>
      <c r="T340" s="689"/>
      <c r="U340" s="689"/>
      <c r="V340" s="689"/>
      <c r="W340" s="689"/>
      <c r="X340" s="689"/>
      <c r="Y340" s="689"/>
      <c r="Z340" s="689"/>
      <c r="AA340" s="689"/>
      <c r="AB340" s="689"/>
      <c r="AC340" s="689"/>
      <c r="AD340" s="689"/>
      <c r="AE340" s="689"/>
      <c r="AF340" s="689"/>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c r="BG340" s="689"/>
      <c r="BH340" s="689"/>
      <c r="BI340" s="689"/>
      <c r="BJ340" s="689"/>
      <c r="BK340" s="689"/>
      <c r="BL340" s="689"/>
      <c r="BM340" s="689"/>
      <c r="BN340" s="689"/>
      <c r="BO340" s="689"/>
      <c r="BP340" s="689"/>
      <c r="BQ340" s="689"/>
      <c r="BR340" s="689"/>
      <c r="BS340" s="689"/>
      <c r="BT340" s="689"/>
      <c r="BU340" s="689"/>
      <c r="BV340" s="689"/>
    </row>
    <row r="341" spans="1:74" s="389" customFormat="1" ht="17.399999999999999">
      <c r="A341" s="699" t="s">
        <v>804</v>
      </c>
      <c r="D341" s="689"/>
      <c r="M341" s="689"/>
      <c r="N341" s="689"/>
      <c r="O341" s="689"/>
      <c r="P341" s="689"/>
      <c r="Q341" s="689"/>
      <c r="R341" s="689"/>
      <c r="S341" s="689"/>
      <c r="T341" s="689"/>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89"/>
      <c r="BK341" s="689"/>
      <c r="BL341" s="689"/>
      <c r="BM341" s="689"/>
      <c r="BN341" s="689"/>
      <c r="BO341" s="689"/>
      <c r="BP341" s="689"/>
      <c r="BQ341" s="689"/>
      <c r="BR341" s="689"/>
      <c r="BS341" s="689"/>
      <c r="BT341" s="689"/>
      <c r="BU341" s="689"/>
      <c r="BV341" s="689"/>
    </row>
    <row r="342" spans="1:74" s="389" customFormat="1" ht="27.6">
      <c r="B342" s="736" t="s">
        <v>573</v>
      </c>
      <c r="C342" s="736" t="s">
        <v>666</v>
      </c>
      <c r="D342" s="688" t="s">
        <v>1362</v>
      </c>
      <c r="E342" s="736" t="s">
        <v>668</v>
      </c>
      <c r="F342" s="736" t="s">
        <v>669</v>
      </c>
      <c r="G342" s="736" t="s">
        <v>665</v>
      </c>
      <c r="M342" s="689"/>
      <c r="N342" s="689"/>
      <c r="O342" s="689"/>
      <c r="P342" s="689"/>
      <c r="Q342" s="689"/>
      <c r="R342" s="689"/>
      <c r="S342" s="689"/>
      <c r="T342" s="689"/>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row>
    <row r="343" spans="1:74" s="389" customFormat="1">
      <c r="A343" s="734">
        <v>2022</v>
      </c>
      <c r="B343" s="735">
        <f>FL_mult_supplies_p.hole</f>
        <v>27600</v>
      </c>
      <c r="C343" s="735">
        <f>SE_mult_supplies_p.hole</f>
        <v>30300</v>
      </c>
      <c r="D343" s="735">
        <f>BOCA_mult_supplies_p.hole</f>
        <v>23400</v>
      </c>
      <c r="E343" s="735">
        <f>SW_mult_supplies_p.hole</f>
        <v>29400</v>
      </c>
      <c r="F343" s="735"/>
      <c r="G343" s="735">
        <f>NC_mult_supplies_p.hole</f>
        <v>27000</v>
      </c>
      <c r="M343" s="689"/>
      <c r="N343" s="689"/>
      <c r="O343" s="689"/>
      <c r="P343" s="689"/>
      <c r="Q343" s="689"/>
      <c r="R343" s="689"/>
      <c r="S343" s="689"/>
      <c r="T343" s="689"/>
      <c r="U343" s="689"/>
      <c r="V343" s="689"/>
      <c r="W343" s="689"/>
      <c r="X343" s="689"/>
      <c r="Y343" s="689"/>
      <c r="Z343" s="689"/>
      <c r="AA343" s="689"/>
      <c r="AB343" s="689"/>
      <c r="AC343" s="689"/>
      <c r="AD343" s="689"/>
      <c r="AE343" s="689"/>
      <c r="AF343" s="689"/>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c r="BG343" s="689"/>
      <c r="BH343" s="689"/>
      <c r="BI343" s="689"/>
      <c r="BJ343" s="689"/>
      <c r="BK343" s="689"/>
      <c r="BL343" s="689"/>
      <c r="BM343" s="689"/>
      <c r="BN343" s="689"/>
      <c r="BO343" s="689"/>
      <c r="BP343" s="689"/>
      <c r="BQ343" s="689"/>
      <c r="BR343" s="689"/>
      <c r="BS343" s="689"/>
      <c r="BT343" s="689"/>
      <c r="BU343" s="689"/>
      <c r="BV343" s="689"/>
    </row>
    <row r="344" spans="1:74" s="389" customFormat="1">
      <c r="A344" s="734">
        <v>2021</v>
      </c>
      <c r="B344" s="735">
        <v>24900</v>
      </c>
      <c r="C344" s="735">
        <v>25500</v>
      </c>
      <c r="D344" s="735">
        <v>21900</v>
      </c>
      <c r="E344" s="735">
        <v>28900</v>
      </c>
      <c r="F344" s="735"/>
      <c r="G344" s="735">
        <v>21800</v>
      </c>
      <c r="M344" s="689"/>
      <c r="N344" s="689"/>
      <c r="O344" s="689"/>
      <c r="P344" s="689"/>
      <c r="Q344" s="689"/>
      <c r="R344" s="689"/>
      <c r="S344" s="689"/>
      <c r="T344" s="689"/>
      <c r="U344" s="689"/>
      <c r="V344" s="689"/>
      <c r="W344" s="689"/>
      <c r="X344" s="689"/>
      <c r="Y344" s="689"/>
      <c r="Z344" s="689"/>
      <c r="AA344" s="689"/>
      <c r="AB344" s="689"/>
      <c r="AC344" s="689"/>
      <c r="AD344" s="689"/>
      <c r="AE344" s="689"/>
      <c r="AF344" s="689"/>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c r="BG344" s="689"/>
      <c r="BH344" s="689"/>
      <c r="BI344" s="689"/>
      <c r="BJ344" s="689"/>
      <c r="BK344" s="689"/>
      <c r="BL344" s="689"/>
      <c r="BM344" s="689"/>
      <c r="BN344" s="689"/>
      <c r="BO344" s="689"/>
      <c r="BP344" s="689"/>
      <c r="BQ344" s="689"/>
      <c r="BR344" s="689"/>
      <c r="BS344" s="689"/>
      <c r="BT344" s="689"/>
      <c r="BU344" s="689"/>
      <c r="BV344" s="689"/>
    </row>
    <row r="345" spans="1:74" s="389" customFormat="1">
      <c r="A345" s="734">
        <v>2020</v>
      </c>
      <c r="B345" s="735">
        <v>23200</v>
      </c>
      <c r="C345" s="735">
        <v>21800</v>
      </c>
      <c r="D345" s="735">
        <v>21600</v>
      </c>
      <c r="E345" s="735">
        <v>27100</v>
      </c>
      <c r="F345" s="735"/>
      <c r="G345" s="735">
        <v>18900</v>
      </c>
      <c r="M345" s="689"/>
      <c r="N345" s="689"/>
      <c r="O345" s="689"/>
      <c r="P345" s="689"/>
      <c r="Q345" s="689"/>
      <c r="R345" s="689"/>
      <c r="S345" s="689"/>
      <c r="T345" s="689"/>
      <c r="U345" s="689"/>
      <c r="V345" s="689"/>
      <c r="W345" s="689"/>
      <c r="X345" s="689"/>
      <c r="Y345" s="689"/>
      <c r="Z345" s="689"/>
      <c r="AA345" s="689"/>
      <c r="AB345" s="689"/>
      <c r="AC345" s="689"/>
      <c r="AD345" s="689"/>
      <c r="AE345" s="689"/>
      <c r="AF345" s="689"/>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c r="BG345" s="689"/>
      <c r="BH345" s="689"/>
      <c r="BI345" s="689"/>
      <c r="BJ345" s="689"/>
      <c r="BK345" s="689"/>
      <c r="BL345" s="689"/>
      <c r="BM345" s="689"/>
      <c r="BN345" s="689"/>
      <c r="BO345" s="689"/>
      <c r="BP345" s="689"/>
      <c r="BQ345" s="689"/>
      <c r="BR345" s="689"/>
      <c r="BS345" s="689"/>
      <c r="BT345" s="689"/>
      <c r="BU345" s="689"/>
      <c r="BV345" s="689"/>
    </row>
    <row r="346" spans="1:74" s="389" customFormat="1">
      <c r="A346" s="734">
        <v>2019</v>
      </c>
      <c r="B346" s="735">
        <v>22500</v>
      </c>
      <c r="C346" s="735">
        <v>21600</v>
      </c>
      <c r="D346" s="735">
        <v>21100</v>
      </c>
      <c r="E346" s="735">
        <v>24200</v>
      </c>
      <c r="F346" s="735"/>
      <c r="G346" s="735">
        <v>19600</v>
      </c>
      <c r="M346" s="689"/>
      <c r="N346" s="689"/>
      <c r="O346" s="689"/>
      <c r="P346" s="689"/>
      <c r="Q346" s="689"/>
      <c r="R346" s="689"/>
      <c r="S346" s="689"/>
      <c r="T346" s="689"/>
      <c r="U346" s="689"/>
      <c r="V346" s="689"/>
      <c r="W346" s="689"/>
      <c r="X346" s="689"/>
      <c r="Y346" s="689"/>
      <c r="Z346" s="689"/>
      <c r="AA346" s="689"/>
      <c r="AB346" s="689"/>
      <c r="AC346" s="689"/>
      <c r="AD346" s="689"/>
      <c r="AE346" s="689"/>
      <c r="AF346" s="689"/>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c r="BG346" s="689"/>
      <c r="BH346" s="689"/>
      <c r="BI346" s="689"/>
      <c r="BJ346" s="689"/>
      <c r="BK346" s="689"/>
      <c r="BL346" s="689"/>
      <c r="BM346" s="689"/>
      <c r="BN346" s="689"/>
      <c r="BO346" s="689"/>
      <c r="BP346" s="689"/>
      <c r="BQ346" s="689"/>
      <c r="BR346" s="689"/>
      <c r="BS346" s="689"/>
      <c r="BT346" s="689"/>
      <c r="BU346" s="689"/>
      <c r="BV346" s="689"/>
    </row>
    <row r="347" spans="1:74" s="389" customFormat="1">
      <c r="A347" s="734">
        <v>2018</v>
      </c>
      <c r="B347" s="735">
        <v>21700</v>
      </c>
      <c r="C347" s="735">
        <v>21500</v>
      </c>
      <c r="D347" s="735">
        <v>20100</v>
      </c>
      <c r="E347" s="735">
        <v>24400</v>
      </c>
      <c r="F347" s="735"/>
      <c r="G347" s="735">
        <v>18000</v>
      </c>
      <c r="M347" s="689"/>
      <c r="N347" s="689"/>
      <c r="O347" s="689"/>
      <c r="P347" s="689"/>
      <c r="Q347" s="689"/>
      <c r="R347" s="689"/>
      <c r="S347" s="689"/>
      <c r="T347" s="689"/>
      <c r="U347" s="689"/>
      <c r="V347" s="689"/>
      <c r="W347" s="689"/>
      <c r="X347" s="689"/>
      <c r="Y347" s="689"/>
      <c r="Z347" s="689"/>
      <c r="AA347" s="689"/>
      <c r="AB347" s="689"/>
      <c r="AC347" s="689"/>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row>
    <row r="348" spans="1:74" s="389" customFormat="1">
      <c r="A348" s="734">
        <v>2017</v>
      </c>
      <c r="B348" s="735">
        <v>20500</v>
      </c>
      <c r="C348" s="735">
        <v>21900</v>
      </c>
      <c r="D348" s="735">
        <v>17900</v>
      </c>
      <c r="E348" s="735">
        <v>21500</v>
      </c>
      <c r="F348" s="735"/>
      <c r="G348" s="735">
        <v>18700</v>
      </c>
      <c r="M348" s="689"/>
      <c r="N348" s="689"/>
      <c r="O348" s="689"/>
      <c r="P348" s="689"/>
      <c r="Q348" s="689"/>
      <c r="R348" s="689"/>
      <c r="S348" s="689"/>
      <c r="T348" s="689"/>
      <c r="U348" s="689"/>
      <c r="V348" s="689"/>
      <c r="W348" s="689"/>
      <c r="X348" s="689"/>
      <c r="Y348" s="689"/>
      <c r="Z348" s="689"/>
      <c r="AA348" s="689"/>
      <c r="AB348" s="689"/>
      <c r="AC348" s="689"/>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row>
    <row r="349" spans="1:74" s="389" customFormat="1">
      <c r="A349" s="734">
        <v>2016</v>
      </c>
      <c r="B349" s="735">
        <v>20000</v>
      </c>
      <c r="C349" s="735">
        <v>21800</v>
      </c>
      <c r="D349" s="735">
        <v>17600</v>
      </c>
      <c r="E349" s="735">
        <v>21200</v>
      </c>
      <c r="F349" s="735"/>
      <c r="G349" s="735">
        <v>17900</v>
      </c>
      <c r="M349" s="689"/>
      <c r="N349" s="689"/>
      <c r="O349" s="689"/>
      <c r="P349" s="689"/>
      <c r="Q349" s="689"/>
      <c r="R349" s="689"/>
      <c r="S349" s="689"/>
      <c r="T349" s="689"/>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c r="BG349" s="689"/>
      <c r="BH349" s="689"/>
      <c r="BI349" s="689"/>
      <c r="BJ349" s="689"/>
      <c r="BK349" s="689"/>
      <c r="BL349" s="689"/>
      <c r="BM349" s="689"/>
      <c r="BN349" s="689"/>
      <c r="BO349" s="689"/>
      <c r="BP349" s="689"/>
      <c r="BQ349" s="689"/>
      <c r="BR349" s="689"/>
      <c r="BS349" s="689"/>
      <c r="BT349" s="689"/>
      <c r="BU349" s="689"/>
      <c r="BV349" s="689"/>
    </row>
    <row r="350" spans="1:74" s="389" customFormat="1">
      <c r="A350" s="734">
        <v>2015</v>
      </c>
      <c r="B350" s="735">
        <v>20100</v>
      </c>
      <c r="C350" s="735">
        <v>21200</v>
      </c>
      <c r="D350" s="735">
        <v>17600</v>
      </c>
      <c r="E350" s="735">
        <v>21900</v>
      </c>
      <c r="F350" s="735"/>
      <c r="G350" s="735">
        <v>17900</v>
      </c>
      <c r="M350" s="689"/>
      <c r="N350" s="689"/>
      <c r="O350" s="689"/>
      <c r="P350" s="689"/>
      <c r="Q350" s="689"/>
      <c r="R350" s="689"/>
      <c r="S350" s="689"/>
      <c r="T350" s="689"/>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c r="BG350" s="689"/>
      <c r="BH350" s="689"/>
      <c r="BI350" s="689"/>
      <c r="BJ350" s="689"/>
      <c r="BK350" s="689"/>
      <c r="BL350" s="689"/>
      <c r="BM350" s="689"/>
      <c r="BN350" s="689"/>
      <c r="BO350" s="689"/>
      <c r="BP350" s="689"/>
      <c r="BQ350" s="689"/>
      <c r="BR350" s="689"/>
      <c r="BS350" s="689"/>
      <c r="BT350" s="689"/>
      <c r="BU350" s="689"/>
      <c r="BV350" s="689"/>
    </row>
    <row r="351" spans="1:74" s="389" customFormat="1">
      <c r="A351" s="734">
        <v>2014</v>
      </c>
      <c r="B351" s="735">
        <v>19500</v>
      </c>
      <c r="C351" s="735">
        <v>19200</v>
      </c>
      <c r="D351" s="735">
        <v>18300</v>
      </c>
      <c r="E351" s="735">
        <v>21400</v>
      </c>
      <c r="F351" s="735"/>
      <c r="G351" s="735">
        <v>18300</v>
      </c>
      <c r="M351" s="689"/>
      <c r="N351" s="689"/>
      <c r="O351" s="689"/>
      <c r="P351" s="689"/>
      <c r="Q351" s="689"/>
      <c r="R351" s="689"/>
      <c r="S351" s="689"/>
      <c r="T351" s="689"/>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89"/>
      <c r="BS351" s="689"/>
      <c r="BT351" s="689"/>
      <c r="BU351" s="689"/>
      <c r="BV351" s="689"/>
    </row>
    <row r="352" spans="1:74" s="389" customFormat="1">
      <c r="A352" s="734">
        <v>2013</v>
      </c>
      <c r="B352" s="735">
        <v>19400</v>
      </c>
      <c r="C352" s="735">
        <v>18800</v>
      </c>
      <c r="D352" s="735">
        <v>18400</v>
      </c>
      <c r="E352" s="735">
        <v>22500</v>
      </c>
      <c r="F352" s="735"/>
      <c r="G352" s="735">
        <v>16800</v>
      </c>
      <c r="M352" s="689"/>
      <c r="N352" s="689"/>
      <c r="O352" s="689"/>
      <c r="P352" s="689"/>
      <c r="Q352" s="689"/>
      <c r="R352" s="689"/>
      <c r="S352" s="689"/>
      <c r="T352" s="689"/>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89"/>
      <c r="BS352" s="689"/>
      <c r="BT352" s="689"/>
      <c r="BU352" s="689"/>
      <c r="BV352" s="689"/>
    </row>
    <row r="353" spans="1:74" s="389" customFormat="1">
      <c r="A353" s="734">
        <v>2012</v>
      </c>
      <c r="B353" s="735">
        <v>18300</v>
      </c>
      <c r="C353" s="735">
        <v>16600</v>
      </c>
      <c r="D353" s="735">
        <v>18300</v>
      </c>
      <c r="E353" s="735">
        <v>20000</v>
      </c>
      <c r="F353" s="735">
        <v>23100</v>
      </c>
      <c r="G353" s="735">
        <v>16700</v>
      </c>
      <c r="M353" s="689"/>
      <c r="N353" s="689"/>
      <c r="O353" s="689"/>
      <c r="P353" s="689"/>
      <c r="Q353" s="689"/>
      <c r="R353" s="689"/>
      <c r="S353" s="689"/>
      <c r="T353" s="689"/>
      <c r="U353" s="689"/>
      <c r="V353" s="689"/>
      <c r="W353" s="689"/>
      <c r="X353" s="689"/>
      <c r="Y353" s="689"/>
      <c r="Z353" s="689"/>
      <c r="AA353" s="689"/>
      <c r="AB353" s="689"/>
      <c r="AC353" s="689"/>
      <c r="AD353" s="689"/>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89"/>
      <c r="BS353" s="689"/>
      <c r="BT353" s="689"/>
      <c r="BU353" s="689"/>
      <c r="BV353" s="689"/>
    </row>
    <row r="354" spans="1:74" s="389" customFormat="1">
      <c r="A354" s="734">
        <v>2011</v>
      </c>
      <c r="B354" s="735">
        <v>18500</v>
      </c>
      <c r="C354" s="735">
        <v>17900</v>
      </c>
      <c r="D354" s="735">
        <v>17900</v>
      </c>
      <c r="E354" s="735">
        <v>19600</v>
      </c>
      <c r="F354" s="735">
        <v>22100</v>
      </c>
      <c r="G354" s="735">
        <v>16500</v>
      </c>
      <c r="M354" s="689"/>
      <c r="N354" s="689"/>
      <c r="O354" s="689"/>
      <c r="P354" s="689"/>
      <c r="Q354" s="689"/>
      <c r="R354" s="689"/>
      <c r="S354" s="689"/>
      <c r="T354" s="689"/>
      <c r="U354" s="689"/>
      <c r="V354" s="689"/>
      <c r="W354" s="689"/>
      <c r="X354" s="689"/>
      <c r="Y354" s="689"/>
      <c r="Z354" s="689"/>
      <c r="AA354" s="689"/>
      <c r="AB354" s="689"/>
      <c r="AC354" s="689"/>
      <c r="AD354" s="689"/>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89"/>
      <c r="BS354" s="689"/>
      <c r="BT354" s="689"/>
      <c r="BU354" s="689"/>
      <c r="BV354" s="689"/>
    </row>
    <row r="355" spans="1:74" s="389" customFormat="1">
      <c r="A355" s="734">
        <v>2010</v>
      </c>
      <c r="B355" s="735">
        <v>17900</v>
      </c>
      <c r="C355" s="735">
        <v>17000</v>
      </c>
      <c r="D355" s="735">
        <v>17800</v>
      </c>
      <c r="E355" s="735">
        <v>19400</v>
      </c>
      <c r="F355" s="735">
        <v>21600</v>
      </c>
      <c r="G355" s="735">
        <v>16300</v>
      </c>
      <c r="I355" s="689"/>
      <c r="J355" s="689"/>
      <c r="K355" s="689"/>
      <c r="L355" s="689"/>
      <c r="M355" s="689"/>
      <c r="N355" s="689"/>
      <c r="O355" s="689"/>
      <c r="P355" s="689"/>
      <c r="Q355" s="689"/>
      <c r="R355" s="689"/>
      <c r="S355" s="689"/>
      <c r="T355" s="689"/>
      <c r="U355" s="689"/>
      <c r="V355" s="689"/>
      <c r="W355" s="689"/>
      <c r="X355" s="689"/>
      <c r="Y355" s="689"/>
      <c r="Z355" s="689"/>
      <c r="AA355" s="689"/>
      <c r="AB355" s="689"/>
      <c r="AC355" s="689"/>
      <c r="AD355" s="689"/>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89"/>
      <c r="BS355" s="689"/>
      <c r="BT355" s="689"/>
      <c r="BU355" s="689"/>
      <c r="BV355" s="689"/>
    </row>
    <row r="356" spans="1:74" s="389" customFormat="1">
      <c r="A356" s="734">
        <v>2009</v>
      </c>
      <c r="B356" s="735">
        <v>18200</v>
      </c>
      <c r="C356" s="735">
        <v>17300</v>
      </c>
      <c r="D356" s="735">
        <v>18200</v>
      </c>
      <c r="E356" s="735">
        <v>21400</v>
      </c>
      <c r="F356" s="735">
        <v>21000</v>
      </c>
      <c r="G356" s="735">
        <v>17100</v>
      </c>
      <c r="H356" s="730"/>
      <c r="I356" s="689"/>
      <c r="J356" s="689"/>
      <c r="K356" s="689"/>
      <c r="L356" s="689"/>
      <c r="M356" s="689"/>
      <c r="N356" s="689"/>
      <c r="O356" s="689"/>
      <c r="P356" s="689"/>
      <c r="Q356" s="689"/>
      <c r="R356" s="689"/>
      <c r="S356" s="689"/>
      <c r="T356" s="689"/>
      <c r="U356" s="689"/>
      <c r="V356" s="689"/>
      <c r="W356" s="689"/>
      <c r="X356" s="689"/>
      <c r="Y356" s="689"/>
      <c r="Z356" s="689"/>
      <c r="AA356" s="689"/>
      <c r="AB356" s="689"/>
      <c r="AC356" s="689"/>
      <c r="AD356" s="689"/>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89"/>
      <c r="BS356" s="689"/>
      <c r="BT356" s="689"/>
      <c r="BU356" s="689"/>
      <c r="BV356" s="689"/>
    </row>
    <row r="357" spans="1:74" s="389" customFormat="1">
      <c r="A357" s="734">
        <v>2008</v>
      </c>
      <c r="B357" s="735">
        <v>17500</v>
      </c>
      <c r="C357" s="735">
        <v>18000</v>
      </c>
      <c r="D357" s="735">
        <v>17200</v>
      </c>
      <c r="E357" s="735">
        <v>21500</v>
      </c>
      <c r="F357" s="735">
        <v>22000</v>
      </c>
      <c r="G357" s="735">
        <v>16600</v>
      </c>
      <c r="H357" s="730"/>
      <c r="I357" s="689"/>
      <c r="J357" s="689"/>
      <c r="K357" s="689"/>
      <c r="L357" s="689"/>
      <c r="M357" s="689"/>
      <c r="N357" s="689"/>
      <c r="O357" s="689"/>
      <c r="P357" s="689"/>
      <c r="Q357" s="689"/>
      <c r="R357" s="689"/>
      <c r="S357" s="689"/>
      <c r="T357" s="689"/>
      <c r="U357" s="689"/>
      <c r="V357" s="689"/>
      <c r="W357" s="689"/>
      <c r="X357" s="689"/>
      <c r="Y357" s="689"/>
      <c r="Z357" s="689"/>
      <c r="AA357" s="689"/>
      <c r="AB357" s="689"/>
      <c r="AC357" s="689"/>
      <c r="AD357" s="689"/>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89"/>
      <c r="BS357" s="689"/>
      <c r="BT357" s="689"/>
      <c r="BU357" s="689"/>
      <c r="BV357" s="689"/>
    </row>
    <row r="358" spans="1:74" s="389" customFormat="1">
      <c r="A358" s="734">
        <v>2007</v>
      </c>
      <c r="B358" s="735">
        <v>16300</v>
      </c>
      <c r="C358" s="735">
        <v>13900</v>
      </c>
      <c r="D358" s="735">
        <v>15900</v>
      </c>
      <c r="E358" s="735">
        <v>19700</v>
      </c>
      <c r="F358" s="735">
        <v>17100</v>
      </c>
      <c r="G358" s="735">
        <v>16800</v>
      </c>
      <c r="H358" s="730"/>
      <c r="I358" s="689"/>
      <c r="J358" s="689"/>
      <c r="K358" s="689"/>
      <c r="L358" s="689"/>
      <c r="M358" s="689"/>
      <c r="N358" s="689"/>
      <c r="O358" s="689"/>
      <c r="P358" s="689"/>
      <c r="Q358" s="689"/>
      <c r="R358" s="689"/>
      <c r="S358" s="689"/>
      <c r="T358" s="689"/>
      <c r="U358" s="689"/>
      <c r="V358" s="689"/>
      <c r="W358" s="689"/>
      <c r="X358" s="689"/>
      <c r="Y358" s="689"/>
      <c r="Z358" s="689"/>
      <c r="AA358" s="689"/>
      <c r="AB358" s="689"/>
      <c r="AC358" s="689"/>
      <c r="AD358" s="689"/>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89"/>
      <c r="BS358" s="689"/>
      <c r="BT358" s="689"/>
      <c r="BU358" s="689"/>
      <c r="BV358" s="689"/>
    </row>
    <row r="359" spans="1:74" s="389" customFormat="1">
      <c r="A359" s="734">
        <v>2006</v>
      </c>
      <c r="B359" s="735">
        <v>15400</v>
      </c>
      <c r="C359" s="735">
        <v>14800</v>
      </c>
      <c r="D359" s="735">
        <v>13800</v>
      </c>
      <c r="E359" s="735">
        <v>19100</v>
      </c>
      <c r="F359" s="735">
        <v>17800</v>
      </c>
      <c r="G359" s="735">
        <v>14800</v>
      </c>
      <c r="H359" s="730"/>
      <c r="I359" s="689"/>
      <c r="J359" s="689"/>
      <c r="K359" s="689"/>
      <c r="L359" s="689"/>
      <c r="M359" s="689"/>
      <c r="N359" s="689"/>
      <c r="O359" s="689"/>
      <c r="P359" s="689"/>
      <c r="Q359" s="689"/>
      <c r="R359" s="689"/>
      <c r="S359" s="689"/>
      <c r="T359" s="689"/>
      <c r="U359" s="689"/>
      <c r="V359" s="689"/>
      <c r="W359" s="689"/>
      <c r="X359" s="689"/>
      <c r="Y359" s="689"/>
      <c r="Z359" s="689"/>
      <c r="AA359" s="689"/>
      <c r="AB359" s="689"/>
      <c r="AC359" s="689"/>
      <c r="AD359" s="689"/>
      <c r="AE359" s="689"/>
      <c r="AF359" s="689"/>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c r="BG359" s="689"/>
      <c r="BH359" s="689"/>
      <c r="BI359" s="689"/>
      <c r="BJ359" s="689"/>
      <c r="BK359" s="689"/>
      <c r="BL359" s="689"/>
      <c r="BM359" s="689"/>
      <c r="BN359" s="689"/>
      <c r="BO359" s="689"/>
      <c r="BP359" s="689"/>
      <c r="BQ359" s="689"/>
      <c r="BR359" s="689"/>
      <c r="BS359" s="689"/>
      <c r="BT359" s="689"/>
      <c r="BU359" s="689"/>
      <c r="BV359" s="689"/>
    </row>
    <row r="360" spans="1:74" s="389" customFormat="1">
      <c r="B360" s="730"/>
      <c r="E360" s="730"/>
      <c r="F360" s="730"/>
      <c r="G360" s="730"/>
      <c r="H360" s="730"/>
      <c r="I360" s="689"/>
      <c r="J360" s="689"/>
      <c r="K360" s="689"/>
      <c r="L360" s="689"/>
      <c r="M360" s="689"/>
      <c r="N360" s="689"/>
      <c r="O360" s="689"/>
      <c r="P360" s="689"/>
      <c r="Q360" s="689"/>
      <c r="R360" s="689"/>
      <c r="S360" s="689"/>
      <c r="T360" s="689"/>
      <c r="U360" s="689"/>
      <c r="V360" s="689"/>
      <c r="W360" s="689"/>
      <c r="X360" s="689"/>
      <c r="Y360" s="689"/>
      <c r="Z360" s="689"/>
      <c r="AA360" s="689"/>
      <c r="AB360" s="689"/>
      <c r="AC360" s="689"/>
      <c r="AD360" s="689"/>
      <c r="AE360" s="689"/>
      <c r="AF360" s="689"/>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c r="BG360" s="689"/>
      <c r="BH360" s="689"/>
      <c r="BI360" s="689"/>
      <c r="BJ360" s="689"/>
      <c r="BK360" s="689"/>
      <c r="BL360" s="689"/>
      <c r="BM360" s="689"/>
      <c r="BN360" s="689"/>
      <c r="BO360" s="689"/>
      <c r="BP360" s="689"/>
      <c r="BQ360" s="689"/>
      <c r="BR360" s="689"/>
      <c r="BS360" s="689"/>
      <c r="BT360" s="689"/>
      <c r="BU360" s="689"/>
      <c r="BV360" s="689"/>
    </row>
    <row r="361" spans="1:74" s="389" customFormat="1">
      <c r="B361" s="730"/>
      <c r="D361" s="730"/>
      <c r="E361" s="730"/>
      <c r="F361" s="730"/>
      <c r="G361" s="730"/>
      <c r="H361" s="730"/>
      <c r="I361" s="689"/>
      <c r="J361" s="689"/>
      <c r="K361" s="689"/>
      <c r="L361" s="689"/>
      <c r="M361" s="689"/>
      <c r="N361" s="689"/>
      <c r="O361" s="689"/>
      <c r="P361" s="689"/>
      <c r="Q361" s="689"/>
      <c r="R361" s="689"/>
      <c r="S361" s="689"/>
      <c r="T361" s="689"/>
      <c r="U361" s="689"/>
      <c r="V361" s="689"/>
      <c r="W361" s="689"/>
      <c r="X361" s="689"/>
      <c r="Y361" s="689"/>
      <c r="Z361" s="689"/>
      <c r="AA361" s="689"/>
      <c r="AB361" s="689"/>
      <c r="AC361" s="689"/>
      <c r="AD361" s="689"/>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89"/>
      <c r="BS361" s="689"/>
      <c r="BT361" s="689"/>
      <c r="BU361" s="689"/>
      <c r="BV361" s="689"/>
    </row>
    <row r="362" spans="1:74" s="389" customFormat="1">
      <c r="B362" s="730"/>
      <c r="C362" s="730"/>
      <c r="D362" s="730"/>
      <c r="E362" s="730"/>
      <c r="F362" s="730"/>
      <c r="G362" s="730"/>
      <c r="I362" s="689"/>
      <c r="J362" s="689"/>
      <c r="K362" s="689"/>
      <c r="L362" s="689"/>
      <c r="M362" s="689"/>
      <c r="N362" s="689"/>
      <c r="O362" s="689"/>
      <c r="P362" s="689"/>
      <c r="Q362" s="689"/>
      <c r="R362" s="689"/>
      <c r="S362" s="689"/>
      <c r="T362" s="689"/>
      <c r="U362" s="689"/>
      <c r="V362" s="689"/>
      <c r="W362" s="689"/>
      <c r="X362" s="689"/>
      <c r="Y362" s="689"/>
      <c r="Z362" s="689"/>
      <c r="AA362" s="689"/>
      <c r="AB362" s="689"/>
      <c r="AC362" s="689"/>
      <c r="AD362" s="689"/>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89"/>
      <c r="BS362" s="689"/>
      <c r="BT362" s="689"/>
      <c r="BU362" s="689"/>
      <c r="BV362" s="689"/>
    </row>
    <row r="363" spans="1:74" s="389" customFormat="1">
      <c r="B363" s="730"/>
      <c r="C363" s="730"/>
      <c r="D363" s="730"/>
      <c r="E363" s="730"/>
      <c r="F363" s="730"/>
      <c r="G363" s="730"/>
      <c r="I363" s="689"/>
      <c r="J363" s="689"/>
      <c r="K363" s="689"/>
      <c r="L363" s="689"/>
      <c r="M363" s="689"/>
      <c r="N363" s="689"/>
      <c r="O363" s="689"/>
      <c r="P363" s="689"/>
      <c r="Q363" s="689"/>
      <c r="R363" s="689"/>
      <c r="S363" s="689"/>
      <c r="T363" s="689"/>
      <c r="U363" s="689"/>
      <c r="V363" s="689"/>
      <c r="W363" s="689"/>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89"/>
      <c r="BO363" s="689"/>
      <c r="BP363" s="689"/>
      <c r="BQ363" s="689"/>
      <c r="BR363" s="689"/>
      <c r="BS363" s="689"/>
      <c r="BT363" s="689"/>
      <c r="BU363" s="689"/>
      <c r="BV363" s="689"/>
    </row>
    <row r="364" spans="1:74" s="389" customFormat="1">
      <c r="A364" s="730"/>
      <c r="B364" s="730"/>
      <c r="C364" s="730"/>
      <c r="D364" s="730"/>
      <c r="E364" s="730"/>
      <c r="F364" s="730"/>
      <c r="G364" s="730"/>
      <c r="I364" s="689"/>
      <c r="J364" s="689"/>
      <c r="K364" s="689"/>
      <c r="L364" s="689"/>
      <c r="M364" s="689"/>
      <c r="N364" s="689"/>
      <c r="O364" s="689"/>
      <c r="P364" s="689"/>
      <c r="Q364" s="689"/>
      <c r="R364" s="689"/>
      <c r="S364" s="689"/>
      <c r="T364" s="689"/>
      <c r="U364" s="689"/>
      <c r="V364" s="689"/>
      <c r="W364" s="689"/>
      <c r="X364" s="689"/>
      <c r="Y364" s="689"/>
      <c r="Z364" s="689"/>
      <c r="AA364" s="689"/>
      <c r="AB364" s="689"/>
      <c r="AC364" s="689"/>
      <c r="AD364" s="689"/>
      <c r="AE364" s="689"/>
      <c r="AF364" s="689"/>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c r="BG364" s="689"/>
      <c r="BH364" s="689"/>
      <c r="BI364" s="689"/>
      <c r="BJ364" s="689"/>
      <c r="BK364" s="689"/>
      <c r="BL364" s="689"/>
      <c r="BM364" s="689"/>
      <c r="BN364" s="689"/>
      <c r="BO364" s="689"/>
      <c r="BP364" s="689"/>
      <c r="BQ364" s="689"/>
      <c r="BR364" s="689"/>
      <c r="BS364" s="689"/>
      <c r="BT364" s="689"/>
      <c r="BU364" s="689"/>
      <c r="BV364" s="689"/>
    </row>
    <row r="365" spans="1:74" s="389" customFormat="1">
      <c r="A365" s="730"/>
      <c r="B365" s="730"/>
      <c r="C365" s="730"/>
      <c r="D365" s="730"/>
      <c r="E365" s="730"/>
      <c r="F365" s="730"/>
      <c r="G365" s="730"/>
      <c r="I365" s="689"/>
      <c r="J365" s="689"/>
      <c r="K365" s="689"/>
      <c r="L365" s="689"/>
      <c r="M365" s="689"/>
      <c r="N365" s="689"/>
      <c r="O365" s="689"/>
      <c r="P365" s="689"/>
      <c r="Q365" s="689"/>
      <c r="R365" s="689"/>
      <c r="S365" s="689"/>
      <c r="T365" s="689"/>
      <c r="U365" s="689"/>
      <c r="V365" s="689"/>
      <c r="W365" s="689"/>
      <c r="X365" s="689"/>
      <c r="Y365" s="689"/>
      <c r="Z365" s="689"/>
      <c r="AA365" s="689"/>
      <c r="AB365" s="689"/>
      <c r="AC365" s="689"/>
      <c r="AD365" s="689"/>
      <c r="AE365" s="689"/>
      <c r="AF365" s="689"/>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row>
    <row r="366" spans="1:74" s="389" customFormat="1">
      <c r="I366" s="689"/>
      <c r="J366" s="689"/>
      <c r="K366" s="689"/>
      <c r="L366" s="689"/>
      <c r="M366" s="689"/>
      <c r="N366" s="689"/>
      <c r="O366" s="689"/>
      <c r="P366" s="689"/>
      <c r="Q366" s="689"/>
      <c r="R366" s="689"/>
      <c r="S366" s="689"/>
      <c r="T366" s="689"/>
      <c r="U366" s="689"/>
      <c r="V366" s="689"/>
      <c r="W366" s="689"/>
      <c r="X366" s="689"/>
      <c r="Y366" s="689"/>
      <c r="Z366" s="689"/>
      <c r="AA366" s="689"/>
      <c r="AB366" s="689"/>
      <c r="AC366" s="689"/>
      <c r="AD366" s="689"/>
      <c r="AE366" s="689"/>
      <c r="AF366" s="689"/>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89"/>
      <c r="BS366" s="689"/>
      <c r="BT366" s="689"/>
      <c r="BU366" s="689"/>
      <c r="BV366" s="689"/>
    </row>
    <row r="367" spans="1:74" s="389" customFormat="1">
      <c r="I367" s="689"/>
      <c r="J367" s="689"/>
      <c r="K367" s="689"/>
      <c r="L367" s="689"/>
      <c r="M367" s="689"/>
      <c r="N367" s="689"/>
      <c r="O367" s="689"/>
      <c r="P367" s="689"/>
      <c r="Q367" s="689"/>
      <c r="R367" s="689"/>
      <c r="S367" s="689"/>
      <c r="T367" s="689"/>
      <c r="U367" s="689"/>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89"/>
      <c r="BT367" s="689"/>
      <c r="BU367" s="689"/>
      <c r="BV367" s="689"/>
    </row>
    <row r="368" spans="1:74" s="389" customFormat="1">
      <c r="I368" s="689"/>
      <c r="J368" s="689"/>
      <c r="K368" s="689"/>
      <c r="L368" s="689"/>
      <c r="M368" s="689"/>
      <c r="N368" s="689"/>
      <c r="O368" s="689"/>
      <c r="P368" s="689"/>
      <c r="Q368" s="689"/>
      <c r="R368" s="689"/>
      <c r="S368" s="689"/>
      <c r="T368" s="689"/>
      <c r="U368" s="689"/>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89"/>
      <c r="BT368" s="689"/>
      <c r="BU368" s="689"/>
      <c r="BV368" s="689"/>
    </row>
    <row r="369" spans="1:74" s="389" customFormat="1">
      <c r="I369" s="689"/>
      <c r="J369" s="689"/>
      <c r="K369" s="689"/>
      <c r="L369" s="689"/>
      <c r="M369" s="689"/>
      <c r="N369" s="689"/>
      <c r="O369" s="689"/>
      <c r="P369" s="689"/>
      <c r="Q369" s="689"/>
      <c r="R369" s="689"/>
      <c r="S369" s="689"/>
      <c r="T369" s="689"/>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row>
    <row r="370" spans="1:74" s="389" customFormat="1">
      <c r="I370" s="689"/>
      <c r="J370" s="689"/>
      <c r="K370" s="689"/>
      <c r="L370" s="689"/>
      <c r="M370" s="689"/>
      <c r="N370" s="689"/>
      <c r="O370" s="689"/>
      <c r="P370" s="689"/>
      <c r="Q370" s="689"/>
      <c r="R370" s="689"/>
      <c r="S370" s="689"/>
      <c r="T370" s="689"/>
      <c r="U370" s="689"/>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row>
    <row r="371" spans="1:74" s="389" customFormat="1">
      <c r="I371" s="689"/>
      <c r="J371" s="689"/>
      <c r="K371" s="689"/>
      <c r="L371" s="689"/>
      <c r="M371" s="689"/>
      <c r="N371" s="689"/>
      <c r="O371" s="689"/>
      <c r="P371" s="689"/>
      <c r="Q371" s="689"/>
      <c r="R371" s="689"/>
      <c r="S371" s="689"/>
      <c r="T371" s="689"/>
      <c r="U371" s="689"/>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row>
    <row r="372" spans="1:74" s="389" customFormat="1">
      <c r="I372" s="689"/>
      <c r="J372" s="689"/>
      <c r="K372" s="689"/>
      <c r="L372" s="689"/>
      <c r="M372" s="689"/>
      <c r="N372" s="689"/>
      <c r="O372" s="689"/>
      <c r="P372" s="689"/>
      <c r="Q372" s="689"/>
      <c r="R372" s="689"/>
      <c r="S372" s="689"/>
      <c r="T372" s="689"/>
      <c r="U372" s="689"/>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row>
    <row r="373" spans="1:74" s="389" customFormat="1">
      <c r="I373" s="689"/>
      <c r="J373" s="689"/>
      <c r="K373" s="689"/>
      <c r="L373" s="689"/>
      <c r="M373" s="689"/>
      <c r="N373" s="689"/>
      <c r="O373" s="689"/>
      <c r="P373" s="689"/>
      <c r="Q373" s="689"/>
      <c r="R373" s="689"/>
      <c r="S373" s="689"/>
      <c r="T373" s="689"/>
      <c r="U373" s="689"/>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row>
    <row r="374" spans="1:74" s="389" customFormat="1">
      <c r="I374" s="689"/>
      <c r="J374" s="689"/>
      <c r="K374" s="689"/>
      <c r="L374" s="689"/>
      <c r="M374" s="689"/>
      <c r="N374" s="689"/>
      <c r="O374" s="689"/>
      <c r="P374" s="689"/>
      <c r="Q374" s="689"/>
      <c r="R374" s="689"/>
      <c r="S374" s="689"/>
      <c r="T374" s="689"/>
      <c r="U374" s="689"/>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row>
    <row r="375" spans="1:74" s="389" customFormat="1">
      <c r="I375" s="689"/>
      <c r="J375" s="689"/>
      <c r="K375" s="689"/>
      <c r="L375" s="689"/>
      <c r="M375" s="689"/>
      <c r="N375" s="689"/>
      <c r="O375" s="689"/>
      <c r="P375" s="689"/>
      <c r="Q375" s="689"/>
      <c r="R375" s="689"/>
      <c r="S375" s="689"/>
      <c r="T375" s="689"/>
      <c r="U375" s="689"/>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row>
    <row r="376" spans="1:74" s="389" customFormat="1">
      <c r="I376" s="689"/>
      <c r="J376" s="689"/>
      <c r="K376" s="689"/>
      <c r="L376" s="689"/>
      <c r="M376" s="689"/>
      <c r="N376" s="689"/>
      <c r="O376" s="689"/>
      <c r="P376" s="689"/>
      <c r="Q376" s="689"/>
      <c r="R376" s="689"/>
      <c r="S376" s="689"/>
      <c r="T376" s="689"/>
      <c r="U376" s="689"/>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row>
    <row r="377" spans="1:74" s="389" customFormat="1">
      <c r="I377" s="689"/>
      <c r="J377" s="689"/>
      <c r="K377" s="689"/>
      <c r="L377" s="689"/>
      <c r="M377" s="689"/>
      <c r="N377" s="689"/>
      <c r="O377" s="689"/>
      <c r="P377" s="689"/>
      <c r="Q377" s="689"/>
      <c r="R377" s="689"/>
      <c r="S377" s="689"/>
      <c r="T377" s="689"/>
      <c r="U377" s="689"/>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row>
    <row r="378" spans="1:74" s="389" customFormat="1">
      <c r="I378" s="689"/>
      <c r="J378" s="689"/>
      <c r="K378" s="689"/>
      <c r="L378" s="689"/>
      <c r="M378" s="689"/>
      <c r="N378" s="689"/>
      <c r="O378" s="689"/>
      <c r="P378" s="689"/>
      <c r="Q378" s="689"/>
      <c r="R378" s="689"/>
      <c r="S378" s="689"/>
      <c r="T378" s="689"/>
      <c r="U378" s="689"/>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row>
    <row r="379" spans="1:74" s="389" customFormat="1">
      <c r="I379" s="689"/>
      <c r="J379" s="689"/>
      <c r="K379" s="689"/>
      <c r="L379" s="689"/>
      <c r="M379" s="689"/>
      <c r="N379" s="689"/>
      <c r="O379" s="689"/>
      <c r="P379" s="689"/>
      <c r="Q379" s="689"/>
      <c r="R379" s="689"/>
      <c r="S379" s="689"/>
      <c r="T379" s="689"/>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c r="BG379" s="689"/>
      <c r="BH379" s="689"/>
      <c r="BI379" s="689"/>
      <c r="BJ379" s="689"/>
      <c r="BK379" s="689"/>
      <c r="BL379" s="689"/>
      <c r="BM379" s="689"/>
      <c r="BN379" s="689"/>
      <c r="BO379" s="689"/>
      <c r="BP379" s="689"/>
      <c r="BQ379" s="689"/>
      <c r="BR379" s="689"/>
      <c r="BS379" s="689"/>
      <c r="BT379" s="689"/>
      <c r="BU379" s="689"/>
      <c r="BV379" s="689"/>
    </row>
    <row r="380" spans="1:74" s="389" customFormat="1">
      <c r="I380" s="689"/>
      <c r="J380" s="689"/>
      <c r="K380" s="689"/>
      <c r="L380" s="689"/>
      <c r="M380" s="689"/>
      <c r="N380" s="689"/>
      <c r="O380" s="689"/>
      <c r="P380" s="689"/>
      <c r="Q380" s="689"/>
      <c r="R380" s="689"/>
      <c r="S380" s="689"/>
      <c r="T380" s="689"/>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row>
    <row r="381" spans="1:74" s="389" customFormat="1">
      <c r="I381" s="689"/>
      <c r="J381" s="689"/>
      <c r="K381" s="689"/>
      <c r="L381" s="689"/>
      <c r="M381" s="689"/>
      <c r="N381" s="689"/>
      <c r="O381" s="689"/>
      <c r="P381" s="689"/>
      <c r="Q381" s="689"/>
      <c r="R381" s="689"/>
      <c r="S381" s="689"/>
      <c r="T381" s="689"/>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row>
    <row r="382" spans="1:74" s="389" customFormat="1">
      <c r="I382" s="689"/>
      <c r="J382" s="689"/>
      <c r="K382" s="689"/>
      <c r="L382" s="689"/>
      <c r="M382" s="689"/>
      <c r="N382" s="689"/>
      <c r="O382" s="689"/>
      <c r="P382" s="689"/>
      <c r="Q382" s="689"/>
      <c r="R382" s="689"/>
      <c r="S382" s="689"/>
      <c r="T382" s="689"/>
      <c r="U382" s="689"/>
      <c r="V382" s="689"/>
      <c r="W382" s="689"/>
      <c r="X382" s="689"/>
      <c r="Y382" s="689"/>
      <c r="Z382" s="689"/>
      <c r="AA382" s="689"/>
      <c r="AB382" s="689"/>
      <c r="AC382" s="689"/>
      <c r="AD382" s="689"/>
      <c r="AE382" s="689"/>
      <c r="AF382" s="689"/>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c r="BG382" s="689"/>
      <c r="BH382" s="689"/>
      <c r="BI382" s="689"/>
      <c r="BJ382" s="689"/>
      <c r="BK382" s="689"/>
      <c r="BL382" s="689"/>
      <c r="BM382" s="689"/>
      <c r="BN382" s="689"/>
      <c r="BO382" s="689"/>
      <c r="BP382" s="689"/>
      <c r="BQ382" s="689"/>
      <c r="BR382" s="689"/>
      <c r="BS382" s="689"/>
      <c r="BT382" s="689"/>
      <c r="BU382" s="689"/>
      <c r="BV382" s="689"/>
    </row>
    <row r="383" spans="1:74" s="389" customFormat="1">
      <c r="I383" s="689"/>
      <c r="J383" s="689"/>
      <c r="K383" s="689"/>
      <c r="L383" s="689"/>
      <c r="M383" s="689"/>
      <c r="N383" s="689"/>
      <c r="O383" s="689"/>
      <c r="P383" s="689"/>
      <c r="Q383" s="689"/>
      <c r="R383" s="689"/>
      <c r="S383" s="689"/>
      <c r="T383" s="689"/>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c r="BG383" s="689"/>
      <c r="BH383" s="689"/>
      <c r="BI383" s="689"/>
      <c r="BJ383" s="689"/>
      <c r="BK383" s="689"/>
      <c r="BL383" s="689"/>
      <c r="BM383" s="689"/>
      <c r="BN383" s="689"/>
      <c r="BO383" s="689"/>
      <c r="BP383" s="689"/>
      <c r="BQ383" s="689"/>
      <c r="BR383" s="689"/>
      <c r="BS383" s="689"/>
      <c r="BT383" s="689"/>
      <c r="BU383" s="689"/>
      <c r="BV383" s="689"/>
    </row>
    <row r="384" spans="1:74" s="737" customFormat="1" ht="15.6">
      <c r="A384" s="389"/>
      <c r="B384" s="389"/>
      <c r="C384" s="389"/>
      <c r="D384" s="389"/>
      <c r="E384" s="389"/>
      <c r="F384" s="389"/>
      <c r="G384" s="389"/>
      <c r="H384" s="736"/>
      <c r="I384" s="689"/>
      <c r="J384" s="689"/>
      <c r="K384" s="689"/>
      <c r="L384" s="689"/>
      <c r="M384" s="689"/>
      <c r="N384" s="689"/>
      <c r="O384" s="689"/>
      <c r="P384" s="689"/>
      <c r="Q384" s="689"/>
      <c r="R384" s="689"/>
      <c r="S384" s="689"/>
      <c r="T384" s="689"/>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89"/>
      <c r="BQ384" s="689"/>
      <c r="BR384" s="689"/>
      <c r="BS384" s="689"/>
      <c r="BT384" s="689"/>
      <c r="BU384" s="689"/>
      <c r="BV384" s="689"/>
    </row>
    <row r="385" spans="1:74" s="737" customFormat="1" ht="15.6">
      <c r="A385" s="389"/>
      <c r="B385" s="389"/>
      <c r="C385" s="389"/>
      <c r="D385" s="389"/>
      <c r="E385" s="389"/>
      <c r="F385" s="389"/>
      <c r="G385" s="389"/>
      <c r="I385" s="689"/>
      <c r="J385" s="689"/>
      <c r="K385" s="689"/>
      <c r="L385" s="689"/>
      <c r="M385" s="689"/>
      <c r="N385" s="689"/>
      <c r="O385" s="689"/>
      <c r="P385" s="689"/>
      <c r="Q385" s="689"/>
      <c r="R385" s="689"/>
      <c r="S385" s="689"/>
      <c r="T385" s="689"/>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89"/>
      <c r="BQ385" s="689"/>
      <c r="BR385" s="689"/>
      <c r="BS385" s="689"/>
      <c r="BT385" s="689"/>
      <c r="BU385" s="689"/>
      <c r="BV385" s="689"/>
    </row>
    <row r="386" spans="1:74" s="737" customFormat="1" ht="15.6">
      <c r="A386" s="389"/>
      <c r="B386" s="389"/>
      <c r="C386" s="389"/>
      <c r="D386" s="389"/>
      <c r="E386" s="389"/>
      <c r="F386" s="389"/>
      <c r="G386" s="389"/>
      <c r="I386" s="689"/>
      <c r="J386" s="689"/>
      <c r="K386" s="689"/>
      <c r="L386" s="689"/>
      <c r="M386" s="689"/>
      <c r="N386" s="689"/>
      <c r="O386" s="689"/>
      <c r="P386" s="689"/>
      <c r="Q386" s="689"/>
      <c r="R386" s="689"/>
      <c r="S386" s="689"/>
      <c r="T386" s="689"/>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89"/>
      <c r="BQ386" s="689"/>
      <c r="BR386" s="689"/>
      <c r="BS386" s="689"/>
      <c r="BT386" s="689"/>
      <c r="BU386" s="689"/>
      <c r="BV386" s="689"/>
    </row>
    <row r="387" spans="1:74" s="737" customFormat="1" ht="17.399999999999999">
      <c r="A387" s="699" t="s">
        <v>808</v>
      </c>
      <c r="B387" s="389"/>
      <c r="C387" s="389"/>
      <c r="D387" s="389"/>
      <c r="E387" s="389"/>
      <c r="F387" s="389"/>
      <c r="G387" s="389"/>
      <c r="I387" s="689"/>
      <c r="J387" s="689"/>
      <c r="K387" s="689"/>
      <c r="L387" s="689"/>
      <c r="M387" s="689"/>
      <c r="N387" s="689"/>
      <c r="O387" s="689"/>
      <c r="P387" s="689"/>
      <c r="Q387" s="689"/>
      <c r="R387" s="689"/>
      <c r="S387" s="689"/>
      <c r="T387" s="689"/>
      <c r="U387" s="689"/>
      <c r="V387" s="689"/>
      <c r="W387" s="689"/>
      <c r="X387" s="689"/>
      <c r="Y387" s="689"/>
      <c r="Z387" s="689"/>
      <c r="AA387" s="689"/>
      <c r="AB387" s="689"/>
      <c r="AC387" s="689"/>
      <c r="AD387" s="689"/>
      <c r="AE387" s="689"/>
      <c r="AF387" s="689"/>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row>
    <row r="388" spans="1:74" s="737" customFormat="1" ht="28.2">
      <c r="A388" s="389"/>
      <c r="B388" s="736" t="s">
        <v>667</v>
      </c>
      <c r="C388" s="736" t="s">
        <v>666</v>
      </c>
      <c r="D388" s="688" t="s">
        <v>1362</v>
      </c>
      <c r="E388" s="736" t="s">
        <v>659</v>
      </c>
      <c r="F388" s="736" t="s">
        <v>660</v>
      </c>
      <c r="G388" s="736" t="s">
        <v>665</v>
      </c>
      <c r="I388" s="689"/>
      <c r="J388" s="689"/>
      <c r="K388" s="689"/>
      <c r="L388" s="689"/>
      <c r="M388" s="689"/>
      <c r="N388" s="689"/>
      <c r="O388" s="689"/>
      <c r="P388" s="689"/>
      <c r="Q388" s="689"/>
      <c r="R388" s="689"/>
      <c r="S388" s="689"/>
      <c r="T388" s="689"/>
      <c r="U388" s="689"/>
      <c r="V388" s="689"/>
      <c r="W388" s="689"/>
      <c r="X388" s="689"/>
      <c r="Y388" s="689"/>
      <c r="Z388" s="689"/>
      <c r="AA388" s="689"/>
      <c r="AB388" s="689"/>
      <c r="AC388" s="689"/>
      <c r="AD388" s="689"/>
      <c r="AE388" s="689"/>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row>
    <row r="389" spans="1:74" s="737" customFormat="1" ht="15.6">
      <c r="A389" s="734">
        <v>2022</v>
      </c>
      <c r="B389" s="735">
        <f>FL_mult_salwage_p.hole+FL_mult_paytax_bens_p.hole</f>
        <v>59500</v>
      </c>
      <c r="C389" s="735">
        <f>SE_mult_salwage_p.hole+SE_mult_paytax_bens_p.hole</f>
        <v>60600</v>
      </c>
      <c r="D389" s="735">
        <f>BOCA_mult_salwage_p.hole+BOCA_mult_paytax_bens_p.hole</f>
        <v>60300</v>
      </c>
      <c r="E389" s="735">
        <f>SW_mult_salwage_p.hole+SW_mult_paytax_bens_p.hole</f>
        <v>60300</v>
      </c>
      <c r="F389" s="735"/>
      <c r="G389" s="735">
        <f>NC_mult_salwage_p.hole+NC_mult_paytax_bens_p.hole</f>
        <v>59600</v>
      </c>
      <c r="I389" s="689"/>
      <c r="J389" s="689"/>
      <c r="K389" s="689"/>
      <c r="L389" s="689"/>
      <c r="M389" s="689"/>
      <c r="N389" s="689"/>
      <c r="O389" s="689"/>
      <c r="P389" s="689"/>
      <c r="Q389" s="689"/>
      <c r="R389" s="689"/>
      <c r="S389" s="689"/>
      <c r="T389" s="689"/>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row>
    <row r="390" spans="1:74" s="737" customFormat="1" ht="15.6">
      <c r="A390" s="734">
        <v>2021</v>
      </c>
      <c r="B390" s="735">
        <v>54600</v>
      </c>
      <c r="C390" s="735">
        <v>57100</v>
      </c>
      <c r="D390" s="735">
        <v>57100</v>
      </c>
      <c r="E390" s="735">
        <v>56200</v>
      </c>
      <c r="F390" s="735"/>
      <c r="G390" s="735">
        <v>48400</v>
      </c>
      <c r="I390" s="689"/>
      <c r="J390" s="689"/>
      <c r="K390" s="689"/>
      <c r="L390" s="689"/>
      <c r="M390" s="689"/>
      <c r="N390" s="689"/>
      <c r="O390" s="689"/>
      <c r="P390" s="689"/>
      <c r="Q390" s="689"/>
      <c r="R390" s="689"/>
      <c r="S390" s="689"/>
      <c r="T390" s="689"/>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row>
    <row r="391" spans="1:74" s="737" customFormat="1" ht="15.6">
      <c r="A391" s="734">
        <v>2020</v>
      </c>
      <c r="B391" s="735">
        <v>53400</v>
      </c>
      <c r="C391" s="735">
        <v>49600</v>
      </c>
      <c r="D391" s="735">
        <v>55700</v>
      </c>
      <c r="E391" s="735">
        <v>56900</v>
      </c>
      <c r="F391" s="735"/>
      <c r="G391" s="735">
        <v>48600</v>
      </c>
      <c r="I391" s="689"/>
      <c r="J391" s="689"/>
      <c r="K391" s="689"/>
      <c r="L391" s="689"/>
      <c r="M391" s="689"/>
      <c r="N391" s="689"/>
      <c r="O391" s="689"/>
      <c r="P391" s="689"/>
      <c r="Q391" s="689"/>
      <c r="R391" s="689"/>
      <c r="S391" s="689"/>
      <c r="T391" s="689"/>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row>
    <row r="392" spans="1:74" s="737" customFormat="1" ht="15.6">
      <c r="A392" s="734">
        <v>2019</v>
      </c>
      <c r="B392" s="735">
        <v>53500</v>
      </c>
      <c r="C392" s="735">
        <v>50200</v>
      </c>
      <c r="D392" s="735">
        <v>54700</v>
      </c>
      <c r="E392" s="735">
        <v>55600</v>
      </c>
      <c r="F392" s="735"/>
      <c r="G392" s="735">
        <v>48500</v>
      </c>
      <c r="I392" s="689"/>
      <c r="J392" s="689"/>
      <c r="K392" s="689"/>
      <c r="L392" s="689"/>
      <c r="M392" s="689"/>
      <c r="N392" s="689"/>
      <c r="O392" s="689"/>
      <c r="P392" s="689"/>
      <c r="Q392" s="689"/>
      <c r="R392" s="689"/>
      <c r="S392" s="689"/>
      <c r="T392" s="689"/>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89"/>
      <c r="BO392" s="689"/>
      <c r="BP392" s="689"/>
      <c r="BQ392" s="689"/>
      <c r="BR392" s="689"/>
      <c r="BS392" s="689"/>
      <c r="BT392" s="689"/>
      <c r="BU392" s="689"/>
      <c r="BV392" s="689"/>
    </row>
    <row r="393" spans="1:74" s="737" customFormat="1" ht="15.6">
      <c r="A393" s="734">
        <v>2018</v>
      </c>
      <c r="B393" s="735">
        <v>50400</v>
      </c>
      <c r="C393" s="735">
        <v>51700</v>
      </c>
      <c r="D393" s="735">
        <v>53900</v>
      </c>
      <c r="E393" s="735">
        <v>50800</v>
      </c>
      <c r="F393" s="735"/>
      <c r="G393" s="735">
        <v>44200</v>
      </c>
      <c r="I393" s="689"/>
      <c r="J393" s="689"/>
      <c r="K393" s="689"/>
      <c r="L393" s="689"/>
      <c r="M393" s="689"/>
      <c r="N393" s="689"/>
      <c r="O393" s="689"/>
      <c r="P393" s="689"/>
      <c r="Q393" s="689"/>
      <c r="R393" s="689"/>
      <c r="S393" s="689"/>
      <c r="T393" s="689"/>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89"/>
      <c r="BO393" s="689"/>
      <c r="BP393" s="689"/>
      <c r="BQ393" s="689"/>
      <c r="BR393" s="689"/>
      <c r="BS393" s="689"/>
      <c r="BT393" s="689"/>
      <c r="BU393" s="689"/>
      <c r="BV393" s="689"/>
    </row>
    <row r="394" spans="1:74" s="737" customFormat="1" ht="15.6">
      <c r="A394" s="734">
        <v>2017</v>
      </c>
      <c r="B394" s="735">
        <v>49200</v>
      </c>
      <c r="C394" s="735">
        <v>48000</v>
      </c>
      <c r="D394" s="735">
        <v>50900</v>
      </c>
      <c r="E394" s="735">
        <v>50500</v>
      </c>
      <c r="F394" s="735"/>
      <c r="G394" s="735">
        <v>44100</v>
      </c>
      <c r="I394" s="689"/>
      <c r="J394" s="689"/>
      <c r="K394" s="689"/>
      <c r="L394" s="689"/>
      <c r="M394" s="689"/>
      <c r="N394" s="689"/>
      <c r="O394" s="689"/>
      <c r="P394" s="689"/>
      <c r="Q394" s="689"/>
      <c r="R394" s="689"/>
      <c r="S394" s="689"/>
      <c r="T394" s="689"/>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c r="BG394" s="689"/>
      <c r="BH394" s="689"/>
      <c r="BI394" s="689"/>
      <c r="BJ394" s="689"/>
      <c r="BK394" s="689"/>
      <c r="BL394" s="689"/>
      <c r="BM394" s="689"/>
      <c r="BN394" s="689"/>
      <c r="BO394" s="689"/>
      <c r="BP394" s="689"/>
      <c r="BQ394" s="689"/>
      <c r="BR394" s="689"/>
      <c r="BS394" s="689"/>
      <c r="BT394" s="689"/>
      <c r="BU394" s="689"/>
      <c r="BV394" s="689"/>
    </row>
    <row r="395" spans="1:74" s="737" customFormat="1" ht="15.6">
      <c r="A395" s="734">
        <v>2016</v>
      </c>
      <c r="B395" s="735">
        <v>47600</v>
      </c>
      <c r="C395" s="735">
        <v>47500</v>
      </c>
      <c r="D395" s="735">
        <v>48900</v>
      </c>
      <c r="E395" s="735">
        <v>49100</v>
      </c>
      <c r="F395" s="735"/>
      <c r="G395" s="735">
        <v>44500</v>
      </c>
      <c r="I395" s="689"/>
      <c r="J395" s="689"/>
      <c r="K395" s="689"/>
      <c r="L395" s="689"/>
      <c r="M395" s="689"/>
      <c r="N395" s="689"/>
      <c r="O395" s="689"/>
      <c r="P395" s="689"/>
      <c r="Q395" s="689"/>
      <c r="R395" s="689"/>
      <c r="S395" s="689"/>
      <c r="T395" s="689"/>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c r="BG395" s="689"/>
      <c r="BH395" s="689"/>
      <c r="BI395" s="689"/>
      <c r="BJ395" s="689"/>
      <c r="BK395" s="689"/>
      <c r="BL395" s="689"/>
      <c r="BM395" s="689"/>
      <c r="BN395" s="689"/>
      <c r="BO395" s="689"/>
      <c r="BP395" s="689"/>
      <c r="BQ395" s="689"/>
      <c r="BR395" s="689"/>
      <c r="BS395" s="689"/>
      <c r="BT395" s="689"/>
      <c r="BU395" s="689"/>
      <c r="BV395" s="689"/>
    </row>
    <row r="396" spans="1:74" s="737" customFormat="1" ht="15.6">
      <c r="A396" s="734">
        <v>2015</v>
      </c>
      <c r="B396" s="735">
        <v>47400</v>
      </c>
      <c r="C396" s="735">
        <v>47300</v>
      </c>
      <c r="D396" s="735">
        <v>48500</v>
      </c>
      <c r="E396" s="735">
        <v>47600</v>
      </c>
      <c r="F396" s="735"/>
      <c r="G396" s="735">
        <v>43900</v>
      </c>
      <c r="I396" s="689"/>
      <c r="J396" s="689"/>
      <c r="K396" s="689"/>
      <c r="L396" s="689"/>
      <c r="M396" s="689"/>
      <c r="N396" s="689"/>
      <c r="O396" s="689"/>
      <c r="P396" s="689"/>
      <c r="Q396" s="689"/>
      <c r="R396" s="689"/>
      <c r="S396" s="689"/>
      <c r="T396" s="689"/>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c r="BG396" s="689"/>
      <c r="BH396" s="689"/>
      <c r="BI396" s="689"/>
      <c r="BJ396" s="689"/>
      <c r="BK396" s="689"/>
      <c r="BL396" s="689"/>
      <c r="BM396" s="689"/>
      <c r="BN396" s="689"/>
      <c r="BO396" s="689"/>
      <c r="BP396" s="689"/>
      <c r="BQ396" s="689"/>
      <c r="BR396" s="689"/>
      <c r="BS396" s="689"/>
      <c r="BT396" s="689"/>
      <c r="BU396" s="689"/>
      <c r="BV396" s="689"/>
    </row>
    <row r="397" spans="1:74" s="737" customFormat="1" ht="15.6">
      <c r="A397" s="734">
        <v>2014</v>
      </c>
      <c r="B397" s="735">
        <v>44800</v>
      </c>
      <c r="C397" s="735">
        <v>44100</v>
      </c>
      <c r="D397" s="735">
        <v>47200</v>
      </c>
      <c r="E397" s="735">
        <v>45900</v>
      </c>
      <c r="F397" s="735"/>
      <c r="G397" s="735">
        <v>41700</v>
      </c>
      <c r="I397" s="689"/>
      <c r="J397" s="689"/>
      <c r="K397" s="689"/>
      <c r="L397" s="689"/>
      <c r="M397" s="689"/>
      <c r="N397" s="689"/>
      <c r="O397" s="689"/>
      <c r="P397" s="689"/>
      <c r="Q397" s="689"/>
      <c r="R397" s="689"/>
      <c r="S397" s="689"/>
      <c r="T397" s="689"/>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c r="BG397" s="689"/>
      <c r="BH397" s="689"/>
      <c r="BI397" s="689"/>
      <c r="BJ397" s="689"/>
      <c r="BK397" s="689"/>
      <c r="BL397" s="689"/>
      <c r="BM397" s="689"/>
      <c r="BN397" s="689"/>
      <c r="BO397" s="689"/>
      <c r="BP397" s="689"/>
      <c r="BQ397" s="689"/>
      <c r="BR397" s="689"/>
      <c r="BS397" s="689"/>
      <c r="BT397" s="689"/>
      <c r="BU397" s="689"/>
      <c r="BV397" s="689"/>
    </row>
    <row r="398" spans="1:74" s="737" customFormat="1" ht="15.6">
      <c r="A398" s="734">
        <v>2013</v>
      </c>
      <c r="B398" s="735">
        <v>43800</v>
      </c>
      <c r="C398" s="735">
        <v>42300</v>
      </c>
      <c r="D398" s="735">
        <v>46700</v>
      </c>
      <c r="E398" s="735">
        <v>45800</v>
      </c>
      <c r="F398" s="735"/>
      <c r="G398" s="735">
        <v>40800</v>
      </c>
      <c r="I398" s="689"/>
      <c r="J398" s="689"/>
      <c r="K398" s="689"/>
      <c r="L398" s="689"/>
      <c r="M398" s="689"/>
      <c r="N398" s="689"/>
      <c r="O398" s="689"/>
      <c r="P398" s="689"/>
      <c r="Q398" s="689"/>
      <c r="R398" s="689"/>
      <c r="S398" s="689"/>
      <c r="T398" s="689"/>
      <c r="U398" s="689"/>
      <c r="V398" s="689"/>
      <c r="W398" s="689"/>
      <c r="X398" s="689"/>
      <c r="Y398" s="689"/>
      <c r="Z398" s="689"/>
      <c r="AA398" s="689"/>
      <c r="AB398" s="689"/>
      <c r="AC398" s="689"/>
      <c r="AD398" s="689"/>
      <c r="AE398" s="689"/>
      <c r="AF398" s="689"/>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c r="BG398" s="689"/>
      <c r="BH398" s="689"/>
      <c r="BI398" s="689"/>
      <c r="BJ398" s="689"/>
      <c r="BK398" s="689"/>
      <c r="BL398" s="689"/>
      <c r="BM398" s="689"/>
      <c r="BN398" s="689"/>
      <c r="BO398" s="689"/>
      <c r="BP398" s="689"/>
      <c r="BQ398" s="689"/>
      <c r="BR398" s="689"/>
      <c r="BS398" s="689"/>
      <c r="BT398" s="689"/>
      <c r="BU398" s="689"/>
      <c r="BV398" s="689"/>
    </row>
    <row r="399" spans="1:74" s="737" customFormat="1" ht="15.6">
      <c r="A399" s="734">
        <v>2012</v>
      </c>
      <c r="B399" s="735">
        <v>42700</v>
      </c>
      <c r="C399" s="735">
        <v>38600</v>
      </c>
      <c r="D399" s="735">
        <v>45500</v>
      </c>
      <c r="E399" s="735">
        <v>44700</v>
      </c>
      <c r="F399" s="735">
        <v>45200</v>
      </c>
      <c r="G399" s="735">
        <v>40800</v>
      </c>
      <c r="I399" s="689"/>
      <c r="J399" s="689"/>
      <c r="K399" s="689"/>
      <c r="L399" s="689"/>
      <c r="M399" s="689"/>
      <c r="N399" s="689"/>
      <c r="O399" s="689"/>
      <c r="P399" s="689"/>
      <c r="Q399" s="689"/>
      <c r="R399" s="689"/>
      <c r="S399" s="689"/>
      <c r="T399" s="689"/>
      <c r="U399" s="689"/>
      <c r="V399" s="689"/>
      <c r="W399" s="689"/>
      <c r="X399" s="689"/>
      <c r="Y399" s="689"/>
      <c r="Z399" s="689"/>
      <c r="AA399" s="689"/>
      <c r="AB399" s="689"/>
      <c r="AC399" s="689"/>
      <c r="AD399" s="689"/>
      <c r="AE399" s="689"/>
      <c r="AF399" s="689"/>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c r="BG399" s="689"/>
      <c r="BH399" s="689"/>
      <c r="BI399" s="689"/>
      <c r="BJ399" s="689"/>
      <c r="BK399" s="689"/>
      <c r="BL399" s="689"/>
      <c r="BM399" s="689"/>
      <c r="BN399" s="689"/>
      <c r="BO399" s="689"/>
      <c r="BP399" s="689"/>
      <c r="BQ399" s="689"/>
      <c r="BR399" s="689"/>
      <c r="BS399" s="689"/>
      <c r="BT399" s="689"/>
      <c r="BU399" s="689"/>
      <c r="BV399" s="689"/>
    </row>
    <row r="400" spans="1:74" s="389" customFormat="1" ht="15.6">
      <c r="A400" s="734">
        <v>2011</v>
      </c>
      <c r="B400" s="735">
        <v>44500</v>
      </c>
      <c r="C400" s="735">
        <v>42500</v>
      </c>
      <c r="D400" s="735">
        <v>45500</v>
      </c>
      <c r="E400" s="735">
        <v>44200</v>
      </c>
      <c r="F400" s="735">
        <v>45800</v>
      </c>
      <c r="G400" s="735">
        <v>43800</v>
      </c>
      <c r="H400" s="737"/>
      <c r="I400" s="689"/>
      <c r="J400" s="689"/>
      <c r="K400" s="689"/>
      <c r="L400" s="689"/>
      <c r="M400" s="689"/>
      <c r="N400" s="689"/>
      <c r="O400" s="689"/>
      <c r="P400" s="689"/>
      <c r="Q400" s="689"/>
      <c r="R400" s="689"/>
      <c r="S400" s="689"/>
      <c r="T400" s="689"/>
      <c r="U400" s="689"/>
      <c r="V400" s="689"/>
      <c r="W400" s="689"/>
      <c r="X400" s="689"/>
      <c r="Y400" s="689"/>
      <c r="Z400" s="689"/>
      <c r="AA400" s="689"/>
      <c r="AB400" s="689"/>
      <c r="AC400" s="689"/>
      <c r="AD400" s="689"/>
      <c r="AE400" s="689"/>
      <c r="AF400" s="689"/>
      <c r="AG400" s="689"/>
      <c r="AH400" s="689"/>
      <c r="AI400" s="689"/>
      <c r="AJ400" s="689"/>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c r="BK400" s="689"/>
      <c r="BL400" s="689"/>
      <c r="BM400" s="689"/>
      <c r="BN400" s="689"/>
      <c r="BO400" s="689"/>
      <c r="BP400" s="689"/>
      <c r="BQ400" s="689"/>
      <c r="BR400" s="689"/>
      <c r="BS400" s="689"/>
      <c r="BT400" s="689"/>
      <c r="BU400" s="689"/>
      <c r="BV400" s="689"/>
    </row>
    <row r="401" spans="1:74" s="389" customFormat="1">
      <c r="A401" s="734">
        <v>2010</v>
      </c>
      <c r="B401" s="735">
        <v>43700</v>
      </c>
      <c r="C401" s="735">
        <v>41900</v>
      </c>
      <c r="D401" s="735">
        <v>44100</v>
      </c>
      <c r="E401" s="735">
        <v>43100</v>
      </c>
      <c r="F401" s="735">
        <v>43100</v>
      </c>
      <c r="G401" s="735">
        <v>45300</v>
      </c>
      <c r="I401" s="689"/>
      <c r="J401" s="689"/>
      <c r="K401" s="689"/>
      <c r="L401" s="689"/>
      <c r="M401" s="689"/>
      <c r="N401" s="689"/>
      <c r="O401" s="689"/>
      <c r="P401" s="689"/>
      <c r="Q401" s="689"/>
      <c r="R401" s="689"/>
      <c r="S401" s="689"/>
      <c r="T401" s="689"/>
      <c r="U401" s="689"/>
      <c r="V401" s="689"/>
      <c r="W401" s="689"/>
      <c r="X401" s="689"/>
      <c r="Y401" s="689"/>
      <c r="Z401" s="689"/>
      <c r="AA401" s="689"/>
      <c r="AB401" s="689"/>
      <c r="AC401" s="689"/>
      <c r="AD401" s="689"/>
      <c r="AE401" s="689"/>
      <c r="AF401" s="689"/>
      <c r="AG401" s="689"/>
      <c r="AH401" s="689"/>
      <c r="AI401" s="689"/>
      <c r="AJ401" s="689"/>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c r="BK401" s="689"/>
      <c r="BL401" s="689"/>
      <c r="BM401" s="689"/>
      <c r="BN401" s="689"/>
      <c r="BO401" s="689"/>
      <c r="BP401" s="689"/>
      <c r="BQ401" s="689"/>
      <c r="BR401" s="689"/>
      <c r="BS401" s="689"/>
      <c r="BT401" s="689"/>
      <c r="BU401" s="689"/>
      <c r="BV401" s="689"/>
    </row>
    <row r="402" spans="1:74" s="389" customFormat="1">
      <c r="A402" s="734">
        <v>2009</v>
      </c>
      <c r="B402" s="735">
        <f>35000+7900</f>
        <v>42900</v>
      </c>
      <c r="C402" s="735">
        <f>34900+8600</f>
        <v>43500</v>
      </c>
      <c r="D402" s="735">
        <f>35900+7500</f>
        <v>43400</v>
      </c>
      <c r="E402" s="735">
        <f>35600+8000</f>
        <v>43600</v>
      </c>
      <c r="F402" s="735">
        <f>34200+9200</f>
        <v>43400</v>
      </c>
      <c r="G402" s="735">
        <f>38600+9300</f>
        <v>47900</v>
      </c>
      <c r="I402" s="689"/>
      <c r="J402" s="689"/>
      <c r="K402" s="689"/>
      <c r="L402" s="689"/>
      <c r="M402" s="689"/>
      <c r="N402" s="689"/>
      <c r="O402" s="689"/>
      <c r="P402" s="689"/>
      <c r="Q402" s="689"/>
      <c r="R402" s="689"/>
      <c r="S402" s="689"/>
      <c r="T402" s="689"/>
      <c r="U402" s="689"/>
      <c r="V402" s="689"/>
      <c r="W402" s="689"/>
      <c r="X402" s="689"/>
      <c r="Y402" s="689"/>
      <c r="Z402" s="689"/>
      <c r="AA402" s="689"/>
      <c r="AB402" s="689"/>
      <c r="AC402" s="689"/>
      <c r="AD402" s="689"/>
      <c r="AE402" s="689"/>
      <c r="AF402" s="689"/>
      <c r="AG402" s="689"/>
      <c r="AH402" s="689"/>
      <c r="AI402" s="689"/>
      <c r="AJ402" s="689"/>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c r="BK402" s="689"/>
      <c r="BL402" s="689"/>
      <c r="BM402" s="689"/>
      <c r="BN402" s="689"/>
      <c r="BO402" s="689"/>
      <c r="BP402" s="689"/>
      <c r="BQ402" s="689"/>
      <c r="BR402" s="689"/>
      <c r="BS402" s="689"/>
      <c r="BT402" s="689"/>
      <c r="BU402" s="689"/>
      <c r="BV402" s="689"/>
    </row>
    <row r="403" spans="1:74" s="389" customFormat="1">
      <c r="A403" s="734">
        <v>2008</v>
      </c>
      <c r="B403" s="735">
        <f>33400+7700</f>
        <v>41100</v>
      </c>
      <c r="C403" s="735">
        <f>32700+7700</f>
        <v>40400</v>
      </c>
      <c r="D403" s="735">
        <f>35100+7400</f>
        <v>42500</v>
      </c>
      <c r="E403" s="735">
        <f>36000+8300</f>
        <v>44300</v>
      </c>
      <c r="F403" s="735">
        <f>32500+9500</f>
        <v>42000</v>
      </c>
      <c r="G403" s="735">
        <f>37000+9100</f>
        <v>46100</v>
      </c>
      <c r="I403" s="689"/>
      <c r="J403" s="689"/>
      <c r="K403" s="689"/>
      <c r="L403" s="689"/>
      <c r="M403" s="689"/>
      <c r="N403" s="689"/>
      <c r="O403" s="689"/>
      <c r="P403" s="689"/>
      <c r="Q403" s="689"/>
      <c r="R403" s="689"/>
      <c r="S403" s="689"/>
      <c r="T403" s="689"/>
      <c r="U403" s="689"/>
      <c r="V403" s="689"/>
      <c r="W403" s="689"/>
      <c r="X403" s="689"/>
      <c r="Y403" s="689"/>
      <c r="Z403" s="689"/>
      <c r="AA403" s="689"/>
      <c r="AB403" s="689"/>
      <c r="AC403" s="689"/>
      <c r="AD403" s="689"/>
      <c r="AE403" s="689"/>
      <c r="AF403" s="689"/>
      <c r="AG403" s="689"/>
      <c r="AH403" s="689"/>
      <c r="AI403" s="689"/>
      <c r="AJ403" s="689"/>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c r="BK403" s="689"/>
      <c r="BL403" s="689"/>
      <c r="BM403" s="689"/>
      <c r="BN403" s="689"/>
      <c r="BO403" s="689"/>
      <c r="BP403" s="689"/>
      <c r="BQ403" s="689"/>
      <c r="BR403" s="689"/>
      <c r="BS403" s="689"/>
      <c r="BT403" s="689"/>
      <c r="BU403" s="689"/>
      <c r="BV403" s="689"/>
    </row>
    <row r="404" spans="1:74" s="389" customFormat="1">
      <c r="A404" s="734">
        <v>2007</v>
      </c>
      <c r="B404" s="735">
        <f>33100+7500</f>
        <v>40600</v>
      </c>
      <c r="C404" s="735">
        <f>30300+6700</f>
        <v>37000</v>
      </c>
      <c r="D404" s="735">
        <f>34000+7000</f>
        <v>41000</v>
      </c>
      <c r="E404" s="735">
        <f>34800+8100</f>
        <v>42900</v>
      </c>
      <c r="F404" s="735">
        <f>30500+9300</f>
        <v>39800</v>
      </c>
      <c r="G404" s="735">
        <f>34300+8800</f>
        <v>43100</v>
      </c>
      <c r="I404" s="689"/>
      <c r="J404" s="689"/>
      <c r="K404" s="689"/>
      <c r="L404" s="689"/>
      <c r="M404" s="689"/>
      <c r="N404" s="689"/>
      <c r="O404" s="689"/>
      <c r="P404" s="689"/>
      <c r="Q404" s="689"/>
      <c r="R404" s="689"/>
      <c r="S404" s="689"/>
      <c r="T404" s="689"/>
      <c r="U404" s="689"/>
      <c r="V404" s="689"/>
      <c r="W404" s="689"/>
      <c r="X404" s="689"/>
      <c r="Y404" s="689"/>
      <c r="Z404" s="689"/>
      <c r="AA404" s="689"/>
      <c r="AB404" s="689"/>
      <c r="AC404" s="689"/>
      <c r="AD404" s="689"/>
      <c r="AE404" s="689"/>
      <c r="AF404" s="689"/>
      <c r="AG404" s="689"/>
      <c r="AH404" s="689"/>
      <c r="AI404" s="689"/>
      <c r="AJ404" s="689"/>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c r="BK404" s="689"/>
      <c r="BL404" s="689"/>
      <c r="BM404" s="689"/>
      <c r="BN404" s="689"/>
      <c r="BO404" s="689"/>
      <c r="BP404" s="689"/>
      <c r="BQ404" s="689"/>
      <c r="BR404" s="689"/>
      <c r="BS404" s="689"/>
      <c r="BT404" s="689"/>
      <c r="BU404" s="689"/>
      <c r="BV404" s="689"/>
    </row>
    <row r="405" spans="1:74" s="389" customFormat="1">
      <c r="A405" s="734">
        <v>2006</v>
      </c>
      <c r="B405" s="735">
        <f>30500+7200</f>
        <v>37700</v>
      </c>
      <c r="C405" s="735">
        <f>29700+7200</f>
        <v>36900</v>
      </c>
      <c r="D405" s="735">
        <f>31100+6500</f>
        <v>37600</v>
      </c>
      <c r="E405" s="735">
        <f>31800+7700</f>
        <v>39500</v>
      </c>
      <c r="F405" s="735">
        <f>32100+6800</f>
        <v>38900</v>
      </c>
      <c r="G405" s="735">
        <f>29800+7700</f>
        <v>37500</v>
      </c>
      <c r="I405" s="689"/>
      <c r="J405" s="689"/>
      <c r="K405" s="689"/>
      <c r="L405" s="689"/>
      <c r="M405" s="689"/>
      <c r="N405" s="689"/>
      <c r="O405" s="689"/>
      <c r="P405" s="689"/>
      <c r="Q405" s="689"/>
      <c r="R405" s="689"/>
      <c r="S405" s="689"/>
      <c r="T405" s="689"/>
      <c r="U405" s="689"/>
      <c r="V405" s="689"/>
      <c r="W405" s="689"/>
      <c r="X405" s="689"/>
      <c r="Y405" s="689"/>
      <c r="Z405" s="689"/>
      <c r="AA405" s="689"/>
      <c r="AB405" s="689"/>
      <c r="AC405" s="689"/>
      <c r="AD405" s="689"/>
      <c r="AE405" s="689"/>
      <c r="AF405" s="689"/>
      <c r="AG405" s="689"/>
      <c r="AH405" s="689"/>
      <c r="AI405" s="689"/>
      <c r="AJ405" s="689"/>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c r="BK405" s="689"/>
      <c r="BL405" s="689"/>
      <c r="BM405" s="689"/>
      <c r="BN405" s="689"/>
      <c r="BO405" s="689"/>
      <c r="BP405" s="689"/>
      <c r="BQ405" s="689"/>
      <c r="BR405" s="689"/>
      <c r="BS405" s="689"/>
      <c r="BT405" s="689"/>
      <c r="BU405" s="689"/>
      <c r="BV405" s="689"/>
    </row>
    <row r="406" spans="1:74" s="389" customFormat="1" ht="23.25" customHeight="1">
      <c r="B406" s="730"/>
      <c r="C406" s="730"/>
      <c r="D406" s="730"/>
      <c r="E406" s="730"/>
      <c r="F406" s="730"/>
      <c r="G406" s="730"/>
      <c r="I406" s="689"/>
      <c r="J406" s="689"/>
      <c r="K406" s="689"/>
      <c r="L406" s="689"/>
      <c r="M406" s="689"/>
      <c r="N406" s="689"/>
      <c r="O406" s="689"/>
      <c r="P406" s="689"/>
      <c r="Q406" s="689"/>
      <c r="R406" s="689"/>
      <c r="S406" s="689"/>
      <c r="T406" s="689"/>
      <c r="U406" s="689"/>
      <c r="V406" s="689"/>
      <c r="W406" s="689"/>
      <c r="X406" s="689"/>
      <c r="Y406" s="689"/>
      <c r="Z406" s="689"/>
      <c r="AA406" s="689"/>
      <c r="AB406" s="689"/>
      <c r="AC406" s="689"/>
      <c r="AD406" s="689"/>
      <c r="AE406" s="689"/>
      <c r="AF406" s="689"/>
      <c r="AG406" s="689"/>
      <c r="AH406" s="689"/>
      <c r="AI406" s="689"/>
      <c r="AJ406" s="689"/>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c r="BK406" s="689"/>
      <c r="BL406" s="689"/>
      <c r="BM406" s="689"/>
      <c r="BN406" s="689"/>
      <c r="BO406" s="689"/>
      <c r="BP406" s="689"/>
      <c r="BQ406" s="689"/>
      <c r="BR406" s="689"/>
      <c r="BS406" s="689"/>
      <c r="BT406" s="689"/>
      <c r="BU406" s="689"/>
      <c r="BV406" s="689"/>
    </row>
    <row r="407" spans="1:74" s="389" customFormat="1">
      <c r="B407" s="730"/>
      <c r="C407" s="730"/>
      <c r="D407" s="730"/>
      <c r="E407" s="730"/>
      <c r="F407" s="730"/>
      <c r="G407" s="730"/>
      <c r="I407" s="689"/>
      <c r="J407" s="689"/>
      <c r="K407" s="689"/>
      <c r="L407" s="689"/>
      <c r="M407" s="689"/>
      <c r="N407" s="689"/>
      <c r="O407" s="689"/>
      <c r="P407" s="689"/>
      <c r="Q407" s="689"/>
      <c r="R407" s="689"/>
      <c r="S407" s="689"/>
      <c r="T407" s="689"/>
      <c r="U407" s="689"/>
      <c r="V407" s="689"/>
      <c r="W407" s="689"/>
      <c r="X407" s="689"/>
      <c r="Y407" s="689"/>
      <c r="Z407" s="689"/>
      <c r="AA407" s="689"/>
      <c r="AB407" s="689"/>
      <c r="AC407" s="689"/>
      <c r="AD407" s="689"/>
      <c r="AE407" s="689"/>
      <c r="AF407" s="689"/>
      <c r="AG407" s="689"/>
      <c r="AH407" s="689"/>
      <c r="AI407" s="689"/>
      <c r="AJ407" s="689"/>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c r="BK407" s="689"/>
      <c r="BL407" s="689"/>
      <c r="BM407" s="689"/>
      <c r="BN407" s="689"/>
      <c r="BO407" s="689"/>
      <c r="BP407" s="689"/>
      <c r="BQ407" s="689"/>
      <c r="BR407" s="689"/>
      <c r="BS407" s="689"/>
      <c r="BT407" s="689"/>
      <c r="BU407" s="689"/>
      <c r="BV407" s="689"/>
    </row>
    <row r="408" spans="1:74" s="389" customFormat="1">
      <c r="B408" s="730"/>
      <c r="C408" s="730"/>
      <c r="D408" s="730"/>
      <c r="E408" s="730"/>
      <c r="F408" s="730"/>
      <c r="G408" s="730"/>
      <c r="I408" s="689"/>
      <c r="J408" s="689"/>
      <c r="K408" s="689"/>
      <c r="L408" s="689"/>
      <c r="M408" s="689"/>
      <c r="N408" s="689"/>
      <c r="O408" s="689"/>
      <c r="P408" s="689"/>
      <c r="Q408" s="689"/>
      <c r="R408" s="689"/>
      <c r="S408" s="689"/>
      <c r="T408" s="689"/>
      <c r="U408" s="689"/>
      <c r="V408" s="689"/>
      <c r="W408" s="689"/>
      <c r="X408" s="689"/>
      <c r="Y408" s="689"/>
      <c r="Z408" s="689"/>
      <c r="AA408" s="689"/>
      <c r="AB408" s="689"/>
      <c r="AC408" s="689"/>
      <c r="AD408" s="689"/>
      <c r="AE408" s="689"/>
      <c r="AF408" s="689"/>
      <c r="AG408" s="689"/>
      <c r="AH408" s="689"/>
      <c r="AI408" s="689"/>
      <c r="AJ408" s="689"/>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c r="BK408" s="689"/>
      <c r="BL408" s="689"/>
      <c r="BM408" s="689"/>
      <c r="BN408" s="689"/>
      <c r="BO408" s="689"/>
      <c r="BP408" s="689"/>
      <c r="BQ408" s="689"/>
      <c r="BR408" s="689"/>
      <c r="BS408" s="689"/>
      <c r="BT408" s="689"/>
      <c r="BU408" s="689"/>
      <c r="BV408" s="689"/>
    </row>
    <row r="409" spans="1:74" s="389" customFormat="1">
      <c r="B409" s="730"/>
      <c r="C409" s="730"/>
      <c r="D409" s="730"/>
      <c r="E409" s="730"/>
      <c r="F409" s="730"/>
      <c r="G409" s="730"/>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9"/>
      <c r="AJ409" s="689"/>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c r="BK409" s="689"/>
      <c r="BL409" s="689"/>
      <c r="BM409" s="689"/>
      <c r="BN409" s="689"/>
      <c r="BO409" s="689"/>
      <c r="BP409" s="689"/>
      <c r="BQ409" s="689"/>
      <c r="BR409" s="689"/>
      <c r="BS409" s="689"/>
      <c r="BT409" s="689"/>
      <c r="BU409" s="689"/>
      <c r="BV409" s="689"/>
    </row>
    <row r="410" spans="1:74" s="389" customFormat="1">
      <c r="B410" s="730"/>
      <c r="C410" s="730"/>
      <c r="D410" s="730"/>
      <c r="E410" s="730"/>
      <c r="F410" s="730"/>
      <c r="G410" s="730"/>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G410" s="689"/>
      <c r="AH410" s="689"/>
      <c r="AI410" s="689"/>
      <c r="AJ410" s="689"/>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c r="BK410" s="689"/>
      <c r="BL410" s="689"/>
      <c r="BM410" s="689"/>
      <c r="BN410" s="689"/>
      <c r="BO410" s="689"/>
      <c r="BP410" s="689"/>
      <c r="BQ410" s="689"/>
      <c r="BR410" s="689"/>
      <c r="BS410" s="689"/>
      <c r="BT410" s="689"/>
      <c r="BU410" s="689"/>
      <c r="BV410" s="689"/>
    </row>
    <row r="411" spans="1:74" s="389" customFormat="1">
      <c r="B411" s="730"/>
      <c r="C411" s="730"/>
      <c r="D411" s="730"/>
      <c r="E411" s="730"/>
      <c r="F411" s="730"/>
      <c r="G411" s="730"/>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G411" s="689"/>
      <c r="AH411" s="689"/>
      <c r="AI411" s="689"/>
      <c r="AJ411" s="689"/>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c r="BK411" s="689"/>
      <c r="BL411" s="689"/>
      <c r="BM411" s="689"/>
      <c r="BN411" s="689"/>
      <c r="BO411" s="689"/>
      <c r="BP411" s="689"/>
      <c r="BQ411" s="689"/>
      <c r="BR411" s="689"/>
      <c r="BS411" s="689"/>
      <c r="BT411" s="689"/>
      <c r="BU411" s="689"/>
      <c r="BV411" s="689"/>
    </row>
    <row r="412" spans="1:74" s="389" customFormat="1">
      <c r="I412" s="689"/>
      <c r="J412" s="689"/>
      <c r="K412" s="689"/>
      <c r="L412" s="689"/>
      <c r="M412" s="689"/>
      <c r="N412" s="689"/>
      <c r="O412" s="689"/>
      <c r="P412" s="689"/>
      <c r="Q412" s="689"/>
      <c r="R412" s="689"/>
      <c r="S412" s="689"/>
      <c r="T412" s="689"/>
      <c r="U412" s="689"/>
      <c r="V412" s="689"/>
      <c r="W412" s="689"/>
      <c r="X412" s="689"/>
      <c r="Y412" s="689"/>
      <c r="Z412" s="689"/>
      <c r="AA412" s="689"/>
      <c r="AB412" s="689"/>
      <c r="AC412" s="689"/>
      <c r="AD412" s="689"/>
      <c r="AE412" s="689"/>
      <c r="AF412" s="689"/>
      <c r="AG412" s="689"/>
      <c r="AH412" s="689"/>
      <c r="AI412" s="689"/>
      <c r="AJ412" s="689"/>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c r="BK412" s="689"/>
      <c r="BL412" s="689"/>
      <c r="BM412" s="689"/>
      <c r="BN412" s="689"/>
      <c r="BO412" s="689"/>
      <c r="BP412" s="689"/>
      <c r="BQ412" s="689"/>
      <c r="BR412" s="689"/>
      <c r="BS412" s="689"/>
      <c r="BT412" s="689"/>
      <c r="BU412" s="689"/>
      <c r="BV412" s="689"/>
    </row>
    <row r="413" spans="1:74" s="389" customFormat="1">
      <c r="I413" s="689"/>
      <c r="J413" s="689"/>
      <c r="K413" s="689"/>
      <c r="L413" s="689"/>
      <c r="M413" s="689"/>
      <c r="N413" s="689"/>
      <c r="O413" s="689"/>
      <c r="P413" s="689"/>
      <c r="Q413" s="689"/>
      <c r="R413" s="689"/>
      <c r="S413" s="689"/>
      <c r="T413" s="689"/>
      <c r="U413" s="689"/>
      <c r="V413" s="689"/>
      <c r="W413" s="689"/>
      <c r="X413" s="689"/>
      <c r="Y413" s="689"/>
      <c r="Z413" s="689"/>
      <c r="AA413" s="689"/>
      <c r="AB413" s="689"/>
      <c r="AC413" s="689"/>
      <c r="AD413" s="689"/>
      <c r="AE413" s="689"/>
      <c r="AF413" s="689"/>
      <c r="AG413" s="689"/>
      <c r="AH413" s="689"/>
      <c r="AI413" s="689"/>
      <c r="AJ413" s="689"/>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c r="BK413" s="689"/>
      <c r="BL413" s="689"/>
      <c r="BM413" s="689"/>
      <c r="BN413" s="689"/>
      <c r="BO413" s="689"/>
      <c r="BP413" s="689"/>
      <c r="BQ413" s="689"/>
      <c r="BR413" s="689"/>
      <c r="BS413" s="689"/>
      <c r="BT413" s="689"/>
      <c r="BU413" s="689"/>
      <c r="BV413" s="689"/>
    </row>
    <row r="414" spans="1:74" s="389" customFormat="1">
      <c r="I414" s="689"/>
      <c r="J414" s="689"/>
      <c r="K414" s="689"/>
      <c r="L414" s="689"/>
      <c r="M414" s="689"/>
      <c r="N414" s="689"/>
      <c r="O414" s="689"/>
      <c r="P414" s="689"/>
      <c r="Q414" s="689"/>
      <c r="R414" s="689"/>
      <c r="S414" s="689"/>
      <c r="T414" s="689"/>
      <c r="U414" s="689"/>
      <c r="V414" s="689"/>
      <c r="W414" s="689"/>
      <c r="X414" s="689"/>
      <c r="Y414" s="689"/>
      <c r="Z414" s="689"/>
      <c r="AA414" s="689"/>
      <c r="AB414" s="689"/>
      <c r="AC414" s="689"/>
      <c r="AD414" s="689"/>
      <c r="AE414" s="689"/>
      <c r="AF414" s="689"/>
      <c r="AG414" s="689"/>
      <c r="AH414" s="689"/>
      <c r="AI414" s="689"/>
      <c r="AJ414" s="689"/>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c r="BK414" s="689"/>
      <c r="BL414" s="689"/>
      <c r="BM414" s="689"/>
      <c r="BN414" s="689"/>
      <c r="BO414" s="689"/>
      <c r="BP414" s="689"/>
      <c r="BQ414" s="689"/>
      <c r="BR414" s="689"/>
      <c r="BS414" s="689"/>
      <c r="BT414" s="689"/>
      <c r="BU414" s="689"/>
      <c r="BV414" s="689"/>
    </row>
    <row r="415" spans="1:74" s="389" customFormat="1">
      <c r="I415" s="689"/>
      <c r="J415" s="689"/>
      <c r="K415" s="689"/>
      <c r="L415" s="689"/>
      <c r="M415" s="689"/>
      <c r="N415" s="689"/>
      <c r="O415" s="689"/>
      <c r="P415" s="689"/>
      <c r="Q415" s="689"/>
      <c r="R415" s="689"/>
      <c r="S415" s="689"/>
      <c r="T415" s="689"/>
      <c r="U415" s="689"/>
      <c r="V415" s="689"/>
      <c r="W415" s="689"/>
      <c r="X415" s="689"/>
      <c r="Y415" s="689"/>
      <c r="Z415" s="689"/>
      <c r="AA415" s="689"/>
      <c r="AB415" s="689"/>
      <c r="AC415" s="689"/>
      <c r="AD415" s="689"/>
      <c r="AE415" s="689"/>
      <c r="AF415" s="689"/>
      <c r="AG415" s="689"/>
      <c r="AH415" s="689"/>
      <c r="AI415" s="689"/>
      <c r="AJ415" s="689"/>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c r="BK415" s="689"/>
      <c r="BL415" s="689"/>
      <c r="BM415" s="689"/>
      <c r="BN415" s="689"/>
      <c r="BO415" s="689"/>
      <c r="BP415" s="689"/>
      <c r="BQ415" s="689"/>
      <c r="BR415" s="689"/>
      <c r="BS415" s="689"/>
      <c r="BT415" s="689"/>
      <c r="BU415" s="689"/>
      <c r="BV415" s="689"/>
    </row>
    <row r="416" spans="1:74" s="389" customFormat="1">
      <c r="I416" s="689"/>
      <c r="J416" s="689"/>
      <c r="K416" s="689"/>
      <c r="L416" s="689"/>
      <c r="M416" s="689"/>
      <c r="N416" s="689"/>
      <c r="O416" s="689"/>
      <c r="P416" s="689"/>
      <c r="Q416" s="689"/>
      <c r="R416" s="689"/>
      <c r="S416" s="689"/>
      <c r="T416" s="689"/>
      <c r="U416" s="689"/>
      <c r="V416" s="689"/>
      <c r="W416" s="689"/>
      <c r="X416" s="689"/>
      <c r="Y416" s="689"/>
      <c r="Z416" s="689"/>
      <c r="AA416" s="689"/>
      <c r="AB416" s="689"/>
      <c r="AC416" s="689"/>
      <c r="AD416" s="689"/>
      <c r="AE416" s="689"/>
      <c r="AF416" s="689"/>
      <c r="AG416" s="689"/>
      <c r="AH416" s="689"/>
      <c r="AI416" s="689"/>
      <c r="AJ416" s="689"/>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c r="BK416" s="689"/>
      <c r="BL416" s="689"/>
      <c r="BM416" s="689"/>
      <c r="BN416" s="689"/>
      <c r="BO416" s="689"/>
      <c r="BP416" s="689"/>
      <c r="BQ416" s="689"/>
      <c r="BR416" s="689"/>
      <c r="BS416" s="689"/>
      <c r="BT416" s="689"/>
      <c r="BU416" s="689"/>
      <c r="BV416" s="689"/>
    </row>
    <row r="417" spans="9:74" s="389" customFormat="1">
      <c r="I417" s="689"/>
      <c r="J417" s="689"/>
      <c r="K417" s="689"/>
      <c r="L417" s="689"/>
      <c r="M417" s="689"/>
      <c r="N417" s="689"/>
      <c r="O417" s="689"/>
      <c r="P417" s="689"/>
      <c r="Q417" s="689"/>
      <c r="R417" s="689"/>
      <c r="S417" s="689"/>
      <c r="T417" s="689"/>
      <c r="U417" s="689"/>
      <c r="V417" s="689"/>
      <c r="W417" s="689"/>
      <c r="X417" s="689"/>
      <c r="Y417" s="689"/>
      <c r="Z417" s="689"/>
      <c r="AA417" s="689"/>
      <c r="AB417" s="689"/>
      <c r="AC417" s="689"/>
      <c r="AD417" s="689"/>
      <c r="AE417" s="689"/>
      <c r="AF417" s="689"/>
      <c r="AG417" s="689"/>
      <c r="AH417" s="689"/>
      <c r="AI417" s="689"/>
      <c r="AJ417" s="689"/>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c r="BK417" s="689"/>
      <c r="BL417" s="689"/>
      <c r="BM417" s="689"/>
      <c r="BN417" s="689"/>
      <c r="BO417" s="689"/>
      <c r="BP417" s="689"/>
      <c r="BQ417" s="689"/>
      <c r="BR417" s="689"/>
      <c r="BS417" s="689"/>
      <c r="BT417" s="689"/>
      <c r="BU417" s="689"/>
      <c r="BV417" s="689"/>
    </row>
    <row r="418" spans="9:74" s="389" customFormat="1">
      <c r="I418" s="689"/>
      <c r="J418" s="689"/>
      <c r="K418" s="689"/>
      <c r="L418" s="689"/>
      <c r="M418" s="689"/>
      <c r="N418" s="689"/>
      <c r="O418" s="689"/>
      <c r="P418" s="689"/>
      <c r="Q418" s="689"/>
      <c r="R418" s="689"/>
      <c r="S418" s="689"/>
      <c r="T418" s="689"/>
      <c r="U418" s="689"/>
      <c r="V418" s="689"/>
      <c r="W418" s="689"/>
      <c r="X418" s="689"/>
      <c r="Y418" s="689"/>
      <c r="Z418" s="689"/>
      <c r="AA418" s="689"/>
      <c r="AB418" s="689"/>
      <c r="AC418" s="689"/>
      <c r="AD418" s="689"/>
      <c r="AE418" s="689"/>
      <c r="AF418" s="689"/>
      <c r="AG418" s="689"/>
      <c r="AH418" s="689"/>
      <c r="AI418" s="689"/>
      <c r="AJ418" s="689"/>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c r="BK418" s="689"/>
      <c r="BL418" s="689"/>
      <c r="BM418" s="689"/>
      <c r="BN418" s="689"/>
      <c r="BO418" s="689"/>
      <c r="BP418" s="689"/>
      <c r="BQ418" s="689"/>
      <c r="BR418" s="689"/>
      <c r="BS418" s="689"/>
      <c r="BT418" s="689"/>
      <c r="BU418" s="689"/>
      <c r="BV418" s="689"/>
    </row>
    <row r="419" spans="9:74" s="389" customFormat="1">
      <c r="I419" s="689"/>
      <c r="J419" s="689"/>
      <c r="K419" s="689"/>
      <c r="L419" s="689"/>
      <c r="M419" s="689"/>
      <c r="N419" s="689"/>
      <c r="O419" s="689"/>
      <c r="P419" s="689"/>
      <c r="Q419" s="689"/>
      <c r="R419" s="689"/>
      <c r="S419" s="689"/>
      <c r="T419" s="689"/>
      <c r="U419" s="689"/>
      <c r="V419" s="689"/>
      <c r="W419" s="689"/>
      <c r="X419" s="689"/>
      <c r="Y419" s="689"/>
      <c r="Z419" s="689"/>
      <c r="AA419" s="689"/>
      <c r="AB419" s="689"/>
      <c r="AC419" s="689"/>
      <c r="AD419" s="689"/>
      <c r="AE419" s="689"/>
      <c r="AF419" s="689"/>
      <c r="AG419" s="689"/>
      <c r="AH419" s="689"/>
      <c r="AI419" s="689"/>
      <c r="AJ419" s="689"/>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c r="BK419" s="689"/>
      <c r="BL419" s="689"/>
      <c r="BM419" s="689"/>
      <c r="BN419" s="689"/>
      <c r="BO419" s="689"/>
      <c r="BP419" s="689"/>
      <c r="BQ419" s="689"/>
      <c r="BR419" s="689"/>
      <c r="BS419" s="689"/>
      <c r="BT419" s="689"/>
      <c r="BU419" s="689"/>
      <c r="BV419" s="689"/>
    </row>
    <row r="420" spans="9:74" s="389" customFormat="1">
      <c r="I420" s="689"/>
      <c r="J420" s="689"/>
      <c r="K420" s="689"/>
      <c r="L420" s="689"/>
      <c r="M420" s="689"/>
      <c r="N420" s="689"/>
      <c r="O420" s="689"/>
      <c r="P420" s="689"/>
      <c r="Q420" s="689"/>
      <c r="R420" s="689"/>
      <c r="S420" s="689"/>
      <c r="T420" s="689"/>
      <c r="U420" s="689"/>
      <c r="V420" s="689"/>
      <c r="W420" s="689"/>
      <c r="X420" s="689"/>
      <c r="Y420" s="689"/>
      <c r="Z420" s="689"/>
      <c r="AA420" s="689"/>
      <c r="AB420" s="689"/>
      <c r="AC420" s="689"/>
      <c r="AD420" s="689"/>
      <c r="AE420" s="689"/>
      <c r="AF420" s="689"/>
      <c r="AG420" s="689"/>
      <c r="AH420" s="689"/>
      <c r="AI420" s="689"/>
      <c r="AJ420" s="689"/>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c r="BK420" s="689"/>
      <c r="BL420" s="689"/>
      <c r="BM420" s="689"/>
      <c r="BN420" s="689"/>
      <c r="BO420" s="689"/>
      <c r="BP420" s="689"/>
      <c r="BQ420" s="689"/>
      <c r="BR420" s="689"/>
      <c r="BS420" s="689"/>
      <c r="BT420" s="689"/>
      <c r="BU420" s="689"/>
      <c r="BV420" s="689"/>
    </row>
    <row r="421" spans="9:74" s="389" customFormat="1">
      <c r="I421" s="689"/>
      <c r="J421" s="689"/>
      <c r="K421" s="689"/>
      <c r="L421" s="689"/>
      <c r="M421" s="689"/>
      <c r="N421" s="689"/>
      <c r="O421" s="689"/>
      <c r="P421" s="689"/>
      <c r="Q421" s="689"/>
      <c r="R421" s="689"/>
      <c r="S421" s="689"/>
      <c r="T421" s="689"/>
      <c r="U421" s="689"/>
      <c r="V421" s="689"/>
      <c r="W421" s="689"/>
      <c r="X421" s="689"/>
      <c r="Y421" s="689"/>
      <c r="Z421" s="689"/>
      <c r="AA421" s="689"/>
      <c r="AB421" s="689"/>
      <c r="AC421" s="689"/>
      <c r="AD421" s="689"/>
      <c r="AE421" s="689"/>
      <c r="AF421" s="689"/>
      <c r="AG421" s="689"/>
      <c r="AH421" s="689"/>
      <c r="AI421" s="689"/>
      <c r="AJ421" s="689"/>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c r="BK421" s="689"/>
      <c r="BL421" s="689"/>
      <c r="BM421" s="689"/>
      <c r="BN421" s="689"/>
      <c r="BO421" s="689"/>
      <c r="BP421" s="689"/>
      <c r="BQ421" s="689"/>
      <c r="BR421" s="689"/>
      <c r="BS421" s="689"/>
      <c r="BT421" s="689"/>
      <c r="BU421" s="689"/>
      <c r="BV421" s="689"/>
    </row>
    <row r="422" spans="9:74" s="389" customFormat="1">
      <c r="I422" s="689"/>
      <c r="J422" s="689"/>
      <c r="K422" s="689"/>
      <c r="L422" s="689"/>
      <c r="M422" s="689"/>
      <c r="N422" s="689"/>
      <c r="O422" s="689"/>
      <c r="P422" s="689"/>
      <c r="Q422" s="689"/>
      <c r="R422" s="689"/>
      <c r="S422" s="689"/>
      <c r="T422" s="689"/>
      <c r="U422" s="689"/>
      <c r="V422" s="689"/>
      <c r="W422" s="689"/>
      <c r="X422" s="689"/>
      <c r="Y422" s="689"/>
      <c r="Z422" s="689"/>
      <c r="AA422" s="689"/>
      <c r="AB422" s="689"/>
      <c r="AC422" s="689"/>
      <c r="AD422" s="689"/>
      <c r="AE422" s="689"/>
      <c r="AF422" s="689"/>
      <c r="AG422" s="689"/>
      <c r="AH422" s="689"/>
      <c r="AI422" s="689"/>
      <c r="AJ422" s="689"/>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c r="BK422" s="689"/>
      <c r="BL422" s="689"/>
      <c r="BM422" s="689"/>
      <c r="BN422" s="689"/>
      <c r="BO422" s="689"/>
      <c r="BP422" s="689"/>
      <c r="BQ422" s="689"/>
      <c r="BR422" s="689"/>
      <c r="BS422" s="689"/>
      <c r="BT422" s="689"/>
      <c r="BU422" s="689"/>
      <c r="BV422" s="689"/>
    </row>
    <row r="423" spans="9:74" s="389" customFormat="1">
      <c r="I423" s="689"/>
      <c r="J423" s="689"/>
      <c r="K423" s="689"/>
      <c r="L423" s="689"/>
      <c r="M423" s="689"/>
      <c r="N423" s="689"/>
      <c r="O423" s="689"/>
      <c r="P423" s="689"/>
      <c r="Q423" s="689"/>
      <c r="R423" s="689"/>
      <c r="S423" s="689"/>
      <c r="T423" s="689"/>
      <c r="U423" s="689"/>
      <c r="V423" s="689"/>
      <c r="W423" s="689"/>
      <c r="X423" s="689"/>
      <c r="Y423" s="689"/>
      <c r="Z423" s="689"/>
      <c r="AA423" s="689"/>
      <c r="AB423" s="689"/>
      <c r="AC423" s="689"/>
      <c r="AD423" s="689"/>
      <c r="AE423" s="689"/>
      <c r="AF423" s="689"/>
      <c r="AG423" s="689"/>
      <c r="AH423" s="689"/>
      <c r="AI423" s="689"/>
      <c r="AJ423" s="689"/>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c r="BK423" s="689"/>
      <c r="BL423" s="689"/>
      <c r="BM423" s="689"/>
      <c r="BN423" s="689"/>
      <c r="BO423" s="689"/>
      <c r="BP423" s="689"/>
      <c r="BQ423" s="689"/>
      <c r="BR423" s="689"/>
      <c r="BS423" s="689"/>
      <c r="BT423" s="689"/>
      <c r="BU423" s="689"/>
      <c r="BV423" s="689"/>
    </row>
    <row r="424" spans="9:74" s="389" customFormat="1">
      <c r="I424" s="689"/>
      <c r="J424" s="689"/>
      <c r="K424" s="689"/>
      <c r="L424" s="689"/>
      <c r="M424" s="689"/>
      <c r="N424" s="689"/>
      <c r="O424" s="689"/>
      <c r="P424" s="689"/>
      <c r="Q424" s="689"/>
      <c r="R424" s="689"/>
      <c r="S424" s="689"/>
      <c r="T424" s="689"/>
      <c r="U424" s="689"/>
      <c r="V424" s="689"/>
      <c r="W424" s="689"/>
      <c r="X424" s="689"/>
      <c r="Y424" s="689"/>
      <c r="Z424" s="689"/>
      <c r="AA424" s="689"/>
      <c r="AB424" s="689"/>
      <c r="AC424" s="689"/>
      <c r="AD424" s="689"/>
      <c r="AE424" s="689"/>
      <c r="AF424" s="689"/>
      <c r="AG424" s="689"/>
      <c r="AH424" s="689"/>
      <c r="AI424" s="689"/>
      <c r="AJ424" s="689"/>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c r="BK424" s="689"/>
      <c r="BL424" s="689"/>
      <c r="BM424" s="689"/>
      <c r="BN424" s="689"/>
      <c r="BO424" s="689"/>
      <c r="BP424" s="689"/>
      <c r="BQ424" s="689"/>
      <c r="BR424" s="689"/>
      <c r="BS424" s="689"/>
      <c r="BT424" s="689"/>
      <c r="BU424" s="689"/>
      <c r="BV424" s="689"/>
    </row>
    <row r="425" spans="9:74" s="389" customFormat="1">
      <c r="I425" s="689"/>
      <c r="J425" s="689"/>
      <c r="K425" s="689"/>
      <c r="L425" s="689"/>
      <c r="M425" s="689"/>
      <c r="N425" s="689"/>
      <c r="O425" s="689"/>
      <c r="P425" s="689"/>
      <c r="Q425" s="689"/>
      <c r="R425" s="689"/>
      <c r="S425" s="689"/>
      <c r="T425" s="689"/>
      <c r="U425" s="689"/>
      <c r="V425" s="689"/>
      <c r="W425" s="689"/>
      <c r="X425" s="689"/>
      <c r="Y425" s="689"/>
      <c r="Z425" s="689"/>
      <c r="AA425" s="689"/>
      <c r="AB425" s="689"/>
      <c r="AC425" s="689"/>
      <c r="AD425" s="689"/>
      <c r="AE425" s="689"/>
      <c r="AF425" s="689"/>
      <c r="AG425" s="689"/>
      <c r="AH425" s="689"/>
      <c r="AI425" s="689"/>
      <c r="AJ425" s="689"/>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c r="BK425" s="689"/>
      <c r="BL425" s="689"/>
      <c r="BM425" s="689"/>
      <c r="BN425" s="689"/>
      <c r="BO425" s="689"/>
      <c r="BP425" s="689"/>
      <c r="BQ425" s="689"/>
      <c r="BR425" s="689"/>
      <c r="BS425" s="689"/>
      <c r="BT425" s="689"/>
      <c r="BU425" s="689"/>
      <c r="BV425" s="689"/>
    </row>
    <row r="426" spans="9:74" s="389" customFormat="1">
      <c r="I426" s="689"/>
      <c r="J426" s="689"/>
      <c r="K426" s="689"/>
      <c r="L426" s="689"/>
      <c r="M426" s="689"/>
      <c r="N426" s="689"/>
      <c r="O426" s="689"/>
      <c r="P426" s="689"/>
      <c r="Q426" s="689"/>
      <c r="R426" s="689"/>
      <c r="S426" s="689"/>
      <c r="T426" s="689"/>
      <c r="U426" s="689"/>
      <c r="V426" s="689"/>
      <c r="W426" s="689"/>
      <c r="X426" s="689"/>
      <c r="Y426" s="689"/>
      <c r="Z426" s="689"/>
      <c r="AA426" s="689"/>
      <c r="AB426" s="689"/>
      <c r="AC426" s="689"/>
      <c r="AD426" s="689"/>
      <c r="AE426" s="689"/>
      <c r="AF426" s="689"/>
      <c r="AG426" s="689"/>
      <c r="AH426" s="689"/>
      <c r="AI426" s="689"/>
      <c r="AJ426" s="689"/>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c r="BK426" s="689"/>
      <c r="BL426" s="689"/>
      <c r="BM426" s="689"/>
      <c r="BN426" s="689"/>
      <c r="BO426" s="689"/>
      <c r="BP426" s="689"/>
      <c r="BQ426" s="689"/>
      <c r="BR426" s="689"/>
      <c r="BS426" s="689"/>
      <c r="BT426" s="689"/>
      <c r="BU426" s="689"/>
      <c r="BV426" s="689"/>
    </row>
    <row r="427" spans="9:74" s="389" customFormat="1">
      <c r="I427" s="689"/>
      <c r="J427" s="689"/>
      <c r="K427" s="689"/>
      <c r="L427" s="689"/>
      <c r="M427" s="689"/>
      <c r="N427" s="689"/>
      <c r="O427" s="689"/>
      <c r="P427" s="689"/>
      <c r="Q427" s="689"/>
      <c r="R427" s="689"/>
      <c r="S427" s="689"/>
      <c r="T427" s="689"/>
      <c r="U427" s="689"/>
      <c r="V427" s="689"/>
      <c r="W427" s="689"/>
      <c r="X427" s="689"/>
      <c r="Y427" s="689"/>
      <c r="Z427" s="689"/>
      <c r="AA427" s="689"/>
      <c r="AB427" s="689"/>
      <c r="AC427" s="689"/>
      <c r="AD427" s="689"/>
      <c r="AE427" s="689"/>
      <c r="AF427" s="689"/>
      <c r="AG427" s="689"/>
      <c r="AH427" s="689"/>
      <c r="AI427" s="689"/>
      <c r="AJ427" s="689"/>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c r="BK427" s="689"/>
      <c r="BL427" s="689"/>
      <c r="BM427" s="689"/>
      <c r="BN427" s="689"/>
      <c r="BO427" s="689"/>
      <c r="BP427" s="689"/>
      <c r="BQ427" s="689"/>
      <c r="BR427" s="689"/>
      <c r="BS427" s="689"/>
      <c r="BT427" s="689"/>
      <c r="BU427" s="689"/>
      <c r="BV427" s="689"/>
    </row>
    <row r="428" spans="9:74" s="389" customFormat="1">
      <c r="I428" s="689"/>
      <c r="J428" s="689"/>
      <c r="K428" s="689"/>
      <c r="L428" s="689"/>
      <c r="M428" s="689"/>
      <c r="N428" s="689"/>
      <c r="O428" s="689"/>
      <c r="P428" s="689"/>
      <c r="Q428" s="689"/>
      <c r="R428" s="689"/>
      <c r="S428" s="689"/>
      <c r="T428" s="689"/>
      <c r="U428" s="689"/>
      <c r="V428" s="689"/>
      <c r="W428" s="689"/>
      <c r="X428" s="689"/>
      <c r="Y428" s="689"/>
      <c r="Z428" s="689"/>
      <c r="AA428" s="689"/>
      <c r="AB428" s="689"/>
      <c r="AC428" s="689"/>
      <c r="AD428" s="689"/>
      <c r="AE428" s="689"/>
      <c r="AF428" s="689"/>
      <c r="AG428" s="689"/>
      <c r="AH428" s="689"/>
      <c r="AI428" s="689"/>
      <c r="AJ428" s="689"/>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c r="BK428" s="689"/>
      <c r="BL428" s="689"/>
      <c r="BM428" s="689"/>
      <c r="BN428" s="689"/>
      <c r="BO428" s="689"/>
      <c r="BP428" s="689"/>
      <c r="BQ428" s="689"/>
      <c r="BR428" s="689"/>
      <c r="BS428" s="689"/>
      <c r="BT428" s="689"/>
      <c r="BU428" s="689"/>
      <c r="BV428" s="689"/>
    </row>
    <row r="429" spans="9:74" s="389" customFormat="1">
      <c r="I429" s="689"/>
      <c r="J429" s="689"/>
      <c r="K429" s="689"/>
      <c r="L429" s="689"/>
      <c r="M429" s="689"/>
      <c r="N429" s="689"/>
      <c r="O429" s="689"/>
      <c r="P429" s="689"/>
      <c r="Q429" s="689"/>
      <c r="R429" s="689"/>
      <c r="S429" s="689"/>
      <c r="T429" s="689"/>
      <c r="U429" s="689"/>
      <c r="V429" s="689"/>
      <c r="W429" s="689"/>
      <c r="X429" s="689"/>
      <c r="Y429" s="689"/>
      <c r="Z429" s="689"/>
      <c r="AA429" s="689"/>
      <c r="AB429" s="689"/>
      <c r="AC429" s="689"/>
      <c r="AD429" s="689"/>
      <c r="AE429" s="689"/>
      <c r="AF429" s="689"/>
      <c r="AG429" s="689"/>
      <c r="AH429" s="689"/>
      <c r="AI429" s="689"/>
      <c r="AJ429" s="689"/>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c r="BK429" s="689"/>
      <c r="BL429" s="689"/>
      <c r="BM429" s="689"/>
      <c r="BN429" s="689"/>
      <c r="BO429" s="689"/>
      <c r="BP429" s="689"/>
      <c r="BQ429" s="689"/>
      <c r="BR429" s="689"/>
      <c r="BS429" s="689"/>
      <c r="BT429" s="689"/>
      <c r="BU429" s="689"/>
      <c r="BV429" s="689"/>
    </row>
    <row r="430" spans="9:74" s="389" customFormat="1">
      <c r="I430" s="689"/>
      <c r="J430" s="689"/>
      <c r="K430" s="689"/>
      <c r="L430" s="689"/>
      <c r="M430" s="689"/>
      <c r="N430" s="689"/>
      <c r="O430" s="689"/>
      <c r="P430" s="689"/>
      <c r="Q430" s="689"/>
      <c r="R430" s="689"/>
      <c r="S430" s="689"/>
      <c r="T430" s="689"/>
      <c r="U430" s="689"/>
      <c r="V430" s="689"/>
      <c r="W430" s="689"/>
      <c r="X430" s="689"/>
      <c r="Y430" s="689"/>
      <c r="Z430" s="689"/>
      <c r="AA430" s="689"/>
      <c r="AB430" s="689"/>
      <c r="AC430" s="689"/>
      <c r="AD430" s="689"/>
      <c r="AE430" s="689"/>
      <c r="AF430" s="689"/>
      <c r="AG430" s="689"/>
      <c r="AH430" s="689"/>
      <c r="AI430" s="689"/>
      <c r="AJ430" s="689"/>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c r="BK430" s="689"/>
      <c r="BL430" s="689"/>
      <c r="BM430" s="689"/>
      <c r="BN430" s="689"/>
      <c r="BO430" s="689"/>
      <c r="BP430" s="689"/>
      <c r="BQ430" s="689"/>
      <c r="BR430" s="689"/>
      <c r="BS430" s="689"/>
      <c r="BT430" s="689"/>
      <c r="BU430" s="689"/>
      <c r="BV430" s="689"/>
    </row>
    <row r="431" spans="9:74" s="389" customFormat="1">
      <c r="I431" s="689"/>
      <c r="J431" s="689"/>
      <c r="K431" s="689"/>
      <c r="L431" s="689"/>
      <c r="M431" s="689"/>
      <c r="N431" s="689"/>
      <c r="O431" s="689"/>
      <c r="P431" s="689"/>
      <c r="Q431" s="689"/>
      <c r="R431" s="689"/>
      <c r="S431" s="689"/>
      <c r="T431" s="689"/>
      <c r="U431" s="689"/>
      <c r="V431" s="689"/>
      <c r="W431" s="689"/>
      <c r="X431" s="689"/>
      <c r="Y431" s="689"/>
      <c r="Z431" s="689"/>
      <c r="AA431" s="689"/>
      <c r="AB431" s="689"/>
      <c r="AC431" s="689"/>
      <c r="AD431" s="689"/>
      <c r="AE431" s="689"/>
      <c r="AF431" s="689"/>
      <c r="AG431" s="689"/>
      <c r="AH431" s="689"/>
      <c r="AI431" s="689"/>
      <c r="AJ431" s="689"/>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c r="BK431" s="689"/>
      <c r="BL431" s="689"/>
      <c r="BM431" s="689"/>
      <c r="BN431" s="689"/>
      <c r="BO431" s="689"/>
      <c r="BP431" s="689"/>
      <c r="BQ431" s="689"/>
      <c r="BR431" s="689"/>
      <c r="BS431" s="689"/>
      <c r="BT431" s="689"/>
      <c r="BU431" s="689"/>
      <c r="BV431" s="689"/>
    </row>
    <row r="432" spans="9:74" s="389" customFormat="1">
      <c r="I432" s="689"/>
      <c r="J432" s="689"/>
      <c r="K432" s="689"/>
      <c r="L432" s="689"/>
      <c r="M432" s="689"/>
      <c r="N432" s="689"/>
      <c r="O432" s="689"/>
      <c r="P432" s="689"/>
      <c r="Q432" s="689"/>
      <c r="R432" s="689"/>
      <c r="S432" s="689"/>
      <c r="T432" s="689"/>
      <c r="U432" s="689"/>
      <c r="V432" s="689"/>
      <c r="W432" s="689"/>
      <c r="X432" s="689"/>
      <c r="Y432" s="689"/>
      <c r="Z432" s="689"/>
      <c r="AA432" s="689"/>
      <c r="AB432" s="689"/>
      <c r="AC432" s="689"/>
      <c r="AD432" s="689"/>
      <c r="AE432" s="689"/>
      <c r="AF432" s="689"/>
      <c r="AG432" s="689"/>
      <c r="AH432" s="689"/>
      <c r="AI432" s="689"/>
      <c r="AJ432" s="689"/>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c r="BK432" s="689"/>
      <c r="BL432" s="689"/>
      <c r="BM432" s="689"/>
      <c r="BN432" s="689"/>
      <c r="BO432" s="689"/>
      <c r="BP432" s="689"/>
      <c r="BQ432" s="689"/>
      <c r="BR432" s="689"/>
      <c r="BS432" s="689"/>
      <c r="BT432" s="689"/>
      <c r="BU432" s="689"/>
      <c r="BV432" s="689"/>
    </row>
    <row r="433" spans="9:74" s="389" customFormat="1">
      <c r="I433" s="689"/>
      <c r="J433" s="689"/>
      <c r="K433" s="689"/>
      <c r="L433" s="689"/>
      <c r="M433" s="689"/>
      <c r="N433" s="689"/>
      <c r="O433" s="689"/>
      <c r="P433" s="689"/>
      <c r="Q433" s="689"/>
      <c r="R433" s="689"/>
      <c r="S433" s="689"/>
      <c r="T433" s="689"/>
      <c r="U433" s="689"/>
      <c r="V433" s="689"/>
      <c r="W433" s="689"/>
      <c r="X433" s="689"/>
      <c r="Y433" s="689"/>
      <c r="Z433" s="689"/>
      <c r="AA433" s="689"/>
      <c r="AB433" s="689"/>
      <c r="AC433" s="689"/>
      <c r="AD433" s="689"/>
      <c r="AE433" s="689"/>
      <c r="AF433" s="689"/>
      <c r="AG433" s="689"/>
      <c r="AH433" s="689"/>
      <c r="AI433" s="689"/>
      <c r="AJ433" s="689"/>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c r="BK433" s="689"/>
      <c r="BL433" s="689"/>
      <c r="BM433" s="689"/>
      <c r="BN433" s="689"/>
      <c r="BO433" s="689"/>
      <c r="BP433" s="689"/>
      <c r="BQ433" s="689"/>
      <c r="BR433" s="689"/>
      <c r="BS433" s="689"/>
      <c r="BT433" s="689"/>
      <c r="BU433" s="689"/>
      <c r="BV433" s="689"/>
    </row>
    <row r="434" spans="9:74" s="389" customFormat="1">
      <c r="I434" s="689"/>
      <c r="J434" s="689"/>
      <c r="K434" s="689"/>
      <c r="L434" s="689"/>
      <c r="M434" s="689"/>
      <c r="N434" s="689"/>
      <c r="O434" s="689"/>
      <c r="P434" s="689"/>
      <c r="Q434" s="689"/>
      <c r="R434" s="689"/>
      <c r="S434" s="689"/>
      <c r="T434" s="689"/>
      <c r="U434" s="689"/>
      <c r="V434" s="689"/>
      <c r="W434" s="689"/>
      <c r="X434" s="689"/>
      <c r="Y434" s="689"/>
      <c r="Z434" s="689"/>
      <c r="AA434" s="689"/>
      <c r="AB434" s="689"/>
      <c r="AC434" s="689"/>
      <c r="AD434" s="689"/>
      <c r="AE434" s="689"/>
      <c r="AF434" s="689"/>
      <c r="AG434" s="689"/>
      <c r="AH434" s="689"/>
      <c r="AI434" s="689"/>
      <c r="AJ434" s="689"/>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c r="BK434" s="689"/>
      <c r="BL434" s="689"/>
      <c r="BM434" s="689"/>
      <c r="BN434" s="689"/>
      <c r="BO434" s="689"/>
      <c r="BP434" s="689"/>
      <c r="BQ434" s="689"/>
      <c r="BR434" s="689"/>
      <c r="BS434" s="689"/>
      <c r="BT434" s="689"/>
      <c r="BU434" s="689"/>
      <c r="BV434" s="689"/>
    </row>
    <row r="435" spans="9:74" s="389" customFormat="1">
      <c r="I435" s="689"/>
      <c r="J435" s="689"/>
      <c r="K435" s="689"/>
      <c r="L435" s="689"/>
      <c r="M435" s="689"/>
      <c r="N435" s="689"/>
      <c r="O435" s="689"/>
      <c r="P435" s="689"/>
      <c r="Q435" s="689"/>
      <c r="R435" s="689"/>
      <c r="S435" s="689"/>
      <c r="T435" s="689"/>
      <c r="U435" s="689"/>
      <c r="V435" s="689"/>
      <c r="W435" s="689"/>
      <c r="X435" s="689"/>
      <c r="Y435" s="689"/>
      <c r="Z435" s="689"/>
      <c r="AA435" s="689"/>
      <c r="AB435" s="689"/>
      <c r="AC435" s="689"/>
      <c r="AD435" s="689"/>
      <c r="AE435" s="689"/>
      <c r="AF435" s="689"/>
      <c r="AG435" s="689"/>
      <c r="AH435" s="689"/>
      <c r="AI435" s="689"/>
      <c r="AJ435" s="689"/>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c r="BK435" s="689"/>
      <c r="BL435" s="689"/>
      <c r="BM435" s="689"/>
      <c r="BN435" s="689"/>
      <c r="BO435" s="689"/>
      <c r="BP435" s="689"/>
      <c r="BQ435" s="689"/>
      <c r="BR435" s="689"/>
      <c r="BS435" s="689"/>
      <c r="BT435" s="689"/>
      <c r="BU435" s="689"/>
      <c r="BV435" s="689"/>
    </row>
    <row r="436" spans="9:74" s="389" customFormat="1">
      <c r="I436" s="689"/>
      <c r="J436" s="689"/>
      <c r="K436" s="689"/>
      <c r="L436" s="689"/>
      <c r="M436" s="689"/>
      <c r="N436" s="689"/>
      <c r="O436" s="689"/>
      <c r="P436" s="689"/>
      <c r="Q436" s="689"/>
      <c r="R436" s="689"/>
      <c r="S436" s="689"/>
      <c r="T436" s="689"/>
      <c r="U436" s="689"/>
      <c r="V436" s="689"/>
      <c r="W436" s="689"/>
      <c r="X436" s="689"/>
      <c r="Y436" s="689"/>
      <c r="Z436" s="689"/>
      <c r="AA436" s="689"/>
      <c r="AB436" s="689"/>
      <c r="AC436" s="689"/>
      <c r="AD436" s="689"/>
      <c r="AE436" s="689"/>
      <c r="AF436" s="689"/>
      <c r="AG436" s="689"/>
      <c r="AH436" s="689"/>
      <c r="AI436" s="689"/>
      <c r="AJ436" s="689"/>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c r="BK436" s="689"/>
      <c r="BL436" s="689"/>
      <c r="BM436" s="689"/>
      <c r="BN436" s="689"/>
      <c r="BO436" s="689"/>
      <c r="BP436" s="689"/>
      <c r="BQ436" s="689"/>
      <c r="BR436" s="689"/>
      <c r="BS436" s="689"/>
      <c r="BT436" s="689"/>
      <c r="BU436" s="689"/>
      <c r="BV436" s="689"/>
    </row>
    <row r="437" spans="9:74" s="389" customFormat="1">
      <c r="I437" s="689"/>
      <c r="J437" s="689"/>
      <c r="K437" s="689"/>
      <c r="L437" s="689"/>
      <c r="M437" s="689"/>
      <c r="N437" s="689"/>
      <c r="O437" s="689"/>
      <c r="P437" s="689"/>
      <c r="Q437" s="689"/>
      <c r="R437" s="689"/>
      <c r="S437" s="689"/>
      <c r="T437" s="689"/>
      <c r="U437" s="689"/>
      <c r="V437" s="689"/>
      <c r="W437" s="689"/>
      <c r="X437" s="689"/>
      <c r="Y437" s="689"/>
      <c r="Z437" s="689"/>
      <c r="AA437" s="689"/>
      <c r="AB437" s="689"/>
      <c r="AC437" s="689"/>
      <c r="AD437" s="689"/>
      <c r="AE437" s="689"/>
      <c r="AF437" s="689"/>
      <c r="AG437" s="689"/>
      <c r="AH437" s="689"/>
      <c r="AI437" s="689"/>
      <c r="AJ437" s="689"/>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c r="BK437" s="689"/>
      <c r="BL437" s="689"/>
      <c r="BM437" s="689"/>
      <c r="BN437" s="689"/>
      <c r="BO437" s="689"/>
      <c r="BP437" s="689"/>
      <c r="BQ437" s="689"/>
      <c r="BR437" s="689"/>
      <c r="BS437" s="689"/>
      <c r="BT437" s="689"/>
      <c r="BU437" s="689"/>
      <c r="BV437" s="689"/>
    </row>
    <row r="438" spans="9:74" s="389" customFormat="1">
      <c r="I438" s="689"/>
      <c r="J438" s="689"/>
      <c r="K438" s="689"/>
      <c r="L438" s="689"/>
      <c r="M438" s="689"/>
      <c r="N438" s="689"/>
      <c r="O438" s="689"/>
      <c r="P438" s="689"/>
      <c r="Q438" s="689"/>
      <c r="R438" s="689"/>
      <c r="S438" s="689"/>
      <c r="T438" s="689"/>
      <c r="U438" s="689"/>
      <c r="V438" s="689"/>
      <c r="W438" s="689"/>
      <c r="X438" s="689"/>
      <c r="Y438" s="689"/>
      <c r="Z438" s="689"/>
      <c r="AA438" s="689"/>
      <c r="AB438" s="689"/>
      <c r="AC438" s="689"/>
      <c r="AD438" s="689"/>
      <c r="AE438" s="689"/>
      <c r="AF438" s="689"/>
      <c r="AG438" s="689"/>
      <c r="AH438" s="689"/>
      <c r="AI438" s="689"/>
      <c r="AJ438" s="689"/>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c r="BK438" s="689"/>
      <c r="BL438" s="689"/>
      <c r="BM438" s="689"/>
      <c r="BN438" s="689"/>
      <c r="BO438" s="689"/>
      <c r="BP438" s="689"/>
      <c r="BQ438" s="689"/>
      <c r="BR438" s="689"/>
      <c r="BS438" s="689"/>
      <c r="BT438" s="689"/>
      <c r="BU438" s="689"/>
      <c r="BV438" s="689"/>
    </row>
    <row r="439" spans="9:74" s="389" customFormat="1">
      <c r="I439" s="689"/>
      <c r="J439" s="689"/>
      <c r="K439" s="689"/>
      <c r="L439" s="689"/>
      <c r="M439" s="689"/>
      <c r="N439" s="689"/>
      <c r="O439" s="689"/>
      <c r="P439" s="689"/>
      <c r="Q439" s="689"/>
      <c r="R439" s="689"/>
      <c r="S439" s="689"/>
      <c r="T439" s="689"/>
      <c r="U439" s="689"/>
      <c r="V439" s="689"/>
      <c r="W439" s="689"/>
      <c r="X439" s="689"/>
      <c r="Y439" s="689"/>
      <c r="Z439" s="689"/>
      <c r="AA439" s="689"/>
      <c r="AB439" s="689"/>
      <c r="AC439" s="689"/>
      <c r="AD439" s="689"/>
      <c r="AE439" s="689"/>
      <c r="AF439" s="689"/>
      <c r="AG439" s="689"/>
      <c r="AH439" s="689"/>
      <c r="AI439" s="689"/>
      <c r="AJ439" s="689"/>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c r="BK439" s="689"/>
      <c r="BL439" s="689"/>
      <c r="BM439" s="689"/>
      <c r="BN439" s="689"/>
      <c r="BO439" s="689"/>
      <c r="BP439" s="689"/>
      <c r="BQ439" s="689"/>
      <c r="BR439" s="689"/>
      <c r="BS439" s="689"/>
      <c r="BT439" s="689"/>
      <c r="BU439" s="689"/>
      <c r="BV439" s="689"/>
    </row>
    <row r="440" spans="9:74" s="389" customFormat="1">
      <c r="I440" s="689"/>
      <c r="J440" s="689"/>
      <c r="K440" s="689"/>
      <c r="L440" s="689"/>
      <c r="M440" s="689"/>
      <c r="N440" s="689"/>
      <c r="O440" s="689"/>
      <c r="P440" s="689"/>
      <c r="Q440" s="689"/>
      <c r="R440" s="689"/>
      <c r="S440" s="689"/>
      <c r="T440" s="689"/>
      <c r="U440" s="689"/>
      <c r="V440" s="689"/>
      <c r="W440" s="689"/>
      <c r="X440" s="689"/>
      <c r="Y440" s="689"/>
      <c r="Z440" s="689"/>
      <c r="AA440" s="689"/>
      <c r="AB440" s="689"/>
      <c r="AC440" s="689"/>
      <c r="AD440" s="689"/>
      <c r="AE440" s="689"/>
      <c r="AF440" s="689"/>
      <c r="AG440" s="689"/>
      <c r="AH440" s="689"/>
      <c r="AI440" s="689"/>
      <c r="AJ440" s="689"/>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c r="BK440" s="689"/>
      <c r="BL440" s="689"/>
      <c r="BM440" s="689"/>
      <c r="BN440" s="689"/>
      <c r="BO440" s="689"/>
      <c r="BP440" s="689"/>
      <c r="BQ440" s="689"/>
      <c r="BR440" s="689"/>
      <c r="BS440" s="689"/>
      <c r="BT440" s="689"/>
      <c r="BU440" s="689"/>
      <c r="BV440" s="689"/>
    </row>
    <row r="441" spans="9:74" s="389" customFormat="1">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G441" s="689"/>
      <c r="AH441" s="689"/>
      <c r="AI441" s="689"/>
      <c r="AJ441" s="689"/>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c r="BK441" s="689"/>
      <c r="BL441" s="689"/>
      <c r="BM441" s="689"/>
      <c r="BN441" s="689"/>
      <c r="BO441" s="689"/>
      <c r="BP441" s="689"/>
      <c r="BQ441" s="689"/>
      <c r="BR441" s="689"/>
      <c r="BS441" s="689"/>
      <c r="BT441" s="689"/>
      <c r="BU441" s="689"/>
      <c r="BV441" s="689"/>
    </row>
    <row r="442" spans="9:74" s="389" customFormat="1">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G442" s="689"/>
      <c r="AH442" s="689"/>
      <c r="AI442" s="689"/>
      <c r="AJ442" s="689"/>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c r="BK442" s="689"/>
      <c r="BL442" s="689"/>
      <c r="BM442" s="689"/>
      <c r="BN442" s="689"/>
      <c r="BO442" s="689"/>
      <c r="BP442" s="689"/>
      <c r="BQ442" s="689"/>
      <c r="BR442" s="689"/>
      <c r="BS442" s="689"/>
      <c r="BT442" s="689"/>
      <c r="BU442" s="689"/>
      <c r="BV442" s="689"/>
    </row>
    <row r="443" spans="9:74" s="389" customFormat="1">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G443" s="689"/>
      <c r="AH443" s="689"/>
      <c r="AI443" s="689"/>
      <c r="AJ443" s="689"/>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c r="BK443" s="689"/>
      <c r="BL443" s="689"/>
      <c r="BM443" s="689"/>
      <c r="BN443" s="689"/>
      <c r="BO443" s="689"/>
      <c r="BP443" s="689"/>
      <c r="BQ443" s="689"/>
      <c r="BR443" s="689"/>
      <c r="BS443" s="689"/>
      <c r="BT443" s="689"/>
      <c r="BU443" s="689"/>
      <c r="BV443" s="689"/>
    </row>
    <row r="444" spans="9:74" s="389" customFormat="1">
      <c r="I444" s="689"/>
      <c r="J444" s="689"/>
      <c r="K444" s="689"/>
      <c r="L444" s="689"/>
      <c r="M444" s="689"/>
      <c r="N444" s="689"/>
      <c r="O444" s="689"/>
      <c r="P444" s="689"/>
      <c r="Q444" s="689"/>
      <c r="R444" s="689"/>
      <c r="S444" s="689"/>
      <c r="T444" s="689"/>
      <c r="U444" s="689"/>
      <c r="V444" s="689"/>
      <c r="W444" s="689"/>
      <c r="X444" s="689"/>
      <c r="Y444" s="689"/>
      <c r="Z444" s="689"/>
      <c r="AA444" s="689"/>
      <c r="AB444" s="689"/>
      <c r="AC444" s="689"/>
      <c r="AD444" s="689"/>
      <c r="AE444" s="689"/>
      <c r="AF444" s="689"/>
      <c r="AG444" s="689"/>
      <c r="AH444" s="689"/>
      <c r="AI444" s="689"/>
      <c r="AJ444" s="689"/>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c r="BK444" s="689"/>
      <c r="BL444" s="689"/>
      <c r="BM444" s="689"/>
      <c r="BN444" s="689"/>
      <c r="BO444" s="689"/>
      <c r="BP444" s="689"/>
      <c r="BQ444" s="689"/>
      <c r="BR444" s="689"/>
      <c r="BS444" s="689"/>
      <c r="BT444" s="689"/>
      <c r="BU444" s="689"/>
      <c r="BV444" s="689"/>
    </row>
    <row r="445" spans="9:74" s="389" customFormat="1">
      <c r="I445" s="689"/>
      <c r="J445" s="689"/>
      <c r="K445" s="689"/>
      <c r="L445" s="689"/>
      <c r="M445" s="689"/>
      <c r="N445" s="689"/>
      <c r="O445" s="689"/>
      <c r="P445" s="689"/>
      <c r="Q445" s="689"/>
      <c r="R445" s="689"/>
      <c r="S445" s="689"/>
      <c r="T445" s="689"/>
      <c r="U445" s="689"/>
      <c r="V445" s="689"/>
      <c r="W445" s="689"/>
      <c r="X445" s="689"/>
      <c r="Y445" s="689"/>
      <c r="Z445" s="689"/>
      <c r="AA445" s="689"/>
      <c r="AB445" s="689"/>
      <c r="AC445" s="689"/>
      <c r="AD445" s="689"/>
      <c r="AE445" s="689"/>
      <c r="AF445" s="689"/>
      <c r="AG445" s="689"/>
      <c r="AH445" s="689"/>
      <c r="AI445" s="689"/>
      <c r="AJ445" s="689"/>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c r="BK445" s="689"/>
      <c r="BL445" s="689"/>
      <c r="BM445" s="689"/>
      <c r="BN445" s="689"/>
      <c r="BO445" s="689"/>
      <c r="BP445" s="689"/>
      <c r="BQ445" s="689"/>
      <c r="BR445" s="689"/>
      <c r="BS445" s="689"/>
      <c r="BT445" s="689"/>
      <c r="BU445" s="689"/>
      <c r="BV445" s="689"/>
    </row>
    <row r="446" spans="9:74" s="389" customFormat="1">
      <c r="I446" s="689"/>
      <c r="J446" s="689"/>
      <c r="K446" s="689"/>
      <c r="L446" s="689"/>
      <c r="M446" s="689"/>
      <c r="N446" s="689"/>
      <c r="O446" s="689"/>
      <c r="P446" s="689"/>
      <c r="Q446" s="689"/>
      <c r="R446" s="689"/>
      <c r="S446" s="689"/>
      <c r="T446" s="689"/>
      <c r="U446" s="689"/>
      <c r="V446" s="689"/>
      <c r="W446" s="689"/>
      <c r="X446" s="689"/>
      <c r="Y446" s="689"/>
      <c r="Z446" s="689"/>
      <c r="AA446" s="689"/>
      <c r="AB446" s="689"/>
      <c r="AC446" s="689"/>
      <c r="AD446" s="689"/>
      <c r="AE446" s="689"/>
      <c r="AF446" s="689"/>
      <c r="AG446" s="689"/>
      <c r="AH446" s="689"/>
      <c r="AI446" s="689"/>
      <c r="AJ446" s="689"/>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c r="BK446" s="689"/>
      <c r="BL446" s="689"/>
      <c r="BM446" s="689"/>
      <c r="BN446" s="689"/>
      <c r="BO446" s="689"/>
      <c r="BP446" s="689"/>
      <c r="BQ446" s="689"/>
      <c r="BR446" s="689"/>
      <c r="BS446" s="689"/>
      <c r="BT446" s="689"/>
      <c r="BU446" s="689"/>
      <c r="BV446" s="689"/>
    </row>
    <row r="447" spans="9:74" s="389" customFormat="1">
      <c r="I447" s="689"/>
      <c r="J447" s="689"/>
      <c r="K447" s="689"/>
      <c r="L447" s="689"/>
      <c r="M447" s="689"/>
      <c r="N447" s="689"/>
      <c r="O447" s="689"/>
      <c r="P447" s="689"/>
      <c r="Q447" s="689"/>
      <c r="R447" s="689"/>
      <c r="S447" s="689"/>
      <c r="T447" s="689"/>
      <c r="U447" s="689"/>
      <c r="V447" s="689"/>
      <c r="W447" s="689"/>
      <c r="X447" s="689"/>
      <c r="Y447" s="689"/>
      <c r="Z447" s="689"/>
      <c r="AA447" s="689"/>
      <c r="AB447" s="689"/>
      <c r="AC447" s="689"/>
      <c r="AD447" s="689"/>
      <c r="AE447" s="689"/>
      <c r="AF447" s="689"/>
      <c r="AG447" s="689"/>
      <c r="AH447" s="689"/>
      <c r="AI447" s="689"/>
      <c r="AJ447" s="689"/>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c r="BK447" s="689"/>
      <c r="BL447" s="689"/>
      <c r="BM447" s="689"/>
      <c r="BN447" s="689"/>
      <c r="BO447" s="689"/>
      <c r="BP447" s="689"/>
      <c r="BQ447" s="689"/>
      <c r="BR447" s="689"/>
      <c r="BS447" s="689"/>
      <c r="BT447" s="689"/>
      <c r="BU447" s="689"/>
      <c r="BV447" s="689"/>
    </row>
    <row r="448" spans="9:74" s="389" customFormat="1">
      <c r="I448" s="689"/>
      <c r="J448" s="689"/>
      <c r="K448" s="689"/>
      <c r="L448" s="689"/>
      <c r="M448" s="689"/>
      <c r="N448" s="689"/>
      <c r="O448" s="689"/>
      <c r="P448" s="689"/>
      <c r="Q448" s="689"/>
      <c r="R448" s="689"/>
      <c r="S448" s="689"/>
      <c r="T448" s="689"/>
      <c r="U448" s="689"/>
      <c r="V448" s="689"/>
      <c r="W448" s="689"/>
      <c r="X448" s="689"/>
      <c r="Y448" s="689"/>
      <c r="Z448" s="689"/>
      <c r="AA448" s="689"/>
      <c r="AB448" s="689"/>
      <c r="AC448" s="689"/>
      <c r="AD448" s="689"/>
      <c r="AE448" s="689"/>
      <c r="AF448" s="689"/>
      <c r="AG448" s="689"/>
      <c r="AH448" s="689"/>
      <c r="AI448" s="689"/>
      <c r="AJ448" s="689"/>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c r="BK448" s="689"/>
      <c r="BL448" s="689"/>
      <c r="BM448" s="689"/>
      <c r="BN448" s="689"/>
      <c r="BO448" s="689"/>
      <c r="BP448" s="689"/>
      <c r="BQ448" s="689"/>
      <c r="BR448" s="689"/>
      <c r="BS448" s="689"/>
      <c r="BT448" s="689"/>
      <c r="BU448" s="689"/>
      <c r="BV448" s="689"/>
    </row>
    <row r="449" spans="9:74" s="389" customFormat="1">
      <c r="I449" s="689"/>
      <c r="J449" s="689"/>
      <c r="K449" s="689"/>
      <c r="L449" s="689"/>
      <c r="M449" s="689"/>
      <c r="N449" s="689"/>
      <c r="O449" s="689"/>
      <c r="P449" s="689"/>
      <c r="Q449" s="689"/>
      <c r="R449" s="689"/>
      <c r="S449" s="689"/>
      <c r="T449" s="689"/>
      <c r="U449" s="689"/>
      <c r="V449" s="689"/>
      <c r="W449" s="689"/>
      <c r="X449" s="689"/>
      <c r="Y449" s="689"/>
      <c r="Z449" s="689"/>
      <c r="AA449" s="689"/>
      <c r="AB449" s="689"/>
      <c r="AC449" s="689"/>
      <c r="AD449" s="689"/>
      <c r="AE449" s="689"/>
      <c r="AF449" s="689"/>
      <c r="AG449" s="689"/>
      <c r="AH449" s="689"/>
      <c r="AI449" s="689"/>
      <c r="AJ449" s="689"/>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c r="BK449" s="689"/>
      <c r="BL449" s="689"/>
      <c r="BM449" s="689"/>
      <c r="BN449" s="689"/>
      <c r="BO449" s="689"/>
      <c r="BP449" s="689"/>
      <c r="BQ449" s="689"/>
      <c r="BR449" s="689"/>
      <c r="BS449" s="689"/>
      <c r="BT449" s="689"/>
      <c r="BU449" s="689"/>
      <c r="BV449" s="689"/>
    </row>
    <row r="450" spans="9:74" s="389" customFormat="1">
      <c r="I450" s="689"/>
      <c r="J450" s="689"/>
      <c r="K450" s="689"/>
      <c r="L450" s="689"/>
      <c r="M450" s="689"/>
      <c r="N450" s="689"/>
      <c r="O450" s="689"/>
      <c r="P450" s="689"/>
      <c r="Q450" s="689"/>
      <c r="R450" s="689"/>
      <c r="S450" s="689"/>
      <c r="T450" s="689"/>
      <c r="U450" s="689"/>
      <c r="V450" s="689"/>
      <c r="W450" s="689"/>
      <c r="X450" s="689"/>
      <c r="Y450" s="689"/>
      <c r="Z450" s="689"/>
      <c r="AA450" s="689"/>
      <c r="AB450" s="689"/>
      <c r="AC450" s="689"/>
      <c r="AD450" s="689"/>
      <c r="AE450" s="689"/>
      <c r="AF450" s="689"/>
      <c r="AG450" s="689"/>
      <c r="AH450" s="689"/>
      <c r="AI450" s="689"/>
      <c r="AJ450" s="689"/>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c r="BK450" s="689"/>
      <c r="BL450" s="689"/>
      <c r="BM450" s="689"/>
      <c r="BN450" s="689"/>
      <c r="BO450" s="689"/>
      <c r="BP450" s="689"/>
      <c r="BQ450" s="689"/>
      <c r="BR450" s="689"/>
      <c r="BS450" s="689"/>
      <c r="BT450" s="689"/>
      <c r="BU450" s="689"/>
      <c r="BV450" s="689"/>
    </row>
    <row r="451" spans="9:74" s="389" customFormat="1">
      <c r="I451" s="689"/>
      <c r="J451" s="689"/>
      <c r="K451" s="689"/>
      <c r="L451" s="689"/>
      <c r="M451" s="689"/>
      <c r="N451" s="689"/>
      <c r="O451" s="689"/>
      <c r="P451" s="689"/>
      <c r="Q451" s="689"/>
      <c r="R451" s="689"/>
      <c r="S451" s="689"/>
      <c r="T451" s="689"/>
      <c r="U451" s="689"/>
      <c r="V451" s="689"/>
      <c r="W451" s="689"/>
      <c r="X451" s="689"/>
      <c r="Y451" s="689"/>
      <c r="Z451" s="689"/>
      <c r="AA451" s="689"/>
      <c r="AB451" s="689"/>
      <c r="AC451" s="689"/>
      <c r="AD451" s="689"/>
      <c r="AE451" s="689"/>
      <c r="AF451" s="689"/>
      <c r="AG451" s="689"/>
      <c r="AH451" s="689"/>
      <c r="AI451" s="689"/>
      <c r="AJ451" s="689"/>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c r="BK451" s="689"/>
      <c r="BL451" s="689"/>
      <c r="BM451" s="689"/>
      <c r="BN451" s="689"/>
      <c r="BO451" s="689"/>
      <c r="BP451" s="689"/>
      <c r="BQ451" s="689"/>
      <c r="BR451" s="689"/>
      <c r="BS451" s="689"/>
      <c r="BT451" s="689"/>
      <c r="BU451" s="689"/>
      <c r="BV451" s="689"/>
    </row>
    <row r="452" spans="9:74" s="389" customFormat="1">
      <c r="I452" s="689"/>
      <c r="J452" s="689"/>
      <c r="K452" s="689"/>
      <c r="L452" s="689"/>
      <c r="M452" s="689"/>
      <c r="N452" s="689"/>
      <c r="O452" s="689"/>
      <c r="P452" s="689"/>
      <c r="Q452" s="689"/>
      <c r="R452" s="689"/>
      <c r="S452" s="689"/>
      <c r="T452" s="689"/>
      <c r="U452" s="689"/>
      <c r="V452" s="689"/>
      <c r="W452" s="689"/>
      <c r="X452" s="689"/>
      <c r="Y452" s="689"/>
      <c r="Z452" s="689"/>
      <c r="AA452" s="689"/>
      <c r="AB452" s="689"/>
      <c r="AC452" s="689"/>
      <c r="AD452" s="689"/>
      <c r="AE452" s="689"/>
      <c r="AF452" s="689"/>
      <c r="AG452" s="689"/>
      <c r="AH452" s="689"/>
      <c r="AI452" s="689"/>
      <c r="AJ452" s="689"/>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c r="BK452" s="689"/>
      <c r="BL452" s="689"/>
      <c r="BM452" s="689"/>
      <c r="BN452" s="689"/>
      <c r="BO452" s="689"/>
      <c r="BP452" s="689"/>
      <c r="BQ452" s="689"/>
      <c r="BR452" s="689"/>
      <c r="BS452" s="689"/>
      <c r="BT452" s="689"/>
      <c r="BU452" s="689"/>
      <c r="BV452" s="689"/>
    </row>
    <row r="453" spans="9:74" s="389" customFormat="1">
      <c r="I453" s="689"/>
      <c r="J453" s="689"/>
      <c r="K453" s="689"/>
      <c r="L453" s="689"/>
      <c r="M453" s="689"/>
      <c r="N453" s="689"/>
      <c r="O453" s="689"/>
      <c r="P453" s="689"/>
      <c r="Q453" s="689"/>
      <c r="R453" s="689"/>
      <c r="S453" s="689"/>
      <c r="T453" s="689"/>
      <c r="U453" s="689"/>
      <c r="V453" s="689"/>
      <c r="W453" s="689"/>
      <c r="X453" s="689"/>
      <c r="Y453" s="689"/>
      <c r="Z453" s="689"/>
      <c r="AA453" s="689"/>
      <c r="AB453" s="689"/>
      <c r="AC453" s="689"/>
      <c r="AD453" s="689"/>
      <c r="AE453" s="689"/>
      <c r="AF453" s="689"/>
      <c r="AG453" s="689"/>
      <c r="AH453" s="689"/>
      <c r="AI453" s="689"/>
      <c r="AJ453" s="689"/>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c r="BK453" s="689"/>
      <c r="BL453" s="689"/>
      <c r="BM453" s="689"/>
      <c r="BN453" s="689"/>
      <c r="BO453" s="689"/>
      <c r="BP453" s="689"/>
      <c r="BQ453" s="689"/>
      <c r="BR453" s="689"/>
      <c r="BS453" s="689"/>
      <c r="BT453" s="689"/>
      <c r="BU453" s="689"/>
      <c r="BV453" s="689"/>
    </row>
    <row r="454" spans="9:74" s="389" customFormat="1">
      <c r="I454" s="689"/>
      <c r="J454" s="689"/>
      <c r="K454" s="689"/>
      <c r="L454" s="689"/>
      <c r="M454" s="689"/>
      <c r="N454" s="689"/>
      <c r="O454" s="689"/>
      <c r="P454" s="689"/>
      <c r="Q454" s="689"/>
      <c r="R454" s="689"/>
      <c r="S454" s="689"/>
      <c r="T454" s="689"/>
      <c r="U454" s="689"/>
      <c r="V454" s="689"/>
      <c r="W454" s="689"/>
      <c r="X454" s="689"/>
      <c r="Y454" s="689"/>
      <c r="Z454" s="689"/>
      <c r="AA454" s="689"/>
      <c r="AB454" s="689"/>
      <c r="AC454" s="689"/>
      <c r="AD454" s="689"/>
      <c r="AE454" s="689"/>
      <c r="AF454" s="689"/>
      <c r="AG454" s="689"/>
      <c r="AH454" s="689"/>
      <c r="AI454" s="689"/>
      <c r="AJ454" s="689"/>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c r="BK454" s="689"/>
      <c r="BL454" s="689"/>
      <c r="BM454" s="689"/>
      <c r="BN454" s="689"/>
      <c r="BO454" s="689"/>
      <c r="BP454" s="689"/>
      <c r="BQ454" s="689"/>
      <c r="BR454" s="689"/>
      <c r="BS454" s="689"/>
      <c r="BT454" s="689"/>
      <c r="BU454" s="689"/>
      <c r="BV454" s="689"/>
    </row>
    <row r="455" spans="9:74" s="389" customFormat="1">
      <c r="I455" s="689"/>
      <c r="J455" s="689"/>
      <c r="K455" s="689"/>
      <c r="L455" s="689"/>
      <c r="M455" s="689"/>
      <c r="N455" s="689"/>
      <c r="O455" s="689"/>
      <c r="P455" s="689"/>
      <c r="Q455" s="689"/>
      <c r="R455" s="689"/>
      <c r="S455" s="689"/>
      <c r="T455" s="689"/>
      <c r="U455" s="689"/>
      <c r="V455" s="689"/>
      <c r="W455" s="689"/>
      <c r="X455" s="689"/>
      <c r="Y455" s="689"/>
      <c r="Z455" s="689"/>
      <c r="AA455" s="689"/>
      <c r="AB455" s="689"/>
      <c r="AC455" s="689"/>
      <c r="AD455" s="689"/>
      <c r="AE455" s="689"/>
      <c r="AF455" s="689"/>
      <c r="AG455" s="689"/>
      <c r="AH455" s="689"/>
      <c r="AI455" s="689"/>
      <c r="AJ455" s="689"/>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c r="BK455" s="689"/>
      <c r="BL455" s="689"/>
      <c r="BM455" s="689"/>
      <c r="BN455" s="689"/>
      <c r="BO455" s="689"/>
      <c r="BP455" s="689"/>
      <c r="BQ455" s="689"/>
      <c r="BR455" s="689"/>
      <c r="BS455" s="689"/>
      <c r="BT455" s="689"/>
      <c r="BU455" s="689"/>
      <c r="BV455" s="689"/>
    </row>
    <row r="456" spans="9:74" s="389" customFormat="1">
      <c r="I456" s="689"/>
      <c r="J456" s="689"/>
      <c r="K456" s="689"/>
      <c r="L456" s="689"/>
      <c r="M456" s="689"/>
      <c r="N456" s="689"/>
      <c r="O456" s="689"/>
      <c r="P456" s="689"/>
      <c r="Q456" s="689"/>
      <c r="R456" s="689"/>
      <c r="S456" s="689"/>
      <c r="T456" s="689"/>
      <c r="U456" s="689"/>
      <c r="V456" s="689"/>
      <c r="W456" s="689"/>
      <c r="X456" s="689"/>
      <c r="Y456" s="689"/>
      <c r="Z456" s="689"/>
      <c r="AA456" s="689"/>
      <c r="AB456" s="689"/>
      <c r="AC456" s="689"/>
      <c r="AD456" s="689"/>
      <c r="AE456" s="689"/>
      <c r="AF456" s="689"/>
      <c r="AG456" s="689"/>
      <c r="AH456" s="689"/>
      <c r="AI456" s="689"/>
      <c r="AJ456" s="689"/>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c r="BK456" s="689"/>
      <c r="BL456" s="689"/>
      <c r="BM456" s="689"/>
      <c r="BN456" s="689"/>
      <c r="BO456" s="689"/>
      <c r="BP456" s="689"/>
      <c r="BQ456" s="689"/>
      <c r="BR456" s="689"/>
      <c r="BS456" s="689"/>
      <c r="BT456" s="689"/>
      <c r="BU456" s="689"/>
      <c r="BV456" s="689"/>
    </row>
    <row r="457" spans="9:74" s="389" customFormat="1">
      <c r="I457" s="689"/>
      <c r="J457" s="689"/>
      <c r="K457" s="689"/>
      <c r="L457" s="689"/>
      <c r="M457" s="689"/>
      <c r="N457" s="689"/>
      <c r="O457" s="689"/>
      <c r="P457" s="689"/>
      <c r="Q457" s="689"/>
      <c r="R457" s="689"/>
      <c r="S457" s="689"/>
      <c r="T457" s="689"/>
      <c r="U457" s="689"/>
      <c r="V457" s="689"/>
      <c r="W457" s="689"/>
      <c r="X457" s="689"/>
      <c r="Y457" s="689"/>
      <c r="Z457" s="689"/>
      <c r="AA457" s="689"/>
      <c r="AB457" s="689"/>
      <c r="AC457" s="689"/>
      <c r="AD457" s="689"/>
      <c r="AE457" s="689"/>
      <c r="AF457" s="689"/>
      <c r="AG457" s="689"/>
      <c r="AH457" s="689"/>
      <c r="AI457" s="689"/>
      <c r="AJ457" s="689"/>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c r="BK457" s="689"/>
      <c r="BL457" s="689"/>
      <c r="BM457" s="689"/>
      <c r="BN457" s="689"/>
      <c r="BO457" s="689"/>
      <c r="BP457" s="689"/>
      <c r="BQ457" s="689"/>
      <c r="BR457" s="689"/>
      <c r="BS457" s="689"/>
      <c r="BT457" s="689"/>
      <c r="BU457" s="689"/>
      <c r="BV457" s="689"/>
    </row>
    <row r="458" spans="9:74" s="389" customFormat="1">
      <c r="I458" s="689"/>
      <c r="J458" s="689"/>
      <c r="K458" s="689"/>
      <c r="L458" s="689"/>
      <c r="M458" s="689"/>
      <c r="N458" s="689"/>
      <c r="O458" s="689"/>
      <c r="P458" s="689"/>
      <c r="Q458" s="689"/>
      <c r="R458" s="689"/>
      <c r="S458" s="689"/>
      <c r="T458" s="689"/>
      <c r="U458" s="689"/>
      <c r="V458" s="689"/>
      <c r="W458" s="689"/>
      <c r="X458" s="689"/>
      <c r="Y458" s="689"/>
      <c r="Z458" s="689"/>
      <c r="AA458" s="689"/>
      <c r="AB458" s="689"/>
      <c r="AC458" s="689"/>
      <c r="AD458" s="689"/>
      <c r="AE458" s="689"/>
      <c r="AF458" s="689"/>
      <c r="AG458" s="689"/>
      <c r="AH458" s="689"/>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c r="BI458" s="689"/>
      <c r="BJ458" s="689"/>
      <c r="BK458" s="689"/>
      <c r="BL458" s="689"/>
      <c r="BM458" s="689"/>
      <c r="BN458" s="689"/>
      <c r="BO458" s="689"/>
      <c r="BP458" s="689"/>
      <c r="BQ458" s="689"/>
      <c r="BR458" s="689"/>
      <c r="BS458" s="689"/>
      <c r="BT458" s="689"/>
      <c r="BU458" s="689"/>
      <c r="BV458" s="689"/>
    </row>
    <row r="459" spans="9:74" s="389" customFormat="1">
      <c r="I459" s="689"/>
      <c r="J459" s="689"/>
      <c r="K459" s="689"/>
      <c r="L459" s="689"/>
      <c r="M459" s="689"/>
      <c r="N459" s="689"/>
      <c r="O459" s="689"/>
      <c r="P459" s="689"/>
      <c r="Q459" s="689"/>
      <c r="R459" s="689"/>
      <c r="S459" s="689"/>
      <c r="T459" s="689"/>
      <c r="U459" s="689"/>
      <c r="V459" s="689"/>
      <c r="W459" s="689"/>
      <c r="X459" s="689"/>
      <c r="Y459" s="689"/>
      <c r="Z459" s="689"/>
      <c r="AA459" s="689"/>
      <c r="AB459" s="689"/>
      <c r="AC459" s="689"/>
      <c r="AD459" s="689"/>
      <c r="AE459" s="689"/>
      <c r="AF459" s="689"/>
      <c r="AG459" s="689"/>
      <c r="AH459" s="689"/>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c r="BI459" s="689"/>
      <c r="BJ459" s="689"/>
      <c r="BK459" s="689"/>
      <c r="BL459" s="689"/>
      <c r="BM459" s="689"/>
      <c r="BN459" s="689"/>
      <c r="BO459" s="689"/>
      <c r="BP459" s="689"/>
      <c r="BQ459" s="689"/>
      <c r="BR459" s="689"/>
      <c r="BS459" s="689"/>
      <c r="BT459" s="689"/>
      <c r="BU459" s="689"/>
      <c r="BV459" s="689"/>
    </row>
    <row r="460" spans="9:74" s="389" customFormat="1">
      <c r="I460" s="689"/>
      <c r="J460" s="689"/>
      <c r="K460" s="689"/>
      <c r="L460" s="689"/>
      <c r="M460" s="689"/>
      <c r="N460" s="689"/>
      <c r="O460" s="689"/>
      <c r="P460" s="689"/>
      <c r="Q460" s="689"/>
      <c r="R460" s="689"/>
      <c r="S460" s="689"/>
      <c r="T460" s="689"/>
      <c r="U460" s="689"/>
      <c r="V460" s="689"/>
      <c r="W460" s="689"/>
      <c r="X460" s="689"/>
      <c r="Y460" s="689"/>
      <c r="Z460" s="689"/>
      <c r="AA460" s="689"/>
      <c r="AB460" s="689"/>
      <c r="AC460" s="689"/>
      <c r="AD460" s="689"/>
      <c r="AE460" s="689"/>
      <c r="AF460" s="689"/>
      <c r="AG460" s="689"/>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c r="BH460" s="689"/>
      <c r="BI460" s="689"/>
      <c r="BJ460" s="689"/>
      <c r="BK460" s="689"/>
      <c r="BL460" s="689"/>
      <c r="BM460" s="689"/>
      <c r="BN460" s="689"/>
      <c r="BO460" s="689"/>
      <c r="BP460" s="689"/>
      <c r="BQ460" s="689"/>
      <c r="BR460" s="689"/>
      <c r="BS460" s="689"/>
      <c r="BT460" s="689"/>
      <c r="BU460" s="689"/>
      <c r="BV460" s="689"/>
    </row>
    <row r="461" spans="9:74" s="389" customFormat="1">
      <c r="I461" s="689"/>
      <c r="J461" s="689"/>
      <c r="K461" s="689"/>
      <c r="L461" s="689"/>
      <c r="M461" s="689"/>
      <c r="N461" s="689"/>
      <c r="O461" s="689"/>
      <c r="P461" s="689"/>
      <c r="Q461" s="689"/>
      <c r="R461" s="689"/>
      <c r="S461" s="689"/>
      <c r="T461" s="689"/>
      <c r="U461" s="689"/>
      <c r="V461" s="689"/>
      <c r="W461" s="689"/>
      <c r="X461" s="689"/>
      <c r="Y461" s="689"/>
      <c r="Z461" s="689"/>
      <c r="AA461" s="689"/>
      <c r="AB461" s="689"/>
      <c r="AC461" s="689"/>
      <c r="AD461" s="689"/>
      <c r="AE461" s="689"/>
      <c r="AF461" s="689"/>
      <c r="AG461" s="689"/>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c r="BH461" s="689"/>
      <c r="BI461" s="689"/>
      <c r="BJ461" s="689"/>
      <c r="BK461" s="689"/>
      <c r="BL461" s="689"/>
      <c r="BM461" s="689"/>
      <c r="BN461" s="689"/>
      <c r="BO461" s="689"/>
      <c r="BP461" s="689"/>
      <c r="BQ461" s="689"/>
      <c r="BR461" s="689"/>
      <c r="BS461" s="689"/>
      <c r="BT461" s="689"/>
      <c r="BU461" s="689"/>
      <c r="BV461" s="689"/>
    </row>
    <row r="462" spans="9:74" s="389" customFormat="1">
      <c r="I462" s="689"/>
      <c r="J462" s="689"/>
      <c r="K462" s="689"/>
      <c r="L462" s="689"/>
      <c r="M462" s="689"/>
      <c r="N462" s="689"/>
      <c r="O462" s="689"/>
      <c r="P462" s="689"/>
      <c r="Q462" s="689"/>
      <c r="R462" s="689"/>
      <c r="S462" s="689"/>
      <c r="T462" s="689"/>
      <c r="U462" s="689"/>
      <c r="V462" s="689"/>
      <c r="W462" s="689"/>
      <c r="X462" s="689"/>
      <c r="Y462" s="689"/>
      <c r="Z462" s="689"/>
      <c r="AA462" s="689"/>
      <c r="AB462" s="689"/>
      <c r="AC462" s="689"/>
      <c r="AD462" s="689"/>
      <c r="AE462" s="689"/>
      <c r="AF462" s="689"/>
      <c r="AG462" s="689"/>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c r="BH462" s="689"/>
      <c r="BI462" s="689"/>
      <c r="BJ462" s="689"/>
      <c r="BK462" s="689"/>
      <c r="BL462" s="689"/>
      <c r="BM462" s="689"/>
      <c r="BN462" s="689"/>
      <c r="BO462" s="689"/>
      <c r="BP462" s="689"/>
      <c r="BQ462" s="689"/>
      <c r="BR462" s="689"/>
      <c r="BS462" s="689"/>
      <c r="BT462" s="689"/>
      <c r="BU462" s="689"/>
      <c r="BV462" s="689"/>
    </row>
    <row r="463" spans="9:74" s="389" customFormat="1">
      <c r="I463" s="689"/>
      <c r="J463" s="689"/>
      <c r="K463" s="689"/>
      <c r="L463" s="689"/>
      <c r="M463" s="689"/>
      <c r="N463" s="689"/>
      <c r="O463" s="689"/>
      <c r="P463" s="689"/>
      <c r="Q463" s="689"/>
      <c r="R463" s="689"/>
      <c r="S463" s="689"/>
      <c r="T463" s="689"/>
      <c r="U463" s="689"/>
      <c r="V463" s="689"/>
      <c r="W463" s="689"/>
      <c r="X463" s="689"/>
      <c r="Y463" s="689"/>
      <c r="Z463" s="689"/>
      <c r="AA463" s="689"/>
      <c r="AB463" s="689"/>
      <c r="AC463" s="689"/>
      <c r="AD463" s="689"/>
      <c r="AE463" s="689"/>
      <c r="AF463" s="689"/>
      <c r="AG463" s="689"/>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c r="BH463" s="689"/>
      <c r="BI463" s="689"/>
      <c r="BJ463" s="689"/>
      <c r="BK463" s="689"/>
      <c r="BL463" s="689"/>
      <c r="BM463" s="689"/>
      <c r="BN463" s="689"/>
      <c r="BO463" s="689"/>
      <c r="BP463" s="689"/>
      <c r="BQ463" s="689"/>
      <c r="BR463" s="689"/>
      <c r="BS463" s="689"/>
      <c r="BT463" s="689"/>
      <c r="BU463" s="689"/>
      <c r="BV463" s="689"/>
    </row>
    <row r="464" spans="9:74" s="389" customFormat="1">
      <c r="I464" s="689"/>
      <c r="J464" s="689"/>
      <c r="K464" s="689"/>
      <c r="L464" s="689"/>
      <c r="M464" s="689"/>
      <c r="N464" s="689"/>
      <c r="O464" s="689"/>
      <c r="P464" s="689"/>
      <c r="Q464" s="689"/>
      <c r="R464" s="689"/>
      <c r="S464" s="689"/>
      <c r="T464" s="689"/>
      <c r="U464" s="689"/>
      <c r="V464" s="689"/>
      <c r="W464" s="689"/>
      <c r="X464" s="689"/>
      <c r="Y464" s="689"/>
      <c r="Z464" s="689"/>
      <c r="AA464" s="689"/>
      <c r="AB464" s="689"/>
      <c r="AC464" s="689"/>
      <c r="AD464" s="689"/>
      <c r="AE464" s="689"/>
      <c r="AF464" s="689"/>
      <c r="AG464" s="689"/>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c r="BH464" s="689"/>
      <c r="BI464" s="689"/>
      <c r="BJ464" s="689"/>
      <c r="BK464" s="689"/>
      <c r="BL464" s="689"/>
      <c r="BM464" s="689"/>
      <c r="BN464" s="689"/>
      <c r="BO464" s="689"/>
      <c r="BP464" s="689"/>
      <c r="BQ464" s="689"/>
      <c r="BR464" s="689"/>
      <c r="BS464" s="689"/>
      <c r="BT464" s="689"/>
      <c r="BU464" s="689"/>
      <c r="BV464" s="689"/>
    </row>
    <row r="465" spans="9:74" s="389" customFormat="1">
      <c r="I465" s="689"/>
      <c r="J465" s="689"/>
      <c r="K465" s="689"/>
      <c r="L465" s="689"/>
      <c r="M465" s="689"/>
      <c r="N465" s="689"/>
      <c r="O465" s="689"/>
      <c r="P465" s="689"/>
      <c r="Q465" s="689"/>
      <c r="R465" s="689"/>
      <c r="S465" s="689"/>
      <c r="T465" s="689"/>
      <c r="U465" s="689"/>
      <c r="V465" s="689"/>
      <c r="W465" s="689"/>
      <c r="X465" s="689"/>
      <c r="Y465" s="689"/>
      <c r="Z465" s="689"/>
      <c r="AA465" s="689"/>
      <c r="AB465" s="689"/>
      <c r="AC465" s="689"/>
      <c r="AD465" s="689"/>
      <c r="AE465" s="689"/>
      <c r="AF465" s="689"/>
      <c r="AG465" s="689"/>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c r="BH465" s="689"/>
      <c r="BI465" s="689"/>
      <c r="BJ465" s="689"/>
      <c r="BK465" s="689"/>
      <c r="BL465" s="689"/>
      <c r="BM465" s="689"/>
      <c r="BN465" s="689"/>
      <c r="BO465" s="689"/>
      <c r="BP465" s="689"/>
      <c r="BQ465" s="689"/>
      <c r="BR465" s="689"/>
      <c r="BS465" s="689"/>
      <c r="BT465" s="689"/>
      <c r="BU465" s="689"/>
      <c r="BV465" s="689"/>
    </row>
    <row r="466" spans="9:74" s="389" customFormat="1">
      <c r="I466" s="689"/>
      <c r="J466" s="689"/>
      <c r="K466" s="689"/>
      <c r="L466" s="689"/>
      <c r="M466" s="689"/>
      <c r="N466" s="689"/>
      <c r="O466" s="689"/>
      <c r="P466" s="689"/>
      <c r="Q466" s="689"/>
      <c r="R466" s="689"/>
      <c r="S466" s="689"/>
      <c r="T466" s="689"/>
      <c r="U466" s="689"/>
      <c r="V466" s="689"/>
      <c r="W466" s="689"/>
      <c r="X466" s="689"/>
      <c r="Y466" s="689"/>
      <c r="Z466" s="689"/>
      <c r="AA466" s="689"/>
      <c r="AB466" s="689"/>
      <c r="AC466" s="689"/>
      <c r="AD466" s="689"/>
      <c r="AE466" s="689"/>
      <c r="AF466" s="689"/>
      <c r="AG466" s="689"/>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c r="BH466" s="689"/>
      <c r="BI466" s="689"/>
      <c r="BJ466" s="689"/>
      <c r="BK466" s="689"/>
      <c r="BL466" s="689"/>
      <c r="BM466" s="689"/>
      <c r="BN466" s="689"/>
      <c r="BO466" s="689"/>
      <c r="BP466" s="689"/>
      <c r="BQ466" s="689"/>
      <c r="BR466" s="689"/>
      <c r="BS466" s="689"/>
      <c r="BT466" s="689"/>
      <c r="BU466" s="689"/>
      <c r="BV466" s="689"/>
    </row>
    <row r="467" spans="9:74" s="389" customFormat="1">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G467" s="689"/>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c r="BH467" s="689"/>
      <c r="BI467" s="689"/>
      <c r="BJ467" s="689"/>
      <c r="BK467" s="689"/>
      <c r="BL467" s="689"/>
      <c r="BM467" s="689"/>
      <c r="BN467" s="689"/>
      <c r="BO467" s="689"/>
      <c r="BP467" s="689"/>
      <c r="BQ467" s="689"/>
      <c r="BR467" s="689"/>
      <c r="BS467" s="689"/>
      <c r="BT467" s="689"/>
      <c r="BU467" s="689"/>
      <c r="BV467" s="689"/>
    </row>
    <row r="468" spans="9:74" s="389" customFormat="1">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G468" s="689"/>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c r="BH468" s="689"/>
      <c r="BI468" s="689"/>
      <c r="BJ468" s="689"/>
      <c r="BK468" s="689"/>
      <c r="BL468" s="689"/>
      <c r="BM468" s="689"/>
      <c r="BN468" s="689"/>
      <c r="BO468" s="689"/>
      <c r="BP468" s="689"/>
      <c r="BQ468" s="689"/>
      <c r="BR468" s="689"/>
      <c r="BS468" s="689"/>
      <c r="BT468" s="689"/>
      <c r="BU468" s="689"/>
      <c r="BV468" s="689"/>
    </row>
    <row r="469" spans="9:74" s="389" customFormat="1">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G469" s="689"/>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c r="BH469" s="689"/>
      <c r="BI469" s="689"/>
      <c r="BJ469" s="689"/>
      <c r="BK469" s="689"/>
      <c r="BL469" s="689"/>
      <c r="BM469" s="689"/>
      <c r="BN469" s="689"/>
      <c r="BO469" s="689"/>
      <c r="BP469" s="689"/>
      <c r="BQ469" s="689"/>
      <c r="BR469" s="689"/>
      <c r="BS469" s="689"/>
      <c r="BT469" s="689"/>
      <c r="BU469" s="689"/>
      <c r="BV469" s="689"/>
    </row>
    <row r="470" spans="9:74" s="389" customFormat="1">
      <c r="I470" s="689"/>
      <c r="J470" s="689"/>
      <c r="K470" s="689"/>
      <c r="L470" s="689"/>
      <c r="M470" s="689"/>
      <c r="N470" s="689"/>
      <c r="O470" s="689"/>
      <c r="P470" s="689"/>
      <c r="Q470" s="689"/>
      <c r="R470" s="689"/>
      <c r="S470" s="689"/>
      <c r="T470" s="689"/>
      <c r="U470" s="689"/>
      <c r="V470" s="689"/>
      <c r="W470" s="689"/>
      <c r="X470" s="689"/>
      <c r="Y470" s="689"/>
      <c r="Z470" s="689"/>
      <c r="AA470" s="689"/>
      <c r="AB470" s="689"/>
      <c r="AC470" s="689"/>
      <c r="AD470" s="689"/>
      <c r="AE470" s="689"/>
      <c r="AF470" s="689"/>
      <c r="AG470" s="689"/>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c r="BH470" s="689"/>
      <c r="BI470" s="689"/>
      <c r="BJ470" s="689"/>
      <c r="BK470" s="689"/>
      <c r="BL470" s="689"/>
      <c r="BM470" s="689"/>
      <c r="BN470" s="689"/>
      <c r="BO470" s="689"/>
      <c r="BP470" s="689"/>
      <c r="BQ470" s="689"/>
      <c r="BR470" s="689"/>
      <c r="BS470" s="689"/>
      <c r="BT470" s="689"/>
      <c r="BU470" s="689"/>
      <c r="BV470" s="689"/>
    </row>
    <row r="471" spans="9:74" s="389" customFormat="1">
      <c r="I471" s="689"/>
      <c r="J471" s="689"/>
      <c r="K471" s="689"/>
      <c r="L471" s="689"/>
      <c r="M471" s="689"/>
      <c r="N471" s="689"/>
      <c r="O471" s="689"/>
      <c r="P471" s="689"/>
      <c r="Q471" s="689"/>
      <c r="R471" s="689"/>
      <c r="S471" s="689"/>
      <c r="T471" s="689"/>
      <c r="U471" s="689"/>
      <c r="V471" s="689"/>
      <c r="W471" s="689"/>
      <c r="X471" s="689"/>
      <c r="Y471" s="689"/>
      <c r="Z471" s="689"/>
      <c r="AA471" s="689"/>
      <c r="AB471" s="689"/>
      <c r="AC471" s="689"/>
      <c r="AD471" s="689"/>
      <c r="AE471" s="689"/>
      <c r="AF471" s="689"/>
      <c r="AG471" s="689"/>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c r="BH471" s="689"/>
      <c r="BI471" s="689"/>
      <c r="BJ471" s="689"/>
      <c r="BK471" s="689"/>
      <c r="BL471" s="689"/>
      <c r="BM471" s="689"/>
      <c r="BN471" s="689"/>
      <c r="BO471" s="689"/>
      <c r="BP471" s="689"/>
      <c r="BQ471" s="689"/>
      <c r="BR471" s="689"/>
      <c r="BS471" s="689"/>
      <c r="BT471" s="689"/>
      <c r="BU471" s="689"/>
      <c r="BV471" s="689"/>
    </row>
    <row r="472" spans="9:74" s="389" customFormat="1">
      <c r="I472" s="689"/>
      <c r="J472" s="689"/>
      <c r="K472" s="689"/>
      <c r="L472" s="689"/>
      <c r="M472" s="689"/>
      <c r="N472" s="689"/>
      <c r="O472" s="689"/>
      <c r="P472" s="689"/>
      <c r="Q472" s="689"/>
      <c r="R472" s="689"/>
      <c r="S472" s="689"/>
      <c r="T472" s="689"/>
      <c r="U472" s="689"/>
      <c r="V472" s="689"/>
      <c r="W472" s="689"/>
      <c r="X472" s="689"/>
      <c r="Y472" s="689"/>
      <c r="Z472" s="689"/>
      <c r="AA472" s="689"/>
      <c r="AB472" s="689"/>
      <c r="AC472" s="689"/>
      <c r="AD472" s="689"/>
      <c r="AE472" s="689"/>
      <c r="AF472" s="689"/>
      <c r="AG472" s="689"/>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c r="BH472" s="689"/>
      <c r="BI472" s="689"/>
      <c r="BJ472" s="689"/>
      <c r="BK472" s="689"/>
      <c r="BL472" s="689"/>
      <c r="BM472" s="689"/>
      <c r="BN472" s="689"/>
      <c r="BO472" s="689"/>
      <c r="BP472" s="689"/>
      <c r="BQ472" s="689"/>
      <c r="BR472" s="689"/>
      <c r="BS472" s="689"/>
      <c r="BT472" s="689"/>
      <c r="BU472" s="689"/>
      <c r="BV472" s="689"/>
    </row>
    <row r="473" spans="9:74" s="389" customFormat="1">
      <c r="I473" s="689"/>
      <c r="J473" s="689"/>
      <c r="K473" s="689"/>
      <c r="L473" s="689"/>
      <c r="M473" s="689"/>
      <c r="N473" s="689"/>
      <c r="O473" s="689"/>
      <c r="P473" s="689"/>
      <c r="Q473" s="689"/>
      <c r="R473" s="689"/>
      <c r="S473" s="689"/>
      <c r="T473" s="689"/>
      <c r="U473" s="689"/>
      <c r="V473" s="689"/>
      <c r="W473" s="689"/>
      <c r="X473" s="689"/>
      <c r="Y473" s="689"/>
      <c r="Z473" s="689"/>
      <c r="AA473" s="689"/>
      <c r="AB473" s="689"/>
      <c r="AC473" s="689"/>
      <c r="AD473" s="689"/>
      <c r="AE473" s="689"/>
      <c r="AF473" s="689"/>
      <c r="AG473" s="689"/>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c r="BH473" s="689"/>
      <c r="BI473" s="689"/>
      <c r="BJ473" s="689"/>
      <c r="BK473" s="689"/>
      <c r="BL473" s="689"/>
      <c r="BM473" s="689"/>
      <c r="BN473" s="689"/>
      <c r="BO473" s="689"/>
      <c r="BP473" s="689"/>
      <c r="BQ473" s="689"/>
      <c r="BR473" s="689"/>
      <c r="BS473" s="689"/>
      <c r="BT473" s="689"/>
      <c r="BU473" s="689"/>
      <c r="BV473" s="689"/>
    </row>
    <row r="474" spans="9:74" s="389" customFormat="1">
      <c r="I474" s="689"/>
      <c r="J474" s="689"/>
      <c r="K474" s="689"/>
      <c r="L474" s="689"/>
      <c r="M474" s="689"/>
      <c r="N474" s="689"/>
      <c r="O474" s="689"/>
      <c r="P474" s="689"/>
      <c r="Q474" s="689"/>
      <c r="R474" s="689"/>
      <c r="S474" s="689"/>
      <c r="T474" s="689"/>
      <c r="U474" s="689"/>
      <c r="V474" s="689"/>
      <c r="W474" s="689"/>
      <c r="X474" s="689"/>
      <c r="Y474" s="689"/>
      <c r="Z474" s="689"/>
      <c r="AA474" s="689"/>
      <c r="AB474" s="689"/>
      <c r="AC474" s="689"/>
      <c r="AD474" s="689"/>
      <c r="AE474" s="689"/>
      <c r="AF474" s="689"/>
      <c r="AG474" s="689"/>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c r="BH474" s="689"/>
      <c r="BI474" s="689"/>
      <c r="BJ474" s="689"/>
      <c r="BK474" s="689"/>
      <c r="BL474" s="689"/>
      <c r="BM474" s="689"/>
      <c r="BN474" s="689"/>
      <c r="BO474" s="689"/>
      <c r="BP474" s="689"/>
      <c r="BQ474" s="689"/>
      <c r="BR474" s="689"/>
      <c r="BS474" s="689"/>
      <c r="BT474" s="689"/>
      <c r="BU474" s="689"/>
      <c r="BV474" s="689"/>
    </row>
    <row r="475" spans="9:74" s="389" customFormat="1">
      <c r="I475" s="689"/>
      <c r="J475" s="689"/>
      <c r="K475" s="689"/>
      <c r="L475" s="689"/>
      <c r="M475" s="689"/>
      <c r="N475" s="689"/>
      <c r="O475" s="689"/>
      <c r="P475" s="689"/>
      <c r="Q475" s="689"/>
      <c r="R475" s="689"/>
      <c r="S475" s="689"/>
      <c r="T475" s="689"/>
      <c r="U475" s="689"/>
      <c r="V475" s="689"/>
      <c r="W475" s="689"/>
      <c r="X475" s="689"/>
      <c r="Y475" s="689"/>
      <c r="Z475" s="689"/>
      <c r="AA475" s="689"/>
      <c r="AB475" s="689"/>
      <c r="AC475" s="689"/>
      <c r="AD475" s="689"/>
      <c r="AE475" s="689"/>
      <c r="AF475" s="689"/>
      <c r="AG475" s="689"/>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c r="BH475" s="689"/>
      <c r="BI475" s="689"/>
      <c r="BJ475" s="689"/>
      <c r="BK475" s="689"/>
      <c r="BL475" s="689"/>
      <c r="BM475" s="689"/>
      <c r="BN475" s="689"/>
      <c r="BO475" s="689"/>
      <c r="BP475" s="689"/>
      <c r="BQ475" s="689"/>
      <c r="BR475" s="689"/>
      <c r="BS475" s="689"/>
      <c r="BT475" s="689"/>
      <c r="BU475" s="689"/>
      <c r="BV475" s="689"/>
    </row>
    <row r="476" spans="9:74" s="389" customFormat="1">
      <c r="I476" s="689"/>
      <c r="J476" s="689"/>
      <c r="K476" s="689"/>
      <c r="L476" s="689"/>
      <c r="M476" s="689"/>
      <c r="N476" s="689"/>
      <c r="O476" s="689"/>
      <c r="P476" s="689"/>
      <c r="Q476" s="689"/>
      <c r="R476" s="689"/>
      <c r="S476" s="689"/>
      <c r="T476" s="689"/>
      <c r="U476" s="689"/>
      <c r="V476" s="689"/>
      <c r="W476" s="689"/>
      <c r="X476" s="689"/>
      <c r="Y476" s="689"/>
      <c r="Z476" s="689"/>
      <c r="AA476" s="689"/>
      <c r="AB476" s="689"/>
      <c r="AC476" s="689"/>
      <c r="AD476" s="689"/>
      <c r="AE476" s="689"/>
      <c r="AF476" s="689"/>
      <c r="AG476" s="689"/>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c r="BH476" s="689"/>
      <c r="BI476" s="689"/>
      <c r="BJ476" s="689"/>
      <c r="BK476" s="689"/>
      <c r="BL476" s="689"/>
      <c r="BM476" s="689"/>
      <c r="BN476" s="689"/>
      <c r="BO476" s="689"/>
      <c r="BP476" s="689"/>
      <c r="BQ476" s="689"/>
      <c r="BR476" s="689"/>
      <c r="BS476" s="689"/>
      <c r="BT476" s="689"/>
      <c r="BU476" s="689"/>
      <c r="BV476" s="689"/>
    </row>
    <row r="477" spans="9:74" s="389" customFormat="1">
      <c r="I477" s="689"/>
      <c r="J477" s="689"/>
      <c r="K477" s="689"/>
      <c r="L477" s="689"/>
      <c r="M477" s="689"/>
      <c r="N477" s="689"/>
      <c r="O477" s="689"/>
      <c r="P477" s="689"/>
      <c r="Q477" s="689"/>
      <c r="R477" s="689"/>
      <c r="S477" s="689"/>
      <c r="T477" s="689"/>
      <c r="U477" s="689"/>
      <c r="V477" s="689"/>
      <c r="W477" s="689"/>
      <c r="X477" s="689"/>
      <c r="Y477" s="689"/>
      <c r="Z477" s="689"/>
      <c r="AA477" s="689"/>
      <c r="AB477" s="689"/>
      <c r="AC477" s="689"/>
      <c r="AD477" s="689"/>
      <c r="AE477" s="689"/>
      <c r="AF477" s="689"/>
      <c r="AG477" s="689"/>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c r="BH477" s="689"/>
      <c r="BI477" s="689"/>
      <c r="BJ477" s="689"/>
      <c r="BK477" s="689"/>
      <c r="BL477" s="689"/>
      <c r="BM477" s="689"/>
      <c r="BN477" s="689"/>
      <c r="BO477" s="689"/>
      <c r="BP477" s="689"/>
      <c r="BQ477" s="689"/>
      <c r="BR477" s="689"/>
      <c r="BS477" s="689"/>
      <c r="BT477" s="689"/>
      <c r="BU477" s="689"/>
      <c r="BV477" s="689"/>
    </row>
    <row r="478" spans="9:74" s="389" customFormat="1">
      <c r="I478" s="689"/>
      <c r="J478" s="689"/>
      <c r="K478" s="689"/>
      <c r="L478" s="689"/>
      <c r="M478" s="689"/>
      <c r="N478" s="689"/>
      <c r="O478" s="689"/>
      <c r="P478" s="689"/>
      <c r="Q478" s="689"/>
      <c r="R478" s="689"/>
      <c r="S478" s="689"/>
      <c r="T478" s="689"/>
      <c r="U478" s="689"/>
      <c r="V478" s="689"/>
      <c r="W478" s="689"/>
      <c r="X478" s="689"/>
      <c r="Y478" s="689"/>
      <c r="Z478" s="689"/>
      <c r="AA478" s="689"/>
      <c r="AB478" s="689"/>
      <c r="AC478" s="689"/>
      <c r="AD478" s="689"/>
      <c r="AE478" s="689"/>
      <c r="AF478" s="689"/>
      <c r="AG478" s="689"/>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c r="BH478" s="689"/>
      <c r="BI478" s="689"/>
      <c r="BJ478" s="689"/>
      <c r="BK478" s="689"/>
      <c r="BL478" s="689"/>
      <c r="BM478" s="689"/>
      <c r="BN478" s="689"/>
      <c r="BO478" s="689"/>
      <c r="BP478" s="689"/>
      <c r="BQ478" s="689"/>
      <c r="BR478" s="689"/>
      <c r="BS478" s="689"/>
      <c r="BT478" s="689"/>
      <c r="BU478" s="689"/>
      <c r="BV478" s="689"/>
    </row>
    <row r="479" spans="9:74" s="389" customFormat="1">
      <c r="I479" s="689"/>
      <c r="J479" s="689"/>
      <c r="K479" s="689"/>
      <c r="L479" s="689"/>
      <c r="M479" s="689"/>
      <c r="N479" s="689"/>
      <c r="O479" s="689"/>
      <c r="P479" s="689"/>
      <c r="Q479" s="689"/>
      <c r="R479" s="689"/>
      <c r="S479" s="689"/>
      <c r="T479" s="689"/>
      <c r="U479" s="689"/>
      <c r="V479" s="689"/>
      <c r="W479" s="689"/>
      <c r="X479" s="689"/>
      <c r="Y479" s="689"/>
      <c r="Z479" s="689"/>
      <c r="AA479" s="689"/>
      <c r="AB479" s="689"/>
      <c r="AC479" s="689"/>
      <c r="AD479" s="689"/>
      <c r="AE479" s="689"/>
      <c r="AF479" s="689"/>
      <c r="AG479" s="689"/>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c r="BH479" s="689"/>
      <c r="BI479" s="689"/>
      <c r="BJ479" s="689"/>
      <c r="BK479" s="689"/>
      <c r="BL479" s="689"/>
      <c r="BM479" s="689"/>
      <c r="BN479" s="689"/>
      <c r="BO479" s="689"/>
      <c r="BP479" s="689"/>
      <c r="BQ479" s="689"/>
      <c r="BR479" s="689"/>
      <c r="BS479" s="689"/>
      <c r="BT479" s="689"/>
      <c r="BU479" s="689"/>
      <c r="BV479" s="689"/>
    </row>
    <row r="480" spans="9:74" s="389" customFormat="1">
      <c r="I480" s="689"/>
      <c r="J480" s="689"/>
      <c r="K480" s="689"/>
      <c r="L480" s="689"/>
      <c r="M480" s="689"/>
      <c r="N480" s="689"/>
      <c r="O480" s="689"/>
      <c r="P480" s="689"/>
      <c r="Q480" s="689"/>
      <c r="R480" s="689"/>
      <c r="S480" s="689"/>
      <c r="T480" s="689"/>
      <c r="U480" s="689"/>
      <c r="V480" s="689"/>
      <c r="W480" s="689"/>
      <c r="X480" s="689"/>
      <c r="Y480" s="689"/>
      <c r="Z480" s="689"/>
      <c r="AA480" s="689"/>
      <c r="AB480" s="689"/>
      <c r="AC480" s="689"/>
      <c r="AD480" s="689"/>
      <c r="AE480" s="689"/>
      <c r="AF480" s="689"/>
      <c r="AG480" s="689"/>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c r="BH480" s="689"/>
      <c r="BI480" s="689"/>
      <c r="BJ480" s="689"/>
      <c r="BK480" s="689"/>
      <c r="BL480" s="689"/>
      <c r="BM480" s="689"/>
      <c r="BN480" s="689"/>
      <c r="BO480" s="689"/>
      <c r="BP480" s="689"/>
      <c r="BQ480" s="689"/>
      <c r="BR480" s="689"/>
      <c r="BS480" s="689"/>
      <c r="BT480" s="689"/>
      <c r="BU480" s="689"/>
      <c r="BV480" s="689"/>
    </row>
    <row r="481" spans="9:74" s="389" customFormat="1">
      <c r="I481" s="689"/>
      <c r="J481" s="689"/>
      <c r="K481" s="689"/>
      <c r="L481" s="689"/>
      <c r="M481" s="689"/>
      <c r="N481" s="689"/>
      <c r="O481" s="689"/>
      <c r="P481" s="689"/>
      <c r="Q481" s="689"/>
      <c r="R481" s="689"/>
      <c r="S481" s="689"/>
      <c r="T481" s="689"/>
      <c r="U481" s="689"/>
      <c r="V481" s="689"/>
      <c r="W481" s="689"/>
      <c r="X481" s="689"/>
      <c r="Y481" s="689"/>
      <c r="Z481" s="689"/>
      <c r="AA481" s="689"/>
      <c r="AB481" s="689"/>
      <c r="AC481" s="689"/>
      <c r="AD481" s="689"/>
      <c r="AE481" s="689"/>
      <c r="AF481" s="689"/>
      <c r="AG481" s="689"/>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c r="BH481" s="689"/>
      <c r="BI481" s="689"/>
      <c r="BJ481" s="689"/>
      <c r="BK481" s="689"/>
      <c r="BL481" s="689"/>
      <c r="BM481" s="689"/>
      <c r="BN481" s="689"/>
      <c r="BO481" s="689"/>
      <c r="BP481" s="689"/>
      <c r="BQ481" s="689"/>
      <c r="BR481" s="689"/>
      <c r="BS481" s="689"/>
      <c r="BT481" s="689"/>
      <c r="BU481" s="689"/>
      <c r="BV481" s="689"/>
    </row>
    <row r="482" spans="9:74" s="389" customFormat="1">
      <c r="I482" s="689"/>
      <c r="J482" s="689"/>
      <c r="K482" s="689"/>
      <c r="L482" s="689"/>
      <c r="M482" s="689"/>
      <c r="N482" s="689"/>
      <c r="O482" s="689"/>
      <c r="P482" s="689"/>
      <c r="Q482" s="689"/>
      <c r="R482" s="689"/>
      <c r="S482" s="689"/>
      <c r="T482" s="689"/>
      <c r="U482" s="689"/>
      <c r="V482" s="689"/>
      <c r="W482" s="689"/>
      <c r="X482" s="689"/>
      <c r="Y482" s="689"/>
      <c r="Z482" s="689"/>
      <c r="AA482" s="689"/>
      <c r="AB482" s="689"/>
      <c r="AC482" s="689"/>
      <c r="AD482" s="689"/>
      <c r="AE482" s="689"/>
      <c r="AF482" s="689"/>
      <c r="AG482" s="689"/>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row>
    <row r="483" spans="9:74" s="389" customFormat="1">
      <c r="I483" s="689"/>
      <c r="J483" s="689"/>
      <c r="K483" s="689"/>
      <c r="L483" s="689"/>
      <c r="M483" s="689"/>
      <c r="N483" s="689"/>
      <c r="O483" s="689"/>
      <c r="P483" s="689"/>
      <c r="Q483" s="689"/>
      <c r="R483" s="689"/>
      <c r="S483" s="689"/>
      <c r="T483" s="689"/>
      <c r="U483" s="689"/>
      <c r="V483" s="689"/>
      <c r="W483" s="689"/>
      <c r="X483" s="689"/>
      <c r="Y483" s="689"/>
      <c r="Z483" s="689"/>
      <c r="AA483" s="689"/>
      <c r="AB483" s="689"/>
      <c r="AC483" s="689"/>
      <c r="AD483" s="689"/>
      <c r="AE483" s="689"/>
      <c r="AF483" s="689"/>
      <c r="AG483" s="689"/>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row>
    <row r="484" spans="9:74" s="389" customFormat="1">
      <c r="I484" s="689"/>
      <c r="J484" s="689"/>
      <c r="K484" s="689"/>
      <c r="L484" s="689"/>
      <c r="M484" s="689"/>
      <c r="N484" s="689"/>
      <c r="O484" s="689"/>
      <c r="P484" s="689"/>
      <c r="Q484" s="689"/>
      <c r="R484" s="689"/>
      <c r="S484" s="689"/>
      <c r="T484" s="689"/>
      <c r="U484" s="689"/>
      <c r="V484" s="689"/>
      <c r="W484" s="689"/>
      <c r="X484" s="689"/>
      <c r="Y484" s="689"/>
      <c r="Z484" s="689"/>
      <c r="AA484" s="689"/>
      <c r="AB484" s="689"/>
      <c r="AC484" s="689"/>
      <c r="AD484" s="689"/>
      <c r="AE484" s="689"/>
      <c r="AF484" s="689"/>
      <c r="AG484" s="689"/>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row>
    <row r="485" spans="9:74" s="389" customFormat="1">
      <c r="I485" s="689"/>
      <c r="J485" s="689"/>
      <c r="K485" s="689"/>
      <c r="L485" s="689"/>
      <c r="M485" s="689"/>
      <c r="N485" s="689"/>
      <c r="O485" s="689"/>
      <c r="P485" s="689"/>
      <c r="Q485" s="689"/>
      <c r="R485" s="689"/>
      <c r="S485" s="689"/>
      <c r="T485" s="689"/>
      <c r="U485" s="689"/>
      <c r="V485" s="689"/>
      <c r="W485" s="689"/>
      <c r="X485" s="689"/>
      <c r="Y485" s="689"/>
      <c r="Z485" s="689"/>
      <c r="AA485" s="689"/>
      <c r="AB485" s="689"/>
      <c r="AC485" s="689"/>
      <c r="AD485" s="689"/>
      <c r="AE485" s="689"/>
      <c r="AF485" s="689"/>
      <c r="AG485" s="689"/>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row>
    <row r="486" spans="9:74" s="389" customFormat="1">
      <c r="I486" s="689"/>
      <c r="J486" s="689"/>
      <c r="K486" s="689"/>
      <c r="L486" s="689"/>
      <c r="M486" s="689"/>
      <c r="N486" s="689"/>
      <c r="O486" s="689"/>
      <c r="P486" s="689"/>
      <c r="Q486" s="689"/>
      <c r="R486" s="689"/>
      <c r="S486" s="689"/>
      <c r="T486" s="689"/>
      <c r="U486" s="689"/>
      <c r="V486" s="689"/>
      <c r="W486" s="689"/>
      <c r="X486" s="689"/>
      <c r="Y486" s="689"/>
      <c r="Z486" s="689"/>
      <c r="AA486" s="689"/>
      <c r="AB486" s="689"/>
      <c r="AC486" s="689"/>
      <c r="AD486" s="689"/>
      <c r="AE486" s="689"/>
      <c r="AF486" s="689"/>
      <c r="AG486" s="689"/>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row>
    <row r="487" spans="9:74" s="389" customFormat="1">
      <c r="I487" s="689"/>
      <c r="J487" s="689"/>
      <c r="K487" s="689"/>
      <c r="L487" s="689"/>
      <c r="M487" s="689"/>
      <c r="N487" s="689"/>
      <c r="O487" s="689"/>
      <c r="P487" s="689"/>
      <c r="Q487" s="689"/>
      <c r="R487" s="689"/>
      <c r="S487" s="689"/>
      <c r="T487" s="689"/>
      <c r="U487" s="689"/>
      <c r="V487" s="689"/>
      <c r="W487" s="689"/>
      <c r="X487" s="689"/>
      <c r="Y487" s="689"/>
      <c r="Z487" s="689"/>
      <c r="AA487" s="689"/>
      <c r="AB487" s="689"/>
      <c r="AC487" s="689"/>
      <c r="AD487" s="689"/>
      <c r="AE487" s="689"/>
      <c r="AF487" s="689"/>
      <c r="AG487" s="689"/>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row>
    <row r="488" spans="9:74" s="389" customFormat="1">
      <c r="I488" s="689"/>
      <c r="J488" s="689"/>
      <c r="K488" s="689"/>
      <c r="L488" s="689"/>
      <c r="M488" s="689"/>
      <c r="N488" s="689"/>
      <c r="O488" s="689"/>
      <c r="P488" s="689"/>
      <c r="Q488" s="689"/>
      <c r="R488" s="689"/>
      <c r="S488" s="689"/>
      <c r="T488" s="689"/>
      <c r="U488" s="689"/>
      <c r="V488" s="689"/>
      <c r="W488" s="689"/>
      <c r="X488" s="689"/>
      <c r="Y488" s="689"/>
      <c r="Z488" s="689"/>
      <c r="AA488" s="689"/>
      <c r="AB488" s="689"/>
      <c r="AC488" s="689"/>
      <c r="AD488" s="689"/>
      <c r="AE488" s="689"/>
      <c r="AF488" s="689"/>
      <c r="AG488" s="689"/>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row>
    <row r="489" spans="9:74" s="389" customFormat="1">
      <c r="I489" s="689"/>
      <c r="J489" s="689"/>
      <c r="K489" s="689"/>
      <c r="L489" s="689"/>
      <c r="M489" s="689"/>
      <c r="N489" s="689"/>
      <c r="O489" s="689"/>
      <c r="P489" s="689"/>
      <c r="Q489" s="689"/>
      <c r="R489" s="689"/>
      <c r="S489" s="689"/>
      <c r="T489" s="689"/>
      <c r="U489" s="689"/>
      <c r="V489" s="689"/>
      <c r="W489" s="689"/>
      <c r="X489" s="689"/>
      <c r="Y489" s="689"/>
      <c r="Z489" s="689"/>
      <c r="AA489" s="689"/>
      <c r="AB489" s="689"/>
      <c r="AC489" s="689"/>
      <c r="AD489" s="689"/>
      <c r="AE489" s="689"/>
      <c r="AF489" s="689"/>
      <c r="AG489" s="689"/>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row>
    <row r="490" spans="9:74" s="389" customFormat="1">
      <c r="I490" s="689"/>
      <c r="J490" s="689"/>
      <c r="K490" s="689"/>
      <c r="L490" s="689"/>
      <c r="M490" s="689"/>
      <c r="N490" s="689"/>
      <c r="O490" s="689"/>
      <c r="P490" s="689"/>
      <c r="Q490" s="689"/>
      <c r="R490" s="689"/>
      <c r="S490" s="689"/>
      <c r="T490" s="689"/>
      <c r="U490" s="689"/>
      <c r="V490" s="689"/>
      <c r="W490" s="689"/>
      <c r="X490" s="689"/>
      <c r="Y490" s="689"/>
      <c r="Z490" s="689"/>
      <c r="AA490" s="689"/>
      <c r="AB490" s="689"/>
      <c r="AC490" s="689"/>
      <c r="AD490" s="689"/>
      <c r="AE490" s="689"/>
      <c r="AF490" s="689"/>
      <c r="AG490" s="689"/>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c r="BH490" s="689"/>
      <c r="BI490" s="689"/>
      <c r="BJ490" s="689"/>
      <c r="BK490" s="689"/>
      <c r="BL490" s="689"/>
      <c r="BM490" s="689"/>
      <c r="BN490" s="689"/>
      <c r="BO490" s="689"/>
      <c r="BP490" s="689"/>
      <c r="BQ490" s="689"/>
      <c r="BR490" s="689"/>
      <c r="BS490" s="689"/>
      <c r="BT490" s="689"/>
      <c r="BU490" s="689"/>
      <c r="BV490" s="689"/>
    </row>
    <row r="491" spans="9:74" s="389" customFormat="1">
      <c r="I491" s="689"/>
      <c r="J491" s="689"/>
      <c r="K491" s="689"/>
      <c r="L491" s="689"/>
      <c r="M491" s="689"/>
      <c r="N491" s="689"/>
      <c r="O491" s="689"/>
      <c r="P491" s="689"/>
      <c r="Q491" s="689"/>
      <c r="R491" s="689"/>
      <c r="S491" s="689"/>
      <c r="T491" s="689"/>
      <c r="U491" s="689"/>
      <c r="V491" s="689"/>
      <c r="W491" s="689"/>
      <c r="X491" s="689"/>
      <c r="Y491" s="689"/>
      <c r="Z491" s="689"/>
      <c r="AA491" s="689"/>
      <c r="AB491" s="689"/>
      <c r="AC491" s="689"/>
      <c r="AD491" s="689"/>
      <c r="AE491" s="689"/>
      <c r="AF491" s="689"/>
      <c r="AG491" s="689"/>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c r="BH491" s="689"/>
      <c r="BI491" s="689"/>
      <c r="BJ491" s="689"/>
      <c r="BK491" s="689"/>
      <c r="BL491" s="689"/>
      <c r="BM491" s="689"/>
      <c r="BN491" s="689"/>
      <c r="BO491" s="689"/>
      <c r="BP491" s="689"/>
      <c r="BQ491" s="689"/>
      <c r="BR491" s="689"/>
      <c r="BS491" s="689"/>
      <c r="BT491" s="689"/>
      <c r="BU491" s="689"/>
      <c r="BV491" s="689"/>
    </row>
    <row r="492" spans="9:74" s="389" customFormat="1">
      <c r="I492" s="689"/>
      <c r="J492" s="689"/>
      <c r="K492" s="689"/>
      <c r="L492" s="689"/>
      <c r="M492" s="689"/>
      <c r="N492" s="689"/>
      <c r="O492" s="689"/>
      <c r="P492" s="689"/>
      <c r="Q492" s="689"/>
      <c r="R492" s="689"/>
      <c r="S492" s="689"/>
      <c r="T492" s="689"/>
      <c r="U492" s="689"/>
      <c r="V492" s="689"/>
      <c r="W492" s="689"/>
      <c r="X492" s="689"/>
      <c r="Y492" s="689"/>
      <c r="Z492" s="689"/>
      <c r="AA492" s="689"/>
      <c r="AB492" s="689"/>
      <c r="AC492" s="689"/>
      <c r="AD492" s="689"/>
      <c r="AE492" s="689"/>
      <c r="AF492" s="689"/>
      <c r="AG492" s="689"/>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c r="BH492" s="689"/>
      <c r="BI492" s="689"/>
      <c r="BJ492" s="689"/>
      <c r="BK492" s="689"/>
      <c r="BL492" s="689"/>
      <c r="BM492" s="689"/>
      <c r="BN492" s="689"/>
      <c r="BO492" s="689"/>
      <c r="BP492" s="689"/>
      <c r="BQ492" s="689"/>
      <c r="BR492" s="689"/>
      <c r="BS492" s="689"/>
      <c r="BT492" s="689"/>
      <c r="BU492" s="689"/>
      <c r="BV492" s="689"/>
    </row>
    <row r="493" spans="9:74" s="389" customFormat="1">
      <c r="I493" s="689"/>
      <c r="J493" s="689"/>
      <c r="K493" s="689"/>
      <c r="L493" s="689"/>
      <c r="M493" s="689"/>
      <c r="N493" s="689"/>
      <c r="O493" s="689"/>
      <c r="P493" s="689"/>
      <c r="Q493" s="689"/>
      <c r="R493" s="689"/>
      <c r="S493" s="689"/>
      <c r="T493" s="689"/>
      <c r="U493" s="689"/>
      <c r="V493" s="689"/>
      <c r="W493" s="689"/>
      <c r="X493" s="689"/>
      <c r="Y493" s="689"/>
      <c r="Z493" s="689"/>
      <c r="AA493" s="689"/>
      <c r="AB493" s="689"/>
      <c r="AC493" s="689"/>
      <c r="AD493" s="689"/>
      <c r="AE493" s="689"/>
      <c r="AF493" s="689"/>
      <c r="AG493" s="689"/>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c r="BH493" s="689"/>
      <c r="BI493" s="689"/>
      <c r="BJ493" s="689"/>
      <c r="BK493" s="689"/>
      <c r="BL493" s="689"/>
      <c r="BM493" s="689"/>
      <c r="BN493" s="689"/>
      <c r="BO493" s="689"/>
      <c r="BP493" s="689"/>
      <c r="BQ493" s="689"/>
      <c r="BR493" s="689"/>
      <c r="BS493" s="689"/>
      <c r="BT493" s="689"/>
      <c r="BU493" s="689"/>
      <c r="BV493" s="689"/>
    </row>
    <row r="494" spans="9:74" s="389" customFormat="1">
      <c r="I494" s="689"/>
      <c r="J494" s="689"/>
      <c r="K494" s="689"/>
      <c r="L494" s="689"/>
      <c r="M494" s="689"/>
      <c r="N494" s="689"/>
      <c r="O494" s="689"/>
      <c r="P494" s="689"/>
      <c r="Q494" s="689"/>
      <c r="R494" s="689"/>
      <c r="S494" s="689"/>
      <c r="T494" s="689"/>
      <c r="U494" s="689"/>
      <c r="V494" s="689"/>
      <c r="W494" s="689"/>
      <c r="X494" s="689"/>
      <c r="Y494" s="689"/>
      <c r="Z494" s="689"/>
      <c r="AA494" s="689"/>
      <c r="AB494" s="689"/>
      <c r="AC494" s="689"/>
      <c r="AD494" s="689"/>
      <c r="AE494" s="689"/>
      <c r="AF494" s="689"/>
      <c r="AG494" s="689"/>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c r="BH494" s="689"/>
      <c r="BI494" s="689"/>
      <c r="BJ494" s="689"/>
      <c r="BK494" s="689"/>
      <c r="BL494" s="689"/>
      <c r="BM494" s="689"/>
      <c r="BN494" s="689"/>
      <c r="BO494" s="689"/>
      <c r="BP494" s="689"/>
      <c r="BQ494" s="689"/>
      <c r="BR494" s="689"/>
      <c r="BS494" s="689"/>
      <c r="BT494" s="689"/>
      <c r="BU494" s="689"/>
      <c r="BV494" s="689"/>
    </row>
    <row r="495" spans="9:74" s="389" customFormat="1">
      <c r="I495" s="689"/>
      <c r="J495" s="689"/>
      <c r="K495" s="689"/>
      <c r="L495" s="689"/>
      <c r="M495" s="689"/>
      <c r="N495" s="689"/>
      <c r="O495" s="689"/>
      <c r="P495" s="689"/>
      <c r="Q495" s="689"/>
      <c r="R495" s="689"/>
      <c r="S495" s="689"/>
      <c r="T495" s="689"/>
      <c r="U495" s="689"/>
      <c r="V495" s="689"/>
      <c r="W495" s="689"/>
      <c r="X495" s="689"/>
      <c r="Y495" s="689"/>
      <c r="Z495" s="689"/>
      <c r="AA495" s="689"/>
      <c r="AB495" s="689"/>
      <c r="AC495" s="689"/>
      <c r="AD495" s="689"/>
      <c r="AE495" s="689"/>
      <c r="AF495" s="689"/>
      <c r="AG495" s="689"/>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c r="BH495" s="689"/>
      <c r="BI495" s="689"/>
      <c r="BJ495" s="689"/>
      <c r="BK495" s="689"/>
      <c r="BL495" s="689"/>
      <c r="BM495" s="689"/>
      <c r="BN495" s="689"/>
      <c r="BO495" s="689"/>
      <c r="BP495" s="689"/>
      <c r="BQ495" s="689"/>
      <c r="BR495" s="689"/>
      <c r="BS495" s="689"/>
      <c r="BT495" s="689"/>
      <c r="BU495" s="689"/>
      <c r="BV495" s="689"/>
    </row>
    <row r="496" spans="9:74" s="389" customFormat="1">
      <c r="I496" s="689"/>
      <c r="J496" s="689"/>
      <c r="K496" s="689"/>
      <c r="L496" s="689"/>
      <c r="M496" s="689"/>
      <c r="N496" s="689"/>
      <c r="O496" s="689"/>
      <c r="P496" s="689"/>
      <c r="Q496" s="689"/>
      <c r="R496" s="689"/>
      <c r="S496" s="689"/>
      <c r="T496" s="689"/>
      <c r="U496" s="689"/>
      <c r="V496" s="689"/>
      <c r="W496" s="689"/>
      <c r="X496" s="689"/>
      <c r="Y496" s="689"/>
      <c r="Z496" s="689"/>
      <c r="AA496" s="689"/>
      <c r="AB496" s="689"/>
      <c r="AC496" s="689"/>
      <c r="AD496" s="689"/>
      <c r="AE496" s="689"/>
      <c r="AF496" s="689"/>
      <c r="AG496" s="689"/>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c r="BH496" s="689"/>
      <c r="BI496" s="689"/>
      <c r="BJ496" s="689"/>
      <c r="BK496" s="689"/>
      <c r="BL496" s="689"/>
      <c r="BM496" s="689"/>
      <c r="BN496" s="689"/>
      <c r="BO496" s="689"/>
      <c r="BP496" s="689"/>
      <c r="BQ496" s="689"/>
      <c r="BR496" s="689"/>
      <c r="BS496" s="689"/>
      <c r="BT496" s="689"/>
      <c r="BU496" s="689"/>
      <c r="BV496" s="689"/>
    </row>
    <row r="497" spans="9:74" s="389" customFormat="1">
      <c r="I497" s="689"/>
      <c r="J497" s="689"/>
      <c r="K497" s="689"/>
      <c r="L497" s="689"/>
      <c r="M497" s="689"/>
      <c r="N497" s="689"/>
      <c r="O497" s="689"/>
      <c r="P497" s="689"/>
      <c r="Q497" s="689"/>
      <c r="R497" s="689"/>
      <c r="S497" s="689"/>
      <c r="T497" s="689"/>
      <c r="U497" s="689"/>
      <c r="V497" s="689"/>
      <c r="W497" s="689"/>
      <c r="X497" s="689"/>
      <c r="Y497" s="689"/>
      <c r="Z497" s="689"/>
      <c r="AA497" s="689"/>
      <c r="AB497" s="689"/>
      <c r="AC497" s="689"/>
      <c r="AD497" s="689"/>
      <c r="AE497" s="689"/>
      <c r="AF497" s="689"/>
      <c r="AG497" s="689"/>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c r="BH497" s="689"/>
      <c r="BI497" s="689"/>
      <c r="BJ497" s="689"/>
      <c r="BK497" s="689"/>
      <c r="BL497" s="689"/>
      <c r="BM497" s="689"/>
      <c r="BN497" s="689"/>
      <c r="BO497" s="689"/>
      <c r="BP497" s="689"/>
      <c r="BQ497" s="689"/>
      <c r="BR497" s="689"/>
      <c r="BS497" s="689"/>
      <c r="BT497" s="689"/>
      <c r="BU497" s="689"/>
      <c r="BV497" s="689"/>
    </row>
    <row r="498" spans="9:74" s="389" customFormat="1">
      <c r="I498" s="689"/>
      <c r="J498" s="689"/>
      <c r="K498" s="689"/>
      <c r="L498" s="689"/>
      <c r="M498" s="689"/>
      <c r="N498" s="689"/>
      <c r="O498" s="689"/>
      <c r="P498" s="689"/>
      <c r="Q498" s="689"/>
      <c r="R498" s="689"/>
      <c r="S498" s="689"/>
      <c r="T498" s="689"/>
      <c r="U498" s="689"/>
      <c r="V498" s="689"/>
      <c r="W498" s="689"/>
      <c r="X498" s="689"/>
      <c r="Y498" s="689"/>
      <c r="Z498" s="689"/>
      <c r="AA498" s="689"/>
      <c r="AB498" s="689"/>
      <c r="AC498" s="689"/>
      <c r="AD498" s="689"/>
      <c r="AE498" s="689"/>
      <c r="AF498" s="689"/>
      <c r="AG498" s="689"/>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c r="BH498" s="689"/>
      <c r="BI498" s="689"/>
      <c r="BJ498" s="689"/>
      <c r="BK498" s="689"/>
      <c r="BL498" s="689"/>
      <c r="BM498" s="689"/>
      <c r="BN498" s="689"/>
      <c r="BO498" s="689"/>
      <c r="BP498" s="689"/>
      <c r="BQ498" s="689"/>
      <c r="BR498" s="689"/>
      <c r="BS498" s="689"/>
      <c r="BT498" s="689"/>
      <c r="BU498" s="689"/>
      <c r="BV498" s="689"/>
    </row>
    <row r="499" spans="9:74" s="389" customFormat="1">
      <c r="I499" s="689"/>
      <c r="J499" s="689"/>
      <c r="K499" s="689"/>
      <c r="L499" s="689"/>
      <c r="M499" s="689"/>
      <c r="N499" s="689"/>
      <c r="O499" s="689"/>
      <c r="P499" s="689"/>
      <c r="Q499" s="689"/>
      <c r="R499" s="689"/>
      <c r="S499" s="689"/>
      <c r="T499" s="689"/>
      <c r="U499" s="689"/>
      <c r="V499" s="689"/>
      <c r="W499" s="689"/>
      <c r="X499" s="689"/>
      <c r="Y499" s="689"/>
      <c r="Z499" s="689"/>
      <c r="AA499" s="689"/>
      <c r="AB499" s="689"/>
      <c r="AC499" s="689"/>
      <c r="AD499" s="689"/>
      <c r="AE499" s="689"/>
      <c r="AF499" s="689"/>
      <c r="AG499" s="689"/>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c r="BH499" s="689"/>
      <c r="BI499" s="689"/>
      <c r="BJ499" s="689"/>
      <c r="BK499" s="689"/>
      <c r="BL499" s="689"/>
      <c r="BM499" s="689"/>
      <c r="BN499" s="689"/>
      <c r="BO499" s="689"/>
      <c r="BP499" s="689"/>
      <c r="BQ499" s="689"/>
      <c r="BR499" s="689"/>
      <c r="BS499" s="689"/>
      <c r="BT499" s="689"/>
      <c r="BU499" s="689"/>
      <c r="BV499" s="689"/>
    </row>
    <row r="500" spans="9:74" s="389" customFormat="1">
      <c r="I500" s="689"/>
      <c r="J500" s="689"/>
      <c r="K500" s="689"/>
      <c r="L500" s="689"/>
      <c r="M500" s="689"/>
      <c r="N500" s="689"/>
      <c r="O500" s="689"/>
      <c r="P500" s="689"/>
      <c r="Q500" s="689"/>
      <c r="R500" s="689"/>
      <c r="S500" s="689"/>
      <c r="T500" s="689"/>
      <c r="U500" s="689"/>
      <c r="V500" s="689"/>
      <c r="W500" s="689"/>
      <c r="X500" s="689"/>
      <c r="Y500" s="689"/>
      <c r="Z500" s="689"/>
      <c r="AA500" s="689"/>
      <c r="AB500" s="689"/>
      <c r="AC500" s="689"/>
      <c r="AD500" s="689"/>
      <c r="AE500" s="689"/>
      <c r="AF500" s="689"/>
      <c r="AG500" s="689"/>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c r="BH500" s="689"/>
      <c r="BI500" s="689"/>
      <c r="BJ500" s="689"/>
      <c r="BK500" s="689"/>
      <c r="BL500" s="689"/>
      <c r="BM500" s="689"/>
      <c r="BN500" s="689"/>
      <c r="BO500" s="689"/>
      <c r="BP500" s="689"/>
      <c r="BQ500" s="689"/>
      <c r="BR500" s="689"/>
      <c r="BS500" s="689"/>
      <c r="BT500" s="689"/>
      <c r="BU500" s="689"/>
      <c r="BV500" s="689"/>
    </row>
    <row r="501" spans="9:74" s="389" customFormat="1">
      <c r="I501" s="689"/>
      <c r="J501" s="689"/>
      <c r="K501" s="689"/>
      <c r="L501" s="689"/>
      <c r="M501" s="689"/>
      <c r="N501" s="689"/>
      <c r="O501" s="689"/>
      <c r="P501" s="689"/>
      <c r="Q501" s="689"/>
      <c r="R501" s="689"/>
      <c r="S501" s="689"/>
      <c r="T501" s="689"/>
      <c r="U501" s="689"/>
      <c r="V501" s="689"/>
      <c r="W501" s="689"/>
      <c r="X501" s="689"/>
      <c r="Y501" s="689"/>
      <c r="Z501" s="689"/>
      <c r="AA501" s="689"/>
      <c r="AB501" s="689"/>
      <c r="AC501" s="689"/>
      <c r="AD501" s="689"/>
      <c r="AE501" s="689"/>
      <c r="AF501" s="689"/>
      <c r="AG501" s="689"/>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c r="BH501" s="689"/>
      <c r="BI501" s="689"/>
      <c r="BJ501" s="689"/>
      <c r="BK501" s="689"/>
      <c r="BL501" s="689"/>
      <c r="BM501" s="689"/>
      <c r="BN501" s="689"/>
      <c r="BO501" s="689"/>
      <c r="BP501" s="689"/>
      <c r="BQ501" s="689"/>
      <c r="BR501" s="689"/>
      <c r="BS501" s="689"/>
      <c r="BT501" s="689"/>
      <c r="BU501" s="689"/>
      <c r="BV501" s="689"/>
    </row>
    <row r="502" spans="9:74" s="389" customFormat="1">
      <c r="I502" s="689"/>
      <c r="J502" s="689"/>
      <c r="K502" s="689"/>
      <c r="L502" s="689"/>
      <c r="M502" s="689"/>
      <c r="N502" s="689"/>
      <c r="O502" s="689"/>
      <c r="P502" s="689"/>
      <c r="Q502" s="689"/>
      <c r="R502" s="689"/>
      <c r="S502" s="689"/>
      <c r="T502" s="689"/>
      <c r="U502" s="689"/>
      <c r="V502" s="689"/>
      <c r="W502" s="689"/>
      <c r="X502" s="689"/>
      <c r="Y502" s="689"/>
      <c r="Z502" s="689"/>
      <c r="AA502" s="689"/>
      <c r="AB502" s="689"/>
      <c r="AC502" s="689"/>
      <c r="AD502" s="689"/>
      <c r="AE502" s="689"/>
      <c r="AF502" s="689"/>
      <c r="AG502" s="689"/>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c r="BH502" s="689"/>
      <c r="BI502" s="689"/>
      <c r="BJ502" s="689"/>
      <c r="BK502" s="689"/>
      <c r="BL502" s="689"/>
      <c r="BM502" s="689"/>
      <c r="BN502" s="689"/>
      <c r="BO502" s="689"/>
      <c r="BP502" s="689"/>
      <c r="BQ502" s="689"/>
      <c r="BR502" s="689"/>
      <c r="BS502" s="689"/>
      <c r="BT502" s="689"/>
      <c r="BU502" s="689"/>
      <c r="BV502" s="689"/>
    </row>
    <row r="503" spans="9:74" s="389" customFormat="1">
      <c r="I503" s="689"/>
      <c r="J503" s="689"/>
      <c r="K503" s="689"/>
      <c r="L503" s="689"/>
      <c r="M503" s="689"/>
      <c r="N503" s="689"/>
      <c r="O503" s="689"/>
      <c r="P503" s="689"/>
      <c r="Q503" s="689"/>
      <c r="R503" s="689"/>
      <c r="S503" s="689"/>
      <c r="T503" s="689"/>
      <c r="U503" s="689"/>
      <c r="V503" s="689"/>
      <c r="W503" s="689"/>
      <c r="X503" s="689"/>
      <c r="Y503" s="689"/>
      <c r="Z503" s="689"/>
      <c r="AA503" s="689"/>
      <c r="AB503" s="689"/>
      <c r="AC503" s="689"/>
      <c r="AD503" s="689"/>
      <c r="AE503" s="689"/>
      <c r="AF503" s="689"/>
      <c r="AG503" s="689"/>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c r="BH503" s="689"/>
      <c r="BI503" s="689"/>
      <c r="BJ503" s="689"/>
      <c r="BK503" s="689"/>
      <c r="BL503" s="689"/>
      <c r="BM503" s="689"/>
      <c r="BN503" s="689"/>
      <c r="BO503" s="689"/>
      <c r="BP503" s="689"/>
      <c r="BQ503" s="689"/>
      <c r="BR503" s="689"/>
      <c r="BS503" s="689"/>
      <c r="BT503" s="689"/>
      <c r="BU503" s="689"/>
      <c r="BV503" s="689"/>
    </row>
    <row r="504" spans="9:74" s="389" customFormat="1">
      <c r="I504" s="689"/>
      <c r="J504" s="689"/>
      <c r="K504" s="689"/>
      <c r="L504" s="689"/>
      <c r="M504" s="689"/>
      <c r="N504" s="689"/>
      <c r="O504" s="689"/>
      <c r="P504" s="689"/>
      <c r="Q504" s="689"/>
      <c r="R504" s="689"/>
      <c r="S504" s="689"/>
      <c r="T504" s="689"/>
      <c r="U504" s="689"/>
      <c r="V504" s="689"/>
      <c r="W504" s="689"/>
      <c r="X504" s="689"/>
      <c r="Y504" s="689"/>
      <c r="Z504" s="689"/>
      <c r="AA504" s="689"/>
      <c r="AB504" s="689"/>
      <c r="AC504" s="689"/>
      <c r="AD504" s="689"/>
      <c r="AE504" s="689"/>
      <c r="AF504" s="689"/>
      <c r="AG504" s="689"/>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c r="BH504" s="689"/>
      <c r="BI504" s="689"/>
      <c r="BJ504" s="689"/>
      <c r="BK504" s="689"/>
      <c r="BL504" s="689"/>
      <c r="BM504" s="689"/>
      <c r="BN504" s="689"/>
      <c r="BO504" s="689"/>
      <c r="BP504" s="689"/>
      <c r="BQ504" s="689"/>
      <c r="BR504" s="689"/>
      <c r="BS504" s="689"/>
      <c r="BT504" s="689"/>
      <c r="BU504" s="689"/>
      <c r="BV504" s="689"/>
    </row>
    <row r="505" spans="9:74" s="389" customFormat="1">
      <c r="I505" s="689"/>
      <c r="J505" s="689"/>
      <c r="K505" s="689"/>
      <c r="L505" s="689"/>
      <c r="M505" s="689"/>
      <c r="N505" s="689"/>
      <c r="O505" s="689"/>
      <c r="P505" s="689"/>
      <c r="Q505" s="689"/>
      <c r="R505" s="689"/>
      <c r="S505" s="689"/>
      <c r="T505" s="689"/>
      <c r="U505" s="689"/>
      <c r="V505" s="689"/>
      <c r="W505" s="689"/>
      <c r="X505" s="689"/>
      <c r="Y505" s="689"/>
      <c r="Z505" s="689"/>
      <c r="AA505" s="689"/>
      <c r="AB505" s="689"/>
      <c r="AC505" s="689"/>
      <c r="AD505" s="689"/>
      <c r="AE505" s="689"/>
      <c r="AF505" s="689"/>
      <c r="AG505" s="689"/>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c r="BH505" s="689"/>
      <c r="BI505" s="689"/>
      <c r="BJ505" s="689"/>
      <c r="BK505" s="689"/>
      <c r="BL505" s="689"/>
      <c r="BM505" s="689"/>
      <c r="BN505" s="689"/>
      <c r="BO505" s="689"/>
      <c r="BP505" s="689"/>
      <c r="BQ505" s="689"/>
      <c r="BR505" s="689"/>
      <c r="BS505" s="689"/>
      <c r="BT505" s="689"/>
      <c r="BU505" s="689"/>
      <c r="BV505" s="689"/>
    </row>
    <row r="506" spans="9:74" s="389" customFormat="1">
      <c r="I506" s="689"/>
      <c r="J506" s="689"/>
      <c r="K506" s="689"/>
      <c r="L506" s="689"/>
      <c r="M506" s="689"/>
      <c r="N506" s="689"/>
      <c r="O506" s="689"/>
      <c r="P506" s="689"/>
      <c r="Q506" s="689"/>
      <c r="R506" s="689"/>
      <c r="S506" s="689"/>
      <c r="T506" s="689"/>
      <c r="U506" s="689"/>
      <c r="V506" s="689"/>
      <c r="W506" s="689"/>
      <c r="X506" s="689"/>
      <c r="Y506" s="689"/>
      <c r="Z506" s="689"/>
      <c r="AA506" s="689"/>
      <c r="AB506" s="689"/>
      <c r="AC506" s="689"/>
      <c r="AD506" s="689"/>
      <c r="AE506" s="689"/>
      <c r="AF506" s="689"/>
      <c r="AG506" s="689"/>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c r="BH506" s="689"/>
      <c r="BI506" s="689"/>
      <c r="BJ506" s="689"/>
      <c r="BK506" s="689"/>
      <c r="BL506" s="689"/>
      <c r="BM506" s="689"/>
      <c r="BN506" s="689"/>
      <c r="BO506" s="689"/>
      <c r="BP506" s="689"/>
      <c r="BQ506" s="689"/>
      <c r="BR506" s="689"/>
      <c r="BS506" s="689"/>
      <c r="BT506" s="689"/>
      <c r="BU506" s="689"/>
      <c r="BV506" s="689"/>
    </row>
    <row r="507" spans="9:74" s="389" customFormat="1">
      <c r="I507" s="689"/>
      <c r="J507" s="689"/>
      <c r="K507" s="689"/>
      <c r="L507" s="689"/>
      <c r="M507" s="689"/>
      <c r="N507" s="689"/>
      <c r="O507" s="689"/>
      <c r="P507" s="689"/>
      <c r="Q507" s="689"/>
      <c r="R507" s="689"/>
      <c r="S507" s="689"/>
      <c r="T507" s="689"/>
      <c r="U507" s="689"/>
      <c r="V507" s="689"/>
      <c r="W507" s="689"/>
      <c r="X507" s="689"/>
      <c r="Y507" s="689"/>
      <c r="Z507" s="689"/>
      <c r="AA507" s="689"/>
      <c r="AB507" s="689"/>
      <c r="AC507" s="689"/>
      <c r="AD507" s="689"/>
      <c r="AE507" s="689"/>
      <c r="AF507" s="689"/>
      <c r="AG507" s="689"/>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c r="BH507" s="689"/>
      <c r="BI507" s="689"/>
      <c r="BJ507" s="689"/>
      <c r="BK507" s="689"/>
      <c r="BL507" s="689"/>
      <c r="BM507" s="689"/>
      <c r="BN507" s="689"/>
      <c r="BO507" s="689"/>
      <c r="BP507" s="689"/>
      <c r="BQ507" s="689"/>
      <c r="BR507" s="689"/>
      <c r="BS507" s="689"/>
      <c r="BT507" s="689"/>
      <c r="BU507" s="689"/>
      <c r="BV507" s="689"/>
    </row>
    <row r="508" spans="9:74" s="389" customFormat="1">
      <c r="I508" s="689"/>
      <c r="J508" s="689"/>
      <c r="K508" s="689"/>
      <c r="L508" s="689"/>
      <c r="M508" s="689"/>
      <c r="N508" s="689"/>
      <c r="O508" s="689"/>
      <c r="P508" s="689"/>
      <c r="Q508" s="689"/>
      <c r="R508" s="689"/>
      <c r="S508" s="689"/>
      <c r="T508" s="689"/>
      <c r="U508" s="689"/>
      <c r="V508" s="689"/>
      <c r="W508" s="689"/>
      <c r="X508" s="689"/>
      <c r="Y508" s="689"/>
      <c r="Z508" s="689"/>
      <c r="AA508" s="689"/>
      <c r="AB508" s="689"/>
      <c r="AC508" s="689"/>
      <c r="AD508" s="689"/>
      <c r="AE508" s="689"/>
      <c r="AF508" s="689"/>
      <c r="AG508" s="689"/>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c r="BH508" s="689"/>
      <c r="BI508" s="689"/>
      <c r="BJ508" s="689"/>
      <c r="BK508" s="689"/>
      <c r="BL508" s="689"/>
      <c r="BM508" s="689"/>
      <c r="BN508" s="689"/>
      <c r="BO508" s="689"/>
      <c r="BP508" s="689"/>
      <c r="BQ508" s="689"/>
      <c r="BR508" s="689"/>
      <c r="BS508" s="689"/>
      <c r="BT508" s="689"/>
      <c r="BU508" s="689"/>
      <c r="BV508" s="689"/>
    </row>
    <row r="509" spans="9:74" s="389" customFormat="1">
      <c r="I509" s="689"/>
      <c r="J509" s="689"/>
      <c r="K509" s="689"/>
      <c r="L509" s="689"/>
      <c r="M509" s="689"/>
      <c r="N509" s="689"/>
      <c r="O509" s="689"/>
      <c r="P509" s="689"/>
      <c r="Q509" s="689"/>
      <c r="R509" s="689"/>
      <c r="S509" s="689"/>
      <c r="T509" s="689"/>
      <c r="U509" s="689"/>
      <c r="V509" s="689"/>
      <c r="W509" s="689"/>
      <c r="X509" s="689"/>
      <c r="Y509" s="689"/>
      <c r="Z509" s="689"/>
      <c r="AA509" s="689"/>
      <c r="AB509" s="689"/>
      <c r="AC509" s="689"/>
      <c r="AD509" s="689"/>
      <c r="AE509" s="689"/>
      <c r="AF509" s="689"/>
      <c r="AG509" s="689"/>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c r="BH509" s="689"/>
      <c r="BI509" s="689"/>
      <c r="BJ509" s="689"/>
      <c r="BK509" s="689"/>
      <c r="BL509" s="689"/>
      <c r="BM509" s="689"/>
      <c r="BN509" s="689"/>
      <c r="BO509" s="689"/>
      <c r="BP509" s="689"/>
      <c r="BQ509" s="689"/>
      <c r="BR509" s="689"/>
      <c r="BS509" s="689"/>
      <c r="BT509" s="689"/>
      <c r="BU509" s="689"/>
      <c r="BV509" s="689"/>
    </row>
    <row r="510" spans="9:74" s="389" customFormat="1">
      <c r="I510" s="689"/>
      <c r="J510" s="689"/>
      <c r="K510" s="689"/>
      <c r="L510" s="689"/>
      <c r="M510" s="689"/>
      <c r="N510" s="689"/>
      <c r="O510" s="689"/>
      <c r="P510" s="689"/>
      <c r="Q510" s="689"/>
      <c r="R510" s="689"/>
      <c r="S510" s="689"/>
      <c r="T510" s="689"/>
      <c r="U510" s="689"/>
      <c r="V510" s="689"/>
      <c r="W510" s="689"/>
      <c r="X510" s="689"/>
      <c r="Y510" s="689"/>
      <c r="Z510" s="689"/>
      <c r="AA510" s="689"/>
      <c r="AB510" s="689"/>
      <c r="AC510" s="689"/>
      <c r="AD510" s="689"/>
      <c r="AE510" s="689"/>
      <c r="AF510" s="689"/>
      <c r="AG510" s="689"/>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c r="BH510" s="689"/>
      <c r="BI510" s="689"/>
      <c r="BJ510" s="689"/>
      <c r="BK510" s="689"/>
      <c r="BL510" s="689"/>
      <c r="BM510" s="689"/>
      <c r="BN510" s="689"/>
      <c r="BO510" s="689"/>
      <c r="BP510" s="689"/>
      <c r="BQ510" s="689"/>
      <c r="BR510" s="689"/>
      <c r="BS510" s="689"/>
      <c r="BT510" s="689"/>
      <c r="BU510" s="689"/>
      <c r="BV510" s="689"/>
    </row>
    <row r="511" spans="9:74" s="389" customFormat="1">
      <c r="I511" s="689"/>
      <c r="J511" s="689"/>
      <c r="K511" s="689"/>
      <c r="L511" s="689"/>
      <c r="M511" s="689"/>
      <c r="N511" s="689"/>
      <c r="O511" s="689"/>
      <c r="P511" s="689"/>
      <c r="Q511" s="689"/>
      <c r="R511" s="689"/>
      <c r="S511" s="689"/>
      <c r="T511" s="689"/>
      <c r="U511" s="689"/>
      <c r="V511" s="689"/>
      <c r="W511" s="689"/>
      <c r="X511" s="689"/>
      <c r="Y511" s="689"/>
      <c r="Z511" s="689"/>
      <c r="AA511" s="689"/>
      <c r="AB511" s="689"/>
      <c r="AC511" s="689"/>
      <c r="AD511" s="689"/>
      <c r="AE511" s="689"/>
      <c r="AF511" s="689"/>
      <c r="AG511" s="689"/>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c r="BH511" s="689"/>
      <c r="BI511" s="689"/>
      <c r="BJ511" s="689"/>
      <c r="BK511" s="689"/>
      <c r="BL511" s="689"/>
      <c r="BM511" s="689"/>
      <c r="BN511" s="689"/>
      <c r="BO511" s="689"/>
      <c r="BP511" s="689"/>
      <c r="BQ511" s="689"/>
      <c r="BR511" s="689"/>
      <c r="BS511" s="689"/>
      <c r="BT511" s="689"/>
      <c r="BU511" s="689"/>
      <c r="BV511" s="689"/>
    </row>
    <row r="512" spans="9:74" s="389" customFormat="1">
      <c r="I512" s="689"/>
      <c r="J512" s="689"/>
      <c r="K512" s="689"/>
      <c r="L512" s="689"/>
      <c r="M512" s="689"/>
      <c r="N512" s="689"/>
      <c r="O512" s="689"/>
      <c r="P512" s="689"/>
      <c r="Q512" s="689"/>
      <c r="R512" s="689"/>
      <c r="S512" s="689"/>
      <c r="T512" s="689"/>
      <c r="U512" s="689"/>
      <c r="V512" s="689"/>
      <c r="W512" s="689"/>
      <c r="X512" s="689"/>
      <c r="Y512" s="689"/>
      <c r="Z512" s="689"/>
      <c r="AA512" s="689"/>
      <c r="AB512" s="689"/>
      <c r="AC512" s="689"/>
      <c r="AD512" s="689"/>
      <c r="AE512" s="689"/>
      <c r="AF512" s="689"/>
      <c r="AG512" s="689"/>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c r="BH512" s="689"/>
      <c r="BI512" s="689"/>
      <c r="BJ512" s="689"/>
      <c r="BK512" s="689"/>
      <c r="BL512" s="689"/>
      <c r="BM512" s="689"/>
      <c r="BN512" s="689"/>
      <c r="BO512" s="689"/>
      <c r="BP512" s="689"/>
      <c r="BQ512" s="689"/>
      <c r="BR512" s="689"/>
      <c r="BS512" s="689"/>
      <c r="BT512" s="689"/>
      <c r="BU512" s="689"/>
      <c r="BV512" s="689"/>
    </row>
    <row r="513" spans="9:74" s="389" customFormat="1">
      <c r="I513" s="689"/>
      <c r="J513" s="689"/>
      <c r="K513" s="689"/>
      <c r="L513" s="689"/>
      <c r="M513" s="689"/>
      <c r="N513" s="689"/>
      <c r="O513" s="689"/>
      <c r="P513" s="689"/>
      <c r="Q513" s="689"/>
      <c r="R513" s="689"/>
      <c r="S513" s="689"/>
      <c r="T513" s="689"/>
      <c r="U513" s="689"/>
      <c r="V513" s="689"/>
      <c r="W513" s="689"/>
      <c r="X513" s="689"/>
      <c r="Y513" s="689"/>
      <c r="Z513" s="689"/>
      <c r="AA513" s="689"/>
      <c r="AB513" s="689"/>
      <c r="AC513" s="689"/>
      <c r="AD513" s="689"/>
      <c r="AE513" s="689"/>
      <c r="AF513" s="689"/>
      <c r="AG513" s="689"/>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c r="BH513" s="689"/>
      <c r="BI513" s="689"/>
      <c r="BJ513" s="689"/>
      <c r="BK513" s="689"/>
      <c r="BL513" s="689"/>
      <c r="BM513" s="689"/>
      <c r="BN513" s="689"/>
      <c r="BO513" s="689"/>
      <c r="BP513" s="689"/>
      <c r="BQ513" s="689"/>
      <c r="BR513" s="689"/>
      <c r="BS513" s="689"/>
      <c r="BT513" s="689"/>
      <c r="BU513" s="689"/>
      <c r="BV513" s="689"/>
    </row>
    <row r="514" spans="9:74" s="389" customFormat="1">
      <c r="I514" s="689"/>
      <c r="J514" s="689"/>
      <c r="K514" s="689"/>
      <c r="L514" s="689"/>
      <c r="M514" s="689"/>
      <c r="N514" s="689"/>
      <c r="O514" s="689"/>
      <c r="P514" s="689"/>
      <c r="Q514" s="689"/>
      <c r="R514" s="689"/>
      <c r="S514" s="689"/>
      <c r="T514" s="689"/>
      <c r="U514" s="689"/>
      <c r="V514" s="689"/>
      <c r="W514" s="689"/>
      <c r="X514" s="689"/>
      <c r="Y514" s="689"/>
      <c r="Z514" s="689"/>
      <c r="AA514" s="689"/>
      <c r="AB514" s="689"/>
      <c r="AC514" s="689"/>
      <c r="AD514" s="689"/>
      <c r="AE514" s="689"/>
      <c r="AF514" s="689"/>
      <c r="AG514" s="689"/>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c r="BH514" s="689"/>
      <c r="BI514" s="689"/>
      <c r="BJ514" s="689"/>
      <c r="BK514" s="689"/>
      <c r="BL514" s="689"/>
      <c r="BM514" s="689"/>
      <c r="BN514" s="689"/>
      <c r="BO514" s="689"/>
      <c r="BP514" s="689"/>
      <c r="BQ514" s="689"/>
      <c r="BR514" s="689"/>
      <c r="BS514" s="689"/>
      <c r="BT514" s="689"/>
      <c r="BU514" s="689"/>
      <c r="BV514" s="689"/>
    </row>
    <row r="515" spans="9:74" s="389" customFormat="1">
      <c r="I515" s="689"/>
      <c r="J515" s="689"/>
      <c r="K515" s="689"/>
      <c r="L515" s="689"/>
      <c r="M515" s="689"/>
      <c r="N515" s="689"/>
      <c r="O515" s="689"/>
      <c r="P515" s="689"/>
      <c r="Q515" s="689"/>
      <c r="R515" s="689"/>
      <c r="S515" s="689"/>
      <c r="T515" s="689"/>
      <c r="U515" s="689"/>
      <c r="V515" s="689"/>
      <c r="W515" s="689"/>
      <c r="X515" s="689"/>
      <c r="Y515" s="689"/>
      <c r="Z515" s="689"/>
      <c r="AA515" s="689"/>
      <c r="AB515" s="689"/>
      <c r="AC515" s="689"/>
      <c r="AD515" s="689"/>
      <c r="AE515" s="689"/>
      <c r="AF515" s="689"/>
      <c r="AG515" s="689"/>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c r="BH515" s="689"/>
      <c r="BI515" s="689"/>
      <c r="BJ515" s="689"/>
      <c r="BK515" s="689"/>
      <c r="BL515" s="689"/>
      <c r="BM515" s="689"/>
      <c r="BN515" s="689"/>
      <c r="BO515" s="689"/>
      <c r="BP515" s="689"/>
      <c r="BQ515" s="689"/>
      <c r="BR515" s="689"/>
      <c r="BS515" s="689"/>
      <c r="BT515" s="689"/>
      <c r="BU515" s="689"/>
      <c r="BV515" s="689"/>
    </row>
    <row r="516" spans="9:74" s="389" customFormat="1">
      <c r="I516" s="689"/>
      <c r="J516" s="689"/>
      <c r="K516" s="689"/>
      <c r="L516" s="689"/>
      <c r="M516" s="689"/>
      <c r="N516" s="689"/>
      <c r="O516" s="689"/>
      <c r="P516" s="689"/>
      <c r="Q516" s="689"/>
      <c r="R516" s="689"/>
      <c r="S516" s="689"/>
      <c r="T516" s="689"/>
      <c r="U516" s="689"/>
      <c r="V516" s="689"/>
      <c r="W516" s="689"/>
      <c r="X516" s="689"/>
      <c r="Y516" s="689"/>
      <c r="Z516" s="689"/>
      <c r="AA516" s="689"/>
      <c r="AB516" s="689"/>
      <c r="AC516" s="689"/>
      <c r="AD516" s="689"/>
      <c r="AE516" s="689"/>
      <c r="AF516" s="689"/>
      <c r="AG516" s="689"/>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c r="BH516" s="689"/>
      <c r="BI516" s="689"/>
      <c r="BJ516" s="689"/>
      <c r="BK516" s="689"/>
      <c r="BL516" s="689"/>
      <c r="BM516" s="689"/>
      <c r="BN516" s="689"/>
      <c r="BO516" s="689"/>
      <c r="BP516" s="689"/>
      <c r="BQ516" s="689"/>
      <c r="BR516" s="689"/>
      <c r="BS516" s="689"/>
      <c r="BT516" s="689"/>
      <c r="BU516" s="689"/>
      <c r="BV516" s="689"/>
    </row>
    <row r="517" spans="9:74" s="389" customFormat="1">
      <c r="I517" s="689"/>
      <c r="J517" s="689"/>
      <c r="K517" s="689"/>
      <c r="L517" s="689"/>
      <c r="M517" s="689"/>
      <c r="N517" s="689"/>
      <c r="O517" s="689"/>
      <c r="P517" s="689"/>
      <c r="Q517" s="689"/>
      <c r="R517" s="689"/>
      <c r="S517" s="689"/>
      <c r="T517" s="689"/>
      <c r="U517" s="689"/>
      <c r="V517" s="689"/>
      <c r="W517" s="689"/>
      <c r="X517" s="689"/>
      <c r="Y517" s="689"/>
      <c r="Z517" s="689"/>
      <c r="AA517" s="689"/>
      <c r="AB517" s="689"/>
      <c r="AC517" s="689"/>
      <c r="AD517" s="689"/>
      <c r="AE517" s="689"/>
      <c r="AF517" s="689"/>
      <c r="AG517" s="689"/>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c r="BH517" s="689"/>
      <c r="BI517" s="689"/>
      <c r="BJ517" s="689"/>
      <c r="BK517" s="689"/>
      <c r="BL517" s="689"/>
      <c r="BM517" s="689"/>
      <c r="BN517" s="689"/>
      <c r="BO517" s="689"/>
      <c r="BP517" s="689"/>
      <c r="BQ517" s="689"/>
      <c r="BR517" s="689"/>
      <c r="BS517" s="689"/>
      <c r="BT517" s="689"/>
      <c r="BU517" s="689"/>
      <c r="BV517" s="689"/>
    </row>
    <row r="518" spans="9:74" s="389" customFormat="1">
      <c r="I518" s="689"/>
      <c r="J518" s="689"/>
      <c r="K518" s="689"/>
      <c r="L518" s="689"/>
      <c r="M518" s="689"/>
      <c r="N518" s="689"/>
      <c r="O518" s="689"/>
      <c r="P518" s="689"/>
      <c r="Q518" s="689"/>
      <c r="R518" s="689"/>
      <c r="S518" s="689"/>
      <c r="T518" s="689"/>
      <c r="U518" s="689"/>
      <c r="V518" s="689"/>
      <c r="W518" s="689"/>
      <c r="X518" s="689"/>
      <c r="Y518" s="689"/>
      <c r="Z518" s="689"/>
      <c r="AA518" s="689"/>
      <c r="AB518" s="689"/>
      <c r="AC518" s="689"/>
      <c r="AD518" s="689"/>
      <c r="AE518" s="689"/>
      <c r="AF518" s="689"/>
      <c r="AG518" s="689"/>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c r="BH518" s="689"/>
      <c r="BI518" s="689"/>
      <c r="BJ518" s="689"/>
      <c r="BK518" s="689"/>
      <c r="BL518" s="689"/>
      <c r="BM518" s="689"/>
      <c r="BN518" s="689"/>
      <c r="BO518" s="689"/>
      <c r="BP518" s="689"/>
      <c r="BQ518" s="689"/>
      <c r="BR518" s="689"/>
      <c r="BS518" s="689"/>
      <c r="BT518" s="689"/>
      <c r="BU518" s="689"/>
      <c r="BV518" s="689"/>
    </row>
    <row r="519" spans="9:74" s="389" customFormat="1">
      <c r="I519" s="689"/>
      <c r="J519" s="689"/>
      <c r="K519" s="689"/>
      <c r="L519" s="689"/>
      <c r="M519" s="689"/>
      <c r="N519" s="689"/>
      <c r="O519" s="689"/>
      <c r="P519" s="689"/>
      <c r="Q519" s="689"/>
      <c r="R519" s="689"/>
      <c r="S519" s="689"/>
      <c r="T519" s="689"/>
      <c r="U519" s="689"/>
      <c r="V519" s="689"/>
      <c r="W519" s="689"/>
      <c r="X519" s="689"/>
      <c r="Y519" s="689"/>
      <c r="Z519" s="689"/>
      <c r="AA519" s="689"/>
      <c r="AB519" s="689"/>
      <c r="AC519" s="689"/>
      <c r="AD519" s="689"/>
      <c r="AE519" s="689"/>
      <c r="AF519" s="689"/>
      <c r="AG519" s="689"/>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c r="BH519" s="689"/>
      <c r="BI519" s="689"/>
      <c r="BJ519" s="689"/>
      <c r="BK519" s="689"/>
      <c r="BL519" s="689"/>
      <c r="BM519" s="689"/>
      <c r="BN519" s="689"/>
      <c r="BO519" s="689"/>
      <c r="BP519" s="689"/>
      <c r="BQ519" s="689"/>
      <c r="BR519" s="689"/>
      <c r="BS519" s="689"/>
      <c r="BT519" s="689"/>
      <c r="BU519" s="689"/>
      <c r="BV519" s="689"/>
    </row>
    <row r="520" spans="9:74" s="389" customFormat="1">
      <c r="I520" s="689"/>
      <c r="J520" s="689"/>
      <c r="K520" s="689"/>
      <c r="L520" s="689"/>
      <c r="M520" s="689"/>
      <c r="N520" s="689"/>
      <c r="O520" s="689"/>
      <c r="P520" s="689"/>
      <c r="Q520" s="689"/>
      <c r="R520" s="689"/>
      <c r="S520" s="689"/>
      <c r="T520" s="689"/>
      <c r="U520" s="689"/>
      <c r="V520" s="689"/>
      <c r="W520" s="689"/>
      <c r="X520" s="689"/>
      <c r="Y520" s="689"/>
      <c r="Z520" s="689"/>
      <c r="AA520" s="689"/>
      <c r="AB520" s="689"/>
      <c r="AC520" s="689"/>
      <c r="AD520" s="689"/>
      <c r="AE520" s="689"/>
      <c r="AF520" s="689"/>
      <c r="AG520" s="689"/>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c r="BH520" s="689"/>
      <c r="BI520" s="689"/>
      <c r="BJ520" s="689"/>
      <c r="BK520" s="689"/>
      <c r="BL520" s="689"/>
      <c r="BM520" s="689"/>
      <c r="BN520" s="689"/>
      <c r="BO520" s="689"/>
      <c r="BP520" s="689"/>
      <c r="BQ520" s="689"/>
      <c r="BR520" s="689"/>
      <c r="BS520" s="689"/>
      <c r="BT520" s="689"/>
      <c r="BU520" s="689"/>
      <c r="BV520" s="689"/>
    </row>
    <row r="521" spans="9:74" s="389" customFormat="1">
      <c r="I521" s="689"/>
      <c r="J521" s="689"/>
      <c r="K521" s="689"/>
      <c r="L521" s="689"/>
      <c r="M521" s="689"/>
      <c r="N521" s="689"/>
      <c r="O521" s="689"/>
      <c r="P521" s="689"/>
      <c r="Q521" s="689"/>
      <c r="R521" s="689"/>
      <c r="S521" s="689"/>
      <c r="T521" s="689"/>
      <c r="U521" s="689"/>
      <c r="V521" s="689"/>
      <c r="W521" s="689"/>
      <c r="X521" s="689"/>
      <c r="Y521" s="689"/>
      <c r="Z521" s="689"/>
      <c r="AA521" s="689"/>
      <c r="AB521" s="689"/>
      <c r="AC521" s="689"/>
      <c r="AD521" s="689"/>
      <c r="AE521" s="689"/>
      <c r="AF521" s="689"/>
      <c r="AG521" s="689"/>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c r="BH521" s="689"/>
      <c r="BI521" s="689"/>
      <c r="BJ521" s="689"/>
      <c r="BK521" s="689"/>
      <c r="BL521" s="689"/>
      <c r="BM521" s="689"/>
      <c r="BN521" s="689"/>
      <c r="BO521" s="689"/>
      <c r="BP521" s="689"/>
      <c r="BQ521" s="689"/>
      <c r="BR521" s="689"/>
      <c r="BS521" s="689"/>
      <c r="BT521" s="689"/>
      <c r="BU521" s="689"/>
      <c r="BV521" s="689"/>
    </row>
    <row r="522" spans="9:74" s="389" customFormat="1">
      <c r="I522" s="689"/>
      <c r="J522" s="689"/>
      <c r="K522" s="689"/>
      <c r="L522" s="689"/>
      <c r="M522" s="689"/>
      <c r="N522" s="689"/>
      <c r="O522" s="689"/>
      <c r="P522" s="689"/>
      <c r="Q522" s="689"/>
      <c r="R522" s="689"/>
      <c r="S522" s="689"/>
      <c r="T522" s="689"/>
      <c r="U522" s="689"/>
      <c r="V522" s="689"/>
      <c r="W522" s="689"/>
      <c r="X522" s="689"/>
      <c r="Y522" s="689"/>
      <c r="Z522" s="689"/>
      <c r="AA522" s="689"/>
      <c r="AB522" s="689"/>
      <c r="AC522" s="689"/>
      <c r="AD522" s="689"/>
      <c r="AE522" s="689"/>
      <c r="AF522" s="689"/>
      <c r="AG522" s="689"/>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c r="BH522" s="689"/>
      <c r="BI522" s="689"/>
      <c r="BJ522" s="689"/>
      <c r="BK522" s="689"/>
      <c r="BL522" s="689"/>
      <c r="BM522" s="689"/>
      <c r="BN522" s="689"/>
      <c r="BO522" s="689"/>
      <c r="BP522" s="689"/>
      <c r="BQ522" s="689"/>
      <c r="BR522" s="689"/>
      <c r="BS522" s="689"/>
      <c r="BT522" s="689"/>
      <c r="BU522" s="689"/>
      <c r="BV522" s="689"/>
    </row>
    <row r="523" spans="9:74" s="389" customFormat="1">
      <c r="I523" s="689"/>
      <c r="J523" s="689"/>
      <c r="K523" s="689"/>
      <c r="L523" s="689"/>
      <c r="M523" s="689"/>
      <c r="N523" s="689"/>
      <c r="O523" s="689"/>
      <c r="P523" s="689"/>
      <c r="Q523" s="689"/>
      <c r="R523" s="689"/>
      <c r="S523" s="689"/>
      <c r="T523" s="689"/>
      <c r="U523" s="689"/>
      <c r="V523" s="689"/>
      <c r="W523" s="689"/>
      <c r="X523" s="689"/>
      <c r="Y523" s="689"/>
      <c r="Z523" s="689"/>
      <c r="AA523" s="689"/>
      <c r="AB523" s="689"/>
      <c r="AC523" s="689"/>
      <c r="AD523" s="689"/>
      <c r="AE523" s="689"/>
      <c r="AF523" s="689"/>
      <c r="AG523" s="689"/>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c r="BH523" s="689"/>
      <c r="BI523" s="689"/>
      <c r="BJ523" s="689"/>
      <c r="BK523" s="689"/>
      <c r="BL523" s="689"/>
      <c r="BM523" s="689"/>
      <c r="BN523" s="689"/>
      <c r="BO523" s="689"/>
      <c r="BP523" s="689"/>
      <c r="BQ523" s="689"/>
      <c r="BR523" s="689"/>
      <c r="BS523" s="689"/>
      <c r="BT523" s="689"/>
      <c r="BU523" s="689"/>
      <c r="BV523" s="689"/>
    </row>
    <row r="524" spans="9:74" s="389" customFormat="1">
      <c r="I524" s="689"/>
      <c r="J524" s="689"/>
      <c r="K524" s="689"/>
      <c r="L524" s="689"/>
      <c r="M524" s="689"/>
      <c r="N524" s="689"/>
      <c r="O524" s="689"/>
      <c r="P524" s="689"/>
      <c r="Q524" s="689"/>
      <c r="R524" s="689"/>
      <c r="S524" s="689"/>
      <c r="T524" s="689"/>
      <c r="U524" s="689"/>
      <c r="V524" s="689"/>
      <c r="W524" s="689"/>
      <c r="X524" s="689"/>
      <c r="Y524" s="689"/>
      <c r="Z524" s="689"/>
      <c r="AA524" s="689"/>
      <c r="AB524" s="689"/>
      <c r="AC524" s="689"/>
      <c r="AD524" s="689"/>
      <c r="AE524" s="689"/>
      <c r="AF524" s="689"/>
      <c r="AG524" s="689"/>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c r="BH524" s="689"/>
      <c r="BI524" s="689"/>
      <c r="BJ524" s="689"/>
      <c r="BK524" s="689"/>
      <c r="BL524" s="689"/>
      <c r="BM524" s="689"/>
      <c r="BN524" s="689"/>
      <c r="BO524" s="689"/>
      <c r="BP524" s="689"/>
      <c r="BQ524" s="689"/>
      <c r="BR524" s="689"/>
      <c r="BS524" s="689"/>
      <c r="BT524" s="689"/>
      <c r="BU524" s="689"/>
      <c r="BV524" s="689"/>
    </row>
    <row r="525" spans="9:74" s="389" customFormat="1">
      <c r="I525" s="689"/>
      <c r="J525" s="689"/>
      <c r="K525" s="689"/>
      <c r="L525" s="689"/>
      <c r="M525" s="689"/>
      <c r="N525" s="689"/>
      <c r="O525" s="689"/>
      <c r="P525" s="689"/>
      <c r="Q525" s="689"/>
      <c r="R525" s="689"/>
      <c r="S525" s="689"/>
      <c r="T525" s="689"/>
      <c r="U525" s="689"/>
      <c r="V525" s="689"/>
      <c r="W525" s="689"/>
      <c r="X525" s="689"/>
      <c r="Y525" s="689"/>
      <c r="Z525" s="689"/>
      <c r="AA525" s="689"/>
      <c r="AB525" s="689"/>
      <c r="AC525" s="689"/>
      <c r="AD525" s="689"/>
      <c r="AE525" s="689"/>
      <c r="AF525" s="689"/>
      <c r="AG525" s="689"/>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c r="BH525" s="689"/>
      <c r="BI525" s="689"/>
      <c r="BJ525" s="689"/>
      <c r="BK525" s="689"/>
      <c r="BL525" s="689"/>
      <c r="BM525" s="689"/>
      <c r="BN525" s="689"/>
      <c r="BO525" s="689"/>
      <c r="BP525" s="689"/>
      <c r="BQ525" s="689"/>
      <c r="BR525" s="689"/>
      <c r="BS525" s="689"/>
      <c r="BT525" s="689"/>
      <c r="BU525" s="689"/>
      <c r="BV525" s="689"/>
    </row>
    <row r="526" spans="9:74" s="389" customFormat="1">
      <c r="I526" s="689"/>
      <c r="J526" s="689"/>
      <c r="K526" s="689"/>
      <c r="L526" s="689"/>
      <c r="M526" s="689"/>
      <c r="N526" s="689"/>
      <c r="O526" s="689"/>
      <c r="P526" s="689"/>
      <c r="Q526" s="689"/>
      <c r="R526" s="689"/>
      <c r="S526" s="689"/>
      <c r="T526" s="689"/>
      <c r="U526" s="689"/>
      <c r="V526" s="689"/>
      <c r="W526" s="689"/>
      <c r="X526" s="689"/>
      <c r="Y526" s="689"/>
      <c r="Z526" s="689"/>
      <c r="AA526" s="689"/>
      <c r="AB526" s="689"/>
      <c r="AC526" s="689"/>
      <c r="AD526" s="689"/>
      <c r="AE526" s="689"/>
      <c r="AF526" s="689"/>
      <c r="AG526" s="689"/>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c r="BH526" s="689"/>
      <c r="BI526" s="689"/>
      <c r="BJ526" s="689"/>
      <c r="BK526" s="689"/>
      <c r="BL526" s="689"/>
      <c r="BM526" s="689"/>
      <c r="BN526" s="689"/>
      <c r="BO526" s="689"/>
      <c r="BP526" s="689"/>
      <c r="BQ526" s="689"/>
      <c r="BR526" s="689"/>
      <c r="BS526" s="689"/>
      <c r="BT526" s="689"/>
      <c r="BU526" s="689"/>
      <c r="BV526" s="689"/>
    </row>
    <row r="527" spans="9:74" s="389" customFormat="1">
      <c r="I527" s="689"/>
      <c r="J527" s="689"/>
      <c r="K527" s="689"/>
      <c r="L527" s="689"/>
      <c r="M527" s="689"/>
      <c r="N527" s="689"/>
      <c r="O527" s="689"/>
      <c r="P527" s="689"/>
      <c r="Q527" s="689"/>
      <c r="R527" s="689"/>
      <c r="S527" s="689"/>
      <c r="T527" s="689"/>
      <c r="U527" s="689"/>
      <c r="V527" s="689"/>
      <c r="W527" s="689"/>
      <c r="X527" s="689"/>
      <c r="Y527" s="689"/>
      <c r="Z527" s="689"/>
      <c r="AA527" s="689"/>
      <c r="AB527" s="689"/>
      <c r="AC527" s="689"/>
      <c r="AD527" s="689"/>
      <c r="AE527" s="689"/>
      <c r="AF527" s="689"/>
      <c r="AG527" s="689"/>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c r="BH527" s="689"/>
      <c r="BI527" s="689"/>
      <c r="BJ527" s="689"/>
      <c r="BK527" s="689"/>
      <c r="BL527" s="689"/>
      <c r="BM527" s="689"/>
      <c r="BN527" s="689"/>
      <c r="BO527" s="689"/>
      <c r="BP527" s="689"/>
      <c r="BQ527" s="689"/>
      <c r="BR527" s="689"/>
      <c r="BS527" s="689"/>
      <c r="BT527" s="689"/>
      <c r="BU527" s="689"/>
      <c r="BV527" s="689"/>
    </row>
    <row r="528" spans="9:74" s="389" customFormat="1">
      <c r="I528" s="689"/>
      <c r="J528" s="689"/>
      <c r="K528" s="689"/>
      <c r="L528" s="689"/>
      <c r="M528" s="689"/>
      <c r="N528" s="689"/>
      <c r="O528" s="689"/>
      <c r="P528" s="689"/>
      <c r="Q528" s="689"/>
      <c r="R528" s="689"/>
      <c r="S528" s="689"/>
      <c r="T528" s="689"/>
      <c r="U528" s="689"/>
      <c r="V528" s="689"/>
      <c r="W528" s="689"/>
      <c r="X528" s="689"/>
      <c r="Y528" s="689"/>
      <c r="Z528" s="689"/>
      <c r="AA528" s="689"/>
      <c r="AB528" s="689"/>
      <c r="AC528" s="689"/>
      <c r="AD528" s="689"/>
      <c r="AE528" s="689"/>
      <c r="AF528" s="689"/>
      <c r="AG528" s="689"/>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c r="BH528" s="689"/>
      <c r="BI528" s="689"/>
      <c r="BJ528" s="689"/>
      <c r="BK528" s="689"/>
      <c r="BL528" s="689"/>
      <c r="BM528" s="689"/>
      <c r="BN528" s="689"/>
      <c r="BO528" s="689"/>
      <c r="BP528" s="689"/>
      <c r="BQ528" s="689"/>
      <c r="BR528" s="689"/>
      <c r="BS528" s="689"/>
      <c r="BT528" s="689"/>
      <c r="BU528" s="689"/>
      <c r="BV528" s="689"/>
    </row>
    <row r="529" spans="9:74" s="389" customFormat="1">
      <c r="I529" s="689"/>
      <c r="J529" s="689"/>
      <c r="K529" s="689"/>
      <c r="L529" s="689"/>
      <c r="M529" s="689"/>
      <c r="N529" s="689"/>
      <c r="O529" s="689"/>
      <c r="P529" s="689"/>
      <c r="Q529" s="689"/>
      <c r="R529" s="689"/>
      <c r="S529" s="689"/>
      <c r="T529" s="689"/>
      <c r="U529" s="689"/>
      <c r="V529" s="689"/>
      <c r="W529" s="689"/>
      <c r="X529" s="689"/>
      <c r="Y529" s="689"/>
      <c r="Z529" s="689"/>
      <c r="AA529" s="689"/>
      <c r="AB529" s="689"/>
      <c r="AC529" s="689"/>
      <c r="AD529" s="689"/>
      <c r="AE529" s="689"/>
      <c r="AF529" s="689"/>
      <c r="AG529" s="689"/>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c r="BH529" s="689"/>
      <c r="BI529" s="689"/>
      <c r="BJ529" s="689"/>
      <c r="BK529" s="689"/>
      <c r="BL529" s="689"/>
      <c r="BM529" s="689"/>
      <c r="BN529" s="689"/>
      <c r="BO529" s="689"/>
      <c r="BP529" s="689"/>
      <c r="BQ529" s="689"/>
      <c r="BR529" s="689"/>
      <c r="BS529" s="689"/>
      <c r="BT529" s="689"/>
      <c r="BU529" s="689"/>
      <c r="BV529" s="689"/>
    </row>
    <row r="530" spans="9:74" s="389" customFormat="1">
      <c r="I530" s="689"/>
      <c r="J530" s="689"/>
      <c r="K530" s="689"/>
      <c r="L530" s="689"/>
      <c r="M530" s="689"/>
      <c r="N530" s="689"/>
      <c r="O530" s="689"/>
      <c r="P530" s="689"/>
      <c r="Q530" s="689"/>
      <c r="R530" s="689"/>
      <c r="S530" s="689"/>
      <c r="T530" s="689"/>
      <c r="U530" s="689"/>
      <c r="V530" s="689"/>
      <c r="W530" s="689"/>
      <c r="X530" s="689"/>
      <c r="Y530" s="689"/>
      <c r="Z530" s="689"/>
      <c r="AA530" s="689"/>
      <c r="AB530" s="689"/>
      <c r="AC530" s="689"/>
      <c r="AD530" s="689"/>
      <c r="AE530" s="689"/>
      <c r="AF530" s="689"/>
      <c r="AG530" s="689"/>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c r="BH530" s="689"/>
      <c r="BI530" s="689"/>
      <c r="BJ530" s="689"/>
      <c r="BK530" s="689"/>
      <c r="BL530" s="689"/>
      <c r="BM530" s="689"/>
      <c r="BN530" s="689"/>
      <c r="BO530" s="689"/>
      <c r="BP530" s="689"/>
      <c r="BQ530" s="689"/>
      <c r="BR530" s="689"/>
      <c r="BS530" s="689"/>
      <c r="BT530" s="689"/>
      <c r="BU530" s="689"/>
      <c r="BV530" s="689"/>
    </row>
    <row r="531" spans="9:74" s="389" customFormat="1">
      <c r="I531" s="689"/>
      <c r="J531" s="689"/>
      <c r="K531" s="689"/>
      <c r="L531" s="689"/>
      <c r="M531" s="689"/>
      <c r="N531" s="689"/>
      <c r="O531" s="689"/>
      <c r="P531" s="689"/>
      <c r="Q531" s="689"/>
      <c r="R531" s="689"/>
      <c r="S531" s="689"/>
      <c r="T531" s="689"/>
      <c r="U531" s="689"/>
      <c r="V531" s="689"/>
      <c r="W531" s="689"/>
      <c r="X531" s="689"/>
      <c r="Y531" s="689"/>
      <c r="Z531" s="689"/>
      <c r="AA531" s="689"/>
      <c r="AB531" s="689"/>
      <c r="AC531" s="689"/>
      <c r="AD531" s="689"/>
      <c r="AE531" s="689"/>
      <c r="AF531" s="689"/>
      <c r="AG531" s="689"/>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c r="BH531" s="689"/>
      <c r="BI531" s="689"/>
      <c r="BJ531" s="689"/>
      <c r="BK531" s="689"/>
      <c r="BL531" s="689"/>
      <c r="BM531" s="689"/>
      <c r="BN531" s="689"/>
      <c r="BO531" s="689"/>
      <c r="BP531" s="689"/>
      <c r="BQ531" s="689"/>
      <c r="BR531" s="689"/>
      <c r="BS531" s="689"/>
      <c r="BT531" s="689"/>
      <c r="BU531" s="689"/>
      <c r="BV531" s="689"/>
    </row>
    <row r="532" spans="9:74" s="389" customFormat="1">
      <c r="I532" s="689"/>
      <c r="J532" s="689"/>
      <c r="K532" s="689"/>
      <c r="L532" s="689"/>
      <c r="M532" s="689"/>
      <c r="N532" s="689"/>
      <c r="O532" s="689"/>
      <c r="P532" s="689"/>
      <c r="Q532" s="689"/>
      <c r="R532" s="689"/>
      <c r="S532" s="689"/>
      <c r="T532" s="689"/>
      <c r="U532" s="689"/>
      <c r="V532" s="689"/>
      <c r="W532" s="689"/>
      <c r="X532" s="689"/>
      <c r="Y532" s="689"/>
      <c r="Z532" s="689"/>
      <c r="AA532" s="689"/>
      <c r="AB532" s="689"/>
      <c r="AC532" s="689"/>
      <c r="AD532" s="689"/>
      <c r="AE532" s="689"/>
      <c r="AF532" s="689"/>
      <c r="AG532" s="689"/>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c r="BH532" s="689"/>
      <c r="BI532" s="689"/>
      <c r="BJ532" s="689"/>
      <c r="BK532" s="689"/>
      <c r="BL532" s="689"/>
      <c r="BM532" s="689"/>
      <c r="BN532" s="689"/>
      <c r="BO532" s="689"/>
      <c r="BP532" s="689"/>
      <c r="BQ532" s="689"/>
      <c r="BR532" s="689"/>
      <c r="BS532" s="689"/>
      <c r="BT532" s="689"/>
      <c r="BU532" s="689"/>
      <c r="BV532" s="689"/>
    </row>
    <row r="533" spans="9:74" s="389" customFormat="1">
      <c r="I533" s="689"/>
      <c r="J533" s="689"/>
      <c r="K533" s="689"/>
      <c r="L533" s="689"/>
      <c r="M533" s="689"/>
      <c r="N533" s="689"/>
      <c r="O533" s="689"/>
      <c r="P533" s="689"/>
      <c r="Q533" s="689"/>
      <c r="R533" s="689"/>
      <c r="S533" s="689"/>
      <c r="T533" s="689"/>
      <c r="U533" s="689"/>
      <c r="V533" s="689"/>
      <c r="W533" s="689"/>
      <c r="X533" s="689"/>
      <c r="Y533" s="689"/>
      <c r="Z533" s="689"/>
      <c r="AA533" s="689"/>
      <c r="AB533" s="689"/>
      <c r="AC533" s="689"/>
      <c r="AD533" s="689"/>
      <c r="AE533" s="689"/>
      <c r="AF533" s="689"/>
      <c r="AG533" s="689"/>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c r="BH533" s="689"/>
      <c r="BI533" s="689"/>
      <c r="BJ533" s="689"/>
      <c r="BK533" s="689"/>
      <c r="BL533" s="689"/>
      <c r="BM533" s="689"/>
      <c r="BN533" s="689"/>
      <c r="BO533" s="689"/>
      <c r="BP533" s="689"/>
      <c r="BQ533" s="689"/>
      <c r="BR533" s="689"/>
      <c r="BS533" s="689"/>
      <c r="BT533" s="689"/>
      <c r="BU533" s="689"/>
      <c r="BV533" s="689"/>
    </row>
    <row r="534" spans="9:74" s="389" customFormat="1">
      <c r="I534" s="689"/>
      <c r="J534" s="689"/>
      <c r="K534" s="689"/>
      <c r="L534" s="689"/>
      <c r="M534" s="689"/>
      <c r="N534" s="689"/>
      <c r="O534" s="689"/>
      <c r="P534" s="689"/>
      <c r="Q534" s="689"/>
      <c r="R534" s="689"/>
      <c r="S534" s="689"/>
      <c r="T534" s="689"/>
      <c r="U534" s="689"/>
      <c r="V534" s="689"/>
      <c r="W534" s="689"/>
      <c r="X534" s="689"/>
      <c r="Y534" s="689"/>
      <c r="Z534" s="689"/>
      <c r="AA534" s="689"/>
      <c r="AB534" s="689"/>
      <c r="AC534" s="689"/>
      <c r="AD534" s="689"/>
      <c r="AE534" s="689"/>
      <c r="AF534" s="689"/>
      <c r="AG534" s="689"/>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c r="BH534" s="689"/>
      <c r="BI534" s="689"/>
      <c r="BJ534" s="689"/>
      <c r="BK534" s="689"/>
      <c r="BL534" s="689"/>
      <c r="BM534" s="689"/>
      <c r="BN534" s="689"/>
      <c r="BO534" s="689"/>
      <c r="BP534" s="689"/>
      <c r="BQ534" s="689"/>
      <c r="BR534" s="689"/>
      <c r="BS534" s="689"/>
      <c r="BT534" s="689"/>
      <c r="BU534" s="689"/>
      <c r="BV534" s="689"/>
    </row>
    <row r="535" spans="9:74" s="389" customFormat="1">
      <c r="I535" s="689"/>
      <c r="J535" s="689"/>
      <c r="K535" s="689"/>
      <c r="L535" s="689"/>
      <c r="M535" s="689"/>
      <c r="N535" s="689"/>
      <c r="O535" s="689"/>
      <c r="P535" s="689"/>
      <c r="Q535" s="689"/>
      <c r="R535" s="689"/>
      <c r="S535" s="689"/>
      <c r="T535" s="689"/>
      <c r="U535" s="689"/>
      <c r="V535" s="689"/>
      <c r="W535" s="689"/>
      <c r="X535" s="689"/>
      <c r="Y535" s="689"/>
      <c r="Z535" s="689"/>
      <c r="AA535" s="689"/>
      <c r="AB535" s="689"/>
      <c r="AC535" s="689"/>
      <c r="AD535" s="689"/>
      <c r="AE535" s="689"/>
      <c r="AF535" s="689"/>
      <c r="AG535" s="689"/>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c r="BH535" s="689"/>
      <c r="BI535" s="689"/>
      <c r="BJ535" s="689"/>
      <c r="BK535" s="689"/>
      <c r="BL535" s="689"/>
      <c r="BM535" s="689"/>
      <c r="BN535" s="689"/>
      <c r="BO535" s="689"/>
      <c r="BP535" s="689"/>
      <c r="BQ535" s="689"/>
      <c r="BR535" s="689"/>
      <c r="BS535" s="689"/>
      <c r="BT535" s="689"/>
      <c r="BU535" s="689"/>
      <c r="BV535" s="689"/>
    </row>
    <row r="536" spans="9:74" s="389" customFormat="1">
      <c r="I536" s="689"/>
      <c r="J536" s="689"/>
      <c r="K536" s="689"/>
      <c r="L536" s="689"/>
      <c r="M536" s="689"/>
      <c r="N536" s="689"/>
      <c r="O536" s="689"/>
      <c r="P536" s="689"/>
      <c r="Q536" s="689"/>
      <c r="R536" s="689"/>
      <c r="S536" s="689"/>
      <c r="T536" s="689"/>
      <c r="U536" s="689"/>
      <c r="V536" s="689"/>
      <c r="W536" s="689"/>
      <c r="X536" s="689"/>
      <c r="Y536" s="689"/>
      <c r="Z536" s="689"/>
      <c r="AA536" s="689"/>
      <c r="AB536" s="689"/>
      <c r="AC536" s="689"/>
      <c r="AD536" s="689"/>
      <c r="AE536" s="689"/>
      <c r="AF536" s="689"/>
      <c r="AG536" s="689"/>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c r="BH536" s="689"/>
      <c r="BI536" s="689"/>
      <c r="BJ536" s="689"/>
      <c r="BK536" s="689"/>
      <c r="BL536" s="689"/>
      <c r="BM536" s="689"/>
      <c r="BN536" s="689"/>
      <c r="BO536" s="689"/>
      <c r="BP536" s="689"/>
      <c r="BQ536" s="689"/>
      <c r="BR536" s="689"/>
      <c r="BS536" s="689"/>
      <c r="BT536" s="689"/>
      <c r="BU536" s="689"/>
      <c r="BV536" s="689"/>
    </row>
    <row r="537" spans="9:74" s="389" customFormat="1">
      <c r="I537" s="689"/>
      <c r="J537" s="689"/>
      <c r="K537" s="689"/>
      <c r="L537" s="689"/>
      <c r="M537" s="689"/>
      <c r="N537" s="689"/>
      <c r="O537" s="689"/>
      <c r="P537" s="689"/>
      <c r="Q537" s="689"/>
      <c r="R537" s="689"/>
      <c r="S537" s="689"/>
      <c r="T537" s="689"/>
      <c r="U537" s="689"/>
      <c r="V537" s="689"/>
      <c r="W537" s="689"/>
      <c r="X537" s="689"/>
      <c r="Y537" s="689"/>
      <c r="Z537" s="689"/>
      <c r="AA537" s="689"/>
      <c r="AB537" s="689"/>
      <c r="AC537" s="689"/>
      <c r="AD537" s="689"/>
      <c r="AE537" s="689"/>
      <c r="AF537" s="689"/>
      <c r="AG537" s="689"/>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c r="BH537" s="689"/>
      <c r="BI537" s="689"/>
      <c r="BJ537" s="689"/>
      <c r="BK537" s="689"/>
      <c r="BL537" s="689"/>
      <c r="BM537" s="689"/>
      <c r="BN537" s="689"/>
      <c r="BO537" s="689"/>
      <c r="BP537" s="689"/>
      <c r="BQ537" s="689"/>
      <c r="BR537" s="689"/>
      <c r="BS537" s="689"/>
      <c r="BT537" s="689"/>
      <c r="BU537" s="689"/>
      <c r="BV537" s="689"/>
    </row>
    <row r="538" spans="9:74" s="389" customFormat="1">
      <c r="I538" s="689"/>
      <c r="J538" s="689"/>
      <c r="K538" s="689"/>
      <c r="L538" s="689"/>
      <c r="M538" s="689"/>
      <c r="N538" s="689"/>
      <c r="O538" s="689"/>
      <c r="P538" s="689"/>
      <c r="Q538" s="689"/>
      <c r="R538" s="689"/>
      <c r="S538" s="689"/>
      <c r="T538" s="689"/>
      <c r="U538" s="689"/>
      <c r="V538" s="689"/>
      <c r="W538" s="689"/>
      <c r="X538" s="689"/>
      <c r="Y538" s="689"/>
      <c r="Z538" s="689"/>
      <c r="AA538" s="689"/>
      <c r="AB538" s="689"/>
      <c r="AC538" s="689"/>
      <c r="AD538" s="689"/>
      <c r="AE538" s="689"/>
      <c r="AF538" s="689"/>
      <c r="AG538" s="689"/>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c r="BH538" s="689"/>
      <c r="BI538" s="689"/>
      <c r="BJ538" s="689"/>
      <c r="BK538" s="689"/>
      <c r="BL538" s="689"/>
      <c r="BM538" s="689"/>
      <c r="BN538" s="689"/>
      <c r="BO538" s="689"/>
      <c r="BP538" s="689"/>
      <c r="BQ538" s="689"/>
      <c r="BR538" s="689"/>
      <c r="BS538" s="689"/>
      <c r="BT538" s="689"/>
      <c r="BU538" s="689"/>
      <c r="BV538" s="689"/>
    </row>
    <row r="539" spans="9:74" s="389" customFormat="1">
      <c r="I539" s="689"/>
      <c r="J539" s="689"/>
      <c r="K539" s="689"/>
      <c r="L539" s="689"/>
      <c r="M539" s="689"/>
      <c r="N539" s="689"/>
      <c r="O539" s="689"/>
      <c r="P539" s="689"/>
      <c r="Q539" s="689"/>
      <c r="R539" s="689"/>
      <c r="S539" s="689"/>
      <c r="T539" s="689"/>
      <c r="U539" s="689"/>
      <c r="V539" s="689"/>
      <c r="W539" s="689"/>
      <c r="X539" s="689"/>
      <c r="Y539" s="689"/>
      <c r="Z539" s="689"/>
      <c r="AA539" s="689"/>
      <c r="AB539" s="689"/>
      <c r="AC539" s="689"/>
      <c r="AD539" s="689"/>
      <c r="AE539" s="689"/>
      <c r="AF539" s="689"/>
      <c r="AG539" s="689"/>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c r="BH539" s="689"/>
      <c r="BI539" s="689"/>
      <c r="BJ539" s="689"/>
      <c r="BK539" s="689"/>
      <c r="BL539" s="689"/>
      <c r="BM539" s="689"/>
      <c r="BN539" s="689"/>
      <c r="BO539" s="689"/>
      <c r="BP539" s="689"/>
      <c r="BQ539" s="689"/>
      <c r="BR539" s="689"/>
      <c r="BS539" s="689"/>
      <c r="BT539" s="689"/>
      <c r="BU539" s="689"/>
      <c r="BV539" s="689"/>
    </row>
    <row r="540" spans="9:74" s="389" customFormat="1">
      <c r="I540" s="689"/>
      <c r="J540" s="689"/>
      <c r="K540" s="689"/>
      <c r="L540" s="689"/>
      <c r="M540" s="689"/>
      <c r="N540" s="689"/>
      <c r="O540" s="689"/>
      <c r="P540" s="689"/>
      <c r="Q540" s="689"/>
      <c r="R540" s="689"/>
      <c r="S540" s="689"/>
      <c r="T540" s="689"/>
      <c r="U540" s="689"/>
      <c r="V540" s="689"/>
      <c r="W540" s="689"/>
      <c r="X540" s="689"/>
      <c r="Y540" s="689"/>
      <c r="Z540" s="689"/>
      <c r="AA540" s="689"/>
      <c r="AB540" s="689"/>
      <c r="AC540" s="689"/>
      <c r="AD540" s="689"/>
      <c r="AE540" s="689"/>
      <c r="AF540" s="689"/>
      <c r="AG540" s="689"/>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c r="BH540" s="689"/>
      <c r="BI540" s="689"/>
      <c r="BJ540" s="689"/>
      <c r="BK540" s="689"/>
      <c r="BL540" s="689"/>
      <c r="BM540" s="689"/>
      <c r="BN540" s="689"/>
      <c r="BO540" s="689"/>
      <c r="BP540" s="689"/>
      <c r="BQ540" s="689"/>
      <c r="BR540" s="689"/>
      <c r="BS540" s="689"/>
      <c r="BT540" s="689"/>
      <c r="BU540" s="689"/>
      <c r="BV540" s="689"/>
    </row>
    <row r="541" spans="9:74" s="389" customFormat="1">
      <c r="I541" s="689"/>
      <c r="J541" s="689"/>
      <c r="K541" s="689"/>
      <c r="L541" s="689"/>
      <c r="M541" s="689"/>
      <c r="N541" s="689"/>
      <c r="O541" s="689"/>
      <c r="P541" s="689"/>
      <c r="Q541" s="689"/>
      <c r="R541" s="689"/>
      <c r="S541" s="689"/>
      <c r="T541" s="689"/>
      <c r="U541" s="689"/>
      <c r="V541" s="689"/>
      <c r="W541" s="689"/>
      <c r="X541" s="689"/>
      <c r="Y541" s="689"/>
      <c r="Z541" s="689"/>
      <c r="AA541" s="689"/>
      <c r="AB541" s="689"/>
      <c r="AC541" s="689"/>
      <c r="AD541" s="689"/>
      <c r="AE541" s="689"/>
      <c r="AF541" s="689"/>
      <c r="AG541" s="689"/>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c r="BH541" s="689"/>
      <c r="BI541" s="689"/>
      <c r="BJ541" s="689"/>
      <c r="BK541" s="689"/>
      <c r="BL541" s="689"/>
      <c r="BM541" s="689"/>
      <c r="BN541" s="689"/>
      <c r="BO541" s="689"/>
      <c r="BP541" s="689"/>
      <c r="BQ541" s="689"/>
      <c r="BR541" s="689"/>
      <c r="BS541" s="689"/>
      <c r="BT541" s="689"/>
      <c r="BU541" s="689"/>
      <c r="BV541" s="689"/>
    </row>
    <row r="542" spans="9:74" s="389" customFormat="1">
      <c r="I542" s="689"/>
      <c r="J542" s="689"/>
      <c r="K542" s="689"/>
      <c r="L542" s="689"/>
      <c r="M542" s="689"/>
      <c r="N542" s="689"/>
      <c r="O542" s="689"/>
      <c r="P542" s="689"/>
      <c r="Q542" s="689"/>
      <c r="R542" s="689"/>
      <c r="S542" s="689"/>
      <c r="T542" s="689"/>
      <c r="U542" s="689"/>
      <c r="V542" s="689"/>
      <c r="W542" s="689"/>
      <c r="X542" s="689"/>
      <c r="Y542" s="689"/>
      <c r="Z542" s="689"/>
      <c r="AA542" s="689"/>
      <c r="AB542" s="689"/>
      <c r="AC542" s="689"/>
      <c r="AD542" s="689"/>
      <c r="AE542" s="689"/>
      <c r="AF542" s="689"/>
      <c r="AG542" s="689"/>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c r="BH542" s="689"/>
      <c r="BI542" s="689"/>
      <c r="BJ542" s="689"/>
      <c r="BK542" s="689"/>
      <c r="BL542" s="689"/>
      <c r="BM542" s="689"/>
      <c r="BN542" s="689"/>
      <c r="BO542" s="689"/>
      <c r="BP542" s="689"/>
      <c r="BQ542" s="689"/>
      <c r="BR542" s="689"/>
      <c r="BS542" s="689"/>
      <c r="BT542" s="689"/>
      <c r="BU542" s="689"/>
      <c r="BV542" s="689"/>
    </row>
    <row r="543" spans="9:74" s="389" customFormat="1">
      <c r="I543" s="689"/>
      <c r="J543" s="689"/>
      <c r="K543" s="689"/>
      <c r="L543" s="689"/>
      <c r="M543" s="689"/>
      <c r="N543" s="689"/>
      <c r="O543" s="689"/>
      <c r="P543" s="689"/>
      <c r="Q543" s="689"/>
      <c r="R543" s="689"/>
      <c r="S543" s="689"/>
      <c r="T543" s="689"/>
      <c r="U543" s="689"/>
      <c r="V543" s="689"/>
      <c r="W543" s="689"/>
      <c r="X543" s="689"/>
      <c r="Y543" s="689"/>
      <c r="Z543" s="689"/>
      <c r="AA543" s="689"/>
      <c r="AB543" s="689"/>
      <c r="AC543" s="689"/>
      <c r="AD543" s="689"/>
      <c r="AE543" s="689"/>
      <c r="AF543" s="689"/>
      <c r="AG543" s="689"/>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c r="BH543" s="689"/>
      <c r="BI543" s="689"/>
      <c r="BJ543" s="689"/>
      <c r="BK543" s="689"/>
      <c r="BL543" s="689"/>
      <c r="BM543" s="689"/>
      <c r="BN543" s="689"/>
      <c r="BO543" s="689"/>
      <c r="BP543" s="689"/>
      <c r="BQ543" s="689"/>
      <c r="BR543" s="689"/>
      <c r="BS543" s="689"/>
      <c r="BT543" s="689"/>
      <c r="BU543" s="689"/>
      <c r="BV543" s="689"/>
    </row>
    <row r="544" spans="9:74" s="389" customFormat="1">
      <c r="I544" s="689"/>
      <c r="J544" s="689"/>
      <c r="K544" s="689"/>
      <c r="L544" s="689"/>
      <c r="M544" s="689"/>
      <c r="N544" s="689"/>
      <c r="O544" s="689"/>
      <c r="P544" s="689"/>
      <c r="Q544" s="689"/>
      <c r="R544" s="689"/>
      <c r="S544" s="689"/>
      <c r="T544" s="689"/>
      <c r="U544" s="689"/>
      <c r="V544" s="689"/>
      <c r="W544" s="689"/>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c r="BQ544" s="689"/>
      <c r="BR544" s="689"/>
      <c r="BS544" s="689"/>
      <c r="BT544" s="689"/>
      <c r="BU544" s="689"/>
      <c r="BV544" s="689"/>
    </row>
    <row r="545" spans="9:74" s="389" customFormat="1">
      <c r="I545" s="689"/>
      <c r="J545" s="689"/>
      <c r="K545" s="689"/>
      <c r="L545" s="689"/>
      <c r="M545" s="689"/>
      <c r="N545" s="689"/>
      <c r="O545" s="689"/>
      <c r="P545" s="689"/>
      <c r="Q545" s="689"/>
      <c r="R545" s="689"/>
      <c r="S545" s="689"/>
      <c r="T545" s="689"/>
      <c r="U545" s="689"/>
      <c r="V545" s="689"/>
      <c r="W545" s="689"/>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c r="BQ545" s="689"/>
      <c r="BR545" s="689"/>
      <c r="BS545" s="689"/>
      <c r="BT545" s="689"/>
      <c r="BU545" s="689"/>
      <c r="BV545" s="689"/>
    </row>
    <row r="546" spans="9:74" s="389" customFormat="1">
      <c r="I546" s="689"/>
      <c r="J546" s="689"/>
      <c r="K546" s="689"/>
      <c r="L546" s="689"/>
      <c r="M546" s="689"/>
      <c r="N546" s="689"/>
      <c r="O546" s="689"/>
      <c r="P546" s="689"/>
      <c r="Q546" s="689"/>
      <c r="R546" s="689"/>
      <c r="S546" s="689"/>
      <c r="T546" s="689"/>
      <c r="U546" s="689"/>
      <c r="V546" s="689"/>
      <c r="W546" s="689"/>
      <c r="X546" s="689"/>
      <c r="Y546" s="689"/>
      <c r="Z546" s="689"/>
      <c r="AA546" s="689"/>
      <c r="AB546" s="689"/>
      <c r="AC546" s="689"/>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c r="BH546" s="689"/>
      <c r="BI546" s="689"/>
      <c r="BJ546" s="689"/>
      <c r="BK546" s="689"/>
      <c r="BL546" s="689"/>
      <c r="BM546" s="689"/>
      <c r="BN546" s="689"/>
      <c r="BO546" s="689"/>
      <c r="BP546" s="689"/>
      <c r="BQ546" s="689"/>
      <c r="BR546" s="689"/>
      <c r="BS546" s="689"/>
      <c r="BT546" s="689"/>
      <c r="BU546" s="689"/>
      <c r="BV546" s="689"/>
    </row>
    <row r="547" spans="9:74" s="389" customFormat="1">
      <c r="I547" s="689"/>
      <c r="J547" s="689"/>
      <c r="K547" s="689"/>
      <c r="L547" s="689"/>
      <c r="M547" s="689"/>
      <c r="N547" s="689"/>
      <c r="O547" s="689"/>
      <c r="P547" s="689"/>
      <c r="Q547" s="689"/>
      <c r="R547" s="689"/>
      <c r="S547" s="689"/>
      <c r="T547" s="689"/>
      <c r="U547" s="689"/>
      <c r="V547" s="689"/>
      <c r="W547" s="689"/>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c r="BQ547" s="689"/>
      <c r="BR547" s="689"/>
      <c r="BS547" s="689"/>
      <c r="BT547" s="689"/>
      <c r="BU547" s="689"/>
      <c r="BV547" s="689"/>
    </row>
    <row r="548" spans="9:74" s="389" customFormat="1">
      <c r="I548" s="689"/>
      <c r="J548" s="689"/>
      <c r="K548" s="689"/>
      <c r="L548" s="689"/>
      <c r="M548" s="689"/>
      <c r="N548" s="689"/>
      <c r="O548" s="689"/>
      <c r="P548" s="689"/>
      <c r="Q548" s="689"/>
      <c r="R548" s="689"/>
      <c r="S548" s="689"/>
      <c r="T548" s="689"/>
      <c r="U548" s="689"/>
      <c r="V548" s="689"/>
      <c r="W548" s="689"/>
      <c r="X548" s="689"/>
      <c r="Y548" s="689"/>
      <c r="Z548" s="689"/>
      <c r="AA548" s="689"/>
      <c r="AB548" s="689"/>
      <c r="AC548" s="689"/>
      <c r="AD548" s="689"/>
      <c r="AE548" s="689"/>
      <c r="AF548" s="689"/>
      <c r="AG548" s="689"/>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c r="BH548" s="689"/>
      <c r="BI548" s="689"/>
      <c r="BJ548" s="689"/>
      <c r="BK548" s="689"/>
      <c r="BL548" s="689"/>
      <c r="BM548" s="689"/>
      <c r="BN548" s="689"/>
      <c r="BO548" s="689"/>
      <c r="BP548" s="689"/>
      <c r="BQ548" s="689"/>
      <c r="BR548" s="689"/>
      <c r="BS548" s="689"/>
      <c r="BT548" s="689"/>
      <c r="BU548" s="689"/>
      <c r="BV548" s="689"/>
    </row>
    <row r="549" spans="9:74" s="389" customFormat="1">
      <c r="I549" s="689"/>
      <c r="J549" s="689"/>
      <c r="K549" s="689"/>
      <c r="L549" s="689"/>
      <c r="M549" s="689"/>
      <c r="N549" s="689"/>
      <c r="O549" s="689"/>
      <c r="P549" s="689"/>
      <c r="Q549" s="689"/>
      <c r="R549" s="689"/>
      <c r="S549" s="689"/>
      <c r="T549" s="689"/>
      <c r="U549" s="689"/>
      <c r="V549" s="689"/>
      <c r="W549" s="689"/>
      <c r="X549" s="689"/>
      <c r="Y549" s="689"/>
      <c r="Z549" s="689"/>
      <c r="AA549" s="689"/>
      <c r="AB549" s="689"/>
      <c r="AC549" s="689"/>
      <c r="AD549" s="689"/>
      <c r="AE549" s="689"/>
      <c r="AF549" s="689"/>
      <c r="AG549" s="689"/>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c r="BH549" s="689"/>
      <c r="BI549" s="689"/>
      <c r="BJ549" s="689"/>
      <c r="BK549" s="689"/>
      <c r="BL549" s="689"/>
      <c r="BM549" s="689"/>
      <c r="BN549" s="689"/>
      <c r="BO549" s="689"/>
      <c r="BP549" s="689"/>
      <c r="BQ549" s="689"/>
      <c r="BR549" s="689"/>
      <c r="BS549" s="689"/>
      <c r="BT549" s="689"/>
      <c r="BU549" s="689"/>
      <c r="BV549" s="689"/>
    </row>
    <row r="550" spans="9:74" s="389" customFormat="1">
      <c r="I550" s="689"/>
      <c r="J550" s="689"/>
      <c r="K550" s="689"/>
      <c r="L550" s="689"/>
      <c r="M550" s="689"/>
      <c r="N550" s="689"/>
      <c r="O550" s="689"/>
      <c r="P550" s="689"/>
      <c r="Q550" s="689"/>
      <c r="R550" s="689"/>
      <c r="S550" s="689"/>
      <c r="T550" s="689"/>
      <c r="U550" s="689"/>
      <c r="V550" s="689"/>
      <c r="W550" s="689"/>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c r="BQ550" s="689"/>
      <c r="BR550" s="689"/>
      <c r="BS550" s="689"/>
      <c r="BT550" s="689"/>
      <c r="BU550" s="689"/>
      <c r="BV550" s="689"/>
    </row>
    <row r="551" spans="9:74" s="389" customFormat="1">
      <c r="I551" s="689"/>
      <c r="J551" s="689"/>
      <c r="K551" s="689"/>
      <c r="L551" s="689"/>
      <c r="M551" s="689"/>
      <c r="N551" s="689"/>
      <c r="O551" s="689"/>
      <c r="P551" s="689"/>
      <c r="Q551" s="689"/>
      <c r="R551" s="689"/>
      <c r="S551" s="689"/>
      <c r="T551" s="689"/>
      <c r="U551" s="689"/>
      <c r="V551" s="689"/>
      <c r="W551" s="689"/>
      <c r="X551" s="689"/>
      <c r="Y551" s="689"/>
      <c r="Z551" s="689"/>
      <c r="AA551" s="689"/>
      <c r="AB551" s="689"/>
      <c r="AC551" s="689"/>
      <c r="AD551" s="689"/>
      <c r="AE551" s="689"/>
      <c r="AF551" s="689"/>
      <c r="AG551" s="689"/>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c r="BH551" s="689"/>
      <c r="BI551" s="689"/>
      <c r="BJ551" s="689"/>
      <c r="BK551" s="689"/>
      <c r="BL551" s="689"/>
      <c r="BM551" s="689"/>
      <c r="BN551" s="689"/>
      <c r="BO551" s="689"/>
      <c r="BP551" s="689"/>
      <c r="BQ551" s="689"/>
      <c r="BR551" s="689"/>
      <c r="BS551" s="689"/>
      <c r="BT551" s="689"/>
      <c r="BU551" s="689"/>
      <c r="BV551" s="689"/>
    </row>
    <row r="552" spans="9:74" s="389" customFormat="1">
      <c r="I552" s="689"/>
      <c r="J552" s="689"/>
      <c r="K552" s="689"/>
      <c r="L552" s="689"/>
      <c r="M552" s="689"/>
      <c r="N552" s="689"/>
      <c r="O552" s="689"/>
      <c r="P552" s="689"/>
      <c r="Q552" s="689"/>
      <c r="R552" s="689"/>
      <c r="S552" s="689"/>
      <c r="T552" s="689"/>
      <c r="U552" s="689"/>
      <c r="V552" s="689"/>
      <c r="W552" s="689"/>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c r="BQ552" s="689"/>
      <c r="BR552" s="689"/>
      <c r="BS552" s="689"/>
      <c r="BT552" s="689"/>
      <c r="BU552" s="689"/>
      <c r="BV552" s="689"/>
    </row>
    <row r="553" spans="9:74" s="389" customFormat="1">
      <c r="I553" s="689"/>
      <c r="J553" s="689"/>
      <c r="K553" s="689"/>
      <c r="L553" s="689"/>
      <c r="M553" s="689"/>
      <c r="N553" s="689"/>
      <c r="O553" s="689"/>
      <c r="P553" s="689"/>
      <c r="Q553" s="689"/>
      <c r="R553" s="689"/>
      <c r="S553" s="689"/>
      <c r="T553" s="689"/>
      <c r="U553" s="689"/>
      <c r="V553" s="689"/>
      <c r="W553" s="689"/>
      <c r="X553" s="689"/>
      <c r="Y553" s="689"/>
      <c r="Z553" s="689"/>
      <c r="AA553" s="689"/>
      <c r="AB553" s="689"/>
      <c r="AC553" s="689"/>
      <c r="AD553" s="689"/>
      <c r="AE553" s="689"/>
      <c r="AF553" s="689"/>
      <c r="AG553" s="689"/>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c r="BH553" s="689"/>
      <c r="BI553" s="689"/>
      <c r="BJ553" s="689"/>
      <c r="BK553" s="689"/>
      <c r="BL553" s="689"/>
      <c r="BM553" s="689"/>
      <c r="BN553" s="689"/>
      <c r="BO553" s="689"/>
      <c r="BP553" s="689"/>
      <c r="BQ553" s="689"/>
      <c r="BR553" s="689"/>
      <c r="BS553" s="689"/>
      <c r="BT553" s="689"/>
      <c r="BU553" s="689"/>
      <c r="BV553" s="689"/>
    </row>
    <row r="554" spans="9:74" s="389" customFormat="1">
      <c r="I554" s="689"/>
      <c r="J554" s="689"/>
      <c r="K554" s="689"/>
      <c r="L554" s="689"/>
      <c r="M554" s="689"/>
      <c r="N554" s="689"/>
      <c r="O554" s="689"/>
      <c r="P554" s="689"/>
      <c r="Q554" s="689"/>
      <c r="R554" s="689"/>
      <c r="S554" s="689"/>
      <c r="T554" s="689"/>
      <c r="U554" s="689"/>
      <c r="V554" s="689"/>
      <c r="W554" s="689"/>
      <c r="X554" s="689"/>
      <c r="Y554" s="689"/>
      <c r="Z554" s="689"/>
      <c r="AA554" s="689"/>
      <c r="AB554" s="689"/>
      <c r="AC554" s="689"/>
      <c r="AD554" s="689"/>
      <c r="AE554" s="689"/>
      <c r="AF554" s="689"/>
      <c r="AG554" s="689"/>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c r="BH554" s="689"/>
      <c r="BI554" s="689"/>
      <c r="BJ554" s="689"/>
      <c r="BK554" s="689"/>
      <c r="BL554" s="689"/>
      <c r="BM554" s="689"/>
      <c r="BN554" s="689"/>
      <c r="BO554" s="689"/>
      <c r="BP554" s="689"/>
      <c r="BQ554" s="689"/>
      <c r="BR554" s="689"/>
      <c r="BS554" s="689"/>
      <c r="BT554" s="689"/>
      <c r="BU554" s="689"/>
      <c r="BV554" s="689"/>
    </row>
    <row r="555" spans="9:74" s="389" customFormat="1">
      <c r="I555" s="689"/>
      <c r="J555" s="689"/>
      <c r="K555" s="689"/>
      <c r="L555" s="689"/>
      <c r="M555" s="689"/>
      <c r="N555" s="689"/>
      <c r="O555" s="689"/>
      <c r="P555" s="689"/>
      <c r="Q555" s="689"/>
      <c r="R555" s="689"/>
      <c r="S555" s="689"/>
      <c r="T555" s="689"/>
      <c r="U555" s="689"/>
      <c r="V555" s="689"/>
      <c r="W555" s="689"/>
      <c r="X555" s="689"/>
      <c r="Y555" s="689"/>
      <c r="Z555" s="689"/>
      <c r="AA555" s="689"/>
      <c r="AB555" s="689"/>
      <c r="AC555" s="689"/>
      <c r="AD555" s="689"/>
      <c r="AE555" s="689"/>
      <c r="AF555" s="689"/>
      <c r="AG555" s="689"/>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c r="BH555" s="689"/>
      <c r="BI555" s="689"/>
      <c r="BJ555" s="689"/>
      <c r="BK555" s="689"/>
      <c r="BL555" s="689"/>
      <c r="BM555" s="689"/>
      <c r="BN555" s="689"/>
      <c r="BO555" s="689"/>
      <c r="BP555" s="689"/>
      <c r="BQ555" s="689"/>
      <c r="BR555" s="689"/>
      <c r="BS555" s="689"/>
      <c r="BT555" s="689"/>
      <c r="BU555" s="689"/>
      <c r="BV555" s="689"/>
    </row>
    <row r="556" spans="9:74" s="389" customFormat="1">
      <c r="I556" s="689"/>
      <c r="J556" s="689"/>
      <c r="K556" s="689"/>
      <c r="L556" s="689"/>
      <c r="M556" s="689"/>
      <c r="N556" s="689"/>
      <c r="O556" s="689"/>
      <c r="P556" s="689"/>
      <c r="Q556" s="689"/>
      <c r="R556" s="689"/>
      <c r="S556" s="689"/>
      <c r="T556" s="689"/>
      <c r="U556" s="689"/>
      <c r="V556" s="689"/>
      <c r="W556" s="689"/>
      <c r="X556" s="689"/>
      <c r="Y556" s="689"/>
      <c r="Z556" s="689"/>
      <c r="AA556" s="689"/>
      <c r="AB556" s="689"/>
      <c r="AC556" s="689"/>
      <c r="AD556" s="689"/>
      <c r="AE556" s="689"/>
      <c r="AF556" s="689"/>
      <c r="AG556" s="689"/>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c r="BH556" s="689"/>
      <c r="BI556" s="689"/>
      <c r="BJ556" s="689"/>
      <c r="BK556" s="689"/>
      <c r="BL556" s="689"/>
      <c r="BM556" s="689"/>
      <c r="BN556" s="689"/>
      <c r="BO556" s="689"/>
      <c r="BP556" s="689"/>
      <c r="BQ556" s="689"/>
      <c r="BR556" s="689"/>
      <c r="BS556" s="689"/>
      <c r="BT556" s="689"/>
      <c r="BU556" s="689"/>
      <c r="BV556" s="689"/>
    </row>
    <row r="557" spans="9:74" s="389" customFormat="1">
      <c r="I557" s="689"/>
      <c r="J557" s="689"/>
      <c r="K557" s="689"/>
      <c r="L557" s="689"/>
      <c r="M557" s="689"/>
      <c r="N557" s="689"/>
      <c r="O557" s="689"/>
      <c r="P557" s="689"/>
      <c r="Q557" s="689"/>
      <c r="R557" s="689"/>
      <c r="S557" s="689"/>
      <c r="T557" s="689"/>
      <c r="U557" s="689"/>
      <c r="V557" s="689"/>
      <c r="W557" s="689"/>
      <c r="X557" s="689"/>
      <c r="Y557" s="689"/>
      <c r="Z557" s="689"/>
      <c r="AA557" s="689"/>
      <c r="AB557" s="689"/>
      <c r="AC557" s="689"/>
      <c r="AD557" s="689"/>
      <c r="AE557" s="689"/>
      <c r="AF557" s="689"/>
      <c r="AG557" s="689"/>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c r="BH557" s="689"/>
      <c r="BI557" s="689"/>
      <c r="BJ557" s="689"/>
      <c r="BK557" s="689"/>
      <c r="BL557" s="689"/>
      <c r="BM557" s="689"/>
      <c r="BN557" s="689"/>
      <c r="BO557" s="689"/>
      <c r="BP557" s="689"/>
      <c r="BQ557" s="689"/>
      <c r="BR557" s="689"/>
      <c r="BS557" s="689"/>
      <c r="BT557" s="689"/>
      <c r="BU557" s="689"/>
      <c r="BV557" s="689"/>
    </row>
    <row r="558" spans="9:74" s="389" customFormat="1">
      <c r="I558" s="689"/>
      <c r="J558" s="689"/>
      <c r="K558" s="689"/>
      <c r="L558" s="689"/>
      <c r="M558" s="689"/>
      <c r="N558" s="689"/>
      <c r="O558" s="689"/>
      <c r="P558" s="689"/>
      <c r="Q558" s="689"/>
      <c r="R558" s="689"/>
      <c r="S558" s="689"/>
      <c r="T558" s="689"/>
      <c r="U558" s="689"/>
      <c r="V558" s="689"/>
      <c r="W558" s="689"/>
      <c r="X558" s="689"/>
      <c r="Y558" s="689"/>
      <c r="Z558" s="689"/>
      <c r="AA558" s="689"/>
      <c r="AB558" s="689"/>
      <c r="AC558" s="689"/>
      <c r="AD558" s="689"/>
      <c r="AE558" s="689"/>
      <c r="AF558" s="689"/>
      <c r="AG558" s="689"/>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c r="BH558" s="689"/>
      <c r="BI558" s="689"/>
      <c r="BJ558" s="689"/>
      <c r="BK558" s="689"/>
      <c r="BL558" s="689"/>
      <c r="BM558" s="689"/>
      <c r="BN558" s="689"/>
      <c r="BO558" s="689"/>
      <c r="BP558" s="689"/>
      <c r="BQ558" s="689"/>
      <c r="BR558" s="689"/>
      <c r="BS558" s="689"/>
      <c r="BT558" s="689"/>
      <c r="BU558" s="689"/>
      <c r="BV558" s="689"/>
    </row>
    <row r="559" spans="9:74" s="389" customFormat="1">
      <c r="I559" s="689"/>
      <c r="J559" s="689"/>
      <c r="K559" s="689"/>
      <c r="L559" s="689"/>
      <c r="M559" s="689"/>
      <c r="N559" s="689"/>
      <c r="O559" s="689"/>
      <c r="P559" s="689"/>
      <c r="Q559" s="689"/>
      <c r="R559" s="689"/>
      <c r="S559" s="689"/>
      <c r="T559" s="689"/>
      <c r="U559" s="689"/>
      <c r="V559" s="689"/>
      <c r="W559" s="689"/>
      <c r="X559" s="689"/>
      <c r="Y559" s="689"/>
      <c r="Z559" s="689"/>
      <c r="AA559" s="689"/>
      <c r="AB559" s="689"/>
      <c r="AC559" s="689"/>
      <c r="AD559" s="689"/>
      <c r="AE559" s="689"/>
      <c r="AF559" s="689"/>
      <c r="AG559" s="689"/>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c r="BH559" s="689"/>
      <c r="BI559" s="689"/>
      <c r="BJ559" s="689"/>
      <c r="BK559" s="689"/>
      <c r="BL559" s="689"/>
      <c r="BM559" s="689"/>
      <c r="BN559" s="689"/>
      <c r="BO559" s="689"/>
      <c r="BP559" s="689"/>
      <c r="BQ559" s="689"/>
      <c r="BR559" s="689"/>
      <c r="BS559" s="689"/>
      <c r="BT559" s="689"/>
      <c r="BU559" s="689"/>
      <c r="BV559" s="689"/>
    </row>
    <row r="560" spans="9:74" s="389" customFormat="1">
      <c r="I560" s="689"/>
      <c r="J560" s="689"/>
      <c r="K560" s="689"/>
      <c r="L560" s="689"/>
      <c r="M560" s="689"/>
      <c r="N560" s="689"/>
      <c r="O560" s="689"/>
      <c r="P560" s="689"/>
      <c r="Q560" s="689"/>
      <c r="R560" s="689"/>
      <c r="S560" s="689"/>
      <c r="T560" s="689"/>
      <c r="U560" s="689"/>
      <c r="V560" s="689"/>
      <c r="W560" s="689"/>
      <c r="X560" s="689"/>
      <c r="Y560" s="689"/>
      <c r="Z560" s="689"/>
      <c r="AA560" s="689"/>
      <c r="AB560" s="689"/>
      <c r="AC560" s="689"/>
      <c r="AD560" s="689"/>
      <c r="AE560" s="689"/>
      <c r="AF560" s="689"/>
      <c r="AG560" s="689"/>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c r="BH560" s="689"/>
      <c r="BI560" s="689"/>
      <c r="BJ560" s="689"/>
      <c r="BK560" s="689"/>
      <c r="BL560" s="689"/>
      <c r="BM560" s="689"/>
      <c r="BN560" s="689"/>
      <c r="BO560" s="689"/>
      <c r="BP560" s="689"/>
      <c r="BQ560" s="689"/>
      <c r="BR560" s="689"/>
      <c r="BS560" s="689"/>
      <c r="BT560" s="689"/>
      <c r="BU560" s="689"/>
      <c r="BV560" s="689"/>
    </row>
    <row r="561" spans="9:74" s="389" customFormat="1">
      <c r="I561" s="689"/>
      <c r="J561" s="689"/>
      <c r="K561" s="689"/>
      <c r="L561" s="689"/>
      <c r="M561" s="689"/>
      <c r="N561" s="689"/>
      <c r="O561" s="689"/>
      <c r="P561" s="689"/>
      <c r="Q561" s="689"/>
      <c r="R561" s="689"/>
      <c r="S561" s="689"/>
      <c r="T561" s="689"/>
      <c r="U561" s="689"/>
      <c r="V561" s="689"/>
      <c r="W561" s="689"/>
      <c r="X561" s="689"/>
      <c r="Y561" s="689"/>
      <c r="Z561" s="689"/>
      <c r="AA561" s="689"/>
      <c r="AB561" s="689"/>
      <c r="AC561" s="689"/>
      <c r="AD561" s="689"/>
      <c r="AE561" s="689"/>
      <c r="AF561" s="689"/>
      <c r="AG561" s="689"/>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c r="BH561" s="689"/>
      <c r="BI561" s="689"/>
      <c r="BJ561" s="689"/>
      <c r="BK561" s="689"/>
      <c r="BL561" s="689"/>
      <c r="BM561" s="689"/>
      <c r="BN561" s="689"/>
      <c r="BO561" s="689"/>
      <c r="BP561" s="689"/>
      <c r="BQ561" s="689"/>
      <c r="BR561" s="689"/>
      <c r="BS561" s="689"/>
      <c r="BT561" s="689"/>
      <c r="BU561" s="689"/>
      <c r="BV561" s="689"/>
    </row>
    <row r="562" spans="9:74" s="389" customFormat="1">
      <c r="I562" s="689"/>
      <c r="J562" s="689"/>
      <c r="K562" s="689"/>
      <c r="L562" s="689"/>
      <c r="M562" s="689"/>
      <c r="N562" s="689"/>
      <c r="O562" s="689"/>
      <c r="P562" s="689"/>
      <c r="Q562" s="689"/>
      <c r="R562" s="689"/>
      <c r="S562" s="689"/>
      <c r="T562" s="689"/>
      <c r="U562" s="689"/>
      <c r="V562" s="689"/>
      <c r="W562" s="689"/>
      <c r="X562" s="689"/>
      <c r="Y562" s="689"/>
      <c r="Z562" s="689"/>
      <c r="AA562" s="689"/>
      <c r="AB562" s="689"/>
      <c r="AC562" s="689"/>
      <c r="AD562" s="689"/>
      <c r="AE562" s="689"/>
      <c r="AF562" s="689"/>
      <c r="AG562" s="689"/>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c r="BH562" s="689"/>
      <c r="BI562" s="689"/>
      <c r="BJ562" s="689"/>
      <c r="BK562" s="689"/>
      <c r="BL562" s="689"/>
      <c r="BM562" s="689"/>
      <c r="BN562" s="689"/>
      <c r="BO562" s="689"/>
      <c r="BP562" s="689"/>
      <c r="BQ562" s="689"/>
      <c r="BR562" s="689"/>
      <c r="BS562" s="689"/>
      <c r="BT562" s="689"/>
      <c r="BU562" s="689"/>
      <c r="BV562" s="689"/>
    </row>
    <row r="563" spans="9:74" s="389" customFormat="1">
      <c r="I563" s="689"/>
      <c r="J563" s="689"/>
      <c r="K563" s="689"/>
      <c r="L563" s="689"/>
      <c r="M563" s="689"/>
      <c r="N563" s="689"/>
      <c r="O563" s="689"/>
      <c r="P563" s="689"/>
      <c r="Q563" s="689"/>
      <c r="R563" s="689"/>
      <c r="S563" s="689"/>
      <c r="T563" s="689"/>
      <c r="U563" s="689"/>
      <c r="V563" s="689"/>
      <c r="W563" s="689"/>
      <c r="X563" s="689"/>
      <c r="Y563" s="689"/>
      <c r="Z563" s="689"/>
      <c r="AA563" s="689"/>
      <c r="AB563" s="689"/>
      <c r="AC563" s="689"/>
      <c r="AD563" s="689"/>
      <c r="AE563" s="689"/>
      <c r="AF563" s="689"/>
      <c r="AG563" s="689"/>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c r="BH563" s="689"/>
      <c r="BI563" s="689"/>
      <c r="BJ563" s="689"/>
      <c r="BK563" s="689"/>
      <c r="BL563" s="689"/>
      <c r="BM563" s="689"/>
      <c r="BN563" s="689"/>
      <c r="BO563" s="689"/>
      <c r="BP563" s="689"/>
      <c r="BQ563" s="689"/>
      <c r="BR563" s="689"/>
      <c r="BS563" s="689"/>
      <c r="BT563" s="689"/>
      <c r="BU563" s="689"/>
      <c r="BV563" s="689"/>
    </row>
    <row r="564" spans="9:74" s="389" customFormat="1">
      <c r="I564" s="689"/>
      <c r="J564" s="689"/>
      <c r="K564" s="689"/>
      <c r="L564" s="689"/>
      <c r="M564" s="689"/>
      <c r="N564" s="689"/>
      <c r="O564" s="689"/>
      <c r="P564" s="689"/>
      <c r="Q564" s="689"/>
      <c r="R564" s="689"/>
      <c r="S564" s="689"/>
      <c r="T564" s="689"/>
      <c r="U564" s="689"/>
      <c r="V564" s="689"/>
      <c r="W564" s="689"/>
      <c r="X564" s="689"/>
      <c r="Y564" s="689"/>
      <c r="Z564" s="689"/>
      <c r="AA564" s="689"/>
      <c r="AB564" s="689"/>
      <c r="AC564" s="689"/>
      <c r="AD564" s="689"/>
      <c r="AE564" s="689"/>
      <c r="AF564" s="689"/>
      <c r="AG564" s="689"/>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c r="BH564" s="689"/>
      <c r="BI564" s="689"/>
      <c r="BJ564" s="689"/>
      <c r="BK564" s="689"/>
      <c r="BL564" s="689"/>
      <c r="BM564" s="689"/>
      <c r="BN564" s="689"/>
      <c r="BO564" s="689"/>
      <c r="BP564" s="689"/>
      <c r="BQ564" s="689"/>
      <c r="BR564" s="689"/>
      <c r="BS564" s="689"/>
      <c r="BT564" s="689"/>
      <c r="BU564" s="689"/>
      <c r="BV564" s="689"/>
    </row>
    <row r="565" spans="9:74" s="389" customFormat="1">
      <c r="I565" s="689"/>
      <c r="J565" s="689"/>
      <c r="K565" s="689"/>
      <c r="L565" s="689"/>
      <c r="M565" s="689"/>
      <c r="N565" s="689"/>
      <c r="O565" s="689"/>
      <c r="P565" s="689"/>
      <c r="Q565" s="689"/>
      <c r="R565" s="689"/>
      <c r="S565" s="689"/>
      <c r="T565" s="689"/>
      <c r="U565" s="689"/>
      <c r="V565" s="689"/>
      <c r="W565" s="689"/>
      <c r="X565" s="689"/>
      <c r="Y565" s="689"/>
      <c r="Z565" s="689"/>
      <c r="AA565" s="689"/>
      <c r="AB565" s="689"/>
      <c r="AC565" s="689"/>
      <c r="AD565" s="689"/>
      <c r="AE565" s="689"/>
      <c r="AF565" s="689"/>
      <c r="AG565" s="689"/>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c r="BH565" s="689"/>
      <c r="BI565" s="689"/>
      <c r="BJ565" s="689"/>
      <c r="BK565" s="689"/>
      <c r="BL565" s="689"/>
      <c r="BM565" s="689"/>
      <c r="BN565" s="689"/>
      <c r="BO565" s="689"/>
      <c r="BP565" s="689"/>
      <c r="BQ565" s="689"/>
      <c r="BR565" s="689"/>
      <c r="BS565" s="689"/>
      <c r="BT565" s="689"/>
      <c r="BU565" s="689"/>
      <c r="BV565" s="689"/>
    </row>
    <row r="566" spans="9:74" s="389" customFormat="1">
      <c r="I566" s="689"/>
      <c r="J566" s="689"/>
      <c r="K566" s="689"/>
      <c r="L566" s="689"/>
      <c r="M566" s="689"/>
      <c r="N566" s="689"/>
      <c r="O566" s="689"/>
      <c r="P566" s="689"/>
      <c r="Q566" s="689"/>
      <c r="R566" s="689"/>
      <c r="S566" s="689"/>
      <c r="T566" s="689"/>
      <c r="U566" s="689"/>
      <c r="V566" s="689"/>
      <c r="W566" s="689"/>
      <c r="X566" s="689"/>
      <c r="Y566" s="689"/>
      <c r="Z566" s="689"/>
      <c r="AA566" s="689"/>
      <c r="AB566" s="689"/>
      <c r="AC566" s="689"/>
      <c r="AD566" s="689"/>
      <c r="AE566" s="689"/>
      <c r="AF566" s="689"/>
      <c r="AG566" s="689"/>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c r="BH566" s="689"/>
      <c r="BI566" s="689"/>
      <c r="BJ566" s="689"/>
      <c r="BK566" s="689"/>
      <c r="BL566" s="689"/>
      <c r="BM566" s="689"/>
      <c r="BN566" s="689"/>
      <c r="BO566" s="689"/>
      <c r="BP566" s="689"/>
      <c r="BQ566" s="689"/>
      <c r="BR566" s="689"/>
      <c r="BS566" s="689"/>
      <c r="BT566" s="689"/>
      <c r="BU566" s="689"/>
      <c r="BV566" s="689"/>
    </row>
    <row r="567" spans="9:74" s="389" customFormat="1">
      <c r="I567" s="689"/>
      <c r="J567" s="689"/>
      <c r="K567" s="689"/>
      <c r="L567" s="689"/>
      <c r="M567" s="689"/>
      <c r="N567" s="689"/>
      <c r="O567" s="689"/>
      <c r="P567" s="689"/>
      <c r="Q567" s="689"/>
      <c r="R567" s="689"/>
      <c r="S567" s="689"/>
      <c r="T567" s="689"/>
      <c r="U567" s="689"/>
      <c r="V567" s="689"/>
      <c r="W567" s="689"/>
      <c r="X567" s="689"/>
      <c r="Y567" s="689"/>
      <c r="Z567" s="689"/>
      <c r="AA567" s="689"/>
      <c r="AB567" s="689"/>
      <c r="AC567" s="689"/>
      <c r="AD567" s="689"/>
      <c r="AE567" s="689"/>
      <c r="AF567" s="689"/>
      <c r="AG567" s="689"/>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c r="BH567" s="689"/>
      <c r="BI567" s="689"/>
      <c r="BJ567" s="689"/>
      <c r="BK567" s="689"/>
      <c r="BL567" s="689"/>
      <c r="BM567" s="689"/>
      <c r="BN567" s="689"/>
      <c r="BO567" s="689"/>
      <c r="BP567" s="689"/>
      <c r="BQ567" s="689"/>
      <c r="BR567" s="689"/>
      <c r="BS567" s="689"/>
      <c r="BT567" s="689"/>
      <c r="BU567" s="689"/>
      <c r="BV567" s="689"/>
    </row>
    <row r="568" spans="9:74" s="389" customFormat="1">
      <c r="I568" s="689"/>
      <c r="J568" s="689"/>
      <c r="K568" s="689"/>
      <c r="L568" s="689"/>
      <c r="M568" s="689"/>
      <c r="N568" s="689"/>
      <c r="O568" s="689"/>
      <c r="P568" s="689"/>
      <c r="Q568" s="689"/>
      <c r="R568" s="689"/>
      <c r="S568" s="689"/>
      <c r="T568" s="689"/>
      <c r="U568" s="689"/>
      <c r="V568" s="689"/>
      <c r="W568" s="689"/>
      <c r="X568" s="689"/>
      <c r="Y568" s="689"/>
      <c r="Z568" s="689"/>
      <c r="AA568" s="689"/>
      <c r="AB568" s="689"/>
      <c r="AC568" s="689"/>
      <c r="AD568" s="689"/>
      <c r="AE568" s="689"/>
      <c r="AF568" s="689"/>
      <c r="AG568" s="689"/>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c r="BH568" s="689"/>
      <c r="BI568" s="689"/>
      <c r="BJ568" s="689"/>
      <c r="BK568" s="689"/>
      <c r="BL568" s="689"/>
      <c r="BM568" s="689"/>
      <c r="BN568" s="689"/>
      <c r="BO568" s="689"/>
      <c r="BP568" s="689"/>
      <c r="BQ568" s="689"/>
      <c r="BR568" s="689"/>
      <c r="BS568" s="689"/>
      <c r="BT568" s="689"/>
      <c r="BU568" s="689"/>
      <c r="BV568" s="689"/>
    </row>
    <row r="569" spans="9:74" s="389" customFormat="1">
      <c r="I569" s="689"/>
      <c r="J569" s="689"/>
      <c r="K569" s="689"/>
      <c r="L569" s="689"/>
      <c r="M569" s="689"/>
      <c r="N569" s="689"/>
      <c r="O569" s="689"/>
      <c r="P569" s="689"/>
      <c r="Q569" s="689"/>
      <c r="R569" s="689"/>
      <c r="S569" s="689"/>
      <c r="T569" s="689"/>
      <c r="U569" s="689"/>
      <c r="V569" s="689"/>
      <c r="W569" s="689"/>
      <c r="X569" s="689"/>
      <c r="Y569" s="689"/>
      <c r="Z569" s="689"/>
      <c r="AA569" s="689"/>
      <c r="AB569" s="689"/>
      <c r="AC569" s="689"/>
      <c r="AD569" s="689"/>
      <c r="AE569" s="689"/>
      <c r="AF569" s="689"/>
      <c r="AG569" s="689"/>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c r="BH569" s="689"/>
      <c r="BI569" s="689"/>
      <c r="BJ569" s="689"/>
      <c r="BK569" s="689"/>
      <c r="BL569" s="689"/>
      <c r="BM569" s="689"/>
      <c r="BN569" s="689"/>
      <c r="BO569" s="689"/>
      <c r="BP569" s="689"/>
      <c r="BQ569" s="689"/>
      <c r="BR569" s="689"/>
      <c r="BS569" s="689"/>
      <c r="BT569" s="689"/>
      <c r="BU569" s="689"/>
      <c r="BV569" s="689"/>
    </row>
    <row r="570" spans="9:74" s="389" customFormat="1">
      <c r="I570" s="689"/>
      <c r="J570" s="689"/>
      <c r="K570" s="689"/>
      <c r="L570" s="689"/>
      <c r="M570" s="689"/>
      <c r="N570" s="689"/>
      <c r="O570" s="689"/>
      <c r="P570" s="689"/>
      <c r="Q570" s="689"/>
      <c r="R570" s="689"/>
      <c r="S570" s="689"/>
      <c r="T570" s="689"/>
      <c r="U570" s="689"/>
      <c r="V570" s="689"/>
      <c r="W570" s="689"/>
      <c r="X570" s="689"/>
      <c r="Y570" s="689"/>
      <c r="Z570" s="689"/>
      <c r="AA570" s="689"/>
      <c r="AB570" s="689"/>
      <c r="AC570" s="689"/>
      <c r="AD570" s="689"/>
      <c r="AE570" s="689"/>
      <c r="AF570" s="689"/>
      <c r="AG570" s="689"/>
      <c r="AH570" s="689"/>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c r="BI570" s="689"/>
      <c r="BJ570" s="689"/>
      <c r="BK570" s="689"/>
      <c r="BL570" s="689"/>
      <c r="BM570" s="689"/>
      <c r="BN570" s="689"/>
      <c r="BO570" s="689"/>
      <c r="BP570" s="689"/>
      <c r="BQ570" s="689"/>
      <c r="BR570" s="689"/>
      <c r="BS570" s="689"/>
      <c r="BT570" s="689"/>
      <c r="BU570" s="689"/>
      <c r="BV570" s="689"/>
    </row>
    <row r="571" spans="9:74" s="389" customFormat="1">
      <c r="I571" s="689"/>
      <c r="J571" s="689"/>
      <c r="K571" s="689"/>
      <c r="L571" s="689"/>
      <c r="M571" s="689"/>
      <c r="N571" s="689"/>
      <c r="O571" s="689"/>
      <c r="P571" s="689"/>
      <c r="Q571" s="689"/>
      <c r="R571" s="689"/>
      <c r="S571" s="689"/>
      <c r="T571" s="689"/>
      <c r="U571" s="689"/>
      <c r="V571" s="689"/>
      <c r="W571" s="689"/>
      <c r="X571" s="689"/>
      <c r="Y571" s="689"/>
      <c r="Z571" s="689"/>
      <c r="AA571" s="689"/>
      <c r="AB571" s="689"/>
      <c r="AC571" s="689"/>
      <c r="AD571" s="689"/>
      <c r="AE571" s="689"/>
      <c r="AF571" s="689"/>
      <c r="AG571" s="689"/>
      <c r="AH571" s="689"/>
      <c r="AI571" s="689"/>
      <c r="AJ571" s="689"/>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c r="BK571" s="689"/>
      <c r="BL571" s="689"/>
      <c r="BM571" s="689"/>
      <c r="BN571" s="689"/>
      <c r="BO571" s="689"/>
      <c r="BP571" s="689"/>
      <c r="BQ571" s="689"/>
      <c r="BR571" s="689"/>
      <c r="BS571" s="689"/>
      <c r="BT571" s="689"/>
      <c r="BU571" s="689"/>
      <c r="BV571" s="689"/>
    </row>
    <row r="572" spans="9:74" s="389" customFormat="1">
      <c r="I572" s="689"/>
      <c r="J572" s="689"/>
      <c r="K572" s="689"/>
      <c r="L572" s="689"/>
      <c r="M572" s="689"/>
      <c r="N572" s="689"/>
      <c r="O572" s="689"/>
      <c r="P572" s="689"/>
      <c r="Q572" s="689"/>
      <c r="R572" s="689"/>
      <c r="S572" s="689"/>
      <c r="T572" s="689"/>
      <c r="U572" s="689"/>
      <c r="V572" s="689"/>
      <c r="W572" s="689"/>
      <c r="X572" s="689"/>
      <c r="Y572" s="689"/>
      <c r="Z572" s="689"/>
      <c r="AA572" s="689"/>
      <c r="AB572" s="689"/>
      <c r="AC572" s="689"/>
      <c r="AD572" s="689"/>
      <c r="AE572" s="689"/>
      <c r="AF572" s="689"/>
      <c r="AG572" s="689"/>
      <c r="AH572" s="689"/>
      <c r="AI572" s="689"/>
      <c r="AJ572" s="689"/>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c r="BK572" s="689"/>
      <c r="BL572" s="689"/>
      <c r="BM572" s="689"/>
      <c r="BN572" s="689"/>
      <c r="BO572" s="689"/>
      <c r="BP572" s="689"/>
      <c r="BQ572" s="689"/>
      <c r="BR572" s="689"/>
      <c r="BS572" s="689"/>
      <c r="BT572" s="689"/>
      <c r="BU572" s="689"/>
      <c r="BV572" s="689"/>
    </row>
    <row r="573" spans="9:74" s="389" customFormat="1">
      <c r="I573" s="689"/>
      <c r="J573" s="689"/>
      <c r="K573" s="689"/>
      <c r="L573" s="689"/>
      <c r="M573" s="689"/>
      <c r="N573" s="689"/>
      <c r="O573" s="689"/>
      <c r="P573" s="689"/>
      <c r="Q573" s="689"/>
      <c r="R573" s="689"/>
      <c r="S573" s="689"/>
      <c r="T573" s="689"/>
      <c r="U573" s="689"/>
      <c r="V573" s="689"/>
      <c r="W573" s="689"/>
      <c r="X573" s="689"/>
      <c r="Y573" s="689"/>
      <c r="Z573" s="689"/>
      <c r="AA573" s="689"/>
      <c r="AB573" s="689"/>
      <c r="AC573" s="689"/>
      <c r="AD573" s="689"/>
      <c r="AE573" s="689"/>
      <c r="AF573" s="689"/>
      <c r="AG573" s="689"/>
      <c r="AH573" s="689"/>
      <c r="AI573" s="689"/>
      <c r="AJ573" s="689"/>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c r="BK573" s="689"/>
      <c r="BL573" s="689"/>
      <c r="BM573" s="689"/>
      <c r="BN573" s="689"/>
      <c r="BO573" s="689"/>
      <c r="BP573" s="689"/>
      <c r="BQ573" s="689"/>
      <c r="BR573" s="689"/>
      <c r="BS573" s="689"/>
      <c r="BT573" s="689"/>
      <c r="BU573" s="689"/>
      <c r="BV573" s="689"/>
    </row>
    <row r="574" spans="9:74" s="389" customFormat="1">
      <c r="I574" s="689"/>
      <c r="J574" s="689"/>
      <c r="K574" s="689"/>
      <c r="L574" s="689"/>
      <c r="M574" s="689"/>
      <c r="N574" s="689"/>
      <c r="O574" s="689"/>
      <c r="P574" s="689"/>
      <c r="Q574" s="689"/>
      <c r="R574" s="689"/>
      <c r="S574" s="689"/>
      <c r="T574" s="689"/>
      <c r="U574" s="689"/>
      <c r="V574" s="689"/>
      <c r="W574" s="689"/>
      <c r="X574" s="689"/>
      <c r="Y574" s="689"/>
      <c r="Z574" s="689"/>
      <c r="AA574" s="689"/>
      <c r="AB574" s="689"/>
      <c r="AC574" s="689"/>
      <c r="AD574" s="689"/>
      <c r="AE574" s="689"/>
      <c r="AF574" s="689"/>
      <c r="AG574" s="689"/>
      <c r="AH574" s="689"/>
      <c r="AI574" s="689"/>
      <c r="AJ574" s="689"/>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c r="BK574" s="689"/>
      <c r="BL574" s="689"/>
      <c r="BM574" s="689"/>
      <c r="BN574" s="689"/>
      <c r="BO574" s="689"/>
      <c r="BP574" s="689"/>
      <c r="BQ574" s="689"/>
      <c r="BR574" s="689"/>
      <c r="BS574" s="689"/>
      <c r="BT574" s="689"/>
      <c r="BU574" s="689"/>
      <c r="BV574" s="689"/>
    </row>
    <row r="575" spans="9:74" s="389" customFormat="1">
      <c r="I575" s="689"/>
      <c r="J575" s="689"/>
      <c r="K575" s="689"/>
      <c r="L575" s="689"/>
      <c r="M575" s="689"/>
      <c r="N575" s="689"/>
      <c r="O575" s="689"/>
      <c r="P575" s="689"/>
      <c r="Q575" s="689"/>
      <c r="R575" s="689"/>
      <c r="S575" s="689"/>
      <c r="T575" s="689"/>
      <c r="U575" s="689"/>
      <c r="V575" s="689"/>
      <c r="W575" s="689"/>
      <c r="X575" s="689"/>
      <c r="Y575" s="689"/>
      <c r="Z575" s="689"/>
      <c r="AA575" s="689"/>
      <c r="AB575" s="689"/>
      <c r="AC575" s="689"/>
      <c r="AD575" s="689"/>
      <c r="AE575" s="689"/>
      <c r="AF575" s="689"/>
      <c r="AG575" s="689"/>
      <c r="AH575" s="689"/>
      <c r="AI575" s="689"/>
      <c r="AJ575" s="689"/>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c r="BK575" s="689"/>
      <c r="BL575" s="689"/>
      <c r="BM575" s="689"/>
      <c r="BN575" s="689"/>
      <c r="BO575" s="689"/>
      <c r="BP575" s="689"/>
      <c r="BQ575" s="689"/>
      <c r="BR575" s="689"/>
      <c r="BS575" s="689"/>
      <c r="BT575" s="689"/>
      <c r="BU575" s="689"/>
      <c r="BV575" s="689"/>
    </row>
    <row r="576" spans="9:74" s="389" customFormat="1">
      <c r="I576" s="689"/>
      <c r="J576" s="689"/>
      <c r="K576" s="689"/>
      <c r="L576" s="689"/>
      <c r="M576" s="689"/>
      <c r="N576" s="689"/>
      <c r="O576" s="689"/>
      <c r="P576" s="689"/>
      <c r="Q576" s="689"/>
      <c r="R576" s="689"/>
      <c r="S576" s="689"/>
      <c r="T576" s="689"/>
      <c r="U576" s="689"/>
      <c r="V576" s="689"/>
      <c r="W576" s="689"/>
      <c r="X576" s="689"/>
      <c r="Y576" s="689"/>
      <c r="Z576" s="689"/>
      <c r="AA576" s="689"/>
      <c r="AB576" s="689"/>
      <c r="AC576" s="689"/>
      <c r="AD576" s="689"/>
      <c r="AE576" s="689"/>
      <c r="AF576" s="689"/>
      <c r="AG576" s="689"/>
      <c r="AH576" s="689"/>
      <c r="AI576" s="689"/>
      <c r="AJ576" s="689"/>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c r="BK576" s="689"/>
      <c r="BL576" s="689"/>
      <c r="BM576" s="689"/>
      <c r="BN576" s="689"/>
      <c r="BO576" s="689"/>
      <c r="BP576" s="689"/>
      <c r="BQ576" s="689"/>
      <c r="BR576" s="689"/>
      <c r="BS576" s="689"/>
      <c r="BT576" s="689"/>
      <c r="BU576" s="689"/>
      <c r="BV576" s="689"/>
    </row>
    <row r="577" spans="9:74" s="389" customFormat="1">
      <c r="I577" s="689"/>
      <c r="J577" s="689"/>
      <c r="K577" s="689"/>
      <c r="L577" s="689"/>
      <c r="M577" s="689"/>
      <c r="N577" s="689"/>
      <c r="O577" s="689"/>
      <c r="P577" s="689"/>
      <c r="Q577" s="689"/>
      <c r="R577" s="689"/>
      <c r="S577" s="689"/>
      <c r="T577" s="689"/>
      <c r="U577" s="689"/>
      <c r="V577" s="689"/>
      <c r="W577" s="689"/>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c r="BQ577" s="689"/>
      <c r="BR577" s="689"/>
      <c r="BS577" s="689"/>
      <c r="BT577" s="689"/>
      <c r="BU577" s="689"/>
      <c r="BV577" s="689"/>
    </row>
    <row r="578" spans="9:74" s="389" customFormat="1">
      <c r="I578" s="689"/>
      <c r="J578" s="689"/>
      <c r="K578" s="689"/>
      <c r="L578" s="689"/>
      <c r="M578" s="689"/>
      <c r="N578" s="689"/>
      <c r="O578" s="689"/>
      <c r="P578" s="689"/>
      <c r="Q578" s="689"/>
      <c r="R578" s="689"/>
      <c r="S578" s="689"/>
      <c r="T578" s="689"/>
      <c r="U578" s="689"/>
      <c r="V578" s="689"/>
      <c r="W578" s="689"/>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c r="BQ578" s="689"/>
      <c r="BR578" s="689"/>
      <c r="BS578" s="689"/>
      <c r="BT578" s="689"/>
      <c r="BU578" s="689"/>
      <c r="BV578" s="689"/>
    </row>
    <row r="579" spans="9:74" s="389" customFormat="1">
      <c r="I579" s="689"/>
      <c r="J579" s="689"/>
      <c r="K579" s="689"/>
      <c r="L579" s="689"/>
      <c r="M579" s="689"/>
      <c r="N579" s="689"/>
      <c r="O579" s="689"/>
      <c r="P579" s="689"/>
      <c r="Q579" s="689"/>
      <c r="R579" s="689"/>
      <c r="S579" s="689"/>
      <c r="T579" s="689"/>
      <c r="U579" s="689"/>
      <c r="V579" s="689"/>
      <c r="W579" s="689"/>
      <c r="X579" s="689"/>
      <c r="Y579" s="689"/>
      <c r="Z579" s="689"/>
      <c r="AA579" s="689"/>
      <c r="AB579" s="689"/>
      <c r="AC579" s="689"/>
      <c r="AD579" s="689"/>
      <c r="AE579" s="689"/>
      <c r="AF579" s="689"/>
      <c r="AG579" s="689"/>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c r="BK579" s="689"/>
      <c r="BL579" s="689"/>
      <c r="BM579" s="689"/>
      <c r="BN579" s="689"/>
      <c r="BO579" s="689"/>
      <c r="BP579" s="689"/>
      <c r="BQ579" s="689"/>
      <c r="BR579" s="689"/>
      <c r="BS579" s="689"/>
      <c r="BT579" s="689"/>
      <c r="BU579" s="689"/>
      <c r="BV579" s="689"/>
    </row>
    <row r="580" spans="9:74" s="389" customFormat="1">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c r="BQ580" s="689"/>
      <c r="BR580" s="689"/>
      <c r="BS580" s="689"/>
      <c r="BT580" s="689"/>
      <c r="BU580" s="689"/>
      <c r="BV580" s="689"/>
    </row>
    <row r="581" spans="9:74" s="389" customFormat="1">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G581" s="689"/>
      <c r="AH581" s="689"/>
      <c r="AI581" s="689"/>
      <c r="AJ581" s="689"/>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c r="BK581" s="689"/>
      <c r="BL581" s="689"/>
      <c r="BM581" s="689"/>
      <c r="BN581" s="689"/>
      <c r="BO581" s="689"/>
      <c r="BP581" s="689"/>
      <c r="BQ581" s="689"/>
      <c r="BR581" s="689"/>
      <c r="BS581" s="689"/>
      <c r="BT581" s="689"/>
      <c r="BU581" s="689"/>
      <c r="BV581" s="689"/>
    </row>
    <row r="582" spans="9:74" s="389" customFormat="1">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G582" s="689"/>
      <c r="AH582" s="689"/>
      <c r="AI582" s="689"/>
      <c r="AJ582" s="689"/>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c r="BK582" s="689"/>
      <c r="BL582" s="689"/>
      <c r="BM582" s="689"/>
      <c r="BN582" s="689"/>
      <c r="BO582" s="689"/>
      <c r="BP582" s="689"/>
      <c r="BQ582" s="689"/>
      <c r="BR582" s="689"/>
      <c r="BS582" s="689"/>
      <c r="BT582" s="689"/>
      <c r="BU582" s="689"/>
      <c r="BV582" s="689"/>
    </row>
    <row r="583" spans="9:74" s="389" customFormat="1">
      <c r="I583" s="689"/>
      <c r="J583" s="689"/>
      <c r="K583" s="689"/>
      <c r="L583" s="689"/>
      <c r="M583" s="689"/>
      <c r="N583" s="689"/>
      <c r="O583" s="689"/>
      <c r="P583" s="689"/>
      <c r="Q583" s="689"/>
      <c r="R583" s="689"/>
      <c r="S583" s="689"/>
      <c r="T583" s="689"/>
      <c r="U583" s="689"/>
      <c r="V583" s="689"/>
      <c r="W583" s="689"/>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c r="BQ583" s="689"/>
      <c r="BR583" s="689"/>
      <c r="BS583" s="689"/>
      <c r="BT583" s="689"/>
      <c r="BU583" s="689"/>
      <c r="BV583" s="689"/>
    </row>
    <row r="584" spans="9:74" s="389" customFormat="1">
      <c r="I584" s="689"/>
      <c r="J584" s="689"/>
      <c r="K584" s="689"/>
      <c r="L584" s="689"/>
      <c r="M584" s="689"/>
      <c r="N584" s="689"/>
      <c r="O584" s="689"/>
      <c r="P584" s="689"/>
      <c r="Q584" s="689"/>
      <c r="R584" s="689"/>
      <c r="S584" s="689"/>
      <c r="T584" s="689"/>
      <c r="U584" s="689"/>
      <c r="V584" s="689"/>
      <c r="W584" s="689"/>
      <c r="X584" s="689"/>
      <c r="Y584" s="689"/>
      <c r="Z584" s="689"/>
      <c r="AA584" s="689"/>
      <c r="AB584" s="689"/>
      <c r="AC584" s="689"/>
      <c r="AD584" s="689"/>
      <c r="AE584" s="689"/>
      <c r="AF584" s="689"/>
      <c r="AG584" s="689"/>
      <c r="AH584" s="689"/>
      <c r="AI584" s="689"/>
      <c r="AJ584" s="689"/>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c r="BK584" s="689"/>
      <c r="BL584" s="689"/>
      <c r="BM584" s="689"/>
      <c r="BN584" s="689"/>
      <c r="BO584" s="689"/>
      <c r="BP584" s="689"/>
      <c r="BQ584" s="689"/>
      <c r="BR584" s="689"/>
      <c r="BS584" s="689"/>
      <c r="BT584" s="689"/>
      <c r="BU584" s="689"/>
      <c r="BV584" s="689"/>
    </row>
    <row r="585" spans="9:74" s="389" customFormat="1">
      <c r="I585" s="689"/>
      <c r="J585" s="689"/>
      <c r="K585" s="689"/>
      <c r="L585" s="689"/>
      <c r="M585" s="689"/>
      <c r="N585" s="689"/>
      <c r="O585" s="689"/>
      <c r="P585" s="689"/>
      <c r="Q585" s="689"/>
      <c r="R585" s="689"/>
      <c r="S585" s="689"/>
      <c r="T585" s="689"/>
      <c r="U585" s="689"/>
      <c r="V585" s="689"/>
      <c r="W585" s="689"/>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c r="BQ585" s="689"/>
      <c r="BR585" s="689"/>
      <c r="BS585" s="689"/>
      <c r="BT585" s="689"/>
      <c r="BU585" s="689"/>
      <c r="BV585" s="689"/>
    </row>
    <row r="586" spans="9:74" s="389" customFormat="1">
      <c r="I586" s="689"/>
      <c r="J586" s="689"/>
      <c r="K586" s="689"/>
      <c r="L586" s="689"/>
      <c r="M586" s="689"/>
      <c r="N586" s="689"/>
      <c r="O586" s="689"/>
      <c r="P586" s="689"/>
      <c r="Q586" s="689"/>
      <c r="R586" s="689"/>
      <c r="S586" s="689"/>
      <c r="T586" s="689"/>
      <c r="U586" s="689"/>
      <c r="V586" s="689"/>
      <c r="W586" s="689"/>
      <c r="X586" s="689"/>
      <c r="Y586" s="689"/>
      <c r="Z586" s="689"/>
      <c r="AA586" s="689"/>
      <c r="AB586" s="689"/>
      <c r="AC586" s="689"/>
      <c r="AD586" s="689"/>
      <c r="AE586" s="689"/>
      <c r="AF586" s="689"/>
      <c r="AG586" s="689"/>
      <c r="AH586" s="689"/>
      <c r="AI586" s="689"/>
      <c r="AJ586" s="689"/>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c r="BK586" s="689"/>
      <c r="BL586" s="689"/>
      <c r="BM586" s="689"/>
      <c r="BN586" s="689"/>
      <c r="BO586" s="689"/>
      <c r="BP586" s="689"/>
      <c r="BQ586" s="689"/>
      <c r="BR586" s="689"/>
      <c r="BS586" s="689"/>
      <c r="BT586" s="689"/>
      <c r="BU586" s="689"/>
      <c r="BV586" s="689"/>
    </row>
    <row r="587" spans="9:74" s="389" customFormat="1">
      <c r="I587" s="689"/>
      <c r="J587" s="689"/>
      <c r="K587" s="689"/>
      <c r="L587" s="689"/>
      <c r="M587" s="689"/>
      <c r="N587" s="689"/>
      <c r="O587" s="689"/>
      <c r="P587" s="689"/>
      <c r="Q587" s="689"/>
      <c r="R587" s="689"/>
      <c r="S587" s="689"/>
      <c r="T587" s="689"/>
      <c r="U587" s="689"/>
      <c r="V587" s="689"/>
      <c r="W587" s="689"/>
      <c r="X587" s="689"/>
      <c r="Y587" s="689"/>
      <c r="Z587" s="689"/>
      <c r="AA587" s="689"/>
      <c r="AB587" s="689"/>
      <c r="AC587" s="689"/>
      <c r="AD587" s="689"/>
      <c r="AE587" s="689"/>
      <c r="AF587" s="689"/>
      <c r="AG587" s="689"/>
      <c r="AH587" s="689"/>
      <c r="AI587" s="689"/>
      <c r="AJ587" s="689"/>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c r="BK587" s="689"/>
      <c r="BL587" s="689"/>
      <c r="BM587" s="689"/>
      <c r="BN587" s="689"/>
      <c r="BO587" s="689"/>
      <c r="BP587" s="689"/>
      <c r="BQ587" s="689"/>
      <c r="BR587" s="689"/>
      <c r="BS587" s="689"/>
      <c r="BT587" s="689"/>
      <c r="BU587" s="689"/>
      <c r="BV587" s="689"/>
    </row>
    <row r="588" spans="9:74" s="389" customFormat="1">
      <c r="I588" s="689"/>
      <c r="J588" s="689"/>
      <c r="K588" s="689"/>
      <c r="L588" s="689"/>
      <c r="M588" s="689"/>
      <c r="N588" s="689"/>
      <c r="O588" s="689"/>
      <c r="P588" s="689"/>
      <c r="Q588" s="689"/>
      <c r="R588" s="689"/>
      <c r="S588" s="689"/>
      <c r="T588" s="689"/>
      <c r="U588" s="689"/>
      <c r="V588" s="689"/>
      <c r="W588" s="689"/>
      <c r="X588" s="689"/>
      <c r="Y588" s="689"/>
      <c r="Z588" s="689"/>
      <c r="AA588" s="689"/>
      <c r="AB588" s="689"/>
      <c r="AC588" s="689"/>
      <c r="AD588" s="689"/>
      <c r="AE588" s="689"/>
      <c r="AF588" s="689"/>
      <c r="AG588" s="689"/>
      <c r="AH588" s="689"/>
      <c r="AI588" s="689"/>
      <c r="AJ588" s="689"/>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c r="BK588" s="689"/>
      <c r="BL588" s="689"/>
      <c r="BM588" s="689"/>
      <c r="BN588" s="689"/>
      <c r="BO588" s="689"/>
      <c r="BP588" s="689"/>
      <c r="BQ588" s="689"/>
      <c r="BR588" s="689"/>
      <c r="BS588" s="689"/>
      <c r="BT588" s="689"/>
      <c r="BU588" s="689"/>
      <c r="BV588" s="689"/>
    </row>
    <row r="589" spans="9:74" s="389" customFormat="1">
      <c r="I589" s="689"/>
      <c r="J589" s="689"/>
      <c r="K589" s="689"/>
      <c r="L589" s="689"/>
      <c r="M589" s="689"/>
      <c r="N589" s="689"/>
      <c r="O589" s="689"/>
      <c r="P589" s="689"/>
      <c r="Q589" s="689"/>
      <c r="R589" s="689"/>
      <c r="S589" s="689"/>
      <c r="T589" s="689"/>
      <c r="U589" s="689"/>
      <c r="V589" s="689"/>
      <c r="W589" s="689"/>
      <c r="X589" s="689"/>
      <c r="Y589" s="689"/>
      <c r="Z589" s="689"/>
      <c r="AA589" s="689"/>
      <c r="AB589" s="689"/>
      <c r="AC589" s="689"/>
      <c r="AD589" s="689"/>
      <c r="AE589" s="689"/>
      <c r="AF589" s="689"/>
      <c r="AG589" s="689"/>
      <c r="AH589" s="689"/>
      <c r="AI589" s="689"/>
      <c r="AJ589" s="689"/>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c r="BK589" s="689"/>
      <c r="BL589" s="689"/>
      <c r="BM589" s="689"/>
      <c r="BN589" s="689"/>
      <c r="BO589" s="689"/>
      <c r="BP589" s="689"/>
      <c r="BQ589" s="689"/>
      <c r="BR589" s="689"/>
      <c r="BS589" s="689"/>
      <c r="BT589" s="689"/>
      <c r="BU589" s="689"/>
      <c r="BV589" s="689"/>
    </row>
    <row r="590" spans="9:74" s="389" customFormat="1">
      <c r="I590" s="689"/>
      <c r="J590" s="689"/>
      <c r="K590" s="689"/>
      <c r="L590" s="689"/>
      <c r="M590" s="689"/>
      <c r="N590" s="689"/>
      <c r="O590" s="689"/>
      <c r="P590" s="689"/>
      <c r="Q590" s="689"/>
      <c r="R590" s="689"/>
      <c r="S590" s="689"/>
      <c r="T590" s="689"/>
      <c r="U590" s="689"/>
      <c r="V590" s="689"/>
      <c r="W590" s="689"/>
      <c r="X590" s="689"/>
      <c r="Y590" s="689"/>
      <c r="Z590" s="689"/>
      <c r="AA590" s="689"/>
      <c r="AB590" s="689"/>
      <c r="AC590" s="689"/>
      <c r="AD590" s="689"/>
      <c r="AE590" s="689"/>
      <c r="AF590" s="689"/>
      <c r="AG590" s="689"/>
      <c r="AH590" s="689"/>
      <c r="AI590" s="689"/>
      <c r="AJ590" s="689"/>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c r="BK590" s="689"/>
      <c r="BL590" s="689"/>
      <c r="BM590" s="689"/>
      <c r="BN590" s="689"/>
      <c r="BO590" s="689"/>
      <c r="BP590" s="689"/>
      <c r="BQ590" s="689"/>
      <c r="BR590" s="689"/>
      <c r="BS590" s="689"/>
      <c r="BT590" s="689"/>
      <c r="BU590" s="689"/>
      <c r="BV590" s="689"/>
    </row>
    <row r="591" spans="9:74" s="389" customFormat="1">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G591" s="689"/>
      <c r="AH591" s="689"/>
      <c r="AI591" s="689"/>
      <c r="AJ591" s="689"/>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c r="BK591" s="689"/>
      <c r="BL591" s="689"/>
      <c r="BM591" s="689"/>
      <c r="BN591" s="689"/>
      <c r="BO591" s="689"/>
      <c r="BP591" s="689"/>
      <c r="BQ591" s="689"/>
      <c r="BR591" s="689"/>
      <c r="BS591" s="689"/>
      <c r="BT591" s="689"/>
      <c r="BU591" s="689"/>
      <c r="BV591" s="689"/>
    </row>
    <row r="592" spans="9:74" s="389" customFormat="1">
      <c r="I592" s="689"/>
      <c r="J592" s="689"/>
      <c r="K592" s="689"/>
      <c r="L592" s="689"/>
      <c r="M592" s="689"/>
      <c r="N592" s="689"/>
      <c r="O592" s="689"/>
      <c r="P592" s="689"/>
      <c r="Q592" s="689"/>
      <c r="R592" s="689"/>
      <c r="S592" s="689"/>
      <c r="T592" s="689"/>
      <c r="U592" s="689"/>
      <c r="V592" s="689"/>
      <c r="W592" s="689"/>
      <c r="X592" s="689"/>
      <c r="Y592" s="689"/>
      <c r="Z592" s="689"/>
      <c r="AA592" s="689"/>
      <c r="AB592" s="689"/>
      <c r="AC592" s="689"/>
      <c r="AD592" s="689"/>
      <c r="AE592" s="689"/>
      <c r="AF592" s="689"/>
      <c r="AG592" s="689"/>
      <c r="AH592" s="689"/>
      <c r="AI592" s="689"/>
      <c r="AJ592" s="689"/>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c r="BK592" s="689"/>
      <c r="BL592" s="689"/>
      <c r="BM592" s="689"/>
      <c r="BN592" s="689"/>
      <c r="BO592" s="689"/>
      <c r="BP592" s="689"/>
      <c r="BQ592" s="689"/>
      <c r="BR592" s="689"/>
      <c r="BS592" s="689"/>
      <c r="BT592" s="689"/>
      <c r="BU592" s="689"/>
      <c r="BV592" s="689"/>
    </row>
    <row r="593" spans="1:74" s="389" customFormat="1">
      <c r="I593" s="689"/>
      <c r="J593" s="689"/>
      <c r="K593" s="689"/>
      <c r="L593" s="689"/>
      <c r="M593" s="689"/>
      <c r="N593" s="689"/>
      <c r="O593" s="689"/>
      <c r="P593" s="689"/>
      <c r="Q593" s="689"/>
      <c r="R593" s="689"/>
      <c r="S593" s="689"/>
      <c r="T593" s="689"/>
      <c r="U593" s="689"/>
      <c r="V593" s="689"/>
      <c r="W593" s="689"/>
      <c r="X593" s="689"/>
      <c r="Y593" s="689"/>
      <c r="Z593" s="689"/>
      <c r="AA593" s="689"/>
      <c r="AB593" s="689"/>
      <c r="AC593" s="689"/>
      <c r="AD593" s="689"/>
      <c r="AE593" s="689"/>
      <c r="AF593" s="689"/>
      <c r="AG593" s="689"/>
      <c r="AH593" s="689"/>
      <c r="AI593" s="689"/>
      <c r="AJ593" s="689"/>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c r="BK593" s="689"/>
      <c r="BL593" s="689"/>
      <c r="BM593" s="689"/>
      <c r="BN593" s="689"/>
      <c r="BO593" s="689"/>
      <c r="BP593" s="689"/>
      <c r="BQ593" s="689"/>
      <c r="BR593" s="689"/>
      <c r="BS593" s="689"/>
      <c r="BT593" s="689"/>
      <c r="BU593" s="689"/>
      <c r="BV593" s="689"/>
    </row>
    <row r="594" spans="1:74" s="389" customFormat="1">
      <c r="I594" s="689"/>
      <c r="J594" s="689"/>
      <c r="K594" s="689"/>
      <c r="L594" s="689"/>
      <c r="M594" s="689"/>
      <c r="N594" s="689"/>
      <c r="O594" s="689"/>
      <c r="P594" s="689"/>
      <c r="Q594" s="689"/>
      <c r="R594" s="689"/>
      <c r="S594" s="689"/>
      <c r="T594" s="689"/>
      <c r="U594" s="689"/>
      <c r="V594" s="689"/>
      <c r="W594" s="689"/>
      <c r="X594" s="689"/>
      <c r="Y594" s="689"/>
      <c r="Z594" s="689"/>
      <c r="AA594" s="689"/>
      <c r="AB594" s="689"/>
      <c r="AC594" s="689"/>
      <c r="AD594" s="689"/>
      <c r="AE594" s="689"/>
      <c r="AF594" s="689"/>
      <c r="AG594" s="689"/>
      <c r="AH594" s="689"/>
      <c r="AI594" s="689"/>
      <c r="AJ594" s="689"/>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c r="BK594" s="689"/>
      <c r="BL594" s="689"/>
      <c r="BM594" s="689"/>
      <c r="BN594" s="689"/>
      <c r="BO594" s="689"/>
      <c r="BP594" s="689"/>
      <c r="BQ594" s="689"/>
      <c r="BR594" s="689"/>
      <c r="BS594" s="689"/>
      <c r="BT594" s="689"/>
      <c r="BU594" s="689"/>
      <c r="BV594" s="689"/>
    </row>
    <row r="595" spans="1:74" s="389" customFormat="1">
      <c r="I595" s="689"/>
      <c r="J595" s="689"/>
      <c r="K595" s="689"/>
      <c r="L595" s="689"/>
      <c r="M595" s="689"/>
      <c r="N595" s="689"/>
      <c r="O595" s="689"/>
      <c r="P595" s="689"/>
      <c r="Q595" s="689"/>
      <c r="R595" s="689"/>
      <c r="S595" s="689"/>
      <c r="T595" s="689"/>
      <c r="U595" s="689"/>
      <c r="V595" s="689"/>
      <c r="W595" s="689"/>
      <c r="X595" s="689"/>
      <c r="Y595" s="689"/>
      <c r="Z595" s="689"/>
      <c r="AA595" s="689"/>
      <c r="AB595" s="689"/>
      <c r="AC595" s="689"/>
      <c r="AD595" s="689"/>
      <c r="AE595" s="689"/>
      <c r="AF595" s="689"/>
      <c r="AG595" s="689"/>
      <c r="AH595" s="689"/>
      <c r="AI595" s="689"/>
      <c r="AJ595" s="689"/>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c r="BK595" s="689"/>
      <c r="BL595" s="689"/>
      <c r="BM595" s="689"/>
      <c r="BN595" s="689"/>
      <c r="BO595" s="689"/>
      <c r="BP595" s="689"/>
      <c r="BQ595" s="689"/>
      <c r="BR595" s="689"/>
      <c r="BS595" s="689"/>
      <c r="BT595" s="689"/>
      <c r="BU595" s="689"/>
      <c r="BV595" s="689"/>
    </row>
    <row r="596" spans="1:74">
      <c r="A596" s="389"/>
      <c r="B596" s="389"/>
      <c r="C596" s="389"/>
      <c r="D596" s="389"/>
      <c r="E596" s="389"/>
      <c r="F596" s="389"/>
      <c r="G596" s="389"/>
      <c r="H596" s="389"/>
    </row>
    <row r="597" spans="1:74">
      <c r="A597" s="389"/>
      <c r="B597" s="389"/>
      <c r="C597" s="389"/>
      <c r="D597" s="389"/>
      <c r="E597" s="389"/>
      <c r="F597" s="389"/>
      <c r="G597" s="389"/>
    </row>
    <row r="598" spans="1:74">
      <c r="A598" s="389"/>
      <c r="B598" s="389"/>
      <c r="C598" s="389"/>
      <c r="D598" s="389"/>
      <c r="E598" s="389"/>
      <c r="F598" s="389"/>
      <c r="G598" s="389"/>
    </row>
    <row r="599" spans="1:74">
      <c r="A599" s="389"/>
      <c r="B599" s="389"/>
      <c r="C599" s="389"/>
      <c r="D599" s="389"/>
      <c r="E599" s="389"/>
      <c r="F599" s="389"/>
      <c r="G599" s="389"/>
    </row>
    <row r="600" spans="1:74">
      <c r="A600" s="389"/>
      <c r="B600" s="389"/>
      <c r="C600" s="389"/>
      <c r="D600" s="389"/>
      <c r="E600" s="389"/>
      <c r="F600" s="389"/>
      <c r="G600" s="389"/>
    </row>
    <row r="601" spans="1:74">
      <c r="A601" s="389"/>
      <c r="B601" s="389"/>
      <c r="C601" s="389"/>
      <c r="D601" s="389"/>
      <c r="E601" s="389"/>
      <c r="F601" s="389"/>
      <c r="G601" s="389"/>
    </row>
  </sheetData>
  <sortState xmlns:xlrd2="http://schemas.microsoft.com/office/spreadsheetml/2017/richdata2" columnSort="1" ref="C188:G205">
    <sortCondition ref="C188:G188"/>
  </sortState>
  <mergeCells count="2">
    <mergeCell ref="J79:P82"/>
    <mergeCell ref="J103:P106"/>
  </mergeCells>
  <pageMargins left="0.7" right="0.7" top="0.75" bottom="0.25" header="0.3" footer="0.3"/>
  <pageSetup scale="50" fitToHeight="6" orientation="portrait" r:id="rId1"/>
  <rowBreaks count="5" manualBreakCount="5">
    <brk id="58" max="7" man="1"/>
    <brk id="110" max="7" man="1"/>
    <brk id="186" max="7" man="1"/>
    <brk id="247" max="7" man="1"/>
    <brk id="337" max="7" man="1"/>
  </rowBreaks>
  <customProperties>
    <customPr name="OrphanNamesChecked" r:id="rId2"/>
  </customProperties>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dimension ref="A1"/>
  <sheetViews>
    <sheetView workbookViewId="0">
      <selection activeCell="F21" sqref="F21"/>
    </sheetView>
  </sheetViews>
  <sheetFormatPr defaultRowHeight="15"/>
  <sheetData/>
  <pageMargins left="0.7" right="0.7" top="0.75" bottom="0.75" header="0.3" footer="0.3"/>
  <customProperties>
    <customPr name="OrphanNamesChecke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pageSetUpPr fitToPage="1"/>
  </sheetPr>
  <dimension ref="A1:R209"/>
  <sheetViews>
    <sheetView showGridLines="0" topLeftCell="C1" zoomScale="85" zoomScaleNormal="85" workbookViewId="0">
      <pane ySplit="3" topLeftCell="A39" activePane="bottomLeft" state="frozen"/>
      <selection activeCell="C183" sqref="C183 E183"/>
      <selection pane="bottomLeft" activeCell="C183" sqref="C183 E183"/>
    </sheetView>
  </sheetViews>
  <sheetFormatPr defaultColWidth="8.90625" defaultRowHeight="13.2"/>
  <cols>
    <col min="1" max="1" width="26.54296875" style="937" bestFit="1" customWidth="1"/>
    <col min="2" max="2" width="8.90625" style="937"/>
    <col min="3" max="3" width="7.81640625" style="937" customWidth="1"/>
    <col min="4" max="4" width="6.08984375" style="937" customWidth="1"/>
    <col min="5" max="5" width="6.1796875" style="937" customWidth="1"/>
    <col min="6" max="6" width="7" style="937" customWidth="1"/>
    <col min="7" max="7" width="5.6328125" style="935" bestFit="1" customWidth="1"/>
    <col min="8" max="8" width="5.453125" style="936" bestFit="1" customWidth="1"/>
    <col min="9" max="9" width="2.81640625" style="935" customWidth="1"/>
    <col min="10" max="10" width="4.6328125" style="935" customWidth="1"/>
    <col min="11" max="11" width="17.453125" style="937" customWidth="1"/>
    <col min="12" max="12" width="0" style="937" hidden="1" customWidth="1"/>
    <col min="13" max="13" width="6.1796875" style="937" customWidth="1"/>
    <col min="14" max="15" width="5.6328125" style="937" customWidth="1"/>
    <col min="16" max="16" width="6.90625" style="937" customWidth="1"/>
    <col min="17" max="17" width="24" style="937" customWidth="1"/>
    <col min="18" max="18" width="43" style="967" customWidth="1"/>
    <col min="19" max="16384" width="8.90625" style="937"/>
  </cols>
  <sheetData>
    <row r="1" spans="1:18" ht="13.8">
      <c r="A1" s="965" t="s">
        <v>1077</v>
      </c>
      <c r="N1" s="972" t="s">
        <v>1115</v>
      </c>
      <c r="O1" s="972"/>
      <c r="P1" s="972"/>
      <c r="Q1" s="972"/>
      <c r="R1" s="969"/>
    </row>
    <row r="2" spans="1:18" ht="13.8" thickBot="1">
      <c r="A2" s="933">
        <v>2015</v>
      </c>
      <c r="B2" s="934"/>
      <c r="C2" s="934"/>
      <c r="D2" s="934"/>
      <c r="E2" s="934"/>
      <c r="F2" s="934"/>
      <c r="K2" s="933">
        <v>2014</v>
      </c>
      <c r="L2" s="934"/>
      <c r="M2" s="934"/>
      <c r="N2" s="934"/>
      <c r="O2" s="934"/>
      <c r="P2" s="934"/>
      <c r="Q2" s="934"/>
      <c r="R2" s="969"/>
    </row>
    <row r="3" spans="1:18" ht="79.2">
      <c r="A3" s="928" t="s">
        <v>0</v>
      </c>
      <c r="B3" s="938" t="s">
        <v>257</v>
      </c>
      <c r="C3" s="929" t="s">
        <v>219</v>
      </c>
      <c r="D3" s="929" t="s">
        <v>220</v>
      </c>
      <c r="E3" s="930" t="s">
        <v>239</v>
      </c>
      <c r="F3" s="930" t="s">
        <v>240</v>
      </c>
      <c r="G3" s="939" t="s">
        <v>1051</v>
      </c>
      <c r="H3" s="939" t="s">
        <v>1052</v>
      </c>
      <c r="I3" s="939" t="s">
        <v>1053</v>
      </c>
      <c r="J3" s="939" t="s">
        <v>1054</v>
      </c>
      <c r="K3" s="940" t="s">
        <v>0</v>
      </c>
      <c r="L3" s="938" t="s">
        <v>257</v>
      </c>
      <c r="M3" s="941" t="s">
        <v>219</v>
      </c>
      <c r="N3" s="941" t="s">
        <v>220</v>
      </c>
      <c r="O3" s="930" t="s">
        <v>239</v>
      </c>
      <c r="P3" s="942" t="s">
        <v>240</v>
      </c>
      <c r="Q3" s="943" t="s">
        <v>1056</v>
      </c>
      <c r="R3" s="969"/>
    </row>
    <row r="4" spans="1:18">
      <c r="A4" s="889"/>
      <c r="B4" s="889"/>
      <c r="C4" s="891"/>
      <c r="D4" s="891"/>
      <c r="E4" s="944"/>
      <c r="F4" s="944"/>
      <c r="I4" s="936"/>
      <c r="J4" s="936"/>
      <c r="K4" s="945"/>
      <c r="L4" s="850"/>
      <c r="M4" s="891"/>
      <c r="N4" s="891"/>
      <c r="O4" s="890"/>
      <c r="P4" s="946"/>
      <c r="R4" s="969"/>
    </row>
    <row r="5" spans="1:18" ht="13.8" thickBot="1">
      <c r="A5" s="947" t="s">
        <v>1071</v>
      </c>
      <c r="B5" s="947"/>
      <c r="C5" s="948"/>
      <c r="D5" s="948"/>
      <c r="E5" s="949"/>
      <c r="F5" s="949"/>
      <c r="G5" s="950"/>
      <c r="H5" s="951"/>
      <c r="I5" s="951"/>
      <c r="J5" s="951"/>
      <c r="K5" s="952"/>
      <c r="L5" s="953"/>
      <c r="M5" s="948"/>
      <c r="N5" s="948"/>
      <c r="O5" s="954"/>
      <c r="P5" s="955"/>
      <c r="Q5" s="934" t="s">
        <v>1070</v>
      </c>
      <c r="R5" s="969"/>
    </row>
    <row r="6" spans="1:18">
      <c r="A6" s="889" t="s">
        <v>921</v>
      </c>
      <c r="B6" s="974" t="s">
        <v>547</v>
      </c>
      <c r="C6" s="891">
        <v>100</v>
      </c>
      <c r="D6" s="891">
        <v>25378</v>
      </c>
      <c r="E6" s="891">
        <v>0</v>
      </c>
      <c r="F6" s="891">
        <v>0</v>
      </c>
      <c r="G6" s="935">
        <f>C6-M6</f>
        <v>0</v>
      </c>
      <c r="H6" s="936">
        <f>(D6-N6)/N6</f>
        <v>2.8740524544975474E-2</v>
      </c>
      <c r="I6" s="956">
        <f t="shared" ref="I6:I49" si="0">E6-O6</f>
        <v>-200</v>
      </c>
      <c r="J6" s="957">
        <f t="shared" ref="J6:J49" si="1">(F6-P6)/P6</f>
        <v>-1</v>
      </c>
      <c r="K6" s="958" t="s">
        <v>921</v>
      </c>
      <c r="L6" s="850" t="s">
        <v>547</v>
      </c>
      <c r="M6" s="891">
        <v>100</v>
      </c>
      <c r="N6" s="891">
        <v>24669</v>
      </c>
      <c r="O6" s="968">
        <v>200</v>
      </c>
      <c r="P6" s="968">
        <v>48679</v>
      </c>
      <c r="Q6" s="937" t="s">
        <v>1075</v>
      </c>
      <c r="R6" s="967" t="s">
        <v>1081</v>
      </c>
    </row>
    <row r="7" spans="1:18">
      <c r="A7" s="889" t="s">
        <v>924</v>
      </c>
      <c r="B7" s="889" t="s">
        <v>547</v>
      </c>
      <c r="C7" s="891">
        <v>0</v>
      </c>
      <c r="D7" s="891">
        <v>0</v>
      </c>
      <c r="E7" s="891">
        <v>220</v>
      </c>
      <c r="F7" s="891">
        <v>38257</v>
      </c>
      <c r="I7" s="956">
        <f t="shared" si="0"/>
        <v>-114</v>
      </c>
      <c r="J7" s="936">
        <f t="shared" si="1"/>
        <v>7.65096516404975E-2</v>
      </c>
      <c r="K7" s="958" t="s">
        <v>924</v>
      </c>
      <c r="L7" s="850" t="s">
        <v>547</v>
      </c>
      <c r="M7" s="891">
        <v>0</v>
      </c>
      <c r="N7" s="891">
        <v>0</v>
      </c>
      <c r="O7" s="891">
        <v>334</v>
      </c>
      <c r="P7" s="891">
        <v>35538</v>
      </c>
      <c r="Q7" s="937" t="s">
        <v>1060</v>
      </c>
      <c r="R7" s="969" t="s">
        <v>1082</v>
      </c>
    </row>
    <row r="8" spans="1:18">
      <c r="A8" s="889" t="s">
        <v>259</v>
      </c>
      <c r="B8" s="889" t="s">
        <v>258</v>
      </c>
      <c r="C8" s="891">
        <v>0</v>
      </c>
      <c r="D8" s="891">
        <v>0</v>
      </c>
      <c r="E8" s="891">
        <v>135</v>
      </c>
      <c r="F8" s="891">
        <v>33745</v>
      </c>
      <c r="I8" s="956">
        <f t="shared" si="0"/>
        <v>-65</v>
      </c>
      <c r="J8" s="959">
        <f t="shared" si="1"/>
        <v>6.3605131276200086E-2</v>
      </c>
      <c r="K8" s="945" t="s">
        <v>955</v>
      </c>
      <c r="L8" s="850" t="s">
        <v>258</v>
      </c>
      <c r="M8" s="891">
        <v>0</v>
      </c>
      <c r="N8" s="891">
        <v>0</v>
      </c>
      <c r="O8" s="891">
        <v>200</v>
      </c>
      <c r="P8" s="891">
        <v>31727</v>
      </c>
      <c r="Q8" s="937" t="s">
        <v>1060</v>
      </c>
      <c r="R8" s="969" t="s">
        <v>1083</v>
      </c>
    </row>
    <row r="9" spans="1:18">
      <c r="A9" s="889" t="s">
        <v>622</v>
      </c>
      <c r="B9" s="889" t="s">
        <v>547</v>
      </c>
      <c r="C9" s="891">
        <v>0</v>
      </c>
      <c r="D9" s="891">
        <v>0</v>
      </c>
      <c r="E9" s="891">
        <v>240</v>
      </c>
      <c r="F9" s="891">
        <v>60800</v>
      </c>
      <c r="I9" s="956">
        <f t="shared" si="0"/>
        <v>-60</v>
      </c>
      <c r="J9" s="959">
        <f t="shared" si="1"/>
        <v>0.10803324099722991</v>
      </c>
      <c r="K9" s="958" t="s">
        <v>622</v>
      </c>
      <c r="L9" s="850" t="s">
        <v>547</v>
      </c>
      <c r="M9" s="891">
        <v>0</v>
      </c>
      <c r="N9" s="891">
        <v>0</v>
      </c>
      <c r="O9" s="891">
        <v>300</v>
      </c>
      <c r="P9" s="891">
        <v>54872</v>
      </c>
      <c r="Q9" s="937" t="s">
        <v>1060</v>
      </c>
      <c r="R9" s="969" t="s">
        <v>1084</v>
      </c>
    </row>
    <row r="10" spans="1:18">
      <c r="A10" s="889" t="s">
        <v>682</v>
      </c>
      <c r="B10" s="889" t="s">
        <v>547</v>
      </c>
      <c r="C10" s="891">
        <v>0</v>
      </c>
      <c r="D10" s="891">
        <v>0</v>
      </c>
      <c r="E10" s="891">
        <v>235</v>
      </c>
      <c r="F10" s="891">
        <v>36931</v>
      </c>
      <c r="I10" s="956">
        <f t="shared" si="0"/>
        <v>31</v>
      </c>
      <c r="J10" s="959">
        <f t="shared" si="1"/>
        <v>-8.6573059546032514E-4</v>
      </c>
      <c r="K10" s="945" t="s">
        <v>682</v>
      </c>
      <c r="L10" s="850" t="s">
        <v>547</v>
      </c>
      <c r="M10" s="891">
        <v>0</v>
      </c>
      <c r="N10" s="891">
        <v>0</v>
      </c>
      <c r="O10" s="891">
        <v>204</v>
      </c>
      <c r="P10" s="891">
        <v>36963</v>
      </c>
      <c r="Q10" s="937" t="s">
        <v>1060</v>
      </c>
      <c r="R10" s="969" t="s">
        <v>1085</v>
      </c>
    </row>
    <row r="11" spans="1:18">
      <c r="A11" s="889" t="s">
        <v>1022</v>
      </c>
      <c r="B11" s="889" t="s">
        <v>547</v>
      </c>
      <c r="C11" s="891">
        <v>0</v>
      </c>
      <c r="D11" s="891">
        <v>0</v>
      </c>
      <c r="E11" s="891">
        <v>145</v>
      </c>
      <c r="F11" s="891">
        <v>31246</v>
      </c>
      <c r="G11" s="956">
        <f>C11-M11</f>
        <v>0</v>
      </c>
      <c r="H11" s="957">
        <f>(D11-N11)/N11</f>
        <v>-1</v>
      </c>
      <c r="I11" s="956">
        <f t="shared" si="0"/>
        <v>145</v>
      </c>
      <c r="J11" s="957" t="e">
        <f t="shared" si="1"/>
        <v>#DIV/0!</v>
      </c>
      <c r="K11" s="945" t="s">
        <v>960</v>
      </c>
      <c r="L11" s="850" t="s">
        <v>547</v>
      </c>
      <c r="M11" s="891">
        <v>0</v>
      </c>
      <c r="N11" s="964">
        <v>29220</v>
      </c>
      <c r="O11" s="891">
        <v>0</v>
      </c>
      <c r="P11" s="891">
        <v>0</v>
      </c>
      <c r="Q11" s="937" t="s">
        <v>1072</v>
      </c>
      <c r="R11" s="969" t="s">
        <v>1086</v>
      </c>
    </row>
    <row r="12" spans="1:18">
      <c r="A12" s="889" t="s">
        <v>550</v>
      </c>
      <c r="B12" s="889" t="s">
        <v>258</v>
      </c>
      <c r="C12" s="891">
        <v>0</v>
      </c>
      <c r="D12" s="891">
        <v>0</v>
      </c>
      <c r="E12" s="891">
        <v>230</v>
      </c>
      <c r="F12" s="891">
        <v>44000</v>
      </c>
      <c r="I12" s="956">
        <f t="shared" si="0"/>
        <v>228</v>
      </c>
      <c r="J12" s="959">
        <f t="shared" si="1"/>
        <v>-4.3478260869565216E-2</v>
      </c>
      <c r="K12" s="958" t="s">
        <v>550</v>
      </c>
      <c r="L12" s="850" t="s">
        <v>258</v>
      </c>
      <c r="M12" s="891">
        <v>0</v>
      </c>
      <c r="N12" s="891">
        <v>0</v>
      </c>
      <c r="O12" s="891">
        <v>2</v>
      </c>
      <c r="P12" s="891">
        <v>46000</v>
      </c>
      <c r="Q12" s="937" t="s">
        <v>1062</v>
      </c>
      <c r="R12" s="969" t="s">
        <v>1087</v>
      </c>
    </row>
    <row r="13" spans="1:18">
      <c r="A13" s="889" t="s">
        <v>632</v>
      </c>
      <c r="B13" s="889" t="s">
        <v>618</v>
      </c>
      <c r="C13" s="891">
        <v>0</v>
      </c>
      <c r="D13" s="891">
        <v>0</v>
      </c>
      <c r="E13" s="891">
        <v>233</v>
      </c>
      <c r="F13" s="891">
        <v>39339</v>
      </c>
      <c r="I13" s="956">
        <f t="shared" si="0"/>
        <v>231</v>
      </c>
      <c r="J13" s="957">
        <f t="shared" si="1"/>
        <v>0.15560190353093237</v>
      </c>
      <c r="K13" s="945" t="s">
        <v>632</v>
      </c>
      <c r="L13" s="850" t="s">
        <v>618</v>
      </c>
      <c r="M13" s="891">
        <v>0</v>
      </c>
      <c r="N13" s="891">
        <v>0</v>
      </c>
      <c r="O13" s="891">
        <v>2</v>
      </c>
      <c r="P13" s="891">
        <v>34042</v>
      </c>
      <c r="Q13" s="937" t="s">
        <v>1076</v>
      </c>
      <c r="R13" s="969" t="s">
        <v>1087</v>
      </c>
    </row>
    <row r="14" spans="1:18">
      <c r="A14" s="889" t="s">
        <v>994</v>
      </c>
      <c r="B14" s="889" t="s">
        <v>618</v>
      </c>
      <c r="C14" s="891">
        <v>0</v>
      </c>
      <c r="D14" s="891">
        <v>0</v>
      </c>
      <c r="E14" s="891">
        <v>2580</v>
      </c>
      <c r="F14" s="891">
        <v>44169</v>
      </c>
      <c r="I14" s="956">
        <f t="shared" si="0"/>
        <v>2330</v>
      </c>
      <c r="J14" s="959">
        <f t="shared" si="1"/>
        <v>-1.8466666666666666E-2</v>
      </c>
      <c r="K14" s="958" t="s">
        <v>629</v>
      </c>
      <c r="L14" s="850" t="s">
        <v>618</v>
      </c>
      <c r="M14" s="891">
        <v>0</v>
      </c>
      <c r="N14" s="891">
        <v>0</v>
      </c>
      <c r="O14" s="891">
        <v>250</v>
      </c>
      <c r="P14" s="891">
        <v>45000</v>
      </c>
      <c r="Q14" s="937" t="s">
        <v>1074</v>
      </c>
      <c r="R14" s="969" t="s">
        <v>1088</v>
      </c>
    </row>
    <row r="15" spans="1:18">
      <c r="A15" s="889" t="s">
        <v>462</v>
      </c>
      <c r="B15" s="889" t="s">
        <v>258</v>
      </c>
      <c r="C15" s="891">
        <v>0</v>
      </c>
      <c r="D15" s="891">
        <v>0</v>
      </c>
      <c r="E15" s="891">
        <v>40494</v>
      </c>
      <c r="F15" s="891">
        <v>45884</v>
      </c>
      <c r="I15" s="956">
        <f t="shared" si="0"/>
        <v>40244</v>
      </c>
      <c r="J15" s="936">
        <f t="shared" si="1"/>
        <v>-2.54035683942226E-2</v>
      </c>
      <c r="K15" s="945" t="s">
        <v>462</v>
      </c>
      <c r="L15" s="850" t="s">
        <v>258</v>
      </c>
      <c r="M15" s="891">
        <v>0</v>
      </c>
      <c r="N15" s="891">
        <v>0</v>
      </c>
      <c r="O15" s="891">
        <v>250</v>
      </c>
      <c r="P15" s="891">
        <v>47080</v>
      </c>
      <c r="Q15" s="937" t="s">
        <v>1074</v>
      </c>
      <c r="R15" s="969" t="s">
        <v>1088</v>
      </c>
    </row>
    <row r="16" spans="1:18">
      <c r="A16" s="889" t="s">
        <v>993</v>
      </c>
      <c r="B16" s="889" t="s">
        <v>258</v>
      </c>
      <c r="C16" s="891">
        <v>0</v>
      </c>
      <c r="D16" s="891">
        <v>0</v>
      </c>
      <c r="E16" s="891">
        <v>300</v>
      </c>
      <c r="F16" s="891">
        <v>30569</v>
      </c>
      <c r="I16" s="935">
        <f t="shared" si="0"/>
        <v>0</v>
      </c>
      <c r="J16" s="957">
        <f t="shared" si="1"/>
        <v>-0.18807436918990703</v>
      </c>
      <c r="K16" s="958" t="s">
        <v>637</v>
      </c>
      <c r="L16" s="850" t="s">
        <v>258</v>
      </c>
      <c r="M16" s="891">
        <v>0</v>
      </c>
      <c r="N16" s="891">
        <v>0</v>
      </c>
      <c r="O16" s="891">
        <v>300</v>
      </c>
      <c r="P16" s="891">
        <v>37650</v>
      </c>
      <c r="Q16" s="937" t="s">
        <v>1073</v>
      </c>
      <c r="R16" s="969" t="s">
        <v>1089</v>
      </c>
    </row>
    <row r="17" spans="1:18">
      <c r="A17" s="889" t="s">
        <v>697</v>
      </c>
      <c r="B17" s="889" t="s">
        <v>547</v>
      </c>
      <c r="C17" s="891">
        <v>0</v>
      </c>
      <c r="D17" s="891">
        <v>0</v>
      </c>
      <c r="E17" s="891">
        <v>175</v>
      </c>
      <c r="F17" s="891">
        <v>36993</v>
      </c>
      <c r="I17" s="935">
        <f t="shared" si="0"/>
        <v>0</v>
      </c>
      <c r="J17" s="957">
        <f t="shared" si="1"/>
        <v>-0.13039492242595205</v>
      </c>
      <c r="K17" s="958" t="s">
        <v>697</v>
      </c>
      <c r="L17" s="850" t="s">
        <v>547</v>
      </c>
      <c r="M17" s="891">
        <v>0</v>
      </c>
      <c r="N17" s="891">
        <v>0</v>
      </c>
      <c r="O17" s="891">
        <v>175</v>
      </c>
      <c r="P17" s="891">
        <v>42540</v>
      </c>
      <c r="Q17" s="937" t="s">
        <v>1073</v>
      </c>
      <c r="R17" s="969" t="s">
        <v>1090</v>
      </c>
    </row>
    <row r="18" spans="1:18">
      <c r="A18" s="889" t="s">
        <v>1036</v>
      </c>
      <c r="B18" s="889" t="s">
        <v>258</v>
      </c>
      <c r="C18" s="891">
        <v>0</v>
      </c>
      <c r="D18" s="891">
        <v>0</v>
      </c>
      <c r="E18" s="891">
        <v>212</v>
      </c>
      <c r="F18" s="891">
        <v>53000</v>
      </c>
      <c r="I18" s="935">
        <f t="shared" si="0"/>
        <v>0</v>
      </c>
      <c r="J18" s="936">
        <f t="shared" si="1"/>
        <v>-8.7434140294087262E-2</v>
      </c>
      <c r="K18" s="945" t="s">
        <v>722</v>
      </c>
      <c r="L18" s="850" t="s">
        <v>258</v>
      </c>
      <c r="M18" s="891">
        <v>0</v>
      </c>
      <c r="N18" s="891">
        <v>0</v>
      </c>
      <c r="O18" s="891">
        <v>212</v>
      </c>
      <c r="P18" s="891">
        <v>58078</v>
      </c>
      <c r="R18" s="969" t="s">
        <v>1091</v>
      </c>
    </row>
    <row r="19" spans="1:18">
      <c r="A19" s="889" t="s">
        <v>1019</v>
      </c>
      <c r="B19" s="889" t="s">
        <v>546</v>
      </c>
      <c r="C19" s="891">
        <v>0</v>
      </c>
      <c r="D19" s="891">
        <v>0</v>
      </c>
      <c r="E19" s="891">
        <v>225</v>
      </c>
      <c r="F19" s="891">
        <v>43815</v>
      </c>
      <c r="I19" s="935">
        <f t="shared" si="0"/>
        <v>0</v>
      </c>
      <c r="J19" s="936">
        <f t="shared" si="1"/>
        <v>-8.7187500000000001E-2</v>
      </c>
      <c r="K19" s="958" t="s">
        <v>701</v>
      </c>
      <c r="L19" s="850" t="s">
        <v>546</v>
      </c>
      <c r="M19" s="891">
        <v>0</v>
      </c>
      <c r="N19" s="891">
        <v>0</v>
      </c>
      <c r="O19" s="891">
        <v>225</v>
      </c>
      <c r="P19" s="891">
        <v>48000</v>
      </c>
      <c r="R19" s="969" t="s">
        <v>1092</v>
      </c>
    </row>
    <row r="20" spans="1:18">
      <c r="A20" s="889" t="s">
        <v>624</v>
      </c>
      <c r="B20" s="889" t="s">
        <v>547</v>
      </c>
      <c r="C20" s="891">
        <v>0</v>
      </c>
      <c r="D20" s="891">
        <v>0</v>
      </c>
      <c r="E20" s="891">
        <v>430</v>
      </c>
      <c r="F20" s="891">
        <v>110286</v>
      </c>
      <c r="I20" s="935">
        <f t="shared" si="0"/>
        <v>0</v>
      </c>
      <c r="J20" s="936">
        <f t="shared" si="1"/>
        <v>-4.3146305277678966E-2</v>
      </c>
      <c r="K20" s="945" t="s">
        <v>624</v>
      </c>
      <c r="L20" s="850" t="s">
        <v>547</v>
      </c>
      <c r="M20" s="891">
        <v>0</v>
      </c>
      <c r="N20" s="891">
        <v>0</v>
      </c>
      <c r="O20" s="891">
        <v>430</v>
      </c>
      <c r="P20" s="891">
        <v>115259</v>
      </c>
      <c r="R20" s="969"/>
    </row>
    <row r="21" spans="1:18">
      <c r="A21" s="889" t="s">
        <v>1033</v>
      </c>
      <c r="B21" s="889" t="s">
        <v>618</v>
      </c>
      <c r="C21" s="891">
        <v>0</v>
      </c>
      <c r="D21" s="891">
        <v>0</v>
      </c>
      <c r="E21" s="891">
        <v>200</v>
      </c>
      <c r="F21" s="891">
        <v>43725</v>
      </c>
      <c r="I21" s="935">
        <f t="shared" si="0"/>
        <v>0</v>
      </c>
      <c r="J21" s="936">
        <f t="shared" si="1"/>
        <v>-3.9602003162888769E-2</v>
      </c>
      <c r="K21" s="945" t="s">
        <v>553</v>
      </c>
      <c r="L21" s="850" t="s">
        <v>618</v>
      </c>
      <c r="M21" s="891">
        <v>0</v>
      </c>
      <c r="N21" s="891">
        <v>0</v>
      </c>
      <c r="O21" s="891">
        <v>200</v>
      </c>
      <c r="P21" s="891">
        <v>45528</v>
      </c>
      <c r="R21" s="969"/>
    </row>
    <row r="22" spans="1:18" ht="12.75" customHeight="1">
      <c r="A22" s="889" t="s">
        <v>702</v>
      </c>
      <c r="B22" s="889" t="s">
        <v>258</v>
      </c>
      <c r="C22" s="891">
        <v>0</v>
      </c>
      <c r="D22" s="891">
        <v>0</v>
      </c>
      <c r="E22" s="891">
        <v>625</v>
      </c>
      <c r="F22" s="891">
        <v>112236</v>
      </c>
      <c r="I22" s="935">
        <f t="shared" si="0"/>
        <v>0</v>
      </c>
      <c r="J22" s="936">
        <f t="shared" si="1"/>
        <v>-3.8869621066152861E-2</v>
      </c>
      <c r="K22" s="945" t="s">
        <v>702</v>
      </c>
      <c r="L22" s="850" t="s">
        <v>258</v>
      </c>
      <c r="M22" s="891">
        <v>0</v>
      </c>
      <c r="N22" s="891">
        <v>0</v>
      </c>
      <c r="O22" s="891">
        <v>625</v>
      </c>
      <c r="P22" s="891">
        <v>116775</v>
      </c>
      <c r="R22" s="969"/>
    </row>
    <row r="23" spans="1:18">
      <c r="A23" s="889" t="s">
        <v>663</v>
      </c>
      <c r="B23" s="889" t="s">
        <v>546</v>
      </c>
      <c r="C23" s="891">
        <v>0</v>
      </c>
      <c r="D23" s="891">
        <v>0</v>
      </c>
      <c r="E23" s="891">
        <v>456</v>
      </c>
      <c r="F23" s="891">
        <v>103125</v>
      </c>
      <c r="I23" s="935">
        <f t="shared" si="0"/>
        <v>0</v>
      </c>
      <c r="J23" s="936">
        <f t="shared" si="1"/>
        <v>-3.4843890386343217E-2</v>
      </c>
      <c r="K23" s="958" t="s">
        <v>928</v>
      </c>
      <c r="L23" s="850" t="s">
        <v>546</v>
      </c>
      <c r="M23" s="891">
        <v>0</v>
      </c>
      <c r="N23" s="891">
        <v>0</v>
      </c>
      <c r="O23" s="891">
        <v>456</v>
      </c>
      <c r="P23" s="891">
        <v>106848</v>
      </c>
      <c r="R23" s="969"/>
    </row>
    <row r="24" spans="1:18">
      <c r="A24" s="889" t="s">
        <v>1024</v>
      </c>
      <c r="B24" s="889" t="s">
        <v>618</v>
      </c>
      <c r="C24" s="891">
        <v>0</v>
      </c>
      <c r="D24" s="891">
        <v>0</v>
      </c>
      <c r="E24" s="891">
        <v>188</v>
      </c>
      <c r="F24" s="891">
        <v>38159</v>
      </c>
      <c r="I24" s="935">
        <f t="shared" si="0"/>
        <v>0</v>
      </c>
      <c r="J24" s="936">
        <f t="shared" si="1"/>
        <v>-2.8415022278803308E-2</v>
      </c>
      <c r="K24" s="958" t="s">
        <v>839</v>
      </c>
      <c r="L24" s="850" t="s">
        <v>618</v>
      </c>
      <c r="M24" s="891">
        <v>0</v>
      </c>
      <c r="N24" s="891">
        <v>0</v>
      </c>
      <c r="O24" s="891">
        <v>188</v>
      </c>
      <c r="P24" s="891">
        <v>39275</v>
      </c>
      <c r="R24" s="969"/>
    </row>
    <row r="25" spans="1:18">
      <c r="A25" s="889" t="s">
        <v>465</v>
      </c>
      <c r="B25" s="889" t="s">
        <v>546</v>
      </c>
      <c r="C25" s="891">
        <v>0</v>
      </c>
      <c r="D25" s="891">
        <v>0</v>
      </c>
      <c r="E25" s="891">
        <v>232</v>
      </c>
      <c r="F25" s="891">
        <v>55552</v>
      </c>
      <c r="I25" s="935">
        <f t="shared" si="0"/>
        <v>0</v>
      </c>
      <c r="J25" s="936">
        <f t="shared" si="1"/>
        <v>-2.6854690374003679E-2</v>
      </c>
      <c r="K25" s="945" t="s">
        <v>465</v>
      </c>
      <c r="L25" s="850" t="s">
        <v>546</v>
      </c>
      <c r="M25" s="891">
        <v>0</v>
      </c>
      <c r="N25" s="891">
        <v>0</v>
      </c>
      <c r="O25" s="891">
        <v>232</v>
      </c>
      <c r="P25" s="891">
        <v>57085</v>
      </c>
      <c r="R25" s="969"/>
    </row>
    <row r="26" spans="1:18">
      <c r="A26" s="889" t="s">
        <v>1030</v>
      </c>
      <c r="B26" s="889" t="s">
        <v>546</v>
      </c>
      <c r="C26" s="891">
        <v>0</v>
      </c>
      <c r="D26" s="891">
        <v>0</v>
      </c>
      <c r="E26" s="891">
        <v>270</v>
      </c>
      <c r="F26" s="891">
        <v>63049</v>
      </c>
      <c r="I26" s="935">
        <f t="shared" si="0"/>
        <v>0</v>
      </c>
      <c r="J26" s="936">
        <f t="shared" si="1"/>
        <v>-2.6841390380934742E-2</v>
      </c>
      <c r="K26" s="945" t="s">
        <v>843</v>
      </c>
      <c r="L26" s="850" t="s">
        <v>546</v>
      </c>
      <c r="M26" s="891">
        <v>0</v>
      </c>
      <c r="N26" s="891">
        <v>0</v>
      </c>
      <c r="O26" s="891">
        <v>270</v>
      </c>
      <c r="P26" s="891">
        <v>64788</v>
      </c>
      <c r="R26" s="969"/>
    </row>
    <row r="27" spans="1:18">
      <c r="A27" s="889" t="s">
        <v>997</v>
      </c>
      <c r="B27" s="889" t="s">
        <v>618</v>
      </c>
      <c r="C27" s="891">
        <v>0</v>
      </c>
      <c r="D27" s="891">
        <v>0</v>
      </c>
      <c r="E27" s="891">
        <v>123</v>
      </c>
      <c r="F27" s="891">
        <v>34868</v>
      </c>
      <c r="I27" s="935">
        <f t="shared" si="0"/>
        <v>0</v>
      </c>
      <c r="J27" s="936">
        <f t="shared" si="1"/>
        <v>-2.0093865047916139E-2</v>
      </c>
      <c r="K27" s="945" t="s">
        <v>704</v>
      </c>
      <c r="L27" s="850" t="s">
        <v>618</v>
      </c>
      <c r="M27" s="891">
        <v>0</v>
      </c>
      <c r="N27" s="891">
        <v>0</v>
      </c>
      <c r="O27" s="891">
        <v>123</v>
      </c>
      <c r="P27" s="891">
        <v>35583</v>
      </c>
      <c r="R27" s="969"/>
    </row>
    <row r="28" spans="1:18">
      <c r="A28" s="889" t="s">
        <v>987</v>
      </c>
      <c r="B28" s="889" t="s">
        <v>258</v>
      </c>
      <c r="C28" s="891">
        <v>0</v>
      </c>
      <c r="D28" s="891">
        <v>0</v>
      </c>
      <c r="E28" s="891">
        <v>200</v>
      </c>
      <c r="F28" s="891">
        <v>50981</v>
      </c>
      <c r="I28" s="935">
        <f t="shared" si="0"/>
        <v>0</v>
      </c>
      <c r="J28" s="936">
        <f t="shared" si="1"/>
        <v>-1.6949479367527959E-2</v>
      </c>
      <c r="K28" s="945" t="s">
        <v>948</v>
      </c>
      <c r="L28" s="850" t="s">
        <v>258</v>
      </c>
      <c r="M28" s="891">
        <v>0</v>
      </c>
      <c r="N28" s="891">
        <v>0</v>
      </c>
      <c r="O28" s="891">
        <v>200</v>
      </c>
      <c r="P28" s="891">
        <v>51860</v>
      </c>
      <c r="R28" s="969"/>
    </row>
    <row r="29" spans="1:18">
      <c r="A29" s="889" t="s">
        <v>696</v>
      </c>
      <c r="B29" s="889" t="s">
        <v>547</v>
      </c>
      <c r="C29" s="891">
        <v>0</v>
      </c>
      <c r="D29" s="891">
        <v>0</v>
      </c>
      <c r="E29" s="891">
        <v>375</v>
      </c>
      <c r="F29" s="891">
        <v>42118</v>
      </c>
      <c r="I29" s="935">
        <f t="shared" si="0"/>
        <v>0</v>
      </c>
      <c r="J29" s="936">
        <f t="shared" si="1"/>
        <v>-9.733847456033104E-3</v>
      </c>
      <c r="K29" s="958" t="s">
        <v>696</v>
      </c>
      <c r="L29" s="850" t="s">
        <v>547</v>
      </c>
      <c r="M29" s="891">
        <v>0</v>
      </c>
      <c r="N29" s="891">
        <v>0</v>
      </c>
      <c r="O29" s="891">
        <v>375</v>
      </c>
      <c r="P29" s="891">
        <v>42532</v>
      </c>
      <c r="R29" s="969"/>
    </row>
    <row r="30" spans="1:18">
      <c r="A30" s="889" t="s">
        <v>995</v>
      </c>
      <c r="B30" s="889" t="s">
        <v>258</v>
      </c>
      <c r="C30" s="891">
        <v>0</v>
      </c>
      <c r="D30" s="891">
        <v>0</v>
      </c>
      <c r="E30" s="891">
        <v>483</v>
      </c>
      <c r="F30" s="891">
        <v>86060</v>
      </c>
      <c r="I30" s="935">
        <f t="shared" si="0"/>
        <v>0</v>
      </c>
      <c r="J30" s="936">
        <f t="shared" si="1"/>
        <v>-8.8336577331935926E-3</v>
      </c>
      <c r="K30" s="958" t="s">
        <v>690</v>
      </c>
      <c r="L30" s="850" t="s">
        <v>258</v>
      </c>
      <c r="M30" s="891">
        <v>0</v>
      </c>
      <c r="N30" s="891">
        <v>0</v>
      </c>
      <c r="O30" s="891">
        <v>483</v>
      </c>
      <c r="P30" s="891">
        <v>86827</v>
      </c>
      <c r="R30" s="969"/>
    </row>
    <row r="31" spans="1:18">
      <c r="A31" s="889" t="s">
        <v>1027</v>
      </c>
      <c r="B31" s="889" t="s">
        <v>618</v>
      </c>
      <c r="C31" s="891">
        <v>0</v>
      </c>
      <c r="D31" s="891">
        <v>0</v>
      </c>
      <c r="E31" s="891">
        <v>315</v>
      </c>
      <c r="F31" s="891">
        <v>47512</v>
      </c>
      <c r="I31" s="935">
        <f t="shared" si="0"/>
        <v>0</v>
      </c>
      <c r="J31" s="936">
        <f t="shared" si="1"/>
        <v>-8.4934994469834518E-3</v>
      </c>
      <c r="K31" s="958" t="s">
        <v>703</v>
      </c>
      <c r="L31" s="850" t="s">
        <v>618</v>
      </c>
      <c r="M31" s="891">
        <v>0</v>
      </c>
      <c r="N31" s="891">
        <v>0</v>
      </c>
      <c r="O31" s="891">
        <v>315</v>
      </c>
      <c r="P31" s="891">
        <v>47919</v>
      </c>
      <c r="R31" s="969"/>
    </row>
    <row r="32" spans="1:18">
      <c r="A32" s="889" t="s">
        <v>916</v>
      </c>
      <c r="B32" s="889" t="s">
        <v>546</v>
      </c>
      <c r="C32" s="891">
        <v>0</v>
      </c>
      <c r="D32" s="891">
        <v>0</v>
      </c>
      <c r="E32" s="891">
        <v>250</v>
      </c>
      <c r="F32" s="891">
        <v>44001</v>
      </c>
      <c r="I32" s="935">
        <f t="shared" si="0"/>
        <v>0</v>
      </c>
      <c r="J32" s="936">
        <f t="shared" si="1"/>
        <v>-7.0408232347166748E-3</v>
      </c>
      <c r="K32" s="945" t="s">
        <v>916</v>
      </c>
      <c r="L32" s="850" t="s">
        <v>546</v>
      </c>
      <c r="M32" s="891">
        <v>0</v>
      </c>
      <c r="N32" s="891">
        <v>0</v>
      </c>
      <c r="O32" s="891">
        <v>250</v>
      </c>
      <c r="P32" s="891">
        <v>44313</v>
      </c>
      <c r="R32" s="969"/>
    </row>
    <row r="33" spans="1:18">
      <c r="A33" s="889" t="s">
        <v>524</v>
      </c>
      <c r="B33" s="889" t="s">
        <v>547</v>
      </c>
      <c r="C33" s="891">
        <v>0</v>
      </c>
      <c r="D33" s="891">
        <v>0</v>
      </c>
      <c r="E33" s="891">
        <v>244</v>
      </c>
      <c r="F33" s="891">
        <v>32214</v>
      </c>
      <c r="I33" s="935">
        <f t="shared" si="0"/>
        <v>0</v>
      </c>
      <c r="J33" s="936">
        <f t="shared" si="1"/>
        <v>-2.1373478301273115E-3</v>
      </c>
      <c r="K33" s="958" t="s">
        <v>524</v>
      </c>
      <c r="L33" s="850" t="s">
        <v>547</v>
      </c>
      <c r="M33" s="891">
        <v>0</v>
      </c>
      <c r="N33" s="891">
        <v>0</v>
      </c>
      <c r="O33" s="891">
        <v>244</v>
      </c>
      <c r="P33" s="891">
        <v>32283</v>
      </c>
      <c r="R33" s="969"/>
    </row>
    <row r="34" spans="1:18">
      <c r="A34" s="889" t="s">
        <v>929</v>
      </c>
      <c r="B34" s="889" t="s">
        <v>547</v>
      </c>
      <c r="C34" s="891">
        <v>0</v>
      </c>
      <c r="D34" s="891">
        <v>0</v>
      </c>
      <c r="E34" s="891">
        <v>460</v>
      </c>
      <c r="F34" s="891">
        <v>86601</v>
      </c>
      <c r="I34" s="935">
        <f t="shared" si="0"/>
        <v>0</v>
      </c>
      <c r="J34" s="936">
        <f t="shared" si="1"/>
        <v>0</v>
      </c>
      <c r="K34" s="958" t="s">
        <v>929</v>
      </c>
      <c r="L34" s="850" t="s">
        <v>547</v>
      </c>
      <c r="M34" s="891">
        <v>0</v>
      </c>
      <c r="N34" s="891">
        <v>0</v>
      </c>
      <c r="O34" s="891">
        <v>460</v>
      </c>
      <c r="P34" s="891">
        <v>86601</v>
      </c>
      <c r="R34" s="969"/>
    </row>
    <row r="35" spans="1:18">
      <c r="A35" s="889" t="s">
        <v>641</v>
      </c>
      <c r="B35" s="889" t="s">
        <v>546</v>
      </c>
      <c r="C35" s="891">
        <v>0</v>
      </c>
      <c r="D35" s="891">
        <v>0</v>
      </c>
      <c r="E35" s="891">
        <v>286</v>
      </c>
      <c r="F35" s="891">
        <v>56700</v>
      </c>
      <c r="I35" s="935">
        <f t="shared" si="0"/>
        <v>0</v>
      </c>
      <c r="J35" s="936">
        <f t="shared" si="1"/>
        <v>0</v>
      </c>
      <c r="K35" s="958" t="s">
        <v>641</v>
      </c>
      <c r="L35" s="850" t="s">
        <v>546</v>
      </c>
      <c r="M35" s="891">
        <v>0</v>
      </c>
      <c r="N35" s="891">
        <v>0</v>
      </c>
      <c r="O35" s="891">
        <v>286</v>
      </c>
      <c r="P35" s="891">
        <v>56700</v>
      </c>
      <c r="R35" s="969"/>
    </row>
    <row r="36" spans="1:18">
      <c r="A36" s="889" t="s">
        <v>1006</v>
      </c>
      <c r="B36" s="889" t="s">
        <v>258</v>
      </c>
      <c r="C36" s="891">
        <v>0</v>
      </c>
      <c r="D36" s="891">
        <v>0</v>
      </c>
      <c r="E36" s="891">
        <v>240</v>
      </c>
      <c r="F36" s="891">
        <v>55520</v>
      </c>
      <c r="I36" s="935">
        <f t="shared" si="0"/>
        <v>0</v>
      </c>
      <c r="J36" s="936">
        <f t="shared" si="1"/>
        <v>0</v>
      </c>
      <c r="K36" s="958" t="s">
        <v>712</v>
      </c>
      <c r="L36" s="850" t="s">
        <v>258</v>
      </c>
      <c r="M36" s="891">
        <v>0</v>
      </c>
      <c r="N36" s="891">
        <v>0</v>
      </c>
      <c r="O36" s="891">
        <v>240</v>
      </c>
      <c r="P36" s="891">
        <v>55520</v>
      </c>
      <c r="R36" s="969"/>
    </row>
    <row r="37" spans="1:18">
      <c r="A37" s="889" t="s">
        <v>1015</v>
      </c>
      <c r="B37" s="889" t="s">
        <v>547</v>
      </c>
      <c r="C37" s="891">
        <v>0</v>
      </c>
      <c r="D37" s="891">
        <v>0</v>
      </c>
      <c r="E37" s="891">
        <v>162</v>
      </c>
      <c r="F37" s="891">
        <v>30416</v>
      </c>
      <c r="I37" s="935">
        <f t="shared" si="0"/>
        <v>0</v>
      </c>
      <c r="J37" s="936">
        <f t="shared" si="1"/>
        <v>0</v>
      </c>
      <c r="K37" s="945" t="s">
        <v>836</v>
      </c>
      <c r="L37" s="850" t="s">
        <v>547</v>
      </c>
      <c r="M37" s="891">
        <v>0</v>
      </c>
      <c r="N37" s="891">
        <v>0</v>
      </c>
      <c r="O37" s="891">
        <v>162</v>
      </c>
      <c r="P37" s="891">
        <v>30416</v>
      </c>
      <c r="R37" s="969"/>
    </row>
    <row r="38" spans="1:18">
      <c r="A38" s="889" t="s">
        <v>680</v>
      </c>
      <c r="B38" s="889" t="s">
        <v>547</v>
      </c>
      <c r="C38" s="891">
        <v>0</v>
      </c>
      <c r="D38" s="891">
        <v>0</v>
      </c>
      <c r="E38" s="891">
        <v>220</v>
      </c>
      <c r="F38" s="891">
        <v>52976</v>
      </c>
      <c r="I38" s="935">
        <f t="shared" si="0"/>
        <v>0</v>
      </c>
      <c r="J38" s="936">
        <f t="shared" si="1"/>
        <v>4.9511524234088968E-3</v>
      </c>
      <c r="K38" s="958" t="s">
        <v>680</v>
      </c>
      <c r="L38" s="850" t="s">
        <v>547</v>
      </c>
      <c r="M38" s="891">
        <v>0</v>
      </c>
      <c r="N38" s="891">
        <v>0</v>
      </c>
      <c r="O38" s="891">
        <v>220</v>
      </c>
      <c r="P38" s="891">
        <v>52715</v>
      </c>
      <c r="R38" s="969"/>
    </row>
    <row r="39" spans="1:18">
      <c r="A39" s="889" t="s">
        <v>992</v>
      </c>
      <c r="B39" s="889" t="s">
        <v>546</v>
      </c>
      <c r="C39" s="891">
        <v>0</v>
      </c>
      <c r="D39" s="891">
        <v>0</v>
      </c>
      <c r="E39" s="891">
        <v>154</v>
      </c>
      <c r="F39" s="891">
        <v>25151</v>
      </c>
      <c r="I39" s="935">
        <f t="shared" si="0"/>
        <v>0</v>
      </c>
      <c r="J39" s="936">
        <f t="shared" si="1"/>
        <v>1.7888218867619085E-2</v>
      </c>
      <c r="K39" s="958" t="s">
        <v>681</v>
      </c>
      <c r="L39" s="850" t="s">
        <v>546</v>
      </c>
      <c r="M39" s="891">
        <v>0</v>
      </c>
      <c r="N39" s="891">
        <v>0</v>
      </c>
      <c r="O39" s="891">
        <v>154</v>
      </c>
      <c r="P39" s="891">
        <v>24709</v>
      </c>
      <c r="R39" s="969"/>
    </row>
    <row r="40" spans="1:18">
      <c r="A40" s="889" t="s">
        <v>261</v>
      </c>
      <c r="B40" s="889" t="s">
        <v>546</v>
      </c>
      <c r="C40" s="891">
        <v>0</v>
      </c>
      <c r="D40" s="891">
        <v>0</v>
      </c>
      <c r="E40" s="891">
        <v>210</v>
      </c>
      <c r="F40" s="891">
        <v>41617</v>
      </c>
      <c r="I40" s="935">
        <f t="shared" si="0"/>
        <v>0</v>
      </c>
      <c r="J40" s="936">
        <f t="shared" si="1"/>
        <v>2.1827735219013947E-2</v>
      </c>
      <c r="K40" s="945" t="s">
        <v>261</v>
      </c>
      <c r="L40" s="850" t="s">
        <v>546</v>
      </c>
      <c r="M40" s="891">
        <v>0</v>
      </c>
      <c r="N40" s="891">
        <v>0</v>
      </c>
      <c r="O40" s="891">
        <v>210</v>
      </c>
      <c r="P40" s="891">
        <v>40728</v>
      </c>
      <c r="R40" s="969"/>
    </row>
    <row r="41" spans="1:18">
      <c r="A41" s="889" t="s">
        <v>1001</v>
      </c>
      <c r="B41" s="889" t="s">
        <v>258</v>
      </c>
      <c r="C41" s="891">
        <v>0</v>
      </c>
      <c r="D41" s="891">
        <v>0</v>
      </c>
      <c r="E41" s="891">
        <v>190</v>
      </c>
      <c r="F41" s="891">
        <v>33678</v>
      </c>
      <c r="I41" s="935">
        <f t="shared" si="0"/>
        <v>0</v>
      </c>
      <c r="J41" s="936">
        <f t="shared" si="1"/>
        <v>3.3130866924351188E-2</v>
      </c>
      <c r="K41" s="945" t="s">
        <v>638</v>
      </c>
      <c r="L41" s="850" t="s">
        <v>258</v>
      </c>
      <c r="M41" s="891">
        <v>0</v>
      </c>
      <c r="N41" s="891">
        <v>0</v>
      </c>
      <c r="O41" s="891">
        <v>190</v>
      </c>
      <c r="P41" s="891">
        <v>32598</v>
      </c>
      <c r="R41" s="969"/>
    </row>
    <row r="42" spans="1:18">
      <c r="A42" s="889" t="s">
        <v>407</v>
      </c>
      <c r="B42" s="889" t="s">
        <v>547</v>
      </c>
      <c r="C42" s="891">
        <v>0</v>
      </c>
      <c r="D42" s="891">
        <v>0</v>
      </c>
      <c r="E42" s="891">
        <v>200</v>
      </c>
      <c r="F42" s="891">
        <v>50407</v>
      </c>
      <c r="I42" s="935">
        <f t="shared" si="0"/>
        <v>0</v>
      </c>
      <c r="J42" s="936">
        <f t="shared" si="1"/>
        <v>3.5497853283756854E-2</v>
      </c>
      <c r="K42" s="958" t="s">
        <v>407</v>
      </c>
      <c r="L42" s="850" t="s">
        <v>547</v>
      </c>
      <c r="M42" s="891">
        <v>0</v>
      </c>
      <c r="N42" s="891">
        <v>0</v>
      </c>
      <c r="O42" s="891">
        <v>200</v>
      </c>
      <c r="P42" s="891">
        <v>48679</v>
      </c>
      <c r="R42" s="969"/>
    </row>
    <row r="43" spans="1:18">
      <c r="A43" s="889" t="s">
        <v>991</v>
      </c>
      <c r="B43" s="889" t="s">
        <v>618</v>
      </c>
      <c r="C43" s="891">
        <v>0</v>
      </c>
      <c r="D43" s="891">
        <v>0</v>
      </c>
      <c r="E43" s="891">
        <v>300</v>
      </c>
      <c r="F43" s="891">
        <v>142364</v>
      </c>
      <c r="I43" s="935">
        <f t="shared" si="0"/>
        <v>0</v>
      </c>
      <c r="J43" s="936">
        <f t="shared" si="1"/>
        <v>4.1449033636190728E-2</v>
      </c>
      <c r="K43" s="958" t="s">
        <v>620</v>
      </c>
      <c r="L43" s="850" t="s">
        <v>618</v>
      </c>
      <c r="M43" s="891">
        <v>0</v>
      </c>
      <c r="N43" s="891">
        <v>0</v>
      </c>
      <c r="O43" s="891">
        <v>300</v>
      </c>
      <c r="P43" s="891">
        <v>136698</v>
      </c>
      <c r="R43" s="969"/>
    </row>
    <row r="44" spans="1:18">
      <c r="A44" s="889" t="s">
        <v>1023</v>
      </c>
      <c r="B44" s="889" t="s">
        <v>547</v>
      </c>
      <c r="C44" s="891">
        <v>0</v>
      </c>
      <c r="D44" s="891">
        <v>0</v>
      </c>
      <c r="E44" s="891">
        <v>495</v>
      </c>
      <c r="F44" s="891">
        <v>64420</v>
      </c>
      <c r="I44" s="935">
        <f t="shared" si="0"/>
        <v>0</v>
      </c>
      <c r="J44" s="936">
        <f t="shared" si="1"/>
        <v>5.0742957803911332E-2</v>
      </c>
      <c r="K44" s="945" t="s">
        <v>725</v>
      </c>
      <c r="L44" s="850" t="s">
        <v>547</v>
      </c>
      <c r="M44" s="891">
        <v>0</v>
      </c>
      <c r="N44" s="891">
        <v>0</v>
      </c>
      <c r="O44" s="891">
        <v>495</v>
      </c>
      <c r="P44" s="891">
        <v>61309</v>
      </c>
      <c r="R44" s="969"/>
    </row>
    <row r="45" spans="1:18">
      <c r="A45" s="889" t="s">
        <v>686</v>
      </c>
      <c r="B45" s="889" t="s">
        <v>547</v>
      </c>
      <c r="C45" s="891">
        <v>0</v>
      </c>
      <c r="D45" s="891">
        <v>0</v>
      </c>
      <c r="E45" s="891">
        <v>240</v>
      </c>
      <c r="F45" s="891">
        <v>44170</v>
      </c>
      <c r="I45" s="935">
        <f t="shared" si="0"/>
        <v>0</v>
      </c>
      <c r="J45" s="936">
        <f t="shared" si="1"/>
        <v>5.1666666666666666E-2</v>
      </c>
      <c r="K45" s="958" t="s">
        <v>686</v>
      </c>
      <c r="L45" s="850" t="s">
        <v>547</v>
      </c>
      <c r="M45" s="891">
        <v>0</v>
      </c>
      <c r="N45" s="891">
        <v>0</v>
      </c>
      <c r="O45" s="891">
        <v>240</v>
      </c>
      <c r="P45" s="891">
        <v>42000</v>
      </c>
      <c r="R45" s="969"/>
    </row>
    <row r="46" spans="1:18" ht="14.25" customHeight="1">
      <c r="A46" s="889" t="s">
        <v>1028</v>
      </c>
      <c r="B46" s="889" t="s">
        <v>546</v>
      </c>
      <c r="C46" s="891">
        <v>0</v>
      </c>
      <c r="D46" s="891">
        <v>0</v>
      </c>
      <c r="E46" s="891">
        <v>466</v>
      </c>
      <c r="F46" s="891">
        <v>61330</v>
      </c>
      <c r="I46" s="935">
        <f t="shared" si="0"/>
        <v>0</v>
      </c>
      <c r="J46" s="936">
        <f t="shared" si="1"/>
        <v>6.7945949710942394E-2</v>
      </c>
      <c r="K46" s="945" t="s">
        <v>642</v>
      </c>
      <c r="L46" s="850" t="s">
        <v>546</v>
      </c>
      <c r="M46" s="891">
        <v>0</v>
      </c>
      <c r="N46" s="891">
        <v>0</v>
      </c>
      <c r="O46" s="891">
        <v>466</v>
      </c>
      <c r="P46" s="891">
        <v>57428</v>
      </c>
      <c r="R46" s="969"/>
    </row>
    <row r="47" spans="1:18">
      <c r="A47" s="889" t="s">
        <v>687</v>
      </c>
      <c r="B47" s="889" t="s">
        <v>264</v>
      </c>
      <c r="C47" s="891">
        <v>0</v>
      </c>
      <c r="D47" s="891">
        <v>0</v>
      </c>
      <c r="E47" s="891">
        <v>165</v>
      </c>
      <c r="F47" s="891">
        <v>62397</v>
      </c>
      <c r="I47" s="935">
        <f t="shared" si="0"/>
        <v>0</v>
      </c>
      <c r="J47" s="936">
        <f t="shared" si="1"/>
        <v>7.9346133886870784E-2</v>
      </c>
      <c r="K47" s="958" t="s">
        <v>687</v>
      </c>
      <c r="L47" s="850" t="s">
        <v>264</v>
      </c>
      <c r="M47" s="891">
        <v>0</v>
      </c>
      <c r="N47" s="891">
        <v>0</v>
      </c>
      <c r="O47" s="891">
        <v>165</v>
      </c>
      <c r="P47" s="891">
        <v>57810</v>
      </c>
      <c r="R47" s="969"/>
    </row>
    <row r="48" spans="1:18">
      <c r="A48" s="889" t="s">
        <v>958</v>
      </c>
      <c r="B48" s="889" t="s">
        <v>546</v>
      </c>
      <c r="C48" s="891">
        <v>0</v>
      </c>
      <c r="D48" s="891">
        <v>0</v>
      </c>
      <c r="E48" s="891">
        <v>400</v>
      </c>
      <c r="F48" s="891">
        <v>90005</v>
      </c>
      <c r="I48" s="935">
        <f t="shared" si="0"/>
        <v>0</v>
      </c>
      <c r="J48" s="936">
        <f t="shared" si="1"/>
        <v>9.1644531771155502E-2</v>
      </c>
      <c r="K48" s="945" t="s">
        <v>958</v>
      </c>
      <c r="L48" s="850" t="s">
        <v>546</v>
      </c>
      <c r="M48" s="891">
        <v>0</v>
      </c>
      <c r="N48" s="891">
        <v>0</v>
      </c>
      <c r="O48" s="891">
        <v>400</v>
      </c>
      <c r="P48" s="891">
        <v>82449</v>
      </c>
      <c r="R48" s="969" t="s">
        <v>1093</v>
      </c>
    </row>
    <row r="49" spans="1:18">
      <c r="A49" s="889" t="s">
        <v>711</v>
      </c>
      <c r="B49" s="889" t="s">
        <v>546</v>
      </c>
      <c r="C49" s="891">
        <v>0</v>
      </c>
      <c r="D49" s="891">
        <v>0</v>
      </c>
      <c r="E49" s="891">
        <v>65</v>
      </c>
      <c r="F49" s="891">
        <v>15042</v>
      </c>
      <c r="I49" s="935">
        <f t="shared" si="0"/>
        <v>0</v>
      </c>
      <c r="J49" s="936">
        <f t="shared" si="1"/>
        <v>0.10513555212695613</v>
      </c>
      <c r="K49" s="945" t="s">
        <v>711</v>
      </c>
      <c r="L49" s="850" t="s">
        <v>546</v>
      </c>
      <c r="M49" s="891">
        <v>0</v>
      </c>
      <c r="N49" s="891">
        <v>0</v>
      </c>
      <c r="O49" s="891">
        <v>65</v>
      </c>
      <c r="P49" s="891">
        <v>13611</v>
      </c>
      <c r="R49" s="969" t="s">
        <v>1094</v>
      </c>
    </row>
    <row r="50" spans="1:18">
      <c r="A50" s="889"/>
      <c r="B50" s="889"/>
      <c r="C50" s="891"/>
      <c r="D50" s="891"/>
      <c r="E50" s="944"/>
      <c r="F50" s="944"/>
      <c r="I50" s="936"/>
      <c r="J50" s="936"/>
      <c r="K50" s="945"/>
      <c r="L50" s="850"/>
      <c r="M50" s="891"/>
      <c r="N50" s="891"/>
      <c r="O50" s="890"/>
      <c r="P50" s="946"/>
      <c r="R50" s="969"/>
    </row>
    <row r="51" spans="1:18" ht="13.8" thickBot="1">
      <c r="A51" s="947" t="s">
        <v>1063</v>
      </c>
      <c r="B51" s="947"/>
      <c r="C51" s="948"/>
      <c r="D51" s="948"/>
      <c r="E51" s="949"/>
      <c r="F51" s="949"/>
      <c r="G51" s="950"/>
      <c r="H51" s="951"/>
      <c r="I51" s="951"/>
      <c r="J51" s="951"/>
      <c r="K51" s="952"/>
      <c r="L51" s="953"/>
      <c r="M51" s="948"/>
      <c r="N51" s="948"/>
      <c r="O51" s="954"/>
      <c r="P51" s="955"/>
      <c r="Q51" s="934" t="s">
        <v>1070</v>
      </c>
      <c r="R51" s="969"/>
    </row>
    <row r="52" spans="1:18">
      <c r="A52" s="889" t="s">
        <v>1005</v>
      </c>
      <c r="B52" s="889" t="s">
        <v>546</v>
      </c>
      <c r="C52" s="891">
        <v>2000</v>
      </c>
      <c r="D52" s="891">
        <v>16317</v>
      </c>
      <c r="E52" s="891">
        <v>0</v>
      </c>
      <c r="F52" s="891">
        <v>0</v>
      </c>
      <c r="G52" s="962">
        <f t="shared" ref="G52:G74" si="2">C52-M52</f>
        <v>1800</v>
      </c>
      <c r="H52" s="936">
        <f t="shared" ref="H52:H74" si="3">(D52-N52)/N52</f>
        <v>-1.3363163623170879E-2</v>
      </c>
      <c r="J52" s="936"/>
      <c r="K52" s="958" t="s">
        <v>699</v>
      </c>
      <c r="L52" s="850" t="s">
        <v>546</v>
      </c>
      <c r="M52" s="891">
        <v>200</v>
      </c>
      <c r="N52" s="891">
        <v>16538</v>
      </c>
      <c r="O52" s="891">
        <v>0</v>
      </c>
      <c r="P52" s="891">
        <v>0</v>
      </c>
      <c r="Q52" s="937" t="s">
        <v>1058</v>
      </c>
      <c r="R52" s="969" t="s">
        <v>1058</v>
      </c>
    </row>
    <row r="53" spans="1:18">
      <c r="A53" s="889" t="s">
        <v>713</v>
      </c>
      <c r="B53" s="889" t="s">
        <v>546</v>
      </c>
      <c r="C53" s="891">
        <v>130</v>
      </c>
      <c r="D53" s="891">
        <v>14145</v>
      </c>
      <c r="E53" s="891">
        <v>0</v>
      </c>
      <c r="F53" s="891">
        <v>0</v>
      </c>
      <c r="G53" s="935">
        <f t="shared" si="2"/>
        <v>0</v>
      </c>
      <c r="H53" s="957">
        <f t="shared" si="3"/>
        <v>-0.14732654168424861</v>
      </c>
      <c r="J53" s="936"/>
      <c r="K53" s="945" t="s">
        <v>713</v>
      </c>
      <c r="L53" s="850" t="s">
        <v>546</v>
      </c>
      <c r="M53" s="891">
        <v>130</v>
      </c>
      <c r="N53" s="891">
        <v>16589</v>
      </c>
      <c r="O53" s="891">
        <v>0</v>
      </c>
      <c r="P53" s="891">
        <v>0</v>
      </c>
      <c r="Q53" s="937" t="s">
        <v>1066</v>
      </c>
      <c r="R53" s="969" t="s">
        <v>1095</v>
      </c>
    </row>
    <row r="54" spans="1:18">
      <c r="A54" s="970" t="s">
        <v>683</v>
      </c>
      <c r="B54" s="889" t="s">
        <v>547</v>
      </c>
      <c r="C54" s="891">
        <v>92</v>
      </c>
      <c r="D54" s="891">
        <v>27980</v>
      </c>
      <c r="E54" s="891">
        <v>0</v>
      </c>
      <c r="F54" s="891">
        <v>0</v>
      </c>
      <c r="G54" s="956">
        <f t="shared" si="2"/>
        <v>-58</v>
      </c>
      <c r="H54" s="959">
        <f t="shared" si="3"/>
        <v>6.1658129387213052E-2</v>
      </c>
      <c r="J54" s="936"/>
      <c r="K54" s="958" t="s">
        <v>683</v>
      </c>
      <c r="L54" s="850" t="s">
        <v>547</v>
      </c>
      <c r="M54" s="891">
        <v>150</v>
      </c>
      <c r="N54" s="891">
        <v>26355</v>
      </c>
      <c r="O54" s="891">
        <v>0</v>
      </c>
      <c r="P54" s="891">
        <v>0</v>
      </c>
      <c r="Q54" s="937" t="s">
        <v>1060</v>
      </c>
      <c r="R54" s="969" t="s">
        <v>1096</v>
      </c>
    </row>
    <row r="55" spans="1:18">
      <c r="A55" s="970" t="s">
        <v>922</v>
      </c>
      <c r="B55" s="889" t="s">
        <v>547</v>
      </c>
      <c r="C55" s="891">
        <v>120</v>
      </c>
      <c r="D55" s="891">
        <v>29314</v>
      </c>
      <c r="E55" s="891">
        <v>0</v>
      </c>
      <c r="F55" s="891">
        <v>0</v>
      </c>
      <c r="G55" s="956">
        <f t="shared" si="2"/>
        <v>120</v>
      </c>
      <c r="H55" s="959">
        <f t="shared" si="3"/>
        <v>-3.1582424843078959E-2</v>
      </c>
      <c r="J55" s="936"/>
      <c r="K55" s="958" t="s">
        <v>922</v>
      </c>
      <c r="L55" s="850" t="s">
        <v>547</v>
      </c>
      <c r="M55" s="891">
        <v>0</v>
      </c>
      <c r="N55" s="891">
        <v>30270</v>
      </c>
      <c r="O55" s="891">
        <v>0</v>
      </c>
      <c r="P55" s="891">
        <v>0</v>
      </c>
      <c r="Q55" s="937" t="s">
        <v>1057</v>
      </c>
      <c r="R55" s="969" t="s">
        <v>1097</v>
      </c>
    </row>
    <row r="56" spans="1:18">
      <c r="A56" s="970" t="s">
        <v>726</v>
      </c>
      <c r="B56" s="889" t="s">
        <v>546</v>
      </c>
      <c r="C56" s="891">
        <v>211</v>
      </c>
      <c r="D56" s="891">
        <v>17748</v>
      </c>
      <c r="E56" s="891">
        <v>0</v>
      </c>
      <c r="F56" s="891">
        <v>0</v>
      </c>
      <c r="G56" s="956">
        <f t="shared" si="2"/>
        <v>70</v>
      </c>
      <c r="H56" s="957">
        <f t="shared" si="3"/>
        <v>0.18501702610669693</v>
      </c>
      <c r="J56" s="936"/>
      <c r="K56" s="945" t="s">
        <v>726</v>
      </c>
      <c r="L56" s="850" t="s">
        <v>546</v>
      </c>
      <c r="M56" s="891">
        <v>141</v>
      </c>
      <c r="N56" s="891">
        <v>14977</v>
      </c>
      <c r="O56" s="891">
        <v>0</v>
      </c>
      <c r="P56" s="891">
        <v>0</v>
      </c>
      <c r="Q56" s="937" t="s">
        <v>1068</v>
      </c>
      <c r="R56" s="969" t="s">
        <v>1098</v>
      </c>
    </row>
    <row r="57" spans="1:18">
      <c r="A57" s="970" t="s">
        <v>689</v>
      </c>
      <c r="B57" s="889" t="s">
        <v>547</v>
      </c>
      <c r="C57" s="891">
        <v>105</v>
      </c>
      <c r="D57" s="891">
        <v>0</v>
      </c>
      <c r="E57" s="891">
        <v>0</v>
      </c>
      <c r="F57" s="891">
        <v>0</v>
      </c>
      <c r="G57" s="956">
        <f t="shared" si="2"/>
        <v>-98</v>
      </c>
      <c r="H57" s="957">
        <f t="shared" si="3"/>
        <v>-1</v>
      </c>
      <c r="J57" s="936"/>
      <c r="K57" s="958" t="s">
        <v>689</v>
      </c>
      <c r="L57" s="850" t="s">
        <v>547</v>
      </c>
      <c r="M57" s="891">
        <v>203</v>
      </c>
      <c r="N57" s="891">
        <v>16124</v>
      </c>
      <c r="O57" s="891">
        <v>0</v>
      </c>
      <c r="P57" s="891">
        <v>0</v>
      </c>
      <c r="Q57" s="937" t="s">
        <v>1068</v>
      </c>
      <c r="R57" s="969" t="s">
        <v>1119</v>
      </c>
    </row>
    <row r="58" spans="1:18">
      <c r="A58" s="971" t="s">
        <v>692</v>
      </c>
      <c r="B58" s="975" t="s">
        <v>547</v>
      </c>
      <c r="C58" s="891">
        <v>103</v>
      </c>
      <c r="D58" s="891">
        <v>32459</v>
      </c>
      <c r="E58" s="891">
        <v>0</v>
      </c>
      <c r="F58" s="891">
        <v>0</v>
      </c>
      <c r="G58" s="935">
        <f t="shared" si="2"/>
        <v>0</v>
      </c>
      <c r="H58" s="957">
        <f t="shared" si="3"/>
        <v>0.15553577785688857</v>
      </c>
      <c r="J58" s="936"/>
      <c r="K58" s="958" t="s">
        <v>692</v>
      </c>
      <c r="L58" s="850" t="s">
        <v>547</v>
      </c>
      <c r="M58" s="891">
        <v>103</v>
      </c>
      <c r="N58" s="891">
        <v>28090</v>
      </c>
      <c r="O58" s="891">
        <v>0</v>
      </c>
      <c r="P58" s="891">
        <v>0</v>
      </c>
      <c r="Q58" s="937" t="s">
        <v>1066</v>
      </c>
      <c r="R58" s="967" t="s">
        <v>1099</v>
      </c>
    </row>
    <row r="59" spans="1:18">
      <c r="A59" s="970" t="s">
        <v>679</v>
      </c>
      <c r="B59" s="889" t="s">
        <v>618</v>
      </c>
      <c r="C59" s="891">
        <v>80</v>
      </c>
      <c r="D59" s="891">
        <v>13500</v>
      </c>
      <c r="E59" s="891">
        <v>0</v>
      </c>
      <c r="F59" s="891">
        <v>0</v>
      </c>
      <c r="G59" s="935">
        <f t="shared" si="2"/>
        <v>0</v>
      </c>
      <c r="H59" s="957">
        <f t="shared" si="3"/>
        <v>0.24988426997500232</v>
      </c>
      <c r="J59" s="936"/>
      <c r="K59" s="945" t="s">
        <v>551</v>
      </c>
      <c r="L59" s="850" t="s">
        <v>618</v>
      </c>
      <c r="M59" s="891">
        <v>80</v>
      </c>
      <c r="N59" s="891">
        <v>10801</v>
      </c>
      <c r="O59" s="891">
        <v>0</v>
      </c>
      <c r="P59" s="891">
        <v>0</v>
      </c>
      <c r="Q59" s="937" t="s">
        <v>1066</v>
      </c>
      <c r="R59" s="969" t="s">
        <v>1100</v>
      </c>
    </row>
    <row r="60" spans="1:18">
      <c r="A60" s="971" t="s">
        <v>999</v>
      </c>
      <c r="B60" s="975" t="s">
        <v>546</v>
      </c>
      <c r="C60" s="891">
        <v>135</v>
      </c>
      <c r="D60" s="891">
        <v>18364</v>
      </c>
      <c r="E60" s="891">
        <v>0</v>
      </c>
      <c r="F60" s="891">
        <v>0</v>
      </c>
      <c r="G60" s="935">
        <f t="shared" si="2"/>
        <v>0</v>
      </c>
      <c r="H60" s="957">
        <f t="shared" si="3"/>
        <v>0.38429066787275745</v>
      </c>
      <c r="J60" s="936"/>
      <c r="K60" s="945" t="s">
        <v>842</v>
      </c>
      <c r="L60" s="850" t="s">
        <v>546</v>
      </c>
      <c r="M60" s="891">
        <v>135</v>
      </c>
      <c r="N60" s="891">
        <v>13266</v>
      </c>
      <c r="O60" s="891">
        <v>0</v>
      </c>
      <c r="P60" s="891">
        <v>0</v>
      </c>
      <c r="Q60" s="937" t="s">
        <v>1066</v>
      </c>
      <c r="R60" s="967" t="s">
        <v>1101</v>
      </c>
    </row>
    <row r="61" spans="1:18">
      <c r="A61" s="970" t="s">
        <v>694</v>
      </c>
      <c r="B61" s="889" t="s">
        <v>547</v>
      </c>
      <c r="C61" s="891">
        <v>200</v>
      </c>
      <c r="D61" s="891">
        <v>15352</v>
      </c>
      <c r="E61" s="891">
        <v>0</v>
      </c>
      <c r="F61" s="891">
        <v>0</v>
      </c>
      <c r="G61" s="956">
        <f t="shared" si="2"/>
        <v>117</v>
      </c>
      <c r="H61" s="957">
        <f t="shared" si="3"/>
        <v>0.16241387143181646</v>
      </c>
      <c r="J61" s="936"/>
      <c r="K61" s="958" t="s">
        <v>694</v>
      </c>
      <c r="L61" s="850" t="s">
        <v>547</v>
      </c>
      <c r="M61" s="891">
        <v>83</v>
      </c>
      <c r="N61" s="891">
        <v>13207</v>
      </c>
      <c r="O61" s="891">
        <v>0</v>
      </c>
      <c r="P61" s="891">
        <v>0</v>
      </c>
      <c r="Q61" s="937" t="s">
        <v>1068</v>
      </c>
      <c r="R61" s="969" t="s">
        <v>1102</v>
      </c>
    </row>
    <row r="62" spans="1:18">
      <c r="A62" s="970" t="s">
        <v>695</v>
      </c>
      <c r="B62" s="889" t="s">
        <v>264</v>
      </c>
      <c r="C62" s="891">
        <v>122</v>
      </c>
      <c r="D62" s="891">
        <v>22896</v>
      </c>
      <c r="E62" s="891">
        <v>0</v>
      </c>
      <c r="F62" s="891">
        <v>0</v>
      </c>
      <c r="G62" s="956">
        <f t="shared" si="2"/>
        <v>-38</v>
      </c>
      <c r="H62" s="957">
        <f t="shared" si="3"/>
        <v>-0.17199479242007812</v>
      </c>
      <c r="J62" s="936"/>
      <c r="K62" s="958" t="s">
        <v>695</v>
      </c>
      <c r="L62" s="850" t="s">
        <v>264</v>
      </c>
      <c r="M62" s="891">
        <v>160</v>
      </c>
      <c r="N62" s="891">
        <v>27652</v>
      </c>
      <c r="O62" s="891">
        <v>0</v>
      </c>
      <c r="P62" s="891">
        <v>0</v>
      </c>
      <c r="Q62" s="937" t="s">
        <v>1069</v>
      </c>
      <c r="R62" s="969" t="s">
        <v>1103</v>
      </c>
    </row>
    <row r="63" spans="1:18">
      <c r="A63" s="970" t="s">
        <v>1009</v>
      </c>
      <c r="B63" s="889" t="s">
        <v>618</v>
      </c>
      <c r="C63" s="891">
        <v>300</v>
      </c>
      <c r="D63" s="891">
        <v>0</v>
      </c>
      <c r="E63" s="891">
        <v>0</v>
      </c>
      <c r="F63" s="891">
        <v>0</v>
      </c>
      <c r="G63" s="956">
        <f t="shared" si="2"/>
        <v>208</v>
      </c>
      <c r="H63" s="957">
        <f t="shared" si="3"/>
        <v>-1</v>
      </c>
      <c r="J63" s="936"/>
      <c r="K63" s="958" t="s">
        <v>930</v>
      </c>
      <c r="L63" s="850" t="s">
        <v>618</v>
      </c>
      <c r="M63" s="891">
        <v>92</v>
      </c>
      <c r="N63" s="891">
        <v>30000</v>
      </c>
      <c r="O63" s="891">
        <v>0</v>
      </c>
      <c r="P63" s="891">
        <v>0</v>
      </c>
      <c r="Q63" s="937" t="s">
        <v>1061</v>
      </c>
      <c r="R63" s="969" t="s">
        <v>1104</v>
      </c>
    </row>
    <row r="64" spans="1:18">
      <c r="A64" s="889" t="s">
        <v>557</v>
      </c>
      <c r="B64" s="889" t="s">
        <v>618</v>
      </c>
      <c r="C64" s="891">
        <v>14</v>
      </c>
      <c r="D64" s="891">
        <v>22947</v>
      </c>
      <c r="E64" s="891">
        <v>0</v>
      </c>
      <c r="F64" s="891">
        <v>0</v>
      </c>
      <c r="G64" s="956">
        <f t="shared" si="2"/>
        <v>-166</v>
      </c>
      <c r="H64" s="936">
        <f t="shared" si="3"/>
        <v>-4.0115452187735295E-2</v>
      </c>
      <c r="J64" s="936"/>
      <c r="K64" s="945" t="s">
        <v>557</v>
      </c>
      <c r="L64" s="850" t="s">
        <v>618</v>
      </c>
      <c r="M64" s="891">
        <v>180</v>
      </c>
      <c r="N64" s="891">
        <v>23906</v>
      </c>
      <c r="O64" s="891">
        <v>0</v>
      </c>
      <c r="P64" s="891">
        <v>0</v>
      </c>
      <c r="Q64" s="937" t="s">
        <v>1061</v>
      </c>
      <c r="R64" s="969" t="s">
        <v>1105</v>
      </c>
    </row>
    <row r="65" spans="1:18">
      <c r="A65" s="889" t="s">
        <v>627</v>
      </c>
      <c r="B65" s="889" t="s">
        <v>258</v>
      </c>
      <c r="C65" s="891">
        <v>126</v>
      </c>
      <c r="D65" s="891">
        <v>13504</v>
      </c>
      <c r="E65" s="891">
        <v>0</v>
      </c>
      <c r="F65" s="891">
        <v>0</v>
      </c>
      <c r="G65" s="935">
        <f t="shared" si="2"/>
        <v>0</v>
      </c>
      <c r="H65" s="957">
        <f t="shared" si="3"/>
        <v>-0.36627715988549442</v>
      </c>
      <c r="J65" s="936"/>
      <c r="K65" s="958" t="s">
        <v>627</v>
      </c>
      <c r="L65" s="850" t="s">
        <v>258</v>
      </c>
      <c r="M65" s="891">
        <v>126</v>
      </c>
      <c r="N65" s="891">
        <v>21309</v>
      </c>
      <c r="O65" s="891">
        <v>0</v>
      </c>
      <c r="P65" s="891">
        <v>0</v>
      </c>
      <c r="Q65" s="937" t="s">
        <v>1066</v>
      </c>
      <c r="R65" s="969" t="s">
        <v>1106</v>
      </c>
    </row>
    <row r="66" spans="1:18">
      <c r="A66" s="889" t="s">
        <v>626</v>
      </c>
      <c r="B66" s="889" t="s">
        <v>264</v>
      </c>
      <c r="C66" s="891">
        <v>62</v>
      </c>
      <c r="D66" s="891">
        <v>35006</v>
      </c>
      <c r="E66" s="891">
        <v>0</v>
      </c>
      <c r="F66" s="891">
        <v>0</v>
      </c>
      <c r="G66" s="956">
        <f t="shared" si="2"/>
        <v>-106</v>
      </c>
      <c r="H66" s="957">
        <f t="shared" si="3"/>
        <v>0.23456180567801094</v>
      </c>
      <c r="J66" s="936"/>
      <c r="K66" s="958" t="s">
        <v>626</v>
      </c>
      <c r="L66" s="850" t="s">
        <v>264</v>
      </c>
      <c r="M66" s="891">
        <v>168</v>
      </c>
      <c r="N66" s="891">
        <v>28355</v>
      </c>
      <c r="O66" s="891">
        <v>0</v>
      </c>
      <c r="P66" s="891">
        <v>0</v>
      </c>
      <c r="Q66" s="937" t="s">
        <v>1067</v>
      </c>
      <c r="R66" s="969" t="s">
        <v>1107</v>
      </c>
    </row>
    <row r="67" spans="1:18">
      <c r="A67" s="889" t="s">
        <v>1011</v>
      </c>
      <c r="B67" s="889" t="s">
        <v>264</v>
      </c>
      <c r="C67" s="891">
        <v>134</v>
      </c>
      <c r="D67" s="891">
        <v>28154</v>
      </c>
      <c r="E67" s="891">
        <v>0</v>
      </c>
      <c r="F67" s="891">
        <v>0</v>
      </c>
      <c r="G67" s="935">
        <f t="shared" si="2"/>
        <v>0</v>
      </c>
      <c r="H67" s="957">
        <f t="shared" si="3"/>
        <v>-0.3648423047421378</v>
      </c>
      <c r="J67" s="936"/>
      <c r="K67" s="945" t="s">
        <v>705</v>
      </c>
      <c r="L67" s="850" t="s">
        <v>264</v>
      </c>
      <c r="M67" s="891">
        <v>134</v>
      </c>
      <c r="N67" s="891">
        <v>44326</v>
      </c>
      <c r="O67" s="891">
        <v>0</v>
      </c>
      <c r="P67" s="891">
        <v>0</v>
      </c>
      <c r="Q67" s="937" t="s">
        <v>1066</v>
      </c>
      <c r="R67" s="969" t="s">
        <v>1108</v>
      </c>
    </row>
    <row r="68" spans="1:18">
      <c r="A68" s="889" t="s">
        <v>558</v>
      </c>
      <c r="B68" s="889" t="s">
        <v>546</v>
      </c>
      <c r="C68" s="891">
        <v>18</v>
      </c>
      <c r="D68" s="891">
        <v>5151</v>
      </c>
      <c r="E68" s="891">
        <v>0</v>
      </c>
      <c r="F68" s="891">
        <v>0</v>
      </c>
      <c r="G68" s="962">
        <f t="shared" si="2"/>
        <v>18</v>
      </c>
      <c r="H68" s="963" t="e">
        <f t="shared" si="3"/>
        <v>#DIV/0!</v>
      </c>
      <c r="J68" s="936"/>
      <c r="K68" s="945" t="s">
        <v>558</v>
      </c>
      <c r="L68" s="850" t="s">
        <v>546</v>
      </c>
      <c r="M68" s="891">
        <v>0</v>
      </c>
      <c r="N68" s="891">
        <v>0</v>
      </c>
      <c r="O68" s="891">
        <v>0</v>
      </c>
      <c r="P68" s="891">
        <v>0</v>
      </c>
      <c r="Q68" s="937" t="s">
        <v>1078</v>
      </c>
      <c r="R68" s="969" t="s">
        <v>1109</v>
      </c>
    </row>
    <row r="69" spans="1:18">
      <c r="A69" s="889" t="s">
        <v>925</v>
      </c>
      <c r="B69" s="889" t="s">
        <v>618</v>
      </c>
      <c r="C69" s="891">
        <v>129</v>
      </c>
      <c r="D69" s="891">
        <v>40101</v>
      </c>
      <c r="E69" s="891">
        <v>0</v>
      </c>
      <c r="F69" s="891">
        <v>0</v>
      </c>
      <c r="G69" s="935">
        <f t="shared" si="2"/>
        <v>0</v>
      </c>
      <c r="H69" s="957">
        <f t="shared" si="3"/>
        <v>-0.22511642287105563</v>
      </c>
      <c r="J69" s="936"/>
      <c r="K69" s="958" t="s">
        <v>925</v>
      </c>
      <c r="L69" s="850" t="s">
        <v>618</v>
      </c>
      <c r="M69" s="891">
        <v>129</v>
      </c>
      <c r="N69" s="891">
        <v>51751</v>
      </c>
      <c r="O69" s="891">
        <v>0</v>
      </c>
      <c r="P69" s="891">
        <v>0</v>
      </c>
      <c r="Q69" s="937" t="s">
        <v>1066</v>
      </c>
      <c r="R69" s="969" t="s">
        <v>1110</v>
      </c>
    </row>
    <row r="70" spans="1:18">
      <c r="A70" s="889" t="s">
        <v>998</v>
      </c>
      <c r="B70" s="889" t="s">
        <v>546</v>
      </c>
      <c r="C70" s="891">
        <v>24</v>
      </c>
      <c r="D70" s="891">
        <v>6213</v>
      </c>
      <c r="E70" s="891">
        <v>0</v>
      </c>
      <c r="F70" s="891">
        <v>0</v>
      </c>
      <c r="G70" s="962">
        <f t="shared" si="2"/>
        <v>24</v>
      </c>
      <c r="H70" s="963" t="e">
        <f t="shared" si="3"/>
        <v>#DIV/0!</v>
      </c>
      <c r="J70" s="936"/>
      <c r="K70" s="945" t="s">
        <v>918</v>
      </c>
      <c r="L70" s="850" t="s">
        <v>546</v>
      </c>
      <c r="M70" s="891">
        <v>0</v>
      </c>
      <c r="N70" s="891">
        <v>0</v>
      </c>
      <c r="O70" s="891">
        <v>0</v>
      </c>
      <c r="P70" s="891">
        <v>0</v>
      </c>
      <c r="Q70" s="937" t="s">
        <v>1078</v>
      </c>
      <c r="R70" s="969" t="s">
        <v>1109</v>
      </c>
    </row>
    <row r="71" spans="1:18">
      <c r="A71" s="889" t="s">
        <v>920</v>
      </c>
      <c r="B71" s="889" t="s">
        <v>618</v>
      </c>
      <c r="C71" s="891">
        <v>157</v>
      </c>
      <c r="D71" s="891">
        <v>27129</v>
      </c>
      <c r="E71" s="891">
        <v>0</v>
      </c>
      <c r="F71" s="891">
        <v>0</v>
      </c>
      <c r="G71" s="956">
        <f t="shared" si="2"/>
        <v>157</v>
      </c>
      <c r="H71" s="957" t="e">
        <f t="shared" si="3"/>
        <v>#DIV/0!</v>
      </c>
      <c r="J71" s="936"/>
      <c r="K71" s="945" t="s">
        <v>920</v>
      </c>
      <c r="L71" s="850" t="s">
        <v>618</v>
      </c>
      <c r="M71" s="891">
        <v>0</v>
      </c>
      <c r="N71" s="891">
        <v>0</v>
      </c>
      <c r="O71" s="891">
        <v>0</v>
      </c>
      <c r="P71" s="891">
        <v>0</v>
      </c>
      <c r="Q71" s="937" t="s">
        <v>1055</v>
      </c>
      <c r="R71" s="969" t="s">
        <v>1109</v>
      </c>
    </row>
    <row r="72" spans="1:18">
      <c r="A72" s="889" t="s">
        <v>1003</v>
      </c>
      <c r="B72" s="889" t="s">
        <v>618</v>
      </c>
      <c r="C72" s="891">
        <v>24647</v>
      </c>
      <c r="D72" s="891">
        <v>23000</v>
      </c>
      <c r="E72" s="891">
        <v>0</v>
      </c>
      <c r="F72" s="891">
        <v>0</v>
      </c>
      <c r="G72" s="956">
        <f t="shared" si="2"/>
        <v>24552</v>
      </c>
      <c r="H72" s="936">
        <f t="shared" si="3"/>
        <v>-0.08</v>
      </c>
      <c r="J72" s="936"/>
      <c r="K72" s="945" t="s">
        <v>708</v>
      </c>
      <c r="L72" s="850" t="s">
        <v>618</v>
      </c>
      <c r="M72" s="891">
        <v>95</v>
      </c>
      <c r="N72" s="891">
        <v>25000</v>
      </c>
      <c r="O72" s="891">
        <v>0</v>
      </c>
      <c r="P72" s="891">
        <v>0</v>
      </c>
      <c r="Q72" s="937" t="s">
        <v>1061</v>
      </c>
      <c r="R72" s="969" t="s">
        <v>1105</v>
      </c>
    </row>
    <row r="73" spans="1:18">
      <c r="A73" s="889" t="s">
        <v>1004</v>
      </c>
      <c r="B73" s="889" t="s">
        <v>258</v>
      </c>
      <c r="C73" s="891">
        <v>125</v>
      </c>
      <c r="D73" s="891">
        <v>32762</v>
      </c>
      <c r="E73" s="891">
        <v>0</v>
      </c>
      <c r="F73" s="891">
        <v>0</v>
      </c>
      <c r="G73" s="956">
        <f t="shared" si="2"/>
        <v>15</v>
      </c>
      <c r="H73" s="936">
        <f t="shared" si="3"/>
        <v>-2.7343170145177093E-2</v>
      </c>
      <c r="J73" s="936"/>
      <c r="K73" s="958" t="s">
        <v>926</v>
      </c>
      <c r="L73" s="850" t="s">
        <v>258</v>
      </c>
      <c r="M73" s="891">
        <v>110</v>
      </c>
      <c r="N73" s="891">
        <v>33683</v>
      </c>
      <c r="O73" s="891">
        <v>0</v>
      </c>
      <c r="P73" s="891">
        <v>0</v>
      </c>
      <c r="Q73" s="937" t="s">
        <v>1059</v>
      </c>
      <c r="R73" s="969" t="s">
        <v>1111</v>
      </c>
    </row>
    <row r="74" spans="1:18">
      <c r="A74" s="889" t="s">
        <v>1035</v>
      </c>
      <c r="B74" s="889" t="s">
        <v>264</v>
      </c>
      <c r="C74" s="891">
        <v>100</v>
      </c>
      <c r="D74" s="891">
        <v>46178</v>
      </c>
      <c r="E74" s="891">
        <v>0</v>
      </c>
      <c r="F74" s="891">
        <v>0</v>
      </c>
      <c r="G74" s="956">
        <f t="shared" si="2"/>
        <v>-15</v>
      </c>
      <c r="H74" s="936">
        <f t="shared" si="3"/>
        <v>-2.5307638727652657E-2</v>
      </c>
      <c r="J74" s="936"/>
      <c r="K74" s="945" t="s">
        <v>969</v>
      </c>
      <c r="L74" s="850" t="s">
        <v>264</v>
      </c>
      <c r="M74" s="891">
        <v>115</v>
      </c>
      <c r="N74" s="891">
        <v>47377</v>
      </c>
      <c r="O74" s="891">
        <v>0</v>
      </c>
      <c r="P74" s="891">
        <v>0</v>
      </c>
      <c r="Q74" s="937" t="s">
        <v>1060</v>
      </c>
      <c r="R74" s="969" t="s">
        <v>1112</v>
      </c>
    </row>
    <row r="75" spans="1:18">
      <c r="A75" s="889" t="s">
        <v>639</v>
      </c>
      <c r="B75" s="889" t="s">
        <v>618</v>
      </c>
      <c r="C75" s="891">
        <v>95</v>
      </c>
      <c r="D75" s="891">
        <v>15175</v>
      </c>
      <c r="E75" s="891">
        <v>0</v>
      </c>
      <c r="F75" s="891">
        <v>0</v>
      </c>
      <c r="G75" s="935">
        <f t="shared" ref="G75:G113" si="4">C75-M75</f>
        <v>0</v>
      </c>
      <c r="H75" s="936">
        <f t="shared" ref="H75:H113" si="5">(D75-N75)/N75</f>
        <v>-0.10735294117647058</v>
      </c>
      <c r="J75" s="936"/>
      <c r="K75" s="945" t="s">
        <v>639</v>
      </c>
      <c r="L75" s="850" t="s">
        <v>618</v>
      </c>
      <c r="M75" s="891">
        <v>95</v>
      </c>
      <c r="N75" s="891">
        <v>17000</v>
      </c>
      <c r="O75" s="891">
        <v>0</v>
      </c>
      <c r="P75" s="891">
        <v>0</v>
      </c>
      <c r="R75" s="969"/>
    </row>
    <row r="76" spans="1:18">
      <c r="A76" s="889" t="s">
        <v>630</v>
      </c>
      <c r="B76" s="889" t="s">
        <v>546</v>
      </c>
      <c r="C76" s="891">
        <v>100</v>
      </c>
      <c r="D76" s="891">
        <v>12438</v>
      </c>
      <c r="E76" s="891">
        <v>0</v>
      </c>
      <c r="F76" s="891">
        <v>0</v>
      </c>
      <c r="G76" s="935">
        <f t="shared" si="4"/>
        <v>0</v>
      </c>
      <c r="H76" s="936">
        <f t="shared" si="5"/>
        <v>-0.10614444843693856</v>
      </c>
      <c r="J76" s="936"/>
      <c r="K76" s="945" t="s">
        <v>630</v>
      </c>
      <c r="L76" s="850" t="s">
        <v>546</v>
      </c>
      <c r="M76" s="891">
        <v>100</v>
      </c>
      <c r="N76" s="891">
        <v>13915</v>
      </c>
      <c r="O76" s="891">
        <v>0</v>
      </c>
      <c r="P76" s="891">
        <v>0</v>
      </c>
      <c r="R76" s="969"/>
    </row>
    <row r="77" spans="1:18">
      <c r="A77" s="889" t="s">
        <v>1032</v>
      </c>
      <c r="B77" s="889" t="s">
        <v>618</v>
      </c>
      <c r="C77" s="891">
        <v>143</v>
      </c>
      <c r="D77" s="891">
        <v>23384</v>
      </c>
      <c r="E77" s="891">
        <v>0</v>
      </c>
      <c r="F77" s="891">
        <v>0</v>
      </c>
      <c r="G77" s="935">
        <f t="shared" si="4"/>
        <v>0</v>
      </c>
      <c r="H77" s="936">
        <f t="shared" si="5"/>
        <v>-8.5669599217986309E-2</v>
      </c>
      <c r="J77" s="936"/>
      <c r="K77" s="958" t="s">
        <v>707</v>
      </c>
      <c r="L77" s="850" t="s">
        <v>618</v>
      </c>
      <c r="M77" s="891">
        <v>143</v>
      </c>
      <c r="N77" s="891">
        <v>25575</v>
      </c>
      <c r="O77" s="891">
        <v>0</v>
      </c>
      <c r="P77" s="891">
        <v>0</v>
      </c>
      <c r="R77" s="969"/>
    </row>
    <row r="78" spans="1:18">
      <c r="A78" s="889" t="s">
        <v>727</v>
      </c>
      <c r="B78" s="889" t="s">
        <v>546</v>
      </c>
      <c r="C78" s="891">
        <v>120</v>
      </c>
      <c r="D78" s="891">
        <v>20511</v>
      </c>
      <c r="E78" s="891">
        <v>0</v>
      </c>
      <c r="F78" s="891">
        <v>0</v>
      </c>
      <c r="G78" s="935">
        <f t="shared" si="4"/>
        <v>0</v>
      </c>
      <c r="H78" s="936">
        <f t="shared" si="5"/>
        <v>-5.5010366275051834E-2</v>
      </c>
      <c r="J78" s="936"/>
      <c r="K78" s="945" t="s">
        <v>727</v>
      </c>
      <c r="L78" s="850" t="s">
        <v>546</v>
      </c>
      <c r="M78" s="891">
        <v>120</v>
      </c>
      <c r="N78" s="891">
        <v>21705</v>
      </c>
      <c r="O78" s="891">
        <v>0</v>
      </c>
      <c r="P78" s="891">
        <v>0</v>
      </c>
      <c r="R78" s="969"/>
    </row>
    <row r="79" spans="1:18">
      <c r="A79" s="889" t="s">
        <v>706</v>
      </c>
      <c r="B79" s="889" t="s">
        <v>258</v>
      </c>
      <c r="C79" s="891">
        <v>120</v>
      </c>
      <c r="D79" s="891">
        <v>20249</v>
      </c>
      <c r="E79" s="891">
        <v>0</v>
      </c>
      <c r="F79" s="891">
        <v>0</v>
      </c>
      <c r="G79" s="935">
        <f t="shared" si="4"/>
        <v>-2</v>
      </c>
      <c r="H79" s="936">
        <f t="shared" si="5"/>
        <v>-5.3077066965955856E-2</v>
      </c>
      <c r="J79" s="936"/>
      <c r="K79" s="958" t="s">
        <v>706</v>
      </c>
      <c r="L79" s="850" t="s">
        <v>258</v>
      </c>
      <c r="M79" s="891">
        <v>122</v>
      </c>
      <c r="N79" s="891">
        <v>21384</v>
      </c>
      <c r="O79" s="891">
        <v>0</v>
      </c>
      <c r="P79" s="891">
        <v>0</v>
      </c>
      <c r="R79" s="969"/>
    </row>
    <row r="80" spans="1:18">
      <c r="A80" s="889" t="s">
        <v>693</v>
      </c>
      <c r="B80" s="889" t="s">
        <v>264</v>
      </c>
      <c r="C80" s="891">
        <v>62</v>
      </c>
      <c r="D80" s="891">
        <v>21476</v>
      </c>
      <c r="E80" s="891">
        <v>0</v>
      </c>
      <c r="F80" s="891">
        <v>0</v>
      </c>
      <c r="G80" s="935">
        <f t="shared" si="4"/>
        <v>0</v>
      </c>
      <c r="H80" s="936">
        <f t="shared" si="5"/>
        <v>-4.3853791015538046E-2</v>
      </c>
      <c r="J80" s="936"/>
      <c r="K80" s="958" t="s">
        <v>693</v>
      </c>
      <c r="L80" s="850" t="s">
        <v>264</v>
      </c>
      <c r="M80" s="891">
        <v>62</v>
      </c>
      <c r="N80" s="891">
        <v>22461</v>
      </c>
      <c r="O80" s="891">
        <v>0</v>
      </c>
      <c r="P80" s="891">
        <v>0</v>
      </c>
      <c r="R80" s="969"/>
    </row>
    <row r="81" spans="1:18">
      <c r="A81" s="889" t="s">
        <v>634</v>
      </c>
      <c r="B81" s="889" t="s">
        <v>618</v>
      </c>
      <c r="C81" s="891">
        <v>88</v>
      </c>
      <c r="D81" s="891">
        <v>21290</v>
      </c>
      <c r="E81" s="891">
        <v>0</v>
      </c>
      <c r="F81" s="891">
        <v>0</v>
      </c>
      <c r="G81" s="935">
        <f t="shared" si="4"/>
        <v>0</v>
      </c>
      <c r="H81" s="936">
        <f t="shared" si="5"/>
        <v>-2.8696564624298555E-2</v>
      </c>
      <c r="J81" s="936"/>
      <c r="K81" s="945" t="s">
        <v>968</v>
      </c>
      <c r="L81" s="850" t="s">
        <v>618</v>
      </c>
      <c r="M81" s="891">
        <v>88</v>
      </c>
      <c r="N81" s="891">
        <v>21919</v>
      </c>
      <c r="O81" s="891">
        <v>0</v>
      </c>
      <c r="P81" s="891">
        <v>0</v>
      </c>
      <c r="R81" s="969"/>
    </row>
    <row r="82" spans="1:18">
      <c r="A82" s="889" t="s">
        <v>721</v>
      </c>
      <c r="B82" s="889" t="s">
        <v>264</v>
      </c>
      <c r="C82" s="891">
        <v>100</v>
      </c>
      <c r="D82" s="891">
        <v>46714</v>
      </c>
      <c r="E82" s="891">
        <v>0</v>
      </c>
      <c r="F82" s="891">
        <v>0</v>
      </c>
      <c r="G82" s="935">
        <f t="shared" si="4"/>
        <v>0</v>
      </c>
      <c r="H82" s="936">
        <f t="shared" si="5"/>
        <v>-2.0424425431974501E-2</v>
      </c>
      <c r="J82" s="936"/>
      <c r="K82" s="958" t="s">
        <v>721</v>
      </c>
      <c r="L82" s="850" t="s">
        <v>264</v>
      </c>
      <c r="M82" s="891">
        <v>100</v>
      </c>
      <c r="N82" s="891">
        <v>47688</v>
      </c>
      <c r="O82" s="891">
        <v>0</v>
      </c>
      <c r="P82" s="891">
        <v>0</v>
      </c>
      <c r="R82" s="969"/>
    </row>
    <row r="83" spans="1:18">
      <c r="A83" s="889" t="s">
        <v>678</v>
      </c>
      <c r="B83" s="889" t="s">
        <v>546</v>
      </c>
      <c r="C83" s="891">
        <v>83</v>
      </c>
      <c r="D83" s="891">
        <v>19692</v>
      </c>
      <c r="E83" s="891">
        <v>0</v>
      </c>
      <c r="F83" s="891">
        <v>0</v>
      </c>
      <c r="G83" s="935">
        <f t="shared" si="4"/>
        <v>0</v>
      </c>
      <c r="H83" s="936">
        <f t="shared" si="5"/>
        <v>-1.54E-2</v>
      </c>
      <c r="J83" s="936"/>
      <c r="K83" s="945" t="s">
        <v>678</v>
      </c>
      <c r="L83" s="850" t="s">
        <v>546</v>
      </c>
      <c r="M83" s="891">
        <v>83</v>
      </c>
      <c r="N83" s="891">
        <v>20000</v>
      </c>
      <c r="O83" s="891">
        <v>0</v>
      </c>
      <c r="P83" s="891">
        <v>0</v>
      </c>
      <c r="R83" s="969"/>
    </row>
    <row r="84" spans="1:18">
      <c r="A84" s="889" t="s">
        <v>1016</v>
      </c>
      <c r="B84" s="889" t="s">
        <v>264</v>
      </c>
      <c r="C84" s="891">
        <v>102</v>
      </c>
      <c r="D84" s="891">
        <v>49567</v>
      </c>
      <c r="E84" s="891">
        <v>0</v>
      </c>
      <c r="F84" s="891">
        <v>0</v>
      </c>
      <c r="G84" s="935">
        <f t="shared" si="4"/>
        <v>2</v>
      </c>
      <c r="H84" s="936">
        <f t="shared" si="5"/>
        <v>-1.4572564612326044E-2</v>
      </c>
      <c r="J84" s="936"/>
      <c r="K84" s="945" t="s">
        <v>633</v>
      </c>
      <c r="L84" s="850" t="s">
        <v>264</v>
      </c>
      <c r="M84" s="891">
        <v>100</v>
      </c>
      <c r="N84" s="891">
        <v>50300</v>
      </c>
      <c r="O84" s="891">
        <v>0</v>
      </c>
      <c r="P84" s="891">
        <v>0</v>
      </c>
      <c r="R84" s="969"/>
    </row>
    <row r="85" spans="1:18">
      <c r="A85" s="889" t="s">
        <v>1029</v>
      </c>
      <c r="B85" s="889" t="s">
        <v>264</v>
      </c>
      <c r="C85" s="891">
        <v>125</v>
      </c>
      <c r="D85" s="891">
        <v>60387</v>
      </c>
      <c r="E85" s="891">
        <v>0</v>
      </c>
      <c r="F85" s="891">
        <v>0</v>
      </c>
      <c r="G85" s="935">
        <f t="shared" si="4"/>
        <v>0</v>
      </c>
      <c r="H85" s="936">
        <f t="shared" si="5"/>
        <v>-9.2045678283126601E-3</v>
      </c>
      <c r="J85" s="936"/>
      <c r="K85" s="945" t="s">
        <v>967</v>
      </c>
      <c r="L85" s="850" t="s">
        <v>264</v>
      </c>
      <c r="M85" s="891">
        <v>125</v>
      </c>
      <c r="N85" s="891">
        <v>60948</v>
      </c>
      <c r="O85" s="891">
        <v>0</v>
      </c>
      <c r="P85" s="891">
        <v>0</v>
      </c>
      <c r="R85" s="969"/>
    </row>
    <row r="86" spans="1:18">
      <c r="A86" s="889" t="s">
        <v>265</v>
      </c>
      <c r="B86" s="889" t="s">
        <v>264</v>
      </c>
      <c r="C86" s="891">
        <v>62</v>
      </c>
      <c r="D86" s="891">
        <v>38448</v>
      </c>
      <c r="E86" s="891">
        <v>0</v>
      </c>
      <c r="F86" s="891">
        <v>0</v>
      </c>
      <c r="G86" s="935">
        <f t="shared" si="4"/>
        <v>0</v>
      </c>
      <c r="H86" s="936">
        <f t="shared" si="5"/>
        <v>-7.6911165023486293E-3</v>
      </c>
      <c r="J86" s="936"/>
      <c r="K86" s="958" t="s">
        <v>265</v>
      </c>
      <c r="L86" s="850" t="s">
        <v>264</v>
      </c>
      <c r="M86" s="891">
        <v>62</v>
      </c>
      <c r="N86" s="891">
        <v>38746</v>
      </c>
      <c r="O86" s="891">
        <v>0</v>
      </c>
      <c r="P86" s="891">
        <v>0</v>
      </c>
      <c r="R86" s="969"/>
    </row>
    <row r="87" spans="1:18">
      <c r="A87" s="889" t="s">
        <v>1026</v>
      </c>
      <c r="B87" s="889" t="s">
        <v>618</v>
      </c>
      <c r="C87" s="891">
        <v>90</v>
      </c>
      <c r="D87" s="891">
        <v>35369</v>
      </c>
      <c r="E87" s="891">
        <v>0</v>
      </c>
      <c r="F87" s="891">
        <v>0</v>
      </c>
      <c r="G87" s="935">
        <f t="shared" si="4"/>
        <v>0</v>
      </c>
      <c r="H87" s="936">
        <f t="shared" si="5"/>
        <v>-6.990847324386546E-3</v>
      </c>
      <c r="J87" s="936"/>
      <c r="K87" s="945" t="s">
        <v>720</v>
      </c>
      <c r="L87" s="850" t="s">
        <v>618</v>
      </c>
      <c r="M87" s="891">
        <v>90</v>
      </c>
      <c r="N87" s="891">
        <v>35618</v>
      </c>
      <c r="O87" s="891">
        <v>0</v>
      </c>
      <c r="P87" s="891">
        <v>0</v>
      </c>
      <c r="R87" s="969"/>
    </row>
    <row r="88" spans="1:18">
      <c r="A88" s="889" t="s">
        <v>640</v>
      </c>
      <c r="B88" s="889" t="s">
        <v>546</v>
      </c>
      <c r="C88" s="891">
        <v>105</v>
      </c>
      <c r="D88" s="891">
        <v>22368</v>
      </c>
      <c r="E88" s="891">
        <v>0</v>
      </c>
      <c r="F88" s="891">
        <v>0</v>
      </c>
      <c r="G88" s="935">
        <f t="shared" si="4"/>
        <v>0</v>
      </c>
      <c r="H88" s="936">
        <f t="shared" si="5"/>
        <v>-4.0961709706144253E-3</v>
      </c>
      <c r="J88" s="936"/>
      <c r="K88" s="945" t="s">
        <v>640</v>
      </c>
      <c r="L88" s="850" t="s">
        <v>546</v>
      </c>
      <c r="M88" s="891">
        <v>105</v>
      </c>
      <c r="N88" s="891">
        <v>22460</v>
      </c>
      <c r="O88" s="891">
        <v>0</v>
      </c>
      <c r="P88" s="891">
        <v>0</v>
      </c>
      <c r="R88" s="969"/>
    </row>
    <row r="89" spans="1:18">
      <c r="A89" s="889" t="s">
        <v>964</v>
      </c>
      <c r="B89" s="889" t="s">
        <v>546</v>
      </c>
      <c r="C89" s="891">
        <v>79</v>
      </c>
      <c r="D89" s="891">
        <v>17075</v>
      </c>
      <c r="E89" s="891">
        <v>0</v>
      </c>
      <c r="F89" s="891">
        <v>0</v>
      </c>
      <c r="G89" s="935">
        <f t="shared" si="4"/>
        <v>0</v>
      </c>
      <c r="H89" s="936">
        <f t="shared" si="5"/>
        <v>0</v>
      </c>
      <c r="J89" s="936"/>
      <c r="K89" s="945" t="s">
        <v>964</v>
      </c>
      <c r="L89" s="850" t="s">
        <v>546</v>
      </c>
      <c r="M89" s="891">
        <v>79</v>
      </c>
      <c r="N89" s="891">
        <v>17075</v>
      </c>
      <c r="O89" s="891">
        <v>0</v>
      </c>
      <c r="P89" s="891">
        <v>0</v>
      </c>
      <c r="R89" s="969"/>
    </row>
    <row r="90" spans="1:18">
      <c r="A90" s="889" t="s">
        <v>996</v>
      </c>
      <c r="B90" s="889" t="s">
        <v>618</v>
      </c>
      <c r="C90" s="891">
        <v>100</v>
      </c>
      <c r="D90" s="891">
        <v>20980</v>
      </c>
      <c r="E90" s="891">
        <v>0</v>
      </c>
      <c r="F90" s="891">
        <v>0</v>
      </c>
      <c r="G90" s="935">
        <f t="shared" si="4"/>
        <v>0</v>
      </c>
      <c r="H90" s="936">
        <f t="shared" si="5"/>
        <v>0</v>
      </c>
      <c r="J90" s="936"/>
      <c r="K90" s="958" t="s">
        <v>466</v>
      </c>
      <c r="L90" s="850" t="s">
        <v>618</v>
      </c>
      <c r="M90" s="891">
        <v>100</v>
      </c>
      <c r="N90" s="891">
        <v>20980</v>
      </c>
      <c r="O90" s="891">
        <v>0</v>
      </c>
      <c r="P90" s="891">
        <v>0</v>
      </c>
      <c r="R90" s="969"/>
    </row>
    <row r="91" spans="1:18">
      <c r="A91" s="889" t="s">
        <v>619</v>
      </c>
      <c r="B91" s="889" t="s">
        <v>547</v>
      </c>
      <c r="C91" s="891">
        <v>115</v>
      </c>
      <c r="D91" s="891">
        <v>18082</v>
      </c>
      <c r="E91" s="891">
        <v>0</v>
      </c>
      <c r="F91" s="891">
        <v>0</v>
      </c>
      <c r="G91" s="935">
        <f t="shared" si="4"/>
        <v>0</v>
      </c>
      <c r="H91" s="936">
        <f t="shared" si="5"/>
        <v>0</v>
      </c>
      <c r="J91" s="936"/>
      <c r="K91" s="945" t="s">
        <v>619</v>
      </c>
      <c r="L91" s="850" t="s">
        <v>547</v>
      </c>
      <c r="M91" s="891">
        <v>115</v>
      </c>
      <c r="N91" s="891">
        <v>18082</v>
      </c>
      <c r="O91" s="891">
        <v>0</v>
      </c>
      <c r="P91" s="891">
        <v>0</v>
      </c>
      <c r="R91" s="969"/>
    </row>
    <row r="92" spans="1:18">
      <c r="A92" s="889" t="s">
        <v>266</v>
      </c>
      <c r="B92" s="889" t="s">
        <v>547</v>
      </c>
      <c r="C92" s="891">
        <v>120</v>
      </c>
      <c r="D92" s="891">
        <v>24500</v>
      </c>
      <c r="E92" s="891">
        <v>0</v>
      </c>
      <c r="F92" s="891">
        <v>0</v>
      </c>
      <c r="G92" s="935">
        <f t="shared" si="4"/>
        <v>0</v>
      </c>
      <c r="H92" s="936">
        <f t="shared" si="5"/>
        <v>0</v>
      </c>
      <c r="J92" s="936"/>
      <c r="K92" s="945" t="s">
        <v>266</v>
      </c>
      <c r="L92" s="850" t="s">
        <v>547</v>
      </c>
      <c r="M92" s="891">
        <v>120</v>
      </c>
      <c r="N92" s="891">
        <v>24500</v>
      </c>
      <c r="O92" s="891">
        <v>0</v>
      </c>
      <c r="P92" s="891">
        <v>0</v>
      </c>
      <c r="R92" s="969"/>
    </row>
    <row r="93" spans="1:18">
      <c r="A93" s="889" t="s">
        <v>931</v>
      </c>
      <c r="B93" s="889" t="s">
        <v>618</v>
      </c>
      <c r="C93" s="891">
        <v>80</v>
      </c>
      <c r="D93" s="891">
        <v>21386</v>
      </c>
      <c r="E93" s="891">
        <v>0</v>
      </c>
      <c r="F93" s="891">
        <v>0</v>
      </c>
      <c r="G93" s="935">
        <f t="shared" si="4"/>
        <v>0</v>
      </c>
      <c r="H93" s="936">
        <f t="shared" si="5"/>
        <v>0</v>
      </c>
      <c r="J93" s="936"/>
      <c r="K93" s="958" t="s">
        <v>931</v>
      </c>
      <c r="L93" s="850" t="s">
        <v>618</v>
      </c>
      <c r="M93" s="891">
        <v>80</v>
      </c>
      <c r="N93" s="891">
        <v>21386</v>
      </c>
      <c r="O93" s="891">
        <v>0</v>
      </c>
      <c r="P93" s="891">
        <v>0</v>
      </c>
      <c r="R93" s="969"/>
    </row>
    <row r="94" spans="1:18">
      <c r="A94" s="889" t="s">
        <v>445</v>
      </c>
      <c r="B94" s="889" t="s">
        <v>546</v>
      </c>
      <c r="C94" s="891">
        <v>144</v>
      </c>
      <c r="D94" s="891">
        <v>25002</v>
      </c>
      <c r="E94" s="891">
        <v>0</v>
      </c>
      <c r="F94" s="891">
        <v>0</v>
      </c>
      <c r="G94" s="935">
        <f t="shared" si="4"/>
        <v>0</v>
      </c>
      <c r="H94" s="936">
        <f t="shared" si="5"/>
        <v>3.1295137217140106E-3</v>
      </c>
      <c r="J94" s="936"/>
      <c r="K94" s="945" t="s">
        <v>445</v>
      </c>
      <c r="L94" s="850" t="s">
        <v>546</v>
      </c>
      <c r="M94" s="891">
        <v>144</v>
      </c>
      <c r="N94" s="891">
        <v>24924</v>
      </c>
      <c r="O94" s="891">
        <v>0</v>
      </c>
      <c r="P94" s="891">
        <v>0</v>
      </c>
      <c r="R94" s="969"/>
    </row>
    <row r="95" spans="1:18">
      <c r="A95" s="889" t="s">
        <v>1031</v>
      </c>
      <c r="B95" s="889" t="s">
        <v>618</v>
      </c>
      <c r="C95" s="891">
        <v>87</v>
      </c>
      <c r="D95" s="891">
        <v>15005</v>
      </c>
      <c r="E95" s="891">
        <v>0</v>
      </c>
      <c r="F95" s="891">
        <v>0</v>
      </c>
      <c r="G95" s="935">
        <f t="shared" si="4"/>
        <v>0</v>
      </c>
      <c r="H95" s="936">
        <f t="shared" si="5"/>
        <v>1.0573814655172414E-2</v>
      </c>
      <c r="J95" s="936"/>
      <c r="K95" s="945" t="s">
        <v>718</v>
      </c>
      <c r="L95" s="850" t="s">
        <v>618</v>
      </c>
      <c r="M95" s="891">
        <v>87</v>
      </c>
      <c r="N95" s="891">
        <v>14848</v>
      </c>
      <c r="O95" s="891">
        <v>0</v>
      </c>
      <c r="P95" s="891">
        <v>0</v>
      </c>
      <c r="R95" s="969"/>
    </row>
    <row r="96" spans="1:18">
      <c r="A96" s="889" t="s">
        <v>688</v>
      </c>
      <c r="B96" s="889" t="s">
        <v>547</v>
      </c>
      <c r="C96" s="891">
        <v>117</v>
      </c>
      <c r="D96" s="891">
        <v>29825</v>
      </c>
      <c r="E96" s="891">
        <v>0</v>
      </c>
      <c r="F96" s="891">
        <v>0</v>
      </c>
      <c r="G96" s="935">
        <f t="shared" si="4"/>
        <v>0</v>
      </c>
      <c r="H96" s="936">
        <f t="shared" si="5"/>
        <v>1.1943134394191294E-2</v>
      </c>
      <c r="J96" s="936"/>
      <c r="K96" s="958" t="s">
        <v>688</v>
      </c>
      <c r="L96" s="850" t="s">
        <v>547</v>
      </c>
      <c r="M96" s="891">
        <v>117</v>
      </c>
      <c r="N96" s="891">
        <v>29473</v>
      </c>
      <c r="O96" s="891">
        <v>0</v>
      </c>
      <c r="P96" s="891">
        <v>0</v>
      </c>
      <c r="R96" s="969"/>
    </row>
    <row r="97" spans="1:18">
      <c r="A97" s="889" t="s">
        <v>1021</v>
      </c>
      <c r="B97" s="889" t="s">
        <v>264</v>
      </c>
      <c r="C97" s="891">
        <v>126</v>
      </c>
      <c r="D97" s="891">
        <v>57400</v>
      </c>
      <c r="E97" s="891">
        <v>0</v>
      </c>
      <c r="F97" s="891">
        <v>0</v>
      </c>
      <c r="G97" s="935">
        <f t="shared" si="4"/>
        <v>0</v>
      </c>
      <c r="H97" s="936">
        <f t="shared" si="5"/>
        <v>1.6540927283675132E-2</v>
      </c>
      <c r="J97" s="936"/>
      <c r="K97" s="958" t="s">
        <v>714</v>
      </c>
      <c r="L97" s="850" t="s">
        <v>264</v>
      </c>
      <c r="M97" s="891">
        <v>126</v>
      </c>
      <c r="N97" s="891">
        <v>56466</v>
      </c>
      <c r="O97" s="891">
        <v>0</v>
      </c>
      <c r="P97" s="891">
        <v>0</v>
      </c>
      <c r="R97" s="969"/>
    </row>
    <row r="98" spans="1:18">
      <c r="A98" s="889" t="s">
        <v>923</v>
      </c>
      <c r="B98" s="889" t="s">
        <v>264</v>
      </c>
      <c r="C98" s="891">
        <v>126</v>
      </c>
      <c r="D98" s="891">
        <v>56335</v>
      </c>
      <c r="E98" s="891">
        <v>0</v>
      </c>
      <c r="F98" s="891">
        <v>0</v>
      </c>
      <c r="G98" s="935">
        <f t="shared" si="4"/>
        <v>0</v>
      </c>
      <c r="H98" s="936">
        <f t="shared" si="5"/>
        <v>1.8182146794628495E-2</v>
      </c>
      <c r="J98" s="936"/>
      <c r="K98" s="958" t="s">
        <v>923</v>
      </c>
      <c r="L98" s="850" t="s">
        <v>264</v>
      </c>
      <c r="M98" s="891">
        <v>126</v>
      </c>
      <c r="N98" s="891">
        <v>55329</v>
      </c>
      <c r="O98" s="891">
        <v>0</v>
      </c>
      <c r="P98" s="891">
        <v>0</v>
      </c>
      <c r="R98" s="969"/>
    </row>
    <row r="99" spans="1:18">
      <c r="A99" s="889" t="s">
        <v>961</v>
      </c>
      <c r="B99" s="889" t="s">
        <v>618</v>
      </c>
      <c r="C99" s="891">
        <v>90</v>
      </c>
      <c r="D99" s="891">
        <v>13089</v>
      </c>
      <c r="E99" s="891">
        <v>0</v>
      </c>
      <c r="F99" s="891">
        <v>0</v>
      </c>
      <c r="G99" s="935">
        <f t="shared" si="4"/>
        <v>0</v>
      </c>
      <c r="H99" s="936">
        <f t="shared" si="5"/>
        <v>1.8282246771433017E-2</v>
      </c>
      <c r="J99" s="936"/>
      <c r="K99" s="945" t="s">
        <v>961</v>
      </c>
      <c r="L99" s="850" t="s">
        <v>618</v>
      </c>
      <c r="M99" s="891">
        <v>90</v>
      </c>
      <c r="N99" s="891">
        <v>12854</v>
      </c>
      <c r="O99" s="891">
        <v>0</v>
      </c>
      <c r="P99" s="891">
        <v>0</v>
      </c>
      <c r="R99" s="969"/>
    </row>
    <row r="100" spans="1:18">
      <c r="A100" s="889" t="s">
        <v>263</v>
      </c>
      <c r="B100" s="889" t="s">
        <v>618</v>
      </c>
      <c r="C100" s="891">
        <v>110</v>
      </c>
      <c r="D100" s="891">
        <v>17793</v>
      </c>
      <c r="E100" s="891">
        <v>0</v>
      </c>
      <c r="F100" s="891">
        <v>0</v>
      </c>
      <c r="G100" s="935">
        <f t="shared" si="4"/>
        <v>0</v>
      </c>
      <c r="H100" s="936">
        <f t="shared" si="5"/>
        <v>1.9247293349372745E-2</v>
      </c>
      <c r="J100" s="936"/>
      <c r="K100" s="945" t="s">
        <v>263</v>
      </c>
      <c r="L100" s="850" t="s">
        <v>618</v>
      </c>
      <c r="M100" s="891">
        <v>110</v>
      </c>
      <c r="N100" s="891">
        <v>17457</v>
      </c>
      <c r="O100" s="891">
        <v>0</v>
      </c>
      <c r="P100" s="891">
        <v>0</v>
      </c>
      <c r="R100" s="969"/>
    </row>
    <row r="101" spans="1:18">
      <c r="A101" s="889" t="s">
        <v>927</v>
      </c>
      <c r="B101" s="889" t="s">
        <v>547</v>
      </c>
      <c r="C101" s="891">
        <v>72</v>
      </c>
      <c r="D101" s="891">
        <v>29015</v>
      </c>
      <c r="E101" s="891">
        <v>0</v>
      </c>
      <c r="F101" s="891">
        <v>0</v>
      </c>
      <c r="G101" s="935">
        <f t="shared" si="4"/>
        <v>0</v>
      </c>
      <c r="H101" s="936">
        <f t="shared" si="5"/>
        <v>1.9536877613408762E-2</v>
      </c>
      <c r="J101" s="936"/>
      <c r="K101" s="958" t="s">
        <v>927</v>
      </c>
      <c r="L101" s="850" t="s">
        <v>547</v>
      </c>
      <c r="M101" s="891">
        <v>72</v>
      </c>
      <c r="N101" s="891">
        <v>28459</v>
      </c>
      <c r="O101" s="891">
        <v>0</v>
      </c>
      <c r="P101" s="891">
        <v>0</v>
      </c>
      <c r="R101" s="969"/>
    </row>
    <row r="102" spans="1:18">
      <c r="A102" s="889" t="s">
        <v>691</v>
      </c>
      <c r="B102" s="889" t="s">
        <v>547</v>
      </c>
      <c r="C102" s="891">
        <v>150</v>
      </c>
      <c r="D102" s="891">
        <v>24929</v>
      </c>
      <c r="E102" s="891">
        <v>0</v>
      </c>
      <c r="F102" s="891">
        <v>0</v>
      </c>
      <c r="G102" s="935">
        <f t="shared" si="4"/>
        <v>0</v>
      </c>
      <c r="H102" s="936">
        <f t="shared" si="5"/>
        <v>2.4956829208124334E-2</v>
      </c>
      <c r="J102" s="936"/>
      <c r="K102" s="958" t="s">
        <v>691</v>
      </c>
      <c r="L102" s="850" t="s">
        <v>547</v>
      </c>
      <c r="M102" s="891">
        <v>150</v>
      </c>
      <c r="N102" s="891">
        <v>24322</v>
      </c>
      <c r="O102" s="891">
        <v>0</v>
      </c>
      <c r="P102" s="891">
        <v>0</v>
      </c>
      <c r="R102" s="969"/>
    </row>
    <row r="103" spans="1:18">
      <c r="A103" s="889" t="s">
        <v>919</v>
      </c>
      <c r="B103" s="889" t="s">
        <v>546</v>
      </c>
      <c r="C103" s="891">
        <v>105</v>
      </c>
      <c r="D103" s="891">
        <v>15138</v>
      </c>
      <c r="E103" s="891">
        <v>0</v>
      </c>
      <c r="F103" s="891">
        <v>0</v>
      </c>
      <c r="G103" s="935">
        <f t="shared" si="4"/>
        <v>0</v>
      </c>
      <c r="H103" s="936">
        <f t="shared" si="5"/>
        <v>2.8816093516378958E-2</v>
      </c>
      <c r="J103" s="936"/>
      <c r="K103" s="945" t="s">
        <v>919</v>
      </c>
      <c r="L103" s="850" t="s">
        <v>546</v>
      </c>
      <c r="M103" s="891">
        <v>105</v>
      </c>
      <c r="N103" s="891">
        <v>14714</v>
      </c>
      <c r="O103" s="891">
        <v>0</v>
      </c>
      <c r="P103" s="891">
        <v>0</v>
      </c>
      <c r="R103" s="969"/>
    </row>
    <row r="104" spans="1:18">
      <c r="A104" s="889" t="s">
        <v>716</v>
      </c>
      <c r="B104" s="889" t="s">
        <v>546</v>
      </c>
      <c r="C104" s="891">
        <v>185</v>
      </c>
      <c r="D104" s="891">
        <v>14201</v>
      </c>
      <c r="E104" s="891">
        <v>0</v>
      </c>
      <c r="F104" s="891">
        <v>0</v>
      </c>
      <c r="G104" s="935">
        <f t="shared" si="4"/>
        <v>0</v>
      </c>
      <c r="H104" s="936">
        <f t="shared" si="5"/>
        <v>2.9057971014492753E-2</v>
      </c>
      <c r="J104" s="936"/>
      <c r="K104" s="945" t="s">
        <v>716</v>
      </c>
      <c r="L104" s="850" t="s">
        <v>546</v>
      </c>
      <c r="M104" s="891">
        <v>185</v>
      </c>
      <c r="N104" s="891">
        <v>13800</v>
      </c>
      <c r="O104" s="891">
        <v>0</v>
      </c>
      <c r="P104" s="891">
        <v>0</v>
      </c>
      <c r="R104" s="969"/>
    </row>
    <row r="105" spans="1:18">
      <c r="A105" s="889" t="s">
        <v>1025</v>
      </c>
      <c r="B105" s="889" t="s">
        <v>618</v>
      </c>
      <c r="C105" s="891">
        <v>70</v>
      </c>
      <c r="D105" s="891">
        <v>20000</v>
      </c>
      <c r="E105" s="891">
        <v>0</v>
      </c>
      <c r="F105" s="891">
        <v>0</v>
      </c>
      <c r="G105" s="935">
        <f t="shared" si="4"/>
        <v>0</v>
      </c>
      <c r="H105" s="936">
        <f t="shared" si="5"/>
        <v>3.3645149620135407E-2</v>
      </c>
      <c r="J105" s="936"/>
      <c r="K105" s="958" t="s">
        <v>717</v>
      </c>
      <c r="L105" s="850" t="s">
        <v>618</v>
      </c>
      <c r="M105" s="891">
        <v>70</v>
      </c>
      <c r="N105" s="891">
        <v>19349</v>
      </c>
      <c r="O105" s="891">
        <v>0</v>
      </c>
      <c r="P105" s="891">
        <v>0</v>
      </c>
      <c r="R105" s="969"/>
    </row>
    <row r="106" spans="1:18">
      <c r="A106" s="889" t="s">
        <v>1007</v>
      </c>
      <c r="B106" s="889" t="s">
        <v>264</v>
      </c>
      <c r="C106" s="891">
        <v>75</v>
      </c>
      <c r="D106" s="891">
        <v>37805</v>
      </c>
      <c r="E106" s="891">
        <v>0</v>
      </c>
      <c r="F106" s="891">
        <v>0</v>
      </c>
      <c r="G106" s="935">
        <f t="shared" si="4"/>
        <v>0</v>
      </c>
      <c r="H106" s="959">
        <f t="shared" si="5"/>
        <v>3.5101169126303976E-2</v>
      </c>
      <c r="J106" s="936"/>
      <c r="K106" s="958" t="s">
        <v>684</v>
      </c>
      <c r="L106" s="850" t="s">
        <v>264</v>
      </c>
      <c r="M106" s="891">
        <v>75</v>
      </c>
      <c r="N106" s="891">
        <v>36523</v>
      </c>
      <c r="O106" s="891">
        <v>0</v>
      </c>
      <c r="P106" s="891">
        <v>0</v>
      </c>
      <c r="R106" s="969"/>
    </row>
    <row r="107" spans="1:18">
      <c r="A107" s="889" t="s">
        <v>698</v>
      </c>
      <c r="B107" s="889" t="s">
        <v>258</v>
      </c>
      <c r="C107" s="891">
        <v>148</v>
      </c>
      <c r="D107" s="891">
        <v>23021</v>
      </c>
      <c r="E107" s="891">
        <v>0</v>
      </c>
      <c r="F107" s="891">
        <v>0</v>
      </c>
      <c r="G107" s="935">
        <f t="shared" si="4"/>
        <v>0</v>
      </c>
      <c r="H107" s="936">
        <f t="shared" si="5"/>
        <v>4.0497175141242937E-2</v>
      </c>
      <c r="J107" s="936"/>
      <c r="K107" s="958" t="s">
        <v>698</v>
      </c>
      <c r="L107" s="850" t="s">
        <v>258</v>
      </c>
      <c r="M107" s="891">
        <v>148</v>
      </c>
      <c r="N107" s="891">
        <v>22125</v>
      </c>
      <c r="O107" s="891">
        <v>0</v>
      </c>
      <c r="P107" s="891">
        <v>0</v>
      </c>
      <c r="R107" s="969"/>
    </row>
    <row r="108" spans="1:18">
      <c r="A108" s="889" t="s">
        <v>1020</v>
      </c>
      <c r="B108" s="889" t="s">
        <v>260</v>
      </c>
      <c r="C108" s="891">
        <v>75</v>
      </c>
      <c r="D108" s="891">
        <v>14511</v>
      </c>
      <c r="E108" s="891">
        <v>0</v>
      </c>
      <c r="F108" s="891">
        <v>0</v>
      </c>
      <c r="G108" s="935">
        <f t="shared" si="4"/>
        <v>0</v>
      </c>
      <c r="H108" s="936">
        <f t="shared" si="5"/>
        <v>4.1783329743700193E-2</v>
      </c>
      <c r="J108" s="936"/>
      <c r="K108" s="945" t="s">
        <v>957</v>
      </c>
      <c r="L108" s="850" t="s">
        <v>258</v>
      </c>
      <c r="M108" s="891">
        <v>75</v>
      </c>
      <c r="N108" s="891">
        <v>13929</v>
      </c>
      <c r="O108" s="891">
        <v>0</v>
      </c>
      <c r="P108" s="891">
        <v>0</v>
      </c>
      <c r="R108" s="969"/>
    </row>
    <row r="109" spans="1:18">
      <c r="A109" s="889" t="s">
        <v>635</v>
      </c>
      <c r="B109" s="889" t="s">
        <v>264</v>
      </c>
      <c r="C109" s="891">
        <v>52</v>
      </c>
      <c r="D109" s="891">
        <v>41151</v>
      </c>
      <c r="E109" s="891">
        <v>0</v>
      </c>
      <c r="F109" s="891">
        <v>0</v>
      </c>
      <c r="G109" s="935">
        <f t="shared" si="4"/>
        <v>0</v>
      </c>
      <c r="H109" s="936">
        <f t="shared" si="5"/>
        <v>5.3802816901408451E-2</v>
      </c>
      <c r="J109" s="936"/>
      <c r="K109" s="945" t="s">
        <v>966</v>
      </c>
      <c r="L109" s="850" t="s">
        <v>264</v>
      </c>
      <c r="M109" s="891">
        <v>52</v>
      </c>
      <c r="N109" s="891">
        <v>39050</v>
      </c>
      <c r="O109" s="891">
        <v>0</v>
      </c>
      <c r="P109" s="891">
        <v>0</v>
      </c>
      <c r="R109" s="969"/>
    </row>
    <row r="110" spans="1:18">
      <c r="A110" s="889" t="s">
        <v>965</v>
      </c>
      <c r="B110" s="889" t="s">
        <v>264</v>
      </c>
      <c r="C110" s="891">
        <v>75</v>
      </c>
      <c r="D110" s="891">
        <v>44105</v>
      </c>
      <c r="E110" s="891">
        <v>0</v>
      </c>
      <c r="F110" s="891">
        <v>0</v>
      </c>
      <c r="G110" s="935">
        <f t="shared" si="4"/>
        <v>0</v>
      </c>
      <c r="H110" s="936">
        <f t="shared" si="5"/>
        <v>7.5731707317073169E-2</v>
      </c>
      <c r="J110" s="936"/>
      <c r="K110" s="945" t="s">
        <v>965</v>
      </c>
      <c r="L110" s="850" t="s">
        <v>264</v>
      </c>
      <c r="M110" s="891">
        <v>75</v>
      </c>
      <c r="N110" s="891">
        <v>41000</v>
      </c>
      <c r="O110" s="891">
        <v>0</v>
      </c>
      <c r="P110" s="891">
        <v>0</v>
      </c>
      <c r="R110" s="969"/>
    </row>
    <row r="111" spans="1:18">
      <c r="A111" s="889" t="s">
        <v>617</v>
      </c>
      <c r="B111" s="889" t="s">
        <v>258</v>
      </c>
      <c r="C111" s="891">
        <v>150</v>
      </c>
      <c r="D111" s="891">
        <v>18000</v>
      </c>
      <c r="E111" s="891">
        <v>0</v>
      </c>
      <c r="F111" s="891">
        <v>0</v>
      </c>
      <c r="G111" s="935">
        <f t="shared" si="4"/>
        <v>0</v>
      </c>
      <c r="H111" s="936">
        <f t="shared" si="5"/>
        <v>9.0909090909090912E-2</v>
      </c>
      <c r="J111" s="936"/>
      <c r="K111" s="945" t="s">
        <v>617</v>
      </c>
      <c r="L111" s="850" t="s">
        <v>258</v>
      </c>
      <c r="M111" s="891">
        <v>150</v>
      </c>
      <c r="N111" s="891">
        <v>16500</v>
      </c>
      <c r="O111" s="891">
        <v>0</v>
      </c>
      <c r="P111" s="891">
        <v>0</v>
      </c>
      <c r="R111" s="969"/>
    </row>
    <row r="112" spans="1:18">
      <c r="A112" s="889" t="s">
        <v>932</v>
      </c>
      <c r="B112" s="889" t="s">
        <v>547</v>
      </c>
      <c r="C112" s="891">
        <v>130</v>
      </c>
      <c r="D112" s="891">
        <v>32085</v>
      </c>
      <c r="E112" s="891">
        <v>0</v>
      </c>
      <c r="F112" s="891">
        <v>0</v>
      </c>
      <c r="G112" s="935">
        <f t="shared" si="4"/>
        <v>3</v>
      </c>
      <c r="H112" s="936">
        <f t="shared" si="5"/>
        <v>0.10637931034482759</v>
      </c>
      <c r="J112" s="936"/>
      <c r="K112" s="945" t="s">
        <v>932</v>
      </c>
      <c r="L112" s="850" t="s">
        <v>547</v>
      </c>
      <c r="M112" s="891">
        <v>127</v>
      </c>
      <c r="N112" s="891">
        <v>29000</v>
      </c>
      <c r="O112" s="891">
        <v>0</v>
      </c>
      <c r="P112" s="891">
        <v>0</v>
      </c>
      <c r="R112" s="969" t="s">
        <v>1113</v>
      </c>
    </row>
    <row r="113" spans="1:18">
      <c r="A113" s="889" t="s">
        <v>1017</v>
      </c>
      <c r="B113" s="889" t="s">
        <v>547</v>
      </c>
      <c r="C113" s="891">
        <v>105</v>
      </c>
      <c r="D113" s="891">
        <v>26000</v>
      </c>
      <c r="E113" s="891">
        <v>0</v>
      </c>
      <c r="F113" s="891">
        <v>0</v>
      </c>
      <c r="G113" s="935">
        <f t="shared" si="4"/>
        <v>0</v>
      </c>
      <c r="H113" s="936">
        <f t="shared" si="5"/>
        <v>0.13043478260869565</v>
      </c>
      <c r="J113" s="936"/>
      <c r="K113" s="945" t="s">
        <v>963</v>
      </c>
      <c r="L113" s="850" t="s">
        <v>547</v>
      </c>
      <c r="M113" s="891">
        <v>105</v>
      </c>
      <c r="N113" s="891">
        <v>23000</v>
      </c>
      <c r="O113" s="891">
        <v>0</v>
      </c>
      <c r="P113" s="891">
        <v>0</v>
      </c>
      <c r="R113" s="969" t="s">
        <v>1114</v>
      </c>
    </row>
    <row r="114" spans="1:18">
      <c r="A114" s="889"/>
      <c r="B114" s="889"/>
      <c r="C114" s="931"/>
      <c r="D114" s="931"/>
      <c r="E114" s="932"/>
      <c r="F114" s="932"/>
      <c r="J114" s="936"/>
      <c r="K114" s="945"/>
      <c r="L114" s="850"/>
      <c r="M114" s="891"/>
      <c r="N114" s="891"/>
      <c r="O114" s="890"/>
      <c r="P114" s="946"/>
      <c r="R114" s="969"/>
    </row>
    <row r="115" spans="1:18" ht="13.8" thickBot="1">
      <c r="A115" s="947" t="s">
        <v>1064</v>
      </c>
      <c r="B115" s="947"/>
      <c r="C115" s="948"/>
      <c r="D115" s="948"/>
      <c r="E115" s="949"/>
      <c r="F115" s="949"/>
      <c r="G115" s="950"/>
      <c r="H115" s="951"/>
      <c r="I115" s="951"/>
      <c r="J115" s="951"/>
      <c r="K115" s="952"/>
      <c r="L115" s="953"/>
      <c r="M115" s="948"/>
      <c r="N115" s="948"/>
      <c r="O115" s="954"/>
      <c r="P115" s="955"/>
      <c r="Q115" s="934"/>
      <c r="R115" s="969"/>
    </row>
    <row r="116" spans="1:18">
      <c r="A116" s="889" t="s">
        <v>625</v>
      </c>
      <c r="B116" s="889" t="s">
        <v>258</v>
      </c>
      <c r="C116" s="891">
        <v>0</v>
      </c>
      <c r="D116" s="891">
        <v>0</v>
      </c>
      <c r="E116" s="944">
        <v>0</v>
      </c>
      <c r="F116" s="944">
        <v>0</v>
      </c>
      <c r="J116" s="936"/>
      <c r="K116" s="958" t="s">
        <v>959</v>
      </c>
      <c r="L116" s="850" t="s">
        <v>258</v>
      </c>
      <c r="M116" s="891">
        <v>0</v>
      </c>
      <c r="N116" s="891">
        <v>0</v>
      </c>
      <c r="O116" s="890">
        <v>0</v>
      </c>
      <c r="P116" s="946">
        <v>0</v>
      </c>
      <c r="R116" s="969"/>
    </row>
    <row r="117" spans="1:18">
      <c r="A117" s="889" t="s">
        <v>837</v>
      </c>
      <c r="B117" s="889" t="s">
        <v>412</v>
      </c>
      <c r="C117" s="891">
        <v>0</v>
      </c>
      <c r="D117" s="891">
        <v>0</v>
      </c>
      <c r="E117" s="944">
        <v>0</v>
      </c>
      <c r="F117" s="944">
        <v>0</v>
      </c>
      <c r="J117" s="936"/>
      <c r="K117" s="945" t="s">
        <v>837</v>
      </c>
      <c r="L117" s="850" t="s">
        <v>412</v>
      </c>
      <c r="M117" s="891">
        <v>0</v>
      </c>
      <c r="N117" s="891">
        <v>0</v>
      </c>
      <c r="O117" s="890">
        <v>0</v>
      </c>
      <c r="P117" s="946">
        <v>0</v>
      </c>
      <c r="R117" s="969"/>
    </row>
    <row r="118" spans="1:18">
      <c r="A118" s="889" t="s">
        <v>523</v>
      </c>
      <c r="B118" s="889" t="s">
        <v>412</v>
      </c>
      <c r="C118" s="891">
        <v>0</v>
      </c>
      <c r="D118" s="891">
        <v>0</v>
      </c>
      <c r="E118" s="944">
        <v>0</v>
      </c>
      <c r="F118" s="944">
        <v>0</v>
      </c>
      <c r="J118" s="936"/>
      <c r="K118" s="945" t="s">
        <v>523</v>
      </c>
      <c r="L118" s="850" t="s">
        <v>412</v>
      </c>
      <c r="M118" s="891">
        <v>0</v>
      </c>
      <c r="N118" s="891">
        <v>0</v>
      </c>
      <c r="O118" s="890">
        <v>0</v>
      </c>
      <c r="P118" s="946">
        <v>0</v>
      </c>
      <c r="R118" s="969"/>
    </row>
    <row r="119" spans="1:18">
      <c r="A119" s="889" t="s">
        <v>841</v>
      </c>
      <c r="B119" s="889" t="s">
        <v>412</v>
      </c>
      <c r="C119" s="891">
        <v>0</v>
      </c>
      <c r="D119" s="891">
        <v>0</v>
      </c>
      <c r="E119" s="944">
        <v>0</v>
      </c>
      <c r="F119" s="944">
        <v>0</v>
      </c>
      <c r="J119" s="936"/>
      <c r="K119" s="945" t="s">
        <v>841</v>
      </c>
      <c r="L119" s="850" t="s">
        <v>412</v>
      </c>
      <c r="M119" s="891">
        <v>0</v>
      </c>
      <c r="N119" s="891">
        <v>0</v>
      </c>
      <c r="O119" s="890">
        <v>0</v>
      </c>
      <c r="P119" s="946">
        <v>0</v>
      </c>
      <c r="R119" s="969"/>
    </row>
    <row r="120" spans="1:18">
      <c r="A120" s="889" t="s">
        <v>917</v>
      </c>
      <c r="B120" s="889" t="s">
        <v>412</v>
      </c>
      <c r="C120" s="891">
        <v>0</v>
      </c>
      <c r="D120" s="891">
        <v>0</v>
      </c>
      <c r="E120" s="944">
        <v>0</v>
      </c>
      <c r="F120" s="944">
        <v>0</v>
      </c>
      <c r="J120" s="936"/>
      <c r="K120" s="945" t="s">
        <v>917</v>
      </c>
      <c r="L120" s="850" t="s">
        <v>412</v>
      </c>
      <c r="M120" s="891">
        <v>0</v>
      </c>
      <c r="N120" s="891">
        <v>0</v>
      </c>
      <c r="O120" s="890">
        <v>0</v>
      </c>
      <c r="P120" s="946">
        <v>0</v>
      </c>
      <c r="R120" s="969"/>
    </row>
    <row r="121" spans="1:18">
      <c r="A121" s="889" t="s">
        <v>541</v>
      </c>
      <c r="B121" s="889" t="s">
        <v>264</v>
      </c>
      <c r="C121" s="891">
        <v>0</v>
      </c>
      <c r="D121" s="891">
        <v>0</v>
      </c>
      <c r="E121" s="944">
        <v>0</v>
      </c>
      <c r="F121" s="944">
        <v>0</v>
      </c>
      <c r="J121" s="936"/>
      <c r="K121" s="945" t="s">
        <v>541</v>
      </c>
      <c r="L121" s="850" t="s">
        <v>264</v>
      </c>
      <c r="M121" s="891">
        <v>0</v>
      </c>
      <c r="N121" s="891">
        <v>0</v>
      </c>
      <c r="O121" s="890">
        <v>0</v>
      </c>
      <c r="P121" s="946">
        <v>0</v>
      </c>
      <c r="R121" s="969"/>
    </row>
    <row r="122" spans="1:18">
      <c r="A122" s="889" t="s">
        <v>541</v>
      </c>
      <c r="B122" s="889" t="s">
        <v>412</v>
      </c>
      <c r="C122" s="891">
        <v>0</v>
      </c>
      <c r="D122" s="891">
        <v>0</v>
      </c>
      <c r="E122" s="944">
        <v>0</v>
      </c>
      <c r="F122" s="944">
        <v>0</v>
      </c>
      <c r="J122" s="936"/>
      <c r="K122" s="945" t="s">
        <v>541</v>
      </c>
      <c r="L122" s="850" t="s">
        <v>412</v>
      </c>
      <c r="M122" s="891">
        <v>0</v>
      </c>
      <c r="N122" s="891">
        <v>0</v>
      </c>
      <c r="O122" s="890">
        <v>0</v>
      </c>
      <c r="P122" s="946">
        <v>0</v>
      </c>
      <c r="R122" s="969"/>
    </row>
    <row r="123" spans="1:18">
      <c r="A123" s="889" t="s">
        <v>621</v>
      </c>
      <c r="B123" s="889" t="s">
        <v>412</v>
      </c>
      <c r="C123" s="891">
        <v>0</v>
      </c>
      <c r="D123" s="891">
        <v>0</v>
      </c>
      <c r="E123" s="944">
        <v>0</v>
      </c>
      <c r="F123" s="944">
        <v>0</v>
      </c>
      <c r="J123" s="936"/>
      <c r="K123" s="945" t="s">
        <v>621</v>
      </c>
      <c r="L123" s="850" t="s">
        <v>412</v>
      </c>
      <c r="M123" s="891">
        <v>0</v>
      </c>
      <c r="N123" s="891">
        <v>0</v>
      </c>
      <c r="O123" s="890">
        <v>0</v>
      </c>
      <c r="P123" s="946">
        <v>0</v>
      </c>
      <c r="R123" s="969"/>
    </row>
    <row r="124" spans="1:18">
      <c r="A124" s="889" t="s">
        <v>1026</v>
      </c>
      <c r="B124" s="889" t="s">
        <v>412</v>
      </c>
      <c r="C124" s="891">
        <v>0</v>
      </c>
      <c r="D124" s="891">
        <v>0</v>
      </c>
      <c r="E124" s="944">
        <v>0</v>
      </c>
      <c r="F124" s="944">
        <v>0</v>
      </c>
      <c r="J124" s="936"/>
      <c r="K124" s="945" t="s">
        <v>720</v>
      </c>
      <c r="L124" s="850" t="s">
        <v>412</v>
      </c>
      <c r="M124" s="891">
        <v>0</v>
      </c>
      <c r="N124" s="891">
        <v>0</v>
      </c>
      <c r="O124" s="890">
        <v>0</v>
      </c>
      <c r="P124" s="946">
        <v>0</v>
      </c>
      <c r="R124" s="969"/>
    </row>
    <row r="125" spans="1:18">
      <c r="A125" s="889" t="s">
        <v>971</v>
      </c>
      <c r="B125" s="889" t="s">
        <v>412</v>
      </c>
      <c r="C125" s="891">
        <v>0</v>
      </c>
      <c r="D125" s="891">
        <v>0</v>
      </c>
      <c r="E125" s="944">
        <v>0</v>
      </c>
      <c r="F125" s="944">
        <v>0</v>
      </c>
      <c r="J125" s="936"/>
      <c r="K125" s="945" t="s">
        <v>971</v>
      </c>
      <c r="L125" s="850" t="s">
        <v>412</v>
      </c>
      <c r="M125" s="891">
        <v>0</v>
      </c>
      <c r="N125" s="891">
        <v>0</v>
      </c>
      <c r="O125" s="890">
        <v>0</v>
      </c>
      <c r="P125" s="946">
        <v>0</v>
      </c>
      <c r="R125" s="969"/>
    </row>
    <row r="126" spans="1:18">
      <c r="A126" s="889" t="s">
        <v>724</v>
      </c>
      <c r="B126" s="889" t="s">
        <v>412</v>
      </c>
      <c r="C126" s="891">
        <v>0</v>
      </c>
      <c r="D126" s="891">
        <v>0</v>
      </c>
      <c r="E126" s="944">
        <v>0</v>
      </c>
      <c r="F126" s="944">
        <v>0</v>
      </c>
      <c r="J126" s="936"/>
      <c r="K126" s="945" t="s">
        <v>724</v>
      </c>
      <c r="L126" s="850" t="s">
        <v>412</v>
      </c>
      <c r="M126" s="891">
        <v>0</v>
      </c>
      <c r="N126" s="891">
        <v>0</v>
      </c>
      <c r="O126" s="890">
        <v>0</v>
      </c>
      <c r="P126" s="946">
        <v>0</v>
      </c>
      <c r="R126" s="969"/>
    </row>
    <row r="127" spans="1:18">
      <c r="A127" s="889" t="s">
        <v>693</v>
      </c>
      <c r="B127" s="889" t="s">
        <v>412</v>
      </c>
      <c r="C127" s="891">
        <v>0</v>
      </c>
      <c r="D127" s="891">
        <v>0</v>
      </c>
      <c r="E127" s="944">
        <v>0</v>
      </c>
      <c r="F127" s="944">
        <v>0</v>
      </c>
      <c r="J127" s="936"/>
      <c r="K127" s="945" t="s">
        <v>693</v>
      </c>
      <c r="L127" s="850" t="s">
        <v>412</v>
      </c>
      <c r="M127" s="891">
        <v>0</v>
      </c>
      <c r="N127" s="891">
        <v>0</v>
      </c>
      <c r="O127" s="890">
        <v>0</v>
      </c>
      <c r="P127" s="946">
        <v>0</v>
      </c>
      <c r="R127" s="969"/>
    </row>
    <row r="128" spans="1:18">
      <c r="A128" s="889" t="s">
        <v>986</v>
      </c>
      <c r="B128" s="889" t="s">
        <v>412</v>
      </c>
      <c r="C128" s="891">
        <v>0</v>
      </c>
      <c r="D128" s="891">
        <v>0</v>
      </c>
      <c r="E128" s="944">
        <v>0</v>
      </c>
      <c r="F128" s="944">
        <v>0</v>
      </c>
      <c r="J128" s="936"/>
      <c r="K128" s="945" t="s">
        <v>840</v>
      </c>
      <c r="L128" s="850" t="s">
        <v>412</v>
      </c>
      <c r="M128" s="891">
        <v>0</v>
      </c>
      <c r="N128" s="891">
        <v>0</v>
      </c>
      <c r="O128" s="890">
        <v>0</v>
      </c>
      <c r="P128" s="946">
        <v>0</v>
      </c>
      <c r="R128" s="969"/>
    </row>
    <row r="129" spans="1:18">
      <c r="A129" s="889" t="s">
        <v>1031</v>
      </c>
      <c r="B129" s="889" t="s">
        <v>412</v>
      </c>
      <c r="C129" s="891">
        <v>0</v>
      </c>
      <c r="D129" s="891">
        <v>0</v>
      </c>
      <c r="E129" s="944">
        <v>0</v>
      </c>
      <c r="F129" s="944">
        <v>0</v>
      </c>
      <c r="J129" s="936"/>
      <c r="K129" s="945" t="s">
        <v>718</v>
      </c>
      <c r="L129" s="850" t="s">
        <v>412</v>
      </c>
      <c r="M129" s="891">
        <v>0</v>
      </c>
      <c r="N129" s="891">
        <v>0</v>
      </c>
      <c r="O129" s="890">
        <v>0</v>
      </c>
      <c r="P129" s="946">
        <v>0</v>
      </c>
      <c r="R129" s="969"/>
    </row>
    <row r="130" spans="1:18">
      <c r="A130" s="889" t="s">
        <v>956</v>
      </c>
      <c r="B130" s="889" t="s">
        <v>412</v>
      </c>
      <c r="C130" s="891">
        <v>0</v>
      </c>
      <c r="D130" s="891">
        <v>0</v>
      </c>
      <c r="E130" s="944">
        <v>0</v>
      </c>
      <c r="F130" s="944">
        <v>0</v>
      </c>
      <c r="J130" s="936"/>
      <c r="K130" s="945" t="s">
        <v>956</v>
      </c>
      <c r="L130" s="850" t="s">
        <v>412</v>
      </c>
      <c r="M130" s="891">
        <v>0</v>
      </c>
      <c r="N130" s="891">
        <v>0</v>
      </c>
      <c r="O130" s="890">
        <v>0</v>
      </c>
      <c r="P130" s="946">
        <v>0</v>
      </c>
      <c r="R130" s="969"/>
    </row>
    <row r="131" spans="1:18">
      <c r="A131" s="889" t="s">
        <v>835</v>
      </c>
      <c r="B131" s="889" t="s">
        <v>412</v>
      </c>
      <c r="C131" s="891">
        <v>0</v>
      </c>
      <c r="D131" s="891">
        <v>0</v>
      </c>
      <c r="E131" s="944">
        <v>0</v>
      </c>
      <c r="F131" s="944">
        <v>0</v>
      </c>
      <c r="J131" s="936"/>
      <c r="K131" s="945" t="s">
        <v>835</v>
      </c>
      <c r="L131" s="850" t="s">
        <v>412</v>
      </c>
      <c r="M131" s="891">
        <v>0</v>
      </c>
      <c r="N131" s="891">
        <v>0</v>
      </c>
      <c r="O131" s="890">
        <v>0</v>
      </c>
      <c r="P131" s="946">
        <v>0</v>
      </c>
      <c r="R131" s="969"/>
    </row>
    <row r="132" spans="1:18">
      <c r="A132" s="889" t="s">
        <v>1000</v>
      </c>
      <c r="B132" s="889" t="s">
        <v>412</v>
      </c>
      <c r="C132" s="891">
        <v>0</v>
      </c>
      <c r="D132" s="891">
        <v>0</v>
      </c>
      <c r="E132" s="944">
        <v>0</v>
      </c>
      <c r="F132" s="944">
        <v>0</v>
      </c>
      <c r="J132" s="936"/>
      <c r="K132" s="945" t="s">
        <v>552</v>
      </c>
      <c r="L132" s="850" t="s">
        <v>412</v>
      </c>
      <c r="M132" s="891">
        <v>0</v>
      </c>
      <c r="N132" s="891">
        <v>0</v>
      </c>
      <c r="O132" s="890">
        <v>0</v>
      </c>
      <c r="P132" s="946">
        <v>0</v>
      </c>
      <c r="R132" s="969"/>
    </row>
    <row r="133" spans="1:18">
      <c r="A133" s="889" t="s">
        <v>643</v>
      </c>
      <c r="B133" s="889" t="s">
        <v>412</v>
      </c>
      <c r="C133" s="891">
        <v>0</v>
      </c>
      <c r="D133" s="891">
        <v>0</v>
      </c>
      <c r="E133" s="944">
        <v>0</v>
      </c>
      <c r="F133" s="944">
        <v>0</v>
      </c>
      <c r="J133" s="936"/>
      <c r="K133" s="945" t="s">
        <v>643</v>
      </c>
      <c r="L133" s="850" t="s">
        <v>412</v>
      </c>
      <c r="M133" s="891">
        <v>0</v>
      </c>
      <c r="N133" s="891">
        <v>0</v>
      </c>
      <c r="O133" s="890">
        <v>0</v>
      </c>
      <c r="P133" s="946">
        <v>0</v>
      </c>
      <c r="R133" s="969"/>
    </row>
    <row r="134" spans="1:18">
      <c r="A134" s="889" t="s">
        <v>627</v>
      </c>
      <c r="B134" s="889" t="s">
        <v>412</v>
      </c>
      <c r="C134" s="891">
        <v>0</v>
      </c>
      <c r="D134" s="891">
        <v>0</v>
      </c>
      <c r="E134" s="944">
        <v>0</v>
      </c>
      <c r="F134" s="944">
        <v>0</v>
      </c>
      <c r="J134" s="936"/>
      <c r="K134" s="945" t="s">
        <v>627</v>
      </c>
      <c r="L134" s="850" t="s">
        <v>412</v>
      </c>
      <c r="M134" s="891">
        <v>0</v>
      </c>
      <c r="N134" s="891">
        <v>0</v>
      </c>
      <c r="O134" s="890">
        <v>0</v>
      </c>
      <c r="P134" s="946">
        <v>0</v>
      </c>
      <c r="R134" s="969"/>
    </row>
    <row r="135" spans="1:18">
      <c r="A135" s="889" t="s">
        <v>1002</v>
      </c>
      <c r="B135" s="889" t="s">
        <v>618</v>
      </c>
      <c r="C135" s="891">
        <v>0</v>
      </c>
      <c r="D135" s="891">
        <v>0</v>
      </c>
      <c r="E135" s="944">
        <v>0</v>
      </c>
      <c r="F135" s="944">
        <v>0</v>
      </c>
      <c r="J135" s="936"/>
      <c r="K135" s="945" t="s">
        <v>719</v>
      </c>
      <c r="L135" s="850" t="s">
        <v>618</v>
      </c>
      <c r="M135" s="891">
        <v>0</v>
      </c>
      <c r="N135" s="891">
        <v>0</v>
      </c>
      <c r="O135" s="890">
        <v>0</v>
      </c>
      <c r="P135" s="946">
        <v>0</v>
      </c>
      <c r="R135" s="969"/>
    </row>
    <row r="136" spans="1:18">
      <c r="A136" s="889" t="s">
        <v>1002</v>
      </c>
      <c r="B136" s="889" t="s">
        <v>412</v>
      </c>
      <c r="C136" s="891">
        <v>0</v>
      </c>
      <c r="D136" s="891">
        <v>0</v>
      </c>
      <c r="E136" s="944">
        <v>0</v>
      </c>
      <c r="F136" s="944">
        <v>0</v>
      </c>
      <c r="J136" s="936"/>
      <c r="K136" s="945" t="s">
        <v>719</v>
      </c>
      <c r="L136" s="850" t="s">
        <v>412</v>
      </c>
      <c r="M136" s="891">
        <v>0</v>
      </c>
      <c r="N136" s="891">
        <v>0</v>
      </c>
      <c r="O136" s="890">
        <v>0</v>
      </c>
      <c r="P136" s="946">
        <v>0</v>
      </c>
      <c r="R136" s="969"/>
    </row>
    <row r="137" spans="1:18">
      <c r="A137" s="889" t="s">
        <v>700</v>
      </c>
      <c r="B137" s="889" t="s">
        <v>412</v>
      </c>
      <c r="C137" s="891">
        <v>0</v>
      </c>
      <c r="D137" s="891">
        <v>0</v>
      </c>
      <c r="E137" s="944">
        <v>0</v>
      </c>
      <c r="F137" s="944">
        <v>0</v>
      </c>
      <c r="J137" s="936"/>
      <c r="K137" s="945" t="s">
        <v>700</v>
      </c>
      <c r="L137" s="850" t="s">
        <v>412</v>
      </c>
      <c r="M137" s="891">
        <v>0</v>
      </c>
      <c r="N137" s="891">
        <v>0</v>
      </c>
      <c r="O137" s="890">
        <v>0</v>
      </c>
      <c r="P137" s="946">
        <v>0</v>
      </c>
      <c r="R137" s="969"/>
    </row>
    <row r="138" spans="1:18">
      <c r="A138" s="889" t="s">
        <v>644</v>
      </c>
      <c r="B138" s="889" t="s">
        <v>412</v>
      </c>
      <c r="C138" s="891">
        <v>0</v>
      </c>
      <c r="D138" s="891">
        <v>0</v>
      </c>
      <c r="E138" s="944">
        <v>0</v>
      </c>
      <c r="F138" s="944">
        <v>0</v>
      </c>
      <c r="J138" s="936"/>
      <c r="K138" s="945" t="s">
        <v>1048</v>
      </c>
      <c r="L138" s="850" t="s">
        <v>412</v>
      </c>
      <c r="M138" s="891">
        <v>0</v>
      </c>
      <c r="N138" s="891">
        <v>0</v>
      </c>
      <c r="O138" s="890">
        <v>0</v>
      </c>
      <c r="P138" s="946">
        <v>0</v>
      </c>
      <c r="R138" s="969"/>
    </row>
    <row r="139" spans="1:18">
      <c r="A139" s="889"/>
      <c r="B139" s="889"/>
      <c r="C139" s="931"/>
      <c r="D139" s="931"/>
      <c r="E139" s="932"/>
      <c r="F139" s="932"/>
      <c r="J139" s="936"/>
      <c r="K139" s="945"/>
      <c r="L139" s="850"/>
      <c r="M139" s="931"/>
      <c r="N139" s="931"/>
      <c r="O139" s="890"/>
      <c r="P139" s="960"/>
      <c r="R139" s="969"/>
    </row>
    <row r="140" spans="1:18" ht="13.8" thickBot="1">
      <c r="A140" s="947" t="s">
        <v>1065</v>
      </c>
      <c r="B140" s="947"/>
      <c r="C140" s="948"/>
      <c r="D140" s="948"/>
      <c r="E140" s="949"/>
      <c r="F140" s="949"/>
      <c r="G140" s="950"/>
      <c r="H140" s="951"/>
      <c r="I140" s="951"/>
      <c r="J140" s="951"/>
      <c r="K140" s="952"/>
      <c r="L140" s="953"/>
      <c r="M140" s="948"/>
      <c r="N140" s="948"/>
      <c r="O140" s="954"/>
      <c r="P140" s="955"/>
      <c r="Q140" s="934"/>
      <c r="R140" s="969"/>
    </row>
    <row r="141" spans="1:18">
      <c r="A141" s="889" t="s">
        <v>1034</v>
      </c>
      <c r="B141" s="889" t="s">
        <v>547</v>
      </c>
      <c r="C141" s="931">
        <v>77</v>
      </c>
      <c r="D141" s="931">
        <v>21846</v>
      </c>
      <c r="E141" s="932">
        <v>0</v>
      </c>
      <c r="F141" s="932">
        <v>0</v>
      </c>
      <c r="J141" s="936"/>
      <c r="R141" s="969"/>
    </row>
    <row r="142" spans="1:18">
      <c r="A142" s="889" t="s">
        <v>1008</v>
      </c>
      <c r="B142" s="889" t="s">
        <v>258</v>
      </c>
      <c r="C142" s="931">
        <v>120</v>
      </c>
      <c r="D142" s="931">
        <v>26417</v>
      </c>
      <c r="E142" s="932">
        <v>0</v>
      </c>
      <c r="F142" s="932">
        <v>0</v>
      </c>
      <c r="J142" s="936"/>
      <c r="K142" s="945"/>
      <c r="L142" s="850"/>
      <c r="M142" s="931"/>
      <c r="N142" s="931"/>
      <c r="O142" s="890"/>
      <c r="P142" s="960"/>
      <c r="R142" s="969"/>
    </row>
    <row r="143" spans="1:18">
      <c r="A143" s="889" t="s">
        <v>1010</v>
      </c>
      <c r="B143" s="889" t="s">
        <v>547</v>
      </c>
      <c r="C143" s="931">
        <v>131</v>
      </c>
      <c r="D143" s="931">
        <v>28086</v>
      </c>
      <c r="E143" s="932">
        <v>0</v>
      </c>
      <c r="F143" s="932">
        <v>0</v>
      </c>
      <c r="J143" s="936"/>
      <c r="K143" s="958"/>
      <c r="L143" s="850"/>
      <c r="M143" s="891"/>
      <c r="N143" s="891"/>
      <c r="O143" s="890"/>
      <c r="P143" s="946"/>
      <c r="R143" s="969"/>
    </row>
    <row r="144" spans="1:18">
      <c r="A144" s="889" t="s">
        <v>685</v>
      </c>
      <c r="B144" s="889" t="s">
        <v>547</v>
      </c>
      <c r="C144" s="891">
        <v>145</v>
      </c>
      <c r="D144" s="891">
        <v>35169</v>
      </c>
      <c r="E144" s="890">
        <v>0</v>
      </c>
      <c r="F144" s="890">
        <v>0</v>
      </c>
      <c r="J144" s="936"/>
      <c r="K144" s="945"/>
      <c r="L144" s="850"/>
      <c r="M144" s="931"/>
      <c r="N144" s="931"/>
      <c r="O144" s="890"/>
      <c r="P144" s="960"/>
      <c r="R144" s="969"/>
    </row>
    <row r="145" spans="1:18">
      <c r="A145" s="889" t="s">
        <v>1018</v>
      </c>
      <c r="B145" s="889" t="s">
        <v>264</v>
      </c>
      <c r="C145" s="931">
        <v>0</v>
      </c>
      <c r="D145" s="931">
        <v>0</v>
      </c>
      <c r="E145" s="961">
        <v>0</v>
      </c>
      <c r="F145" s="961">
        <v>0</v>
      </c>
      <c r="J145" s="936"/>
      <c r="K145" s="958"/>
      <c r="L145" s="850"/>
      <c r="M145" s="931"/>
      <c r="N145" s="931"/>
      <c r="O145" s="890"/>
      <c r="P145" s="960"/>
      <c r="R145" s="969"/>
    </row>
    <row r="146" spans="1:18">
      <c r="A146" s="889" t="s">
        <v>838</v>
      </c>
      <c r="B146" s="889" t="s">
        <v>546</v>
      </c>
      <c r="C146" s="931">
        <v>0</v>
      </c>
      <c r="D146" s="931">
        <v>0</v>
      </c>
      <c r="E146" s="932">
        <v>480</v>
      </c>
      <c r="F146" s="932">
        <v>0</v>
      </c>
      <c r="J146" s="936"/>
      <c r="K146" s="945"/>
      <c r="L146" s="850"/>
      <c r="M146" s="891"/>
      <c r="N146" s="891"/>
      <c r="O146" s="890"/>
      <c r="P146" s="946"/>
      <c r="R146" s="969"/>
    </row>
    <row r="147" spans="1:18">
      <c r="A147" s="889"/>
      <c r="B147" s="889"/>
      <c r="C147" s="931"/>
      <c r="D147" s="931"/>
      <c r="E147" s="961"/>
      <c r="F147" s="961"/>
      <c r="J147" s="936"/>
      <c r="K147" s="945" t="s">
        <v>623</v>
      </c>
      <c r="L147" s="850" t="s">
        <v>258</v>
      </c>
      <c r="M147" s="891">
        <v>0</v>
      </c>
      <c r="N147" s="891">
        <v>0</v>
      </c>
      <c r="O147" s="890">
        <v>155</v>
      </c>
      <c r="P147" s="946">
        <v>47547</v>
      </c>
      <c r="R147" s="969"/>
    </row>
    <row r="148" spans="1:18">
      <c r="A148" s="889"/>
      <c r="B148" s="889"/>
      <c r="C148" s="931"/>
      <c r="D148" s="931"/>
      <c r="E148" s="961"/>
      <c r="F148" s="961"/>
      <c r="J148" s="936"/>
      <c r="K148" s="958" t="s">
        <v>715</v>
      </c>
      <c r="L148" s="850" t="s">
        <v>412</v>
      </c>
      <c r="M148" s="931">
        <v>0</v>
      </c>
      <c r="N148" s="931">
        <v>0</v>
      </c>
      <c r="O148" s="890">
        <v>0</v>
      </c>
      <c r="P148" s="960">
        <v>0</v>
      </c>
      <c r="R148" s="969"/>
    </row>
    <row r="149" spans="1:18">
      <c r="A149" s="889"/>
      <c r="B149" s="889"/>
      <c r="C149" s="931"/>
      <c r="D149" s="931"/>
      <c r="E149" s="932"/>
      <c r="F149" s="932"/>
      <c r="J149" s="936"/>
      <c r="K149" s="945" t="s">
        <v>846</v>
      </c>
      <c r="L149" s="850" t="s">
        <v>618</v>
      </c>
      <c r="M149" s="931">
        <v>120</v>
      </c>
      <c r="N149" s="931">
        <v>19719</v>
      </c>
      <c r="O149" s="890">
        <v>0</v>
      </c>
      <c r="P149" s="960">
        <v>0</v>
      </c>
      <c r="R149" s="969"/>
    </row>
    <row r="150" spans="1:18">
      <c r="A150" s="889"/>
      <c r="B150" s="889"/>
      <c r="C150" s="931"/>
      <c r="D150" s="931"/>
      <c r="E150" s="932"/>
      <c r="F150" s="932"/>
      <c r="J150" s="936"/>
      <c r="K150" s="958" t="s">
        <v>844</v>
      </c>
      <c r="L150" s="850" t="s">
        <v>264</v>
      </c>
      <c r="M150" s="931">
        <v>137</v>
      </c>
      <c r="N150" s="931">
        <v>38000</v>
      </c>
      <c r="O150" s="890">
        <v>0</v>
      </c>
      <c r="P150" s="960">
        <v>0</v>
      </c>
      <c r="R150" s="969"/>
    </row>
    <row r="151" spans="1:18">
      <c r="R151" s="969"/>
    </row>
    <row r="152" spans="1:18">
      <c r="R152" s="969"/>
    </row>
    <row r="153" spans="1:18">
      <c r="R153" s="969"/>
    </row>
    <row r="154" spans="1:18">
      <c r="R154" s="969"/>
    </row>
    <row r="155" spans="1:18">
      <c r="R155" s="969"/>
    </row>
    <row r="156" spans="1:18">
      <c r="R156" s="969"/>
    </row>
    <row r="157" spans="1:18">
      <c r="R157" s="969"/>
    </row>
    <row r="158" spans="1:18">
      <c r="R158" s="969"/>
    </row>
    <row r="159" spans="1:18">
      <c r="R159" s="969"/>
    </row>
    <row r="160" spans="1:18">
      <c r="R160" s="969"/>
    </row>
    <row r="161" spans="18:18">
      <c r="R161" s="969"/>
    </row>
    <row r="162" spans="18:18">
      <c r="R162" s="969"/>
    </row>
    <row r="163" spans="18:18">
      <c r="R163" s="969"/>
    </row>
    <row r="164" spans="18:18">
      <c r="R164" s="969"/>
    </row>
    <row r="165" spans="18:18">
      <c r="R165" s="969"/>
    </row>
    <row r="166" spans="18:18">
      <c r="R166" s="969"/>
    </row>
    <row r="167" spans="18:18">
      <c r="R167" s="969"/>
    </row>
    <row r="168" spans="18:18">
      <c r="R168" s="969"/>
    </row>
    <row r="169" spans="18:18">
      <c r="R169" s="969"/>
    </row>
    <row r="170" spans="18:18">
      <c r="R170" s="969"/>
    </row>
    <row r="171" spans="18:18">
      <c r="R171" s="969"/>
    </row>
    <row r="172" spans="18:18">
      <c r="R172" s="969"/>
    </row>
    <row r="173" spans="18:18">
      <c r="R173" s="969"/>
    </row>
    <row r="174" spans="18:18">
      <c r="R174" s="969"/>
    </row>
    <row r="175" spans="18:18">
      <c r="R175" s="969"/>
    </row>
    <row r="176" spans="18:18">
      <c r="R176" s="969"/>
    </row>
    <row r="177" spans="18:18">
      <c r="R177" s="969"/>
    </row>
    <row r="178" spans="18:18">
      <c r="R178" s="969"/>
    </row>
    <row r="179" spans="18:18">
      <c r="R179" s="969"/>
    </row>
    <row r="180" spans="18:18">
      <c r="R180" s="969"/>
    </row>
    <row r="181" spans="18:18">
      <c r="R181" s="969"/>
    </row>
    <row r="182" spans="18:18">
      <c r="R182" s="969"/>
    </row>
    <row r="183" spans="18:18">
      <c r="R183" s="969"/>
    </row>
    <row r="184" spans="18:18">
      <c r="R184" s="969"/>
    </row>
    <row r="185" spans="18:18">
      <c r="R185" s="969"/>
    </row>
    <row r="186" spans="18:18">
      <c r="R186" s="969"/>
    </row>
    <row r="187" spans="18:18">
      <c r="R187" s="969"/>
    </row>
    <row r="188" spans="18:18">
      <c r="R188" s="969"/>
    </row>
    <row r="189" spans="18:18">
      <c r="R189" s="969"/>
    </row>
    <row r="190" spans="18:18">
      <c r="R190" s="969"/>
    </row>
    <row r="191" spans="18:18">
      <c r="R191" s="969"/>
    </row>
    <row r="192" spans="18:18">
      <c r="R192" s="969"/>
    </row>
    <row r="193" spans="18:18">
      <c r="R193" s="969"/>
    </row>
    <row r="194" spans="18:18">
      <c r="R194" s="969"/>
    </row>
    <row r="195" spans="18:18">
      <c r="R195" s="969"/>
    </row>
    <row r="196" spans="18:18">
      <c r="R196" s="969"/>
    </row>
    <row r="197" spans="18:18">
      <c r="R197" s="969"/>
    </row>
    <row r="198" spans="18:18">
      <c r="R198" s="969"/>
    </row>
    <row r="199" spans="18:18">
      <c r="R199" s="969"/>
    </row>
    <row r="200" spans="18:18">
      <c r="R200" s="969"/>
    </row>
    <row r="201" spans="18:18">
      <c r="R201" s="969"/>
    </row>
    <row r="202" spans="18:18">
      <c r="R202" s="969"/>
    </row>
    <row r="203" spans="18:18">
      <c r="R203" s="969"/>
    </row>
    <row r="204" spans="18:18">
      <c r="R204" s="969"/>
    </row>
    <row r="205" spans="18:18">
      <c r="R205" s="969"/>
    </row>
    <row r="206" spans="18:18">
      <c r="R206" s="969"/>
    </row>
    <row r="207" spans="18:18">
      <c r="R207" s="969"/>
    </row>
    <row r="208" spans="18:18">
      <c r="R208" s="969"/>
    </row>
    <row r="209" spans="18:18">
      <c r="R209" s="969"/>
    </row>
  </sheetData>
  <autoFilter ref="A3:Q149" xr:uid="{00000000-0009-0000-0000-000016000000}"/>
  <sortState xmlns:xlrd2="http://schemas.microsoft.com/office/spreadsheetml/2017/richdata2" ref="A6:Q49">
    <sortCondition ref="I6:I49"/>
    <sortCondition ref="J6:J49"/>
  </sortState>
  <pageMargins left="0.7" right="0.7" top="0.75" bottom="0.75" header="0.3" footer="0.3"/>
  <pageSetup scale="45" fitToHeight="0" orientation="portrait" r:id="rId1"/>
  <customProperties>
    <customPr name="OrphanNamesChecke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2:R179"/>
  <sheetViews>
    <sheetView showGridLines="0" view="pageBreakPreview" topLeftCell="A56" zoomScale="69" zoomScaleNormal="70" zoomScaleSheetLayoutView="69" workbookViewId="0">
      <selection activeCell="P21" sqref="P21"/>
    </sheetView>
  </sheetViews>
  <sheetFormatPr defaultRowHeight="15"/>
  <cols>
    <col min="1" max="1" width="35.08984375" customWidth="1"/>
    <col min="2" max="8" width="14.453125" customWidth="1"/>
  </cols>
  <sheetData>
    <row r="2" spans="1:18" s="127" customFormat="1" ht="25.5" customHeight="1">
      <c r="A2" s="246" t="s">
        <v>267</v>
      </c>
    </row>
    <row r="3" spans="1:18" s="116" customFormat="1" ht="27" customHeight="1">
      <c r="A3" s="371" t="s">
        <v>834</v>
      </c>
      <c r="B3" s="117" t="s">
        <v>268</v>
      </c>
      <c r="C3" s="117" t="s">
        <v>269</v>
      </c>
      <c r="D3" s="117" t="s">
        <v>270</v>
      </c>
      <c r="E3" s="117" t="s">
        <v>271</v>
      </c>
      <c r="F3" s="117" t="s">
        <v>271</v>
      </c>
      <c r="G3" s="117" t="s">
        <v>272</v>
      </c>
      <c r="H3" s="117" t="s">
        <v>273</v>
      </c>
      <c r="I3" s="117"/>
      <c r="L3" s="887"/>
    </row>
    <row r="4" spans="1:18" s="116" customFormat="1" ht="14.4" thickBot="1">
      <c r="B4" s="119" t="s">
        <v>274</v>
      </c>
      <c r="C4" s="119" t="s">
        <v>275</v>
      </c>
      <c r="D4" s="119" t="s">
        <v>734</v>
      </c>
      <c r="E4" s="119" t="s">
        <v>276</v>
      </c>
      <c r="F4" s="119" t="s">
        <v>277</v>
      </c>
      <c r="G4" s="119" t="s">
        <v>278</v>
      </c>
      <c r="H4" s="119" t="s">
        <v>279</v>
      </c>
      <c r="I4" s="320"/>
      <c r="L4" s="887"/>
    </row>
    <row r="5" spans="1:18" s="116" customFormat="1" ht="13.8">
      <c r="A5" s="121" t="s">
        <v>950</v>
      </c>
      <c r="B5" s="122">
        <f>FL_FME_p.employee</f>
        <v>4.5</v>
      </c>
      <c r="C5" s="122">
        <f>SE_FME_p.employee</f>
        <v>3.7</v>
      </c>
      <c r="D5" s="122">
        <f>BOCA_FME_p.employee</f>
        <v>3.3</v>
      </c>
      <c r="E5" s="122">
        <f>SW_FME_p.employee</f>
        <v>4.2</v>
      </c>
      <c r="F5" s="122">
        <f>SWCIRA_FME_p.employee</f>
        <v>8.9</v>
      </c>
      <c r="G5" s="122">
        <f>NC_FME_p.employee</f>
        <v>4.9000000000000004</v>
      </c>
      <c r="H5" s="122">
        <f>YB_FME_p.employee</f>
        <v>8.6</v>
      </c>
      <c r="I5" s="121"/>
      <c r="L5" s="887"/>
    </row>
    <row r="6" spans="1:18" s="116" customFormat="1" ht="13.8">
      <c r="A6" s="120" t="s">
        <v>951</v>
      </c>
      <c r="B6" s="120">
        <f>FL_3rdparty_debt_perFME</f>
        <v>8640</v>
      </c>
      <c r="C6" s="120">
        <f>SE_3rdparty_debt_perFME</f>
        <v>10650</v>
      </c>
      <c r="D6" s="120">
        <f>BOCA_3rdparty_debt_perFME</f>
        <v>13300</v>
      </c>
      <c r="E6" s="120">
        <f>SW_3rdparty_debt_perFME</f>
        <v>11630</v>
      </c>
      <c r="F6" s="120">
        <f>SWCIRA_3rdparty_debt_perFME</f>
        <v>1270</v>
      </c>
      <c r="G6" s="120">
        <f>NC_3rdparty_debt_perFME</f>
        <v>5410</v>
      </c>
      <c r="H6" s="120">
        <f>YB_3rdparty_debt_perFME</f>
        <v>9800</v>
      </c>
      <c r="I6" s="121"/>
      <c r="L6" s="887"/>
    </row>
    <row r="7" spans="1:18" s="116" customFormat="1" ht="13.8">
      <c r="A7" s="121" t="s">
        <v>949</v>
      </c>
      <c r="B7" s="120">
        <f>-FL_FB_loss_p.FME</f>
        <v>2670</v>
      </c>
      <c r="C7" s="120">
        <f>-SE_FB_loss_p.FME</f>
        <v>2970</v>
      </c>
      <c r="D7" s="120">
        <f>-BOCA_FB_loss_p.FME</f>
        <v>5820</v>
      </c>
      <c r="E7" s="120">
        <f>-SW_FB_loss_p.FME</f>
        <v>1960</v>
      </c>
      <c r="F7" s="120">
        <f>-SWCIRA_FB_loss_p.FME</f>
        <v>1020</v>
      </c>
      <c r="G7" s="120">
        <f>-NC_FB_loss_p.FME</f>
        <v>1750</v>
      </c>
      <c r="H7" s="120">
        <f>-YB_FB_loss_p.FME</f>
        <v>1330</v>
      </c>
      <c r="I7" s="121"/>
      <c r="L7" s="887"/>
    </row>
    <row r="8" spans="1:18">
      <c r="A8" s="866"/>
      <c r="B8" s="866"/>
      <c r="C8" s="866"/>
      <c r="D8" s="866"/>
      <c r="E8" s="866"/>
      <c r="F8" s="866"/>
      <c r="G8" s="866"/>
      <c r="H8" s="866"/>
      <c r="L8" s="887"/>
    </row>
    <row r="9" spans="1:18" s="116" customFormat="1" ht="13.8">
      <c r="A9" s="121" t="s">
        <v>817</v>
      </c>
      <c r="B9" s="122" t="e">
        <f>FL_mem_p.employee</f>
        <v>#REF!</v>
      </c>
      <c r="C9" s="122" t="e">
        <f>SE_mem_p.employee</f>
        <v>#REF!</v>
      </c>
      <c r="D9" s="122" t="e">
        <f>BOCA_mem_p.employee</f>
        <v>#REF!</v>
      </c>
      <c r="E9" s="122" t="e">
        <f>SW_mem_p.employee</f>
        <v>#REF!</v>
      </c>
      <c r="F9" s="122" t="e">
        <f>SWCIRA_mem_p.employee</f>
        <v>#REF!</v>
      </c>
      <c r="G9" s="122" t="e">
        <f>NC_mem_p.employee</f>
        <v>#REF!</v>
      </c>
      <c r="H9" s="122" t="e">
        <f>YB_mem_p.employee</f>
        <v>#REF!</v>
      </c>
      <c r="I9" s="121"/>
      <c r="L9" s="887"/>
    </row>
    <row r="10" spans="1:18" s="116" customFormat="1" ht="13.8">
      <c r="A10" s="120" t="s">
        <v>814</v>
      </c>
      <c r="B10" s="120" t="e">
        <f>FL_3rdparty_debt_permem</f>
        <v>#REF!</v>
      </c>
      <c r="C10" s="120" t="e">
        <f>SE_3rdparty_debt_permem</f>
        <v>#REF!</v>
      </c>
      <c r="D10" s="120" t="e">
        <f>BOCA_3rdparty_debt_permem</f>
        <v>#REF!</v>
      </c>
      <c r="E10" s="120" t="e">
        <f>SW_3rdparty_debt_permem</f>
        <v>#REF!</v>
      </c>
      <c r="F10" s="120" t="e">
        <f>SWCIRA_3rdparty_debt_permem</f>
        <v>#REF!</v>
      </c>
      <c r="G10" s="120" t="e">
        <f>NC_3rdparty_debt_permem</f>
        <v>#REF!</v>
      </c>
      <c r="H10" s="120" t="e">
        <f>YB_3rdparty_debt_permem</f>
        <v>#REF!</v>
      </c>
      <c r="I10" s="121"/>
      <c r="L10" s="887"/>
    </row>
    <row r="11" spans="1:18" s="116" customFormat="1" ht="13.8">
      <c r="A11" s="121" t="s">
        <v>859</v>
      </c>
      <c r="B11" s="120">
        <f>-FL_FB_loss_p.mem</f>
        <v>2290</v>
      </c>
      <c r="C11" s="120">
        <f>-SE_FB_loss_p.mem</f>
        <v>2790</v>
      </c>
      <c r="D11" s="120">
        <f>-BOCA_FB_loss_p.mem</f>
        <v>5130</v>
      </c>
      <c r="E11" s="120">
        <f>-SW_FB_loss_p.mem</f>
        <v>1490</v>
      </c>
      <c r="F11" s="120">
        <f>-SWCIRA_FB_loss_p.mem</f>
        <v>880</v>
      </c>
      <c r="G11" s="120">
        <f>-NC_FB_loss_p.mem</f>
        <v>1480</v>
      </c>
      <c r="H11" s="120">
        <f>-YB_FB_loss_p.mem</f>
        <v>1190</v>
      </c>
      <c r="I11" s="121"/>
      <c r="L11" s="887"/>
    </row>
    <row r="12" spans="1:18">
      <c r="A12" s="866"/>
      <c r="B12" s="866"/>
      <c r="C12" s="866"/>
      <c r="D12" s="866"/>
      <c r="E12" s="866"/>
      <c r="F12" s="866"/>
      <c r="G12" s="866"/>
      <c r="H12" s="866"/>
      <c r="L12" s="887"/>
    </row>
    <row r="13" spans="1:18">
      <c r="A13" s="866"/>
      <c r="B13" s="866"/>
      <c r="C13" s="866"/>
      <c r="D13" s="866"/>
      <c r="E13" s="866"/>
      <c r="F13" s="866"/>
      <c r="G13" s="866"/>
      <c r="H13" s="866"/>
      <c r="L13" s="887"/>
    </row>
    <row r="14" spans="1:18" ht="21">
      <c r="A14" s="246" t="s">
        <v>937</v>
      </c>
      <c r="B14" s="136"/>
      <c r="C14" s="136"/>
      <c r="D14" s="136"/>
      <c r="E14" s="136"/>
      <c r="F14" s="136"/>
      <c r="G14" s="136"/>
      <c r="H14" s="136"/>
      <c r="I14" s="230"/>
      <c r="J14" s="230"/>
      <c r="K14" s="230"/>
      <c r="L14" s="887"/>
      <c r="M14" s="230"/>
      <c r="N14" s="230"/>
      <c r="O14" s="230"/>
      <c r="P14" s="230"/>
      <c r="Q14" s="230"/>
      <c r="R14" s="230"/>
    </row>
    <row r="15" spans="1:18" ht="15.6">
      <c r="A15" s="149"/>
      <c r="B15" s="136"/>
      <c r="C15" s="136"/>
      <c r="D15" s="136"/>
      <c r="E15" s="136"/>
      <c r="F15" s="136"/>
      <c r="G15" s="136"/>
      <c r="H15" s="136"/>
      <c r="I15" s="230"/>
      <c r="L15" s="887"/>
    </row>
    <row r="16" spans="1:18" ht="27.6">
      <c r="A16" s="136"/>
      <c r="B16" s="137" t="s">
        <v>577</v>
      </c>
      <c r="C16" s="137" t="s">
        <v>759</v>
      </c>
      <c r="D16" s="137" t="s">
        <v>733</v>
      </c>
      <c r="E16" s="137" t="s">
        <v>579</v>
      </c>
      <c r="F16" s="137" t="s">
        <v>760</v>
      </c>
      <c r="G16" s="137" t="s">
        <v>596</v>
      </c>
      <c r="H16" s="137" t="s">
        <v>467</v>
      </c>
      <c r="I16" s="230"/>
      <c r="L16" s="887"/>
    </row>
    <row r="17" spans="1:18">
      <c r="A17" s="138" t="s">
        <v>981</v>
      </c>
      <c r="B17" s="232">
        <f>FL_Cap_addns_perFME</f>
        <v>5410</v>
      </c>
      <c r="C17" s="232">
        <f>SE_Cap_addns_perFME</f>
        <v>6730</v>
      </c>
      <c r="D17" s="232">
        <f>BOCA_Cap_addns_perFME</f>
        <v>8890</v>
      </c>
      <c r="E17" s="232">
        <f>SW_Cap_addns_perFME</f>
        <v>6540</v>
      </c>
      <c r="F17" s="232">
        <f>SWCIRA_Cap_addns_perFME</f>
        <v>1420</v>
      </c>
      <c r="G17" s="232">
        <f>NC_Cap_addns_perFME</f>
        <v>4030</v>
      </c>
      <c r="H17" s="232">
        <f>YB_Cap_addns_perFME</f>
        <v>2680</v>
      </c>
      <c r="I17" s="230"/>
      <c r="L17" s="887"/>
    </row>
    <row r="18" spans="1:18">
      <c r="A18" s="138" t="s">
        <v>938</v>
      </c>
      <c r="B18" s="232">
        <v>2390</v>
      </c>
      <c r="C18" s="232">
        <v>3460</v>
      </c>
      <c r="D18" s="232">
        <v>3190</v>
      </c>
      <c r="E18" s="232">
        <v>2490</v>
      </c>
      <c r="F18" s="232">
        <v>1290</v>
      </c>
      <c r="G18" s="232">
        <v>1810</v>
      </c>
      <c r="H18" s="232">
        <v>700</v>
      </c>
      <c r="I18" s="230"/>
    </row>
    <row r="19" spans="1:18" hidden="1">
      <c r="A19" s="138" t="s">
        <v>939</v>
      </c>
      <c r="B19" s="232">
        <f>FL_BudCap_addns_perFME</f>
        <v>9530</v>
      </c>
      <c r="C19" s="232">
        <f>SE_BudCap_addns_perFME</f>
        <v>8360</v>
      </c>
      <c r="D19" s="232">
        <f>BOCA_BudCap_addns_perFME</f>
        <v>15540</v>
      </c>
      <c r="E19" s="232">
        <f>SW_BudCap_addns_perFME</f>
        <v>10270</v>
      </c>
      <c r="F19" s="232">
        <f>SWCIRA_BudCap_addns_perFME</f>
        <v>5550</v>
      </c>
      <c r="G19" s="232">
        <f>NC_BudCap_addns_perFME</f>
        <v>7770</v>
      </c>
      <c r="H19" s="232">
        <f>YB_BudCap_addns_perFME</f>
        <v>4270</v>
      </c>
      <c r="I19" s="230"/>
    </row>
    <row r="20" spans="1:18" ht="15.6">
      <c r="A20" s="138" t="s">
        <v>977</v>
      </c>
      <c r="B20" s="232">
        <f t="shared" ref="B20:H20" si="0">J25</f>
        <v>10010</v>
      </c>
      <c r="C20" s="232">
        <f t="shared" si="0"/>
        <v>14330</v>
      </c>
      <c r="D20" s="232">
        <f t="shared" si="0"/>
        <v>14300</v>
      </c>
      <c r="E20" s="232">
        <f t="shared" si="0"/>
        <v>11720</v>
      </c>
      <c r="F20" s="232">
        <f t="shared" si="0"/>
        <v>3750</v>
      </c>
      <c r="G20" s="232">
        <f t="shared" si="0"/>
        <v>7290</v>
      </c>
      <c r="H20" s="232">
        <f t="shared" si="0"/>
        <v>4180</v>
      </c>
      <c r="I20" s="764">
        <v>2014</v>
      </c>
      <c r="J20" s="230">
        <f>FL_Cap_addns_perFME</f>
        <v>5410</v>
      </c>
      <c r="K20" s="230">
        <f>SE_Cap_addns_perFME</f>
        <v>6730</v>
      </c>
      <c r="L20" s="230">
        <f>BOCA_Cap_addns_perFME</f>
        <v>8890</v>
      </c>
      <c r="M20" s="230">
        <f>SW_Cap_addns_perFME</f>
        <v>6540</v>
      </c>
      <c r="N20" s="230">
        <f>SWCIRA_Cap_addns_perFME</f>
        <v>1420</v>
      </c>
      <c r="O20" s="230">
        <f>NC_Cap_addns_perFME</f>
        <v>4030</v>
      </c>
      <c r="P20" s="983">
        <f>YB_Cap_addns_perFME</f>
        <v>2680</v>
      </c>
      <c r="Q20" s="230" t="s">
        <v>933</v>
      </c>
    </row>
    <row r="21" spans="1:18" ht="15.6">
      <c r="A21" s="136"/>
      <c r="B21" s="136"/>
      <c r="C21" s="136"/>
      <c r="D21" s="136"/>
      <c r="E21" s="136"/>
      <c r="F21" s="136"/>
      <c r="G21" s="136"/>
      <c r="H21" s="136"/>
      <c r="I21" s="764">
        <v>2013</v>
      </c>
      <c r="J21" s="230">
        <v>2390</v>
      </c>
      <c r="K21" s="230">
        <v>3460</v>
      </c>
      <c r="L21" s="230">
        <v>3190</v>
      </c>
      <c r="M21" s="230">
        <v>2490</v>
      </c>
      <c r="N21" s="230">
        <v>1290</v>
      </c>
      <c r="O21" s="230">
        <v>1810</v>
      </c>
      <c r="P21" s="983">
        <v>900</v>
      </c>
      <c r="Q21" s="230" t="s">
        <v>933</v>
      </c>
    </row>
    <row r="22" spans="1:18">
      <c r="A22" s="136"/>
      <c r="B22" s="230"/>
      <c r="C22" s="230"/>
      <c r="D22" s="230"/>
      <c r="E22" s="230"/>
      <c r="F22" s="230"/>
      <c r="G22" s="230"/>
      <c r="H22" s="230"/>
      <c r="I22" s="764">
        <v>2012</v>
      </c>
      <c r="J22" s="230">
        <v>2210</v>
      </c>
      <c r="K22" s="230">
        <v>4140</v>
      </c>
      <c r="L22" s="230">
        <v>2220</v>
      </c>
      <c r="M22" s="230">
        <v>2690</v>
      </c>
      <c r="N22" s="230">
        <v>1040</v>
      </c>
      <c r="O22" s="230">
        <v>1450</v>
      </c>
      <c r="P22" s="230">
        <v>600</v>
      </c>
      <c r="Q22" s="230" t="s">
        <v>933</v>
      </c>
    </row>
    <row r="23" spans="1:18">
      <c r="A23" s="136"/>
      <c r="B23" s="230"/>
      <c r="C23" s="230"/>
      <c r="D23" s="230"/>
      <c r="E23" s="230"/>
      <c r="F23" s="230"/>
      <c r="G23" s="230"/>
      <c r="H23" s="230"/>
      <c r="I23" s="764">
        <v>2011</v>
      </c>
      <c r="J23" s="230">
        <v>2470</v>
      </c>
      <c r="K23" s="230">
        <v>3160</v>
      </c>
      <c r="L23" s="230">
        <v>4220</v>
      </c>
      <c r="M23" s="230">
        <v>3030</v>
      </c>
      <c r="N23" s="230">
        <v>560</v>
      </c>
      <c r="O23" s="230">
        <v>1910</v>
      </c>
      <c r="P23" s="230">
        <v>660</v>
      </c>
      <c r="Q23" s="230" t="s">
        <v>933</v>
      </c>
    </row>
    <row r="24" spans="1:18" ht="20.399999999999999">
      <c r="A24" s="242"/>
      <c r="B24" s="230"/>
      <c r="C24" s="230"/>
      <c r="D24" s="230"/>
      <c r="E24" s="230"/>
      <c r="F24" s="230"/>
      <c r="G24" s="230"/>
      <c r="H24" s="230"/>
      <c r="I24" s="777">
        <v>2010</v>
      </c>
      <c r="J24" s="778">
        <v>1600</v>
      </c>
      <c r="K24" s="778">
        <v>2100</v>
      </c>
      <c r="L24" s="778">
        <v>2100</v>
      </c>
      <c r="M24" s="778">
        <v>1900</v>
      </c>
      <c r="N24" s="778">
        <v>1000</v>
      </c>
      <c r="O24" s="778">
        <v>900</v>
      </c>
      <c r="P24" s="778">
        <v>1100</v>
      </c>
      <c r="Q24" s="230"/>
    </row>
    <row r="25" spans="1:18">
      <c r="A25" s="136"/>
      <c r="B25" s="230"/>
      <c r="C25" s="230"/>
      <c r="D25" s="230"/>
      <c r="E25" s="230"/>
      <c r="F25" s="230"/>
      <c r="G25" s="230"/>
      <c r="H25" s="230"/>
      <c r="I25" s="764"/>
      <c r="J25" s="230">
        <f>SUM(J20:J22)</f>
        <v>10010</v>
      </c>
      <c r="K25" s="230">
        <f t="shared" ref="K25:P25" si="1">SUM(K20:K22)</f>
        <v>14330</v>
      </c>
      <c r="L25" s="230">
        <f t="shared" si="1"/>
        <v>14300</v>
      </c>
      <c r="M25" s="230">
        <f t="shared" si="1"/>
        <v>11720</v>
      </c>
      <c r="N25" s="230">
        <f t="shared" si="1"/>
        <v>3750</v>
      </c>
      <c r="O25" s="230">
        <f t="shared" si="1"/>
        <v>7290</v>
      </c>
      <c r="P25" s="230">
        <f t="shared" si="1"/>
        <v>4180</v>
      </c>
      <c r="Q25" s="230"/>
    </row>
    <row r="26" spans="1:18" ht="16.2">
      <c r="A26" s="136"/>
      <c r="B26" s="230"/>
      <c r="C26" s="230"/>
      <c r="D26" s="230"/>
      <c r="E26" s="230"/>
      <c r="F26" s="230"/>
      <c r="G26" s="230"/>
      <c r="H26" s="230"/>
      <c r="I26" s="230"/>
      <c r="J26" s="230"/>
      <c r="K26" s="230"/>
      <c r="L26" s="763"/>
      <c r="M26" s="230"/>
      <c r="N26" s="230"/>
      <c r="O26" s="230"/>
      <c r="P26" s="230"/>
      <c r="Q26" s="230"/>
      <c r="R26" s="230"/>
    </row>
    <row r="27" spans="1:18" ht="16.2">
      <c r="A27" s="136"/>
      <c r="B27" s="230"/>
      <c r="C27" s="230"/>
      <c r="D27" s="230"/>
      <c r="E27" s="230"/>
      <c r="F27" s="230"/>
      <c r="G27" s="230"/>
      <c r="H27" s="230"/>
      <c r="I27" s="230"/>
      <c r="J27" s="230"/>
      <c r="K27" s="230"/>
      <c r="L27" s="763"/>
      <c r="M27" s="230"/>
      <c r="N27" s="230"/>
      <c r="O27" s="230"/>
      <c r="P27" s="230"/>
      <c r="Q27" s="230"/>
      <c r="R27" s="230"/>
    </row>
    <row r="28" spans="1:18" ht="16.2">
      <c r="A28" s="136"/>
      <c r="B28" s="230"/>
      <c r="C28" s="230"/>
      <c r="D28" s="230"/>
      <c r="E28" s="230"/>
      <c r="F28" s="230"/>
      <c r="G28" s="230"/>
      <c r="H28" s="230"/>
      <c r="I28" s="230"/>
      <c r="J28" s="230"/>
      <c r="K28" s="230"/>
      <c r="L28" s="763"/>
      <c r="M28" s="230"/>
      <c r="N28" s="230"/>
      <c r="O28" s="230"/>
      <c r="P28" s="230"/>
      <c r="Q28" s="230"/>
      <c r="R28" s="230"/>
    </row>
    <row r="29" spans="1:18" ht="16.2">
      <c r="A29" s="136"/>
      <c r="B29" s="230"/>
      <c r="C29" s="230"/>
      <c r="D29" s="230"/>
      <c r="E29" s="230"/>
      <c r="F29" s="230"/>
      <c r="G29" s="230"/>
      <c r="H29" s="230"/>
      <c r="I29" s="230"/>
      <c r="J29" s="230"/>
      <c r="K29" s="230"/>
      <c r="L29" s="763"/>
      <c r="M29" s="230"/>
      <c r="N29" s="230"/>
      <c r="O29" s="230"/>
      <c r="P29" s="230"/>
      <c r="Q29" s="230"/>
      <c r="R29" s="230"/>
    </row>
    <row r="30" spans="1:18" ht="20.399999999999999">
      <c r="A30" s="242"/>
      <c r="B30" s="230"/>
      <c r="C30" s="230"/>
      <c r="D30" s="230"/>
      <c r="E30" s="230"/>
      <c r="F30" s="230"/>
      <c r="G30" s="230"/>
      <c r="H30" s="230"/>
      <c r="I30" s="230"/>
      <c r="J30" s="230"/>
      <c r="K30" s="230"/>
      <c r="L30" s="763"/>
      <c r="M30" s="230"/>
      <c r="N30" s="230"/>
      <c r="O30" s="230"/>
      <c r="P30" s="230"/>
      <c r="Q30" s="230"/>
      <c r="R30" s="230"/>
    </row>
    <row r="31" spans="1:18" ht="17.399999999999999">
      <c r="A31" s="237"/>
      <c r="B31" s="230"/>
      <c r="C31" s="230"/>
      <c r="D31" s="230"/>
      <c r="E31" s="230"/>
      <c r="F31" s="230"/>
      <c r="G31" s="230"/>
      <c r="H31" s="230"/>
      <c r="I31" s="230"/>
      <c r="J31" s="230"/>
      <c r="K31" s="230"/>
      <c r="L31" s="230"/>
      <c r="M31" s="230"/>
      <c r="N31" s="230"/>
      <c r="O31" s="230"/>
      <c r="P31" s="230"/>
      <c r="Q31" s="230"/>
      <c r="R31" s="230"/>
    </row>
    <row r="32" spans="1:18">
      <c r="A32" s="138"/>
      <c r="B32" s="230"/>
      <c r="C32" s="230"/>
      <c r="D32" s="230"/>
      <c r="E32" s="230"/>
      <c r="F32" s="230"/>
      <c r="G32" s="230"/>
      <c r="H32" s="230"/>
      <c r="I32" s="230"/>
      <c r="J32" s="230"/>
      <c r="K32" s="230"/>
      <c r="L32" s="230"/>
      <c r="M32" s="230"/>
      <c r="N32" s="230"/>
      <c r="O32" s="230"/>
      <c r="P32" s="230"/>
      <c r="Q32" s="230"/>
      <c r="R32" s="230"/>
    </row>
    <row r="33" spans="1:18">
      <c r="A33" s="136"/>
      <c r="B33" s="230"/>
      <c r="C33" s="230"/>
      <c r="D33" s="230"/>
      <c r="E33" s="230"/>
      <c r="F33" s="230"/>
      <c r="G33" s="230"/>
      <c r="H33" s="230"/>
      <c r="I33" s="230"/>
      <c r="J33" s="230"/>
      <c r="K33" s="230"/>
      <c r="L33" s="230"/>
      <c r="M33" s="230"/>
      <c r="N33" s="230"/>
      <c r="O33" s="230"/>
      <c r="P33" s="230"/>
      <c r="Q33" s="230"/>
      <c r="R33" s="230"/>
    </row>
    <row r="34" spans="1:18">
      <c r="A34" s="136"/>
      <c r="B34" s="230"/>
      <c r="C34" s="230"/>
      <c r="D34" s="230"/>
      <c r="E34" s="230"/>
      <c r="F34" s="230"/>
      <c r="G34" s="230"/>
      <c r="H34" s="230"/>
      <c r="I34" s="230"/>
      <c r="J34" s="230"/>
      <c r="K34" s="230"/>
      <c r="L34" s="230"/>
      <c r="M34" s="230"/>
      <c r="N34" s="230"/>
      <c r="O34" s="230"/>
      <c r="P34" s="230"/>
      <c r="Q34" s="230"/>
      <c r="R34" s="230"/>
    </row>
    <row r="35" spans="1:18">
      <c r="A35" s="136"/>
      <c r="B35" s="230"/>
      <c r="C35" s="230"/>
      <c r="D35" s="230"/>
      <c r="E35" s="230"/>
      <c r="F35" s="230"/>
      <c r="G35" s="230"/>
      <c r="H35" s="230"/>
      <c r="I35" s="230"/>
      <c r="J35" s="230"/>
      <c r="K35" s="230"/>
      <c r="L35" s="230"/>
      <c r="M35" s="230"/>
      <c r="N35" s="230"/>
      <c r="O35" s="230"/>
      <c r="P35" s="230"/>
      <c r="Q35" s="230"/>
      <c r="R35" s="230"/>
    </row>
    <row r="36" spans="1:18">
      <c r="A36" s="136"/>
      <c r="B36" s="230"/>
      <c r="C36" s="230"/>
      <c r="D36" s="230"/>
      <c r="E36" s="230"/>
      <c r="F36" s="230"/>
      <c r="G36" s="230"/>
      <c r="H36" s="230"/>
      <c r="I36" s="230"/>
      <c r="J36" s="230"/>
      <c r="K36" s="230"/>
      <c r="L36" s="230"/>
      <c r="M36" s="230"/>
      <c r="N36" s="230"/>
      <c r="O36" s="230"/>
      <c r="P36" s="230"/>
      <c r="Q36" s="230"/>
      <c r="R36" s="230"/>
    </row>
    <row r="37" spans="1:18">
      <c r="A37" s="136"/>
      <c r="B37" s="230"/>
      <c r="C37" s="230"/>
      <c r="D37" s="230"/>
      <c r="E37" s="230"/>
      <c r="F37" s="230"/>
      <c r="G37" s="230"/>
      <c r="H37" s="230"/>
      <c r="I37" s="230"/>
      <c r="J37" s="230"/>
      <c r="K37" s="230"/>
      <c r="L37" s="230"/>
      <c r="M37" s="230"/>
      <c r="N37" s="230"/>
      <c r="O37" s="230"/>
      <c r="P37" s="230"/>
      <c r="Q37" s="230"/>
      <c r="R37" s="230"/>
    </row>
    <row r="38" spans="1:18">
      <c r="A38" s="136"/>
      <c r="B38" s="230"/>
      <c r="C38" s="230"/>
      <c r="D38" s="230"/>
      <c r="E38" s="230"/>
      <c r="F38" s="230"/>
      <c r="G38" s="230"/>
      <c r="H38" s="230"/>
      <c r="I38" s="230"/>
      <c r="J38" s="230"/>
      <c r="K38" s="230"/>
      <c r="L38" s="230"/>
      <c r="M38" s="230"/>
      <c r="N38" s="230"/>
      <c r="O38" s="230"/>
      <c r="P38" s="230"/>
      <c r="Q38" s="230"/>
      <c r="R38" s="230"/>
    </row>
    <row r="39" spans="1:18">
      <c r="A39" s="136"/>
      <c r="B39" s="230"/>
      <c r="C39" s="230"/>
      <c r="D39" s="230"/>
      <c r="E39" s="230"/>
      <c r="F39" s="230"/>
      <c r="G39" s="230"/>
      <c r="H39" s="230"/>
      <c r="I39" s="230"/>
      <c r="J39" s="230"/>
      <c r="K39" s="230"/>
      <c r="L39" s="230"/>
      <c r="M39" s="230"/>
      <c r="N39" s="230"/>
      <c r="O39" s="230"/>
      <c r="P39" s="230"/>
      <c r="Q39" s="230"/>
      <c r="R39" s="230"/>
    </row>
    <row r="41" spans="1:18" ht="21">
      <c r="A41" s="246" t="s">
        <v>945</v>
      </c>
      <c r="B41" s="230"/>
      <c r="C41" s="230"/>
      <c r="D41" s="230"/>
      <c r="E41" s="230"/>
      <c r="F41" s="230"/>
      <c r="G41" s="230"/>
      <c r="H41" s="230"/>
    </row>
    <row r="42" spans="1:18">
      <c r="A42" s="136"/>
      <c r="B42" s="230"/>
      <c r="C42" s="230"/>
      <c r="D42" s="230"/>
      <c r="E42" s="230"/>
      <c r="F42" s="230"/>
      <c r="G42" s="230"/>
      <c r="H42" s="230"/>
    </row>
    <row r="43" spans="1:18" ht="27.6">
      <c r="A43" s="864"/>
      <c r="B43" s="231" t="s">
        <v>598</v>
      </c>
      <c r="C43" s="231" t="s">
        <v>673</v>
      </c>
      <c r="D43" s="231" t="s">
        <v>870</v>
      </c>
      <c r="E43" s="231" t="s">
        <v>570</v>
      </c>
      <c r="F43" s="231" t="s">
        <v>869</v>
      </c>
      <c r="G43" s="231" t="s">
        <v>740</v>
      </c>
      <c r="H43" s="231" t="s">
        <v>868</v>
      </c>
    </row>
    <row r="44" spans="1:18">
      <c r="A44" s="865" t="s">
        <v>899</v>
      </c>
      <c r="B44" s="232">
        <f>FL_3rdparty_debt_perFME</f>
        <v>8640</v>
      </c>
      <c r="C44" s="232">
        <f>SE_3rdparty_debt_perFME</f>
        <v>10650</v>
      </c>
      <c r="D44" s="232">
        <f>BOCA_3rdparty_debt_perFME</f>
        <v>13300</v>
      </c>
      <c r="E44" s="232">
        <f>SW_3rdparty_debt_perFME</f>
        <v>11630</v>
      </c>
      <c r="F44" s="232">
        <f>SWCIRA_3rdparty_debt_perFME</f>
        <v>1270</v>
      </c>
      <c r="G44" s="232">
        <f>NC_3rdparty_debt_perFME</f>
        <v>5410</v>
      </c>
      <c r="H44" s="232">
        <f>YB_3rdparty_debt_perFME</f>
        <v>9800</v>
      </c>
    </row>
    <row r="45" spans="1:18">
      <c r="A45" s="865" t="s">
        <v>671</v>
      </c>
      <c r="B45" s="232">
        <v>6680</v>
      </c>
      <c r="C45" s="232">
        <v>8590</v>
      </c>
      <c r="D45" s="232">
        <v>11060</v>
      </c>
      <c r="E45" s="232">
        <v>5810</v>
      </c>
      <c r="F45" s="232">
        <v>2370</v>
      </c>
      <c r="G45" s="232">
        <v>4020</v>
      </c>
      <c r="H45" s="232">
        <v>4310</v>
      </c>
    </row>
    <row r="46" spans="1:18">
      <c r="A46" s="865" t="s">
        <v>608</v>
      </c>
      <c r="B46" s="232">
        <v>6890</v>
      </c>
      <c r="C46" s="232">
        <v>10850</v>
      </c>
      <c r="D46" s="232">
        <v>11300</v>
      </c>
      <c r="E46" s="232">
        <v>5830</v>
      </c>
      <c r="F46" s="232">
        <v>2480</v>
      </c>
      <c r="G46" s="232">
        <v>3220</v>
      </c>
      <c r="H46" s="232">
        <v>3760</v>
      </c>
    </row>
    <row r="47" spans="1:18">
      <c r="A47" s="865" t="s">
        <v>388</v>
      </c>
      <c r="B47" s="232">
        <v>7230</v>
      </c>
      <c r="C47" s="232">
        <v>11670</v>
      </c>
      <c r="D47" s="232">
        <v>11540</v>
      </c>
      <c r="E47" s="232">
        <v>5510</v>
      </c>
      <c r="F47" s="232">
        <v>1980</v>
      </c>
      <c r="G47" s="232">
        <v>3900</v>
      </c>
      <c r="H47" s="232">
        <v>3900</v>
      </c>
    </row>
    <row r="48" spans="1:18">
      <c r="A48" s="865"/>
      <c r="B48" s="232"/>
      <c r="C48" s="232"/>
      <c r="D48" s="232"/>
      <c r="E48" s="232"/>
      <c r="F48" s="232"/>
      <c r="G48" s="232"/>
      <c r="H48" s="232"/>
    </row>
    <row r="49" spans="1:8">
      <c r="A49" s="136"/>
      <c r="B49" s="230"/>
      <c r="C49" s="230"/>
      <c r="D49" s="230"/>
      <c r="E49" s="230"/>
      <c r="F49" s="230"/>
      <c r="G49" s="230"/>
      <c r="H49" s="230"/>
    </row>
    <row r="50" spans="1:8">
      <c r="A50" s="136"/>
      <c r="B50" s="230"/>
      <c r="C50" s="230"/>
      <c r="D50" s="230"/>
      <c r="E50" s="230"/>
      <c r="F50" s="230"/>
      <c r="G50" s="230"/>
      <c r="H50" s="230"/>
    </row>
    <row r="51" spans="1:8">
      <c r="A51" s="136"/>
      <c r="B51" s="230"/>
      <c r="C51" s="230"/>
      <c r="D51" s="230"/>
      <c r="E51" s="230"/>
      <c r="F51" s="230"/>
      <c r="G51" s="230"/>
      <c r="H51" s="230"/>
    </row>
    <row r="52" spans="1:8">
      <c r="A52" s="136"/>
      <c r="B52" s="230"/>
      <c r="C52" s="230"/>
      <c r="D52" s="230"/>
      <c r="E52" s="230"/>
      <c r="F52" s="230"/>
      <c r="G52" s="230"/>
      <c r="H52" s="230"/>
    </row>
    <row r="53" spans="1:8">
      <c r="A53" s="136"/>
      <c r="B53" s="230"/>
      <c r="C53" s="230"/>
      <c r="D53" s="230"/>
      <c r="E53" s="230"/>
      <c r="F53" s="230"/>
      <c r="G53" s="230"/>
      <c r="H53" s="230"/>
    </row>
    <row r="54" spans="1:8">
      <c r="A54" s="136"/>
      <c r="B54" s="230"/>
      <c r="C54" s="230"/>
      <c r="D54" s="230"/>
      <c r="E54" s="230"/>
      <c r="F54" s="230"/>
      <c r="G54" s="230"/>
      <c r="H54" s="230"/>
    </row>
    <row r="55" spans="1:8">
      <c r="A55" s="136"/>
      <c r="B55" s="230"/>
      <c r="C55" s="230"/>
      <c r="D55" s="230"/>
      <c r="E55" s="230"/>
      <c r="F55" s="230"/>
      <c r="G55" s="230"/>
      <c r="H55" s="230"/>
    </row>
    <row r="56" spans="1:8">
      <c r="A56" s="136"/>
      <c r="B56" s="230"/>
      <c r="C56" s="230"/>
      <c r="D56" s="230"/>
      <c r="E56" s="230"/>
      <c r="F56" s="230"/>
      <c r="G56" s="230"/>
      <c r="H56" s="230"/>
    </row>
    <row r="57" spans="1:8">
      <c r="A57" s="136"/>
      <c r="B57" s="230"/>
      <c r="C57" s="230"/>
      <c r="D57" s="230"/>
      <c r="E57" s="230"/>
      <c r="F57" s="230"/>
      <c r="G57" s="230"/>
      <c r="H57" s="230"/>
    </row>
    <row r="58" spans="1:8">
      <c r="A58" s="136"/>
      <c r="B58" s="230"/>
      <c r="C58" s="230"/>
      <c r="D58" s="230"/>
      <c r="E58" s="230"/>
      <c r="F58" s="230"/>
      <c r="G58" s="230"/>
      <c r="H58" s="230"/>
    </row>
    <row r="59" spans="1:8">
      <c r="A59" s="136"/>
      <c r="B59" s="230"/>
      <c r="C59" s="230"/>
      <c r="D59" s="230"/>
      <c r="E59" s="230"/>
      <c r="F59" s="230"/>
      <c r="G59" s="230"/>
      <c r="H59" s="230"/>
    </row>
    <row r="60" spans="1:8">
      <c r="A60" s="136"/>
      <c r="B60" s="230"/>
      <c r="C60" s="230"/>
      <c r="D60" s="230"/>
      <c r="E60" s="230"/>
      <c r="F60" s="230"/>
      <c r="G60" s="230"/>
      <c r="H60" s="230"/>
    </row>
    <row r="61" spans="1:8">
      <c r="A61" s="136"/>
      <c r="B61" s="230"/>
      <c r="C61" s="230"/>
      <c r="D61" s="230"/>
      <c r="E61" s="230"/>
      <c r="F61" s="230"/>
      <c r="G61" s="230"/>
      <c r="H61" s="230"/>
    </row>
    <row r="62" spans="1:8">
      <c r="A62" s="136"/>
      <c r="B62" s="230"/>
      <c r="C62" s="230"/>
      <c r="D62" s="230"/>
      <c r="E62" s="230"/>
      <c r="F62" s="230"/>
      <c r="G62" s="230"/>
      <c r="H62" s="230"/>
    </row>
    <row r="63" spans="1:8">
      <c r="A63" s="136"/>
      <c r="B63" s="230"/>
      <c r="C63" s="230"/>
      <c r="D63" s="230"/>
      <c r="E63" s="230"/>
      <c r="F63" s="230"/>
      <c r="G63" s="230"/>
      <c r="H63" s="230"/>
    </row>
    <row r="64" spans="1:8" ht="20.399999999999999">
      <c r="A64" s="242"/>
      <c r="B64" s="230"/>
      <c r="C64" s="230"/>
      <c r="D64" s="230"/>
      <c r="E64" s="230"/>
      <c r="F64" s="230"/>
      <c r="G64" s="230"/>
      <c r="H64" s="230"/>
    </row>
    <row r="65" spans="1:9" ht="20.399999999999999">
      <c r="A65" s="242"/>
      <c r="B65" s="230"/>
      <c r="C65" s="230"/>
      <c r="D65" s="230"/>
      <c r="E65" s="230"/>
      <c r="F65" s="230"/>
      <c r="G65" s="230"/>
      <c r="H65" s="230"/>
    </row>
    <row r="66" spans="1:9">
      <c r="A66" s="136"/>
      <c r="B66" s="230"/>
      <c r="C66" s="230"/>
      <c r="D66" s="230"/>
      <c r="E66" s="230"/>
      <c r="F66" s="230"/>
      <c r="G66" s="230"/>
      <c r="H66" s="230"/>
    </row>
    <row r="67" spans="1:9">
      <c r="A67" s="136"/>
      <c r="B67" s="230"/>
      <c r="C67" s="230"/>
      <c r="D67" s="230"/>
      <c r="E67" s="230"/>
      <c r="F67" s="230"/>
      <c r="G67" s="230"/>
      <c r="H67" s="230"/>
    </row>
    <row r="70" spans="1:9" ht="21">
      <c r="A70" s="156" t="s">
        <v>941</v>
      </c>
      <c r="B70" s="209"/>
      <c r="C70" s="209"/>
      <c r="D70" s="209"/>
      <c r="E70" s="209"/>
      <c r="F70" s="209"/>
      <c r="G70" s="209"/>
      <c r="H70" s="209"/>
      <c r="I70" s="209"/>
    </row>
    <row r="71" spans="1:9">
      <c r="A71" s="236"/>
      <c r="B71" s="209"/>
      <c r="C71" s="209"/>
      <c r="D71" s="209"/>
      <c r="E71" s="209"/>
      <c r="F71" s="209"/>
      <c r="G71" s="209"/>
      <c r="H71" s="209"/>
      <c r="I71" s="209"/>
    </row>
    <row r="72" spans="1:9">
      <c r="A72" s="169" t="s">
        <v>459</v>
      </c>
      <c r="B72" s="164" t="s">
        <v>274</v>
      </c>
      <c r="C72" s="164" t="s">
        <v>419</v>
      </c>
      <c r="D72" s="164" t="s">
        <v>270</v>
      </c>
      <c r="E72" s="164" t="s">
        <v>271</v>
      </c>
      <c r="F72" s="164" t="s">
        <v>421</v>
      </c>
      <c r="G72" s="164" t="s">
        <v>272</v>
      </c>
      <c r="H72" s="164" t="s">
        <v>422</v>
      </c>
      <c r="I72" s="848"/>
    </row>
    <row r="73" spans="1:9" ht="21">
      <c r="A73" s="239"/>
      <c r="B73" s="164" t="s">
        <v>268</v>
      </c>
      <c r="C73" s="164" t="s">
        <v>295</v>
      </c>
      <c r="D73" s="164" t="s">
        <v>734</v>
      </c>
      <c r="E73" s="164" t="s">
        <v>296</v>
      </c>
      <c r="F73" s="164" t="s">
        <v>277</v>
      </c>
      <c r="G73" s="164" t="s">
        <v>278</v>
      </c>
      <c r="H73" s="164" t="s">
        <v>297</v>
      </c>
      <c r="I73" s="849"/>
    </row>
    <row r="74" spans="1:9">
      <c r="A74" s="210" t="s">
        <v>5</v>
      </c>
      <c r="B74" s="166"/>
      <c r="C74" s="166"/>
      <c r="D74" s="166"/>
      <c r="E74" s="166"/>
      <c r="F74" s="166"/>
      <c r="G74" s="166"/>
      <c r="H74" s="166"/>
      <c r="I74" s="849"/>
    </row>
    <row r="75" spans="1:9">
      <c r="A75" s="147" t="s">
        <v>45</v>
      </c>
      <c r="B75" s="681">
        <f>SUM(FL_dues_rev_perFME)</f>
        <v>13820</v>
      </c>
      <c r="C75" s="678">
        <f>SUM(SE_dues_rev_perFME)</f>
        <v>18600</v>
      </c>
      <c r="D75" s="678">
        <f>SUM(BOCA_dues_rev_perFME)</f>
        <v>20770</v>
      </c>
      <c r="E75" s="678">
        <f>SUM(SW_dues_rev_perFME)</f>
        <v>14350</v>
      </c>
      <c r="F75" s="678">
        <f>SUM(SWCIRA_dues_rev_perFME)</f>
        <v>6150</v>
      </c>
      <c r="G75" s="678">
        <f>SUM(NC_dues_rev_perFME)</f>
        <v>10520</v>
      </c>
      <c r="H75" s="678">
        <f>SUM(YB_dues_rev_perFME)</f>
        <v>6430</v>
      </c>
      <c r="I75" s="849"/>
    </row>
    <row r="76" spans="1:9">
      <c r="A76" s="211" t="s">
        <v>311</v>
      </c>
      <c r="B76" s="679">
        <f>SUM(FL_sport_rev_perFME)</f>
        <v>3720</v>
      </c>
      <c r="C76" s="679">
        <f>SUM(SE_sport_rev_perFME)</f>
        <v>4830</v>
      </c>
      <c r="D76" s="679">
        <f>SUM(BOCA_sport_rev_perFME)</f>
        <v>3940</v>
      </c>
      <c r="E76" s="679">
        <f>SUM(SW_sport_rev_perFME)</f>
        <v>5090</v>
      </c>
      <c r="F76" s="679">
        <f>SUM(SWCIRA_sport_rev_perFME)</f>
        <v>2080</v>
      </c>
      <c r="G76" s="679">
        <f>SUM(NC_sport_rev_perFME)</f>
        <v>2970</v>
      </c>
      <c r="H76" s="679">
        <f>SUM(YB_sport_rev_perFME)</f>
        <v>2150</v>
      </c>
      <c r="I76" s="849"/>
    </row>
    <row r="77" spans="1:9">
      <c r="A77" s="147" t="s">
        <v>312</v>
      </c>
      <c r="B77" s="678">
        <f>FL_food_rev_perFME</f>
        <v>2970</v>
      </c>
      <c r="C77" s="678">
        <f>SE_food_rev_perFME</f>
        <v>3680</v>
      </c>
      <c r="D77" s="678">
        <f>BOCA_food_rev_perFME</f>
        <v>4100</v>
      </c>
      <c r="E77" s="678">
        <f>SW_food_rev_perFME</f>
        <v>3250</v>
      </c>
      <c r="F77" s="678">
        <f>SWCIRA_food_rev_perFME</f>
        <v>1410</v>
      </c>
      <c r="G77" s="678">
        <f>NC_food_rev_perFME</f>
        <v>2600</v>
      </c>
      <c r="H77" s="678">
        <f>YB_food_rev_perFME</f>
        <v>3200</v>
      </c>
      <c r="I77" s="849"/>
    </row>
    <row r="78" spans="1:9">
      <c r="A78" s="211" t="s">
        <v>313</v>
      </c>
      <c r="B78" s="679">
        <f>FL_bev_rev_perFME</f>
        <v>1200</v>
      </c>
      <c r="C78" s="679">
        <f>SE_bev_rev_perFME</f>
        <v>1380</v>
      </c>
      <c r="D78" s="679">
        <f>BOCA_bev_rev_perFME</f>
        <v>830</v>
      </c>
      <c r="E78" s="679">
        <f>SW_bev_rev_perFME</f>
        <v>1860</v>
      </c>
      <c r="F78" s="679">
        <f>SWCIRA_bev_rev_perFME</f>
        <v>750</v>
      </c>
      <c r="G78" s="679">
        <f>NC_bev_rev_perFME</f>
        <v>1260</v>
      </c>
      <c r="H78" s="679">
        <f>YB_bev_rev_perFME</f>
        <v>1680</v>
      </c>
      <c r="I78" s="849"/>
    </row>
    <row r="79" spans="1:9">
      <c r="A79" s="147" t="s">
        <v>314</v>
      </c>
      <c r="B79" s="678">
        <f>FL_ot_rev_perFME</f>
        <v>830</v>
      </c>
      <c r="C79" s="678">
        <f>SE_ot_rev_perFME</f>
        <v>1080</v>
      </c>
      <c r="D79" s="678">
        <f>BOCA_ot_rev_perFME</f>
        <v>750</v>
      </c>
      <c r="E79" s="678">
        <f>SW_ot_rev_perFME</f>
        <v>480</v>
      </c>
      <c r="F79" s="678">
        <f>SWCIRA_ot_rev_perFME</f>
        <v>540</v>
      </c>
      <c r="G79" s="678">
        <f>NC_ot_rev_perFME</f>
        <v>1280</v>
      </c>
      <c r="H79" s="678">
        <f>YB_ot_rev_perFME</f>
        <v>350</v>
      </c>
      <c r="I79" s="849"/>
    </row>
    <row r="80" spans="1:9" ht="15.6" thickBot="1">
      <c r="A80" s="741" t="s">
        <v>942</v>
      </c>
      <c r="B80" s="680">
        <f>SUM(B75:B79)</f>
        <v>22540</v>
      </c>
      <c r="C80" s="680">
        <f t="shared" ref="C80:H80" si="2">SUM(C75:C79)</f>
        <v>29570</v>
      </c>
      <c r="D80" s="680">
        <f t="shared" si="2"/>
        <v>30390</v>
      </c>
      <c r="E80" s="680">
        <f t="shared" si="2"/>
        <v>25030</v>
      </c>
      <c r="F80" s="680">
        <f t="shared" si="2"/>
        <v>10930</v>
      </c>
      <c r="G80" s="680">
        <f t="shared" si="2"/>
        <v>18630</v>
      </c>
      <c r="H80" s="680">
        <f t="shared" si="2"/>
        <v>13810</v>
      </c>
      <c r="I80" s="849"/>
    </row>
    <row r="81" spans="1:9" ht="15.6" thickTop="1">
      <c r="A81" s="206"/>
      <c r="B81" s="166"/>
      <c r="C81" s="166"/>
      <c r="D81" s="166"/>
      <c r="E81" s="166"/>
      <c r="F81" s="166"/>
      <c r="G81" s="166"/>
      <c r="H81" s="166"/>
      <c r="I81" s="849"/>
    </row>
    <row r="82" spans="1:9">
      <c r="A82" s="210" t="s">
        <v>316</v>
      </c>
      <c r="B82" s="166"/>
      <c r="C82" s="166"/>
      <c r="D82" s="166"/>
      <c r="E82" s="166"/>
      <c r="F82" s="166"/>
      <c r="G82" s="166"/>
      <c r="H82" s="166"/>
      <c r="I82" s="849"/>
    </row>
    <row r="83" spans="1:9">
      <c r="A83" s="211" t="s">
        <v>16</v>
      </c>
      <c r="B83" s="679">
        <f>FL_pay_p.FME</f>
        <v>11550</v>
      </c>
      <c r="C83" s="679">
        <f>SE_pay_p.FME</f>
        <v>14710</v>
      </c>
      <c r="D83" s="679">
        <f>BOCA_pay_p.FME</f>
        <v>16300</v>
      </c>
      <c r="E83" s="679">
        <f>SW_pay_p.FME</f>
        <v>12890</v>
      </c>
      <c r="F83" s="679">
        <f>SWCIRA_pay_p.FME</f>
        <v>5300</v>
      </c>
      <c r="G83" s="679">
        <f>NC_pay_p.FME</f>
        <v>9500</v>
      </c>
      <c r="H83" s="679">
        <f>YB_pay_p.FME</f>
        <v>6810</v>
      </c>
      <c r="I83" s="849"/>
    </row>
    <row r="84" spans="1:9">
      <c r="A84" s="147" t="s">
        <v>317</v>
      </c>
      <c r="B84" s="678">
        <f>FL_fb_cos_perFME</f>
        <v>2060</v>
      </c>
      <c r="C84" s="678">
        <f>SE_fb_cos_perFME</f>
        <v>2530</v>
      </c>
      <c r="D84" s="678">
        <f>BOCA_fb_cos_perFME</f>
        <v>2960</v>
      </c>
      <c r="E84" s="678">
        <f>SW_fb_cos_perFME</f>
        <v>2260</v>
      </c>
      <c r="F84" s="678">
        <f>SWCIRA_fb_cos_perFME</f>
        <v>930</v>
      </c>
      <c r="G84" s="678">
        <f>NC_fb_cos_perFME</f>
        <v>1760</v>
      </c>
      <c r="H84" s="678">
        <f>YB_fb_cos_perFME</f>
        <v>2070</v>
      </c>
      <c r="I84" s="849"/>
    </row>
    <row r="85" spans="1:9">
      <c r="A85" s="211" t="s">
        <v>318</v>
      </c>
      <c r="B85" s="679">
        <f>SUM(FL_op_exp_perFME)</f>
        <v>7960</v>
      </c>
      <c r="C85" s="679">
        <f>SUM(SE_op_exp_perFME)</f>
        <v>10710</v>
      </c>
      <c r="D85" s="679">
        <f>SUM(BOCA_op_exp_perFME)</f>
        <v>10260</v>
      </c>
      <c r="E85" s="679">
        <f>SUM(SW_op_exp_perFME)</f>
        <v>8490</v>
      </c>
      <c r="F85" s="679">
        <f>SUM(SWCIRA_op_exp_perFME)</f>
        <v>4230</v>
      </c>
      <c r="G85" s="679">
        <f>SUM(NC_op_exp_perFME)</f>
        <v>6770</v>
      </c>
      <c r="H85" s="679">
        <f>SUM(YB_op_exp_perFME)</f>
        <v>4110</v>
      </c>
      <c r="I85" s="849"/>
    </row>
    <row r="86" spans="1:9">
      <c r="A86" s="147" t="s">
        <v>319</v>
      </c>
      <c r="B86" s="678">
        <f>SUM(FL_proptax_p.FME)+SUM(FL_ins_p.FME)</f>
        <v>910</v>
      </c>
      <c r="C86" s="678">
        <f>SUM(SE_proptax_p.FME)+SUM(SE_ins_p.FME)</f>
        <v>1350</v>
      </c>
      <c r="D86" s="678">
        <f>SUM(BOCA_proptax_p.FME)+SUM(BOCA_ins_p.FME)</f>
        <v>1180</v>
      </c>
      <c r="E86" s="678">
        <f>SUM(SW_proptax_p.FME)+SUM(SW_ins_p.FME)</f>
        <v>950</v>
      </c>
      <c r="F86" s="678">
        <f>SUM(SWCIRA_proptax_p.FME)+SUM(SWCIRA_ins_p.FME)</f>
        <v>310</v>
      </c>
      <c r="G86" s="678">
        <f>SUM(NC_proptax_p.FME)+SUM(NC_ins_p.FME)</f>
        <v>860</v>
      </c>
      <c r="H86" s="678">
        <f>SUM(YB_proptax_p.FME)+SUM(YB_ins_p.FME)</f>
        <v>930</v>
      </c>
      <c r="I86" s="849"/>
    </row>
    <row r="87" spans="1:9" ht="15.6" thickBot="1">
      <c r="A87" s="741" t="s">
        <v>943</v>
      </c>
      <c r="B87" s="680">
        <f>SUM(B83:B86)</f>
        <v>22480</v>
      </c>
      <c r="C87" s="680">
        <f t="shared" ref="C87:H87" si="3">SUM(C83:C86)</f>
        <v>29300</v>
      </c>
      <c r="D87" s="680">
        <f t="shared" si="3"/>
        <v>30700</v>
      </c>
      <c r="E87" s="680">
        <f t="shared" si="3"/>
        <v>24590</v>
      </c>
      <c r="F87" s="680">
        <f t="shared" si="3"/>
        <v>10770</v>
      </c>
      <c r="G87" s="680">
        <f t="shared" si="3"/>
        <v>18890</v>
      </c>
      <c r="H87" s="680">
        <f t="shared" si="3"/>
        <v>13920</v>
      </c>
      <c r="I87" s="849"/>
    </row>
    <row r="88" spans="1:9" ht="15.6" thickTop="1">
      <c r="A88" s="177"/>
      <c r="B88" s="166"/>
      <c r="C88" s="166"/>
      <c r="D88" s="166"/>
      <c r="E88" s="166"/>
      <c r="F88" s="166"/>
      <c r="G88" s="166"/>
      <c r="H88" s="166"/>
      <c r="I88" s="849"/>
    </row>
    <row r="89" spans="1:9" ht="15.6" thickBot="1">
      <c r="A89" s="211" t="s">
        <v>944</v>
      </c>
      <c r="B89" s="268">
        <f t="shared" ref="B89:H89" si="4">+B80-B87</f>
        <v>60</v>
      </c>
      <c r="C89" s="268">
        <f t="shared" si="4"/>
        <v>270</v>
      </c>
      <c r="D89" s="268">
        <f t="shared" si="4"/>
        <v>-310</v>
      </c>
      <c r="E89" s="268">
        <f t="shared" si="4"/>
        <v>440</v>
      </c>
      <c r="F89" s="268">
        <f t="shared" si="4"/>
        <v>160</v>
      </c>
      <c r="G89" s="268">
        <f t="shared" si="4"/>
        <v>-260</v>
      </c>
      <c r="H89" s="268">
        <f t="shared" si="4"/>
        <v>-110</v>
      </c>
      <c r="I89" s="849"/>
    </row>
    <row r="90" spans="1:9" ht="15.6" thickTop="1">
      <c r="A90" s="213"/>
      <c r="B90" s="677"/>
      <c r="C90" s="677"/>
      <c r="D90" s="677"/>
      <c r="E90" s="677"/>
      <c r="F90" s="677"/>
      <c r="G90" s="677"/>
      <c r="H90" s="677"/>
      <c r="I90" s="127"/>
    </row>
    <row r="91" spans="1:9">
      <c r="A91" s="127"/>
      <c r="B91" s="166"/>
      <c r="C91" s="166"/>
      <c r="D91" s="166"/>
      <c r="E91" s="166"/>
      <c r="F91" s="166"/>
      <c r="G91" s="166"/>
      <c r="H91" s="166"/>
      <c r="I91" s="127"/>
    </row>
    <row r="92" spans="1:9">
      <c r="A92" s="127"/>
      <c r="B92" s="127"/>
      <c r="C92" s="127"/>
      <c r="D92" s="127"/>
      <c r="E92" s="127"/>
      <c r="F92" s="127"/>
      <c r="G92" s="127"/>
      <c r="H92" s="127"/>
      <c r="I92" s="127"/>
    </row>
    <row r="93" spans="1:9" ht="21">
      <c r="A93" s="246" t="s">
        <v>940</v>
      </c>
      <c r="B93" s="120"/>
      <c r="C93" s="120"/>
      <c r="D93" s="120"/>
      <c r="E93" s="120"/>
      <c r="F93" s="127"/>
      <c r="G93" s="127"/>
      <c r="H93" s="127"/>
      <c r="I93" s="127"/>
    </row>
    <row r="94" spans="1:9" ht="21">
      <c r="A94" s="239"/>
      <c r="B94" s="127"/>
      <c r="C94" s="127"/>
      <c r="D94" s="127"/>
      <c r="E94" s="127"/>
      <c r="F94" s="127"/>
      <c r="G94" s="127"/>
      <c r="H94" s="127"/>
      <c r="I94" s="127"/>
    </row>
    <row r="95" spans="1:9">
      <c r="A95" s="214" t="s">
        <v>306</v>
      </c>
      <c r="B95" s="159"/>
      <c r="C95" s="159"/>
      <c r="D95" s="159"/>
      <c r="E95" s="159"/>
      <c r="F95" s="159"/>
      <c r="G95" s="159"/>
      <c r="H95" s="159"/>
      <c r="I95" s="155"/>
    </row>
    <row r="96" spans="1:9" ht="28.8">
      <c r="A96" s="159"/>
      <c r="B96" s="287" t="s">
        <v>672</v>
      </c>
      <c r="C96" s="287" t="s">
        <v>743</v>
      </c>
      <c r="D96" s="287" t="s">
        <v>752</v>
      </c>
      <c r="E96" s="287" t="s">
        <v>745</v>
      </c>
      <c r="F96" s="287" t="s">
        <v>753</v>
      </c>
      <c r="G96" s="287" t="s">
        <v>572</v>
      </c>
      <c r="H96" s="287" t="s">
        <v>676</v>
      </c>
      <c r="I96" s="155"/>
    </row>
    <row r="97" spans="1:9">
      <c r="A97" s="162">
        <v>2014</v>
      </c>
      <c r="B97" s="153">
        <f>FL_pay_p.FME</f>
        <v>11550</v>
      </c>
      <c r="C97" s="153">
        <f>SE_pay_p.FME</f>
        <v>14710</v>
      </c>
      <c r="D97" s="153">
        <f>BOCA_pay_p.FME</f>
        <v>16300</v>
      </c>
      <c r="E97" s="153">
        <f>SW_pay_p.FME</f>
        <v>12890</v>
      </c>
      <c r="F97" s="153">
        <f>SWCIRA_pay_p.FME</f>
        <v>5300</v>
      </c>
      <c r="G97" s="153">
        <f>NC_pay_p.FME</f>
        <v>9500</v>
      </c>
      <c r="H97" s="153">
        <f>YB_pay_p.FME</f>
        <v>6810</v>
      </c>
      <c r="I97" s="155"/>
    </row>
    <row r="98" spans="1:9">
      <c r="A98" s="162">
        <v>2013</v>
      </c>
      <c r="B98" s="153">
        <v>8100</v>
      </c>
      <c r="C98" s="153">
        <v>10600</v>
      </c>
      <c r="D98" s="153">
        <v>11900</v>
      </c>
      <c r="E98" s="153">
        <v>8600</v>
      </c>
      <c r="F98" s="153">
        <v>3700</v>
      </c>
      <c r="G98" s="153">
        <v>6600</v>
      </c>
      <c r="H98" s="153">
        <v>3000</v>
      </c>
      <c r="I98" s="155"/>
    </row>
    <row r="99" spans="1:9">
      <c r="A99" s="162">
        <v>2012</v>
      </c>
      <c r="B99" s="153">
        <v>7800</v>
      </c>
      <c r="C99" s="153">
        <v>10300</v>
      </c>
      <c r="D99" s="153">
        <v>11700</v>
      </c>
      <c r="E99" s="153">
        <v>8500</v>
      </c>
      <c r="F99" s="153">
        <v>3400</v>
      </c>
      <c r="G99" s="153">
        <v>6400</v>
      </c>
      <c r="H99" s="153">
        <v>3000</v>
      </c>
      <c r="I99" s="155"/>
    </row>
    <row r="100" spans="1:9">
      <c r="A100" s="162">
        <v>2011</v>
      </c>
      <c r="B100" s="153">
        <v>7600</v>
      </c>
      <c r="C100" s="153">
        <v>10000</v>
      </c>
      <c r="D100" s="153">
        <v>11300</v>
      </c>
      <c r="E100" s="153">
        <v>8300</v>
      </c>
      <c r="F100" s="153">
        <v>3400</v>
      </c>
      <c r="G100" s="153">
        <v>6500</v>
      </c>
      <c r="H100" s="153">
        <v>2700</v>
      </c>
      <c r="I100" s="155"/>
    </row>
    <row r="101" spans="1:9">
      <c r="A101" s="155"/>
      <c r="B101" s="155"/>
      <c r="C101" s="155"/>
      <c r="D101" s="155"/>
      <c r="E101" s="155"/>
      <c r="F101" s="155"/>
      <c r="G101" s="155"/>
      <c r="H101" s="155"/>
      <c r="I101" s="155"/>
    </row>
    <row r="102" spans="1:9">
      <c r="A102" s="155"/>
      <c r="B102" s="155"/>
      <c r="C102" s="155"/>
      <c r="D102" s="155"/>
      <c r="E102" s="155"/>
      <c r="F102" s="155"/>
      <c r="G102" s="155"/>
      <c r="H102" s="155"/>
      <c r="I102" s="155"/>
    </row>
    <row r="103" spans="1:9">
      <c r="A103" s="155"/>
      <c r="B103" s="155"/>
      <c r="C103" s="155"/>
      <c r="D103" s="155"/>
      <c r="E103" s="155"/>
      <c r="F103" s="155"/>
      <c r="G103" s="155"/>
      <c r="H103" s="155"/>
      <c r="I103" s="155"/>
    </row>
    <row r="104" spans="1:9">
      <c r="A104" s="155"/>
      <c r="B104" s="155"/>
      <c r="C104" s="155"/>
      <c r="D104" s="155"/>
      <c r="E104" s="155"/>
      <c r="F104" s="155"/>
      <c r="G104" s="155"/>
      <c r="H104" s="155"/>
      <c r="I104" s="155"/>
    </row>
    <row r="105" spans="1:9">
      <c r="A105" s="155"/>
      <c r="B105" s="155"/>
      <c r="C105" s="155"/>
      <c r="D105" s="155"/>
      <c r="E105" s="155"/>
      <c r="F105" s="155"/>
      <c r="G105" s="155"/>
      <c r="H105" s="155"/>
      <c r="I105" s="155"/>
    </row>
    <row r="106" spans="1:9">
      <c r="A106" s="155"/>
      <c r="B106" s="155"/>
      <c r="C106" s="155"/>
      <c r="D106" s="155"/>
      <c r="E106" s="155"/>
      <c r="F106" s="155"/>
      <c r="G106" s="155"/>
      <c r="H106" s="155"/>
      <c r="I106" s="155"/>
    </row>
    <row r="107" spans="1:9">
      <c r="A107" s="155"/>
      <c r="B107" s="155"/>
      <c r="C107" s="155"/>
      <c r="D107" s="155"/>
      <c r="E107" s="155"/>
      <c r="F107" s="155"/>
      <c r="G107" s="155"/>
      <c r="H107" s="155"/>
      <c r="I107" s="155"/>
    </row>
    <row r="108" spans="1:9">
      <c r="A108" s="155"/>
      <c r="B108" s="155"/>
      <c r="C108" s="155"/>
      <c r="D108" s="155"/>
      <c r="E108" s="155"/>
      <c r="F108" s="155"/>
      <c r="G108" s="155"/>
      <c r="H108" s="155"/>
      <c r="I108" s="155"/>
    </row>
    <row r="109" spans="1:9">
      <c r="A109" s="155"/>
      <c r="B109" s="155"/>
      <c r="C109" s="155"/>
      <c r="D109" s="155"/>
      <c r="E109" s="155"/>
      <c r="F109" s="155"/>
      <c r="G109" s="155"/>
      <c r="H109" s="155"/>
      <c r="I109" s="155"/>
    </row>
    <row r="110" spans="1:9">
      <c r="A110" s="155"/>
      <c r="B110" s="155"/>
      <c r="C110" s="155"/>
      <c r="D110" s="155"/>
      <c r="E110" s="155"/>
      <c r="F110" s="155"/>
      <c r="G110" s="155"/>
      <c r="H110" s="155"/>
      <c r="I110" s="155"/>
    </row>
    <row r="111" spans="1:9">
      <c r="A111" s="155"/>
      <c r="B111" s="155"/>
      <c r="C111" s="155"/>
      <c r="D111" s="155"/>
      <c r="E111" s="155"/>
      <c r="F111" s="155"/>
      <c r="G111" s="155"/>
      <c r="H111" s="155"/>
      <c r="I111" s="155"/>
    </row>
    <row r="112" spans="1:9">
      <c r="A112" s="155"/>
      <c r="B112" s="155"/>
      <c r="C112" s="155"/>
      <c r="D112" s="155"/>
      <c r="E112" s="155"/>
      <c r="F112" s="155"/>
      <c r="G112" s="155"/>
      <c r="H112" s="155"/>
      <c r="I112" s="155"/>
    </row>
    <row r="113" spans="1:9">
      <c r="A113" s="155"/>
      <c r="B113" s="155"/>
      <c r="C113" s="155"/>
      <c r="D113" s="155"/>
      <c r="E113" s="155"/>
      <c r="F113" s="155"/>
      <c r="G113" s="155"/>
      <c r="H113" s="155"/>
      <c r="I113" s="155"/>
    </row>
    <row r="114" spans="1:9" ht="21">
      <c r="A114" s="239"/>
      <c r="B114" s="155"/>
      <c r="C114" s="155"/>
      <c r="D114" s="155"/>
      <c r="E114" s="155"/>
      <c r="F114" s="155"/>
      <c r="G114" s="155"/>
      <c r="H114" s="155"/>
      <c r="I114" s="155"/>
    </row>
    <row r="115" spans="1:9" ht="20.399999999999999">
      <c r="A115" s="244"/>
      <c r="B115" s="155"/>
      <c r="C115" s="155"/>
      <c r="D115" s="155"/>
      <c r="E115" s="155"/>
      <c r="F115" s="155"/>
      <c r="G115" s="155"/>
      <c r="H115" s="155"/>
      <c r="I115" s="155"/>
    </row>
    <row r="116" spans="1:9">
      <c r="A116" s="155"/>
      <c r="B116" s="155"/>
      <c r="C116" s="155"/>
      <c r="D116" s="155"/>
      <c r="E116" s="155"/>
      <c r="F116" s="155"/>
      <c r="G116" s="155"/>
      <c r="H116" s="155"/>
      <c r="I116" s="155"/>
    </row>
    <row r="117" spans="1:9">
      <c r="A117" s="155"/>
      <c r="B117" s="155"/>
      <c r="C117" s="155"/>
      <c r="D117" s="155"/>
      <c r="E117" s="155"/>
      <c r="F117" s="155"/>
      <c r="G117" s="155"/>
      <c r="H117" s="155"/>
      <c r="I117" s="155"/>
    </row>
    <row r="118" spans="1:9">
      <c r="A118" s="155"/>
      <c r="B118" s="155"/>
      <c r="C118" s="155"/>
      <c r="D118" s="155"/>
      <c r="E118" s="155"/>
      <c r="F118" s="155"/>
      <c r="G118" s="155"/>
      <c r="H118" s="155"/>
      <c r="I118" s="155"/>
    </row>
    <row r="119" spans="1:9">
      <c r="A119" s="155"/>
      <c r="B119" s="155"/>
      <c r="C119" s="155"/>
      <c r="D119" s="155"/>
      <c r="E119" s="155"/>
      <c r="F119" s="155"/>
      <c r="G119" s="155"/>
      <c r="H119" s="155"/>
      <c r="I119" s="155"/>
    </row>
    <row r="120" spans="1:9">
      <c r="A120" s="155"/>
      <c r="B120" s="155"/>
      <c r="C120" s="155"/>
      <c r="D120" s="155"/>
      <c r="E120" s="155"/>
      <c r="F120" s="155"/>
      <c r="G120" s="155"/>
      <c r="H120" s="155"/>
      <c r="I120" s="155"/>
    </row>
    <row r="121" spans="1:9" ht="21">
      <c r="A121" s="156" t="s">
        <v>946</v>
      </c>
      <c r="B121" s="155"/>
      <c r="C121" s="155"/>
      <c r="D121" s="155"/>
      <c r="E121" s="155"/>
      <c r="F121" s="155"/>
      <c r="G121" s="155"/>
      <c r="H121" s="155"/>
      <c r="I121" s="155"/>
    </row>
    <row r="122" spans="1:9">
      <c r="A122" s="155"/>
      <c r="B122" s="155"/>
      <c r="C122" s="155"/>
      <c r="D122" s="155"/>
      <c r="E122" s="155"/>
      <c r="F122" s="155"/>
      <c r="G122" s="155"/>
      <c r="H122" s="155"/>
      <c r="I122" s="155"/>
    </row>
    <row r="123" spans="1:9">
      <c r="A123" s="214" t="s">
        <v>305</v>
      </c>
      <c r="B123" s="159"/>
      <c r="C123" s="159"/>
      <c r="D123" s="159"/>
      <c r="E123" s="159"/>
      <c r="F123" s="159"/>
      <c r="G123" s="159"/>
      <c r="H123" s="159"/>
      <c r="I123" s="159"/>
    </row>
    <row r="124" spans="1:9" ht="28.8">
      <c r="A124" s="159"/>
      <c r="B124" s="287" t="s">
        <v>672</v>
      </c>
      <c r="C124" s="287" t="s">
        <v>673</v>
      </c>
      <c r="D124" s="287" t="s">
        <v>752</v>
      </c>
      <c r="E124" s="287" t="s">
        <v>745</v>
      </c>
      <c r="F124" s="287" t="s">
        <v>753</v>
      </c>
      <c r="G124" s="287" t="s">
        <v>572</v>
      </c>
      <c r="H124" s="287" t="s">
        <v>982</v>
      </c>
      <c r="I124" s="159"/>
    </row>
    <row r="125" spans="1:9">
      <c r="A125" s="162">
        <v>2014</v>
      </c>
      <c r="B125" s="867">
        <f>FL_FME_p.employee</f>
        <v>4.5</v>
      </c>
      <c r="C125" s="867">
        <f>SE_FME_p.employee</f>
        <v>3.7</v>
      </c>
      <c r="D125" s="867">
        <f>BOCA_FME_p.employee</f>
        <v>3.3</v>
      </c>
      <c r="E125" s="867">
        <f>SW_FME_p.employee</f>
        <v>4.2</v>
      </c>
      <c r="F125" s="867">
        <f>SWCIRA_FME_p.employee</f>
        <v>8.9</v>
      </c>
      <c r="G125" s="867">
        <f>NC_FME_p.employee</f>
        <v>4.9000000000000004</v>
      </c>
      <c r="H125" s="867">
        <f>YB_FME_p.employee</f>
        <v>8.6</v>
      </c>
      <c r="I125" s="159"/>
    </row>
    <row r="126" spans="1:9">
      <c r="A126" s="162">
        <v>2013</v>
      </c>
      <c r="B126" s="867">
        <v>4.3</v>
      </c>
      <c r="C126" s="867">
        <v>3.3</v>
      </c>
      <c r="D126" s="867">
        <v>3</v>
      </c>
      <c r="E126" s="867">
        <v>4.0999999999999996</v>
      </c>
      <c r="F126" s="867">
        <v>8.3000000000000007</v>
      </c>
      <c r="G126" s="867">
        <v>4.9000000000000004</v>
      </c>
      <c r="H126" s="867">
        <v>7.2</v>
      </c>
      <c r="I126" s="159"/>
    </row>
    <row r="127" spans="1:9">
      <c r="A127" s="162">
        <v>2012</v>
      </c>
      <c r="B127" s="867">
        <v>4.4000000000000004</v>
      </c>
      <c r="C127" s="867">
        <v>3.6</v>
      </c>
      <c r="D127" s="867">
        <v>3</v>
      </c>
      <c r="E127" s="867">
        <v>4.0999999999999996</v>
      </c>
      <c r="F127" s="867">
        <v>8.9</v>
      </c>
      <c r="G127" s="867">
        <v>5</v>
      </c>
      <c r="H127" s="867">
        <v>10.1</v>
      </c>
      <c r="I127" s="159"/>
    </row>
    <row r="128" spans="1:9">
      <c r="A128" s="162">
        <v>2011</v>
      </c>
      <c r="B128" s="867">
        <v>4.3</v>
      </c>
      <c r="C128" s="867">
        <v>3.3</v>
      </c>
      <c r="D128" s="867">
        <v>3.1</v>
      </c>
      <c r="E128" s="867">
        <v>4</v>
      </c>
      <c r="F128" s="867">
        <v>8.6999999999999993</v>
      </c>
      <c r="G128" s="867">
        <v>4.7</v>
      </c>
      <c r="H128" s="867">
        <v>9.8000000000000007</v>
      </c>
      <c r="I128" s="159"/>
    </row>
    <row r="129" spans="1:9">
      <c r="A129" s="155"/>
      <c r="B129" s="136"/>
      <c r="C129" s="136"/>
      <c r="D129" s="136"/>
      <c r="E129" s="136"/>
      <c r="F129" s="136"/>
      <c r="G129" s="136"/>
      <c r="H129" s="136"/>
      <c r="I129" s="155"/>
    </row>
    <row r="130" spans="1:9">
      <c r="A130" s="155"/>
      <c r="B130" s="155"/>
      <c r="C130" s="155"/>
      <c r="D130" s="155"/>
      <c r="E130" s="155"/>
      <c r="F130" s="155"/>
      <c r="G130" s="155"/>
      <c r="H130" s="155"/>
      <c r="I130" s="155"/>
    </row>
    <row r="131" spans="1:9">
      <c r="A131" s="155"/>
      <c r="B131" s="155"/>
      <c r="C131" s="155"/>
      <c r="D131" s="155"/>
      <c r="E131" s="155"/>
      <c r="F131" s="155"/>
      <c r="G131" s="155"/>
      <c r="H131" s="155"/>
      <c r="I131" s="155"/>
    </row>
    <row r="132" spans="1:9">
      <c r="A132" s="155"/>
      <c r="B132" s="155"/>
      <c r="C132" s="155"/>
      <c r="D132" s="155"/>
      <c r="E132" s="155"/>
      <c r="F132" s="155"/>
      <c r="G132" s="155"/>
      <c r="H132" s="155"/>
      <c r="I132" s="155"/>
    </row>
    <row r="133" spans="1:9">
      <c r="A133" s="155"/>
      <c r="B133" s="155"/>
      <c r="C133" s="155"/>
      <c r="D133" s="155"/>
      <c r="E133" s="155"/>
      <c r="F133" s="155"/>
      <c r="G133" s="155"/>
      <c r="H133" s="155"/>
      <c r="I133" s="155"/>
    </row>
    <row r="134" spans="1:9">
      <c r="A134" s="155"/>
      <c r="B134" s="155"/>
      <c r="C134" s="155"/>
      <c r="D134" s="155"/>
      <c r="E134" s="155"/>
      <c r="F134" s="155"/>
      <c r="G134" s="155"/>
      <c r="H134" s="155"/>
      <c r="I134" s="155"/>
    </row>
    <row r="135" spans="1:9">
      <c r="A135" s="155"/>
      <c r="B135" s="155"/>
      <c r="C135" s="155"/>
      <c r="D135" s="155"/>
      <c r="E135" s="155"/>
      <c r="F135" s="155"/>
      <c r="G135" s="155"/>
      <c r="H135" s="155"/>
      <c r="I135" s="155"/>
    </row>
    <row r="136" spans="1:9">
      <c r="A136" s="155"/>
      <c r="B136" s="155"/>
      <c r="C136" s="155"/>
      <c r="D136" s="155"/>
      <c r="E136" s="155"/>
      <c r="F136" s="155"/>
      <c r="G136" s="155"/>
      <c r="H136" s="155"/>
      <c r="I136" s="155"/>
    </row>
    <row r="137" spans="1:9">
      <c r="A137" s="155"/>
      <c r="B137" s="155"/>
      <c r="C137" s="155"/>
      <c r="D137" s="155"/>
      <c r="E137" s="155"/>
      <c r="F137" s="155"/>
      <c r="G137" s="155"/>
      <c r="H137" s="155"/>
      <c r="I137" s="155"/>
    </row>
    <row r="138" spans="1:9">
      <c r="A138" s="155"/>
      <c r="B138" s="155"/>
      <c r="C138" s="155"/>
      <c r="D138" s="155"/>
      <c r="E138" s="155"/>
      <c r="F138" s="155"/>
      <c r="G138" s="155"/>
      <c r="H138" s="155"/>
      <c r="I138" s="155"/>
    </row>
    <row r="139" spans="1:9">
      <c r="A139" s="155"/>
      <c r="B139" s="155"/>
      <c r="C139" s="155"/>
      <c r="D139" s="155"/>
      <c r="E139" s="155"/>
      <c r="F139" s="155"/>
      <c r="G139" s="155"/>
      <c r="H139" s="155"/>
      <c r="I139" s="155"/>
    </row>
    <row r="140" spans="1:9">
      <c r="A140" s="155"/>
      <c r="B140" s="155"/>
      <c r="C140" s="155"/>
      <c r="D140" s="155"/>
      <c r="E140" s="155"/>
      <c r="F140" s="155"/>
      <c r="G140" s="155"/>
      <c r="H140" s="155"/>
      <c r="I140" s="155"/>
    </row>
    <row r="141" spans="1:9">
      <c r="A141" s="155"/>
      <c r="B141" s="155"/>
      <c r="C141" s="155"/>
      <c r="D141" s="155"/>
      <c r="E141" s="155"/>
      <c r="F141" s="155"/>
      <c r="G141" s="155"/>
      <c r="H141" s="155"/>
      <c r="I141" s="155"/>
    </row>
    <row r="142" spans="1:9">
      <c r="A142" s="155"/>
      <c r="B142" s="155"/>
      <c r="C142" s="155"/>
      <c r="D142" s="155"/>
      <c r="E142" s="155"/>
      <c r="F142" s="155"/>
      <c r="G142" s="155"/>
      <c r="H142" s="155"/>
      <c r="I142" s="155"/>
    </row>
    <row r="143" spans="1:9">
      <c r="A143" s="155"/>
      <c r="B143" s="155"/>
      <c r="C143" s="155"/>
      <c r="D143" s="155"/>
      <c r="E143" s="155"/>
      <c r="F143" s="155"/>
      <c r="G143" s="155"/>
      <c r="H143" s="155"/>
      <c r="I143" s="155"/>
    </row>
    <row r="144" spans="1:9">
      <c r="A144" s="155"/>
      <c r="B144" s="155"/>
      <c r="C144" s="155"/>
      <c r="D144" s="155"/>
      <c r="E144" s="155"/>
      <c r="F144" s="155"/>
      <c r="G144" s="155"/>
      <c r="H144" s="155"/>
      <c r="I144" s="155"/>
    </row>
    <row r="145" spans="1:9">
      <c r="A145" s="155"/>
      <c r="B145" s="155"/>
      <c r="C145" s="155"/>
      <c r="D145" s="155"/>
      <c r="E145" s="155"/>
      <c r="F145" s="155"/>
      <c r="G145" s="155"/>
      <c r="H145" s="155"/>
      <c r="I145" s="155"/>
    </row>
    <row r="146" spans="1:9">
      <c r="A146" s="155"/>
      <c r="B146" s="155"/>
      <c r="C146" s="155"/>
      <c r="D146" s="155"/>
      <c r="E146" s="155"/>
      <c r="F146" s="155"/>
      <c r="G146" s="155"/>
      <c r="H146" s="155"/>
      <c r="I146" s="155"/>
    </row>
    <row r="147" spans="1:9">
      <c r="A147" s="155"/>
      <c r="B147" s="155"/>
      <c r="C147" s="155"/>
      <c r="D147" s="155"/>
      <c r="E147" s="155"/>
      <c r="F147" s="155"/>
      <c r="G147" s="155"/>
      <c r="H147" s="155"/>
      <c r="I147" s="155"/>
    </row>
    <row r="148" spans="1:9">
      <c r="A148" s="155"/>
      <c r="B148" s="155"/>
      <c r="C148" s="155"/>
      <c r="D148" s="155"/>
      <c r="E148" s="155"/>
      <c r="F148" s="155"/>
      <c r="G148" s="155"/>
      <c r="H148" s="155"/>
      <c r="I148" s="155"/>
    </row>
    <row r="149" spans="1:9">
      <c r="A149" s="155"/>
      <c r="B149" s="155"/>
      <c r="C149" s="155"/>
      <c r="D149" s="155"/>
      <c r="E149" s="155"/>
      <c r="F149" s="155"/>
      <c r="G149" s="155"/>
      <c r="H149" s="155"/>
      <c r="I149" s="155"/>
    </row>
    <row r="150" spans="1:9">
      <c r="A150" s="155"/>
      <c r="B150" s="155"/>
      <c r="C150" s="155"/>
      <c r="D150" s="155"/>
      <c r="E150" s="155"/>
      <c r="F150" s="155"/>
      <c r="G150" s="155"/>
      <c r="H150" s="155"/>
      <c r="I150" s="155"/>
    </row>
    <row r="151" spans="1:9">
      <c r="A151" s="155"/>
      <c r="B151" s="155"/>
      <c r="C151" s="155"/>
      <c r="D151" s="155"/>
      <c r="E151" s="155"/>
      <c r="F151" s="155"/>
      <c r="G151" s="155"/>
      <c r="H151" s="155"/>
      <c r="I151" s="155"/>
    </row>
    <row r="152" spans="1:9">
      <c r="A152" s="155"/>
      <c r="B152" s="155"/>
      <c r="C152" s="155"/>
      <c r="D152" s="155"/>
      <c r="E152" s="155"/>
      <c r="F152" s="155"/>
      <c r="G152" s="155"/>
      <c r="H152" s="155"/>
      <c r="I152" s="155"/>
    </row>
    <row r="153" spans="1:9" ht="20.399999999999999">
      <c r="A153" s="244"/>
      <c r="B153" s="155"/>
      <c r="C153" s="155"/>
      <c r="D153" s="155"/>
      <c r="E153" s="155"/>
      <c r="F153" s="155"/>
      <c r="G153" s="155"/>
      <c r="H153" s="155"/>
      <c r="I153" s="155"/>
    </row>
    <row r="154" spans="1:9" ht="21">
      <c r="A154" s="156" t="s">
        <v>947</v>
      </c>
      <c r="B154" s="155"/>
      <c r="C154" s="155"/>
      <c r="D154" s="155"/>
      <c r="E154" s="155"/>
      <c r="F154" s="155"/>
      <c r="G154" s="155"/>
      <c r="H154" s="155"/>
    </row>
    <row r="155" spans="1:9">
      <c r="A155" s="234"/>
      <c r="B155" s="155"/>
      <c r="C155" s="155"/>
      <c r="D155" s="155"/>
      <c r="E155" s="155"/>
      <c r="F155" s="155"/>
      <c r="G155" s="155"/>
      <c r="H155" s="155"/>
    </row>
    <row r="156" spans="1:9" ht="15.6">
      <c r="A156" s="288" t="s">
        <v>324</v>
      </c>
      <c r="B156" s="155"/>
      <c r="C156" s="155"/>
      <c r="D156" s="155"/>
      <c r="E156" s="155"/>
      <c r="F156" s="155"/>
      <c r="G156" s="155"/>
      <c r="H156" s="155"/>
    </row>
    <row r="157" spans="1:9" ht="28.8">
      <c r="A157" s="158"/>
      <c r="B157" s="287" t="s">
        <v>662</v>
      </c>
      <c r="C157" s="287" t="s">
        <v>658</v>
      </c>
      <c r="D157" s="231" t="s">
        <v>766</v>
      </c>
      <c r="E157" s="287" t="s">
        <v>659</v>
      </c>
      <c r="F157" s="287" t="s">
        <v>660</v>
      </c>
      <c r="G157" s="287" t="s">
        <v>572</v>
      </c>
      <c r="H157" s="287" t="s">
        <v>903</v>
      </c>
    </row>
    <row r="158" spans="1:9">
      <c r="A158" s="162">
        <v>2014</v>
      </c>
      <c r="B158" s="868">
        <f>SUM(FL_fb_rev_p.FME)</f>
        <v>4200</v>
      </c>
      <c r="C158" s="868">
        <f>SUM(SE_fb_rev_p.FME)</f>
        <v>5100</v>
      </c>
      <c r="D158" s="868">
        <f>SUM(BOCA_fb_rev_p.FME)</f>
        <v>4900</v>
      </c>
      <c r="E158" s="868">
        <f>SUM(SW_fb_rev_p.FME)</f>
        <v>5100</v>
      </c>
      <c r="F158" s="868">
        <f>SUM(SWCIRA_fb_rev_p.FME)</f>
        <v>2200</v>
      </c>
      <c r="G158" s="868">
        <f>SUM(NC_fb_rev_p.FME)</f>
        <v>4000</v>
      </c>
      <c r="H158" s="868">
        <f>SUM(YB_fb_rev_p.FME)</f>
        <v>4900</v>
      </c>
    </row>
    <row r="159" spans="1:9">
      <c r="A159" s="162">
        <v>2013</v>
      </c>
      <c r="B159" s="868">
        <v>3000</v>
      </c>
      <c r="C159" s="868">
        <v>3800</v>
      </c>
      <c r="D159" s="868">
        <v>4100</v>
      </c>
      <c r="E159" s="868">
        <v>2900</v>
      </c>
      <c r="F159" s="868">
        <v>1400</v>
      </c>
      <c r="G159" s="868">
        <v>2800</v>
      </c>
      <c r="H159" s="868">
        <v>2700</v>
      </c>
    </row>
    <row r="160" spans="1:9">
      <c r="A160" s="162" t="s">
        <v>608</v>
      </c>
      <c r="B160" s="868">
        <v>2700</v>
      </c>
      <c r="C160" s="868">
        <v>3500</v>
      </c>
      <c r="D160" s="868">
        <v>3900</v>
      </c>
      <c r="E160" s="868">
        <v>2700</v>
      </c>
      <c r="F160" s="868">
        <v>1200</v>
      </c>
      <c r="G160" s="868">
        <v>2700</v>
      </c>
      <c r="H160" s="868">
        <v>1800</v>
      </c>
    </row>
    <row r="161" spans="1:8">
      <c r="A161" s="162" t="s">
        <v>388</v>
      </c>
      <c r="B161" s="868">
        <v>2700</v>
      </c>
      <c r="C161" s="868">
        <v>3400</v>
      </c>
      <c r="D161" s="868">
        <v>3800</v>
      </c>
      <c r="E161" s="868">
        <v>2700</v>
      </c>
      <c r="F161" s="868">
        <v>1200</v>
      </c>
      <c r="G161" s="868">
        <v>2700</v>
      </c>
      <c r="H161" s="868">
        <v>1800</v>
      </c>
    </row>
    <row r="162" spans="1:8">
      <c r="A162" s="155"/>
      <c r="B162" s="155"/>
      <c r="C162" s="155"/>
      <c r="D162" s="155"/>
      <c r="E162" s="155"/>
      <c r="F162" s="155"/>
      <c r="G162" s="155"/>
      <c r="H162" s="155"/>
    </row>
    <row r="163" spans="1:8">
      <c r="A163" s="155"/>
      <c r="B163" s="155"/>
      <c r="C163" s="155"/>
      <c r="D163" s="155"/>
      <c r="E163" s="155"/>
      <c r="F163" s="155"/>
      <c r="G163" s="155"/>
      <c r="H163" s="155"/>
    </row>
    <row r="164" spans="1:8">
      <c r="A164" s="155"/>
      <c r="B164" s="155"/>
      <c r="C164" s="155"/>
      <c r="D164" s="155"/>
      <c r="E164" s="155"/>
      <c r="F164" s="155"/>
      <c r="G164" s="155"/>
      <c r="H164" s="155"/>
    </row>
    <row r="165" spans="1:8">
      <c r="A165" s="155"/>
      <c r="B165" s="155"/>
      <c r="C165" s="155"/>
      <c r="D165" s="155"/>
      <c r="E165" s="155"/>
      <c r="F165" s="155"/>
      <c r="G165" s="155"/>
      <c r="H165" s="155"/>
    </row>
    <row r="166" spans="1:8">
      <c r="A166" s="155"/>
      <c r="B166" s="155"/>
      <c r="C166" s="155"/>
      <c r="D166" s="155"/>
      <c r="E166" s="155"/>
      <c r="F166" s="155"/>
      <c r="G166" s="155"/>
      <c r="H166" s="155"/>
    </row>
    <row r="167" spans="1:8">
      <c r="A167" s="155"/>
      <c r="B167" s="155"/>
      <c r="C167" s="155"/>
      <c r="D167" s="155"/>
      <c r="E167" s="155"/>
      <c r="F167" s="155"/>
      <c r="G167" s="155"/>
      <c r="H167" s="155"/>
    </row>
    <row r="168" spans="1:8">
      <c r="A168" s="155"/>
      <c r="B168" s="155"/>
      <c r="C168" s="155"/>
      <c r="D168" s="155"/>
      <c r="E168" s="155"/>
      <c r="F168" s="155"/>
      <c r="G168" s="155"/>
      <c r="H168" s="155"/>
    </row>
    <row r="169" spans="1:8">
      <c r="A169" s="155"/>
      <c r="B169" s="155"/>
      <c r="C169" s="155"/>
      <c r="D169" s="155"/>
      <c r="E169" s="155"/>
      <c r="F169" s="155"/>
      <c r="G169" s="155"/>
      <c r="H169" s="155"/>
    </row>
    <row r="170" spans="1:8">
      <c r="A170" s="155"/>
      <c r="B170" s="155"/>
      <c r="C170" s="155"/>
      <c r="D170" s="155"/>
      <c r="E170" s="155"/>
      <c r="F170" s="155"/>
      <c r="G170" s="155"/>
      <c r="H170" s="155"/>
    </row>
    <row r="171" spans="1:8">
      <c r="A171" s="155"/>
      <c r="B171" s="155"/>
      <c r="C171" s="155"/>
      <c r="D171" s="155"/>
      <c r="E171" s="155"/>
      <c r="F171" s="155"/>
      <c r="G171" s="155"/>
      <c r="H171" s="155"/>
    </row>
    <row r="172" spans="1:8">
      <c r="A172" s="155"/>
      <c r="B172" s="155"/>
      <c r="C172" s="155"/>
      <c r="D172" s="155"/>
      <c r="E172" s="155"/>
      <c r="F172" s="155"/>
      <c r="G172" s="155"/>
      <c r="H172" s="155"/>
    </row>
    <row r="173" spans="1:8">
      <c r="A173" s="155"/>
      <c r="B173" s="155"/>
      <c r="C173" s="155"/>
      <c r="D173" s="155"/>
      <c r="E173" s="155"/>
      <c r="F173" s="155"/>
      <c r="G173" s="155"/>
      <c r="H173" s="155"/>
    </row>
    <row r="174" spans="1:8">
      <c r="A174" s="155"/>
      <c r="B174" s="155"/>
      <c r="C174" s="155"/>
      <c r="D174" s="155"/>
      <c r="E174" s="155"/>
      <c r="F174" s="155"/>
      <c r="G174" s="155"/>
      <c r="H174" s="155"/>
    </row>
    <row r="175" spans="1:8" ht="21">
      <c r="A175" s="156"/>
      <c r="B175" s="155"/>
      <c r="C175" s="155"/>
      <c r="D175" s="155"/>
      <c r="E175" s="155"/>
      <c r="F175" s="155"/>
      <c r="G175" s="155"/>
      <c r="H175" s="155"/>
    </row>
    <row r="176" spans="1:8" ht="21">
      <c r="A176" s="233"/>
      <c r="B176" s="155"/>
      <c r="C176" s="155"/>
      <c r="D176" s="155"/>
      <c r="E176" s="155"/>
      <c r="F176" s="155"/>
      <c r="G176" s="155"/>
      <c r="H176" s="155"/>
    </row>
    <row r="177" spans="1:8">
      <c r="A177" s="155"/>
      <c r="B177" s="155"/>
      <c r="C177" s="155"/>
      <c r="D177" s="155"/>
      <c r="E177" s="155"/>
      <c r="F177" s="155"/>
      <c r="G177" s="155"/>
      <c r="H177" s="155"/>
    </row>
    <row r="178" spans="1:8">
      <c r="A178" s="155"/>
      <c r="B178" s="155"/>
      <c r="C178" s="155"/>
      <c r="D178" s="155"/>
      <c r="E178" s="155"/>
      <c r="F178" s="155"/>
      <c r="G178" s="155"/>
      <c r="H178" s="155"/>
    </row>
    <row r="179" spans="1:8">
      <c r="A179" s="155"/>
      <c r="B179" s="155"/>
      <c r="C179" s="155"/>
      <c r="D179" s="155"/>
      <c r="E179" s="155"/>
      <c r="F179" s="155"/>
      <c r="G179" s="155"/>
      <c r="H179" s="155"/>
    </row>
  </sheetData>
  <pageMargins left="0.7" right="0.7" top="0.75" bottom="0.75" header="0.3" footer="0.3"/>
  <pageSetup scale="55" orientation="portrait" r:id="rId1"/>
  <rowBreaks count="2" manualBreakCount="2">
    <brk id="69" max="7" man="1"/>
    <brk id="120" max="7" man="1"/>
  </rowBreaks>
  <customProperties>
    <customPr name="OrphanNamesChecked" r:id="rId2"/>
  </customProperties>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1098</vt:i4>
      </vt:variant>
    </vt:vector>
  </HeadingPairs>
  <TitlesOfParts>
    <vt:vector size="1122" baseType="lpstr">
      <vt:lpstr>DATA&gt;&gt;</vt:lpstr>
      <vt:lpstr>copy to peer group</vt:lpstr>
      <vt:lpstr>in columns</vt:lpstr>
      <vt:lpstr>Sheet 1</vt:lpstr>
      <vt:lpstr>IN ROWS</vt:lpstr>
      <vt:lpstr>Area (&amp;golfacre for lookup)</vt:lpstr>
      <vt:lpstr>Q&amp;A&gt;&gt;</vt:lpstr>
      <vt:lpstr>2022 Q</vt:lpstr>
      <vt:lpstr>2023q</vt:lpstr>
      <vt:lpstr>init fee cy v py</vt:lpstr>
      <vt:lpstr>Q</vt:lpstr>
      <vt:lpstr>Q 2020</vt:lpstr>
      <vt:lpstr>Clubs FY19 v FY20</vt:lpstr>
      <vt:lpstr>Detail Summary - for reviewer</vt:lpstr>
      <vt:lpstr>TRENDS TABLES &amp; CHARTS&gt;&gt;</vt:lpstr>
      <vt:lpstr>Exec Summary</vt:lpstr>
      <vt:lpstr>Bal Sheet</vt:lpstr>
      <vt:lpstr>Membership</vt:lpstr>
      <vt:lpstr>Op Rev &amp; Exp</vt:lpstr>
      <vt:lpstr>F&amp;B</vt:lpstr>
      <vt:lpstr>Golf</vt:lpstr>
      <vt:lpstr>Internal Stuff&gt;&gt;</vt:lpstr>
      <vt:lpstr>golf acre&amp;rounds</vt:lpstr>
      <vt:lpstr>FME</vt:lpstr>
      <vt:lpstr>'Exec Summary'!_FilterDatabase</vt:lpstr>
      <vt:lpstr>BOCA_18_acres</vt:lpstr>
      <vt:lpstr>BOCA_18_all_otherexp</vt:lpstr>
      <vt:lpstr>BOCA_18_all_otherexp_p.hole</vt:lpstr>
      <vt:lpstr>BOCA_18_all_otherexp_perc</vt:lpstr>
      <vt:lpstr>BOCA_18_cost_p.acre</vt:lpstr>
      <vt:lpstr>BOCA_18_cost_p.hole</vt:lpstr>
      <vt:lpstr>BOCA_18_cost_p.round</vt:lpstr>
      <vt:lpstr>BOCA_18_lease_p.hole</vt:lpstr>
      <vt:lpstr>BOCA_18_lease_perc</vt:lpstr>
      <vt:lpstr>BOCA_18_paytax_bens</vt:lpstr>
      <vt:lpstr>BOCA_18_paytax_bens_p.hole</vt:lpstr>
      <vt:lpstr>BOCA_18_paytax_bens_perc</vt:lpstr>
      <vt:lpstr>BOCA_18_rep_mtce</vt:lpstr>
      <vt:lpstr>BOCA_18_rep_mtce_p.hole</vt:lpstr>
      <vt:lpstr>BOCA_18_rep_mtce_perc</vt:lpstr>
      <vt:lpstr>BOCA_18_rounds</vt:lpstr>
      <vt:lpstr>BOCA_18_sal_wage</vt:lpstr>
      <vt:lpstr>BOCA_18_sal_wage_perc</vt:lpstr>
      <vt:lpstr>BOCA_18_salwage_p.hole</vt:lpstr>
      <vt:lpstr>BOCA_18_supplies</vt:lpstr>
      <vt:lpstr>BOCA_18_supplies_p.hole</vt:lpstr>
      <vt:lpstr>BOCA_18_supplies_perc</vt:lpstr>
      <vt:lpstr>BOCA_18_tot_exp</vt:lpstr>
      <vt:lpstr>BOCA_3rdparty_debt</vt:lpstr>
      <vt:lpstr>BOCA_3rdparty_debt_perFME</vt:lpstr>
      <vt:lpstr>BOCA_all_ot_exp</vt:lpstr>
      <vt:lpstr>BOCA_amt_3rdpty_debt</vt:lpstr>
      <vt:lpstr>BOCA_amt_bev_inc</vt:lpstr>
      <vt:lpstr>BOCA_amt_menu_inc</vt:lpstr>
      <vt:lpstr>BOCA_ann_servchg</vt:lpstr>
      <vt:lpstr>BOCA_AR_0to30</vt:lpstr>
      <vt:lpstr>BOCA_AR_31to60</vt:lpstr>
      <vt:lpstr>BOCA_AR_61to90</vt:lpstr>
      <vt:lpstr>BOCA_AR_91plus</vt:lpstr>
      <vt:lpstr>BOCA_AvWait_ResignedMem</vt:lpstr>
      <vt:lpstr>BOCA_BanqCovers</vt:lpstr>
      <vt:lpstr>BOCA_bev_cos</vt:lpstr>
      <vt:lpstr>BOCA_bev_rev</vt:lpstr>
      <vt:lpstr>Boca_bev_rev_perc</vt:lpstr>
      <vt:lpstr>BOCA_bev_rev_perFME</vt:lpstr>
      <vt:lpstr>BOCA_both_fbmin_servchg</vt:lpstr>
      <vt:lpstr>BOCA_BudCap_addns_perFME</vt:lpstr>
      <vt:lpstr>BOCA_Cap_addns</vt:lpstr>
      <vt:lpstr>BOCA_Cap_addns_perFME</vt:lpstr>
      <vt:lpstr>BOCA_cap_assmt</vt:lpstr>
      <vt:lpstr>BOCA_cap_assmt_HIGH</vt:lpstr>
      <vt:lpstr>BOCA_cap_assmt_LOW</vt:lpstr>
      <vt:lpstr>BOCA_capaddn_to_depn</vt:lpstr>
      <vt:lpstr>BOCA_dues_Dec_HIGH</vt:lpstr>
      <vt:lpstr>BOCA_dues_Dec_LOW</vt:lpstr>
      <vt:lpstr>BOCA_dues_HIGH_AY</vt:lpstr>
      <vt:lpstr>BOCA_dues_HIGH_CY</vt:lpstr>
      <vt:lpstr>BOCA_dues_Inc_HIGH</vt:lpstr>
      <vt:lpstr>BOCA_dues_Inc_LOW</vt:lpstr>
      <vt:lpstr>BOCA_dues_LOW_AY</vt:lpstr>
      <vt:lpstr>BOCA_dues_LOW_CY</vt:lpstr>
      <vt:lpstr>BOCA_dues_rev_perc</vt:lpstr>
      <vt:lpstr>BOCA_dues_rev_perFME</vt:lpstr>
      <vt:lpstr>BOCA_emp</vt:lpstr>
      <vt:lpstr>BOCA_fANDb_cos</vt:lpstr>
      <vt:lpstr>BOCA_fb_cos</vt:lpstr>
      <vt:lpstr>BOCA_fb_cos_perFME</vt:lpstr>
      <vt:lpstr>BOCA_FB_loss</vt:lpstr>
      <vt:lpstr>BOCA_FB_loss_p.FME</vt:lpstr>
      <vt:lpstr>BOCA_FB_loss_p.mem</vt:lpstr>
      <vt:lpstr>BOCA_fb_min</vt:lpstr>
      <vt:lpstr>BOCA_fb_min_amt</vt:lpstr>
      <vt:lpstr>BOCA_fb_nograt_nomand</vt:lpstr>
      <vt:lpstr>BOCA_fb_ratio</vt:lpstr>
      <vt:lpstr>BOCA_fb_rev</vt:lpstr>
      <vt:lpstr>BOCA_fb_rev_p.FME</vt:lpstr>
      <vt:lpstr>BOCA_FBLoss_DuesRev</vt:lpstr>
      <vt:lpstr>BOCA_FBLoss_FBSales</vt:lpstr>
      <vt:lpstr>BOCA_fd_cos</vt:lpstr>
      <vt:lpstr>BOCA_FME</vt:lpstr>
      <vt:lpstr>BOCA_FME_p.employee</vt:lpstr>
      <vt:lpstr>BOCA_food_rev</vt:lpstr>
      <vt:lpstr>Boca_food_rev_perc</vt:lpstr>
      <vt:lpstr>BOCA_food_rev_perFME</vt:lpstr>
      <vt:lpstr>BOCA_ForLabCosts</vt:lpstr>
      <vt:lpstr>BOCA_golf_cos</vt:lpstr>
      <vt:lpstr>BOCA_golfexp_to_totexp_18</vt:lpstr>
      <vt:lpstr>BOCA_golfexp_to_totexp_mult</vt:lpstr>
      <vt:lpstr>BOCA_healthins_percinc</vt:lpstr>
      <vt:lpstr>boca_inc_bev_price</vt:lpstr>
      <vt:lpstr>BOCA_inc_menu_price</vt:lpstr>
      <vt:lpstr>BOCA_inhouse_proshop</vt:lpstr>
      <vt:lpstr>Boca_ins</vt:lpstr>
      <vt:lpstr>BOCA_ins_p.FME</vt:lpstr>
      <vt:lpstr>BOCA_majproj</vt:lpstr>
      <vt:lpstr>BOCA_majproj_amt</vt:lpstr>
      <vt:lpstr>BOCA_mand_mem</vt:lpstr>
      <vt:lpstr>BOCA_mand_serv_chg</vt:lpstr>
      <vt:lpstr>BOCA_mem</vt:lpstr>
      <vt:lpstr>BOCA_mth_serv_chg</vt:lpstr>
      <vt:lpstr>BOCA_mult_acre_36</vt:lpstr>
      <vt:lpstr>BOCA_mult_acres</vt:lpstr>
      <vt:lpstr>BOCA_mult_all_otherexp</vt:lpstr>
      <vt:lpstr>BOCA_mult_all_otherexp_p.hole</vt:lpstr>
      <vt:lpstr>BOCA_mult_all_otherexp_perc</vt:lpstr>
      <vt:lpstr>BOCA_mult_cost_p.acre</vt:lpstr>
      <vt:lpstr>BOCA_mult_cost_p.hole</vt:lpstr>
      <vt:lpstr>BOCA_mult_cost_p.round</vt:lpstr>
      <vt:lpstr>BOCA_mult_lease_p.hole</vt:lpstr>
      <vt:lpstr>BOCA_mult_lease_perc</vt:lpstr>
      <vt:lpstr>BOCA_mult_paytax_bens</vt:lpstr>
      <vt:lpstr>BOCA_mult_paytax_bens_p.hole</vt:lpstr>
      <vt:lpstr>BOCA_mult_paytax_bens_perc</vt:lpstr>
      <vt:lpstr>BOCA_mult_rep_mtce</vt:lpstr>
      <vt:lpstr>BOCA_mult_rep_mtce_p.hole</vt:lpstr>
      <vt:lpstr>BOCA_mult_rep_mtce_perc</vt:lpstr>
      <vt:lpstr>BOCA_mult_rounds</vt:lpstr>
      <vt:lpstr>BOCA_mult_rounds_18</vt:lpstr>
      <vt:lpstr>BOCA_mult_sal_wage</vt:lpstr>
      <vt:lpstr>BOCA_mult_sal_wage_perc</vt:lpstr>
      <vt:lpstr>BOCA_mult_salwage_p.hole</vt:lpstr>
      <vt:lpstr>BOCA_mult_supplies</vt:lpstr>
      <vt:lpstr>BOCA_mult_supplies_p.hole</vt:lpstr>
      <vt:lpstr>BOCA_mult_supplies_perc</vt:lpstr>
      <vt:lpstr>BOCA_mult_tot_exp</vt:lpstr>
      <vt:lpstr>boca_no_fbmin_servchg</vt:lpstr>
      <vt:lpstr>BOCA_NoForeignLab</vt:lpstr>
      <vt:lpstr>BOCA_op_assmt</vt:lpstr>
      <vt:lpstr>BOCA_op_assmt_HIGH</vt:lpstr>
      <vt:lpstr>BOCA_op_assmt_LOW</vt:lpstr>
      <vt:lpstr>BOCA_op_exp</vt:lpstr>
      <vt:lpstr>BOCA_op_exp_perFME</vt:lpstr>
      <vt:lpstr>BOCA_ot_assmt</vt:lpstr>
      <vt:lpstr>BOCA_ot_assmt_perc</vt:lpstr>
      <vt:lpstr>Boca_ot_rev_perc</vt:lpstr>
      <vt:lpstr>BOCA_ot_rev_perFME</vt:lpstr>
      <vt:lpstr>BOCA_pay</vt:lpstr>
      <vt:lpstr>BOCA_pay_net_servchg</vt:lpstr>
      <vt:lpstr>BOCA_pay_p.FME</vt:lpstr>
      <vt:lpstr>BOCA_pay_taxANDben</vt:lpstr>
      <vt:lpstr>BOCA_perc_Club_ForLab</vt:lpstr>
      <vt:lpstr>BOCA_PPE_NBV</vt:lpstr>
      <vt:lpstr>BOCA_PPE_NBV_FME</vt:lpstr>
      <vt:lpstr>BOCA_proptax</vt:lpstr>
      <vt:lpstr>BOCA_proptax_ins_exp</vt:lpstr>
      <vt:lpstr>BOCA_proptax_p.FME</vt:lpstr>
      <vt:lpstr>BOCA_ref_equity_perc_HIGH</vt:lpstr>
      <vt:lpstr>BOCA_ref_equity_perc_LOW</vt:lpstr>
      <vt:lpstr>BOCA_resignedwaitlist</vt:lpstr>
      <vt:lpstr>BOCA_sal_wage</vt:lpstr>
      <vt:lpstr>Boca_sport_rev_perc</vt:lpstr>
      <vt:lpstr>BOCA_sport_rev_perFME</vt:lpstr>
      <vt:lpstr>BOCA_surplus</vt:lpstr>
      <vt:lpstr>BOCA_tl_exp</vt:lpstr>
      <vt:lpstr>BOCA_tl_memcost_HIGH</vt:lpstr>
      <vt:lpstr>BOCA_tl_memcost_LOW</vt:lpstr>
      <vt:lpstr>BOCA_tl_resp</vt:lpstr>
      <vt:lpstr>BOCA_tl_rev</vt:lpstr>
      <vt:lpstr>BOCA_TlCovers</vt:lpstr>
      <vt:lpstr>BOCA_TLMem_25perc</vt:lpstr>
      <vt:lpstr>BOCA_TLMem_50perc</vt:lpstr>
      <vt:lpstr>BOCA_TLMem_75perc</vt:lpstr>
      <vt:lpstr>BOCA_tot_init_HIGH</vt:lpstr>
      <vt:lpstr>BOCA_tot_init_LOW</vt:lpstr>
      <vt:lpstr>BOCA_wkg_cap</vt:lpstr>
      <vt:lpstr>BU</vt:lpstr>
      <vt:lpstr>bw</vt:lpstr>
      <vt:lpstr>CHK</vt:lpstr>
      <vt:lpstr>FL_18_acres</vt:lpstr>
      <vt:lpstr>FL_18_all_otherexp</vt:lpstr>
      <vt:lpstr>FL_18_all_otherexp_p.hole</vt:lpstr>
      <vt:lpstr>FL_18_all_otherexp_perc</vt:lpstr>
      <vt:lpstr>FL_18_cost_p.acre</vt:lpstr>
      <vt:lpstr>FL_18_cost_p.hole</vt:lpstr>
      <vt:lpstr>FL_18_cost_p.round</vt:lpstr>
      <vt:lpstr>FL_18_lease_p.hole</vt:lpstr>
      <vt:lpstr>FL_18_lease_perc</vt:lpstr>
      <vt:lpstr>FL_18_paytax_bens</vt:lpstr>
      <vt:lpstr>FL_18_paytax_bens_p.hole</vt:lpstr>
      <vt:lpstr>FL_18_paytax_bens_perc</vt:lpstr>
      <vt:lpstr>FL_18_rep_mtce</vt:lpstr>
      <vt:lpstr>FL_18_rep_mtce_p.hole</vt:lpstr>
      <vt:lpstr>FL_18_rep_mtce_perc</vt:lpstr>
      <vt:lpstr>FL_18_rounds</vt:lpstr>
      <vt:lpstr>FL_18_sal_wage</vt:lpstr>
      <vt:lpstr>FL_18_sal_wage_perc</vt:lpstr>
      <vt:lpstr>FL_18_salwage_p.hole</vt:lpstr>
      <vt:lpstr>FL_18_supplies</vt:lpstr>
      <vt:lpstr>FL_18_supplies_p.hole</vt:lpstr>
      <vt:lpstr>FL_18_supplies_perc</vt:lpstr>
      <vt:lpstr>FL_18_tot_exp</vt:lpstr>
      <vt:lpstr>FL_3rdparty_debt</vt:lpstr>
      <vt:lpstr>FL_3rdparty_debt_perFME</vt:lpstr>
      <vt:lpstr>FL_all_ot_exp</vt:lpstr>
      <vt:lpstr>FL_amt_3rdpty_debt</vt:lpstr>
      <vt:lpstr>FL_amt_bev_inc</vt:lpstr>
      <vt:lpstr>FL_amt_menu_inc</vt:lpstr>
      <vt:lpstr>FL_ann_servchg</vt:lpstr>
      <vt:lpstr>FL_AR_0to30</vt:lpstr>
      <vt:lpstr>FL_AR_31to60</vt:lpstr>
      <vt:lpstr>FL_AR_61to90</vt:lpstr>
      <vt:lpstr>FL_AR_91plus</vt:lpstr>
      <vt:lpstr>FL_AvWait_ResignedMem</vt:lpstr>
      <vt:lpstr>FL_BanqCovers</vt:lpstr>
      <vt:lpstr>FL_bev_cos</vt:lpstr>
      <vt:lpstr>FL_bev_rev</vt:lpstr>
      <vt:lpstr>FL_bev_rev_perc</vt:lpstr>
      <vt:lpstr>FL_bev_rev_perFME</vt:lpstr>
      <vt:lpstr>FL_both_fbmin_servchg</vt:lpstr>
      <vt:lpstr>FL_BudCap_addns_perFME</vt:lpstr>
      <vt:lpstr>FL_Cap_addns</vt:lpstr>
      <vt:lpstr>FL_Cap_addns_perFME</vt:lpstr>
      <vt:lpstr>FL_cap_assmt</vt:lpstr>
      <vt:lpstr>FL_cap_assmt_HIGH</vt:lpstr>
      <vt:lpstr>FL_cap_assmt_LOW</vt:lpstr>
      <vt:lpstr>FL_capaddn_to_depn</vt:lpstr>
      <vt:lpstr>FL_dues_Dec_HIGH</vt:lpstr>
      <vt:lpstr>FL_dues_Dec_LOW</vt:lpstr>
      <vt:lpstr>FL_dues_HIGH_AY</vt:lpstr>
      <vt:lpstr>FL_dues_HIGH_CY</vt:lpstr>
      <vt:lpstr>FL_dues_Inc_HIGH</vt:lpstr>
      <vt:lpstr>FL_dues_Inc_LOW</vt:lpstr>
      <vt:lpstr>FL_dues_LOW_AY</vt:lpstr>
      <vt:lpstr>FL_dues_LOW_CY</vt:lpstr>
      <vt:lpstr>FL_dues_rev_perc</vt:lpstr>
      <vt:lpstr>FL_dues_rev_perFME</vt:lpstr>
      <vt:lpstr>FL_emp</vt:lpstr>
      <vt:lpstr>FL_fANDb_cos</vt:lpstr>
      <vt:lpstr>FL_fb_cos</vt:lpstr>
      <vt:lpstr>FL_fb_cos_perFME</vt:lpstr>
      <vt:lpstr>FL_FB_loss</vt:lpstr>
      <vt:lpstr>FL_FB_loss_p.FME</vt:lpstr>
      <vt:lpstr>FL_FB_loss_p.mem</vt:lpstr>
      <vt:lpstr>FL_fb_min</vt:lpstr>
      <vt:lpstr>FL_fb_min_amt</vt:lpstr>
      <vt:lpstr>FL_fb_nograt_nomand</vt:lpstr>
      <vt:lpstr>FL_fb_ratio</vt:lpstr>
      <vt:lpstr>FL_fb_rev</vt:lpstr>
      <vt:lpstr>FL_fb_rev_p.FME</vt:lpstr>
      <vt:lpstr>FL_FBLoss_DuesRev</vt:lpstr>
      <vt:lpstr>FL_FBLoss_FBSales</vt:lpstr>
      <vt:lpstr>FL_fd_cos</vt:lpstr>
      <vt:lpstr>FL_FME</vt:lpstr>
      <vt:lpstr>FL_FME_p.employee</vt:lpstr>
      <vt:lpstr>FL_food_rev</vt:lpstr>
      <vt:lpstr>FL_food_rev_perc</vt:lpstr>
      <vt:lpstr>FL_food_rev_perFME</vt:lpstr>
      <vt:lpstr>FL_ForLabCosts</vt:lpstr>
      <vt:lpstr>FL_golf_cos</vt:lpstr>
      <vt:lpstr>FL_golfexp_to_totexp_18</vt:lpstr>
      <vt:lpstr>FL_golfexp_to_totexp_mult</vt:lpstr>
      <vt:lpstr>FL_healthins_percinc</vt:lpstr>
      <vt:lpstr>FL_inc_bev_price</vt:lpstr>
      <vt:lpstr>FL_inc_menu_price</vt:lpstr>
      <vt:lpstr>FL_inhouse_proshop</vt:lpstr>
      <vt:lpstr>FL_ins</vt:lpstr>
      <vt:lpstr>FL_ins_p.FME</vt:lpstr>
      <vt:lpstr>FL_majproj</vt:lpstr>
      <vt:lpstr>FL_majproj_amt</vt:lpstr>
      <vt:lpstr>FL_mand_mem</vt:lpstr>
      <vt:lpstr>FL_mand_serv_chg</vt:lpstr>
      <vt:lpstr>FL_mem</vt:lpstr>
      <vt:lpstr>FL_mth_serv_chg</vt:lpstr>
      <vt:lpstr>FL_mult_acre_36</vt:lpstr>
      <vt:lpstr>FL_mult_acres</vt:lpstr>
      <vt:lpstr>FL_mult_all_otherexp</vt:lpstr>
      <vt:lpstr>FL_mult_all_otherexp_p.hole</vt:lpstr>
      <vt:lpstr>FL_mult_all_otherexp_perc</vt:lpstr>
      <vt:lpstr>FL_mult_cost_p.acre</vt:lpstr>
      <vt:lpstr>FL_mult_cost_p.hole</vt:lpstr>
      <vt:lpstr>FL_mult_cost_p.round</vt:lpstr>
      <vt:lpstr>FL_mult_lease_p.hole</vt:lpstr>
      <vt:lpstr>FL_mult_lease_perc</vt:lpstr>
      <vt:lpstr>FL_mult_paytax_bens</vt:lpstr>
      <vt:lpstr>FL_mult_paytax_bens_p.hole</vt:lpstr>
      <vt:lpstr>FL_mult_paytax_bens_perc</vt:lpstr>
      <vt:lpstr>FL_mult_rep_mtce</vt:lpstr>
      <vt:lpstr>FL_mult_rep_mtce_p.hole</vt:lpstr>
      <vt:lpstr>FL_mult_rep_mtce_perc</vt:lpstr>
      <vt:lpstr>FL_mult_rounds</vt:lpstr>
      <vt:lpstr>FL_mult_rounds_18</vt:lpstr>
      <vt:lpstr>FL_mult_sal_wage</vt:lpstr>
      <vt:lpstr>FL_mult_sal_wage_perc</vt:lpstr>
      <vt:lpstr>FL_mult_salwage_p.hole</vt:lpstr>
      <vt:lpstr>FL_mult_supplies</vt:lpstr>
      <vt:lpstr>FL_mult_supplies_p.hole</vt:lpstr>
      <vt:lpstr>FL_mult_supplies_perc</vt:lpstr>
      <vt:lpstr>FL_mult_tot_exp</vt:lpstr>
      <vt:lpstr>FL_no_fbmin_servchg</vt:lpstr>
      <vt:lpstr>FL_NoForeignLab</vt:lpstr>
      <vt:lpstr>FL_op_assmt</vt:lpstr>
      <vt:lpstr>FL_op_assmt_HIGH</vt:lpstr>
      <vt:lpstr>FL_op_assmt_LOW</vt:lpstr>
      <vt:lpstr>FL_op_exp</vt:lpstr>
      <vt:lpstr>FL_op_exp_perFME</vt:lpstr>
      <vt:lpstr>FL_ot_assmt</vt:lpstr>
      <vt:lpstr>FL_ot_assmt_perc</vt:lpstr>
      <vt:lpstr>FL_ot_rev_perc</vt:lpstr>
      <vt:lpstr>FL_ot_rev_perFME</vt:lpstr>
      <vt:lpstr>FL_pay</vt:lpstr>
      <vt:lpstr>FL_pay_net_servchg</vt:lpstr>
      <vt:lpstr>FL_pay_p.FME</vt:lpstr>
      <vt:lpstr>FL_pay_taxANDben</vt:lpstr>
      <vt:lpstr>FL_perc_Club_ForLab</vt:lpstr>
      <vt:lpstr>FL_PPE_NBV</vt:lpstr>
      <vt:lpstr>FL_PPE_NBV_FME</vt:lpstr>
      <vt:lpstr>FL_proptax</vt:lpstr>
      <vt:lpstr>FL_proptax_ins_exp</vt:lpstr>
      <vt:lpstr>FL_proptax_p.FME</vt:lpstr>
      <vt:lpstr>FL_ref_equity_perc_HIGH</vt:lpstr>
      <vt:lpstr>FL_ref_equity_perc_LOW</vt:lpstr>
      <vt:lpstr>FL_resignedwaitlist</vt:lpstr>
      <vt:lpstr>FL_sal_wage</vt:lpstr>
      <vt:lpstr>FL_sport_rev_perc</vt:lpstr>
      <vt:lpstr>FL_sport_rev_perFME</vt:lpstr>
      <vt:lpstr>FL_surplus</vt:lpstr>
      <vt:lpstr>FL_tl_exp</vt:lpstr>
      <vt:lpstr>FL_tl_memcost_HIGH</vt:lpstr>
      <vt:lpstr>FL_tl_memcost_LOW</vt:lpstr>
      <vt:lpstr>FL_tl_resp</vt:lpstr>
      <vt:lpstr>FL_tl_rev</vt:lpstr>
      <vt:lpstr>FL_TlCovers</vt:lpstr>
      <vt:lpstr>FL_TLMem_25perc</vt:lpstr>
      <vt:lpstr>FL_TLMem_50perc</vt:lpstr>
      <vt:lpstr>FL_TLMem_75perc</vt:lpstr>
      <vt:lpstr>FL_tot_init_HIGH</vt:lpstr>
      <vt:lpstr>FL_tot_init_LOW</vt:lpstr>
      <vt:lpstr>FL_wkg_cap</vt:lpstr>
      <vt:lpstr>ju</vt:lpstr>
      <vt:lpstr>kn</vt:lpstr>
      <vt:lpstr>lost</vt:lpstr>
      <vt:lpstr>mj</vt:lpstr>
      <vt:lpstr>NC_18_acres</vt:lpstr>
      <vt:lpstr>NC_18_all_otherexp</vt:lpstr>
      <vt:lpstr>NC_18_all_otherexp_p.hole</vt:lpstr>
      <vt:lpstr>NC_18_all_otherexp_perc</vt:lpstr>
      <vt:lpstr>NC_18_cost_p.acre</vt:lpstr>
      <vt:lpstr>NC_18_cost_p.hole</vt:lpstr>
      <vt:lpstr>NC_18_cost_p.round</vt:lpstr>
      <vt:lpstr>NC_18_lease_p.hole</vt:lpstr>
      <vt:lpstr>NC_18_lease_perc</vt:lpstr>
      <vt:lpstr>NC_18_paytax_bens</vt:lpstr>
      <vt:lpstr>NC_18_paytax_bens_p.hole</vt:lpstr>
      <vt:lpstr>NC_18_paytax_bens_perc</vt:lpstr>
      <vt:lpstr>NC_18_rep_mtce</vt:lpstr>
      <vt:lpstr>NC_18_rep_mtce_p.hole</vt:lpstr>
      <vt:lpstr>NC_18_rep_mtce_perc</vt:lpstr>
      <vt:lpstr>NC_18_rounds</vt:lpstr>
      <vt:lpstr>NC_18_sal_wage</vt:lpstr>
      <vt:lpstr>NC_18_sal_wage_perc</vt:lpstr>
      <vt:lpstr>NC_18_salwage_p.hole</vt:lpstr>
      <vt:lpstr>NC_18_supplies</vt:lpstr>
      <vt:lpstr>NC_18_supplies_p.hole</vt:lpstr>
      <vt:lpstr>NC_18_supplies_perc</vt:lpstr>
      <vt:lpstr>NC_18_tot_exp</vt:lpstr>
      <vt:lpstr>NC_3rdparty_debt</vt:lpstr>
      <vt:lpstr>NC_3rdparty_debt_perFME</vt:lpstr>
      <vt:lpstr>NC_all_ot_exp</vt:lpstr>
      <vt:lpstr>NC_amt_3rdpty_debt</vt:lpstr>
      <vt:lpstr>NC_amt_bev_inc</vt:lpstr>
      <vt:lpstr>NC_amt_menu_inc</vt:lpstr>
      <vt:lpstr>NC_ann_servchg</vt:lpstr>
      <vt:lpstr>NC_AR_0to30</vt:lpstr>
      <vt:lpstr>NC_AR_31to60</vt:lpstr>
      <vt:lpstr>NC_AR_61to90</vt:lpstr>
      <vt:lpstr>NC_AR_91plus</vt:lpstr>
      <vt:lpstr>NC_AvWait_ResignedMem</vt:lpstr>
      <vt:lpstr>NC_BanqCovers</vt:lpstr>
      <vt:lpstr>NC_bev_cos</vt:lpstr>
      <vt:lpstr>NC_bev_rev</vt:lpstr>
      <vt:lpstr>NC_bev_rev_perc</vt:lpstr>
      <vt:lpstr>NC_bev_rev_perFME</vt:lpstr>
      <vt:lpstr>NC_both_fbmin_servchg</vt:lpstr>
      <vt:lpstr>NC_BudCap_addns_perFME</vt:lpstr>
      <vt:lpstr>NC_Cap_addns</vt:lpstr>
      <vt:lpstr>NC_Cap_addns_perFME</vt:lpstr>
      <vt:lpstr>NC_cap_assmt</vt:lpstr>
      <vt:lpstr>NC_cap_assmt_HIGH</vt:lpstr>
      <vt:lpstr>NC_cap_assmt_LOW</vt:lpstr>
      <vt:lpstr>NC_capaddn_to_depn</vt:lpstr>
      <vt:lpstr>NC_dues_Dec_HIGH</vt:lpstr>
      <vt:lpstr>NC_dues_Dec_LOW</vt:lpstr>
      <vt:lpstr>NC_dues_HIGH_AY</vt:lpstr>
      <vt:lpstr>NC_dues_HIGH_CY</vt:lpstr>
      <vt:lpstr>NC_dues_Inc_HIGH</vt:lpstr>
      <vt:lpstr>NC_dues_Inc_LOW</vt:lpstr>
      <vt:lpstr>NC_dues_LOW_AY</vt:lpstr>
      <vt:lpstr>NC_dues_LOW_CY</vt:lpstr>
      <vt:lpstr>NC_dues_rev_perc</vt:lpstr>
      <vt:lpstr>NC_dues_rev_perFME</vt:lpstr>
      <vt:lpstr>NC_emp</vt:lpstr>
      <vt:lpstr>NC_fANDb_cos</vt:lpstr>
      <vt:lpstr>NC_fb_cos</vt:lpstr>
      <vt:lpstr>NC_fb_cos_perFME</vt:lpstr>
      <vt:lpstr>NC_FB_loss</vt:lpstr>
      <vt:lpstr>NC_FB_loss_p.FME</vt:lpstr>
      <vt:lpstr>NC_FB_loss_p.mem</vt:lpstr>
      <vt:lpstr>NC_fb_min</vt:lpstr>
      <vt:lpstr>NC_fb_min_amt</vt:lpstr>
      <vt:lpstr>NC_fb_nograt_nomand</vt:lpstr>
      <vt:lpstr>NC_fb_ratio</vt:lpstr>
      <vt:lpstr>NC_fb_rev</vt:lpstr>
      <vt:lpstr>NC_fb_rev_p.FME</vt:lpstr>
      <vt:lpstr>NC_FBLoss_DuesRev</vt:lpstr>
      <vt:lpstr>NC_FBLoss_FBSales</vt:lpstr>
      <vt:lpstr>NC_fd_cos</vt:lpstr>
      <vt:lpstr>NC_FME</vt:lpstr>
      <vt:lpstr>NC_FME_p.employee</vt:lpstr>
      <vt:lpstr>NC_food_rev</vt:lpstr>
      <vt:lpstr>NC_food_rev_perc</vt:lpstr>
      <vt:lpstr>NC_food_rev_perFME</vt:lpstr>
      <vt:lpstr>NC_ForLabCosts</vt:lpstr>
      <vt:lpstr>NC_golf_cos</vt:lpstr>
      <vt:lpstr>NC_golfexp_to_totexp_18</vt:lpstr>
      <vt:lpstr>NC_golfexp_to_totexp_mult</vt:lpstr>
      <vt:lpstr>NC_healthins_percinc</vt:lpstr>
      <vt:lpstr>NC_inc_bev_price</vt:lpstr>
      <vt:lpstr>NC_inc_menu_price</vt:lpstr>
      <vt:lpstr>NC_inhouse_proshop</vt:lpstr>
      <vt:lpstr>NC_ins</vt:lpstr>
      <vt:lpstr>NC_ins_p.FME</vt:lpstr>
      <vt:lpstr>NC_majproj</vt:lpstr>
      <vt:lpstr>NC_majproj_amt</vt:lpstr>
      <vt:lpstr>NC_mand_mem</vt:lpstr>
      <vt:lpstr>NC_mand_serv_chg</vt:lpstr>
      <vt:lpstr>NC_mem</vt:lpstr>
      <vt:lpstr>NC_mth_serv_chg</vt:lpstr>
      <vt:lpstr>NC_mult_acre_36</vt:lpstr>
      <vt:lpstr>NC_mult_acres</vt:lpstr>
      <vt:lpstr>NC_mult_all_otherexp</vt:lpstr>
      <vt:lpstr>NC_mult_all_otherexp_p.hole</vt:lpstr>
      <vt:lpstr>NC_mult_all_otherexp_perc</vt:lpstr>
      <vt:lpstr>NC_mult_cost_p.acre</vt:lpstr>
      <vt:lpstr>NC_mult_cost_p.hole</vt:lpstr>
      <vt:lpstr>NC_mult_cost_p.round</vt:lpstr>
      <vt:lpstr>NC_mult_lease_p.hole</vt:lpstr>
      <vt:lpstr>NC_mult_lease_perc</vt:lpstr>
      <vt:lpstr>NC_mult_paytax_bens</vt:lpstr>
      <vt:lpstr>NC_mult_paytax_bens_p.hole</vt:lpstr>
      <vt:lpstr>NC_mult_paytax_bens_perc</vt:lpstr>
      <vt:lpstr>NC_mult_rep_mtce</vt:lpstr>
      <vt:lpstr>NC_mult_rep_mtce_p.hole</vt:lpstr>
      <vt:lpstr>NC_mult_rep_mtce_perc</vt:lpstr>
      <vt:lpstr>NC_mult_rounds</vt:lpstr>
      <vt:lpstr>NC_mult_rounds_18</vt:lpstr>
      <vt:lpstr>NC_mult_sal_wage</vt:lpstr>
      <vt:lpstr>NC_mult_sal_wage_perc</vt:lpstr>
      <vt:lpstr>NC_mult_salwage_p.hole</vt:lpstr>
      <vt:lpstr>NC_mult_supplies</vt:lpstr>
      <vt:lpstr>NC_mult_supplies_p.hole</vt:lpstr>
      <vt:lpstr>NC_mult_supplies_perc</vt:lpstr>
      <vt:lpstr>NC_mult_tot_exp</vt:lpstr>
      <vt:lpstr>NC_no_fbmin_servchg</vt:lpstr>
      <vt:lpstr>NC_NoForeignLab</vt:lpstr>
      <vt:lpstr>NC_op_assmt</vt:lpstr>
      <vt:lpstr>NC_op_assmt_HIGH</vt:lpstr>
      <vt:lpstr>NC_op_assmt_LOW</vt:lpstr>
      <vt:lpstr>NC_op_exp</vt:lpstr>
      <vt:lpstr>NC_op_exp_perFME</vt:lpstr>
      <vt:lpstr>NC_ot_assmt</vt:lpstr>
      <vt:lpstr>NC_ot_assmt_perc</vt:lpstr>
      <vt:lpstr>NC_ot_rev_perc</vt:lpstr>
      <vt:lpstr>NC_ot_rev_perFME</vt:lpstr>
      <vt:lpstr>NC_pay</vt:lpstr>
      <vt:lpstr>NC_pay_net_servchg</vt:lpstr>
      <vt:lpstr>NC_pay_p.FME</vt:lpstr>
      <vt:lpstr>NC_pay_taxANDben</vt:lpstr>
      <vt:lpstr>NC_perc_Club_ForLab</vt:lpstr>
      <vt:lpstr>NC_PPE_NBV</vt:lpstr>
      <vt:lpstr>NC_PPE_NBV_FME</vt:lpstr>
      <vt:lpstr>NC_proptax</vt:lpstr>
      <vt:lpstr>NC_proptax_ins_exp</vt:lpstr>
      <vt:lpstr>NC_proptax_p.FME</vt:lpstr>
      <vt:lpstr>NC_ref_equity_perc_HIGH</vt:lpstr>
      <vt:lpstr>NC_ref_equity_perc_LOW</vt:lpstr>
      <vt:lpstr>NC_resignedwaitlist</vt:lpstr>
      <vt:lpstr>NC_sal_wage</vt:lpstr>
      <vt:lpstr>NC_sport_rev_perc</vt:lpstr>
      <vt:lpstr>NC_sport_rev_perFME</vt:lpstr>
      <vt:lpstr>NC_surplus</vt:lpstr>
      <vt:lpstr>NC_tl_exp</vt:lpstr>
      <vt:lpstr>NC_tl_memcost_HIGH</vt:lpstr>
      <vt:lpstr>NC_tl_memcost_LOW</vt:lpstr>
      <vt:lpstr>NC_tl_resp</vt:lpstr>
      <vt:lpstr>NC_tl_rev</vt:lpstr>
      <vt:lpstr>NC_TlCovers</vt:lpstr>
      <vt:lpstr>NC_TLMem_25perc</vt:lpstr>
      <vt:lpstr>NC_TLMem_50perc</vt:lpstr>
      <vt:lpstr>NC_TLMem_75perc</vt:lpstr>
      <vt:lpstr>NC_tot_init_HIGH</vt:lpstr>
      <vt:lpstr>NC_tot_init_LOW</vt:lpstr>
      <vt:lpstr>NC_wkg_cap</vt:lpstr>
      <vt:lpstr>'2023q'!Print_Area</vt:lpstr>
      <vt:lpstr>'Area (&amp;golfacre for lookup)'!Print_Area</vt:lpstr>
      <vt:lpstr>'Bal Sheet'!Print_Area</vt:lpstr>
      <vt:lpstr>'Clubs FY19 v FY20'!Print_Area</vt:lpstr>
      <vt:lpstr>'Detail Summary - for reviewer'!Print_Area</vt:lpstr>
      <vt:lpstr>'Exec Summary'!Print_Area</vt:lpstr>
      <vt:lpstr>'F&amp;B'!Print_Area</vt:lpstr>
      <vt:lpstr>FME!Print_Area</vt:lpstr>
      <vt:lpstr>Golf!Print_Area</vt:lpstr>
      <vt:lpstr>'in columns'!Print_Area</vt:lpstr>
      <vt:lpstr>Membership!Print_Area</vt:lpstr>
      <vt:lpstr>'Op Rev &amp; Exp'!Print_Area</vt:lpstr>
      <vt:lpstr>Q!Print_Area</vt:lpstr>
      <vt:lpstr>'Clubs FY19 v FY20'!Print_Titles</vt:lpstr>
      <vt:lpstr>'Detail Summary - for reviewer'!Print_Titles</vt:lpstr>
      <vt:lpstr>'Exec Summary'!Print_Titles</vt:lpstr>
      <vt:lpstr>'golf acre&amp;rounds'!Print_Titles</vt:lpstr>
      <vt:lpstr>'in columns'!Print_Titles</vt:lpstr>
      <vt:lpstr>'init fee cy v py'!Print_Titles</vt:lpstr>
      <vt:lpstr>'in columns'!Print_Titles_MI</vt:lpstr>
      <vt:lpstr>SE_18_acres</vt:lpstr>
      <vt:lpstr>SE_18_all_otherexp</vt:lpstr>
      <vt:lpstr>SE_18_all_otherexp_p.hole</vt:lpstr>
      <vt:lpstr>SE_18_all_otherexp_perc</vt:lpstr>
      <vt:lpstr>SE_18_cost_p.acre</vt:lpstr>
      <vt:lpstr>SE_18_cost_p.hole</vt:lpstr>
      <vt:lpstr>SE_18_cost_p.round</vt:lpstr>
      <vt:lpstr>SE_18_lease_p.hole</vt:lpstr>
      <vt:lpstr>SE_18_lease_perc</vt:lpstr>
      <vt:lpstr>SE_18_paytax_bens</vt:lpstr>
      <vt:lpstr>SE_18_paytax_bens_p.hole</vt:lpstr>
      <vt:lpstr>SE_18_paytax_bens_perc</vt:lpstr>
      <vt:lpstr>SE_18_rep_mtce</vt:lpstr>
      <vt:lpstr>SE_18_rep_mtce_p.hole</vt:lpstr>
      <vt:lpstr>SE_18_rep_mtce_perc</vt:lpstr>
      <vt:lpstr>SE_18_rounds</vt:lpstr>
      <vt:lpstr>SE_18_sal_wage</vt:lpstr>
      <vt:lpstr>SE_18_sal_wage_perc</vt:lpstr>
      <vt:lpstr>SE_18_salwage_p.hole</vt:lpstr>
      <vt:lpstr>SE_18_supplies</vt:lpstr>
      <vt:lpstr>SE_18_supplies_p.hole</vt:lpstr>
      <vt:lpstr>SE_18_supplies_perc</vt:lpstr>
      <vt:lpstr>SE_18_tot_exp</vt:lpstr>
      <vt:lpstr>SE_3rdparty_debt</vt:lpstr>
      <vt:lpstr>SE_3rdparty_debt_perFME</vt:lpstr>
      <vt:lpstr>SE_all_ot_exp</vt:lpstr>
      <vt:lpstr>SE_amt_3rdpty_debt</vt:lpstr>
      <vt:lpstr>SE_amt_bev_inc</vt:lpstr>
      <vt:lpstr>SE_amt_menu_inc</vt:lpstr>
      <vt:lpstr>SE_ann_servchg</vt:lpstr>
      <vt:lpstr>SE_AR_0to30</vt:lpstr>
      <vt:lpstr>SE_AR_31to60</vt:lpstr>
      <vt:lpstr>SE_AR_61to90</vt:lpstr>
      <vt:lpstr>SE_AR_91plus</vt:lpstr>
      <vt:lpstr>SE_AvWait_ResignedMem</vt:lpstr>
      <vt:lpstr>SE_BanqCovers</vt:lpstr>
      <vt:lpstr>SE_bev_cos</vt:lpstr>
      <vt:lpstr>SE_bev_rev</vt:lpstr>
      <vt:lpstr>SE_bev_rev_perc</vt:lpstr>
      <vt:lpstr>SE_bev_rev_perFME</vt:lpstr>
      <vt:lpstr>SE_both_fbmin_servchg</vt:lpstr>
      <vt:lpstr>SE_BudCap_addns_perFME</vt:lpstr>
      <vt:lpstr>SE_Cap_addns</vt:lpstr>
      <vt:lpstr>SE_Cap_addns_perFME</vt:lpstr>
      <vt:lpstr>SE_cap_assmt</vt:lpstr>
      <vt:lpstr>SE_cap_assmt_HIGH</vt:lpstr>
      <vt:lpstr>SE_cap_assmt_LOW</vt:lpstr>
      <vt:lpstr>SE_capaddn_to_depn</vt:lpstr>
      <vt:lpstr>SE_dues_Dec_HIGH</vt:lpstr>
      <vt:lpstr>SE_dues_Dec_LOW</vt:lpstr>
      <vt:lpstr>SE_dues_HIGH_AY</vt:lpstr>
      <vt:lpstr>SE_dues_HIGH_CY</vt:lpstr>
      <vt:lpstr>SE_dues_Inc_HIGH</vt:lpstr>
      <vt:lpstr>SE_dues_Inc_LOW</vt:lpstr>
      <vt:lpstr>SE_dues_LOW_AY</vt:lpstr>
      <vt:lpstr>SE_dues_LOW_CY</vt:lpstr>
      <vt:lpstr>SE_dues_rev_perc</vt:lpstr>
      <vt:lpstr>SE_dues_rev_perFME</vt:lpstr>
      <vt:lpstr>SE_emp</vt:lpstr>
      <vt:lpstr>SE_fANDb_cos</vt:lpstr>
      <vt:lpstr>SE_fb_cos</vt:lpstr>
      <vt:lpstr>SE_fb_cos_perFME</vt:lpstr>
      <vt:lpstr>SE_FB_loss</vt:lpstr>
      <vt:lpstr>SE_FB_loss_p.FME</vt:lpstr>
      <vt:lpstr>SE_FB_loss_p.mem</vt:lpstr>
      <vt:lpstr>SE_fb_min</vt:lpstr>
      <vt:lpstr>SE_fb_min_amt</vt:lpstr>
      <vt:lpstr>SE_fb_nograt_nomand</vt:lpstr>
      <vt:lpstr>SE_fb_ratio</vt:lpstr>
      <vt:lpstr>SE_fb_rev</vt:lpstr>
      <vt:lpstr>SE_fb_rev_p.FME</vt:lpstr>
      <vt:lpstr>SE_FBLoss_DuesRev</vt:lpstr>
      <vt:lpstr>SE_FBLoss_FBSales</vt:lpstr>
      <vt:lpstr>SE_fd_cos</vt:lpstr>
      <vt:lpstr>SE_FME</vt:lpstr>
      <vt:lpstr>SE_FME_p.employee</vt:lpstr>
      <vt:lpstr>SE_food_rev</vt:lpstr>
      <vt:lpstr>SE_food_rev_perc</vt:lpstr>
      <vt:lpstr>SE_food_rev_perFME</vt:lpstr>
      <vt:lpstr>SE_ForLabCosts</vt:lpstr>
      <vt:lpstr>SE_golf_cos</vt:lpstr>
      <vt:lpstr>SE_golfexp_to_totexp_18</vt:lpstr>
      <vt:lpstr>SE_golfexp_to_totexp_mult</vt:lpstr>
      <vt:lpstr>SE_healthins_percinc</vt:lpstr>
      <vt:lpstr>SE_inc_bev_price</vt:lpstr>
      <vt:lpstr>SE_inc_menu_price</vt:lpstr>
      <vt:lpstr>SE_inhouse_proshop</vt:lpstr>
      <vt:lpstr>SE_ins</vt:lpstr>
      <vt:lpstr>SE_ins_p.FME</vt:lpstr>
      <vt:lpstr>SE_majproj</vt:lpstr>
      <vt:lpstr>SE_majproj_amt</vt:lpstr>
      <vt:lpstr>SE_mand_mem</vt:lpstr>
      <vt:lpstr>SE_mand_serv_chg</vt:lpstr>
      <vt:lpstr>SE_mem</vt:lpstr>
      <vt:lpstr>SE_mth_serv_chg</vt:lpstr>
      <vt:lpstr>SE_mult_acre_36</vt:lpstr>
      <vt:lpstr>SE_mult_acres</vt:lpstr>
      <vt:lpstr>SE_mult_all_otherexp</vt:lpstr>
      <vt:lpstr>SE_mult_all_otherexp_p.hole</vt:lpstr>
      <vt:lpstr>SE_mult_all_otherexp_perc</vt:lpstr>
      <vt:lpstr>SE_mult_cost_p.acre</vt:lpstr>
      <vt:lpstr>SE_mult_cost_p.hole</vt:lpstr>
      <vt:lpstr>SE_mult_cost_p.round</vt:lpstr>
      <vt:lpstr>SE_mult_lease_p.hole</vt:lpstr>
      <vt:lpstr>SE_mult_lease_perc</vt:lpstr>
      <vt:lpstr>SE_mult_paytax_bens</vt:lpstr>
      <vt:lpstr>SE_mult_paytax_bens_p.hole</vt:lpstr>
      <vt:lpstr>SE_mult_paytax_bens_perc</vt:lpstr>
      <vt:lpstr>SE_mult_rep_mtce</vt:lpstr>
      <vt:lpstr>SE_mult_rep_mtce_p.hole</vt:lpstr>
      <vt:lpstr>SE_mult_rep_mtce_perc</vt:lpstr>
      <vt:lpstr>SE_mult_rounds</vt:lpstr>
      <vt:lpstr>SE_mult_rounds_18</vt:lpstr>
      <vt:lpstr>SE_mult_sal_wage</vt:lpstr>
      <vt:lpstr>SE_mult_sal_wage_perc</vt:lpstr>
      <vt:lpstr>SE_mult_salwage_p.hole</vt:lpstr>
      <vt:lpstr>SE_mult_supplies</vt:lpstr>
      <vt:lpstr>SE_mult_supplies_p.hole</vt:lpstr>
      <vt:lpstr>SE_mult_supplies_perc</vt:lpstr>
      <vt:lpstr>SE_mult_tot_exp</vt:lpstr>
      <vt:lpstr>SE_no_fbmin_servchg</vt:lpstr>
      <vt:lpstr>SE_NoForeignLab</vt:lpstr>
      <vt:lpstr>SE_op_assmt</vt:lpstr>
      <vt:lpstr>SE_op_assmt_HIGH</vt:lpstr>
      <vt:lpstr>SE_op_assmt_LOW</vt:lpstr>
      <vt:lpstr>SE_op_exp</vt:lpstr>
      <vt:lpstr>SE_op_exp_perFME</vt:lpstr>
      <vt:lpstr>SE_ot_assmt</vt:lpstr>
      <vt:lpstr>SE_ot_assmt_perc</vt:lpstr>
      <vt:lpstr>SE_ot_rev_perc</vt:lpstr>
      <vt:lpstr>SE_ot_rev_perFME</vt:lpstr>
      <vt:lpstr>SE_pay</vt:lpstr>
      <vt:lpstr>SE_pay_net_servchg</vt:lpstr>
      <vt:lpstr>SE_pay_p.FME</vt:lpstr>
      <vt:lpstr>SE_pay_taxANDben</vt:lpstr>
      <vt:lpstr>SE_perc_Club_ForLab</vt:lpstr>
      <vt:lpstr>SE_PPE_NBV</vt:lpstr>
      <vt:lpstr>SE_PPE_NBV_FME</vt:lpstr>
      <vt:lpstr>SE_proptax</vt:lpstr>
      <vt:lpstr>SE_proptax_ins_exp</vt:lpstr>
      <vt:lpstr>SE_proptax_p.FME</vt:lpstr>
      <vt:lpstr>SE_ref_equity_perc_HIGH</vt:lpstr>
      <vt:lpstr>SE_ref_equity_perc_LOW</vt:lpstr>
      <vt:lpstr>SE_resignedwaitlist</vt:lpstr>
      <vt:lpstr>SE_sal_wage</vt:lpstr>
      <vt:lpstr>SE_sport_rev_perc</vt:lpstr>
      <vt:lpstr>SE_sport_rev_perFME</vt:lpstr>
      <vt:lpstr>SE_surplus</vt:lpstr>
      <vt:lpstr>SE_tl_exp</vt:lpstr>
      <vt:lpstr>SE_tl_memcost_HIGH</vt:lpstr>
      <vt:lpstr>SE_tl_memcost_LOW</vt:lpstr>
      <vt:lpstr>SE_tl_resp</vt:lpstr>
      <vt:lpstr>SE_tl_rev</vt:lpstr>
      <vt:lpstr>SE_TlCovers</vt:lpstr>
      <vt:lpstr>SE_TLMem_25perc</vt:lpstr>
      <vt:lpstr>SE_TLMem_50perc</vt:lpstr>
      <vt:lpstr>SE_TLMem_75perc</vt:lpstr>
      <vt:lpstr>SE_tot_init_HIGH</vt:lpstr>
      <vt:lpstr>SE_tot_init_LOW</vt:lpstr>
      <vt:lpstr>SE_wkg_cap</vt:lpstr>
      <vt:lpstr>service</vt:lpstr>
      <vt:lpstr>SW_18_acres</vt:lpstr>
      <vt:lpstr>SW_18_all_otherexp</vt:lpstr>
      <vt:lpstr>SW_18_all_otherexp_p.hole</vt:lpstr>
      <vt:lpstr>SW_18_all_otherexp_perc</vt:lpstr>
      <vt:lpstr>SW_18_cost_p.acre</vt:lpstr>
      <vt:lpstr>SW_18_cost_p.hole</vt:lpstr>
      <vt:lpstr>SW_18_cost_p.round</vt:lpstr>
      <vt:lpstr>SW_18_lease_p.hole</vt:lpstr>
      <vt:lpstr>SW_18_lease_perc</vt:lpstr>
      <vt:lpstr>SW_18_paytax_bens</vt:lpstr>
      <vt:lpstr>SW_18_paytax_bens_p.hole</vt:lpstr>
      <vt:lpstr>SW_18_paytax_bens_perc</vt:lpstr>
      <vt:lpstr>SW_18_rep_mtce</vt:lpstr>
      <vt:lpstr>SW_18_rep_mtce_p.hole</vt:lpstr>
      <vt:lpstr>SW_18_rep_mtce_perc</vt:lpstr>
      <vt:lpstr>SW_18_rounds</vt:lpstr>
      <vt:lpstr>SW_18_sal_wage</vt:lpstr>
      <vt:lpstr>SW_18_sal_wage_perc</vt:lpstr>
      <vt:lpstr>SW_18_salwage_p.hole</vt:lpstr>
      <vt:lpstr>SW_18_supplies</vt:lpstr>
      <vt:lpstr>SW_18_supplies_p.hole</vt:lpstr>
      <vt:lpstr>SW_18_supplies_perc</vt:lpstr>
      <vt:lpstr>SW_18_tot_exp</vt:lpstr>
      <vt:lpstr>SW_3rdparty_debt</vt:lpstr>
      <vt:lpstr>SW_3rdparty_debt_perFME</vt:lpstr>
      <vt:lpstr>SW_all_ot_exp</vt:lpstr>
      <vt:lpstr>SW_amt_3rdpty_debt</vt:lpstr>
      <vt:lpstr>SW_amt_bev_inc</vt:lpstr>
      <vt:lpstr>SW_amt_menu_inc</vt:lpstr>
      <vt:lpstr>SW_ann_servchg</vt:lpstr>
      <vt:lpstr>SW_AR_0to30</vt:lpstr>
      <vt:lpstr>SW_AR_31to60</vt:lpstr>
      <vt:lpstr>SW_AR_61to90</vt:lpstr>
      <vt:lpstr>SW_AR_91plus</vt:lpstr>
      <vt:lpstr>SW_AvWait_ResignedMem</vt:lpstr>
      <vt:lpstr>SW_BanqCovers</vt:lpstr>
      <vt:lpstr>SW_bev_cos</vt:lpstr>
      <vt:lpstr>SW_bev_rev</vt:lpstr>
      <vt:lpstr>SW_bev_rev_perc</vt:lpstr>
      <vt:lpstr>SW_bev_rev_perFME</vt:lpstr>
      <vt:lpstr>SW_both_fbmin_servchg</vt:lpstr>
      <vt:lpstr>SW_BudCap_addns_perFME</vt:lpstr>
      <vt:lpstr>SW_Cap_addns</vt:lpstr>
      <vt:lpstr>SW_Cap_addns_perFME</vt:lpstr>
      <vt:lpstr>SW_cap_assmt</vt:lpstr>
      <vt:lpstr>SW_cap_assmt_HIGH</vt:lpstr>
      <vt:lpstr>SW_cap_assmt_LOW</vt:lpstr>
      <vt:lpstr>SW_capaddn_to_depn</vt:lpstr>
      <vt:lpstr>SW_dues_Dec_HIGH</vt:lpstr>
      <vt:lpstr>SW_dues_Dec_LOW</vt:lpstr>
      <vt:lpstr>SW_dues_HIGH_AY</vt:lpstr>
      <vt:lpstr>SW_dues_HIGH_CY</vt:lpstr>
      <vt:lpstr>SW_dues_Inc_HIGH</vt:lpstr>
      <vt:lpstr>SW_dues_Inc_LOW</vt:lpstr>
      <vt:lpstr>SW_dues_LOW_AY</vt:lpstr>
      <vt:lpstr>SW_dues_LOW_CY</vt:lpstr>
      <vt:lpstr>SW_dues_rev_perc</vt:lpstr>
      <vt:lpstr>SW_dues_rev_perFME</vt:lpstr>
      <vt:lpstr>SW_emp</vt:lpstr>
      <vt:lpstr>SW_fANDb_cos</vt:lpstr>
      <vt:lpstr>SW_fb_cos</vt:lpstr>
      <vt:lpstr>SW_fb_cos_perFME</vt:lpstr>
      <vt:lpstr>SW_FB_loss</vt:lpstr>
      <vt:lpstr>SW_FB_loss_p.FME</vt:lpstr>
      <vt:lpstr>SW_FB_loss_p.mem</vt:lpstr>
      <vt:lpstr>SW_fb_min</vt:lpstr>
      <vt:lpstr>SW_fb_min_amt</vt:lpstr>
      <vt:lpstr>SW_fb_nograt_nomand</vt:lpstr>
      <vt:lpstr>SW_fb_ratio</vt:lpstr>
      <vt:lpstr>SW_fb_rev</vt:lpstr>
      <vt:lpstr>SW_fb_rev_p.FME</vt:lpstr>
      <vt:lpstr>SW_FBLoss_DuesRev</vt:lpstr>
      <vt:lpstr>SW_FBLoss_FBSales</vt:lpstr>
      <vt:lpstr>SW_fd_cos</vt:lpstr>
      <vt:lpstr>SW_FME</vt:lpstr>
      <vt:lpstr>SW_FME_p.employee</vt:lpstr>
      <vt:lpstr>SW_food_rev</vt:lpstr>
      <vt:lpstr>SW_food_rev_perc</vt:lpstr>
      <vt:lpstr>SW_food_rev_perFME</vt:lpstr>
      <vt:lpstr>SW_ForLabCosts</vt:lpstr>
      <vt:lpstr>SW_golf_cos</vt:lpstr>
      <vt:lpstr>SW_golfexp_to_totexp_18</vt:lpstr>
      <vt:lpstr>SW_golfexp_to_totexp_mult</vt:lpstr>
      <vt:lpstr>SW_healthins_percinc</vt:lpstr>
      <vt:lpstr>SW_inc_bev_price</vt:lpstr>
      <vt:lpstr>SW_inc_menu_price</vt:lpstr>
      <vt:lpstr>SW_inhouse_proshop</vt:lpstr>
      <vt:lpstr>SW_ins</vt:lpstr>
      <vt:lpstr>SW_ins_p.FME</vt:lpstr>
      <vt:lpstr>SW_majproj</vt:lpstr>
      <vt:lpstr>SW_majproj_amt</vt:lpstr>
      <vt:lpstr>SW_mand_mem</vt:lpstr>
      <vt:lpstr>SW_mand_serv_chg</vt:lpstr>
      <vt:lpstr>SW_mem</vt:lpstr>
      <vt:lpstr>SW_mth_serv_chg</vt:lpstr>
      <vt:lpstr>SW_mult_acre_36</vt:lpstr>
      <vt:lpstr>SW_mult_acres</vt:lpstr>
      <vt:lpstr>SW_mult_all_otherexp</vt:lpstr>
      <vt:lpstr>SW_mult_all_otherexp_p.hole</vt:lpstr>
      <vt:lpstr>SW_mult_all_otherexp_perc</vt:lpstr>
      <vt:lpstr>SW_mult_cost_p.acre</vt:lpstr>
      <vt:lpstr>SW_mult_cost_p.hole</vt:lpstr>
      <vt:lpstr>SW_mult_cost_p.round</vt:lpstr>
      <vt:lpstr>SW_mult_lease_p.hole</vt:lpstr>
      <vt:lpstr>SW_mult_lease_perc</vt:lpstr>
      <vt:lpstr>SW_mult_paytax_bens</vt:lpstr>
      <vt:lpstr>SW_mult_paytax_bens_p.hole</vt:lpstr>
      <vt:lpstr>SW_mult_paytax_bens_perc</vt:lpstr>
      <vt:lpstr>SW_mult_rep_mtce</vt:lpstr>
      <vt:lpstr>SW_mult_rep_mtce_p.hole</vt:lpstr>
      <vt:lpstr>SW_mult_rep_mtce_perc</vt:lpstr>
      <vt:lpstr>SW_mult_rounds</vt:lpstr>
      <vt:lpstr>SW_mult_rounds_18</vt:lpstr>
      <vt:lpstr>SW_mult_sal_wage</vt:lpstr>
      <vt:lpstr>SW_mult_sal_wage_perc</vt:lpstr>
      <vt:lpstr>SW_mult_salwage_p.hole</vt:lpstr>
      <vt:lpstr>SW_mult_supplies</vt:lpstr>
      <vt:lpstr>SW_mult_supplies_p.hole</vt:lpstr>
      <vt:lpstr>SW_mult_supplies_perc</vt:lpstr>
      <vt:lpstr>SW_mult_tot_exp</vt:lpstr>
      <vt:lpstr>SW_no_fbmin_servchg</vt:lpstr>
      <vt:lpstr>SW_NoForeignLab</vt:lpstr>
      <vt:lpstr>SW_op_assmt</vt:lpstr>
      <vt:lpstr>SW_op_assmt_HIGH</vt:lpstr>
      <vt:lpstr>SW_op_assmt_LOW</vt:lpstr>
      <vt:lpstr>SW_op_exp</vt:lpstr>
      <vt:lpstr>SW_op_exp_perFME</vt:lpstr>
      <vt:lpstr>SW_ot_assmt</vt:lpstr>
      <vt:lpstr>SW_ot_assmt_perc</vt:lpstr>
      <vt:lpstr>SW_ot_rev_perc</vt:lpstr>
      <vt:lpstr>SW_ot_rev_perFME</vt:lpstr>
      <vt:lpstr>SW_pay</vt:lpstr>
      <vt:lpstr>SW_pay_net_servchg</vt:lpstr>
      <vt:lpstr>SW_pay_p.FME</vt:lpstr>
      <vt:lpstr>SW_pay_taxANDben</vt:lpstr>
      <vt:lpstr>SW_perc_Club_ForLab</vt:lpstr>
      <vt:lpstr>SW_PPE_NBV</vt:lpstr>
      <vt:lpstr>SW_PPE_NBV_FME</vt:lpstr>
      <vt:lpstr>SW_proptax</vt:lpstr>
      <vt:lpstr>SW_proptax_ins_exp</vt:lpstr>
      <vt:lpstr>SW_proptax_p.FME</vt:lpstr>
      <vt:lpstr>SW_ref_equity_perc_HIGH</vt:lpstr>
      <vt:lpstr>SW_ref_equity_perc_LOW</vt:lpstr>
      <vt:lpstr>SW_resignedwaitlist</vt:lpstr>
      <vt:lpstr>SW_sal_wage</vt:lpstr>
      <vt:lpstr>SW_sport_rev_perc</vt:lpstr>
      <vt:lpstr>SW_sport_rev_perFME</vt:lpstr>
      <vt:lpstr>SW_surplus</vt:lpstr>
      <vt:lpstr>SW_tl_exp</vt:lpstr>
      <vt:lpstr>SW_tl_memcost_HIGH</vt:lpstr>
      <vt:lpstr>SW_tl_memcost_LOW</vt:lpstr>
      <vt:lpstr>SW_tl_resp</vt:lpstr>
      <vt:lpstr>SW_tl_rev</vt:lpstr>
      <vt:lpstr>Sw_TlCovers</vt:lpstr>
      <vt:lpstr>SW_TLMem_25perc</vt:lpstr>
      <vt:lpstr>SW_TLMem_50perc</vt:lpstr>
      <vt:lpstr>SW_TLMem_75perc</vt:lpstr>
      <vt:lpstr>SW_tot_init_HIGH</vt:lpstr>
      <vt:lpstr>SW_tot_init_LOW</vt:lpstr>
      <vt:lpstr>SW_wkg_cap</vt:lpstr>
      <vt:lpstr>SWCIRA_18_acres</vt:lpstr>
      <vt:lpstr>SWCIRA_18_all_otherexp</vt:lpstr>
      <vt:lpstr>SWCIRA_18_all_otherexp_p.hole</vt:lpstr>
      <vt:lpstr>SWCIRA_18_all_otherexp_perc</vt:lpstr>
      <vt:lpstr>SWCIRA_18_cost_p.acre</vt:lpstr>
      <vt:lpstr>SWCIRA_18_cost_p.hole</vt:lpstr>
      <vt:lpstr>SWCIRA_18_cost_p.round</vt:lpstr>
      <vt:lpstr>SWCIRA_18_lease_p.hole</vt:lpstr>
      <vt:lpstr>SWCIRA_18_lease_perc</vt:lpstr>
      <vt:lpstr>SWCIRA_18_paytax_bens</vt:lpstr>
      <vt:lpstr>SWCIRA_18_paytax_bens_p.hole</vt:lpstr>
      <vt:lpstr>SWCIRA_18_paytax_bens_perc</vt:lpstr>
      <vt:lpstr>SWCIRA_18_rep_mtce</vt:lpstr>
      <vt:lpstr>SWCIRA_18_rep_mtce_p.hole</vt:lpstr>
      <vt:lpstr>SWCIRA_18_rep_mtce_perc</vt:lpstr>
      <vt:lpstr>SWCIRA_18_rounds</vt:lpstr>
      <vt:lpstr>SWCIRA_18_sal_wage</vt:lpstr>
      <vt:lpstr>SWCIRA_18_sal_wage_perc</vt:lpstr>
      <vt:lpstr>SWCIRA_18_salwage_p.hole</vt:lpstr>
      <vt:lpstr>SWCIRA_18_supplies</vt:lpstr>
      <vt:lpstr>SWCIRA_18_supplies_p.hole</vt:lpstr>
      <vt:lpstr>SWCIRA_18_supplies_perc</vt:lpstr>
      <vt:lpstr>SWCIRA_18_tot_exp</vt:lpstr>
      <vt:lpstr>SWCIRA_3rdparty_debt</vt:lpstr>
      <vt:lpstr>SWCIRA_3rdparty_debt_perFME</vt:lpstr>
      <vt:lpstr>SWCIRA_all_ot_exp</vt:lpstr>
      <vt:lpstr>SWCIRA_amt_3rdpty_debt</vt:lpstr>
      <vt:lpstr>SWCIRA_amt_bev_inc</vt:lpstr>
      <vt:lpstr>SWCIRA_amt_menu_inc</vt:lpstr>
      <vt:lpstr>SWCIRA_ann_servchg</vt:lpstr>
      <vt:lpstr>SWCIRA_AR_0to30</vt:lpstr>
      <vt:lpstr>SWCIRA_AR_31to60</vt:lpstr>
      <vt:lpstr>SWCIRA_AR_61to90</vt:lpstr>
      <vt:lpstr>SWCIRA_AR_91plus</vt:lpstr>
      <vt:lpstr>SWCIRA_AvWait_ResignedMem</vt:lpstr>
      <vt:lpstr>SWCIRA_BanqCovers</vt:lpstr>
      <vt:lpstr>SWCIRA_bev_cos</vt:lpstr>
      <vt:lpstr>SWCIRA_bev_rev</vt:lpstr>
      <vt:lpstr>SWCIRA_bev_rev_perc</vt:lpstr>
      <vt:lpstr>SWCIRA_bev_rev_perFME</vt:lpstr>
      <vt:lpstr>SWCIRA_both_fbmin_servchg</vt:lpstr>
      <vt:lpstr>SWCIRA_BudCap_addns_perFME</vt:lpstr>
      <vt:lpstr>SWCIRA_Cap_addns</vt:lpstr>
      <vt:lpstr>SWCIRA_Cap_addns_perFME</vt:lpstr>
      <vt:lpstr>SWCIRA_cap_assmt</vt:lpstr>
      <vt:lpstr>SWCIRA_cap_assmt_HIGH</vt:lpstr>
      <vt:lpstr>SWCIRA_cap_assmt_LOW</vt:lpstr>
      <vt:lpstr>SWCIRA_capaddn_to_depn</vt:lpstr>
      <vt:lpstr>SWCIRA_dues_Dec_HIGH</vt:lpstr>
      <vt:lpstr>SWCIRA_dues_Dec_LOW</vt:lpstr>
      <vt:lpstr>SWCIRA_dues_HIGH_AY</vt:lpstr>
      <vt:lpstr>SWCIRA_dues_HIGH_CY</vt:lpstr>
      <vt:lpstr>SWCIRA_dues_Inc_HIGH</vt:lpstr>
      <vt:lpstr>SWCIRA_dues_Inc_LOW</vt:lpstr>
      <vt:lpstr>SWCIRA_dues_LOW_AY</vt:lpstr>
      <vt:lpstr>SWCIRA_dues_LOW_CY</vt:lpstr>
      <vt:lpstr>SWCIRA_dues_rev_perc</vt:lpstr>
      <vt:lpstr>SWCIRA_dues_rev_perFME</vt:lpstr>
      <vt:lpstr>SWCIRA_emp</vt:lpstr>
      <vt:lpstr>SWCIRA_fANDb_cos</vt:lpstr>
      <vt:lpstr>SWCIRA_fb_cos</vt:lpstr>
      <vt:lpstr>SWCIRA_fb_cos_perFME</vt:lpstr>
      <vt:lpstr>SWCIRA_FB_loss</vt:lpstr>
      <vt:lpstr>SWCIRA_FB_loss_p.FME</vt:lpstr>
      <vt:lpstr>SWCIRA_FB_loss_p.mem</vt:lpstr>
      <vt:lpstr>SWCIRA_fb_min</vt:lpstr>
      <vt:lpstr>SWCIRA_fb_min_amt</vt:lpstr>
      <vt:lpstr>SWCIRA_fb_nograt_nomand</vt:lpstr>
      <vt:lpstr>SWCIRA_fb_ratio</vt:lpstr>
      <vt:lpstr>SWCIRA_fb_rev</vt:lpstr>
      <vt:lpstr>SWCIRA_fb_rev_p.FME</vt:lpstr>
      <vt:lpstr>SWCIRA_FBLoss_DuesRev</vt:lpstr>
      <vt:lpstr>SWCIRA_FBLoss_FBSales</vt:lpstr>
      <vt:lpstr>SWCIRA_fd_cos</vt:lpstr>
      <vt:lpstr>SWCIRA_FME</vt:lpstr>
      <vt:lpstr>SWCIRA_FME_p.employee</vt:lpstr>
      <vt:lpstr>SWCIRA_food_rev</vt:lpstr>
      <vt:lpstr>SWCIRA_food_rev_perc</vt:lpstr>
      <vt:lpstr>SWCIRA_food_rev_perFME</vt:lpstr>
      <vt:lpstr>SWCIRA_ForLabCosts</vt:lpstr>
      <vt:lpstr>SWCIRA_golf_cos</vt:lpstr>
      <vt:lpstr>SWCIRA_golfexp_to_totexp_18</vt:lpstr>
      <vt:lpstr>SWCIRA_golfexp_to_totexp_mult</vt:lpstr>
      <vt:lpstr>SWCIRA_healthins_percinc</vt:lpstr>
      <vt:lpstr>SWCIRA_inc_bev_price</vt:lpstr>
      <vt:lpstr>SWCIRA_inc_menu_price</vt:lpstr>
      <vt:lpstr>SWCIRA_inhouse_proshop</vt:lpstr>
      <vt:lpstr>SWCIRA_ins</vt:lpstr>
      <vt:lpstr>SWCIRA_ins_p.FME</vt:lpstr>
      <vt:lpstr>SWCIRA_majproj</vt:lpstr>
      <vt:lpstr>SWCIRA_majproj_amt</vt:lpstr>
      <vt:lpstr>SWCIRA_mand_mem</vt:lpstr>
      <vt:lpstr>SWCIRA_mand_serv_chg</vt:lpstr>
      <vt:lpstr>SWCIRA_mem</vt:lpstr>
      <vt:lpstr>SWCIRA_mth_serv_chg</vt:lpstr>
      <vt:lpstr>SWCIRA_mult_acre_36</vt:lpstr>
      <vt:lpstr>SWCIRA_mult_acres</vt:lpstr>
      <vt:lpstr>SWCIRA_mult_all_otherexp</vt:lpstr>
      <vt:lpstr>SWCIRA_mult_all_otherexp_p.hole</vt:lpstr>
      <vt:lpstr>SWCIRA_mult_all_otherexp_perc</vt:lpstr>
      <vt:lpstr>SWCIRA_mult_cost_p.acre</vt:lpstr>
      <vt:lpstr>SWCIRA_mult_cost_p.hole</vt:lpstr>
      <vt:lpstr>SWCIRA_mult_cost_p.round</vt:lpstr>
      <vt:lpstr>SWCIRA_mult_lease_p.hole</vt:lpstr>
      <vt:lpstr>SWCIRA_mult_lease_perc</vt:lpstr>
      <vt:lpstr>SWCIRA_mult_paytax_bens</vt:lpstr>
      <vt:lpstr>SWCIRA_mult_paytax_bens_p.hole</vt:lpstr>
      <vt:lpstr>SWCIRA_mult_paytax_bens_perc</vt:lpstr>
      <vt:lpstr>SWCIRA_mult_rep_mtce</vt:lpstr>
      <vt:lpstr>SWCIRA_mult_rep_mtce_p.hole</vt:lpstr>
      <vt:lpstr>SWCIRA_mult_rep_mtce_perc</vt:lpstr>
      <vt:lpstr>SWCIRA_mult_rounds</vt:lpstr>
      <vt:lpstr>SWCIRA_mult_rounds_18</vt:lpstr>
      <vt:lpstr>SWCIRA_mult_sal_wage</vt:lpstr>
      <vt:lpstr>SWCIRA_mult_sal_wage_perc</vt:lpstr>
      <vt:lpstr>SWCIRA_mult_salwage_p.hole</vt:lpstr>
      <vt:lpstr>SWCIRA_mult_supplies</vt:lpstr>
      <vt:lpstr>SWCIRA_mult_supplies_p.hole</vt:lpstr>
      <vt:lpstr>SWCIRA_mult_supplies_perc</vt:lpstr>
      <vt:lpstr>SWCIRA_mult_tot_exp</vt:lpstr>
      <vt:lpstr>SWCIRA_no_fbmin_servchg</vt:lpstr>
      <vt:lpstr>SWCIRA_NoForeignLab</vt:lpstr>
      <vt:lpstr>SWCIRA_op_assmt</vt:lpstr>
      <vt:lpstr>SWCIRA_op_assmt_HIGH</vt:lpstr>
      <vt:lpstr>SWCIRA_op_assmt_LOW</vt:lpstr>
      <vt:lpstr>SWCIRA_op_exp</vt:lpstr>
      <vt:lpstr>SWCIRA_op_exp_perFME</vt:lpstr>
      <vt:lpstr>SWCIRA_ot_assmt</vt:lpstr>
      <vt:lpstr>SWCIRA_ot_assmt_perc</vt:lpstr>
      <vt:lpstr>SWCIRA_ot_rev_perc</vt:lpstr>
      <vt:lpstr>SWCIRA_ot_rev_perFME</vt:lpstr>
      <vt:lpstr>SWCIRA_pay</vt:lpstr>
      <vt:lpstr>SWCIRA_pay_net_servchg</vt:lpstr>
      <vt:lpstr>SWCIRA_pay_p.FME</vt:lpstr>
      <vt:lpstr>SWCIRA_pay_taxANDben</vt:lpstr>
      <vt:lpstr>SWCIRA_perc_Club_ForLab</vt:lpstr>
      <vt:lpstr>SWCIRA_PPE_NBV</vt:lpstr>
      <vt:lpstr>SWCIRA_PPE_NBV_FME</vt:lpstr>
      <vt:lpstr>SWCIRA_proptax</vt:lpstr>
      <vt:lpstr>SWCIRA_proptax_ins_exp</vt:lpstr>
      <vt:lpstr>SWCIRA_proptax_p.FME</vt:lpstr>
      <vt:lpstr>SWCIRA_ref_equity_perc_HIGH</vt:lpstr>
      <vt:lpstr>SWCIRA_ref_equity_perc_LOW</vt:lpstr>
      <vt:lpstr>SWCIRA_resignedwaitlist</vt:lpstr>
      <vt:lpstr>SWCIRA_sal_wage</vt:lpstr>
      <vt:lpstr>SWCIRA_sport_rev_perc</vt:lpstr>
      <vt:lpstr>SWCIRA_sport_rev_perFME</vt:lpstr>
      <vt:lpstr>SWCIRA_surplus</vt:lpstr>
      <vt:lpstr>SWCIRA_tl_exp</vt:lpstr>
      <vt:lpstr>SWCIRA_tl_memcost_HIGH</vt:lpstr>
      <vt:lpstr>SWCIRA_tl_memcost_LOW</vt:lpstr>
      <vt:lpstr>SWCIRA_tl_resp</vt:lpstr>
      <vt:lpstr>SWCIRA_tl_rev</vt:lpstr>
      <vt:lpstr>SWCIRA_TlCovers</vt:lpstr>
      <vt:lpstr>SWCIRA_TLMem_25perc</vt:lpstr>
      <vt:lpstr>SWCIRA_TLMem_50perc</vt:lpstr>
      <vt:lpstr>SWCIRA_TLMem_75perc</vt:lpstr>
      <vt:lpstr>SWCIRA_tot_init_HIGH</vt:lpstr>
      <vt:lpstr>SWCIRA_tot_init_LOW</vt:lpstr>
      <vt:lpstr>SWCIRA_wkg_cap</vt:lpstr>
      <vt:lpstr>Top_10</vt:lpstr>
      <vt:lpstr>YB_3rdparty_debt</vt:lpstr>
      <vt:lpstr>YB_3rdparty_debt_perFME</vt:lpstr>
      <vt:lpstr>YB_all_ot_exp</vt:lpstr>
      <vt:lpstr>YB_amt_3rdpty_debt</vt:lpstr>
      <vt:lpstr>YB_amt_bev_inc</vt:lpstr>
      <vt:lpstr>YB_amt_menu_inc</vt:lpstr>
      <vt:lpstr>YB_ann_servchg</vt:lpstr>
      <vt:lpstr>YB_AR_0to30</vt:lpstr>
      <vt:lpstr>YB_AR_31to60</vt:lpstr>
      <vt:lpstr>YB_AR_61to90</vt:lpstr>
      <vt:lpstr>YB_AR_91plus</vt:lpstr>
      <vt:lpstr>YB_AvWait_ResignedMem</vt:lpstr>
      <vt:lpstr>YB_BanqCovers</vt:lpstr>
      <vt:lpstr>YB_bev_cos</vt:lpstr>
      <vt:lpstr>YB_bev_rev</vt:lpstr>
      <vt:lpstr>YB_bev_rev_perc</vt:lpstr>
      <vt:lpstr>YB_bev_rev_perFME</vt:lpstr>
      <vt:lpstr>YB_both_fbmin_servchg</vt:lpstr>
      <vt:lpstr>YB_BudCap_addns_perFME</vt:lpstr>
      <vt:lpstr>YB_Cap_addns</vt:lpstr>
      <vt:lpstr>YB_Cap_addns_perFME</vt:lpstr>
      <vt:lpstr>YB_cap_assmt</vt:lpstr>
      <vt:lpstr>YB_cap_assmt_HIGH</vt:lpstr>
      <vt:lpstr>YB_cap_assmt_LOW</vt:lpstr>
      <vt:lpstr>YB_capaddn_to_depn</vt:lpstr>
      <vt:lpstr>YB_dues_Dec_HIGH</vt:lpstr>
      <vt:lpstr>YB_dues_Dec_LOW</vt:lpstr>
      <vt:lpstr>YB_dues_HIGH_AY</vt:lpstr>
      <vt:lpstr>YB_dues_HIGH_CY</vt:lpstr>
      <vt:lpstr>YB_dues_Inc_HIGH</vt:lpstr>
      <vt:lpstr>YB_dues_Inc_LOW</vt:lpstr>
      <vt:lpstr>YB_dues_LOW_AY</vt:lpstr>
      <vt:lpstr>YB_dues_LOW_CY</vt:lpstr>
      <vt:lpstr>YB_dues_rev_perc</vt:lpstr>
      <vt:lpstr>YB_dues_rev_perFME</vt:lpstr>
      <vt:lpstr>YB_emp</vt:lpstr>
      <vt:lpstr>YB_fANDb_cos</vt:lpstr>
      <vt:lpstr>YB_fb_cos</vt:lpstr>
      <vt:lpstr>YB_fb_cos_perFME</vt:lpstr>
      <vt:lpstr>YB_FB_loss</vt:lpstr>
      <vt:lpstr>YB_FB_loss_p.FME</vt:lpstr>
      <vt:lpstr>YB_FB_loss_p.mem</vt:lpstr>
      <vt:lpstr>YB_fb_min</vt:lpstr>
      <vt:lpstr>YB_fb_min_amt</vt:lpstr>
      <vt:lpstr>YB_fb_nograt_nomand</vt:lpstr>
      <vt:lpstr>YB_fb_ratio</vt:lpstr>
      <vt:lpstr>YB_fb_rev</vt:lpstr>
      <vt:lpstr>YB_fb_rev_p.FME</vt:lpstr>
      <vt:lpstr>YB_FBLoss_DuesRev</vt:lpstr>
      <vt:lpstr>YB_FBLoss_FBSales</vt:lpstr>
      <vt:lpstr>YB_fd_cos</vt:lpstr>
      <vt:lpstr>YB_FME</vt:lpstr>
      <vt:lpstr>YB_FME_p.employee</vt:lpstr>
      <vt:lpstr>YB_food_rev</vt:lpstr>
      <vt:lpstr>YB_food_rev_perc</vt:lpstr>
      <vt:lpstr>YB_food_rev_perFME</vt:lpstr>
      <vt:lpstr>YB_ForLabCosts</vt:lpstr>
      <vt:lpstr>YB_healthins_percinc</vt:lpstr>
      <vt:lpstr>YB_inc_bev_price</vt:lpstr>
      <vt:lpstr>YB_inc_menu_price</vt:lpstr>
      <vt:lpstr>YB_ins</vt:lpstr>
      <vt:lpstr>YB_ins_p.FME</vt:lpstr>
      <vt:lpstr>YB_majproj</vt:lpstr>
      <vt:lpstr>YB_majproj_amt</vt:lpstr>
      <vt:lpstr>YB_mand_mem</vt:lpstr>
      <vt:lpstr>YB_mand_serv_chg</vt:lpstr>
      <vt:lpstr>YB_mem</vt:lpstr>
      <vt:lpstr>YB_mth_serv_chg</vt:lpstr>
      <vt:lpstr>YB_no_fbmin_servchg</vt:lpstr>
      <vt:lpstr>YB_NoForeignLab</vt:lpstr>
      <vt:lpstr>YB_op_assmt</vt:lpstr>
      <vt:lpstr>YB_op_assmt_HIGH</vt:lpstr>
      <vt:lpstr>YB_op_assmt_LOW</vt:lpstr>
      <vt:lpstr>YB_op_exp</vt:lpstr>
      <vt:lpstr>YB_op_exp_perFME</vt:lpstr>
      <vt:lpstr>YB_ot_assmt</vt:lpstr>
      <vt:lpstr>YB_ot_assmt_perc</vt:lpstr>
      <vt:lpstr>YB_ot_rev_perc</vt:lpstr>
      <vt:lpstr>YB_ot_rev_perFME</vt:lpstr>
      <vt:lpstr>YB_pay</vt:lpstr>
      <vt:lpstr>YB_pay_net_servchg</vt:lpstr>
      <vt:lpstr>YB_pay_p.FME</vt:lpstr>
      <vt:lpstr>YB_pay_taxANDben</vt:lpstr>
      <vt:lpstr>YB_perc_Club_ForLab</vt:lpstr>
      <vt:lpstr>YB_PPE_NBV</vt:lpstr>
      <vt:lpstr>YB_PPE_NBV_FME</vt:lpstr>
      <vt:lpstr>YB_proptax</vt:lpstr>
      <vt:lpstr>YB_proptax_ins_exp</vt:lpstr>
      <vt:lpstr>YB_proptax_p.FME</vt:lpstr>
      <vt:lpstr>YB_ref_equity_perc_HIGH</vt:lpstr>
      <vt:lpstr>YB_ref_equity_perc_LOW</vt:lpstr>
      <vt:lpstr>YB_resignedwaitlist</vt:lpstr>
      <vt:lpstr>YB_sal_wage</vt:lpstr>
      <vt:lpstr>YB_sport_rev_perc</vt:lpstr>
      <vt:lpstr>YB_sport_rev_perFME</vt:lpstr>
      <vt:lpstr>YB_surplus</vt:lpstr>
      <vt:lpstr>YB_tl_exp</vt:lpstr>
      <vt:lpstr>YB_tl_memcost_HIGH</vt:lpstr>
      <vt:lpstr>YB_tl_memcost_LOW</vt:lpstr>
      <vt:lpstr>YB_tl_resp</vt:lpstr>
      <vt:lpstr>YB_tl_rev</vt:lpstr>
      <vt:lpstr>YB_TlCovers</vt:lpstr>
      <vt:lpstr>YB_TLMem_25perc</vt:lpstr>
      <vt:lpstr>YB_TLMem_50perc</vt:lpstr>
      <vt:lpstr>YB_TLMem_75perc</vt:lpstr>
      <vt:lpstr>YB_tot_init_HIGH</vt:lpstr>
      <vt:lpstr>YB_tot_init_LOW</vt:lpstr>
      <vt:lpstr>YB_wkg_cap</vt:lpstr>
    </vt:vector>
  </TitlesOfParts>
  <Company>RSM McGladrey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RSM McGladrey</dc:creator>
  <cp:lastModifiedBy>Eisen, Chris</cp:lastModifiedBy>
  <cp:lastPrinted>2023-04-30T01:26:21Z</cp:lastPrinted>
  <dcterms:created xsi:type="dcterms:W3CDTF">1999-10-06T17:36:19Z</dcterms:created>
  <dcterms:modified xsi:type="dcterms:W3CDTF">2024-06-13T19:45:02Z</dcterms:modified>
</cp:coreProperties>
</file>